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min\Documents\Zalo Received Files\"/>
    </mc:Choice>
  </mc:AlternateContent>
  <xr:revisionPtr revIDLastSave="0" documentId="13_ncr:1_{228244E8-A0BF-4964-B408-6C8F7AF6F2D6}" xr6:coauthVersionLast="47" xr6:coauthVersionMax="47" xr10:uidLastSave="{00000000-0000-0000-0000-000000000000}"/>
  <bookViews>
    <workbookView xWindow="-108" yWindow="-108" windowWidth="23256" windowHeight="12456" firstSheet="5" activeTab="5" xr2:uid="{2CFFDAFB-F35D-484C-80F1-4C8F71994A8F}"/>
  </bookViews>
  <sheets>
    <sheet name="Sheet9" sheetId="11" state="hidden" r:id="rId1"/>
    <sheet name="SALE" sheetId="20" r:id="rId2"/>
    <sheet name="CUSTOMER" sheetId="2" r:id="rId3"/>
    <sheet name="CHURN RATE" sheetId="18" state="hidden" r:id="rId4"/>
    <sheet name="RETENTION&amp;CHURN RATE - Time" sheetId="16" r:id="rId5"/>
    <sheet name="RETENTION&amp;CHURN RATE - Female" sheetId="21" r:id="rId6"/>
    <sheet name="RETENTION&amp;CHURN RATE - Male" sheetId="22" r:id="rId7"/>
    <sheet name="RC AVG GENDER" sheetId="45" r:id="rId8"/>
    <sheet name="RETENTION&amp;CHURN RATE - Books" sheetId="25" r:id="rId9"/>
    <sheet name="RETENTION&amp;CHURN RATE - Cos" sheetId="26" r:id="rId10"/>
    <sheet name="RETENTION&amp;CHURN RATE - FB" sheetId="27" r:id="rId11"/>
    <sheet name="RETENTION&amp;CHURN RATE - Shoes" sheetId="28" r:id="rId12"/>
    <sheet name="RETENTION&amp;CHURN RATE - Sou" sheetId="29" r:id="rId13"/>
    <sheet name="RETENTION&amp;CHURN RATE - Tech" sheetId="30" r:id="rId14"/>
    <sheet name="RETENTION&amp;CHURN RATE - Toys" sheetId="31" r:id="rId15"/>
    <sheet name="RETENTION&amp;CHURN RATE - Clothing" sheetId="24" r:id="rId16"/>
    <sheet name="RC AVG CATEGORY" sheetId="44" r:id="rId17"/>
    <sheet name="RETENTION&amp;CHURN RATE - AVM" sheetId="33" r:id="rId18"/>
    <sheet name="RETENTION&amp;CHURN RATE - Emaar" sheetId="34" r:id="rId19"/>
    <sheet name="RETENTION&amp;CHURN RATE - Forum" sheetId="35" r:id="rId20"/>
    <sheet name="RETENTION&amp;CHURN RATE - Istinye" sheetId="36" r:id="rId21"/>
    <sheet name="RETENTION&amp;CHURN RATE - Istanbul" sheetId="37" r:id="rId22"/>
    <sheet name="RETENTION&amp;CHURN RATE - Metro" sheetId="38" r:id="rId23"/>
    <sheet name="RETENTION&amp;CHURN RATE - Metropol" sheetId="39" r:id="rId24"/>
    <sheet name="RETENTION&amp;CHURN RATE - Viaport" sheetId="40" r:id="rId25"/>
    <sheet name="RETENTION&amp;CHURN RATE - Zorlu" sheetId="41" r:id="rId26"/>
    <sheet name="RETENTION&amp;CHURN RATE - Kanyon " sheetId="32" r:id="rId27"/>
    <sheet name="RC AVG MALL" sheetId="42" r:id="rId28"/>
  </sheets>
  <definedNames>
    <definedName name="_xlcn.WorksheetConnection_salecustomer1.xlsxTable11" hidden="1">Table1</definedName>
    <definedName name="_xlcn.WorksheetConnection_salecustomer1.xlsxTable131" hidden="1">Table13[]</definedName>
  </definedNames>
  <calcPr calcId="191028"/>
  <pivotCaches>
    <pivotCache cacheId="0" r:id="rId2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" name="Table13" connection="WorksheetConnection_sale-customer (1).xlsx!Table13"/>
          <x15:modelTable id="Table1" name="Table1" connection="WorksheetConnection_sale-customer (1)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1" l="1"/>
  <c r="C2" i="22"/>
  <c r="I2" i="21"/>
  <c r="D7" i="21"/>
  <c r="C6" i="21"/>
  <c r="B5" i="21"/>
  <c r="I3" i="20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D2" i="16"/>
  <c r="C2" i="16"/>
  <c r="C3" i="16"/>
  <c r="B2" i="16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K1802" i="2" s="1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K1827" i="2" s="1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K1867" i="2" s="1"/>
  <c r="F1868" i="2"/>
  <c r="F1869" i="2"/>
  <c r="F1870" i="2"/>
  <c r="F1871" i="2"/>
  <c r="F1872" i="2"/>
  <c r="F1873" i="2"/>
  <c r="F1874" i="2"/>
  <c r="F1875" i="2"/>
  <c r="F1876" i="2"/>
  <c r="K1876" i="2" s="1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K1901" i="2" s="1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K1914" i="2" s="1"/>
  <c r="F1915" i="2"/>
  <c r="K1915" i="2" s="1"/>
  <c r="F1916" i="2"/>
  <c r="F1917" i="2"/>
  <c r="F1918" i="2"/>
  <c r="F1919" i="2"/>
  <c r="F1920" i="2"/>
  <c r="F1921" i="2"/>
  <c r="F1922" i="2"/>
  <c r="F1923" i="2"/>
  <c r="F1924" i="2"/>
  <c r="K1924" i="2" s="1"/>
  <c r="F1925" i="2"/>
  <c r="K1925" i="2" s="1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K1946" i="2" s="1"/>
  <c r="F1947" i="2"/>
  <c r="F1948" i="2"/>
  <c r="F1949" i="2"/>
  <c r="F1950" i="2"/>
  <c r="F1951" i="2"/>
  <c r="F1952" i="2"/>
  <c r="F1953" i="2"/>
  <c r="F1954" i="2"/>
  <c r="F1955" i="2"/>
  <c r="K1955" i="2" s="1"/>
  <c r="F1956" i="2"/>
  <c r="K1956" i="2" s="1"/>
  <c r="F1957" i="2"/>
  <c r="K1957" i="2" s="1"/>
  <c r="F1958" i="2"/>
  <c r="F1959" i="2"/>
  <c r="F1960" i="2"/>
  <c r="F1961" i="2"/>
  <c r="F1962" i="2"/>
  <c r="F1963" i="2"/>
  <c r="F1964" i="2"/>
  <c r="F1965" i="2"/>
  <c r="K1965" i="2" s="1"/>
  <c r="F1966" i="2"/>
  <c r="K1966" i="2" s="1"/>
  <c r="F1967" i="2"/>
  <c r="F1968" i="2"/>
  <c r="F1969" i="2"/>
  <c r="F1970" i="2"/>
  <c r="F1971" i="2"/>
  <c r="K1971" i="2" s="1"/>
  <c r="F1972" i="2"/>
  <c r="F1973" i="2"/>
  <c r="F1974" i="2"/>
  <c r="F1975" i="2"/>
  <c r="F1976" i="2"/>
  <c r="F1977" i="2"/>
  <c r="K1977" i="2" s="1"/>
  <c r="F1978" i="2"/>
  <c r="K1978" i="2" s="1"/>
  <c r="F1979" i="2"/>
  <c r="K1979" i="2" s="1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K1993" i="2" s="1"/>
  <c r="F1994" i="2"/>
  <c r="K1994" i="2" s="1"/>
  <c r="F1995" i="2"/>
  <c r="K1995" i="2" s="1"/>
  <c r="F1996" i="2"/>
  <c r="F1997" i="2"/>
  <c r="K1997" i="2" s="1"/>
  <c r="F1998" i="2"/>
  <c r="F1999" i="2"/>
  <c r="F2000" i="2"/>
  <c r="F2001" i="2"/>
  <c r="F2" i="2"/>
  <c r="K2" i="2" s="1"/>
  <c r="K6" i="2"/>
  <c r="K14" i="2"/>
  <c r="K16" i="2"/>
  <c r="K22" i="2"/>
  <c r="K25" i="2"/>
  <c r="K30" i="2"/>
  <c r="K32" i="2"/>
  <c r="K33" i="2"/>
  <c r="K38" i="2"/>
  <c r="K46" i="2"/>
  <c r="K48" i="2"/>
  <c r="K49" i="2"/>
  <c r="K54" i="2"/>
  <c r="K62" i="2"/>
  <c r="K64" i="2"/>
  <c r="K78" i="2"/>
  <c r="K80" i="2"/>
  <c r="K86" i="2"/>
  <c r="K94" i="2"/>
  <c r="K96" i="2"/>
  <c r="K97" i="2"/>
  <c r="K102" i="2"/>
  <c r="K110" i="2"/>
  <c r="K112" i="2"/>
  <c r="K113" i="2"/>
  <c r="K118" i="2"/>
  <c r="K126" i="2"/>
  <c r="K128" i="2"/>
  <c r="K134" i="2"/>
  <c r="K142" i="2"/>
  <c r="K144" i="2"/>
  <c r="K150" i="2"/>
  <c r="K158" i="2"/>
  <c r="K160" i="2"/>
  <c r="K161" i="2"/>
  <c r="K166" i="2"/>
  <c r="K174" i="2"/>
  <c r="K176" i="2"/>
  <c r="K177" i="2"/>
  <c r="K182" i="2"/>
  <c r="K190" i="2"/>
  <c r="K192" i="2"/>
  <c r="K198" i="2"/>
  <c r="K206" i="2"/>
  <c r="K208" i="2"/>
  <c r="K209" i="2"/>
  <c r="K214" i="2"/>
  <c r="K222" i="2"/>
  <c r="K224" i="2"/>
  <c r="K225" i="2"/>
  <c r="K230" i="2"/>
  <c r="K238" i="2"/>
  <c r="K240" i="2"/>
  <c r="K246" i="2"/>
  <c r="K254" i="2"/>
  <c r="K256" i="2"/>
  <c r="K262" i="2"/>
  <c r="K270" i="2"/>
  <c r="K272" i="2"/>
  <c r="K273" i="2"/>
  <c r="K278" i="2"/>
  <c r="K286" i="2"/>
  <c r="K288" i="2"/>
  <c r="K294" i="2"/>
  <c r="K302" i="2"/>
  <c r="K304" i="2"/>
  <c r="K310" i="2"/>
  <c r="K318" i="2"/>
  <c r="K320" i="2"/>
  <c r="K321" i="2"/>
  <c r="K326" i="2"/>
  <c r="K334" i="2"/>
  <c r="K336" i="2"/>
  <c r="K337" i="2"/>
  <c r="K342" i="2"/>
  <c r="K350" i="2"/>
  <c r="K352" i="2"/>
  <c r="K358" i="2"/>
  <c r="K365" i="2"/>
  <c r="K366" i="2"/>
  <c r="K368" i="2"/>
  <c r="K374" i="2"/>
  <c r="K382" i="2"/>
  <c r="K384" i="2"/>
  <c r="K390" i="2"/>
  <c r="K400" i="2"/>
  <c r="K401" i="2"/>
  <c r="K406" i="2"/>
  <c r="K416" i="2"/>
  <c r="K422" i="2"/>
  <c r="K432" i="2"/>
  <c r="K438" i="2"/>
  <c r="K446" i="2"/>
  <c r="K448" i="2"/>
  <c r="K462" i="2"/>
  <c r="K464" i="2"/>
  <c r="K470" i="2"/>
  <c r="K478" i="2"/>
  <c r="K480" i="2"/>
  <c r="K486" i="2"/>
  <c r="K494" i="2"/>
  <c r="K496" i="2"/>
  <c r="K502" i="2"/>
  <c r="K510" i="2"/>
  <c r="K512" i="2"/>
  <c r="K513" i="2"/>
  <c r="K518" i="2"/>
  <c r="K526" i="2"/>
  <c r="K528" i="2"/>
  <c r="K542" i="2"/>
  <c r="K544" i="2"/>
  <c r="K550" i="2"/>
  <c r="K557" i="2"/>
  <c r="K558" i="2"/>
  <c r="K560" i="2"/>
  <c r="K561" i="2"/>
  <c r="K566" i="2"/>
  <c r="K574" i="2"/>
  <c r="K576" i="2"/>
  <c r="K577" i="2"/>
  <c r="K582" i="2"/>
  <c r="K590" i="2"/>
  <c r="K592" i="2"/>
  <c r="K598" i="2"/>
  <c r="K606" i="2"/>
  <c r="K608" i="2"/>
  <c r="K609" i="2"/>
  <c r="K614" i="2"/>
  <c r="K617" i="2"/>
  <c r="K622" i="2"/>
  <c r="K624" i="2"/>
  <c r="K625" i="2"/>
  <c r="K630" i="2"/>
  <c r="K636" i="2"/>
  <c r="K638" i="2"/>
  <c r="K640" i="2"/>
  <c r="K646" i="2"/>
  <c r="K655" i="2"/>
  <c r="K656" i="2"/>
  <c r="K657" i="2"/>
  <c r="K662" i="2"/>
  <c r="K666" i="2"/>
  <c r="K672" i="2"/>
  <c r="K673" i="2"/>
  <c r="K678" i="2"/>
  <c r="K688" i="2"/>
  <c r="K692" i="2"/>
  <c r="K694" i="2"/>
  <c r="K702" i="2"/>
  <c r="K704" i="2"/>
  <c r="K710" i="2"/>
  <c r="K713" i="2"/>
  <c r="K714" i="2"/>
  <c r="K718" i="2"/>
  <c r="K720" i="2"/>
  <c r="K721" i="2"/>
  <c r="K726" i="2"/>
  <c r="K730" i="2"/>
  <c r="K734" i="2"/>
  <c r="K736" i="2"/>
  <c r="K742" i="2"/>
  <c r="K745" i="2"/>
  <c r="K746" i="2"/>
  <c r="K749" i="2"/>
  <c r="K750" i="2"/>
  <c r="K752" i="2"/>
  <c r="K753" i="2"/>
  <c r="K758" i="2"/>
  <c r="K761" i="2"/>
  <c r="K762" i="2"/>
  <c r="K766" i="2"/>
  <c r="K768" i="2"/>
  <c r="K769" i="2"/>
  <c r="K771" i="2"/>
  <c r="K774" i="2"/>
  <c r="K777" i="2"/>
  <c r="K778" i="2"/>
  <c r="K782" i="2"/>
  <c r="K784" i="2"/>
  <c r="K790" i="2"/>
  <c r="K793" i="2"/>
  <c r="K794" i="2"/>
  <c r="K798" i="2"/>
  <c r="K800" i="2"/>
  <c r="K801" i="2"/>
  <c r="K806" i="2"/>
  <c r="K809" i="2"/>
  <c r="K810" i="2"/>
  <c r="K814" i="2"/>
  <c r="K816" i="2"/>
  <c r="K817" i="2"/>
  <c r="K822" i="2"/>
  <c r="K826" i="2"/>
  <c r="K828" i="2"/>
  <c r="K829" i="2"/>
  <c r="K830" i="2"/>
  <c r="K832" i="2"/>
  <c r="K838" i="2"/>
  <c r="K841" i="2"/>
  <c r="K842" i="2"/>
  <c r="K846" i="2"/>
  <c r="K848" i="2"/>
  <c r="K849" i="2"/>
  <c r="K854" i="2"/>
  <c r="K858" i="2"/>
  <c r="K862" i="2"/>
  <c r="K864" i="2"/>
  <c r="K865" i="2"/>
  <c r="K869" i="2"/>
  <c r="K870" i="2"/>
  <c r="K874" i="2"/>
  <c r="K878" i="2"/>
  <c r="K880" i="2"/>
  <c r="K886" i="2"/>
  <c r="K889" i="2"/>
  <c r="K890" i="2"/>
  <c r="K894" i="2"/>
  <c r="K896" i="2"/>
  <c r="K902" i="2"/>
  <c r="K905" i="2"/>
  <c r="K906" i="2"/>
  <c r="K907" i="2"/>
  <c r="K912" i="2"/>
  <c r="K913" i="2"/>
  <c r="K918" i="2"/>
  <c r="K922" i="2"/>
  <c r="K925" i="2"/>
  <c r="K928" i="2"/>
  <c r="K934" i="2"/>
  <c r="K937" i="2"/>
  <c r="K938" i="2"/>
  <c r="K943" i="2"/>
  <c r="K944" i="2"/>
  <c r="K953" i="2"/>
  <c r="K954" i="2"/>
  <c r="K958" i="2"/>
  <c r="K960" i="2"/>
  <c r="K961" i="2"/>
  <c r="K963" i="2"/>
  <c r="K966" i="2"/>
  <c r="K969" i="2"/>
  <c r="K970" i="2"/>
  <c r="K974" i="2"/>
  <c r="K976" i="2"/>
  <c r="K982" i="2"/>
  <c r="K985" i="2"/>
  <c r="K986" i="2"/>
  <c r="K990" i="2"/>
  <c r="K991" i="2"/>
  <c r="K992" i="2"/>
  <c r="K993" i="2"/>
  <c r="K998" i="2"/>
  <c r="K1001" i="2"/>
  <c r="K1002" i="2"/>
  <c r="K1006" i="2"/>
  <c r="K1008" i="2"/>
  <c r="K1009" i="2"/>
  <c r="K1017" i="2"/>
  <c r="K1018" i="2"/>
  <c r="K1021" i="2"/>
  <c r="K1022" i="2"/>
  <c r="K1023" i="2"/>
  <c r="K1024" i="2"/>
  <c r="K1030" i="2"/>
  <c r="K1033" i="2"/>
  <c r="K1034" i="2"/>
  <c r="K1038" i="2"/>
  <c r="K1039" i="2"/>
  <c r="K1040" i="2"/>
  <c r="K1045" i="2"/>
  <c r="K1046" i="2"/>
  <c r="K1049" i="2"/>
  <c r="K1050" i="2"/>
  <c r="K1054" i="2"/>
  <c r="K1056" i="2"/>
  <c r="K1062" i="2"/>
  <c r="K1065" i="2"/>
  <c r="K1066" i="2"/>
  <c r="K1070" i="2"/>
  <c r="K1071" i="2"/>
  <c r="K1072" i="2"/>
  <c r="K1078" i="2"/>
  <c r="K1081" i="2"/>
  <c r="K1082" i="2"/>
  <c r="K1084" i="2"/>
  <c r="K1085" i="2"/>
  <c r="K1086" i="2"/>
  <c r="K1087" i="2"/>
  <c r="K1088" i="2"/>
  <c r="K1094" i="2"/>
  <c r="K1097" i="2"/>
  <c r="K1098" i="2"/>
  <c r="K1102" i="2"/>
  <c r="K1103" i="2"/>
  <c r="K1104" i="2"/>
  <c r="K1108" i="2"/>
  <c r="K1110" i="2"/>
  <c r="K1113" i="2"/>
  <c r="K1114" i="2"/>
  <c r="K1118" i="2"/>
  <c r="K1119" i="2"/>
  <c r="K1120" i="2"/>
  <c r="K1121" i="2"/>
  <c r="K1126" i="2"/>
  <c r="K1129" i="2"/>
  <c r="K1130" i="2"/>
  <c r="K1133" i="2"/>
  <c r="K1134" i="2"/>
  <c r="K1135" i="2"/>
  <c r="K1136" i="2"/>
  <c r="K1142" i="2"/>
  <c r="K1145" i="2"/>
  <c r="K1146" i="2"/>
  <c r="K1148" i="2"/>
  <c r="K1149" i="2"/>
  <c r="K1150" i="2"/>
  <c r="K1151" i="2"/>
  <c r="K1152" i="2"/>
  <c r="K1158" i="2"/>
  <c r="K1161" i="2"/>
  <c r="K1162" i="2"/>
  <c r="K1167" i="2"/>
  <c r="K1168" i="2"/>
  <c r="K1169" i="2"/>
  <c r="K1171" i="2"/>
  <c r="K1174" i="2"/>
  <c r="K1177" i="2"/>
  <c r="K1178" i="2"/>
  <c r="K1184" i="2"/>
  <c r="K1189" i="2"/>
  <c r="K1190" i="2"/>
  <c r="K1193" i="2"/>
  <c r="K1200" i="2"/>
  <c r="K1204" i="2"/>
  <c r="K1206" i="2"/>
  <c r="K1209" i="2"/>
  <c r="K1210" i="2"/>
  <c r="K1214" i="2"/>
  <c r="K1216" i="2"/>
  <c r="K1217" i="2"/>
  <c r="K1222" i="2"/>
  <c r="K1225" i="2"/>
  <c r="K1226" i="2"/>
  <c r="K1227" i="2"/>
  <c r="K1229" i="2"/>
  <c r="K1230" i="2"/>
  <c r="K1231" i="2"/>
  <c r="K1232" i="2"/>
  <c r="K1238" i="2"/>
  <c r="K1241" i="2"/>
  <c r="K1242" i="2"/>
  <c r="K1246" i="2"/>
  <c r="K1247" i="2"/>
  <c r="K1248" i="2"/>
  <c r="K1249" i="2"/>
  <c r="K1251" i="2"/>
  <c r="K1254" i="2"/>
  <c r="K1257" i="2"/>
  <c r="K1258" i="2"/>
  <c r="K1262" i="2"/>
  <c r="K1263" i="2"/>
  <c r="K1264" i="2"/>
  <c r="K1269" i="2"/>
  <c r="K1270" i="2"/>
  <c r="K1273" i="2"/>
  <c r="K1274" i="2"/>
  <c r="K1278" i="2"/>
  <c r="K1279" i="2"/>
  <c r="K1280" i="2"/>
  <c r="K1286" i="2"/>
  <c r="K1289" i="2"/>
  <c r="K1290" i="2"/>
  <c r="K1293" i="2"/>
  <c r="K1294" i="2"/>
  <c r="K1295" i="2"/>
  <c r="K1296" i="2"/>
  <c r="K1302" i="2"/>
  <c r="K1305" i="2"/>
  <c r="K1310" i="2"/>
  <c r="K1311" i="2"/>
  <c r="K1312" i="2"/>
  <c r="K1313" i="2"/>
  <c r="K1315" i="2"/>
  <c r="K1318" i="2"/>
  <c r="K1321" i="2"/>
  <c r="K1326" i="2"/>
  <c r="K1327" i="2"/>
  <c r="K1328" i="2"/>
  <c r="K1334" i="2"/>
  <c r="K1338" i="2"/>
  <c r="K1341" i="2"/>
  <c r="K1342" i="2"/>
  <c r="K1343" i="2"/>
  <c r="K1344" i="2"/>
  <c r="K1348" i="2"/>
  <c r="K1350" i="2"/>
  <c r="K1353" i="2"/>
  <c r="K1354" i="2"/>
  <c r="K1355" i="2"/>
  <c r="K1358" i="2"/>
  <c r="K1359" i="2"/>
  <c r="K1360" i="2"/>
  <c r="K1366" i="2"/>
  <c r="K1369" i="2"/>
  <c r="K1370" i="2"/>
  <c r="K1374" i="2"/>
  <c r="K1375" i="2"/>
  <c r="K1376" i="2"/>
  <c r="K1377" i="2"/>
  <c r="K1379" i="2"/>
  <c r="K1380" i="2"/>
  <c r="K1382" i="2"/>
  <c r="K1385" i="2"/>
  <c r="K1386" i="2"/>
  <c r="K1389" i="2"/>
  <c r="K1390" i="2"/>
  <c r="K1391" i="2"/>
  <c r="K1392" i="2"/>
  <c r="K1393" i="2"/>
  <c r="K1398" i="2"/>
  <c r="K1401" i="2"/>
  <c r="K1402" i="2"/>
  <c r="K1405" i="2"/>
  <c r="K1406" i="2"/>
  <c r="K1407" i="2"/>
  <c r="K1408" i="2"/>
  <c r="K1414" i="2"/>
  <c r="K1417" i="2"/>
  <c r="K1418" i="2"/>
  <c r="K1419" i="2"/>
  <c r="K1421" i="2"/>
  <c r="K1423" i="2"/>
  <c r="K1424" i="2"/>
  <c r="K1425" i="2"/>
  <c r="K1430" i="2"/>
  <c r="K1432" i="2"/>
  <c r="K1433" i="2"/>
  <c r="K1434" i="2"/>
  <c r="K1436" i="2"/>
  <c r="K1437" i="2"/>
  <c r="K1440" i="2"/>
  <c r="K1441" i="2"/>
  <c r="K1443" i="2"/>
  <c r="K1446" i="2"/>
  <c r="K1449" i="2"/>
  <c r="K1450" i="2"/>
  <c r="K1453" i="2"/>
  <c r="K1454" i="2"/>
  <c r="K1456" i="2"/>
  <c r="K1457" i="2"/>
  <c r="K1461" i="2"/>
  <c r="K1462" i="2"/>
  <c r="K1464" i="2"/>
  <c r="K1465" i="2"/>
  <c r="K1466" i="2"/>
  <c r="K1469" i="2"/>
  <c r="K1470" i="2"/>
  <c r="K1471" i="2"/>
  <c r="K1472" i="2"/>
  <c r="K1473" i="2"/>
  <c r="K1478" i="2"/>
  <c r="K1481" i="2"/>
  <c r="K1482" i="2"/>
  <c r="K1483" i="2"/>
  <c r="K1484" i="2"/>
  <c r="K1485" i="2"/>
  <c r="K1486" i="2"/>
  <c r="K1487" i="2"/>
  <c r="K1488" i="2"/>
  <c r="K1489" i="2"/>
  <c r="K1494" i="2"/>
  <c r="K1500" i="2"/>
  <c r="K1501" i="2"/>
  <c r="K1502" i="2"/>
  <c r="K1503" i="2"/>
  <c r="K1504" i="2"/>
  <c r="K1505" i="2"/>
  <c r="K1509" i="2"/>
  <c r="K1510" i="2"/>
  <c r="K1513" i="2"/>
  <c r="K1514" i="2"/>
  <c r="K1517" i="2"/>
  <c r="K1518" i="2"/>
  <c r="K1519" i="2"/>
  <c r="K1520" i="2"/>
  <c r="K1521" i="2"/>
  <c r="K1524" i="2"/>
  <c r="K1525" i="2"/>
  <c r="K1526" i="2"/>
  <c r="K1529" i="2"/>
  <c r="K1530" i="2"/>
  <c r="K1531" i="2"/>
  <c r="K1533" i="2"/>
  <c r="K1534" i="2"/>
  <c r="K1535" i="2"/>
  <c r="K1536" i="2"/>
  <c r="K1537" i="2"/>
  <c r="K1541" i="2"/>
  <c r="K1542" i="2"/>
  <c r="K1544" i="2"/>
  <c r="K1546" i="2"/>
  <c r="K1547" i="2"/>
  <c r="K1548" i="2"/>
  <c r="K1549" i="2"/>
  <c r="K1550" i="2"/>
  <c r="K1551" i="2"/>
  <c r="K1552" i="2"/>
  <c r="K1553" i="2"/>
  <c r="K1555" i="2"/>
  <c r="K1556" i="2"/>
  <c r="K1558" i="2"/>
  <c r="K1561" i="2"/>
  <c r="K1562" i="2"/>
  <c r="K1565" i="2"/>
  <c r="K1566" i="2"/>
  <c r="K1567" i="2"/>
  <c r="K1568" i="2"/>
  <c r="K1574" i="2"/>
  <c r="K1577" i="2"/>
  <c r="K1578" i="2"/>
  <c r="K1579" i="2"/>
  <c r="K1581" i="2"/>
  <c r="K1582" i="2"/>
  <c r="K1583" i="2"/>
  <c r="K1584" i="2"/>
  <c r="K1585" i="2"/>
  <c r="K1588" i="2"/>
  <c r="K1590" i="2"/>
  <c r="K1593" i="2"/>
  <c r="K1597" i="2"/>
  <c r="K1598" i="2"/>
  <c r="K1599" i="2"/>
  <c r="K1600" i="2"/>
  <c r="K1601" i="2"/>
  <c r="K1603" i="2"/>
  <c r="K1604" i="2"/>
  <c r="K1605" i="2"/>
  <c r="K1606" i="2"/>
  <c r="K1609" i="2"/>
  <c r="K1610" i="2"/>
  <c r="K1613" i="2"/>
  <c r="K1614" i="2"/>
  <c r="K1615" i="2"/>
  <c r="K1616" i="2"/>
  <c r="K1617" i="2"/>
  <c r="K1622" i="2"/>
  <c r="K1625" i="2"/>
  <c r="K1626" i="2"/>
  <c r="K1627" i="2"/>
  <c r="K1628" i="2"/>
  <c r="K1629" i="2"/>
  <c r="K1630" i="2"/>
  <c r="K1631" i="2"/>
  <c r="K1632" i="2"/>
  <c r="K1633" i="2"/>
  <c r="K1635" i="2"/>
  <c r="K1638" i="2"/>
  <c r="K1641" i="2"/>
  <c r="K1642" i="2"/>
  <c r="K1645" i="2"/>
  <c r="K1646" i="2"/>
  <c r="K1647" i="2"/>
  <c r="K1648" i="2"/>
  <c r="K1649" i="2"/>
  <c r="K1652" i="2"/>
  <c r="K1653" i="2"/>
  <c r="K1657" i="2"/>
  <c r="K1658" i="2"/>
  <c r="K1659" i="2"/>
  <c r="K1660" i="2"/>
  <c r="K1661" i="2"/>
  <c r="K1662" i="2"/>
  <c r="K1663" i="2"/>
  <c r="K1664" i="2"/>
  <c r="K1665" i="2"/>
  <c r="K1670" i="2"/>
  <c r="K1673" i="2"/>
  <c r="K1674" i="2"/>
  <c r="K1676" i="2"/>
  <c r="K1677" i="2"/>
  <c r="K1678" i="2"/>
  <c r="K1679" i="2"/>
  <c r="K1680" i="2"/>
  <c r="K1681" i="2"/>
  <c r="K1683" i="2"/>
  <c r="K1686" i="2"/>
  <c r="K1689" i="2"/>
  <c r="K1690" i="2"/>
  <c r="K1691" i="2"/>
  <c r="K1692" i="2"/>
  <c r="K1693" i="2"/>
  <c r="K1694" i="2"/>
  <c r="K1695" i="2"/>
  <c r="K1696" i="2"/>
  <c r="K1697" i="2"/>
  <c r="K1699" i="2"/>
  <c r="K1700" i="2"/>
  <c r="K1702" i="2"/>
  <c r="K1705" i="2"/>
  <c r="K1706" i="2"/>
  <c r="K1707" i="2"/>
  <c r="K1709" i="2"/>
  <c r="K1710" i="2"/>
  <c r="K1711" i="2"/>
  <c r="K1712" i="2"/>
  <c r="K1715" i="2"/>
  <c r="K1716" i="2"/>
  <c r="K1718" i="2"/>
  <c r="K1722" i="2"/>
  <c r="K1724" i="2"/>
  <c r="K1725" i="2"/>
  <c r="K1726" i="2"/>
  <c r="K1727" i="2"/>
  <c r="K1728" i="2"/>
  <c r="K1729" i="2"/>
  <c r="K1732" i="2"/>
  <c r="K1733" i="2"/>
  <c r="K1734" i="2"/>
  <c r="K1737" i="2"/>
  <c r="K1738" i="2"/>
  <c r="K1739" i="2"/>
  <c r="K1740" i="2"/>
  <c r="K1741" i="2"/>
  <c r="K1742" i="2"/>
  <c r="K1743" i="2"/>
  <c r="K1744" i="2"/>
  <c r="K1745" i="2"/>
  <c r="K1747" i="2"/>
  <c r="K1748" i="2"/>
  <c r="K1750" i="2"/>
  <c r="K1752" i="2"/>
  <c r="K1753" i="2"/>
  <c r="K1754" i="2"/>
  <c r="K1758" i="2"/>
  <c r="K1759" i="2"/>
  <c r="K1760" i="2"/>
  <c r="K1761" i="2"/>
  <c r="K1763" i="2"/>
  <c r="K1764" i="2"/>
  <c r="K1765" i="2"/>
  <c r="K1766" i="2"/>
  <c r="K1769" i="2"/>
  <c r="K1770" i="2"/>
  <c r="K1771" i="2"/>
  <c r="K1772" i="2"/>
  <c r="K1774" i="2"/>
  <c r="K1775" i="2"/>
  <c r="K1776" i="2"/>
  <c r="K1777" i="2"/>
  <c r="K1782" i="2"/>
  <c r="K1785" i="2"/>
  <c r="K1786" i="2"/>
  <c r="K1789" i="2"/>
  <c r="K1790" i="2"/>
  <c r="K1791" i="2"/>
  <c r="K1792" i="2"/>
  <c r="K1793" i="2"/>
  <c r="K1796" i="2"/>
  <c r="K1797" i="2"/>
  <c r="K1798" i="2"/>
  <c r="K1805" i="2"/>
  <c r="K1806" i="2"/>
  <c r="K1807" i="2"/>
  <c r="K1808" i="2"/>
  <c r="K1809" i="2"/>
  <c r="K1811" i="2"/>
  <c r="K1812" i="2"/>
  <c r="K1817" i="2"/>
  <c r="K1818" i="2"/>
  <c r="K1820" i="2"/>
  <c r="K1821" i="2"/>
  <c r="K1822" i="2"/>
  <c r="K1823" i="2"/>
  <c r="K1824" i="2"/>
  <c r="K1825" i="2"/>
  <c r="K1828" i="2"/>
  <c r="K1829" i="2"/>
  <c r="K1830" i="2"/>
  <c r="K1833" i="2"/>
  <c r="K1835" i="2"/>
  <c r="K1837" i="2"/>
  <c r="K1838" i="2"/>
  <c r="K1839" i="2"/>
  <c r="K1840" i="2"/>
  <c r="K1841" i="2"/>
  <c r="K1846" i="2"/>
  <c r="K1849" i="2"/>
  <c r="K1850" i="2"/>
  <c r="K1851" i="2"/>
  <c r="K1852" i="2"/>
  <c r="K1853" i="2"/>
  <c r="K1854" i="2"/>
  <c r="K1855" i="2"/>
  <c r="K1856" i="2"/>
  <c r="K1857" i="2"/>
  <c r="K1862" i="2"/>
  <c r="K1865" i="2"/>
  <c r="K1866" i="2"/>
  <c r="K1868" i="2"/>
  <c r="K1869" i="2"/>
  <c r="K1870" i="2"/>
  <c r="K1871" i="2"/>
  <c r="K1872" i="2"/>
  <c r="K1873" i="2"/>
  <c r="K1875" i="2"/>
  <c r="K1877" i="2"/>
  <c r="K1878" i="2"/>
  <c r="K1881" i="2"/>
  <c r="K1882" i="2"/>
  <c r="K1883" i="2"/>
  <c r="K1885" i="2"/>
  <c r="K1886" i="2"/>
  <c r="K1887" i="2"/>
  <c r="K1888" i="2"/>
  <c r="K1889" i="2"/>
  <c r="K1892" i="2"/>
  <c r="K1893" i="2"/>
  <c r="K1894" i="2"/>
  <c r="K1897" i="2"/>
  <c r="K1898" i="2"/>
  <c r="K1902" i="2"/>
  <c r="K1903" i="2"/>
  <c r="K1904" i="2"/>
  <c r="K1905" i="2"/>
  <c r="K1907" i="2"/>
  <c r="K1908" i="2"/>
  <c r="K1910" i="2"/>
  <c r="K1913" i="2"/>
  <c r="K1918" i="2"/>
  <c r="K1919" i="2"/>
  <c r="K1920" i="2"/>
  <c r="K1921" i="2"/>
  <c r="K1923" i="2"/>
  <c r="K1926" i="2"/>
  <c r="K1929" i="2"/>
  <c r="K1930" i="2"/>
  <c r="K1931" i="2"/>
  <c r="K1933" i="2"/>
  <c r="K1934" i="2"/>
  <c r="K1935" i="2"/>
  <c r="K1936" i="2"/>
  <c r="K1937" i="2"/>
  <c r="K1939" i="2"/>
  <c r="K1940" i="2"/>
  <c r="K1941" i="2"/>
  <c r="K1942" i="2"/>
  <c r="K1945" i="2"/>
  <c r="K1952" i="2"/>
  <c r="K1953" i="2"/>
  <c r="K1958" i="2"/>
  <c r="K1961" i="2"/>
  <c r="K1962" i="2"/>
  <c r="K1963" i="2"/>
  <c r="K1964" i="2"/>
  <c r="K1967" i="2"/>
  <c r="K1969" i="2"/>
  <c r="K1972" i="2"/>
  <c r="K1974" i="2"/>
  <c r="K1976" i="2"/>
  <c r="K1982" i="2"/>
  <c r="K1983" i="2"/>
  <c r="K1985" i="2"/>
  <c r="K1988" i="2"/>
  <c r="K1990" i="2"/>
  <c r="K1998" i="2"/>
  <c r="K1999" i="2"/>
  <c r="K2001" i="2"/>
  <c r="L3" i="2"/>
  <c r="L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I2" i="20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I6" i="20"/>
  <c r="I4" i="20"/>
  <c r="I5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I566" i="20"/>
  <c r="I567" i="20"/>
  <c r="I568" i="20"/>
  <c r="I569" i="20"/>
  <c r="I570" i="20"/>
  <c r="I571" i="20"/>
  <c r="I572" i="20"/>
  <c r="I573" i="20"/>
  <c r="I574" i="20"/>
  <c r="I575" i="20"/>
  <c r="I576" i="20"/>
  <c r="I577" i="20"/>
  <c r="I578" i="20"/>
  <c r="I579" i="20"/>
  <c r="I580" i="20"/>
  <c r="I581" i="20"/>
  <c r="I582" i="20"/>
  <c r="I583" i="20"/>
  <c r="I584" i="20"/>
  <c r="I585" i="20"/>
  <c r="I586" i="20"/>
  <c r="I587" i="20"/>
  <c r="I588" i="20"/>
  <c r="I589" i="20"/>
  <c r="I590" i="20"/>
  <c r="I591" i="20"/>
  <c r="I592" i="20"/>
  <c r="I593" i="20"/>
  <c r="I594" i="20"/>
  <c r="I595" i="20"/>
  <c r="I596" i="20"/>
  <c r="I597" i="20"/>
  <c r="I598" i="20"/>
  <c r="I599" i="20"/>
  <c r="I600" i="20"/>
  <c r="I601" i="20"/>
  <c r="I602" i="20"/>
  <c r="I603" i="20"/>
  <c r="I604" i="20"/>
  <c r="I605" i="20"/>
  <c r="I606" i="20"/>
  <c r="I607" i="20"/>
  <c r="I608" i="20"/>
  <c r="I609" i="20"/>
  <c r="I610" i="20"/>
  <c r="I611" i="20"/>
  <c r="I612" i="20"/>
  <c r="I613" i="20"/>
  <c r="I614" i="20"/>
  <c r="I615" i="20"/>
  <c r="I616" i="20"/>
  <c r="I617" i="20"/>
  <c r="I618" i="20"/>
  <c r="I619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I634" i="20"/>
  <c r="I635" i="20"/>
  <c r="I636" i="20"/>
  <c r="I637" i="20"/>
  <c r="I638" i="20"/>
  <c r="I639" i="20"/>
  <c r="I640" i="20"/>
  <c r="I641" i="20"/>
  <c r="I642" i="20"/>
  <c r="I643" i="20"/>
  <c r="I644" i="20"/>
  <c r="I645" i="20"/>
  <c r="I646" i="20"/>
  <c r="I647" i="20"/>
  <c r="I648" i="20"/>
  <c r="I649" i="20"/>
  <c r="I650" i="20"/>
  <c r="I651" i="20"/>
  <c r="I652" i="20"/>
  <c r="I653" i="20"/>
  <c r="I654" i="20"/>
  <c r="I655" i="20"/>
  <c r="I656" i="20"/>
  <c r="I657" i="20"/>
  <c r="I658" i="20"/>
  <c r="I659" i="20"/>
  <c r="I660" i="20"/>
  <c r="I661" i="20"/>
  <c r="I662" i="20"/>
  <c r="I663" i="20"/>
  <c r="I664" i="20"/>
  <c r="I665" i="20"/>
  <c r="I666" i="20"/>
  <c r="I667" i="20"/>
  <c r="I668" i="20"/>
  <c r="I669" i="20"/>
  <c r="I670" i="20"/>
  <c r="I671" i="20"/>
  <c r="I672" i="20"/>
  <c r="I673" i="20"/>
  <c r="I674" i="20"/>
  <c r="I675" i="20"/>
  <c r="I676" i="20"/>
  <c r="I677" i="20"/>
  <c r="I678" i="20"/>
  <c r="I679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I718" i="20"/>
  <c r="I719" i="20"/>
  <c r="I720" i="20"/>
  <c r="I721" i="20"/>
  <c r="I722" i="20"/>
  <c r="I723" i="20"/>
  <c r="I724" i="20"/>
  <c r="I725" i="20"/>
  <c r="I726" i="20"/>
  <c r="I727" i="20"/>
  <c r="I728" i="20"/>
  <c r="I729" i="20"/>
  <c r="I730" i="20"/>
  <c r="I731" i="20"/>
  <c r="I732" i="20"/>
  <c r="I733" i="20"/>
  <c r="I734" i="20"/>
  <c r="I735" i="20"/>
  <c r="I736" i="20"/>
  <c r="I737" i="20"/>
  <c r="I738" i="20"/>
  <c r="I739" i="20"/>
  <c r="I740" i="20"/>
  <c r="I741" i="20"/>
  <c r="I742" i="20"/>
  <c r="I743" i="20"/>
  <c r="I744" i="20"/>
  <c r="I745" i="20"/>
  <c r="I746" i="20"/>
  <c r="I747" i="20"/>
  <c r="I748" i="20"/>
  <c r="I749" i="20"/>
  <c r="I750" i="20"/>
  <c r="I751" i="20"/>
  <c r="I752" i="20"/>
  <c r="I753" i="20"/>
  <c r="I754" i="20"/>
  <c r="I755" i="20"/>
  <c r="I756" i="20"/>
  <c r="I757" i="20"/>
  <c r="I758" i="20"/>
  <c r="I759" i="20"/>
  <c r="I760" i="20"/>
  <c r="I761" i="20"/>
  <c r="I762" i="20"/>
  <c r="I763" i="20"/>
  <c r="I764" i="20"/>
  <c r="I765" i="20"/>
  <c r="I766" i="20"/>
  <c r="I767" i="20"/>
  <c r="I768" i="20"/>
  <c r="I769" i="20"/>
  <c r="I770" i="20"/>
  <c r="I771" i="20"/>
  <c r="I772" i="20"/>
  <c r="I773" i="20"/>
  <c r="I774" i="20"/>
  <c r="I775" i="20"/>
  <c r="I776" i="20"/>
  <c r="I777" i="20"/>
  <c r="I778" i="20"/>
  <c r="I779" i="20"/>
  <c r="I780" i="20"/>
  <c r="I781" i="20"/>
  <c r="I782" i="20"/>
  <c r="I783" i="20"/>
  <c r="I784" i="20"/>
  <c r="I785" i="20"/>
  <c r="I786" i="20"/>
  <c r="I787" i="20"/>
  <c r="I788" i="20"/>
  <c r="I789" i="20"/>
  <c r="I790" i="20"/>
  <c r="I791" i="20"/>
  <c r="I792" i="20"/>
  <c r="I793" i="20"/>
  <c r="I794" i="20"/>
  <c r="I795" i="20"/>
  <c r="I796" i="20"/>
  <c r="I797" i="20"/>
  <c r="I798" i="20"/>
  <c r="I799" i="20"/>
  <c r="I800" i="20"/>
  <c r="I801" i="20"/>
  <c r="I802" i="20"/>
  <c r="I803" i="20"/>
  <c r="I804" i="20"/>
  <c r="I805" i="20"/>
  <c r="I806" i="20"/>
  <c r="I807" i="20"/>
  <c r="I808" i="20"/>
  <c r="I809" i="20"/>
  <c r="I810" i="20"/>
  <c r="I811" i="20"/>
  <c r="I812" i="20"/>
  <c r="I813" i="20"/>
  <c r="I814" i="20"/>
  <c r="I815" i="20"/>
  <c r="I816" i="20"/>
  <c r="I817" i="20"/>
  <c r="I818" i="20"/>
  <c r="I819" i="20"/>
  <c r="I820" i="20"/>
  <c r="I821" i="20"/>
  <c r="I822" i="20"/>
  <c r="I823" i="20"/>
  <c r="I824" i="20"/>
  <c r="I825" i="20"/>
  <c r="I826" i="20"/>
  <c r="I827" i="20"/>
  <c r="I828" i="20"/>
  <c r="I829" i="20"/>
  <c r="I830" i="20"/>
  <c r="I831" i="20"/>
  <c r="I832" i="20"/>
  <c r="I833" i="20"/>
  <c r="I834" i="20"/>
  <c r="I835" i="20"/>
  <c r="I836" i="20"/>
  <c r="I837" i="20"/>
  <c r="I838" i="20"/>
  <c r="I839" i="20"/>
  <c r="I840" i="20"/>
  <c r="I841" i="20"/>
  <c r="I842" i="20"/>
  <c r="I843" i="20"/>
  <c r="I844" i="20"/>
  <c r="I845" i="20"/>
  <c r="I846" i="20"/>
  <c r="I847" i="20"/>
  <c r="I848" i="20"/>
  <c r="I849" i="20"/>
  <c r="I850" i="20"/>
  <c r="I851" i="20"/>
  <c r="I852" i="20"/>
  <c r="I853" i="20"/>
  <c r="I854" i="20"/>
  <c r="I855" i="20"/>
  <c r="I856" i="20"/>
  <c r="I857" i="20"/>
  <c r="I858" i="20"/>
  <c r="I859" i="20"/>
  <c r="I860" i="20"/>
  <c r="I861" i="20"/>
  <c r="I862" i="20"/>
  <c r="I863" i="20"/>
  <c r="I864" i="20"/>
  <c r="I865" i="20"/>
  <c r="I866" i="20"/>
  <c r="I867" i="20"/>
  <c r="I868" i="20"/>
  <c r="I869" i="20"/>
  <c r="I870" i="20"/>
  <c r="I871" i="20"/>
  <c r="I872" i="20"/>
  <c r="I873" i="20"/>
  <c r="I874" i="20"/>
  <c r="I875" i="20"/>
  <c r="I876" i="20"/>
  <c r="I877" i="20"/>
  <c r="I878" i="20"/>
  <c r="I879" i="20"/>
  <c r="I880" i="20"/>
  <c r="I881" i="20"/>
  <c r="I882" i="20"/>
  <c r="I883" i="20"/>
  <c r="I884" i="20"/>
  <c r="I885" i="20"/>
  <c r="I886" i="20"/>
  <c r="I887" i="20"/>
  <c r="I888" i="20"/>
  <c r="I889" i="20"/>
  <c r="I890" i="20"/>
  <c r="I891" i="20"/>
  <c r="I892" i="20"/>
  <c r="I893" i="20"/>
  <c r="I894" i="20"/>
  <c r="I895" i="20"/>
  <c r="I896" i="20"/>
  <c r="I897" i="20"/>
  <c r="I898" i="20"/>
  <c r="I899" i="20"/>
  <c r="I900" i="20"/>
  <c r="I901" i="20"/>
  <c r="I902" i="20"/>
  <c r="I903" i="20"/>
  <c r="I904" i="20"/>
  <c r="I905" i="20"/>
  <c r="I906" i="20"/>
  <c r="I907" i="20"/>
  <c r="I908" i="20"/>
  <c r="I909" i="20"/>
  <c r="I910" i="20"/>
  <c r="I911" i="20"/>
  <c r="I912" i="20"/>
  <c r="I913" i="20"/>
  <c r="I914" i="20"/>
  <c r="I915" i="20"/>
  <c r="I916" i="20"/>
  <c r="I917" i="20"/>
  <c r="I918" i="20"/>
  <c r="I919" i="20"/>
  <c r="I920" i="20"/>
  <c r="I921" i="20"/>
  <c r="I922" i="20"/>
  <c r="I923" i="20"/>
  <c r="I924" i="20"/>
  <c r="I925" i="20"/>
  <c r="I926" i="20"/>
  <c r="I927" i="20"/>
  <c r="I928" i="20"/>
  <c r="I929" i="20"/>
  <c r="I930" i="20"/>
  <c r="I931" i="20"/>
  <c r="I932" i="20"/>
  <c r="I933" i="20"/>
  <c r="I934" i="20"/>
  <c r="I935" i="20"/>
  <c r="I936" i="20"/>
  <c r="I937" i="20"/>
  <c r="I938" i="20"/>
  <c r="I939" i="20"/>
  <c r="I940" i="20"/>
  <c r="I941" i="20"/>
  <c r="I942" i="20"/>
  <c r="I943" i="20"/>
  <c r="I944" i="20"/>
  <c r="I945" i="20"/>
  <c r="I946" i="20"/>
  <c r="I947" i="20"/>
  <c r="I948" i="20"/>
  <c r="I949" i="20"/>
  <c r="I950" i="20"/>
  <c r="I951" i="20"/>
  <c r="I952" i="20"/>
  <c r="I953" i="20"/>
  <c r="I954" i="20"/>
  <c r="I955" i="20"/>
  <c r="I956" i="20"/>
  <c r="I957" i="20"/>
  <c r="I958" i="20"/>
  <c r="I959" i="20"/>
  <c r="I960" i="20"/>
  <c r="I961" i="20"/>
  <c r="I962" i="20"/>
  <c r="I963" i="20"/>
  <c r="I964" i="20"/>
  <c r="I965" i="20"/>
  <c r="I966" i="20"/>
  <c r="I967" i="20"/>
  <c r="I968" i="20"/>
  <c r="I969" i="20"/>
  <c r="I970" i="20"/>
  <c r="I971" i="20"/>
  <c r="I972" i="20"/>
  <c r="I973" i="20"/>
  <c r="I974" i="20"/>
  <c r="I975" i="20"/>
  <c r="I976" i="20"/>
  <c r="I977" i="20"/>
  <c r="I978" i="20"/>
  <c r="I979" i="20"/>
  <c r="I980" i="20"/>
  <c r="I981" i="20"/>
  <c r="I982" i="20"/>
  <c r="I983" i="20"/>
  <c r="I984" i="20"/>
  <c r="I985" i="20"/>
  <c r="I986" i="20"/>
  <c r="I987" i="20"/>
  <c r="I988" i="20"/>
  <c r="I989" i="20"/>
  <c r="I990" i="20"/>
  <c r="I991" i="20"/>
  <c r="I992" i="20"/>
  <c r="I993" i="20"/>
  <c r="I994" i="20"/>
  <c r="I995" i="20"/>
  <c r="I996" i="20"/>
  <c r="I997" i="20"/>
  <c r="I998" i="20"/>
  <c r="I999" i="20"/>
  <c r="I1000" i="20"/>
  <c r="I1001" i="20"/>
  <c r="I1002" i="20"/>
  <c r="I1003" i="20"/>
  <c r="I1004" i="20"/>
  <c r="I1005" i="20"/>
  <c r="I1006" i="20"/>
  <c r="I1007" i="20"/>
  <c r="I1008" i="20"/>
  <c r="I1009" i="20"/>
  <c r="I1010" i="20"/>
  <c r="I1011" i="20"/>
  <c r="I1012" i="20"/>
  <c r="I1013" i="20"/>
  <c r="I1014" i="20"/>
  <c r="I1015" i="20"/>
  <c r="I1016" i="20"/>
  <c r="I1017" i="20"/>
  <c r="I1018" i="20"/>
  <c r="I1019" i="20"/>
  <c r="I1020" i="20"/>
  <c r="I1021" i="20"/>
  <c r="I1022" i="20"/>
  <c r="I1023" i="20"/>
  <c r="I1024" i="20"/>
  <c r="I1025" i="20"/>
  <c r="I1026" i="20"/>
  <c r="I1027" i="20"/>
  <c r="I1028" i="20"/>
  <c r="I1029" i="20"/>
  <c r="I1030" i="20"/>
  <c r="I1031" i="20"/>
  <c r="I1032" i="20"/>
  <c r="I1033" i="20"/>
  <c r="I1034" i="20"/>
  <c r="I1035" i="20"/>
  <c r="I1036" i="20"/>
  <c r="I1037" i="20"/>
  <c r="I1038" i="20"/>
  <c r="I1039" i="20"/>
  <c r="I1040" i="20"/>
  <c r="I1041" i="20"/>
  <c r="I1042" i="20"/>
  <c r="I1043" i="20"/>
  <c r="I1044" i="20"/>
  <c r="I1045" i="20"/>
  <c r="I1046" i="20"/>
  <c r="I1047" i="20"/>
  <c r="I1048" i="20"/>
  <c r="I1049" i="20"/>
  <c r="I1050" i="20"/>
  <c r="I1051" i="20"/>
  <c r="I1052" i="20"/>
  <c r="I1053" i="20"/>
  <c r="I1054" i="20"/>
  <c r="I1055" i="20"/>
  <c r="I1056" i="20"/>
  <c r="I1057" i="20"/>
  <c r="I1058" i="20"/>
  <c r="I1059" i="20"/>
  <c r="I1060" i="20"/>
  <c r="I1061" i="20"/>
  <c r="I1062" i="20"/>
  <c r="I1063" i="20"/>
  <c r="I1064" i="20"/>
  <c r="I1065" i="20"/>
  <c r="I1066" i="20"/>
  <c r="I1067" i="20"/>
  <c r="I1068" i="20"/>
  <c r="I1069" i="20"/>
  <c r="I1070" i="20"/>
  <c r="I1071" i="20"/>
  <c r="I1072" i="20"/>
  <c r="I1073" i="20"/>
  <c r="I1074" i="20"/>
  <c r="I1075" i="20"/>
  <c r="I1076" i="20"/>
  <c r="I1077" i="20"/>
  <c r="I1078" i="20"/>
  <c r="I1079" i="20"/>
  <c r="I1080" i="20"/>
  <c r="I1081" i="20"/>
  <c r="I1082" i="20"/>
  <c r="I1083" i="20"/>
  <c r="I1084" i="20"/>
  <c r="I1085" i="20"/>
  <c r="I1086" i="20"/>
  <c r="I1087" i="20"/>
  <c r="I1088" i="20"/>
  <c r="I1089" i="20"/>
  <c r="I1090" i="20"/>
  <c r="I1091" i="20"/>
  <c r="I1092" i="20"/>
  <c r="I1093" i="20"/>
  <c r="I1094" i="20"/>
  <c r="I1095" i="20"/>
  <c r="I1096" i="20"/>
  <c r="I1097" i="20"/>
  <c r="I1098" i="20"/>
  <c r="I1099" i="20"/>
  <c r="I1100" i="20"/>
  <c r="I1101" i="20"/>
  <c r="I1102" i="20"/>
  <c r="I1103" i="20"/>
  <c r="I1104" i="20"/>
  <c r="I1105" i="20"/>
  <c r="I1106" i="20"/>
  <c r="I1107" i="20"/>
  <c r="I1108" i="20"/>
  <c r="I1109" i="20"/>
  <c r="I1110" i="20"/>
  <c r="I1111" i="20"/>
  <c r="I1112" i="20"/>
  <c r="I1113" i="20"/>
  <c r="I1114" i="20"/>
  <c r="I1115" i="20"/>
  <c r="I1116" i="20"/>
  <c r="I1117" i="20"/>
  <c r="I1118" i="20"/>
  <c r="I1119" i="20"/>
  <c r="I1120" i="20"/>
  <c r="I1121" i="20"/>
  <c r="I1122" i="20"/>
  <c r="I1123" i="20"/>
  <c r="I1124" i="20"/>
  <c r="I1125" i="20"/>
  <c r="I1126" i="20"/>
  <c r="I1127" i="20"/>
  <c r="I1128" i="20"/>
  <c r="I1129" i="20"/>
  <c r="I1130" i="20"/>
  <c r="I1131" i="20"/>
  <c r="I1132" i="20"/>
  <c r="I1133" i="20"/>
  <c r="I1134" i="20"/>
  <c r="I1135" i="20"/>
  <c r="I1136" i="20"/>
  <c r="I1137" i="20"/>
  <c r="I1138" i="20"/>
  <c r="I1139" i="20"/>
  <c r="I1140" i="20"/>
  <c r="I1141" i="20"/>
  <c r="I1142" i="20"/>
  <c r="I1143" i="20"/>
  <c r="I1144" i="20"/>
  <c r="I1145" i="20"/>
  <c r="I1146" i="20"/>
  <c r="I1147" i="20"/>
  <c r="I1148" i="20"/>
  <c r="I1149" i="20"/>
  <c r="I1150" i="20"/>
  <c r="I1151" i="20"/>
  <c r="I1152" i="20"/>
  <c r="I1153" i="20"/>
  <c r="I1154" i="20"/>
  <c r="I1155" i="20"/>
  <c r="I1156" i="20"/>
  <c r="I1157" i="20"/>
  <c r="I1158" i="20"/>
  <c r="I1159" i="20"/>
  <c r="I1160" i="20"/>
  <c r="I1161" i="20"/>
  <c r="I1162" i="20"/>
  <c r="I1163" i="20"/>
  <c r="I1164" i="20"/>
  <c r="I1165" i="20"/>
  <c r="I1166" i="20"/>
  <c r="I1167" i="20"/>
  <c r="I1168" i="20"/>
  <c r="I1169" i="20"/>
  <c r="I1170" i="20"/>
  <c r="I1171" i="20"/>
  <c r="I1172" i="20"/>
  <c r="I1173" i="20"/>
  <c r="I1174" i="20"/>
  <c r="I1175" i="20"/>
  <c r="I1176" i="20"/>
  <c r="I1177" i="20"/>
  <c r="I1178" i="20"/>
  <c r="I1179" i="20"/>
  <c r="I1180" i="20"/>
  <c r="I1181" i="20"/>
  <c r="I1182" i="20"/>
  <c r="I1183" i="20"/>
  <c r="I1184" i="20"/>
  <c r="I1185" i="20"/>
  <c r="I1186" i="20"/>
  <c r="I1187" i="20"/>
  <c r="I1188" i="20"/>
  <c r="I1189" i="20"/>
  <c r="I1190" i="20"/>
  <c r="I1191" i="20"/>
  <c r="I1192" i="20"/>
  <c r="I1193" i="20"/>
  <c r="I1194" i="20"/>
  <c r="I1195" i="20"/>
  <c r="I1196" i="20"/>
  <c r="I1197" i="20"/>
  <c r="I1198" i="20"/>
  <c r="I1199" i="20"/>
  <c r="I1200" i="20"/>
  <c r="I1201" i="20"/>
  <c r="I1202" i="20"/>
  <c r="I1203" i="20"/>
  <c r="I1204" i="20"/>
  <c r="I1205" i="20"/>
  <c r="I1206" i="20"/>
  <c r="I1207" i="20"/>
  <c r="I1208" i="20"/>
  <c r="I1209" i="20"/>
  <c r="I1210" i="20"/>
  <c r="I1211" i="20"/>
  <c r="I1212" i="20"/>
  <c r="I1213" i="20"/>
  <c r="I1214" i="20"/>
  <c r="I1215" i="20"/>
  <c r="I1216" i="20"/>
  <c r="I1217" i="20"/>
  <c r="I1218" i="20"/>
  <c r="I1219" i="20"/>
  <c r="I1220" i="20"/>
  <c r="I1221" i="20"/>
  <c r="I1222" i="20"/>
  <c r="I1223" i="20"/>
  <c r="I1224" i="20"/>
  <c r="I1225" i="20"/>
  <c r="I1226" i="20"/>
  <c r="I1227" i="20"/>
  <c r="I1228" i="20"/>
  <c r="I1229" i="20"/>
  <c r="I1230" i="20"/>
  <c r="I1231" i="20"/>
  <c r="I1232" i="20"/>
  <c r="I1233" i="20"/>
  <c r="I1234" i="20"/>
  <c r="I1235" i="20"/>
  <c r="I1236" i="20"/>
  <c r="I1237" i="20"/>
  <c r="I1238" i="20"/>
  <c r="I1239" i="20"/>
  <c r="I1240" i="20"/>
  <c r="I1241" i="20"/>
  <c r="I1242" i="20"/>
  <c r="I1243" i="20"/>
  <c r="I1244" i="20"/>
  <c r="I1245" i="20"/>
  <c r="I1246" i="20"/>
  <c r="I1247" i="20"/>
  <c r="I1248" i="20"/>
  <c r="I1249" i="20"/>
  <c r="I1250" i="20"/>
  <c r="I1251" i="20"/>
  <c r="I1252" i="20"/>
  <c r="I1253" i="20"/>
  <c r="I1254" i="20"/>
  <c r="I1255" i="20"/>
  <c r="I1256" i="20"/>
  <c r="I1257" i="20"/>
  <c r="I1258" i="20"/>
  <c r="I1259" i="20"/>
  <c r="I1260" i="20"/>
  <c r="I1261" i="20"/>
  <c r="I1262" i="20"/>
  <c r="I1263" i="20"/>
  <c r="I1264" i="20"/>
  <c r="I1265" i="20"/>
  <c r="I1266" i="20"/>
  <c r="I1267" i="20"/>
  <c r="I1268" i="20"/>
  <c r="I1269" i="20"/>
  <c r="I1270" i="20"/>
  <c r="I1271" i="20"/>
  <c r="I1272" i="20"/>
  <c r="I1273" i="20"/>
  <c r="I1274" i="20"/>
  <c r="I1275" i="20"/>
  <c r="I1276" i="20"/>
  <c r="I1277" i="20"/>
  <c r="I1278" i="20"/>
  <c r="I1279" i="20"/>
  <c r="I1280" i="20"/>
  <c r="I1281" i="20"/>
  <c r="I1282" i="20"/>
  <c r="I1283" i="20"/>
  <c r="I1284" i="20"/>
  <c r="I1285" i="20"/>
  <c r="I1286" i="20"/>
  <c r="I1287" i="20"/>
  <c r="I1288" i="20"/>
  <c r="I1289" i="20"/>
  <c r="I1290" i="20"/>
  <c r="I1291" i="20"/>
  <c r="I1292" i="20"/>
  <c r="I1293" i="20"/>
  <c r="I1294" i="20"/>
  <c r="I1295" i="20"/>
  <c r="I1296" i="20"/>
  <c r="I1297" i="20"/>
  <c r="I1298" i="20"/>
  <c r="I1299" i="20"/>
  <c r="I1300" i="20"/>
  <c r="I1301" i="20"/>
  <c r="I1302" i="20"/>
  <c r="I1303" i="20"/>
  <c r="I1304" i="20"/>
  <c r="I1305" i="20"/>
  <c r="I1306" i="20"/>
  <c r="I1307" i="20"/>
  <c r="I1308" i="20"/>
  <c r="I1309" i="20"/>
  <c r="I1310" i="20"/>
  <c r="I1311" i="20"/>
  <c r="I1312" i="20"/>
  <c r="I1313" i="20"/>
  <c r="I1314" i="20"/>
  <c r="I1315" i="20"/>
  <c r="I1316" i="20"/>
  <c r="I1317" i="20"/>
  <c r="I1318" i="20"/>
  <c r="I1319" i="20"/>
  <c r="I1320" i="20"/>
  <c r="I1321" i="20"/>
  <c r="I1322" i="20"/>
  <c r="I1323" i="20"/>
  <c r="I1324" i="20"/>
  <c r="I1325" i="20"/>
  <c r="I1326" i="20"/>
  <c r="I1327" i="20"/>
  <c r="I1328" i="20"/>
  <c r="I1329" i="20"/>
  <c r="I1330" i="20"/>
  <c r="I1331" i="20"/>
  <c r="I1332" i="20"/>
  <c r="I1333" i="20"/>
  <c r="I1334" i="20"/>
  <c r="I1335" i="20"/>
  <c r="I1336" i="20"/>
  <c r="I1337" i="20"/>
  <c r="I1338" i="20"/>
  <c r="I1339" i="20"/>
  <c r="I1340" i="20"/>
  <c r="I1341" i="20"/>
  <c r="I1342" i="20"/>
  <c r="I1343" i="20"/>
  <c r="I1344" i="20"/>
  <c r="I1345" i="20"/>
  <c r="I1346" i="20"/>
  <c r="I1347" i="20"/>
  <c r="I1348" i="20"/>
  <c r="I1349" i="20"/>
  <c r="I1350" i="20"/>
  <c r="I1351" i="20"/>
  <c r="I1352" i="20"/>
  <c r="I1353" i="20"/>
  <c r="I1354" i="20"/>
  <c r="I1355" i="20"/>
  <c r="I1356" i="20"/>
  <c r="I1357" i="20"/>
  <c r="I1358" i="20"/>
  <c r="I1359" i="20"/>
  <c r="I1360" i="20"/>
  <c r="I1361" i="20"/>
  <c r="I1362" i="20"/>
  <c r="I1363" i="20"/>
  <c r="I1364" i="20"/>
  <c r="I1365" i="20"/>
  <c r="I1366" i="20"/>
  <c r="I1367" i="20"/>
  <c r="I1368" i="20"/>
  <c r="I1369" i="20"/>
  <c r="I1370" i="20"/>
  <c r="I1371" i="20"/>
  <c r="I1372" i="20"/>
  <c r="I1373" i="20"/>
  <c r="I1374" i="20"/>
  <c r="I1375" i="20"/>
  <c r="I1376" i="20"/>
  <c r="I1377" i="20"/>
  <c r="I1378" i="20"/>
  <c r="I1379" i="20"/>
  <c r="I1380" i="20"/>
  <c r="I1381" i="20"/>
  <c r="I1382" i="20"/>
  <c r="I1383" i="20"/>
  <c r="I1384" i="20"/>
  <c r="I1385" i="20"/>
  <c r="I1386" i="20"/>
  <c r="I1387" i="20"/>
  <c r="I1388" i="20"/>
  <c r="I1389" i="20"/>
  <c r="I1390" i="20"/>
  <c r="I1391" i="20"/>
  <c r="I1392" i="20"/>
  <c r="I1393" i="20"/>
  <c r="I1394" i="20"/>
  <c r="I1395" i="20"/>
  <c r="I1396" i="20"/>
  <c r="I1397" i="20"/>
  <c r="I1398" i="20"/>
  <c r="I1399" i="20"/>
  <c r="I1400" i="20"/>
  <c r="I1401" i="20"/>
  <c r="I1402" i="20"/>
  <c r="I1403" i="20"/>
  <c r="I1404" i="20"/>
  <c r="I1405" i="20"/>
  <c r="I1406" i="20"/>
  <c r="I1407" i="20"/>
  <c r="I1408" i="20"/>
  <c r="I1409" i="20"/>
  <c r="I1410" i="20"/>
  <c r="I1411" i="20"/>
  <c r="I1412" i="20"/>
  <c r="I1413" i="20"/>
  <c r="I1414" i="20"/>
  <c r="I1415" i="20"/>
  <c r="I1416" i="20"/>
  <c r="I1417" i="20"/>
  <c r="I1418" i="20"/>
  <c r="I1419" i="20"/>
  <c r="I1420" i="20"/>
  <c r="I1421" i="20"/>
  <c r="I1422" i="20"/>
  <c r="I1423" i="20"/>
  <c r="I1424" i="20"/>
  <c r="I1425" i="20"/>
  <c r="I1426" i="20"/>
  <c r="I1427" i="20"/>
  <c r="I1428" i="20"/>
  <c r="I1429" i="20"/>
  <c r="I1430" i="20"/>
  <c r="I1431" i="20"/>
  <c r="I1432" i="20"/>
  <c r="I1433" i="20"/>
  <c r="I1434" i="20"/>
  <c r="I1435" i="20"/>
  <c r="I1436" i="20"/>
  <c r="I1437" i="20"/>
  <c r="I1438" i="20"/>
  <c r="I1439" i="20"/>
  <c r="I1440" i="20"/>
  <c r="I1441" i="20"/>
  <c r="I1442" i="20"/>
  <c r="I1443" i="20"/>
  <c r="I1444" i="20"/>
  <c r="I1445" i="20"/>
  <c r="I1446" i="20"/>
  <c r="I1447" i="20"/>
  <c r="I1448" i="20"/>
  <c r="I1449" i="20"/>
  <c r="I1450" i="20"/>
  <c r="I1451" i="20"/>
  <c r="I1452" i="20"/>
  <c r="I1453" i="20"/>
  <c r="I1454" i="20"/>
  <c r="I1455" i="20"/>
  <c r="I1456" i="20"/>
  <c r="I1457" i="20"/>
  <c r="I1458" i="20"/>
  <c r="I1459" i="20"/>
  <c r="I1460" i="20"/>
  <c r="I1461" i="20"/>
  <c r="I1462" i="20"/>
  <c r="I1463" i="20"/>
  <c r="I1464" i="20"/>
  <c r="I1465" i="20"/>
  <c r="I1466" i="20"/>
  <c r="I1467" i="20"/>
  <c r="I1468" i="20"/>
  <c r="I1469" i="20"/>
  <c r="I1470" i="20"/>
  <c r="I1471" i="20"/>
  <c r="I1472" i="20"/>
  <c r="I1473" i="20"/>
  <c r="I1474" i="20"/>
  <c r="I1475" i="20"/>
  <c r="I1476" i="20"/>
  <c r="I1477" i="20"/>
  <c r="I1478" i="20"/>
  <c r="I1479" i="20"/>
  <c r="I1480" i="20"/>
  <c r="I1481" i="20"/>
  <c r="I1482" i="20"/>
  <c r="I1483" i="20"/>
  <c r="I1484" i="20"/>
  <c r="I1485" i="20"/>
  <c r="I1486" i="20"/>
  <c r="I1487" i="20"/>
  <c r="I1488" i="20"/>
  <c r="I1489" i="20"/>
  <c r="I1490" i="20"/>
  <c r="I1491" i="20"/>
  <c r="I1492" i="20"/>
  <c r="I1493" i="20"/>
  <c r="I1494" i="20"/>
  <c r="I1495" i="20"/>
  <c r="I1496" i="20"/>
  <c r="I1497" i="20"/>
  <c r="I1498" i="20"/>
  <c r="I1499" i="20"/>
  <c r="I1500" i="20"/>
  <c r="I1501" i="20"/>
  <c r="I1502" i="20"/>
  <c r="I1503" i="20"/>
  <c r="I1504" i="20"/>
  <c r="I1505" i="20"/>
  <c r="I1506" i="20"/>
  <c r="I1507" i="20"/>
  <c r="I1508" i="20"/>
  <c r="I1509" i="20"/>
  <c r="I1510" i="20"/>
  <c r="I1511" i="20"/>
  <c r="I1512" i="20"/>
  <c r="I1513" i="20"/>
  <c r="I1514" i="20"/>
  <c r="I1515" i="20"/>
  <c r="I1516" i="20"/>
  <c r="I1517" i="20"/>
  <c r="I1518" i="20"/>
  <c r="I1519" i="20"/>
  <c r="I1520" i="20"/>
  <c r="I1521" i="20"/>
  <c r="I1522" i="20"/>
  <c r="I1523" i="20"/>
  <c r="I1524" i="20"/>
  <c r="I1525" i="20"/>
  <c r="I1526" i="20"/>
  <c r="I1527" i="20"/>
  <c r="I1528" i="20"/>
  <c r="I1529" i="20"/>
  <c r="I1530" i="20"/>
  <c r="I1531" i="20"/>
  <c r="I1532" i="20"/>
  <c r="I1533" i="20"/>
  <c r="I1534" i="20"/>
  <c r="I1535" i="20"/>
  <c r="I1536" i="20"/>
  <c r="I1537" i="20"/>
  <c r="I1538" i="20"/>
  <c r="I1539" i="20"/>
  <c r="I1540" i="20"/>
  <c r="I1541" i="20"/>
  <c r="I1542" i="20"/>
  <c r="I1543" i="20"/>
  <c r="I1544" i="20"/>
  <c r="I1545" i="20"/>
  <c r="I1546" i="20"/>
  <c r="I1547" i="20"/>
  <c r="I1548" i="20"/>
  <c r="I1549" i="20"/>
  <c r="I1550" i="20"/>
  <c r="I1551" i="20"/>
  <c r="I1552" i="20"/>
  <c r="I1553" i="20"/>
  <c r="I1554" i="20"/>
  <c r="I1555" i="20"/>
  <c r="I1556" i="20"/>
  <c r="I1557" i="20"/>
  <c r="I1558" i="20"/>
  <c r="I1559" i="20"/>
  <c r="I1560" i="20"/>
  <c r="I1561" i="20"/>
  <c r="I1562" i="20"/>
  <c r="I1563" i="20"/>
  <c r="I1564" i="20"/>
  <c r="I1565" i="20"/>
  <c r="I1566" i="20"/>
  <c r="I1567" i="20"/>
  <c r="I1568" i="20"/>
  <c r="I1569" i="20"/>
  <c r="I1570" i="20"/>
  <c r="I1571" i="20"/>
  <c r="I1572" i="20"/>
  <c r="I1573" i="20"/>
  <c r="I1574" i="20"/>
  <c r="I1575" i="20"/>
  <c r="I1576" i="20"/>
  <c r="I1577" i="20"/>
  <c r="I1578" i="20"/>
  <c r="I1579" i="20"/>
  <c r="I1580" i="20"/>
  <c r="I1581" i="20"/>
  <c r="I1582" i="20"/>
  <c r="I1583" i="20"/>
  <c r="I1584" i="20"/>
  <c r="I1585" i="20"/>
  <c r="I1586" i="20"/>
  <c r="I1587" i="20"/>
  <c r="I1588" i="20"/>
  <c r="I1589" i="20"/>
  <c r="I1590" i="20"/>
  <c r="I1591" i="20"/>
  <c r="I1592" i="20"/>
  <c r="I1593" i="20"/>
  <c r="I1594" i="20"/>
  <c r="I1595" i="20"/>
  <c r="I1596" i="20"/>
  <c r="I1597" i="20"/>
  <c r="I1598" i="20"/>
  <c r="I1599" i="20"/>
  <c r="I1600" i="20"/>
  <c r="I1601" i="20"/>
  <c r="I1602" i="20"/>
  <c r="I1603" i="20"/>
  <c r="I1604" i="20"/>
  <c r="I1605" i="20"/>
  <c r="I1606" i="20"/>
  <c r="I1607" i="20"/>
  <c r="I1608" i="20"/>
  <c r="I1609" i="20"/>
  <c r="I1610" i="20"/>
  <c r="I1611" i="20"/>
  <c r="I1612" i="20"/>
  <c r="I1613" i="20"/>
  <c r="I1614" i="20"/>
  <c r="I1615" i="20"/>
  <c r="I1616" i="20"/>
  <c r="I1617" i="20"/>
  <c r="I1618" i="20"/>
  <c r="I1619" i="20"/>
  <c r="I1620" i="20"/>
  <c r="I1621" i="20"/>
  <c r="I1622" i="20"/>
  <c r="I1623" i="20"/>
  <c r="I1624" i="20"/>
  <c r="I1625" i="20"/>
  <c r="I1626" i="20"/>
  <c r="I1627" i="20"/>
  <c r="I1628" i="20"/>
  <c r="I1629" i="20"/>
  <c r="I1630" i="20"/>
  <c r="I1631" i="20"/>
  <c r="I1632" i="20"/>
  <c r="I1633" i="20"/>
  <c r="I1634" i="20"/>
  <c r="I1635" i="20"/>
  <c r="I1636" i="20"/>
  <c r="I1637" i="20"/>
  <c r="I1638" i="20"/>
  <c r="I1639" i="20"/>
  <c r="I1640" i="20"/>
  <c r="I1641" i="20"/>
  <c r="I1642" i="20"/>
  <c r="I1643" i="20"/>
  <c r="I1644" i="20"/>
  <c r="I1645" i="20"/>
  <c r="I1646" i="20"/>
  <c r="I1647" i="20"/>
  <c r="I1648" i="20"/>
  <c r="I1649" i="20"/>
  <c r="I1650" i="20"/>
  <c r="I1651" i="20"/>
  <c r="I1652" i="20"/>
  <c r="I1653" i="20"/>
  <c r="I1654" i="20"/>
  <c r="I1655" i="20"/>
  <c r="I1656" i="20"/>
  <c r="I1657" i="20"/>
  <c r="I1658" i="20"/>
  <c r="I1659" i="20"/>
  <c r="I1660" i="20"/>
  <c r="I1661" i="20"/>
  <c r="I1662" i="20"/>
  <c r="I1663" i="20"/>
  <c r="I1664" i="20"/>
  <c r="I1665" i="20"/>
  <c r="I1666" i="20"/>
  <c r="I1667" i="20"/>
  <c r="I1668" i="20"/>
  <c r="I1669" i="20"/>
  <c r="I1670" i="20"/>
  <c r="I1671" i="20"/>
  <c r="I1672" i="20"/>
  <c r="I1673" i="20"/>
  <c r="I1674" i="20"/>
  <c r="I1675" i="20"/>
  <c r="I1676" i="20"/>
  <c r="I1677" i="20"/>
  <c r="I1678" i="20"/>
  <c r="I1679" i="20"/>
  <c r="I1680" i="20"/>
  <c r="I1681" i="20"/>
  <c r="I1682" i="20"/>
  <c r="I1683" i="20"/>
  <c r="I1684" i="20"/>
  <c r="I1685" i="20"/>
  <c r="I1686" i="20"/>
  <c r="I1687" i="20"/>
  <c r="I1688" i="20"/>
  <c r="I1689" i="20"/>
  <c r="I1690" i="20"/>
  <c r="I1691" i="20"/>
  <c r="I1692" i="20"/>
  <c r="I1693" i="20"/>
  <c r="I1694" i="20"/>
  <c r="I1695" i="20"/>
  <c r="I1696" i="20"/>
  <c r="I1697" i="20"/>
  <c r="I1698" i="20"/>
  <c r="I1699" i="20"/>
  <c r="I1700" i="20"/>
  <c r="I1701" i="20"/>
  <c r="I1702" i="20"/>
  <c r="I1703" i="20"/>
  <c r="I1704" i="20"/>
  <c r="I1705" i="20"/>
  <c r="I1706" i="20"/>
  <c r="I1707" i="20"/>
  <c r="I1708" i="20"/>
  <c r="I1709" i="20"/>
  <c r="I1710" i="20"/>
  <c r="I1711" i="20"/>
  <c r="I1712" i="20"/>
  <c r="I1713" i="20"/>
  <c r="I1714" i="20"/>
  <c r="I1715" i="20"/>
  <c r="I1716" i="20"/>
  <c r="I1717" i="20"/>
  <c r="I1718" i="20"/>
  <c r="I1719" i="20"/>
  <c r="I1720" i="20"/>
  <c r="I1721" i="20"/>
  <c r="I1722" i="20"/>
  <c r="I1723" i="20"/>
  <c r="I1724" i="20"/>
  <c r="I1725" i="20"/>
  <c r="I1726" i="20"/>
  <c r="I1727" i="20"/>
  <c r="I1728" i="20"/>
  <c r="I1729" i="20"/>
  <c r="I1730" i="20"/>
  <c r="I1731" i="20"/>
  <c r="I1732" i="20"/>
  <c r="I1733" i="20"/>
  <c r="I1734" i="20"/>
  <c r="I1735" i="20"/>
  <c r="I1736" i="20"/>
  <c r="I1737" i="20"/>
  <c r="I1738" i="20"/>
  <c r="I1739" i="20"/>
  <c r="I1740" i="20"/>
  <c r="I1741" i="20"/>
  <c r="I1742" i="20"/>
  <c r="I1743" i="20"/>
  <c r="I1744" i="20"/>
  <c r="I1745" i="20"/>
  <c r="I1746" i="20"/>
  <c r="I1747" i="20"/>
  <c r="I1748" i="20"/>
  <c r="I1749" i="20"/>
  <c r="I1750" i="20"/>
  <c r="I1751" i="20"/>
  <c r="I1752" i="20"/>
  <c r="I1753" i="20"/>
  <c r="I1754" i="20"/>
  <c r="I1755" i="20"/>
  <c r="I1756" i="20"/>
  <c r="I1757" i="20"/>
  <c r="I1758" i="20"/>
  <c r="I1759" i="20"/>
  <c r="I1760" i="20"/>
  <c r="I1761" i="20"/>
  <c r="I1762" i="20"/>
  <c r="I1763" i="20"/>
  <c r="I1764" i="20"/>
  <c r="I1765" i="20"/>
  <c r="I1766" i="20"/>
  <c r="I1767" i="20"/>
  <c r="I1768" i="20"/>
  <c r="I1769" i="20"/>
  <c r="I1770" i="20"/>
  <c r="I1771" i="20"/>
  <c r="I1772" i="20"/>
  <c r="I1773" i="20"/>
  <c r="I1774" i="20"/>
  <c r="I1775" i="20"/>
  <c r="I1776" i="20"/>
  <c r="I1777" i="20"/>
  <c r="I1778" i="20"/>
  <c r="I1779" i="20"/>
  <c r="I1780" i="20"/>
  <c r="I1781" i="20"/>
  <c r="I1782" i="20"/>
  <c r="I1783" i="20"/>
  <c r="I1784" i="20"/>
  <c r="I1785" i="20"/>
  <c r="I1786" i="20"/>
  <c r="I1787" i="20"/>
  <c r="I1788" i="20"/>
  <c r="I1789" i="20"/>
  <c r="I1790" i="20"/>
  <c r="I1791" i="20"/>
  <c r="I1792" i="20"/>
  <c r="I1793" i="20"/>
  <c r="I1794" i="20"/>
  <c r="I1795" i="20"/>
  <c r="I1796" i="20"/>
  <c r="I1797" i="20"/>
  <c r="I1798" i="20"/>
  <c r="I1799" i="20"/>
  <c r="I1800" i="20"/>
  <c r="I1801" i="20"/>
  <c r="I1802" i="20"/>
  <c r="I1803" i="20"/>
  <c r="I1804" i="20"/>
  <c r="I1805" i="20"/>
  <c r="I1806" i="20"/>
  <c r="I1807" i="20"/>
  <c r="I1808" i="20"/>
  <c r="I1809" i="20"/>
  <c r="I1810" i="20"/>
  <c r="I1811" i="20"/>
  <c r="I1812" i="20"/>
  <c r="I1813" i="20"/>
  <c r="I1814" i="20"/>
  <c r="I1815" i="20"/>
  <c r="I1816" i="20"/>
  <c r="I1817" i="20"/>
  <c r="I1818" i="20"/>
  <c r="I1819" i="20"/>
  <c r="I1820" i="20"/>
  <c r="I1821" i="20"/>
  <c r="I1822" i="20"/>
  <c r="I1823" i="20"/>
  <c r="I1824" i="20"/>
  <c r="I1825" i="20"/>
  <c r="I1826" i="20"/>
  <c r="I1827" i="20"/>
  <c r="I1828" i="20"/>
  <c r="I1829" i="20"/>
  <c r="I1830" i="20"/>
  <c r="I1831" i="20"/>
  <c r="I1832" i="20"/>
  <c r="I1833" i="20"/>
  <c r="I1834" i="20"/>
  <c r="I1835" i="20"/>
  <c r="I1836" i="20"/>
  <c r="I1837" i="20"/>
  <c r="I1838" i="20"/>
  <c r="I1839" i="20"/>
  <c r="I1840" i="20"/>
  <c r="I1841" i="20"/>
  <c r="I1842" i="20"/>
  <c r="I1843" i="20"/>
  <c r="I1844" i="20"/>
  <c r="I1845" i="20"/>
  <c r="I1846" i="20"/>
  <c r="I1847" i="20"/>
  <c r="I1848" i="20"/>
  <c r="I1849" i="20"/>
  <c r="I1850" i="20"/>
  <c r="I1851" i="20"/>
  <c r="I1852" i="20"/>
  <c r="I1853" i="20"/>
  <c r="I1854" i="20"/>
  <c r="I1855" i="20"/>
  <c r="I1856" i="20"/>
  <c r="I1857" i="20"/>
  <c r="I1858" i="20"/>
  <c r="I1859" i="20"/>
  <c r="I1860" i="20"/>
  <c r="I1861" i="20"/>
  <c r="I1862" i="20"/>
  <c r="I1863" i="20"/>
  <c r="I1864" i="20"/>
  <c r="I1865" i="20"/>
  <c r="I1866" i="20"/>
  <c r="I1867" i="20"/>
  <c r="I1868" i="20"/>
  <c r="I1869" i="20"/>
  <c r="I1870" i="20"/>
  <c r="I1871" i="20"/>
  <c r="I1872" i="20"/>
  <c r="I1873" i="20"/>
  <c r="I1874" i="20"/>
  <c r="I1875" i="20"/>
  <c r="I1876" i="20"/>
  <c r="I1877" i="20"/>
  <c r="I1878" i="20"/>
  <c r="I1879" i="20"/>
  <c r="I1880" i="20"/>
  <c r="I1881" i="20"/>
  <c r="I1882" i="20"/>
  <c r="I1883" i="20"/>
  <c r="I1884" i="20"/>
  <c r="I1885" i="20"/>
  <c r="I1886" i="20"/>
  <c r="I1887" i="20"/>
  <c r="I1888" i="20"/>
  <c r="I1889" i="20"/>
  <c r="I1890" i="20"/>
  <c r="I1891" i="20"/>
  <c r="I1892" i="20"/>
  <c r="I1893" i="20"/>
  <c r="I1894" i="20"/>
  <c r="I1895" i="20"/>
  <c r="I1896" i="20"/>
  <c r="I1897" i="20"/>
  <c r="I1898" i="20"/>
  <c r="I1899" i="20"/>
  <c r="I1900" i="20"/>
  <c r="I1901" i="20"/>
  <c r="I1902" i="20"/>
  <c r="I1903" i="20"/>
  <c r="I1904" i="20"/>
  <c r="I1905" i="20"/>
  <c r="I1906" i="20"/>
  <c r="I1907" i="20"/>
  <c r="I1908" i="20"/>
  <c r="I1909" i="20"/>
  <c r="I1910" i="20"/>
  <c r="I1911" i="20"/>
  <c r="I1912" i="20"/>
  <c r="I1913" i="20"/>
  <c r="I1914" i="20"/>
  <c r="I1915" i="20"/>
  <c r="I1916" i="20"/>
  <c r="I1917" i="20"/>
  <c r="I1918" i="20"/>
  <c r="I1919" i="20"/>
  <c r="I1920" i="20"/>
  <c r="I1921" i="20"/>
  <c r="I1922" i="20"/>
  <c r="I1923" i="20"/>
  <c r="I1924" i="20"/>
  <c r="I1925" i="20"/>
  <c r="I1926" i="20"/>
  <c r="I1927" i="20"/>
  <c r="I1928" i="20"/>
  <c r="I1929" i="20"/>
  <c r="I1930" i="20"/>
  <c r="I1931" i="20"/>
  <c r="I1932" i="20"/>
  <c r="I1933" i="20"/>
  <c r="I1934" i="20"/>
  <c r="I1935" i="20"/>
  <c r="I1936" i="20"/>
  <c r="I1937" i="20"/>
  <c r="I1938" i="20"/>
  <c r="I1939" i="20"/>
  <c r="I1940" i="20"/>
  <c r="I1941" i="20"/>
  <c r="I1942" i="20"/>
  <c r="I1943" i="20"/>
  <c r="I1944" i="20"/>
  <c r="I1945" i="20"/>
  <c r="I1946" i="20"/>
  <c r="I1947" i="20"/>
  <c r="I1948" i="20"/>
  <c r="I1949" i="20"/>
  <c r="I1950" i="20"/>
  <c r="I1951" i="20"/>
  <c r="I1952" i="20"/>
  <c r="I1953" i="20"/>
  <c r="I1954" i="20"/>
  <c r="I1955" i="20"/>
  <c r="I1956" i="20"/>
  <c r="I1957" i="20"/>
  <c r="I1958" i="20"/>
  <c r="I1959" i="20"/>
  <c r="I1960" i="20"/>
  <c r="I1961" i="20"/>
  <c r="I1962" i="20"/>
  <c r="I1963" i="20"/>
  <c r="I1964" i="20"/>
  <c r="I1965" i="20"/>
  <c r="I1966" i="20"/>
  <c r="I1967" i="20"/>
  <c r="I1968" i="20"/>
  <c r="I1969" i="20"/>
  <c r="I1970" i="20"/>
  <c r="I1971" i="20"/>
  <c r="I1972" i="20"/>
  <c r="I1973" i="20"/>
  <c r="I1974" i="20"/>
  <c r="I1975" i="20"/>
  <c r="I1976" i="20"/>
  <c r="I1977" i="20"/>
  <c r="I1978" i="20"/>
  <c r="I1979" i="20"/>
  <c r="I1980" i="20"/>
  <c r="I1981" i="20"/>
  <c r="I1982" i="20"/>
  <c r="I1983" i="20"/>
  <c r="I1984" i="20"/>
  <c r="I1985" i="20"/>
  <c r="I1986" i="20"/>
  <c r="I1987" i="20"/>
  <c r="I1988" i="20"/>
  <c r="I1989" i="20"/>
  <c r="I1990" i="20"/>
  <c r="I1991" i="20"/>
  <c r="I1992" i="20"/>
  <c r="I1993" i="20"/>
  <c r="I1994" i="20"/>
  <c r="I1995" i="20"/>
  <c r="I1996" i="20"/>
  <c r="I1997" i="20"/>
  <c r="I1998" i="20"/>
  <c r="I1999" i="20"/>
  <c r="I2000" i="20"/>
  <c r="I2001" i="20"/>
  <c r="I2002" i="20"/>
  <c r="I2003" i="20"/>
  <c r="I2004" i="20"/>
  <c r="I2005" i="20"/>
  <c r="I2006" i="20"/>
  <c r="I2007" i="20"/>
  <c r="I2008" i="20"/>
  <c r="I2009" i="20"/>
  <c r="I2010" i="20"/>
  <c r="I2011" i="20"/>
  <c r="I2012" i="20"/>
  <c r="I2013" i="20"/>
  <c r="I2014" i="20"/>
  <c r="I2015" i="20"/>
  <c r="I2016" i="20"/>
  <c r="I2017" i="20"/>
  <c r="I2018" i="20"/>
  <c r="I2019" i="20"/>
  <c r="I2020" i="20"/>
  <c r="I2021" i="20"/>
  <c r="I2022" i="20"/>
  <c r="I2023" i="20"/>
  <c r="I2024" i="20"/>
  <c r="I2025" i="20"/>
  <c r="I2026" i="20"/>
  <c r="I2027" i="20"/>
  <c r="I2028" i="20"/>
  <c r="I2029" i="20"/>
  <c r="I2030" i="20"/>
  <c r="I2031" i="20"/>
  <c r="I2032" i="20"/>
  <c r="I2033" i="20"/>
  <c r="I2034" i="20"/>
  <c r="I2035" i="20"/>
  <c r="I2036" i="20"/>
  <c r="I2037" i="20"/>
  <c r="I2038" i="20"/>
  <c r="I2039" i="20"/>
  <c r="I2040" i="20"/>
  <c r="I2041" i="20"/>
  <c r="I2042" i="20"/>
  <c r="I2043" i="20"/>
  <c r="I2044" i="20"/>
  <c r="I2045" i="20"/>
  <c r="I2046" i="20"/>
  <c r="I2047" i="20"/>
  <c r="I2048" i="20"/>
  <c r="I2049" i="20"/>
  <c r="I2050" i="20"/>
  <c r="I2051" i="20"/>
  <c r="I2052" i="20"/>
  <c r="I2053" i="20"/>
  <c r="I2054" i="20"/>
  <c r="I2055" i="20"/>
  <c r="I2056" i="20"/>
  <c r="I2057" i="20"/>
  <c r="I2058" i="20"/>
  <c r="I2059" i="20"/>
  <c r="I2060" i="20"/>
  <c r="I2061" i="20"/>
  <c r="I2062" i="20"/>
  <c r="I2063" i="20"/>
  <c r="I2064" i="20"/>
  <c r="I2065" i="20"/>
  <c r="I2066" i="20"/>
  <c r="I2067" i="20"/>
  <c r="I2068" i="20"/>
  <c r="I2069" i="20"/>
  <c r="I2070" i="20"/>
  <c r="I2071" i="20"/>
  <c r="I2072" i="20"/>
  <c r="I2073" i="20"/>
  <c r="I2074" i="20"/>
  <c r="I2075" i="20"/>
  <c r="I2076" i="20"/>
  <c r="I2077" i="20"/>
  <c r="I2078" i="20"/>
  <c r="I2079" i="20"/>
  <c r="I2080" i="20"/>
  <c r="I2081" i="20"/>
  <c r="I2082" i="20"/>
  <c r="I2083" i="20"/>
  <c r="I2084" i="20"/>
  <c r="I2085" i="20"/>
  <c r="I2086" i="20"/>
  <c r="I2087" i="20"/>
  <c r="I2088" i="20"/>
  <c r="I2089" i="20"/>
  <c r="I2090" i="20"/>
  <c r="I2091" i="20"/>
  <c r="I2092" i="20"/>
  <c r="I2093" i="20"/>
  <c r="I2094" i="20"/>
  <c r="I2095" i="20"/>
  <c r="I2096" i="20"/>
  <c r="I2097" i="20"/>
  <c r="I2098" i="20"/>
  <c r="I2099" i="20"/>
  <c r="I2100" i="20"/>
  <c r="I2101" i="20"/>
  <c r="I2102" i="20"/>
  <c r="I2103" i="20"/>
  <c r="I2104" i="20"/>
  <c r="I2105" i="20"/>
  <c r="I2106" i="20"/>
  <c r="I2107" i="20"/>
  <c r="I2108" i="20"/>
  <c r="I2109" i="20"/>
  <c r="I2110" i="20"/>
  <c r="I2111" i="20"/>
  <c r="I2112" i="20"/>
  <c r="I2113" i="20"/>
  <c r="I2114" i="20"/>
  <c r="I2115" i="20"/>
  <c r="I2116" i="20"/>
  <c r="I2117" i="20"/>
  <c r="I2118" i="20"/>
  <c r="I2119" i="20"/>
  <c r="I2120" i="20"/>
  <c r="I2121" i="20"/>
  <c r="I2122" i="20"/>
  <c r="I2123" i="20"/>
  <c r="I2124" i="20"/>
  <c r="I2125" i="20"/>
  <c r="I2126" i="20"/>
  <c r="I2127" i="20"/>
  <c r="I2128" i="20"/>
  <c r="I2129" i="20"/>
  <c r="I2130" i="20"/>
  <c r="I2131" i="20"/>
  <c r="I2132" i="20"/>
  <c r="I2133" i="20"/>
  <c r="I2134" i="20"/>
  <c r="I2135" i="20"/>
  <c r="I2136" i="20"/>
  <c r="I2137" i="20"/>
  <c r="I2138" i="20"/>
  <c r="I2139" i="20"/>
  <c r="I2140" i="20"/>
  <c r="I2141" i="20"/>
  <c r="I2142" i="20"/>
  <c r="I2143" i="20"/>
  <c r="I2144" i="20"/>
  <c r="I2145" i="20"/>
  <c r="I2146" i="20"/>
  <c r="I2147" i="20"/>
  <c r="I2148" i="20"/>
  <c r="I2149" i="20"/>
  <c r="I2150" i="20"/>
  <c r="I2151" i="20"/>
  <c r="I2152" i="20"/>
  <c r="I2153" i="20"/>
  <c r="I2154" i="20"/>
  <c r="I2155" i="20"/>
  <c r="I2156" i="20"/>
  <c r="I2157" i="20"/>
  <c r="I2158" i="20"/>
  <c r="I2159" i="20"/>
  <c r="I2160" i="20"/>
  <c r="I2161" i="20"/>
  <c r="I2162" i="20"/>
  <c r="I2163" i="20"/>
  <c r="I2164" i="20"/>
  <c r="I2165" i="20"/>
  <c r="I2166" i="20"/>
  <c r="I2167" i="20"/>
  <c r="I2168" i="20"/>
  <c r="I2169" i="20"/>
  <c r="I2170" i="20"/>
  <c r="I2171" i="20"/>
  <c r="I2172" i="20"/>
  <c r="I2173" i="20"/>
  <c r="I2174" i="20"/>
  <c r="I2175" i="20"/>
  <c r="I2176" i="20"/>
  <c r="I2177" i="20"/>
  <c r="I2178" i="20"/>
  <c r="I2179" i="20"/>
  <c r="I2180" i="20"/>
  <c r="I2181" i="20"/>
  <c r="I2182" i="20"/>
  <c r="I2183" i="20"/>
  <c r="I2184" i="20"/>
  <c r="I2185" i="20"/>
  <c r="I2186" i="20"/>
  <c r="I2187" i="20"/>
  <c r="I2188" i="20"/>
  <c r="I2189" i="20"/>
  <c r="I2190" i="20"/>
  <c r="I2191" i="20"/>
  <c r="I2192" i="20"/>
  <c r="I2193" i="20"/>
  <c r="I2194" i="20"/>
  <c r="I2195" i="20"/>
  <c r="I2196" i="20"/>
  <c r="I2197" i="20"/>
  <c r="I2198" i="20"/>
  <c r="I2199" i="20"/>
  <c r="I2200" i="20"/>
  <c r="I2201" i="20"/>
  <c r="I2202" i="20"/>
  <c r="I2203" i="20"/>
  <c r="I2204" i="20"/>
  <c r="I2205" i="20"/>
  <c r="I2206" i="20"/>
  <c r="I2207" i="20"/>
  <c r="I2208" i="20"/>
  <c r="I2209" i="20"/>
  <c r="I2210" i="20"/>
  <c r="I2211" i="20"/>
  <c r="I2212" i="20"/>
  <c r="I2213" i="20"/>
  <c r="I2214" i="20"/>
  <c r="I2215" i="20"/>
  <c r="I2216" i="20"/>
  <c r="I2217" i="20"/>
  <c r="I2218" i="20"/>
  <c r="I2219" i="20"/>
  <c r="I2220" i="20"/>
  <c r="I2221" i="20"/>
  <c r="I2222" i="20"/>
  <c r="I2223" i="20"/>
  <c r="I2224" i="20"/>
  <c r="I2225" i="20"/>
  <c r="I2226" i="20"/>
  <c r="I2227" i="20"/>
  <c r="I2228" i="20"/>
  <c r="I2229" i="20"/>
  <c r="I2230" i="20"/>
  <c r="I2231" i="20"/>
  <c r="I2232" i="20"/>
  <c r="I2233" i="20"/>
  <c r="I2234" i="20"/>
  <c r="I2235" i="20"/>
  <c r="I2236" i="20"/>
  <c r="I2237" i="20"/>
  <c r="I2238" i="20"/>
  <c r="I2239" i="20"/>
  <c r="I2240" i="20"/>
  <c r="I2241" i="20"/>
  <c r="I2242" i="20"/>
  <c r="I2243" i="20"/>
  <c r="I2244" i="20"/>
  <c r="I2245" i="20"/>
  <c r="I2246" i="20"/>
  <c r="I2247" i="20"/>
  <c r="I2248" i="20"/>
  <c r="I2249" i="20"/>
  <c r="I2250" i="20"/>
  <c r="I2251" i="20"/>
  <c r="I2252" i="20"/>
  <c r="I2253" i="20"/>
  <c r="I2254" i="20"/>
  <c r="I2255" i="20"/>
  <c r="I2256" i="20"/>
  <c r="I2257" i="20"/>
  <c r="I2258" i="20"/>
  <c r="I2259" i="20"/>
  <c r="I2260" i="20"/>
  <c r="I2261" i="20"/>
  <c r="I2262" i="20"/>
  <c r="I2263" i="20"/>
  <c r="I2264" i="20"/>
  <c r="I2265" i="20"/>
  <c r="I2266" i="20"/>
  <c r="I2267" i="20"/>
  <c r="I2268" i="20"/>
  <c r="I2269" i="20"/>
  <c r="I2270" i="20"/>
  <c r="I2271" i="20"/>
  <c r="I2272" i="20"/>
  <c r="I2273" i="20"/>
  <c r="I2274" i="20"/>
  <c r="I2275" i="20"/>
  <c r="I2276" i="20"/>
  <c r="I2277" i="20"/>
  <c r="I2278" i="20"/>
  <c r="I2279" i="20"/>
  <c r="I2280" i="20"/>
  <c r="I2281" i="20"/>
  <c r="I2282" i="20"/>
  <c r="I2283" i="20"/>
  <c r="I2284" i="20"/>
  <c r="I2285" i="20"/>
  <c r="I2286" i="20"/>
  <c r="I2287" i="20"/>
  <c r="I2288" i="20"/>
  <c r="I2289" i="20"/>
  <c r="I2290" i="20"/>
  <c r="I2291" i="20"/>
  <c r="I2292" i="20"/>
  <c r="I2293" i="20"/>
  <c r="I2294" i="20"/>
  <c r="I2295" i="20"/>
  <c r="I2296" i="20"/>
  <c r="I2297" i="20"/>
  <c r="I2298" i="20"/>
  <c r="I2299" i="20"/>
  <c r="I2300" i="20"/>
  <c r="I2301" i="20"/>
  <c r="I2302" i="20"/>
  <c r="I2303" i="20"/>
  <c r="I2304" i="20"/>
  <c r="I2305" i="20"/>
  <c r="I2306" i="20"/>
  <c r="I2307" i="20"/>
  <c r="I2308" i="20"/>
  <c r="I2309" i="20"/>
  <c r="I2310" i="20"/>
  <c r="I2311" i="20"/>
  <c r="I2312" i="20"/>
  <c r="I2313" i="20"/>
  <c r="I2314" i="20"/>
  <c r="I2315" i="20"/>
  <c r="I2316" i="20"/>
  <c r="I2317" i="20"/>
  <c r="I2318" i="20"/>
  <c r="I2319" i="20"/>
  <c r="I2320" i="20"/>
  <c r="I2321" i="20"/>
  <c r="I2322" i="20"/>
  <c r="I2323" i="20"/>
  <c r="I2324" i="20"/>
  <c r="I2325" i="20"/>
  <c r="I2326" i="20"/>
  <c r="I2327" i="20"/>
  <c r="I2328" i="20"/>
  <c r="I2329" i="20"/>
  <c r="I2330" i="20"/>
  <c r="I2331" i="20"/>
  <c r="I2332" i="20"/>
  <c r="I2333" i="20"/>
  <c r="I2334" i="20"/>
  <c r="I2335" i="20"/>
  <c r="I2336" i="20"/>
  <c r="I2337" i="20"/>
  <c r="I2338" i="20"/>
  <c r="I2339" i="20"/>
  <c r="I2340" i="20"/>
  <c r="I2341" i="20"/>
  <c r="I2342" i="20"/>
  <c r="I2343" i="20"/>
  <c r="I2344" i="20"/>
  <c r="I2345" i="20"/>
  <c r="I2346" i="20"/>
  <c r="I2347" i="20"/>
  <c r="I2348" i="20"/>
  <c r="I2349" i="20"/>
  <c r="I2350" i="20"/>
  <c r="I2351" i="20"/>
  <c r="I2352" i="20"/>
  <c r="I2353" i="20"/>
  <c r="I2354" i="20"/>
  <c r="I2355" i="20"/>
  <c r="I2356" i="20"/>
  <c r="I2357" i="20"/>
  <c r="I2358" i="20"/>
  <c r="I2359" i="20"/>
  <c r="I2360" i="20"/>
  <c r="I2361" i="20"/>
  <c r="I2362" i="20"/>
  <c r="I2363" i="20"/>
  <c r="I2364" i="20"/>
  <c r="I2365" i="20"/>
  <c r="I2366" i="20"/>
  <c r="I2367" i="20"/>
  <c r="I2368" i="20"/>
  <c r="I2369" i="20"/>
  <c r="I2370" i="20"/>
  <c r="I2371" i="20"/>
  <c r="I2372" i="20"/>
  <c r="I2373" i="20"/>
  <c r="I2374" i="20"/>
  <c r="I2375" i="20"/>
  <c r="I2376" i="20"/>
  <c r="I2377" i="20"/>
  <c r="I2378" i="20"/>
  <c r="I2379" i="20"/>
  <c r="I2380" i="20"/>
  <c r="I2381" i="20"/>
  <c r="I2382" i="20"/>
  <c r="I2383" i="20"/>
  <c r="I2384" i="20"/>
  <c r="I2385" i="20"/>
  <c r="I2386" i="20"/>
  <c r="I2387" i="20"/>
  <c r="I2388" i="20"/>
  <c r="I2389" i="20"/>
  <c r="I2390" i="20"/>
  <c r="I2391" i="20"/>
  <c r="I2392" i="20"/>
  <c r="I2393" i="20"/>
  <c r="I2394" i="20"/>
  <c r="I2395" i="20"/>
  <c r="I2396" i="20"/>
  <c r="I2397" i="20"/>
  <c r="I2398" i="20"/>
  <c r="I2399" i="20"/>
  <c r="I2400" i="20"/>
  <c r="I2401" i="20"/>
  <c r="I2402" i="20"/>
  <c r="I2403" i="20"/>
  <c r="I2404" i="20"/>
  <c r="I2405" i="20"/>
  <c r="I2406" i="20"/>
  <c r="I2407" i="20"/>
  <c r="I2408" i="20"/>
  <c r="I2409" i="20"/>
  <c r="I2410" i="20"/>
  <c r="I2411" i="20"/>
  <c r="I2412" i="20"/>
  <c r="I2413" i="20"/>
  <c r="I2414" i="20"/>
  <c r="I2415" i="20"/>
  <c r="I2416" i="20"/>
  <c r="I2417" i="20"/>
  <c r="I2418" i="20"/>
  <c r="I2419" i="20"/>
  <c r="I2420" i="20"/>
  <c r="I2421" i="20"/>
  <c r="I2422" i="20"/>
  <c r="I2423" i="20"/>
  <c r="I2424" i="20"/>
  <c r="I2425" i="20"/>
  <c r="I2426" i="20"/>
  <c r="I2427" i="20"/>
  <c r="I2428" i="20"/>
  <c r="I2429" i="20"/>
  <c r="I2430" i="20"/>
  <c r="I2431" i="20"/>
  <c r="I2432" i="20"/>
  <c r="I2433" i="20"/>
  <c r="I2434" i="20"/>
  <c r="I2435" i="20"/>
  <c r="I2436" i="20"/>
  <c r="I2437" i="20"/>
  <c r="I2438" i="20"/>
  <c r="I2439" i="20"/>
  <c r="I2440" i="20"/>
  <c r="I2441" i="20"/>
  <c r="I2442" i="20"/>
  <c r="I2443" i="20"/>
  <c r="I2444" i="20"/>
  <c r="I2445" i="20"/>
  <c r="I2446" i="20"/>
  <c r="I2447" i="20"/>
  <c r="I2448" i="20"/>
  <c r="I2449" i="20"/>
  <c r="I2450" i="20"/>
  <c r="I2451" i="20"/>
  <c r="I2452" i="20"/>
  <c r="I2453" i="20"/>
  <c r="I2454" i="20"/>
  <c r="I2455" i="20"/>
  <c r="I2456" i="20"/>
  <c r="I2457" i="20"/>
  <c r="I2458" i="20"/>
  <c r="I2459" i="20"/>
  <c r="I2460" i="20"/>
  <c r="I2461" i="20"/>
  <c r="I2462" i="20"/>
  <c r="I2463" i="20"/>
  <c r="I2464" i="20"/>
  <c r="I2465" i="20"/>
  <c r="I2466" i="20"/>
  <c r="I2467" i="20"/>
  <c r="I2468" i="20"/>
  <c r="I2469" i="20"/>
  <c r="I2470" i="20"/>
  <c r="I2471" i="20"/>
  <c r="I2472" i="20"/>
  <c r="I2473" i="20"/>
  <c r="I2474" i="20"/>
  <c r="I2475" i="20"/>
  <c r="I2476" i="20"/>
  <c r="I2477" i="20"/>
  <c r="I2478" i="20"/>
  <c r="I2479" i="20"/>
  <c r="I2480" i="20"/>
  <c r="I2481" i="20"/>
  <c r="I2482" i="20"/>
  <c r="I2483" i="20"/>
  <c r="I2484" i="20"/>
  <c r="I2485" i="20"/>
  <c r="I2486" i="20"/>
  <c r="I2487" i="20"/>
  <c r="I2488" i="20"/>
  <c r="I2489" i="20"/>
  <c r="I2490" i="20"/>
  <c r="I2491" i="20"/>
  <c r="I2492" i="20"/>
  <c r="I2493" i="20"/>
  <c r="I2494" i="20"/>
  <c r="I2495" i="20"/>
  <c r="I2496" i="20"/>
  <c r="I2497" i="20"/>
  <c r="I2498" i="20"/>
  <c r="I2499" i="20"/>
  <c r="I2500" i="20"/>
  <c r="I2501" i="20"/>
  <c r="I2502" i="20"/>
  <c r="I2503" i="20"/>
  <c r="I2504" i="20"/>
  <c r="I2505" i="20"/>
  <c r="I2506" i="20"/>
  <c r="I2507" i="20"/>
  <c r="I2508" i="20"/>
  <c r="I2509" i="20"/>
  <c r="I2510" i="20"/>
  <c r="I2511" i="20"/>
  <c r="I2512" i="20"/>
  <c r="I2513" i="20"/>
  <c r="I2514" i="20"/>
  <c r="I2515" i="20"/>
  <c r="I2516" i="20"/>
  <c r="I2517" i="20"/>
  <c r="I2518" i="20"/>
  <c r="I2519" i="20"/>
  <c r="I2520" i="20"/>
  <c r="I2521" i="20"/>
  <c r="I2522" i="20"/>
  <c r="I2523" i="20"/>
  <c r="I2524" i="20"/>
  <c r="I2525" i="20"/>
  <c r="I2526" i="20"/>
  <c r="I2527" i="20"/>
  <c r="I2528" i="20"/>
  <c r="I2529" i="20"/>
  <c r="I2530" i="20"/>
  <c r="I2531" i="20"/>
  <c r="I2532" i="20"/>
  <c r="I2533" i="20"/>
  <c r="I2534" i="20"/>
  <c r="I2535" i="20"/>
  <c r="I2536" i="20"/>
  <c r="I2537" i="20"/>
  <c r="I2538" i="20"/>
  <c r="I2539" i="20"/>
  <c r="I2540" i="20"/>
  <c r="I2541" i="20"/>
  <c r="I2542" i="20"/>
  <c r="I2543" i="20"/>
  <c r="I2544" i="20"/>
  <c r="I2545" i="20"/>
  <c r="I2546" i="20"/>
  <c r="I2547" i="20"/>
  <c r="I2548" i="20"/>
  <c r="I2549" i="20"/>
  <c r="I2550" i="20"/>
  <c r="I2551" i="20"/>
  <c r="I2552" i="20"/>
  <c r="I2553" i="20"/>
  <c r="I2554" i="20"/>
  <c r="I2555" i="20"/>
  <c r="I2556" i="20"/>
  <c r="I2557" i="20"/>
  <c r="I2558" i="20"/>
  <c r="I2559" i="20"/>
  <c r="I2560" i="20"/>
  <c r="I2561" i="20"/>
  <c r="I2562" i="20"/>
  <c r="I2563" i="20"/>
  <c r="I2564" i="20"/>
  <c r="I2565" i="20"/>
  <c r="I2566" i="20"/>
  <c r="I2567" i="20"/>
  <c r="I2568" i="20"/>
  <c r="I2569" i="20"/>
  <c r="I2570" i="20"/>
  <c r="I2571" i="20"/>
  <c r="I2572" i="20"/>
  <c r="I2573" i="20"/>
  <c r="I2574" i="20"/>
  <c r="I2575" i="20"/>
  <c r="I2576" i="20"/>
  <c r="I2577" i="20"/>
  <c r="I2578" i="20"/>
  <c r="I2579" i="20"/>
  <c r="I2580" i="20"/>
  <c r="I2581" i="20"/>
  <c r="I2582" i="20"/>
  <c r="I2583" i="20"/>
  <c r="I2584" i="20"/>
  <c r="I2585" i="20"/>
  <c r="I2586" i="20"/>
  <c r="I2587" i="20"/>
  <c r="I2588" i="20"/>
  <c r="I2589" i="20"/>
  <c r="I2590" i="20"/>
  <c r="I2591" i="20"/>
  <c r="I2592" i="20"/>
  <c r="I2593" i="20"/>
  <c r="I2594" i="20"/>
  <c r="I2595" i="20"/>
  <c r="I2596" i="20"/>
  <c r="I2597" i="20"/>
  <c r="I2598" i="20"/>
  <c r="I2599" i="20"/>
  <c r="I2600" i="20"/>
  <c r="I2601" i="20"/>
  <c r="I2602" i="20"/>
  <c r="I2603" i="20"/>
  <c r="I2604" i="20"/>
  <c r="I2605" i="20"/>
  <c r="I2606" i="20"/>
  <c r="I2607" i="20"/>
  <c r="I2608" i="20"/>
  <c r="I2609" i="20"/>
  <c r="I2610" i="20"/>
  <c r="I2611" i="20"/>
  <c r="I2612" i="20"/>
  <c r="I2613" i="20"/>
  <c r="I2614" i="20"/>
  <c r="I2615" i="20"/>
  <c r="I2616" i="20"/>
  <c r="I2617" i="20"/>
  <c r="I2618" i="20"/>
  <c r="I2619" i="20"/>
  <c r="I2620" i="20"/>
  <c r="I2621" i="20"/>
  <c r="I2622" i="20"/>
  <c r="I2623" i="20"/>
  <c r="I2624" i="20"/>
  <c r="I2625" i="20"/>
  <c r="I2626" i="20"/>
  <c r="I2627" i="20"/>
  <c r="I2628" i="20"/>
  <c r="I2629" i="20"/>
  <c r="I2630" i="20"/>
  <c r="I2631" i="20"/>
  <c r="I2632" i="20"/>
  <c r="I2633" i="20"/>
  <c r="I2634" i="20"/>
  <c r="I2635" i="20"/>
  <c r="I2636" i="20"/>
  <c r="I2637" i="20"/>
  <c r="I2638" i="20"/>
  <c r="I2639" i="20"/>
  <c r="I2640" i="20"/>
  <c r="I2641" i="20"/>
  <c r="I2642" i="20"/>
  <c r="I2643" i="20"/>
  <c r="I2644" i="20"/>
  <c r="I2645" i="20"/>
  <c r="I2646" i="20"/>
  <c r="I2647" i="20"/>
  <c r="I2648" i="20"/>
  <c r="I2649" i="20"/>
  <c r="I2650" i="20"/>
  <c r="I2651" i="20"/>
  <c r="I2652" i="20"/>
  <c r="I2653" i="20"/>
  <c r="I2654" i="20"/>
  <c r="I2655" i="20"/>
  <c r="I2656" i="20"/>
  <c r="I2657" i="20"/>
  <c r="I2658" i="20"/>
  <c r="I2659" i="20"/>
  <c r="I2660" i="20"/>
  <c r="I2661" i="20"/>
  <c r="I2662" i="20"/>
  <c r="I2663" i="20"/>
  <c r="I2664" i="20"/>
  <c r="I2665" i="20"/>
  <c r="I2666" i="20"/>
  <c r="I2667" i="20"/>
  <c r="I2668" i="20"/>
  <c r="I2669" i="20"/>
  <c r="I2670" i="20"/>
  <c r="I2671" i="20"/>
  <c r="I2672" i="20"/>
  <c r="I2673" i="20"/>
  <c r="I2674" i="20"/>
  <c r="I2675" i="20"/>
  <c r="I2676" i="20"/>
  <c r="I2677" i="20"/>
  <c r="I2678" i="20"/>
  <c r="I2679" i="20"/>
  <c r="I2680" i="20"/>
  <c r="I2681" i="20"/>
  <c r="I2682" i="20"/>
  <c r="I2683" i="20"/>
  <c r="I2684" i="20"/>
  <c r="I2685" i="20"/>
  <c r="I2686" i="20"/>
  <c r="I2687" i="20"/>
  <c r="I2688" i="20"/>
  <c r="I2689" i="20"/>
  <c r="I2690" i="20"/>
  <c r="I2691" i="20"/>
  <c r="I2692" i="20"/>
  <c r="I2693" i="20"/>
  <c r="I2694" i="20"/>
  <c r="I2695" i="20"/>
  <c r="I2696" i="20"/>
  <c r="I2697" i="20"/>
  <c r="I2698" i="20"/>
  <c r="I2699" i="20"/>
  <c r="I2700" i="20"/>
  <c r="I2701" i="20"/>
  <c r="I2702" i="20"/>
  <c r="I2703" i="20"/>
  <c r="I2704" i="20"/>
  <c r="I2705" i="20"/>
  <c r="I2706" i="20"/>
  <c r="I2707" i="20"/>
  <c r="I2708" i="20"/>
  <c r="I2709" i="20"/>
  <c r="I2710" i="20"/>
  <c r="I2711" i="20"/>
  <c r="I2712" i="20"/>
  <c r="I2713" i="20"/>
  <c r="I2714" i="20"/>
  <c r="I2715" i="20"/>
  <c r="I2716" i="20"/>
  <c r="I2717" i="20"/>
  <c r="I2718" i="20"/>
  <c r="I2719" i="20"/>
  <c r="I2720" i="20"/>
  <c r="I2721" i="20"/>
  <c r="I2722" i="20"/>
  <c r="I2723" i="20"/>
  <c r="I2724" i="20"/>
  <c r="I2725" i="20"/>
  <c r="I2726" i="20"/>
  <c r="I2727" i="20"/>
  <c r="I2728" i="20"/>
  <c r="I2729" i="20"/>
  <c r="I2730" i="20"/>
  <c r="I2731" i="20"/>
  <c r="I2732" i="20"/>
  <c r="I2733" i="20"/>
  <c r="I2734" i="20"/>
  <c r="I2735" i="20"/>
  <c r="I2736" i="20"/>
  <c r="I2737" i="20"/>
  <c r="I2738" i="20"/>
  <c r="I2739" i="20"/>
  <c r="I2740" i="20"/>
  <c r="I2741" i="20"/>
  <c r="I2742" i="20"/>
  <c r="I2743" i="20"/>
  <c r="I2744" i="20"/>
  <c r="I2745" i="20"/>
  <c r="I2746" i="20"/>
  <c r="I2747" i="20"/>
  <c r="I2748" i="20"/>
  <c r="I2749" i="20"/>
  <c r="I2750" i="20"/>
  <c r="I2751" i="20"/>
  <c r="I2752" i="20"/>
  <c r="I2753" i="20"/>
  <c r="I2754" i="20"/>
  <c r="I2755" i="20"/>
  <c r="I2756" i="20"/>
  <c r="I2757" i="20"/>
  <c r="I2758" i="20"/>
  <c r="I2759" i="20"/>
  <c r="I2760" i="20"/>
  <c r="I2761" i="20"/>
  <c r="I2762" i="20"/>
  <c r="I2763" i="20"/>
  <c r="I2764" i="20"/>
  <c r="I2765" i="20"/>
  <c r="I2766" i="20"/>
  <c r="I2767" i="20"/>
  <c r="I2768" i="20"/>
  <c r="I2769" i="20"/>
  <c r="I2770" i="20"/>
  <c r="I2771" i="20"/>
  <c r="I2772" i="20"/>
  <c r="I2773" i="20"/>
  <c r="I2774" i="20"/>
  <c r="I2775" i="20"/>
  <c r="I2776" i="20"/>
  <c r="I2777" i="20"/>
  <c r="I2778" i="20"/>
  <c r="I2779" i="20"/>
  <c r="I2780" i="20"/>
  <c r="I2781" i="20"/>
  <c r="I2782" i="20"/>
  <c r="I2783" i="20"/>
  <c r="I2784" i="20"/>
  <c r="I2785" i="20"/>
  <c r="I2786" i="20"/>
  <c r="I2787" i="20"/>
  <c r="I2788" i="20"/>
  <c r="I2789" i="20"/>
  <c r="I2790" i="20"/>
  <c r="I2791" i="20"/>
  <c r="I2792" i="20"/>
  <c r="I2793" i="20"/>
  <c r="I2794" i="20"/>
  <c r="I2795" i="20"/>
  <c r="I2796" i="20"/>
  <c r="I2797" i="20"/>
  <c r="I2798" i="20"/>
  <c r="I2799" i="20"/>
  <c r="I2800" i="20"/>
  <c r="I2801" i="20"/>
  <c r="I2802" i="20"/>
  <c r="I2803" i="20"/>
  <c r="I2804" i="20"/>
  <c r="I2805" i="20"/>
  <c r="I2806" i="20"/>
  <c r="I2807" i="20"/>
  <c r="I2808" i="20"/>
  <c r="I2809" i="20"/>
  <c r="I2810" i="20"/>
  <c r="I2811" i="20"/>
  <c r="I2812" i="20"/>
  <c r="I2813" i="20"/>
  <c r="I2814" i="20"/>
  <c r="I2815" i="20"/>
  <c r="I2816" i="20"/>
  <c r="I2817" i="20"/>
  <c r="I2818" i="20"/>
  <c r="I2819" i="20"/>
  <c r="I2820" i="20"/>
  <c r="I2821" i="20"/>
  <c r="I2822" i="20"/>
  <c r="I2823" i="20"/>
  <c r="I2824" i="20"/>
  <c r="I2825" i="20"/>
  <c r="I2826" i="20"/>
  <c r="I2827" i="20"/>
  <c r="I2828" i="20"/>
  <c r="I2829" i="20"/>
  <c r="I2830" i="20"/>
  <c r="I2831" i="20"/>
  <c r="I2832" i="20"/>
  <c r="I2833" i="20"/>
  <c r="I2834" i="20"/>
  <c r="I2835" i="20"/>
  <c r="I2836" i="20"/>
  <c r="I2837" i="20"/>
  <c r="I2838" i="20"/>
  <c r="I2839" i="20"/>
  <c r="I2840" i="20"/>
  <c r="I2841" i="20"/>
  <c r="I2842" i="20"/>
  <c r="I2843" i="20"/>
  <c r="I2844" i="20"/>
  <c r="I2845" i="20"/>
  <c r="I2846" i="20"/>
  <c r="I2847" i="20"/>
  <c r="I2848" i="20"/>
  <c r="I2849" i="20"/>
  <c r="I2850" i="20"/>
  <c r="I2851" i="20"/>
  <c r="I2852" i="20"/>
  <c r="I2853" i="20"/>
  <c r="I2854" i="20"/>
  <c r="I2855" i="20"/>
  <c r="I2856" i="20"/>
  <c r="I2857" i="20"/>
  <c r="I2858" i="20"/>
  <c r="I2859" i="20"/>
  <c r="I2860" i="20"/>
  <c r="I2861" i="20"/>
  <c r="I2862" i="20"/>
  <c r="I2863" i="20"/>
  <c r="I2864" i="20"/>
  <c r="I2865" i="20"/>
  <c r="I2866" i="20"/>
  <c r="I2867" i="20"/>
  <c r="I2868" i="20"/>
  <c r="I2869" i="20"/>
  <c r="I2870" i="20"/>
  <c r="I2871" i="20"/>
  <c r="I2872" i="20"/>
  <c r="I2873" i="20"/>
  <c r="I2874" i="20"/>
  <c r="I2875" i="20"/>
  <c r="I2876" i="20"/>
  <c r="I2877" i="20"/>
  <c r="I2878" i="20"/>
  <c r="I2879" i="20"/>
  <c r="I2880" i="20"/>
  <c r="I2881" i="20"/>
  <c r="I2882" i="20"/>
  <c r="I2883" i="20"/>
  <c r="I2884" i="20"/>
  <c r="I2885" i="20"/>
  <c r="I2886" i="20"/>
  <c r="I2887" i="20"/>
  <c r="I2888" i="20"/>
  <c r="I2889" i="20"/>
  <c r="I2890" i="20"/>
  <c r="I2891" i="20"/>
  <c r="I2892" i="20"/>
  <c r="I2893" i="20"/>
  <c r="I2894" i="20"/>
  <c r="I2895" i="20"/>
  <c r="I2896" i="20"/>
  <c r="I2897" i="20"/>
  <c r="I2898" i="20"/>
  <c r="I2899" i="20"/>
  <c r="I2900" i="20"/>
  <c r="I2901" i="20"/>
  <c r="I2902" i="20"/>
  <c r="I2903" i="20"/>
  <c r="I2904" i="20"/>
  <c r="I2905" i="20"/>
  <c r="I2906" i="20"/>
  <c r="I2907" i="20"/>
  <c r="I2908" i="20"/>
  <c r="I2909" i="20"/>
  <c r="I2910" i="20"/>
  <c r="I2911" i="20"/>
  <c r="I2912" i="20"/>
  <c r="I2913" i="20"/>
  <c r="I2914" i="20"/>
  <c r="I2915" i="20"/>
  <c r="I2916" i="20"/>
  <c r="I2917" i="20"/>
  <c r="I2918" i="20"/>
  <c r="I2919" i="20"/>
  <c r="I2920" i="20"/>
  <c r="I2921" i="20"/>
  <c r="I2922" i="20"/>
  <c r="I2923" i="20"/>
  <c r="I2924" i="20"/>
  <c r="I2925" i="20"/>
  <c r="I2926" i="20"/>
  <c r="I2927" i="20"/>
  <c r="I2928" i="20"/>
  <c r="I2929" i="20"/>
  <c r="I2930" i="20"/>
  <c r="I2931" i="20"/>
  <c r="I2932" i="20"/>
  <c r="I2933" i="20"/>
  <c r="I2934" i="20"/>
  <c r="I2935" i="20"/>
  <c r="I2936" i="20"/>
  <c r="I2937" i="20"/>
  <c r="I2938" i="20"/>
  <c r="I2939" i="20"/>
  <c r="I2940" i="20"/>
  <c r="I2941" i="20"/>
  <c r="I2942" i="20"/>
  <c r="I2943" i="20"/>
  <c r="I2944" i="20"/>
  <c r="I2945" i="20"/>
  <c r="I2946" i="20"/>
  <c r="I2947" i="20"/>
  <c r="I2948" i="20"/>
  <c r="I2949" i="20"/>
  <c r="I2950" i="20"/>
  <c r="I2951" i="20"/>
  <c r="I2952" i="20"/>
  <c r="I2953" i="20"/>
  <c r="I2954" i="20"/>
  <c r="I2955" i="20"/>
  <c r="I2956" i="20"/>
  <c r="I2957" i="20"/>
  <c r="I2958" i="20"/>
  <c r="I2959" i="20"/>
  <c r="I2960" i="20"/>
  <c r="I2961" i="20"/>
  <c r="I2962" i="20"/>
  <c r="I2963" i="20"/>
  <c r="I2964" i="20"/>
  <c r="I2965" i="20"/>
  <c r="I2966" i="20"/>
  <c r="I2967" i="20"/>
  <c r="I2968" i="20"/>
  <c r="I2969" i="20"/>
  <c r="I2970" i="20"/>
  <c r="I2971" i="20"/>
  <c r="I2972" i="20"/>
  <c r="I2973" i="20"/>
  <c r="I2974" i="20"/>
  <c r="I2975" i="20"/>
  <c r="I2976" i="20"/>
  <c r="I2977" i="20"/>
  <c r="I2978" i="20"/>
  <c r="I2979" i="20"/>
  <c r="I2980" i="20"/>
  <c r="I2981" i="20"/>
  <c r="I2982" i="20"/>
  <c r="I2983" i="20"/>
  <c r="I2984" i="20"/>
  <c r="I2985" i="20"/>
  <c r="I2986" i="20"/>
  <c r="I2987" i="20"/>
  <c r="I2988" i="20"/>
  <c r="I2989" i="20"/>
  <c r="I2990" i="20"/>
  <c r="I2991" i="20"/>
  <c r="I2992" i="20"/>
  <c r="I2993" i="20"/>
  <c r="I2994" i="20"/>
  <c r="I2995" i="20"/>
  <c r="I2996" i="20"/>
  <c r="I2997" i="20"/>
  <c r="I2998" i="20"/>
  <c r="I2999" i="20"/>
  <c r="I3000" i="20"/>
  <c r="I3001" i="20"/>
  <c r="I3002" i="20"/>
  <c r="I3003" i="20"/>
  <c r="I3004" i="20"/>
  <c r="I3005" i="20"/>
  <c r="I3006" i="20"/>
  <c r="I3007" i="20"/>
  <c r="I3008" i="20"/>
  <c r="I3009" i="20"/>
  <c r="I3010" i="20"/>
  <c r="I3011" i="20"/>
  <c r="I3012" i="20"/>
  <c r="I3013" i="20"/>
  <c r="I3014" i="20"/>
  <c r="I3015" i="20"/>
  <c r="I3016" i="20"/>
  <c r="I3017" i="20"/>
  <c r="I3018" i="20"/>
  <c r="I3019" i="20"/>
  <c r="I3020" i="20"/>
  <c r="I3021" i="20"/>
  <c r="I3022" i="20"/>
  <c r="I3023" i="20"/>
  <c r="I3024" i="20"/>
  <c r="I3025" i="20"/>
  <c r="I3026" i="20"/>
  <c r="I3027" i="20"/>
  <c r="I3028" i="20"/>
  <c r="I3029" i="20"/>
  <c r="I3030" i="20"/>
  <c r="I3031" i="20"/>
  <c r="I3032" i="20"/>
  <c r="I3033" i="20"/>
  <c r="I3034" i="20"/>
  <c r="I3035" i="20"/>
  <c r="I3036" i="20"/>
  <c r="I3037" i="20"/>
  <c r="I3038" i="20"/>
  <c r="I3039" i="20"/>
  <c r="I3040" i="20"/>
  <c r="I3041" i="20"/>
  <c r="I3042" i="20"/>
  <c r="I3043" i="20"/>
  <c r="I3044" i="20"/>
  <c r="I3045" i="20"/>
  <c r="I3046" i="20"/>
  <c r="I3047" i="20"/>
  <c r="I3048" i="20"/>
  <c r="I3049" i="20"/>
  <c r="I3050" i="20"/>
  <c r="I3051" i="20"/>
  <c r="I3052" i="20"/>
  <c r="I3053" i="20"/>
  <c r="I3054" i="20"/>
  <c r="I3055" i="20"/>
  <c r="I3056" i="20"/>
  <c r="I3057" i="20"/>
  <c r="I3058" i="20"/>
  <c r="I3059" i="20"/>
  <c r="I3060" i="20"/>
  <c r="I3061" i="20"/>
  <c r="I3062" i="20"/>
  <c r="I3063" i="20"/>
  <c r="I3064" i="20"/>
  <c r="I3065" i="20"/>
  <c r="I3066" i="20"/>
  <c r="I3067" i="20"/>
  <c r="I3068" i="20"/>
  <c r="I3069" i="20"/>
  <c r="I3070" i="20"/>
  <c r="I3071" i="20"/>
  <c r="I3072" i="20"/>
  <c r="I3073" i="20"/>
  <c r="I3074" i="20"/>
  <c r="I3075" i="20"/>
  <c r="I3076" i="20"/>
  <c r="I3077" i="20"/>
  <c r="I3078" i="20"/>
  <c r="I3079" i="20"/>
  <c r="I3080" i="20"/>
  <c r="I3081" i="20"/>
  <c r="I3082" i="20"/>
  <c r="I3083" i="20"/>
  <c r="I3084" i="20"/>
  <c r="I3085" i="20"/>
  <c r="I3086" i="20"/>
  <c r="I3087" i="20"/>
  <c r="I3088" i="20"/>
  <c r="I3089" i="20"/>
  <c r="I3090" i="20"/>
  <c r="I3091" i="20"/>
  <c r="I3092" i="20"/>
  <c r="I3093" i="20"/>
  <c r="I3094" i="20"/>
  <c r="I3095" i="20"/>
  <c r="I3096" i="20"/>
  <c r="I3097" i="20"/>
  <c r="I3098" i="20"/>
  <c r="I3099" i="20"/>
  <c r="I3100" i="20"/>
  <c r="I3101" i="20"/>
  <c r="I3102" i="20"/>
  <c r="I3103" i="20"/>
  <c r="I3104" i="20"/>
  <c r="I3105" i="20"/>
  <c r="I3106" i="20"/>
  <c r="I3107" i="20"/>
  <c r="I3108" i="20"/>
  <c r="I3109" i="20"/>
  <c r="I3110" i="20"/>
  <c r="I3111" i="20"/>
  <c r="I3112" i="20"/>
  <c r="I3113" i="20"/>
  <c r="I3114" i="20"/>
  <c r="I3115" i="20"/>
  <c r="I3116" i="20"/>
  <c r="I3117" i="20"/>
  <c r="I3118" i="20"/>
  <c r="I3119" i="20"/>
  <c r="I3120" i="20"/>
  <c r="I3121" i="20"/>
  <c r="I3122" i="20"/>
  <c r="I3123" i="20"/>
  <c r="I3124" i="20"/>
  <c r="I3125" i="20"/>
  <c r="I3126" i="20"/>
  <c r="I3127" i="20"/>
  <c r="I3128" i="20"/>
  <c r="I3129" i="20"/>
  <c r="I3130" i="20"/>
  <c r="I3131" i="20"/>
  <c r="I3132" i="20"/>
  <c r="I3133" i="20"/>
  <c r="I3134" i="20"/>
  <c r="I3135" i="20"/>
  <c r="I3136" i="20"/>
  <c r="I3137" i="20"/>
  <c r="I3138" i="20"/>
  <c r="I3139" i="20"/>
  <c r="I3140" i="20"/>
  <c r="I3141" i="20"/>
  <c r="I3142" i="20"/>
  <c r="I3143" i="20"/>
  <c r="I3144" i="20"/>
  <c r="I3145" i="20"/>
  <c r="I3146" i="20"/>
  <c r="I3147" i="20"/>
  <c r="I3148" i="20"/>
  <c r="I3149" i="20"/>
  <c r="I3150" i="20"/>
  <c r="I3151" i="20"/>
  <c r="I3152" i="20"/>
  <c r="I3153" i="20"/>
  <c r="I3154" i="20"/>
  <c r="I3155" i="20"/>
  <c r="I3156" i="20"/>
  <c r="I3157" i="20"/>
  <c r="I3158" i="20"/>
  <c r="I3159" i="20"/>
  <c r="I3160" i="20"/>
  <c r="I3161" i="20"/>
  <c r="I3162" i="20"/>
  <c r="I3163" i="20"/>
  <c r="I3164" i="20"/>
  <c r="I3165" i="20"/>
  <c r="I3166" i="20"/>
  <c r="I3167" i="20"/>
  <c r="I3168" i="20"/>
  <c r="I3169" i="20"/>
  <c r="I3170" i="20"/>
  <c r="I3171" i="20"/>
  <c r="I3172" i="20"/>
  <c r="I3173" i="20"/>
  <c r="I3174" i="20"/>
  <c r="I3175" i="20"/>
  <c r="I3176" i="20"/>
  <c r="I3177" i="20"/>
  <c r="I3178" i="20"/>
  <c r="I3179" i="20"/>
  <c r="I3180" i="20"/>
  <c r="I3181" i="20"/>
  <c r="I3182" i="20"/>
  <c r="I3183" i="20"/>
  <c r="I3184" i="20"/>
  <c r="I3185" i="20"/>
  <c r="I3186" i="20"/>
  <c r="I3187" i="20"/>
  <c r="I3188" i="20"/>
  <c r="I3189" i="20"/>
  <c r="I3190" i="20"/>
  <c r="I3191" i="20"/>
  <c r="I3192" i="20"/>
  <c r="I3193" i="20"/>
  <c r="I3194" i="20"/>
  <c r="I3195" i="20"/>
  <c r="I3196" i="20"/>
  <c r="I3197" i="20"/>
  <c r="I3198" i="20"/>
  <c r="I3199" i="20"/>
  <c r="I3200" i="20"/>
  <c r="I3201" i="20"/>
  <c r="I3202" i="20"/>
  <c r="I3203" i="20"/>
  <c r="I3204" i="20"/>
  <c r="I3205" i="20"/>
  <c r="I3206" i="20"/>
  <c r="I3207" i="20"/>
  <c r="I3208" i="20"/>
  <c r="I3209" i="20"/>
  <c r="I3210" i="20"/>
  <c r="I3211" i="20"/>
  <c r="I3212" i="20"/>
  <c r="I3213" i="20"/>
  <c r="I3214" i="20"/>
  <c r="I3215" i="20"/>
  <c r="I3216" i="20"/>
  <c r="I3217" i="20"/>
  <c r="I3218" i="20"/>
  <c r="I3219" i="20"/>
  <c r="I3220" i="20"/>
  <c r="I3221" i="20"/>
  <c r="I3222" i="20"/>
  <c r="I3223" i="20"/>
  <c r="I3224" i="20"/>
  <c r="I3225" i="20"/>
  <c r="I3226" i="20"/>
  <c r="I3227" i="20"/>
  <c r="I3228" i="20"/>
  <c r="I3229" i="20"/>
  <c r="I3230" i="20"/>
  <c r="I3231" i="20"/>
  <c r="I3232" i="20"/>
  <c r="I3233" i="20"/>
  <c r="I3234" i="20"/>
  <c r="I3235" i="20"/>
  <c r="I3236" i="20"/>
  <c r="I3237" i="20"/>
  <c r="I3238" i="20"/>
  <c r="I3239" i="20"/>
  <c r="I3240" i="20"/>
  <c r="I3241" i="20"/>
  <c r="I3242" i="20"/>
  <c r="I3243" i="20"/>
  <c r="I3244" i="20"/>
  <c r="I3245" i="20"/>
  <c r="I3246" i="20"/>
  <c r="I3247" i="20"/>
  <c r="I3248" i="20"/>
  <c r="I3249" i="20"/>
  <c r="I3250" i="20"/>
  <c r="I3251" i="20"/>
  <c r="I3252" i="20"/>
  <c r="I3253" i="20"/>
  <c r="I3254" i="20"/>
  <c r="I3255" i="20"/>
  <c r="I3256" i="20"/>
  <c r="I3257" i="20"/>
  <c r="I3258" i="20"/>
  <c r="I3259" i="20"/>
  <c r="I3260" i="20"/>
  <c r="I3261" i="20"/>
  <c r="I3262" i="20"/>
  <c r="I3263" i="20"/>
  <c r="I3264" i="20"/>
  <c r="I3265" i="20"/>
  <c r="I3266" i="20"/>
  <c r="I3267" i="20"/>
  <c r="I3268" i="20"/>
  <c r="I3269" i="20"/>
  <c r="I3270" i="20"/>
  <c r="I3271" i="20"/>
  <c r="I3272" i="20"/>
  <c r="I3273" i="20"/>
  <c r="I3274" i="20"/>
  <c r="I3275" i="20"/>
  <c r="I3276" i="20"/>
  <c r="I3277" i="20"/>
  <c r="I3278" i="20"/>
  <c r="I3279" i="20"/>
  <c r="I3280" i="20"/>
  <c r="I3281" i="20"/>
  <c r="I3282" i="20"/>
  <c r="I3283" i="20"/>
  <c r="I3284" i="20"/>
  <c r="I3285" i="20"/>
  <c r="I3286" i="20"/>
  <c r="I3287" i="20"/>
  <c r="I3288" i="20"/>
  <c r="I3289" i="20"/>
  <c r="I3290" i="20"/>
  <c r="I3291" i="20"/>
  <c r="I3292" i="20"/>
  <c r="I3293" i="20"/>
  <c r="I3294" i="20"/>
  <c r="I3295" i="20"/>
  <c r="I3296" i="20"/>
  <c r="I3297" i="20"/>
  <c r="I3298" i="20"/>
  <c r="I3299" i="20"/>
  <c r="I3300" i="20"/>
  <c r="I3301" i="20"/>
  <c r="I3302" i="20"/>
  <c r="I3303" i="20"/>
  <c r="I3304" i="20"/>
  <c r="I3305" i="20"/>
  <c r="I3306" i="20"/>
  <c r="I3307" i="20"/>
  <c r="I3308" i="20"/>
  <c r="I3309" i="20"/>
  <c r="I3310" i="20"/>
  <c r="I3311" i="20"/>
  <c r="I3312" i="20"/>
  <c r="I3313" i="20"/>
  <c r="I3314" i="20"/>
  <c r="I3315" i="20"/>
  <c r="I3316" i="20"/>
  <c r="I3317" i="20"/>
  <c r="I3318" i="20"/>
  <c r="I3319" i="20"/>
  <c r="I3320" i="20"/>
  <c r="I3321" i="20"/>
  <c r="I3322" i="20"/>
  <c r="I3323" i="20"/>
  <c r="I3324" i="20"/>
  <c r="I3325" i="20"/>
  <c r="I3326" i="20"/>
  <c r="I3327" i="20"/>
  <c r="I3328" i="20"/>
  <c r="I3329" i="20"/>
  <c r="I3330" i="20"/>
  <c r="I3331" i="20"/>
  <c r="I3332" i="20"/>
  <c r="I3333" i="20"/>
  <c r="I3334" i="20"/>
  <c r="I3335" i="20"/>
  <c r="I3336" i="20"/>
  <c r="I3337" i="20"/>
  <c r="I3338" i="20"/>
  <c r="I3339" i="20"/>
  <c r="I3340" i="20"/>
  <c r="I3341" i="20"/>
  <c r="I3342" i="20"/>
  <c r="I3343" i="20"/>
  <c r="I3344" i="20"/>
  <c r="I3345" i="20"/>
  <c r="I3346" i="20"/>
  <c r="I3347" i="20"/>
  <c r="I3348" i="20"/>
  <c r="I3349" i="20"/>
  <c r="I3350" i="20"/>
  <c r="I3351" i="20"/>
  <c r="I3352" i="20"/>
  <c r="I3353" i="20"/>
  <c r="I3354" i="20"/>
  <c r="I3355" i="20"/>
  <c r="I3356" i="20"/>
  <c r="I3357" i="20"/>
  <c r="I3358" i="20"/>
  <c r="I3359" i="20"/>
  <c r="I3360" i="20"/>
  <c r="I3361" i="20"/>
  <c r="I3362" i="20"/>
  <c r="I3363" i="20"/>
  <c r="I3364" i="20"/>
  <c r="I3365" i="20"/>
  <c r="I3366" i="20"/>
  <c r="I3367" i="20"/>
  <c r="I3368" i="20"/>
  <c r="I3369" i="20"/>
  <c r="I3370" i="20"/>
  <c r="I3371" i="20"/>
  <c r="I3372" i="20"/>
  <c r="I3373" i="20"/>
  <c r="I3374" i="20"/>
  <c r="I3375" i="20"/>
  <c r="I3376" i="20"/>
  <c r="I3377" i="20"/>
  <c r="I3378" i="20"/>
  <c r="I3379" i="20"/>
  <c r="I3380" i="20"/>
  <c r="I3381" i="20"/>
  <c r="I3382" i="20"/>
  <c r="I3383" i="20"/>
  <c r="I3384" i="20"/>
  <c r="I3385" i="20"/>
  <c r="I3386" i="20"/>
  <c r="I3387" i="20"/>
  <c r="I3388" i="20"/>
  <c r="I3389" i="20"/>
  <c r="I3390" i="20"/>
  <c r="I3391" i="20"/>
  <c r="I3392" i="20"/>
  <c r="I3393" i="20"/>
  <c r="I3394" i="20"/>
  <c r="I3395" i="20"/>
  <c r="I3396" i="20"/>
  <c r="I3397" i="20"/>
  <c r="I3398" i="20"/>
  <c r="I3399" i="20"/>
  <c r="I3400" i="20"/>
  <c r="I3401" i="20"/>
  <c r="I3402" i="20"/>
  <c r="I3403" i="20"/>
  <c r="I3404" i="20"/>
  <c r="I3405" i="20"/>
  <c r="I3406" i="20"/>
  <c r="I3407" i="20"/>
  <c r="I3408" i="20"/>
  <c r="I3409" i="20"/>
  <c r="I3410" i="20"/>
  <c r="I3411" i="20"/>
  <c r="I3412" i="20"/>
  <c r="I3413" i="20"/>
  <c r="I3414" i="20"/>
  <c r="I3415" i="20"/>
  <c r="I3416" i="20"/>
  <c r="I3417" i="20"/>
  <c r="I3418" i="20"/>
  <c r="I3419" i="20"/>
  <c r="I3420" i="20"/>
  <c r="I3421" i="20"/>
  <c r="I3422" i="20"/>
  <c r="I3423" i="20"/>
  <c r="I3424" i="20"/>
  <c r="I3425" i="20"/>
  <c r="I3426" i="20"/>
  <c r="I3427" i="20"/>
  <c r="I3428" i="20"/>
  <c r="I3429" i="20"/>
  <c r="I3430" i="20"/>
  <c r="I3431" i="20"/>
  <c r="I3432" i="20"/>
  <c r="I3433" i="20"/>
  <c r="I3434" i="20"/>
  <c r="I3435" i="20"/>
  <c r="I3436" i="20"/>
  <c r="I3437" i="20"/>
  <c r="I3438" i="20"/>
  <c r="I3439" i="20"/>
  <c r="I3440" i="20"/>
  <c r="I3441" i="20"/>
  <c r="I3442" i="20"/>
  <c r="I3443" i="20"/>
  <c r="I3444" i="20"/>
  <c r="I3445" i="20"/>
  <c r="I3446" i="20"/>
  <c r="I3447" i="20"/>
  <c r="I3448" i="20"/>
  <c r="I3449" i="20"/>
  <c r="I3450" i="20"/>
  <c r="I3451" i="20"/>
  <c r="I3452" i="20"/>
  <c r="I3453" i="20"/>
  <c r="I3454" i="20"/>
  <c r="I3455" i="20"/>
  <c r="I3456" i="20"/>
  <c r="I3457" i="20"/>
  <c r="I3458" i="20"/>
  <c r="I3459" i="20"/>
  <c r="I3460" i="20"/>
  <c r="I3461" i="20"/>
  <c r="I3462" i="20"/>
  <c r="I3463" i="20"/>
  <c r="I3464" i="20"/>
  <c r="I3465" i="20"/>
  <c r="I3466" i="20"/>
  <c r="I3467" i="20"/>
  <c r="I3468" i="20"/>
  <c r="I3469" i="20"/>
  <c r="I3470" i="20"/>
  <c r="I3471" i="20"/>
  <c r="I3472" i="20"/>
  <c r="I3473" i="20"/>
  <c r="I3474" i="20"/>
  <c r="I3475" i="20"/>
  <c r="I3476" i="20"/>
  <c r="I3477" i="20"/>
  <c r="I3478" i="20"/>
  <c r="I3479" i="20"/>
  <c r="I3480" i="20"/>
  <c r="I3481" i="20"/>
  <c r="I3482" i="20"/>
  <c r="I3483" i="20"/>
  <c r="I3484" i="20"/>
  <c r="I3485" i="20"/>
  <c r="I3486" i="20"/>
  <c r="I3487" i="20"/>
  <c r="I3488" i="20"/>
  <c r="I3489" i="20"/>
  <c r="I3490" i="20"/>
  <c r="I3491" i="20"/>
  <c r="I3492" i="20"/>
  <c r="I3493" i="20"/>
  <c r="I3494" i="20"/>
  <c r="I3495" i="20"/>
  <c r="I3496" i="20"/>
  <c r="I3497" i="20"/>
  <c r="I3498" i="20"/>
  <c r="I3499" i="20"/>
  <c r="I3500" i="20"/>
  <c r="I3501" i="20"/>
  <c r="I3502" i="20"/>
  <c r="I3503" i="20"/>
  <c r="I3504" i="20"/>
  <c r="I3505" i="20"/>
  <c r="I3506" i="20"/>
  <c r="I3507" i="20"/>
  <c r="I3508" i="20"/>
  <c r="I3509" i="20"/>
  <c r="I3510" i="20"/>
  <c r="I3511" i="20"/>
  <c r="I3512" i="20"/>
  <c r="I3513" i="20"/>
  <c r="I3514" i="20"/>
  <c r="I3515" i="20"/>
  <c r="I3516" i="20"/>
  <c r="I3517" i="20"/>
  <c r="I3518" i="20"/>
  <c r="I3519" i="20"/>
  <c r="I3520" i="20"/>
  <c r="I3521" i="20"/>
  <c r="I3522" i="20"/>
  <c r="I3523" i="20"/>
  <c r="I3524" i="20"/>
  <c r="I3525" i="20"/>
  <c r="I3526" i="20"/>
  <c r="I3527" i="20"/>
  <c r="I3528" i="20"/>
  <c r="I3529" i="20"/>
  <c r="I3530" i="20"/>
  <c r="I3531" i="20"/>
  <c r="I3532" i="20"/>
  <c r="I3533" i="20"/>
  <c r="I3534" i="20"/>
  <c r="I3535" i="20"/>
  <c r="I3536" i="20"/>
  <c r="I3537" i="20"/>
  <c r="I3538" i="20"/>
  <c r="I3539" i="20"/>
  <c r="I3540" i="20"/>
  <c r="I3541" i="20"/>
  <c r="I3542" i="20"/>
  <c r="I3543" i="20"/>
  <c r="I3544" i="20"/>
  <c r="I3545" i="20"/>
  <c r="I3546" i="20"/>
  <c r="I3547" i="20"/>
  <c r="I3548" i="20"/>
  <c r="I3549" i="20"/>
  <c r="I3550" i="20"/>
  <c r="I3551" i="20"/>
  <c r="I3552" i="20"/>
  <c r="I3553" i="20"/>
  <c r="I3554" i="20"/>
  <c r="I3555" i="20"/>
  <c r="I3556" i="20"/>
  <c r="I3557" i="20"/>
  <c r="I3558" i="20"/>
  <c r="I3559" i="20"/>
  <c r="I3560" i="20"/>
  <c r="I3561" i="20"/>
  <c r="I3562" i="20"/>
  <c r="I3563" i="20"/>
  <c r="I3564" i="20"/>
  <c r="I3565" i="20"/>
  <c r="I3566" i="20"/>
  <c r="I3567" i="20"/>
  <c r="I3568" i="20"/>
  <c r="I3569" i="20"/>
  <c r="I3570" i="20"/>
  <c r="I3571" i="20"/>
  <c r="I3572" i="20"/>
  <c r="I3573" i="20"/>
  <c r="I3574" i="20"/>
  <c r="I3575" i="20"/>
  <c r="I3576" i="20"/>
  <c r="I3577" i="20"/>
  <c r="I3578" i="20"/>
  <c r="I3579" i="20"/>
  <c r="I3580" i="20"/>
  <c r="I3581" i="20"/>
  <c r="I3582" i="20"/>
  <c r="I3583" i="20"/>
  <c r="I3584" i="20"/>
  <c r="I3585" i="20"/>
  <c r="I3586" i="20"/>
  <c r="I3587" i="20"/>
  <c r="I3588" i="20"/>
  <c r="I3589" i="20"/>
  <c r="I3590" i="20"/>
  <c r="I3591" i="20"/>
  <c r="I3592" i="20"/>
  <c r="I3593" i="20"/>
  <c r="I3594" i="20"/>
  <c r="I3595" i="20"/>
  <c r="I3596" i="20"/>
  <c r="I3597" i="20"/>
  <c r="I3598" i="20"/>
  <c r="I3599" i="20"/>
  <c r="I3600" i="20"/>
  <c r="I3601" i="20"/>
  <c r="I3602" i="20"/>
  <c r="I3603" i="20"/>
  <c r="I3604" i="20"/>
  <c r="I3605" i="20"/>
  <c r="I3606" i="20"/>
  <c r="I3607" i="20"/>
  <c r="I3608" i="20"/>
  <c r="I3609" i="20"/>
  <c r="I3610" i="20"/>
  <c r="I3611" i="20"/>
  <c r="I3612" i="20"/>
  <c r="I3613" i="20"/>
  <c r="I3614" i="20"/>
  <c r="I3615" i="20"/>
  <c r="I3616" i="20"/>
  <c r="I3617" i="20"/>
  <c r="I3618" i="20"/>
  <c r="I3619" i="20"/>
  <c r="I3620" i="20"/>
  <c r="I3621" i="20"/>
  <c r="I3622" i="20"/>
  <c r="I3623" i="20"/>
  <c r="I3624" i="20"/>
  <c r="I3625" i="20"/>
  <c r="I3626" i="20"/>
  <c r="I3627" i="20"/>
  <c r="I3628" i="20"/>
  <c r="I3629" i="20"/>
  <c r="I3630" i="20"/>
  <c r="I3631" i="20"/>
  <c r="I3632" i="20"/>
  <c r="I3633" i="20"/>
  <c r="I3634" i="20"/>
  <c r="I3635" i="20"/>
  <c r="I3636" i="20"/>
  <c r="I3637" i="20"/>
  <c r="I3638" i="20"/>
  <c r="I3639" i="20"/>
  <c r="I3640" i="20"/>
  <c r="I3641" i="20"/>
  <c r="I3642" i="20"/>
  <c r="I3643" i="20"/>
  <c r="I3644" i="20"/>
  <c r="I3645" i="20"/>
  <c r="I3646" i="20"/>
  <c r="I3647" i="20"/>
  <c r="I3648" i="20"/>
  <c r="I3649" i="20"/>
  <c r="I3650" i="20"/>
  <c r="I3651" i="20"/>
  <c r="I3652" i="20"/>
  <c r="I3653" i="20"/>
  <c r="I3654" i="20"/>
  <c r="I3655" i="20"/>
  <c r="I3656" i="20"/>
  <c r="I3657" i="20"/>
  <c r="I3658" i="20"/>
  <c r="I3659" i="20"/>
  <c r="I3660" i="20"/>
  <c r="I3661" i="20"/>
  <c r="I3662" i="20"/>
  <c r="I3663" i="20"/>
  <c r="I3664" i="20"/>
  <c r="I3665" i="20"/>
  <c r="I3666" i="20"/>
  <c r="I3667" i="20"/>
  <c r="I3668" i="20"/>
  <c r="I3669" i="20"/>
  <c r="I3670" i="20"/>
  <c r="I3671" i="20"/>
  <c r="I3672" i="20"/>
  <c r="I3673" i="20"/>
  <c r="I3674" i="20"/>
  <c r="I3675" i="20"/>
  <c r="I3676" i="20"/>
  <c r="I3677" i="20"/>
  <c r="I3678" i="20"/>
  <c r="I3679" i="20"/>
  <c r="I3680" i="20"/>
  <c r="I3681" i="20"/>
  <c r="I3682" i="20"/>
  <c r="I3683" i="20"/>
  <c r="I3684" i="20"/>
  <c r="I3685" i="20"/>
  <c r="I3686" i="20"/>
  <c r="I3687" i="20"/>
  <c r="I3688" i="20"/>
  <c r="I3689" i="20"/>
  <c r="I3690" i="20"/>
  <c r="I3691" i="20"/>
  <c r="I3692" i="20"/>
  <c r="I3693" i="20"/>
  <c r="I3694" i="20"/>
  <c r="I3695" i="20"/>
  <c r="I3696" i="20"/>
  <c r="I3697" i="20"/>
  <c r="I3698" i="20"/>
  <c r="I3699" i="20"/>
  <c r="I3700" i="20"/>
  <c r="I3701" i="20"/>
  <c r="I3702" i="20"/>
  <c r="I3703" i="20"/>
  <c r="I3704" i="20"/>
  <c r="I3705" i="20"/>
  <c r="I3706" i="20"/>
  <c r="I3707" i="20"/>
  <c r="I3708" i="20"/>
  <c r="I3709" i="20"/>
  <c r="I3710" i="20"/>
  <c r="I3711" i="20"/>
  <c r="I3712" i="20"/>
  <c r="I3713" i="20"/>
  <c r="I3714" i="20"/>
  <c r="I3715" i="20"/>
  <c r="I3716" i="20"/>
  <c r="I3717" i="20"/>
  <c r="I3718" i="20"/>
  <c r="I3719" i="20"/>
  <c r="I3720" i="20"/>
  <c r="I3721" i="20"/>
  <c r="I3722" i="20"/>
  <c r="I3723" i="20"/>
  <c r="I3724" i="20"/>
  <c r="I3725" i="20"/>
  <c r="I3726" i="20"/>
  <c r="I3727" i="20"/>
  <c r="I3728" i="20"/>
  <c r="I3729" i="20"/>
  <c r="I3730" i="20"/>
  <c r="I3731" i="20"/>
  <c r="I3732" i="20"/>
  <c r="I3733" i="20"/>
  <c r="I3734" i="20"/>
  <c r="I3735" i="20"/>
  <c r="I3736" i="20"/>
  <c r="I3737" i="20"/>
  <c r="I3738" i="20"/>
  <c r="I3739" i="20"/>
  <c r="I3740" i="20"/>
  <c r="I3741" i="20"/>
  <c r="I3742" i="20"/>
  <c r="I3743" i="20"/>
  <c r="I3744" i="20"/>
  <c r="I3745" i="20"/>
  <c r="I3746" i="20"/>
  <c r="I3747" i="20"/>
  <c r="I3748" i="20"/>
  <c r="I3749" i="20"/>
  <c r="I3750" i="20"/>
  <c r="I3751" i="20"/>
  <c r="I3752" i="20"/>
  <c r="I3753" i="20"/>
  <c r="I3754" i="20"/>
  <c r="I3755" i="20"/>
  <c r="I3756" i="20"/>
  <c r="I3757" i="20"/>
  <c r="I3758" i="20"/>
  <c r="I3759" i="20"/>
  <c r="I3760" i="20"/>
  <c r="I3761" i="20"/>
  <c r="I3762" i="20"/>
  <c r="I3763" i="20"/>
  <c r="I3764" i="20"/>
  <c r="I3765" i="20"/>
  <c r="I3766" i="20"/>
  <c r="I3767" i="20"/>
  <c r="I3768" i="20"/>
  <c r="I3769" i="20"/>
  <c r="I3770" i="20"/>
  <c r="I3771" i="20"/>
  <c r="I3772" i="20"/>
  <c r="I3773" i="20"/>
  <c r="I3774" i="20"/>
  <c r="I3775" i="20"/>
  <c r="I3776" i="20"/>
  <c r="I3777" i="20"/>
  <c r="I3778" i="20"/>
  <c r="I3779" i="20"/>
  <c r="I3780" i="20"/>
  <c r="I3781" i="20"/>
  <c r="I3782" i="20"/>
  <c r="I3783" i="20"/>
  <c r="I3784" i="20"/>
  <c r="I3785" i="20"/>
  <c r="I3786" i="20"/>
  <c r="I3787" i="20"/>
  <c r="I3788" i="20"/>
  <c r="I3789" i="20"/>
  <c r="I3790" i="20"/>
  <c r="I3791" i="20"/>
  <c r="I3792" i="20"/>
  <c r="I3793" i="20"/>
  <c r="I3794" i="20"/>
  <c r="I3795" i="20"/>
  <c r="I3796" i="20"/>
  <c r="I3797" i="20"/>
  <c r="I3798" i="20"/>
  <c r="I3799" i="20"/>
  <c r="I3800" i="20"/>
  <c r="I3801" i="20"/>
  <c r="I3802" i="20"/>
  <c r="I3803" i="20"/>
  <c r="I3804" i="20"/>
  <c r="I3805" i="20"/>
  <c r="I3806" i="20"/>
  <c r="I3807" i="20"/>
  <c r="I3808" i="20"/>
  <c r="I3809" i="20"/>
  <c r="I3810" i="20"/>
  <c r="I3811" i="20"/>
  <c r="I3812" i="20"/>
  <c r="I3813" i="20"/>
  <c r="I3814" i="20"/>
  <c r="I3815" i="20"/>
  <c r="I3816" i="20"/>
  <c r="I3817" i="20"/>
  <c r="I3818" i="20"/>
  <c r="I3819" i="20"/>
  <c r="I3820" i="20"/>
  <c r="I3821" i="20"/>
  <c r="I3822" i="20"/>
  <c r="I3823" i="20"/>
  <c r="I3824" i="20"/>
  <c r="I3825" i="20"/>
  <c r="I3826" i="20"/>
  <c r="I3827" i="20"/>
  <c r="I3828" i="20"/>
  <c r="I3829" i="20"/>
  <c r="I3830" i="20"/>
  <c r="I3831" i="20"/>
  <c r="I3832" i="20"/>
  <c r="I3833" i="20"/>
  <c r="I3834" i="20"/>
  <c r="I3835" i="20"/>
  <c r="I3836" i="20"/>
  <c r="I3837" i="20"/>
  <c r="I3838" i="20"/>
  <c r="I3839" i="20"/>
  <c r="I3840" i="20"/>
  <c r="I3841" i="20"/>
  <c r="I3842" i="20"/>
  <c r="I3843" i="20"/>
  <c r="I3844" i="20"/>
  <c r="I3845" i="20"/>
  <c r="I3846" i="20"/>
  <c r="I3847" i="20"/>
  <c r="I3848" i="20"/>
  <c r="I3849" i="20"/>
  <c r="I3850" i="20"/>
  <c r="I3851" i="20"/>
  <c r="I3852" i="20"/>
  <c r="I3853" i="20"/>
  <c r="I3854" i="20"/>
  <c r="I3855" i="20"/>
  <c r="I3856" i="20"/>
  <c r="I3857" i="20"/>
  <c r="I3858" i="20"/>
  <c r="I3859" i="20"/>
  <c r="I3860" i="20"/>
  <c r="I3861" i="20"/>
  <c r="I3862" i="20"/>
  <c r="I3863" i="20"/>
  <c r="I3864" i="20"/>
  <c r="I3865" i="20"/>
  <c r="I3866" i="20"/>
  <c r="I3867" i="20"/>
  <c r="I3868" i="20"/>
  <c r="I3869" i="20"/>
  <c r="I3870" i="20"/>
  <c r="I3871" i="20"/>
  <c r="I3872" i="20"/>
  <c r="I3873" i="20"/>
  <c r="I3874" i="20"/>
  <c r="I3875" i="20"/>
  <c r="I3876" i="20"/>
  <c r="I3877" i="20"/>
  <c r="I3878" i="20"/>
  <c r="I3879" i="20"/>
  <c r="I3880" i="20"/>
  <c r="I3881" i="20"/>
  <c r="I3882" i="20"/>
  <c r="I3883" i="20"/>
  <c r="I3884" i="20"/>
  <c r="I3885" i="20"/>
  <c r="I3886" i="20"/>
  <c r="I3887" i="20"/>
  <c r="I3888" i="20"/>
  <c r="I3889" i="20"/>
  <c r="I3890" i="20"/>
  <c r="I3891" i="20"/>
  <c r="I3892" i="20"/>
  <c r="I3893" i="20"/>
  <c r="I3894" i="20"/>
  <c r="I3895" i="20"/>
  <c r="I3896" i="20"/>
  <c r="I3897" i="20"/>
  <c r="I3898" i="20"/>
  <c r="I3899" i="20"/>
  <c r="I3900" i="20"/>
  <c r="I3901" i="20"/>
  <c r="I3902" i="20"/>
  <c r="I3903" i="20"/>
  <c r="I3904" i="20"/>
  <c r="I3905" i="20"/>
  <c r="I3906" i="20"/>
  <c r="I3907" i="20"/>
  <c r="I3908" i="20"/>
  <c r="I3909" i="20"/>
  <c r="I3910" i="20"/>
  <c r="I3911" i="20"/>
  <c r="I3912" i="20"/>
  <c r="I3913" i="20"/>
  <c r="I3914" i="20"/>
  <c r="I3915" i="20"/>
  <c r="I3916" i="20"/>
  <c r="I3917" i="20"/>
  <c r="I3918" i="20"/>
  <c r="I3919" i="20"/>
  <c r="I3920" i="20"/>
  <c r="I3921" i="20"/>
  <c r="I3922" i="20"/>
  <c r="I3923" i="20"/>
  <c r="I3924" i="20"/>
  <c r="I3925" i="20"/>
  <c r="I3926" i="20"/>
  <c r="I3927" i="20"/>
  <c r="I3928" i="20"/>
  <c r="I3929" i="20"/>
  <c r="I3930" i="20"/>
  <c r="I3931" i="20"/>
  <c r="I3932" i="20"/>
  <c r="I3933" i="20"/>
  <c r="I3934" i="20"/>
  <c r="I3935" i="20"/>
  <c r="I3936" i="20"/>
  <c r="I3937" i="20"/>
  <c r="I3938" i="20"/>
  <c r="I3939" i="20"/>
  <c r="I3940" i="20"/>
  <c r="I3941" i="20"/>
  <c r="I3942" i="20"/>
  <c r="I3943" i="20"/>
  <c r="I3944" i="20"/>
  <c r="I3945" i="20"/>
  <c r="I3946" i="20"/>
  <c r="I3947" i="20"/>
  <c r="I3948" i="20"/>
  <c r="I3949" i="20"/>
  <c r="I3950" i="20"/>
  <c r="I3951" i="20"/>
  <c r="I3952" i="20"/>
  <c r="I3953" i="20"/>
  <c r="I3954" i="20"/>
  <c r="I3955" i="20"/>
  <c r="I3956" i="20"/>
  <c r="I3957" i="20"/>
  <c r="I3958" i="20"/>
  <c r="I3959" i="20"/>
  <c r="I3960" i="20"/>
  <c r="I3961" i="20"/>
  <c r="I3962" i="20"/>
  <c r="I3963" i="20"/>
  <c r="I3964" i="20"/>
  <c r="I3965" i="20"/>
  <c r="I3966" i="20"/>
  <c r="I3967" i="20"/>
  <c r="I3968" i="20"/>
  <c r="I3969" i="20"/>
  <c r="I3970" i="20"/>
  <c r="I3971" i="20"/>
  <c r="I3972" i="20"/>
  <c r="I3973" i="20"/>
  <c r="I3974" i="20"/>
  <c r="I3975" i="20"/>
  <c r="I3976" i="20"/>
  <c r="I3977" i="20"/>
  <c r="I3978" i="20"/>
  <c r="I3979" i="20"/>
  <c r="I3980" i="20"/>
  <c r="I3981" i="20"/>
  <c r="I3982" i="20"/>
  <c r="I3983" i="20"/>
  <c r="I3984" i="20"/>
  <c r="I3985" i="20"/>
  <c r="I3986" i="20"/>
  <c r="I3987" i="20"/>
  <c r="I3988" i="20"/>
  <c r="I3989" i="20"/>
  <c r="I3990" i="20"/>
  <c r="I3991" i="20"/>
  <c r="I3992" i="20"/>
  <c r="I3993" i="20"/>
  <c r="I3994" i="20"/>
  <c r="I3995" i="20"/>
  <c r="I3996" i="20"/>
  <c r="I3997" i="20"/>
  <c r="I3998" i="20"/>
  <c r="I3999" i="20"/>
  <c r="I4000" i="20"/>
  <c r="I4001" i="20"/>
  <c r="I4002" i="20"/>
  <c r="I4003" i="20"/>
  <c r="I4004" i="20"/>
  <c r="I4005" i="20"/>
  <c r="I4006" i="20"/>
  <c r="I4007" i="20"/>
  <c r="I4008" i="20"/>
  <c r="I4009" i="20"/>
  <c r="I4010" i="20"/>
  <c r="I4011" i="20"/>
  <c r="I4012" i="20"/>
  <c r="I4013" i="20"/>
  <c r="I4014" i="20"/>
  <c r="I4015" i="20"/>
  <c r="I4016" i="20"/>
  <c r="I4017" i="20"/>
  <c r="I4018" i="20"/>
  <c r="I4019" i="20"/>
  <c r="I4020" i="20"/>
  <c r="I4021" i="20"/>
  <c r="I4022" i="20"/>
  <c r="I4023" i="20"/>
  <c r="I4024" i="20"/>
  <c r="I4025" i="20"/>
  <c r="I4026" i="20"/>
  <c r="I4027" i="20"/>
  <c r="I4028" i="20"/>
  <c r="I4029" i="20"/>
  <c r="I4030" i="20"/>
  <c r="I4031" i="20"/>
  <c r="I4032" i="20"/>
  <c r="I4033" i="20"/>
  <c r="I4034" i="20"/>
  <c r="I4035" i="20"/>
  <c r="I4036" i="20"/>
  <c r="I4037" i="20"/>
  <c r="I4038" i="20"/>
  <c r="I4039" i="20"/>
  <c r="I4040" i="20"/>
  <c r="I4041" i="20"/>
  <c r="I4042" i="20"/>
  <c r="I4043" i="20"/>
  <c r="I4044" i="20"/>
  <c r="I4045" i="20"/>
  <c r="I4046" i="20"/>
  <c r="I4047" i="20"/>
  <c r="I4048" i="20"/>
  <c r="I4049" i="20"/>
  <c r="I4050" i="20"/>
  <c r="I4051" i="20"/>
  <c r="I4052" i="20"/>
  <c r="I4053" i="20"/>
  <c r="I4054" i="20"/>
  <c r="I4055" i="20"/>
  <c r="I4056" i="20"/>
  <c r="I4057" i="20"/>
  <c r="I4058" i="20"/>
  <c r="I4059" i="20"/>
  <c r="I4060" i="20"/>
  <c r="I4061" i="20"/>
  <c r="I4062" i="20"/>
  <c r="I4063" i="20"/>
  <c r="I4064" i="20"/>
  <c r="I4065" i="20"/>
  <c r="I4066" i="20"/>
  <c r="I4067" i="20"/>
  <c r="I4068" i="20"/>
  <c r="I4069" i="20"/>
  <c r="I4070" i="20"/>
  <c r="I4071" i="20"/>
  <c r="I4072" i="20"/>
  <c r="I4073" i="20"/>
  <c r="I4074" i="20"/>
  <c r="I4075" i="20"/>
  <c r="I4076" i="20"/>
  <c r="I4077" i="20"/>
  <c r="I4078" i="20"/>
  <c r="I4079" i="20"/>
  <c r="I4080" i="20"/>
  <c r="I4081" i="20"/>
  <c r="I4082" i="20"/>
  <c r="I4083" i="20"/>
  <c r="I4084" i="20"/>
  <c r="I4085" i="20"/>
  <c r="I4086" i="20"/>
  <c r="I4087" i="20"/>
  <c r="I4088" i="20"/>
  <c r="I4089" i="20"/>
  <c r="I4090" i="20"/>
  <c r="I4091" i="20"/>
  <c r="I4092" i="20"/>
  <c r="I4093" i="20"/>
  <c r="I4094" i="20"/>
  <c r="I4095" i="20"/>
  <c r="I4096" i="20"/>
  <c r="I4097" i="20"/>
  <c r="I4098" i="20"/>
  <c r="I4099" i="20"/>
  <c r="I4100" i="20"/>
  <c r="I4101" i="20"/>
  <c r="I4102" i="20"/>
  <c r="I4103" i="20"/>
  <c r="I4104" i="20"/>
  <c r="I4105" i="20"/>
  <c r="I4106" i="20"/>
  <c r="I4107" i="20"/>
  <c r="I4108" i="20"/>
  <c r="I4109" i="20"/>
  <c r="I4110" i="20"/>
  <c r="I4111" i="20"/>
  <c r="I4112" i="20"/>
  <c r="I4113" i="20"/>
  <c r="I4114" i="20"/>
  <c r="I4115" i="20"/>
  <c r="I4116" i="20"/>
  <c r="I4117" i="20"/>
  <c r="I4118" i="20"/>
  <c r="I4119" i="20"/>
  <c r="I4120" i="20"/>
  <c r="I4121" i="20"/>
  <c r="I4122" i="20"/>
  <c r="I4123" i="20"/>
  <c r="I4124" i="20"/>
  <c r="I4125" i="20"/>
  <c r="I4126" i="20"/>
  <c r="I4127" i="20"/>
  <c r="I4128" i="20"/>
  <c r="I4129" i="20"/>
  <c r="I4130" i="20"/>
  <c r="I4131" i="20"/>
  <c r="I4132" i="20"/>
  <c r="I4133" i="20"/>
  <c r="I4134" i="20"/>
  <c r="I4135" i="20"/>
  <c r="I4136" i="20"/>
  <c r="I4137" i="20"/>
  <c r="I4138" i="20"/>
  <c r="I4139" i="20"/>
  <c r="I4140" i="20"/>
  <c r="I4141" i="20"/>
  <c r="I4142" i="20"/>
  <c r="I4143" i="20"/>
  <c r="I4144" i="20"/>
  <c r="I4145" i="20"/>
  <c r="I4146" i="20"/>
  <c r="I4147" i="20"/>
  <c r="I4148" i="20"/>
  <c r="I4149" i="20"/>
  <c r="I4150" i="20"/>
  <c r="I4151" i="20"/>
  <c r="I4152" i="20"/>
  <c r="I4153" i="20"/>
  <c r="I4154" i="20"/>
  <c r="I4155" i="20"/>
  <c r="I4156" i="20"/>
  <c r="I4157" i="20"/>
  <c r="I4158" i="20"/>
  <c r="I4159" i="20"/>
  <c r="I4160" i="20"/>
  <c r="I4161" i="20"/>
  <c r="I4162" i="20"/>
  <c r="I4163" i="20"/>
  <c r="I4164" i="20"/>
  <c r="I4165" i="20"/>
  <c r="I4166" i="20"/>
  <c r="I4167" i="20"/>
  <c r="I4168" i="20"/>
  <c r="I4169" i="20"/>
  <c r="I4170" i="20"/>
  <c r="I4171" i="20"/>
  <c r="I4172" i="20"/>
  <c r="I4173" i="20"/>
  <c r="I4174" i="20"/>
  <c r="I4175" i="20"/>
  <c r="I4176" i="20"/>
  <c r="I4177" i="20"/>
  <c r="I4178" i="20"/>
  <c r="I4179" i="20"/>
  <c r="I4180" i="20"/>
  <c r="I4181" i="20"/>
  <c r="I4182" i="20"/>
  <c r="I4183" i="20"/>
  <c r="I4184" i="20"/>
  <c r="I4185" i="20"/>
  <c r="I4186" i="20"/>
  <c r="I4187" i="20"/>
  <c r="I4188" i="20"/>
  <c r="I4189" i="20"/>
  <c r="I4190" i="20"/>
  <c r="I4191" i="20"/>
  <c r="I4192" i="20"/>
  <c r="I4193" i="20"/>
  <c r="I4194" i="20"/>
  <c r="I4195" i="20"/>
  <c r="I4196" i="20"/>
  <c r="I4197" i="20"/>
  <c r="I4198" i="20"/>
  <c r="I4199" i="20"/>
  <c r="I4200" i="20"/>
  <c r="I4201" i="20"/>
  <c r="I4202" i="20"/>
  <c r="I4203" i="20"/>
  <c r="I4204" i="20"/>
  <c r="I4205" i="20"/>
  <c r="I4206" i="20"/>
  <c r="I4207" i="20"/>
  <c r="I4208" i="20"/>
  <c r="I4209" i="20"/>
  <c r="I4210" i="20"/>
  <c r="I4211" i="20"/>
  <c r="I4212" i="20"/>
  <c r="I4213" i="20"/>
  <c r="I4214" i="20"/>
  <c r="I4215" i="20"/>
  <c r="I4216" i="20"/>
  <c r="I4217" i="20"/>
  <c r="I4218" i="20"/>
  <c r="I4219" i="20"/>
  <c r="I4220" i="20"/>
  <c r="I4221" i="20"/>
  <c r="I4222" i="20"/>
  <c r="I4223" i="20"/>
  <c r="I4224" i="20"/>
  <c r="I4225" i="20"/>
  <c r="I4226" i="20"/>
  <c r="I4227" i="20"/>
  <c r="I4228" i="20"/>
  <c r="I4229" i="20"/>
  <c r="I4230" i="20"/>
  <c r="I4231" i="20"/>
  <c r="I4232" i="20"/>
  <c r="I4233" i="20"/>
  <c r="I4234" i="20"/>
  <c r="I4235" i="20"/>
  <c r="I4236" i="20"/>
  <c r="I4237" i="20"/>
  <c r="I4238" i="20"/>
  <c r="I4239" i="20"/>
  <c r="I4240" i="20"/>
  <c r="I4241" i="20"/>
  <c r="I4242" i="20"/>
  <c r="I4243" i="20"/>
  <c r="I4244" i="20"/>
  <c r="I4245" i="20"/>
  <c r="I4246" i="20"/>
  <c r="I4247" i="20"/>
  <c r="I4248" i="20"/>
  <c r="I4249" i="20"/>
  <c r="I4250" i="20"/>
  <c r="I4251" i="20"/>
  <c r="I4252" i="20"/>
  <c r="I4253" i="20"/>
  <c r="I4254" i="20"/>
  <c r="I4255" i="20"/>
  <c r="I4256" i="20"/>
  <c r="I4257" i="20"/>
  <c r="I4258" i="20"/>
  <c r="I4259" i="20"/>
  <c r="I4260" i="20"/>
  <c r="I4261" i="20"/>
  <c r="I4262" i="20"/>
  <c r="I4263" i="20"/>
  <c r="I4264" i="20"/>
  <c r="I4265" i="20"/>
  <c r="I4266" i="20"/>
  <c r="I4267" i="20"/>
  <c r="I4268" i="20"/>
  <c r="I4269" i="20"/>
  <c r="I4270" i="20"/>
  <c r="I4271" i="20"/>
  <c r="I4272" i="20"/>
  <c r="I4273" i="20"/>
  <c r="I4274" i="20"/>
  <c r="I4275" i="20"/>
  <c r="I4276" i="20"/>
  <c r="I4277" i="20"/>
  <c r="I4278" i="20"/>
  <c r="I4279" i="20"/>
  <c r="I4280" i="20"/>
  <c r="I4281" i="20"/>
  <c r="I4282" i="20"/>
  <c r="I4283" i="20"/>
  <c r="I4284" i="20"/>
  <c r="I4285" i="20"/>
  <c r="I4286" i="20"/>
  <c r="I4287" i="20"/>
  <c r="I4288" i="20"/>
  <c r="I4289" i="20"/>
  <c r="I4290" i="20"/>
  <c r="I4291" i="20"/>
  <c r="I4292" i="20"/>
  <c r="I4293" i="20"/>
  <c r="I4294" i="20"/>
  <c r="I4295" i="20"/>
  <c r="I4296" i="20"/>
  <c r="I4297" i="20"/>
  <c r="I4298" i="20"/>
  <c r="I4299" i="20"/>
  <c r="I4300" i="20"/>
  <c r="I4301" i="20"/>
  <c r="I4302" i="20"/>
  <c r="I4303" i="20"/>
  <c r="I4304" i="20"/>
  <c r="I4305" i="20"/>
  <c r="I4306" i="20"/>
  <c r="I4307" i="20"/>
  <c r="I4308" i="20"/>
  <c r="I4309" i="20"/>
  <c r="I4310" i="20"/>
  <c r="I4311" i="20"/>
  <c r="I4312" i="20"/>
  <c r="I4313" i="20"/>
  <c r="I4314" i="20"/>
  <c r="I4315" i="20"/>
  <c r="I4316" i="20"/>
  <c r="I4317" i="20"/>
  <c r="I4318" i="20"/>
  <c r="I4319" i="20"/>
  <c r="I4320" i="20"/>
  <c r="I4321" i="20"/>
  <c r="I4322" i="20"/>
  <c r="I4323" i="20"/>
  <c r="I4324" i="20"/>
  <c r="I4325" i="20"/>
  <c r="I4326" i="20"/>
  <c r="I4327" i="20"/>
  <c r="I4328" i="20"/>
  <c r="I4329" i="20"/>
  <c r="I4330" i="20"/>
  <c r="I4331" i="20"/>
  <c r="I4332" i="20"/>
  <c r="I4333" i="20"/>
  <c r="I4334" i="20"/>
  <c r="I4335" i="20"/>
  <c r="I4336" i="20"/>
  <c r="I4337" i="20"/>
  <c r="I4338" i="20"/>
  <c r="I4339" i="20"/>
  <c r="I4340" i="20"/>
  <c r="I4341" i="20"/>
  <c r="I4342" i="20"/>
  <c r="I4343" i="20"/>
  <c r="I4344" i="20"/>
  <c r="I4345" i="20"/>
  <c r="I4346" i="20"/>
  <c r="I4347" i="20"/>
  <c r="I4348" i="20"/>
  <c r="I4349" i="20"/>
  <c r="I4350" i="20"/>
  <c r="I4351" i="20"/>
  <c r="I4352" i="20"/>
  <c r="I4353" i="20"/>
  <c r="I4354" i="20"/>
  <c r="I4355" i="20"/>
  <c r="I4356" i="20"/>
  <c r="I4357" i="20"/>
  <c r="I4358" i="20"/>
  <c r="I4359" i="20"/>
  <c r="I4360" i="20"/>
  <c r="I4361" i="20"/>
  <c r="I4362" i="20"/>
  <c r="I4363" i="20"/>
  <c r="I4364" i="20"/>
  <c r="I4365" i="20"/>
  <c r="I4366" i="20"/>
  <c r="I4367" i="20"/>
  <c r="I4368" i="20"/>
  <c r="I4369" i="20"/>
  <c r="I4370" i="20"/>
  <c r="I4371" i="20"/>
  <c r="I4372" i="20"/>
  <c r="I4373" i="20"/>
  <c r="I4374" i="20"/>
  <c r="I4375" i="20"/>
  <c r="I4376" i="20"/>
  <c r="I4377" i="20"/>
  <c r="I4378" i="20"/>
  <c r="I4379" i="20"/>
  <c r="I4380" i="20"/>
  <c r="I4381" i="20"/>
  <c r="I4382" i="20"/>
  <c r="I4383" i="20"/>
  <c r="I4384" i="20"/>
  <c r="I4385" i="20"/>
  <c r="I4386" i="20"/>
  <c r="I4387" i="20"/>
  <c r="I4388" i="20"/>
  <c r="I4389" i="20"/>
  <c r="I4390" i="20"/>
  <c r="I4391" i="20"/>
  <c r="I4392" i="20"/>
  <c r="I4393" i="20"/>
  <c r="I4394" i="20"/>
  <c r="I4395" i="20"/>
  <c r="I4396" i="20"/>
  <c r="I4397" i="20"/>
  <c r="I4398" i="20"/>
  <c r="I4399" i="20"/>
  <c r="I4400" i="20"/>
  <c r="I4401" i="20"/>
  <c r="I4402" i="20"/>
  <c r="I4403" i="20"/>
  <c r="I4404" i="20"/>
  <c r="I4405" i="20"/>
  <c r="I4406" i="20"/>
  <c r="I4407" i="20"/>
  <c r="I4408" i="20"/>
  <c r="I4409" i="20"/>
  <c r="I4410" i="20"/>
  <c r="I4411" i="20"/>
  <c r="I4412" i="20"/>
  <c r="I4413" i="20"/>
  <c r="I4414" i="20"/>
  <c r="I4415" i="20"/>
  <c r="I4416" i="20"/>
  <c r="I4417" i="20"/>
  <c r="I4418" i="20"/>
  <c r="I4419" i="20"/>
  <c r="I4420" i="20"/>
  <c r="I4421" i="20"/>
  <c r="I4422" i="20"/>
  <c r="I4423" i="20"/>
  <c r="I4424" i="20"/>
  <c r="I4425" i="20"/>
  <c r="I4426" i="20"/>
  <c r="I4427" i="20"/>
  <c r="I4428" i="20"/>
  <c r="I4429" i="20"/>
  <c r="I4430" i="20"/>
  <c r="I4431" i="20"/>
  <c r="I4432" i="20"/>
  <c r="I4433" i="20"/>
  <c r="I4434" i="20"/>
  <c r="I4435" i="20"/>
  <c r="I4436" i="20"/>
  <c r="I4437" i="20"/>
  <c r="I4438" i="20"/>
  <c r="I4439" i="20"/>
  <c r="I4440" i="20"/>
  <c r="I4441" i="20"/>
  <c r="I4442" i="20"/>
  <c r="I4443" i="20"/>
  <c r="I4444" i="20"/>
  <c r="I4445" i="20"/>
  <c r="I4446" i="20"/>
  <c r="I4447" i="20"/>
  <c r="I4448" i="20"/>
  <c r="I4449" i="20"/>
  <c r="I4450" i="20"/>
  <c r="I4451" i="20"/>
  <c r="I4452" i="20"/>
  <c r="I4453" i="20"/>
  <c r="I4454" i="20"/>
  <c r="I4455" i="20"/>
  <c r="I4456" i="20"/>
  <c r="I4457" i="20"/>
  <c r="I4458" i="20"/>
  <c r="I4459" i="20"/>
  <c r="I4460" i="20"/>
  <c r="I4461" i="20"/>
  <c r="I4462" i="20"/>
  <c r="I4463" i="20"/>
  <c r="I4464" i="20"/>
  <c r="I4465" i="20"/>
  <c r="I4466" i="20"/>
  <c r="I4467" i="20"/>
  <c r="I4468" i="20"/>
  <c r="I4469" i="20"/>
  <c r="I4470" i="20"/>
  <c r="I4471" i="20"/>
  <c r="I4472" i="20"/>
  <c r="I4473" i="20"/>
  <c r="I4474" i="20"/>
  <c r="I4475" i="20"/>
  <c r="I4476" i="20"/>
  <c r="I4477" i="20"/>
  <c r="I4478" i="20"/>
  <c r="I4479" i="20"/>
  <c r="I4480" i="20"/>
  <c r="I4481" i="20"/>
  <c r="I4482" i="20"/>
  <c r="I4483" i="20"/>
  <c r="I4484" i="20"/>
  <c r="I4485" i="20"/>
  <c r="I4486" i="20"/>
  <c r="I4487" i="20"/>
  <c r="I4488" i="20"/>
  <c r="I4489" i="20"/>
  <c r="I4490" i="20"/>
  <c r="I4491" i="20"/>
  <c r="I4492" i="20"/>
  <c r="I4493" i="20"/>
  <c r="I4494" i="20"/>
  <c r="I4495" i="20"/>
  <c r="I4496" i="20"/>
  <c r="I4497" i="20"/>
  <c r="I4498" i="20"/>
  <c r="I4499" i="20"/>
  <c r="I4500" i="20"/>
  <c r="I4501" i="20"/>
  <c r="I4502" i="20"/>
  <c r="I4503" i="20"/>
  <c r="I4504" i="20"/>
  <c r="I4505" i="20"/>
  <c r="I4506" i="20"/>
  <c r="I4507" i="20"/>
  <c r="I4508" i="20"/>
  <c r="I4509" i="20"/>
  <c r="I4510" i="20"/>
  <c r="I4511" i="20"/>
  <c r="I4512" i="20"/>
  <c r="I4513" i="20"/>
  <c r="I4514" i="20"/>
  <c r="I4515" i="20"/>
  <c r="I4516" i="20"/>
  <c r="I4517" i="20"/>
  <c r="I4518" i="20"/>
  <c r="I4519" i="20"/>
  <c r="I4520" i="20"/>
  <c r="I4521" i="20"/>
  <c r="I4522" i="20"/>
  <c r="I4523" i="20"/>
  <c r="I4524" i="20"/>
  <c r="I4525" i="20"/>
  <c r="I4526" i="20"/>
  <c r="I4527" i="20"/>
  <c r="I4528" i="20"/>
  <c r="I4529" i="20"/>
  <c r="I4530" i="20"/>
  <c r="I4531" i="20"/>
  <c r="I4532" i="20"/>
  <c r="I4533" i="20"/>
  <c r="I4534" i="20"/>
  <c r="I4535" i="20"/>
  <c r="I4536" i="20"/>
  <c r="I4537" i="20"/>
  <c r="I4538" i="20"/>
  <c r="I4539" i="20"/>
  <c r="I4540" i="20"/>
  <c r="I4541" i="20"/>
  <c r="I4542" i="20"/>
  <c r="I4543" i="20"/>
  <c r="I4544" i="20"/>
  <c r="I4545" i="20"/>
  <c r="I4546" i="20"/>
  <c r="I4547" i="20"/>
  <c r="I4548" i="20"/>
  <c r="I4549" i="20"/>
  <c r="I4550" i="20"/>
  <c r="I4551" i="20"/>
  <c r="I4552" i="20"/>
  <c r="I4553" i="20"/>
  <c r="I4554" i="20"/>
  <c r="I4555" i="20"/>
  <c r="I4556" i="20"/>
  <c r="I4557" i="20"/>
  <c r="I4558" i="20"/>
  <c r="I4559" i="20"/>
  <c r="I4560" i="20"/>
  <c r="I4561" i="20"/>
  <c r="I4562" i="20"/>
  <c r="I4563" i="20"/>
  <c r="I4564" i="20"/>
  <c r="I4565" i="20"/>
  <c r="I4566" i="20"/>
  <c r="I4567" i="20"/>
  <c r="I4568" i="20"/>
  <c r="I4569" i="20"/>
  <c r="I4570" i="20"/>
  <c r="I4571" i="20"/>
  <c r="I4572" i="20"/>
  <c r="I4573" i="20"/>
  <c r="I4574" i="20"/>
  <c r="I4575" i="20"/>
  <c r="I4576" i="20"/>
  <c r="I4577" i="20"/>
  <c r="I4578" i="20"/>
  <c r="I4579" i="20"/>
  <c r="I4580" i="20"/>
  <c r="I4581" i="20"/>
  <c r="I4582" i="20"/>
  <c r="I4583" i="20"/>
  <c r="I4584" i="20"/>
  <c r="I4585" i="20"/>
  <c r="I4586" i="20"/>
  <c r="I4587" i="20"/>
  <c r="I4588" i="20"/>
  <c r="I4589" i="20"/>
  <c r="I4590" i="20"/>
  <c r="I4591" i="20"/>
  <c r="I4592" i="20"/>
  <c r="I4593" i="20"/>
  <c r="I4594" i="20"/>
  <c r="I4595" i="20"/>
  <c r="I4596" i="20"/>
  <c r="I4597" i="20"/>
  <c r="I4598" i="20"/>
  <c r="I4599" i="20"/>
  <c r="I4600" i="20"/>
  <c r="I4601" i="20"/>
  <c r="I4602" i="20"/>
  <c r="I4603" i="20"/>
  <c r="I4604" i="20"/>
  <c r="I4605" i="20"/>
  <c r="I4606" i="20"/>
  <c r="I4607" i="20"/>
  <c r="I4608" i="20"/>
  <c r="I4609" i="20"/>
  <c r="I4610" i="20"/>
  <c r="I4611" i="20"/>
  <c r="I4612" i="20"/>
  <c r="I4613" i="20"/>
  <c r="I4614" i="20"/>
  <c r="I4615" i="20"/>
  <c r="I4616" i="20"/>
  <c r="I4617" i="20"/>
  <c r="I4618" i="20"/>
  <c r="I4619" i="20"/>
  <c r="I4620" i="20"/>
  <c r="I4621" i="20"/>
  <c r="I4622" i="20"/>
  <c r="I4623" i="20"/>
  <c r="I4624" i="20"/>
  <c r="I4625" i="20"/>
  <c r="I4626" i="20"/>
  <c r="I4627" i="20"/>
  <c r="I4628" i="20"/>
  <c r="I4629" i="20"/>
  <c r="I4630" i="20"/>
  <c r="I4631" i="20"/>
  <c r="I4632" i="20"/>
  <c r="I4633" i="20"/>
  <c r="I4634" i="20"/>
  <c r="I4635" i="20"/>
  <c r="I4636" i="20"/>
  <c r="I4637" i="20"/>
  <c r="I4638" i="20"/>
  <c r="I4639" i="20"/>
  <c r="I4640" i="20"/>
  <c r="I4641" i="20"/>
  <c r="I4642" i="20"/>
  <c r="I4643" i="20"/>
  <c r="I4644" i="20"/>
  <c r="I4645" i="20"/>
  <c r="I4646" i="20"/>
  <c r="I4647" i="20"/>
  <c r="I4648" i="20"/>
  <c r="I4649" i="20"/>
  <c r="I4650" i="20"/>
  <c r="I4651" i="20"/>
  <c r="I4652" i="20"/>
  <c r="I4653" i="20"/>
  <c r="I4654" i="20"/>
  <c r="I4655" i="20"/>
  <c r="I4656" i="20"/>
  <c r="I4657" i="20"/>
  <c r="I4658" i="20"/>
  <c r="I4659" i="20"/>
  <c r="I4660" i="20"/>
  <c r="I4661" i="20"/>
  <c r="I4662" i="20"/>
  <c r="I4663" i="20"/>
  <c r="I4664" i="20"/>
  <c r="I4665" i="20"/>
  <c r="I4666" i="20"/>
  <c r="I4667" i="20"/>
  <c r="I4668" i="20"/>
  <c r="I4669" i="20"/>
  <c r="I4670" i="20"/>
  <c r="I4671" i="20"/>
  <c r="I4672" i="20"/>
  <c r="I4673" i="20"/>
  <c r="I4674" i="20"/>
  <c r="I4675" i="20"/>
  <c r="I4676" i="20"/>
  <c r="I4677" i="20"/>
  <c r="I4678" i="20"/>
  <c r="I4679" i="20"/>
  <c r="I4680" i="20"/>
  <c r="I4681" i="20"/>
  <c r="I4682" i="20"/>
  <c r="I4683" i="20"/>
  <c r="I4684" i="20"/>
  <c r="I4685" i="20"/>
  <c r="I4686" i="20"/>
  <c r="I4687" i="20"/>
  <c r="I4688" i="20"/>
  <c r="I4689" i="20"/>
  <c r="I4690" i="20"/>
  <c r="I4691" i="20"/>
  <c r="I4692" i="20"/>
  <c r="I4693" i="20"/>
  <c r="I4694" i="20"/>
  <c r="I4695" i="20"/>
  <c r="I4696" i="20"/>
  <c r="I4697" i="20"/>
  <c r="I4698" i="20"/>
  <c r="I4699" i="20"/>
  <c r="I4700" i="20"/>
  <c r="I4701" i="20"/>
  <c r="I4702" i="20"/>
  <c r="I4703" i="20"/>
  <c r="I4704" i="20"/>
  <c r="I4705" i="20"/>
  <c r="I4706" i="20"/>
  <c r="I4707" i="20"/>
  <c r="I4708" i="20"/>
  <c r="I4709" i="20"/>
  <c r="I4710" i="20"/>
  <c r="I4711" i="20"/>
  <c r="I4712" i="20"/>
  <c r="I4713" i="20"/>
  <c r="I4714" i="20"/>
  <c r="I4715" i="20"/>
  <c r="I4716" i="20"/>
  <c r="I4717" i="20"/>
  <c r="I4718" i="20"/>
  <c r="I4719" i="20"/>
  <c r="I4720" i="20"/>
  <c r="I4721" i="20"/>
  <c r="I4722" i="20"/>
  <c r="I4723" i="20"/>
  <c r="I4724" i="20"/>
  <c r="I4725" i="20"/>
  <c r="I4726" i="20"/>
  <c r="I4727" i="20"/>
  <c r="I4728" i="20"/>
  <c r="I4729" i="20"/>
  <c r="I4730" i="20"/>
  <c r="I4731" i="20"/>
  <c r="I4732" i="20"/>
  <c r="I4733" i="20"/>
  <c r="I4734" i="20"/>
  <c r="I4735" i="20"/>
  <c r="I4736" i="20"/>
  <c r="I4737" i="20"/>
  <c r="I4738" i="20"/>
  <c r="I4739" i="20"/>
  <c r="I4740" i="20"/>
  <c r="I4741" i="20"/>
  <c r="I4742" i="20"/>
  <c r="I4743" i="20"/>
  <c r="I4744" i="20"/>
  <c r="I4745" i="20"/>
  <c r="I4746" i="20"/>
  <c r="I4747" i="20"/>
  <c r="I4748" i="20"/>
  <c r="I4749" i="20"/>
  <c r="I4750" i="20"/>
  <c r="I4751" i="20"/>
  <c r="I4752" i="20"/>
  <c r="I4753" i="20"/>
  <c r="I4754" i="20"/>
  <c r="I4755" i="20"/>
  <c r="I4756" i="20"/>
  <c r="I4757" i="20"/>
  <c r="I4758" i="20"/>
  <c r="I4759" i="20"/>
  <c r="I4760" i="20"/>
  <c r="I4761" i="20"/>
  <c r="I4762" i="20"/>
  <c r="I4763" i="20"/>
  <c r="I4764" i="20"/>
  <c r="I4765" i="20"/>
  <c r="I4766" i="20"/>
  <c r="I4767" i="20"/>
  <c r="I4768" i="20"/>
  <c r="I4769" i="20"/>
  <c r="I4770" i="20"/>
  <c r="I4771" i="20"/>
  <c r="I4772" i="20"/>
  <c r="I4773" i="20"/>
  <c r="I4774" i="20"/>
  <c r="I4775" i="20"/>
  <c r="I4776" i="20"/>
  <c r="I4777" i="20"/>
  <c r="I4778" i="20"/>
  <c r="I4779" i="20"/>
  <c r="I4780" i="20"/>
  <c r="I4781" i="20"/>
  <c r="I4782" i="20"/>
  <c r="I4783" i="20"/>
  <c r="I4784" i="20"/>
  <c r="I4785" i="20"/>
  <c r="I4786" i="20"/>
  <c r="I4787" i="20"/>
  <c r="I4788" i="20"/>
  <c r="I4789" i="20"/>
  <c r="I4790" i="20"/>
  <c r="I4791" i="20"/>
  <c r="I4792" i="20"/>
  <c r="I4793" i="20"/>
  <c r="I4794" i="20"/>
  <c r="I4795" i="20"/>
  <c r="I4796" i="20"/>
  <c r="I4797" i="20"/>
  <c r="I4798" i="20"/>
  <c r="I4799" i="20"/>
  <c r="I4800" i="20"/>
  <c r="I4801" i="20"/>
  <c r="I4802" i="20"/>
  <c r="I4803" i="20"/>
  <c r="I4804" i="20"/>
  <c r="I4805" i="20"/>
  <c r="I4806" i="20"/>
  <c r="I4807" i="20"/>
  <c r="I4808" i="20"/>
  <c r="I4809" i="20"/>
  <c r="I4810" i="20"/>
  <c r="I4811" i="20"/>
  <c r="I4812" i="20"/>
  <c r="I4813" i="20"/>
  <c r="I4814" i="20"/>
  <c r="I4815" i="20"/>
  <c r="I4816" i="20"/>
  <c r="I4817" i="20"/>
  <c r="I4818" i="20"/>
  <c r="I4819" i="20"/>
  <c r="I4820" i="20"/>
  <c r="I4821" i="20"/>
  <c r="I4822" i="20"/>
  <c r="I4823" i="20"/>
  <c r="I4824" i="20"/>
  <c r="I4825" i="20"/>
  <c r="I4826" i="20"/>
  <c r="I4827" i="20"/>
  <c r="I4828" i="20"/>
  <c r="I4829" i="20"/>
  <c r="I4830" i="20"/>
  <c r="I4831" i="20"/>
  <c r="I4832" i="20"/>
  <c r="I4833" i="20"/>
  <c r="I4834" i="20"/>
  <c r="I4835" i="20"/>
  <c r="I4836" i="20"/>
  <c r="I4837" i="20"/>
  <c r="I4838" i="20"/>
  <c r="I4839" i="20"/>
  <c r="I4840" i="20"/>
  <c r="I4841" i="20"/>
  <c r="I4842" i="20"/>
  <c r="I4843" i="20"/>
  <c r="I4844" i="20"/>
  <c r="I4845" i="20"/>
  <c r="I4846" i="20"/>
  <c r="I4847" i="20"/>
  <c r="I4848" i="20"/>
  <c r="I4849" i="20"/>
  <c r="I4850" i="20"/>
  <c r="I4851" i="20"/>
  <c r="I4852" i="20"/>
  <c r="I4853" i="20"/>
  <c r="I4854" i="20"/>
  <c r="I4855" i="20"/>
  <c r="I4856" i="20"/>
  <c r="I4857" i="20"/>
  <c r="I4858" i="20"/>
  <c r="I4859" i="20"/>
  <c r="I4860" i="20"/>
  <c r="I4861" i="20"/>
  <c r="I4862" i="20"/>
  <c r="I4863" i="20"/>
  <c r="I4864" i="20"/>
  <c r="I4865" i="20"/>
  <c r="I4866" i="20"/>
  <c r="I4867" i="20"/>
  <c r="I4868" i="20"/>
  <c r="I4869" i="20"/>
  <c r="I4870" i="20"/>
  <c r="I4871" i="20"/>
  <c r="I4872" i="20"/>
  <c r="I4873" i="20"/>
  <c r="I4874" i="20"/>
  <c r="I4875" i="20"/>
  <c r="I4876" i="20"/>
  <c r="I4877" i="20"/>
  <c r="I4878" i="20"/>
  <c r="I4879" i="20"/>
  <c r="I4880" i="20"/>
  <c r="I4881" i="20"/>
  <c r="I4882" i="20"/>
  <c r="I4883" i="20"/>
  <c r="I4884" i="20"/>
  <c r="I4885" i="20"/>
  <c r="I4886" i="20"/>
  <c r="I4887" i="20"/>
  <c r="I4888" i="20"/>
  <c r="I4889" i="20"/>
  <c r="I4890" i="20"/>
  <c r="I4891" i="20"/>
  <c r="I4892" i="20"/>
  <c r="I4893" i="20"/>
  <c r="I4894" i="20"/>
  <c r="I4895" i="20"/>
  <c r="I4896" i="20"/>
  <c r="I4897" i="20"/>
  <c r="I4898" i="20"/>
  <c r="I4899" i="20"/>
  <c r="I4900" i="20"/>
  <c r="I4901" i="20"/>
  <c r="I4902" i="20"/>
  <c r="I4903" i="20"/>
  <c r="I4904" i="20"/>
  <c r="I4905" i="20"/>
  <c r="I4906" i="20"/>
  <c r="I4907" i="20"/>
  <c r="I4908" i="20"/>
  <c r="I4909" i="20"/>
  <c r="I4910" i="20"/>
  <c r="I4911" i="20"/>
  <c r="I4912" i="20"/>
  <c r="I4913" i="20"/>
  <c r="I4914" i="20"/>
  <c r="I4915" i="20"/>
  <c r="I4916" i="20"/>
  <c r="I4917" i="20"/>
  <c r="I4918" i="20"/>
  <c r="I4919" i="20"/>
  <c r="I4920" i="20"/>
  <c r="I4921" i="20"/>
  <c r="I4922" i="20"/>
  <c r="I4923" i="20"/>
  <c r="I4924" i="20"/>
  <c r="I4925" i="20"/>
  <c r="I4926" i="20"/>
  <c r="I4927" i="20"/>
  <c r="I4928" i="20"/>
  <c r="I4929" i="20"/>
  <c r="I4930" i="20"/>
  <c r="I4931" i="20"/>
  <c r="I4932" i="20"/>
  <c r="I4933" i="20"/>
  <c r="I4934" i="20"/>
  <c r="I4935" i="20"/>
  <c r="I4936" i="20"/>
  <c r="I4937" i="20"/>
  <c r="I4938" i="20"/>
  <c r="I4939" i="20"/>
  <c r="I4940" i="20"/>
  <c r="I4941" i="20"/>
  <c r="I4942" i="20"/>
  <c r="I4943" i="20"/>
  <c r="I4944" i="20"/>
  <c r="I4945" i="20"/>
  <c r="I4946" i="20"/>
  <c r="I4947" i="20"/>
  <c r="I4948" i="20"/>
  <c r="I4949" i="20"/>
  <c r="I4950" i="20"/>
  <c r="I4951" i="20"/>
  <c r="I4952" i="20"/>
  <c r="I4953" i="20"/>
  <c r="I4954" i="20"/>
  <c r="I4955" i="20"/>
  <c r="I4956" i="20"/>
  <c r="I4957" i="20"/>
  <c r="I4958" i="20"/>
  <c r="I4959" i="20"/>
  <c r="I4960" i="20"/>
  <c r="I4961" i="20"/>
  <c r="I4962" i="20"/>
  <c r="I4963" i="20"/>
  <c r="I4964" i="20"/>
  <c r="I4965" i="20"/>
  <c r="I4966" i="20"/>
  <c r="I4967" i="20"/>
  <c r="I4968" i="20"/>
  <c r="I4969" i="20"/>
  <c r="I4970" i="20"/>
  <c r="I4971" i="20"/>
  <c r="I4972" i="20"/>
  <c r="I4973" i="20"/>
  <c r="I4974" i="20"/>
  <c r="I4975" i="20"/>
  <c r="I4976" i="20"/>
  <c r="I4977" i="20"/>
  <c r="I4978" i="20"/>
  <c r="I4979" i="20"/>
  <c r="I4980" i="20"/>
  <c r="I4981" i="20"/>
  <c r="I4982" i="20"/>
  <c r="I4983" i="20"/>
  <c r="I4984" i="20"/>
  <c r="I4985" i="20"/>
  <c r="I4986" i="20"/>
  <c r="I4987" i="20"/>
  <c r="I4988" i="20"/>
  <c r="I4989" i="20"/>
  <c r="I4990" i="20"/>
  <c r="I4991" i="20"/>
  <c r="I4992" i="20"/>
  <c r="I4993" i="20"/>
  <c r="I4994" i="20"/>
  <c r="I4995" i="20"/>
  <c r="I4996" i="20"/>
  <c r="I4997" i="20"/>
  <c r="I4998" i="20"/>
  <c r="I4999" i="20"/>
  <c r="I5000" i="20"/>
  <c r="I5001" i="20"/>
  <c r="I5002" i="20"/>
  <c r="I5003" i="20"/>
  <c r="I5004" i="20"/>
  <c r="I5005" i="20"/>
  <c r="I5006" i="20"/>
  <c r="I5007" i="20"/>
  <c r="I5008" i="20"/>
  <c r="I5009" i="20"/>
  <c r="I5010" i="20"/>
  <c r="I5011" i="20"/>
  <c r="I5012" i="20"/>
  <c r="I5013" i="20"/>
  <c r="I5014" i="20"/>
  <c r="I5015" i="20"/>
  <c r="I5016" i="20"/>
  <c r="I5017" i="20"/>
  <c r="I5018" i="20"/>
  <c r="I5019" i="20"/>
  <c r="I5020" i="20"/>
  <c r="I5021" i="20"/>
  <c r="I5022" i="20"/>
  <c r="I5023" i="20"/>
  <c r="I5024" i="20"/>
  <c r="I5025" i="20"/>
  <c r="I5026" i="20"/>
  <c r="I5027" i="20"/>
  <c r="I5028" i="20"/>
  <c r="I5029" i="20"/>
  <c r="I5030" i="20"/>
  <c r="I5031" i="20"/>
  <c r="I5032" i="20"/>
  <c r="I5033" i="20"/>
  <c r="I5034" i="20"/>
  <c r="I5035" i="20"/>
  <c r="I5036" i="20"/>
  <c r="I5037" i="20"/>
  <c r="I5038" i="20"/>
  <c r="I5039" i="20"/>
  <c r="I5040" i="20"/>
  <c r="I5041" i="20"/>
  <c r="I5042" i="20"/>
  <c r="I5043" i="20"/>
  <c r="I5044" i="20"/>
  <c r="I5045" i="20"/>
  <c r="I5046" i="20"/>
  <c r="I5047" i="20"/>
  <c r="I5048" i="20"/>
  <c r="I5049" i="20"/>
  <c r="I5050" i="20"/>
  <c r="I5051" i="20"/>
  <c r="I5052" i="20"/>
  <c r="I5053" i="20"/>
  <c r="I5054" i="20"/>
  <c r="I5055" i="20"/>
  <c r="I5056" i="20"/>
  <c r="I5057" i="20"/>
  <c r="I5058" i="20"/>
  <c r="I5059" i="20"/>
  <c r="I5060" i="20"/>
  <c r="I5061" i="20"/>
  <c r="I5062" i="20"/>
  <c r="I5063" i="20"/>
  <c r="I5064" i="20"/>
  <c r="I5065" i="20"/>
  <c r="I5066" i="20"/>
  <c r="I5067" i="20"/>
  <c r="I5068" i="20"/>
  <c r="I5069" i="20"/>
  <c r="I5070" i="20"/>
  <c r="I5071" i="20"/>
  <c r="I5072" i="20"/>
  <c r="I5073" i="20"/>
  <c r="I5074" i="20"/>
  <c r="I5075" i="20"/>
  <c r="I5076" i="20"/>
  <c r="I5077" i="20"/>
  <c r="I5078" i="20"/>
  <c r="I5079" i="20"/>
  <c r="I5080" i="20"/>
  <c r="I5081" i="20"/>
  <c r="I5082" i="20"/>
  <c r="I5083" i="20"/>
  <c r="I5084" i="20"/>
  <c r="I5085" i="20"/>
  <c r="I5086" i="20"/>
  <c r="I5087" i="20"/>
  <c r="I5088" i="20"/>
  <c r="I5089" i="20"/>
  <c r="I5090" i="20"/>
  <c r="I5091" i="20"/>
  <c r="I5092" i="20"/>
  <c r="I5093" i="20"/>
  <c r="I5094" i="20"/>
  <c r="I5095" i="20"/>
  <c r="I5096" i="20"/>
  <c r="I5097" i="20"/>
  <c r="I5098" i="20"/>
  <c r="I5099" i="20"/>
  <c r="I5100" i="20"/>
  <c r="I5101" i="20"/>
  <c r="I5102" i="20"/>
  <c r="I5103" i="20"/>
  <c r="I5104" i="20"/>
  <c r="I5105" i="20"/>
  <c r="I5106" i="20"/>
  <c r="I5107" i="20"/>
  <c r="I5108" i="20"/>
  <c r="I5109" i="20"/>
  <c r="I5110" i="20"/>
  <c r="I5111" i="20"/>
  <c r="I5112" i="20"/>
  <c r="I5113" i="20"/>
  <c r="I5114" i="20"/>
  <c r="I5115" i="20"/>
  <c r="I5116" i="20"/>
  <c r="I5117" i="20"/>
  <c r="I5118" i="20"/>
  <c r="I5119" i="20"/>
  <c r="I5120" i="20"/>
  <c r="I5121" i="20"/>
  <c r="I5122" i="20"/>
  <c r="I5123" i="20"/>
  <c r="I5124" i="20"/>
  <c r="I5125" i="20"/>
  <c r="I5126" i="20"/>
  <c r="I5127" i="20"/>
  <c r="I5128" i="20"/>
  <c r="I5129" i="20"/>
  <c r="I5130" i="20"/>
  <c r="I5131" i="20"/>
  <c r="I5132" i="20"/>
  <c r="I5133" i="20"/>
  <c r="I5134" i="20"/>
  <c r="I5135" i="20"/>
  <c r="I5136" i="20"/>
  <c r="I5137" i="20"/>
  <c r="I5138" i="20"/>
  <c r="I5139" i="20"/>
  <c r="I5140" i="20"/>
  <c r="I5141" i="20"/>
  <c r="I5142" i="20"/>
  <c r="I5143" i="20"/>
  <c r="I5144" i="20"/>
  <c r="I5145" i="20"/>
  <c r="I5146" i="20"/>
  <c r="I5147" i="20"/>
  <c r="I5148" i="20"/>
  <c r="I5149" i="20"/>
  <c r="I5150" i="20"/>
  <c r="I5151" i="20"/>
  <c r="I5152" i="20"/>
  <c r="I5153" i="20"/>
  <c r="I5154" i="20"/>
  <c r="I5155" i="20"/>
  <c r="I5156" i="20"/>
  <c r="I5157" i="20"/>
  <c r="I5158" i="20"/>
  <c r="I5159" i="20"/>
  <c r="I5160" i="20"/>
  <c r="I5161" i="20"/>
  <c r="I5162" i="20"/>
  <c r="I5163" i="20"/>
  <c r="I5164" i="20"/>
  <c r="I5165" i="20"/>
  <c r="I5166" i="20"/>
  <c r="I5167" i="20"/>
  <c r="I5168" i="20"/>
  <c r="I5169" i="20"/>
  <c r="I5170" i="20"/>
  <c r="I5171" i="20"/>
  <c r="I5172" i="20"/>
  <c r="I5173" i="20"/>
  <c r="I5174" i="20"/>
  <c r="I5175" i="20"/>
  <c r="I5176" i="20"/>
  <c r="I5177" i="20"/>
  <c r="I5178" i="20"/>
  <c r="I5179" i="20"/>
  <c r="I5180" i="20"/>
  <c r="I5181" i="20"/>
  <c r="I5182" i="20"/>
  <c r="I5183" i="20"/>
  <c r="I5184" i="20"/>
  <c r="I5185" i="20"/>
  <c r="I5186" i="20"/>
  <c r="I5187" i="20"/>
  <c r="I5188" i="20"/>
  <c r="I5189" i="20"/>
  <c r="I5190" i="20"/>
  <c r="I5191" i="20"/>
  <c r="I5192" i="20"/>
  <c r="I5193" i="20"/>
  <c r="I5194" i="20"/>
  <c r="I5195" i="20"/>
  <c r="I5196" i="20"/>
  <c r="I5197" i="20"/>
  <c r="I5198" i="20"/>
  <c r="I5199" i="20"/>
  <c r="I5200" i="20"/>
  <c r="I5201" i="20"/>
  <c r="I5202" i="20"/>
  <c r="I5203" i="20"/>
  <c r="I5204" i="20"/>
  <c r="I5205" i="20"/>
  <c r="I5206" i="20"/>
  <c r="I5207" i="20"/>
  <c r="I5208" i="20"/>
  <c r="I5209" i="20"/>
  <c r="I5210" i="20"/>
  <c r="I5211" i="20"/>
  <c r="I5212" i="20"/>
  <c r="I5213" i="20"/>
  <c r="I5214" i="20"/>
  <c r="I5215" i="20"/>
  <c r="I5216" i="20"/>
  <c r="I5217" i="20"/>
  <c r="I5218" i="20"/>
  <c r="I5219" i="20"/>
  <c r="I5220" i="20"/>
  <c r="I5221" i="20"/>
  <c r="I5222" i="20"/>
  <c r="I5223" i="20"/>
  <c r="I5224" i="20"/>
  <c r="I5225" i="20"/>
  <c r="I5226" i="20"/>
  <c r="I5227" i="20"/>
  <c r="I5228" i="20"/>
  <c r="I5229" i="20"/>
  <c r="I5230" i="20"/>
  <c r="I5231" i="20"/>
  <c r="I5232" i="20"/>
  <c r="I5233" i="20"/>
  <c r="I5234" i="20"/>
  <c r="I5235" i="20"/>
  <c r="I5236" i="20"/>
  <c r="I5237" i="20"/>
  <c r="I5238" i="20"/>
  <c r="I5239" i="20"/>
  <c r="I5240" i="20"/>
  <c r="I5241" i="20"/>
  <c r="I5242" i="20"/>
  <c r="I5243" i="20"/>
  <c r="I5244" i="20"/>
  <c r="I5245" i="20"/>
  <c r="I5246" i="20"/>
  <c r="I5247" i="20"/>
  <c r="I5248" i="20"/>
  <c r="I5249" i="20"/>
  <c r="I5250" i="20"/>
  <c r="I5251" i="20"/>
  <c r="I5252" i="20"/>
  <c r="I5253" i="20"/>
  <c r="I5254" i="20"/>
  <c r="I5255" i="20"/>
  <c r="I5256" i="20"/>
  <c r="I5257" i="20"/>
  <c r="I5258" i="20"/>
  <c r="I5259" i="20"/>
  <c r="I5260" i="20"/>
  <c r="I5261" i="20"/>
  <c r="I5262" i="20"/>
  <c r="I5263" i="20"/>
  <c r="I5264" i="20"/>
  <c r="I5265" i="20"/>
  <c r="I5266" i="20"/>
  <c r="I5267" i="20"/>
  <c r="I5268" i="20"/>
  <c r="I5269" i="20"/>
  <c r="I5270" i="20"/>
  <c r="I5271" i="20"/>
  <c r="I5272" i="20"/>
  <c r="I5273" i="20"/>
  <c r="I5274" i="20"/>
  <c r="I5275" i="20"/>
  <c r="I5276" i="20"/>
  <c r="I5277" i="20"/>
  <c r="I5278" i="20"/>
  <c r="I5279" i="20"/>
  <c r="I5280" i="20"/>
  <c r="I5281" i="20"/>
  <c r="I5282" i="20"/>
  <c r="I5283" i="20"/>
  <c r="I5284" i="20"/>
  <c r="I5285" i="20"/>
  <c r="I5286" i="20"/>
  <c r="I5287" i="20"/>
  <c r="I5288" i="20"/>
  <c r="I5289" i="20"/>
  <c r="I5290" i="20"/>
  <c r="I5291" i="20"/>
  <c r="I5292" i="20"/>
  <c r="I5293" i="20"/>
  <c r="I5294" i="20"/>
  <c r="I5295" i="20"/>
  <c r="I5296" i="20"/>
  <c r="I5297" i="20"/>
  <c r="I5298" i="20"/>
  <c r="I5299" i="20"/>
  <c r="I5300" i="20"/>
  <c r="I5301" i="20"/>
  <c r="I5302" i="20"/>
  <c r="I5303" i="20"/>
  <c r="I5304" i="20"/>
  <c r="I5305" i="20"/>
  <c r="I5306" i="20"/>
  <c r="I5307" i="20"/>
  <c r="I5308" i="20"/>
  <c r="I5309" i="20"/>
  <c r="I5310" i="20"/>
  <c r="I5311" i="20"/>
  <c r="I5312" i="20"/>
  <c r="I5313" i="20"/>
  <c r="I5314" i="20"/>
  <c r="I5315" i="20"/>
  <c r="I5316" i="20"/>
  <c r="I5317" i="20"/>
  <c r="I5318" i="20"/>
  <c r="I5319" i="20"/>
  <c r="I5320" i="20"/>
  <c r="I5321" i="20"/>
  <c r="I5322" i="20"/>
  <c r="I5323" i="20"/>
  <c r="I5324" i="20"/>
  <c r="I5325" i="20"/>
  <c r="I5326" i="20"/>
  <c r="I5327" i="20"/>
  <c r="I5328" i="20"/>
  <c r="I5329" i="20"/>
  <c r="I5330" i="20"/>
  <c r="I5331" i="20"/>
  <c r="I5332" i="20"/>
  <c r="I5333" i="20"/>
  <c r="I5334" i="20"/>
  <c r="I5335" i="20"/>
  <c r="I5336" i="20"/>
  <c r="I5337" i="20"/>
  <c r="I5338" i="20"/>
  <c r="I5339" i="20"/>
  <c r="I5340" i="20"/>
  <c r="I5341" i="20"/>
  <c r="I5342" i="20"/>
  <c r="I5343" i="20"/>
  <c r="I5344" i="20"/>
  <c r="I5345" i="20"/>
  <c r="I5346" i="20"/>
  <c r="I5347" i="20"/>
  <c r="I5348" i="20"/>
  <c r="I5349" i="20"/>
  <c r="I5350" i="20"/>
  <c r="I5351" i="20"/>
  <c r="I5352" i="20"/>
  <c r="I5353" i="20"/>
  <c r="I5354" i="20"/>
  <c r="I5355" i="20"/>
  <c r="I5356" i="20"/>
  <c r="I5357" i="20"/>
  <c r="I5358" i="20"/>
  <c r="I5359" i="20"/>
  <c r="I5360" i="20"/>
  <c r="I5361" i="20"/>
  <c r="I5362" i="20"/>
  <c r="I5363" i="20"/>
  <c r="I5364" i="20"/>
  <c r="I5365" i="20"/>
  <c r="I5366" i="20"/>
  <c r="I5367" i="20"/>
  <c r="I5368" i="20"/>
  <c r="I5369" i="20"/>
  <c r="I5370" i="20"/>
  <c r="I5371" i="20"/>
  <c r="I5372" i="20"/>
  <c r="I5373" i="20"/>
  <c r="I5374" i="20"/>
  <c r="I5375" i="20"/>
  <c r="I5376" i="20"/>
  <c r="I5377" i="20"/>
  <c r="I5378" i="20"/>
  <c r="I5379" i="20"/>
  <c r="I5380" i="20"/>
  <c r="I5381" i="20"/>
  <c r="I5382" i="20"/>
  <c r="I5383" i="20"/>
  <c r="I5384" i="20"/>
  <c r="I5385" i="20"/>
  <c r="I5386" i="20"/>
  <c r="I5387" i="20"/>
  <c r="I5388" i="20"/>
  <c r="I5389" i="20"/>
  <c r="I5390" i="20"/>
  <c r="I5391" i="20"/>
  <c r="I5392" i="20"/>
  <c r="I5393" i="20"/>
  <c r="I5394" i="20"/>
  <c r="I5395" i="20"/>
  <c r="I5396" i="20"/>
  <c r="I5397" i="20"/>
  <c r="I5398" i="20"/>
  <c r="I5399" i="20"/>
  <c r="I5400" i="20"/>
  <c r="I5401" i="20"/>
  <c r="I5402" i="20"/>
  <c r="I5403" i="20"/>
  <c r="I5404" i="20"/>
  <c r="I5405" i="20"/>
  <c r="I5406" i="20"/>
  <c r="I5407" i="20"/>
  <c r="I5408" i="20"/>
  <c r="I5409" i="20"/>
  <c r="I5410" i="20"/>
  <c r="I5411" i="20"/>
  <c r="I5412" i="20"/>
  <c r="I5413" i="20"/>
  <c r="I5414" i="20"/>
  <c r="I5415" i="20"/>
  <c r="I5416" i="20"/>
  <c r="I5417" i="20"/>
  <c r="I5418" i="20"/>
  <c r="I5419" i="20"/>
  <c r="I5420" i="20"/>
  <c r="I5421" i="20"/>
  <c r="I5422" i="20"/>
  <c r="I5423" i="20"/>
  <c r="I5424" i="20"/>
  <c r="I5425" i="20"/>
  <c r="I5426" i="20"/>
  <c r="I5427" i="20"/>
  <c r="I5428" i="20"/>
  <c r="I5429" i="20"/>
  <c r="I5430" i="20"/>
  <c r="I5431" i="20"/>
  <c r="I5432" i="20"/>
  <c r="I5433" i="20"/>
  <c r="I5434" i="20"/>
  <c r="I5435" i="20"/>
  <c r="I5436" i="20"/>
  <c r="I5437" i="20"/>
  <c r="I5438" i="20"/>
  <c r="I5439" i="20"/>
  <c r="I5440" i="20"/>
  <c r="I5441" i="20"/>
  <c r="I5442" i="20"/>
  <c r="I5443" i="20"/>
  <c r="I5444" i="20"/>
  <c r="I5445" i="20"/>
  <c r="I5446" i="20"/>
  <c r="I5447" i="20"/>
  <c r="I5448" i="20"/>
  <c r="I5449" i="20"/>
  <c r="I5450" i="20"/>
  <c r="I5451" i="20"/>
  <c r="I5452" i="20"/>
  <c r="I5453" i="20"/>
  <c r="I5454" i="20"/>
  <c r="I5455" i="20"/>
  <c r="I5456" i="20"/>
  <c r="I5457" i="20"/>
  <c r="I5458" i="20"/>
  <c r="I5459" i="20"/>
  <c r="I5460" i="20"/>
  <c r="I5461" i="20"/>
  <c r="I5462" i="20"/>
  <c r="I5463" i="20"/>
  <c r="I5464" i="20"/>
  <c r="I5465" i="20"/>
  <c r="I5466" i="20"/>
  <c r="I5467" i="20"/>
  <c r="I5468" i="20"/>
  <c r="I5469" i="20"/>
  <c r="I5470" i="20"/>
  <c r="I5471" i="20"/>
  <c r="I5472" i="20"/>
  <c r="I5473" i="20"/>
  <c r="I5474" i="20"/>
  <c r="I5475" i="20"/>
  <c r="I5476" i="20"/>
  <c r="I5477" i="20"/>
  <c r="I5478" i="20"/>
  <c r="I5479" i="20"/>
  <c r="I5480" i="20"/>
  <c r="I5481" i="20"/>
  <c r="I5482" i="20"/>
  <c r="I5483" i="20"/>
  <c r="I5484" i="20"/>
  <c r="I5485" i="20"/>
  <c r="I5486" i="20"/>
  <c r="I5487" i="20"/>
  <c r="I5488" i="20"/>
  <c r="I5489" i="20"/>
  <c r="I5490" i="20"/>
  <c r="I5491" i="20"/>
  <c r="I5492" i="20"/>
  <c r="I5493" i="20"/>
  <c r="I5494" i="20"/>
  <c r="I5495" i="20"/>
  <c r="I5496" i="20"/>
  <c r="I5497" i="20"/>
  <c r="I5498" i="20"/>
  <c r="I5499" i="20"/>
  <c r="I5500" i="20"/>
  <c r="I5501" i="20"/>
  <c r="I5502" i="20"/>
  <c r="I5503" i="20"/>
  <c r="I5504" i="20"/>
  <c r="I5505" i="20"/>
  <c r="I5506" i="20"/>
  <c r="I5507" i="20"/>
  <c r="I5508" i="20"/>
  <c r="I5509" i="20"/>
  <c r="I5510" i="20"/>
  <c r="I5511" i="20"/>
  <c r="I5512" i="20"/>
  <c r="I5513" i="20"/>
  <c r="I5514" i="20"/>
  <c r="I5515" i="20"/>
  <c r="I5516" i="20"/>
  <c r="I5517" i="20"/>
  <c r="I5518" i="20"/>
  <c r="I5519" i="20"/>
  <c r="I5520" i="20"/>
  <c r="I5521" i="20"/>
  <c r="I5522" i="20"/>
  <c r="I5523" i="20"/>
  <c r="I5524" i="20"/>
  <c r="I5525" i="20"/>
  <c r="I5526" i="20"/>
  <c r="I5527" i="20"/>
  <c r="I5528" i="20"/>
  <c r="I5529" i="20"/>
  <c r="I5530" i="20"/>
  <c r="I5531" i="20"/>
  <c r="I5532" i="20"/>
  <c r="I5533" i="20"/>
  <c r="I5534" i="20"/>
  <c r="I5535" i="20"/>
  <c r="I5536" i="20"/>
  <c r="I5537" i="20"/>
  <c r="I5538" i="20"/>
  <c r="I5539" i="20"/>
  <c r="I5540" i="20"/>
  <c r="I5541" i="20"/>
  <c r="I5542" i="20"/>
  <c r="I5543" i="20"/>
  <c r="I5544" i="20"/>
  <c r="I5545" i="20"/>
  <c r="I5546" i="20"/>
  <c r="I5547" i="20"/>
  <c r="I5548" i="20"/>
  <c r="I5549" i="20"/>
  <c r="I5550" i="20"/>
  <c r="I5551" i="20"/>
  <c r="I5552" i="20"/>
  <c r="I5553" i="20"/>
  <c r="I5554" i="20"/>
  <c r="I5555" i="20"/>
  <c r="I5556" i="20"/>
  <c r="I5557" i="20"/>
  <c r="I5558" i="20"/>
  <c r="I5559" i="20"/>
  <c r="I5560" i="20"/>
  <c r="I5561" i="20"/>
  <c r="I5562" i="20"/>
  <c r="I5563" i="20"/>
  <c r="I5564" i="20"/>
  <c r="I5565" i="20"/>
  <c r="I5566" i="20"/>
  <c r="I5567" i="20"/>
  <c r="I5568" i="20"/>
  <c r="I5569" i="20"/>
  <c r="I5570" i="20"/>
  <c r="I5571" i="20"/>
  <c r="I5572" i="20"/>
  <c r="I5573" i="20"/>
  <c r="I5574" i="20"/>
  <c r="I5575" i="20"/>
  <c r="I5576" i="20"/>
  <c r="I5577" i="20"/>
  <c r="I5578" i="20"/>
  <c r="I5579" i="20"/>
  <c r="I5580" i="20"/>
  <c r="I5581" i="20"/>
  <c r="I5582" i="20"/>
  <c r="I5583" i="20"/>
  <c r="I5584" i="20"/>
  <c r="I5585" i="20"/>
  <c r="I5586" i="20"/>
  <c r="I5587" i="20"/>
  <c r="I5588" i="20"/>
  <c r="I5589" i="20"/>
  <c r="I5590" i="20"/>
  <c r="I5591" i="20"/>
  <c r="I5592" i="20"/>
  <c r="I5593" i="20"/>
  <c r="I5594" i="20"/>
  <c r="I5595" i="20"/>
  <c r="I5596" i="20"/>
  <c r="I5597" i="20"/>
  <c r="I5598" i="20"/>
  <c r="I5599" i="20"/>
  <c r="I5600" i="20"/>
  <c r="I5601" i="20"/>
  <c r="I5602" i="20"/>
  <c r="I5603" i="20"/>
  <c r="I5604" i="20"/>
  <c r="I5605" i="20"/>
  <c r="I5606" i="20"/>
  <c r="I5607" i="20"/>
  <c r="I5608" i="20"/>
  <c r="I5609" i="20"/>
  <c r="I5610" i="20"/>
  <c r="I5611" i="20"/>
  <c r="I5612" i="20"/>
  <c r="I5613" i="20"/>
  <c r="I5614" i="20"/>
  <c r="I5615" i="20"/>
  <c r="I5616" i="20"/>
  <c r="I5617" i="20"/>
  <c r="I5618" i="20"/>
  <c r="I5619" i="20"/>
  <c r="I5620" i="20"/>
  <c r="I5621" i="20"/>
  <c r="I5622" i="20"/>
  <c r="I5623" i="20"/>
  <c r="I5624" i="20"/>
  <c r="I5625" i="20"/>
  <c r="I5626" i="20"/>
  <c r="I5627" i="20"/>
  <c r="I5628" i="20"/>
  <c r="I5629" i="20"/>
  <c r="I5630" i="20"/>
  <c r="I5631" i="20"/>
  <c r="I5632" i="20"/>
  <c r="I5633" i="20"/>
  <c r="I5634" i="20"/>
  <c r="I5635" i="20"/>
  <c r="I5636" i="20"/>
  <c r="I5637" i="20"/>
  <c r="I5638" i="20"/>
  <c r="I5639" i="20"/>
  <c r="I5640" i="20"/>
  <c r="I5641" i="20"/>
  <c r="I5642" i="20"/>
  <c r="I5643" i="20"/>
  <c r="I5644" i="20"/>
  <c r="I5645" i="20"/>
  <c r="I5646" i="20"/>
  <c r="I5647" i="20"/>
  <c r="I5648" i="20"/>
  <c r="I5649" i="20"/>
  <c r="I5650" i="20"/>
  <c r="I5651" i="20"/>
  <c r="I5652" i="20"/>
  <c r="I5653" i="20"/>
  <c r="I5654" i="20"/>
  <c r="I5655" i="20"/>
  <c r="I5656" i="20"/>
  <c r="I5657" i="20"/>
  <c r="I5658" i="20"/>
  <c r="I5659" i="20"/>
  <c r="I5660" i="20"/>
  <c r="I5661" i="20"/>
  <c r="I5662" i="20"/>
  <c r="I5663" i="20"/>
  <c r="I5664" i="20"/>
  <c r="I5665" i="20"/>
  <c r="I5666" i="20"/>
  <c r="I5667" i="20"/>
  <c r="I5668" i="20"/>
  <c r="I5669" i="20"/>
  <c r="I5670" i="20"/>
  <c r="I5671" i="20"/>
  <c r="I5672" i="20"/>
  <c r="I5673" i="20"/>
  <c r="I5674" i="20"/>
  <c r="I5675" i="20"/>
  <c r="I5676" i="20"/>
  <c r="I5677" i="20"/>
  <c r="I5678" i="20"/>
  <c r="I5679" i="20"/>
  <c r="I5680" i="20"/>
  <c r="I5681" i="20"/>
  <c r="I5682" i="20"/>
  <c r="I5683" i="20"/>
  <c r="I5684" i="20"/>
  <c r="I5685" i="20"/>
  <c r="I5686" i="20"/>
  <c r="I5687" i="20"/>
  <c r="I5688" i="20"/>
  <c r="I5689" i="20"/>
  <c r="I5690" i="20"/>
  <c r="I5691" i="20"/>
  <c r="I5692" i="20"/>
  <c r="I5693" i="20"/>
  <c r="I5694" i="20"/>
  <c r="I5695" i="20"/>
  <c r="I5696" i="20"/>
  <c r="I5697" i="20"/>
  <c r="I5698" i="20"/>
  <c r="I5699" i="20"/>
  <c r="I5700" i="20"/>
  <c r="I5701" i="20"/>
  <c r="I5702" i="20"/>
  <c r="I5703" i="20"/>
  <c r="I5704" i="20"/>
  <c r="I5705" i="20"/>
  <c r="I5706" i="20"/>
  <c r="I5707" i="20"/>
  <c r="I5708" i="20"/>
  <c r="I5709" i="20"/>
  <c r="I5710" i="20"/>
  <c r="I5711" i="20"/>
  <c r="I5712" i="20"/>
  <c r="I5713" i="20"/>
  <c r="I5714" i="20"/>
  <c r="I5715" i="20"/>
  <c r="I5716" i="20"/>
  <c r="I5717" i="20"/>
  <c r="I5718" i="20"/>
  <c r="I5719" i="20"/>
  <c r="I5720" i="20"/>
  <c r="I5721" i="20"/>
  <c r="I5722" i="20"/>
  <c r="I5723" i="20"/>
  <c r="I5724" i="20"/>
  <c r="I5725" i="20"/>
  <c r="I5726" i="20"/>
  <c r="I5727" i="20"/>
  <c r="I5728" i="20"/>
  <c r="I5729" i="20"/>
  <c r="I5730" i="20"/>
  <c r="I5731" i="20"/>
  <c r="I5732" i="20"/>
  <c r="I5733" i="20"/>
  <c r="I5734" i="20"/>
  <c r="I5735" i="20"/>
  <c r="I5736" i="20"/>
  <c r="I5737" i="20"/>
  <c r="I5738" i="20"/>
  <c r="I5739" i="20"/>
  <c r="I5740" i="20"/>
  <c r="I5741" i="20"/>
  <c r="I5742" i="20"/>
  <c r="I5743" i="20"/>
  <c r="I5744" i="20"/>
  <c r="I5745" i="20"/>
  <c r="I5746" i="20"/>
  <c r="I5747" i="20"/>
  <c r="I5748" i="20"/>
  <c r="I5749" i="20"/>
  <c r="I5750" i="20"/>
  <c r="I5751" i="20"/>
  <c r="I5752" i="20"/>
  <c r="I5753" i="20"/>
  <c r="I5754" i="20"/>
  <c r="I5755" i="20"/>
  <c r="I5756" i="20"/>
  <c r="I5757" i="20"/>
  <c r="I5758" i="20"/>
  <c r="I5759" i="20"/>
  <c r="I5760" i="20"/>
  <c r="I5761" i="20"/>
  <c r="I5762" i="20"/>
  <c r="I5763" i="20"/>
  <c r="I5764" i="20"/>
  <c r="I5765" i="20"/>
  <c r="I5766" i="20"/>
  <c r="I5767" i="20"/>
  <c r="I5768" i="20"/>
  <c r="I5769" i="20"/>
  <c r="I5770" i="20"/>
  <c r="I5771" i="20"/>
  <c r="I5772" i="20"/>
  <c r="I5773" i="20"/>
  <c r="I5774" i="20"/>
  <c r="I5775" i="20"/>
  <c r="I5776" i="20"/>
  <c r="I5777" i="20"/>
  <c r="I5778" i="20"/>
  <c r="I5779" i="20"/>
  <c r="I5780" i="20"/>
  <c r="I5781" i="20"/>
  <c r="I5782" i="20"/>
  <c r="I5783" i="20"/>
  <c r="I5784" i="20"/>
  <c r="I5785" i="20"/>
  <c r="I5786" i="20"/>
  <c r="I5787" i="20"/>
  <c r="I5788" i="20"/>
  <c r="I5789" i="20"/>
  <c r="I5790" i="20"/>
  <c r="I5791" i="20"/>
  <c r="I5792" i="20"/>
  <c r="I5793" i="20"/>
  <c r="I5794" i="20"/>
  <c r="I5795" i="20"/>
  <c r="I5796" i="20"/>
  <c r="I5797" i="20"/>
  <c r="I5798" i="20"/>
  <c r="I5799" i="20"/>
  <c r="I5800" i="20"/>
  <c r="I5801" i="20"/>
  <c r="I5802" i="20"/>
  <c r="I5803" i="20"/>
  <c r="I5804" i="20"/>
  <c r="I5805" i="20"/>
  <c r="I5806" i="20"/>
  <c r="I5807" i="20"/>
  <c r="I5808" i="20"/>
  <c r="I5809" i="20"/>
  <c r="I5810" i="20"/>
  <c r="I5811" i="20"/>
  <c r="I5812" i="20"/>
  <c r="I5813" i="20"/>
  <c r="I5814" i="20"/>
  <c r="I5815" i="20"/>
  <c r="I5816" i="20"/>
  <c r="I5817" i="20"/>
  <c r="I5818" i="20"/>
  <c r="I5819" i="20"/>
  <c r="I5820" i="20"/>
  <c r="I5821" i="20"/>
  <c r="I5822" i="20"/>
  <c r="I5823" i="20"/>
  <c r="I5824" i="20"/>
  <c r="I5825" i="20"/>
  <c r="I5826" i="20"/>
  <c r="I5827" i="20"/>
  <c r="I5828" i="20"/>
  <c r="I5829" i="20"/>
  <c r="I5830" i="20"/>
  <c r="I5831" i="20"/>
  <c r="I5832" i="20"/>
  <c r="I5833" i="20"/>
  <c r="I5834" i="20"/>
  <c r="I5835" i="20"/>
  <c r="I5836" i="20"/>
  <c r="I5837" i="20"/>
  <c r="I5838" i="20"/>
  <c r="I5839" i="20"/>
  <c r="I5840" i="20"/>
  <c r="I5841" i="20"/>
  <c r="I5842" i="20"/>
  <c r="I5843" i="20"/>
  <c r="I5844" i="20"/>
  <c r="I5845" i="20"/>
  <c r="I5846" i="20"/>
  <c r="I5847" i="20"/>
  <c r="I5848" i="20"/>
  <c r="I5849" i="20"/>
  <c r="I5850" i="20"/>
  <c r="I5851" i="20"/>
  <c r="I5852" i="20"/>
  <c r="I5853" i="20"/>
  <c r="I5854" i="20"/>
  <c r="I5855" i="20"/>
  <c r="I5856" i="20"/>
  <c r="I5857" i="20"/>
  <c r="I5858" i="20"/>
  <c r="I5859" i="20"/>
  <c r="I5860" i="20"/>
  <c r="I5861" i="20"/>
  <c r="I5862" i="20"/>
  <c r="I5863" i="20"/>
  <c r="I5864" i="20"/>
  <c r="I5865" i="20"/>
  <c r="I5866" i="20"/>
  <c r="I5867" i="20"/>
  <c r="I5868" i="20"/>
  <c r="I5869" i="20"/>
  <c r="I5870" i="20"/>
  <c r="I5871" i="20"/>
  <c r="I5872" i="20"/>
  <c r="I5873" i="20"/>
  <c r="I5874" i="20"/>
  <c r="I5875" i="20"/>
  <c r="I5876" i="20"/>
  <c r="I5877" i="20"/>
  <c r="I5878" i="20"/>
  <c r="I5879" i="20"/>
  <c r="I5880" i="20"/>
  <c r="I5881" i="20"/>
  <c r="I5882" i="20"/>
  <c r="I5883" i="20"/>
  <c r="I5884" i="20"/>
  <c r="I5885" i="20"/>
  <c r="I5886" i="20"/>
  <c r="I5887" i="20"/>
  <c r="I5888" i="20"/>
  <c r="I5889" i="20"/>
  <c r="I5890" i="20"/>
  <c r="I5891" i="20"/>
  <c r="I5892" i="20"/>
  <c r="I5893" i="20"/>
  <c r="I5894" i="20"/>
  <c r="I5895" i="20"/>
  <c r="I5896" i="20"/>
  <c r="I5897" i="20"/>
  <c r="I5898" i="20"/>
  <c r="I5899" i="20"/>
  <c r="I5900" i="20"/>
  <c r="I5901" i="20"/>
  <c r="I5902" i="20"/>
  <c r="I5903" i="20"/>
  <c r="I5904" i="20"/>
  <c r="I5905" i="20"/>
  <c r="I5906" i="20"/>
  <c r="I5907" i="20"/>
  <c r="I5908" i="20"/>
  <c r="I5909" i="20"/>
  <c r="I5910" i="20"/>
  <c r="I5911" i="20"/>
  <c r="I5912" i="20"/>
  <c r="I5913" i="20"/>
  <c r="I5914" i="20"/>
  <c r="I5915" i="20"/>
  <c r="I5916" i="20"/>
  <c r="I5917" i="20"/>
  <c r="I5918" i="20"/>
  <c r="I5919" i="20"/>
  <c r="I5920" i="20"/>
  <c r="I5921" i="20"/>
  <c r="I5922" i="20"/>
  <c r="I5923" i="20"/>
  <c r="I5924" i="20"/>
  <c r="I5925" i="20"/>
  <c r="I5926" i="20"/>
  <c r="I5927" i="20"/>
  <c r="I5928" i="20"/>
  <c r="I5929" i="20"/>
  <c r="I5930" i="20"/>
  <c r="I5931" i="20"/>
  <c r="I5932" i="20"/>
  <c r="I5933" i="20"/>
  <c r="I5934" i="20"/>
  <c r="I5935" i="20"/>
  <c r="I5936" i="20"/>
  <c r="I5937" i="20"/>
  <c r="I5938" i="20"/>
  <c r="I5939" i="20"/>
  <c r="I5940" i="20"/>
  <c r="I5941" i="20"/>
  <c r="I5942" i="20"/>
  <c r="I5943" i="20"/>
  <c r="I5944" i="20"/>
  <c r="I5945" i="20"/>
  <c r="I5946" i="20"/>
  <c r="I5947" i="20"/>
  <c r="I5948" i="20"/>
  <c r="I5949" i="20"/>
  <c r="I5950" i="20"/>
  <c r="I5951" i="20"/>
  <c r="I5952" i="20"/>
  <c r="I5953" i="20"/>
  <c r="I5954" i="20"/>
  <c r="I5955" i="20"/>
  <c r="I5956" i="20"/>
  <c r="I5957" i="20"/>
  <c r="I5958" i="20"/>
  <c r="I5959" i="20"/>
  <c r="I5960" i="20"/>
  <c r="I5961" i="20"/>
  <c r="I5962" i="20"/>
  <c r="I5963" i="20"/>
  <c r="I5964" i="20"/>
  <c r="I5965" i="20"/>
  <c r="I5966" i="20"/>
  <c r="I5967" i="20"/>
  <c r="I5968" i="20"/>
  <c r="I5969" i="20"/>
  <c r="I5970" i="20"/>
  <c r="I5971" i="20"/>
  <c r="I5972" i="20"/>
  <c r="I5973" i="20"/>
  <c r="I5974" i="20"/>
  <c r="I5975" i="20"/>
  <c r="I5976" i="20"/>
  <c r="I5977" i="20"/>
  <c r="I5978" i="20"/>
  <c r="I5979" i="20"/>
  <c r="I5980" i="20"/>
  <c r="I5981" i="20"/>
  <c r="I5982" i="20"/>
  <c r="I5983" i="20"/>
  <c r="I5984" i="20"/>
  <c r="I5985" i="20"/>
  <c r="I5986" i="20"/>
  <c r="I5987" i="20"/>
  <c r="I5988" i="20"/>
  <c r="I5989" i="20"/>
  <c r="I5990" i="20"/>
  <c r="I5991" i="20"/>
  <c r="I5992" i="20"/>
  <c r="I5993" i="20"/>
  <c r="I5994" i="20"/>
  <c r="I5995" i="20"/>
  <c r="I5996" i="20"/>
  <c r="I5997" i="20"/>
  <c r="I5998" i="20"/>
  <c r="I5999" i="20"/>
  <c r="I6000" i="20"/>
  <c r="I6001" i="20"/>
  <c r="I6002" i="20"/>
  <c r="I6003" i="20"/>
  <c r="I6004" i="20"/>
  <c r="I6005" i="20"/>
  <c r="I6006" i="20"/>
  <c r="I6007" i="20"/>
  <c r="I6008" i="20"/>
  <c r="I6009" i="20"/>
  <c r="I6010" i="20"/>
  <c r="I6011" i="20"/>
  <c r="I6012" i="20"/>
  <c r="I6013" i="20"/>
  <c r="I6014" i="20"/>
  <c r="I6015" i="20"/>
  <c r="I6016" i="20"/>
  <c r="I6017" i="20"/>
  <c r="I6018" i="20"/>
  <c r="I6019" i="20"/>
  <c r="I6020" i="20"/>
  <c r="I6021" i="20"/>
  <c r="I6022" i="20"/>
  <c r="I6023" i="20"/>
  <c r="I6024" i="20"/>
  <c r="I6025" i="20"/>
  <c r="I6026" i="20"/>
  <c r="I6027" i="20"/>
  <c r="I6028" i="20"/>
  <c r="I6029" i="20"/>
  <c r="I6030" i="20"/>
  <c r="I6031" i="20"/>
  <c r="I6032" i="20"/>
  <c r="I6033" i="20"/>
  <c r="I6034" i="20"/>
  <c r="I6035" i="20"/>
  <c r="I6036" i="20"/>
  <c r="I6037" i="20"/>
  <c r="I6038" i="20"/>
  <c r="I6039" i="20"/>
  <c r="I6040" i="20"/>
  <c r="I6041" i="20"/>
  <c r="I6042" i="20"/>
  <c r="I6043" i="20"/>
  <c r="I6044" i="20"/>
  <c r="I6045" i="20"/>
  <c r="I6046" i="20"/>
  <c r="I6047" i="20"/>
  <c r="I6048" i="20"/>
  <c r="I6049" i="20"/>
  <c r="I6050" i="20"/>
  <c r="I6051" i="20"/>
  <c r="I6052" i="20"/>
  <c r="I6053" i="20"/>
  <c r="I6054" i="20"/>
  <c r="I6055" i="20"/>
  <c r="I6056" i="20"/>
  <c r="I6057" i="20"/>
  <c r="I6058" i="20"/>
  <c r="I6059" i="20"/>
  <c r="I6060" i="20"/>
  <c r="I6061" i="20"/>
  <c r="I6062" i="20"/>
  <c r="I6063" i="20"/>
  <c r="I6064" i="20"/>
  <c r="I6065" i="20"/>
  <c r="I6066" i="20"/>
  <c r="I6067" i="20"/>
  <c r="I6068" i="20"/>
  <c r="I6069" i="20"/>
  <c r="I6070" i="20"/>
  <c r="I6071" i="20"/>
  <c r="I6072" i="20"/>
  <c r="I6073" i="20"/>
  <c r="I6074" i="20"/>
  <c r="I6075" i="20"/>
  <c r="I6076" i="20"/>
  <c r="I6077" i="20"/>
  <c r="I6078" i="20"/>
  <c r="I6079" i="20"/>
  <c r="I6080" i="20"/>
  <c r="I6081" i="20"/>
  <c r="I6082" i="20"/>
  <c r="I6083" i="20"/>
  <c r="I6084" i="20"/>
  <c r="I6085" i="20"/>
  <c r="I6086" i="20"/>
  <c r="I6087" i="20"/>
  <c r="I6088" i="20"/>
  <c r="I6089" i="20"/>
  <c r="I6090" i="20"/>
  <c r="I6091" i="20"/>
  <c r="I6092" i="20"/>
  <c r="I6093" i="20"/>
  <c r="I6094" i="20"/>
  <c r="I6095" i="20"/>
  <c r="I6096" i="20"/>
  <c r="I6097" i="20"/>
  <c r="I6098" i="20"/>
  <c r="I6099" i="20"/>
  <c r="I6100" i="20"/>
  <c r="I6101" i="20"/>
  <c r="I6102" i="20"/>
  <c r="I6103" i="20"/>
  <c r="I6104" i="20"/>
  <c r="I6105" i="20"/>
  <c r="I6106" i="20"/>
  <c r="I6107" i="20"/>
  <c r="I6108" i="20"/>
  <c r="I6109" i="20"/>
  <c r="I6110" i="20"/>
  <c r="I6111" i="20"/>
  <c r="I6112" i="20"/>
  <c r="I6113" i="20"/>
  <c r="I6114" i="20"/>
  <c r="I6115" i="20"/>
  <c r="I6116" i="20"/>
  <c r="I6117" i="20"/>
  <c r="I6118" i="20"/>
  <c r="I6119" i="20"/>
  <c r="I6120" i="20"/>
  <c r="I6121" i="20"/>
  <c r="I6122" i="20"/>
  <c r="I6123" i="20"/>
  <c r="I6124" i="20"/>
  <c r="I6125" i="20"/>
  <c r="I6126" i="20"/>
  <c r="I6127" i="20"/>
  <c r="I6128" i="20"/>
  <c r="I6129" i="20"/>
  <c r="I6130" i="20"/>
  <c r="I6131" i="20"/>
  <c r="I6132" i="20"/>
  <c r="I6133" i="20"/>
  <c r="I6134" i="20"/>
  <c r="I6135" i="20"/>
  <c r="I6136" i="20"/>
  <c r="I6137" i="20"/>
  <c r="I6138" i="20"/>
  <c r="I6139" i="20"/>
  <c r="I6140" i="20"/>
  <c r="I6141" i="20"/>
  <c r="I6142" i="20"/>
  <c r="I6143" i="20"/>
  <c r="I6144" i="20"/>
  <c r="I6145" i="20"/>
  <c r="I6146" i="20"/>
  <c r="I6147" i="20"/>
  <c r="I6148" i="20"/>
  <c r="I6149" i="20"/>
  <c r="I6150" i="20"/>
  <c r="I6151" i="20"/>
  <c r="I6152" i="20"/>
  <c r="I6153" i="20"/>
  <c r="I6154" i="20"/>
  <c r="I6155" i="20"/>
  <c r="I6156" i="20"/>
  <c r="I6157" i="20"/>
  <c r="I6158" i="20"/>
  <c r="I6159" i="20"/>
  <c r="I6160" i="20"/>
  <c r="I6161" i="20"/>
  <c r="I6162" i="20"/>
  <c r="I6163" i="20"/>
  <c r="I6164" i="20"/>
  <c r="I6165" i="20"/>
  <c r="I6166" i="20"/>
  <c r="I6167" i="20"/>
  <c r="I6168" i="20"/>
  <c r="I6169" i="20"/>
  <c r="I6170" i="20"/>
  <c r="I6171" i="20"/>
  <c r="I6172" i="20"/>
  <c r="I6173" i="20"/>
  <c r="I6174" i="20"/>
  <c r="I6175" i="20"/>
  <c r="I6176" i="20"/>
  <c r="I6177" i="20"/>
  <c r="I6178" i="20"/>
  <c r="I6179" i="20"/>
  <c r="I6180" i="20"/>
  <c r="I6181" i="20"/>
  <c r="I6182" i="20"/>
  <c r="I6183" i="20"/>
  <c r="I6184" i="20"/>
  <c r="I6185" i="20"/>
  <c r="I6186" i="20"/>
  <c r="I6187" i="20"/>
  <c r="I6188" i="20"/>
  <c r="I6189" i="20"/>
  <c r="I6190" i="20"/>
  <c r="I6191" i="20"/>
  <c r="I6192" i="20"/>
  <c r="I6193" i="20"/>
  <c r="I6194" i="20"/>
  <c r="I6195" i="20"/>
  <c r="I6196" i="20"/>
  <c r="I6197" i="20"/>
  <c r="I6198" i="20"/>
  <c r="I6199" i="20"/>
  <c r="I6200" i="20"/>
  <c r="I6201" i="20"/>
  <c r="I6202" i="20"/>
  <c r="I6203" i="20"/>
  <c r="I6204" i="20"/>
  <c r="I6205" i="20"/>
  <c r="I6206" i="20"/>
  <c r="I6207" i="20"/>
  <c r="I6208" i="20"/>
  <c r="I6209" i="20"/>
  <c r="I6210" i="20"/>
  <c r="I6211" i="20"/>
  <c r="I6212" i="20"/>
  <c r="I6213" i="20"/>
  <c r="I6214" i="20"/>
  <c r="I6215" i="20"/>
  <c r="I6216" i="20"/>
  <c r="I6217" i="20"/>
  <c r="I6218" i="20"/>
  <c r="I6219" i="20"/>
  <c r="I6220" i="20"/>
  <c r="I6221" i="20"/>
  <c r="I6222" i="20"/>
  <c r="I6223" i="20"/>
  <c r="I6224" i="20"/>
  <c r="I6225" i="20"/>
  <c r="I6226" i="20"/>
  <c r="I6227" i="20"/>
  <c r="I6228" i="20"/>
  <c r="I6229" i="20"/>
  <c r="I6230" i="20"/>
  <c r="I6231" i="20"/>
  <c r="I6232" i="20"/>
  <c r="I6233" i="20"/>
  <c r="I6234" i="20"/>
  <c r="I6235" i="20"/>
  <c r="I6236" i="20"/>
  <c r="I6237" i="20"/>
  <c r="I6238" i="20"/>
  <c r="I6239" i="20"/>
  <c r="I6240" i="20"/>
  <c r="I6241" i="20"/>
  <c r="I6242" i="20"/>
  <c r="I6243" i="20"/>
  <c r="I6244" i="20"/>
  <c r="I6245" i="20"/>
  <c r="I6246" i="20"/>
  <c r="I6247" i="20"/>
  <c r="I6248" i="20"/>
  <c r="I6249" i="20"/>
  <c r="I6250" i="20"/>
  <c r="I6251" i="20"/>
  <c r="I6252" i="20"/>
  <c r="I6253" i="20"/>
  <c r="I6254" i="20"/>
  <c r="I6255" i="20"/>
  <c r="I6256" i="20"/>
  <c r="I6257" i="20"/>
  <c r="I6258" i="20"/>
  <c r="I6259" i="20"/>
  <c r="I6260" i="20"/>
  <c r="I6261" i="20"/>
  <c r="I6262" i="20"/>
  <c r="I6263" i="20"/>
  <c r="I6264" i="20"/>
  <c r="I6265" i="20"/>
  <c r="I6266" i="20"/>
  <c r="I6267" i="20"/>
  <c r="I6268" i="20"/>
  <c r="I6269" i="20"/>
  <c r="I6270" i="20"/>
  <c r="I6271" i="20"/>
  <c r="I6272" i="20"/>
  <c r="I6273" i="20"/>
  <c r="I6274" i="20"/>
  <c r="I6275" i="20"/>
  <c r="I6276" i="20"/>
  <c r="I6277" i="20"/>
  <c r="I6278" i="20"/>
  <c r="I6279" i="20"/>
  <c r="I6280" i="20"/>
  <c r="I6281" i="20"/>
  <c r="I6282" i="20"/>
  <c r="I6283" i="20"/>
  <c r="I6284" i="20"/>
  <c r="I6285" i="20"/>
  <c r="I6286" i="20"/>
  <c r="I6287" i="20"/>
  <c r="I6288" i="20"/>
  <c r="I6289" i="20"/>
  <c r="I6290" i="20"/>
  <c r="I6291" i="20"/>
  <c r="I6292" i="20"/>
  <c r="I6293" i="20"/>
  <c r="I6294" i="20"/>
  <c r="I6295" i="20"/>
  <c r="I6296" i="20"/>
  <c r="I6297" i="20"/>
  <c r="I6298" i="20"/>
  <c r="I6299" i="20"/>
  <c r="I6300" i="20"/>
  <c r="I6301" i="20"/>
  <c r="I6302" i="20"/>
  <c r="I6303" i="20"/>
  <c r="I6304" i="20"/>
  <c r="I6305" i="20"/>
  <c r="I6306" i="20"/>
  <c r="I6307" i="20"/>
  <c r="I6308" i="20"/>
  <c r="I6309" i="20"/>
  <c r="I6310" i="20"/>
  <c r="I6311" i="20"/>
  <c r="I6312" i="20"/>
  <c r="I6313" i="20"/>
  <c r="I6314" i="20"/>
  <c r="I6315" i="20"/>
  <c r="I6316" i="20"/>
  <c r="I6317" i="20"/>
  <c r="I6318" i="20"/>
  <c r="I6319" i="20"/>
  <c r="I6320" i="20"/>
  <c r="I6321" i="20"/>
  <c r="I6322" i="20"/>
  <c r="I6323" i="20"/>
  <c r="I6324" i="20"/>
  <c r="I6325" i="20"/>
  <c r="I6326" i="20"/>
  <c r="I6327" i="20"/>
  <c r="I6328" i="20"/>
  <c r="I6329" i="20"/>
  <c r="I6330" i="20"/>
  <c r="I6331" i="20"/>
  <c r="I6332" i="20"/>
  <c r="I6333" i="20"/>
  <c r="I6334" i="20"/>
  <c r="I6335" i="20"/>
  <c r="I6336" i="20"/>
  <c r="I6337" i="20"/>
  <c r="I6338" i="20"/>
  <c r="I6339" i="20"/>
  <c r="I6340" i="20"/>
  <c r="I6341" i="20"/>
  <c r="I6342" i="20"/>
  <c r="I6343" i="20"/>
  <c r="I6344" i="20"/>
  <c r="I6345" i="20"/>
  <c r="I6346" i="20"/>
  <c r="I6347" i="20"/>
  <c r="I6348" i="20"/>
  <c r="I6349" i="20"/>
  <c r="I6350" i="20"/>
  <c r="I6351" i="20"/>
  <c r="I6352" i="20"/>
  <c r="I6353" i="20"/>
  <c r="I6354" i="20"/>
  <c r="I6355" i="20"/>
  <c r="I6356" i="20"/>
  <c r="I6357" i="20"/>
  <c r="I6358" i="20"/>
  <c r="I6359" i="20"/>
  <c r="I6360" i="20"/>
  <c r="I6361" i="20"/>
  <c r="I6362" i="20"/>
  <c r="I6363" i="20"/>
  <c r="I6364" i="20"/>
  <c r="I6365" i="20"/>
  <c r="I6366" i="20"/>
  <c r="I6367" i="20"/>
  <c r="I6368" i="20"/>
  <c r="I6369" i="20"/>
  <c r="I6370" i="20"/>
  <c r="I6371" i="20"/>
  <c r="I6372" i="20"/>
  <c r="I6373" i="20"/>
  <c r="I6374" i="20"/>
  <c r="I6375" i="20"/>
  <c r="I6376" i="20"/>
  <c r="I6377" i="20"/>
  <c r="I6378" i="20"/>
  <c r="I6379" i="20"/>
  <c r="I6380" i="20"/>
  <c r="I6381" i="20"/>
  <c r="I6382" i="20"/>
  <c r="I6383" i="20"/>
  <c r="I6384" i="20"/>
  <c r="I6385" i="20"/>
  <c r="I6386" i="20"/>
  <c r="I6387" i="20"/>
  <c r="I6388" i="20"/>
  <c r="I6389" i="20"/>
  <c r="I6390" i="20"/>
  <c r="I6391" i="20"/>
  <c r="I6392" i="20"/>
  <c r="I6393" i="20"/>
  <c r="I6394" i="20"/>
  <c r="I6395" i="20"/>
  <c r="I6396" i="20"/>
  <c r="I6397" i="20"/>
  <c r="I6398" i="20"/>
  <c r="I6399" i="20"/>
  <c r="I6400" i="20"/>
  <c r="I6401" i="20"/>
  <c r="I6402" i="20"/>
  <c r="I6403" i="20"/>
  <c r="I6404" i="20"/>
  <c r="I6405" i="20"/>
  <c r="I6406" i="20"/>
  <c r="I6407" i="20"/>
  <c r="I6408" i="20"/>
  <c r="I6409" i="20"/>
  <c r="I6410" i="20"/>
  <c r="I6411" i="20"/>
  <c r="I6412" i="20"/>
  <c r="I6413" i="20"/>
  <c r="I6414" i="20"/>
  <c r="I6415" i="20"/>
  <c r="I6416" i="20"/>
  <c r="I6417" i="20"/>
  <c r="I6418" i="20"/>
  <c r="I6419" i="20"/>
  <c r="I6420" i="20"/>
  <c r="I6421" i="20"/>
  <c r="I6422" i="20"/>
  <c r="I6423" i="20"/>
  <c r="I6424" i="20"/>
  <c r="I6425" i="20"/>
  <c r="I6426" i="20"/>
  <c r="I6427" i="20"/>
  <c r="I6428" i="20"/>
  <c r="I6429" i="20"/>
  <c r="I6430" i="20"/>
  <c r="I6431" i="20"/>
  <c r="I6432" i="20"/>
  <c r="I6433" i="20"/>
  <c r="I6434" i="20"/>
  <c r="I6435" i="20"/>
  <c r="I6436" i="20"/>
  <c r="I6437" i="20"/>
  <c r="I6438" i="20"/>
  <c r="I6439" i="20"/>
  <c r="I6440" i="20"/>
  <c r="I6441" i="20"/>
  <c r="I6442" i="20"/>
  <c r="I6443" i="20"/>
  <c r="I6444" i="20"/>
  <c r="I6445" i="20"/>
  <c r="I6446" i="20"/>
  <c r="I6447" i="20"/>
  <c r="I6448" i="20"/>
  <c r="I6449" i="20"/>
  <c r="I6450" i="20"/>
  <c r="I6451" i="20"/>
  <c r="I6452" i="20"/>
  <c r="I6453" i="20"/>
  <c r="I6454" i="20"/>
  <c r="I6455" i="20"/>
  <c r="I6456" i="20"/>
  <c r="I6457" i="20"/>
  <c r="I6458" i="20"/>
  <c r="I6459" i="20"/>
  <c r="I6460" i="20"/>
  <c r="I6461" i="20"/>
  <c r="I6462" i="20"/>
  <c r="I6463" i="20"/>
  <c r="I6464" i="20"/>
  <c r="I6465" i="20"/>
  <c r="I6466" i="20"/>
  <c r="I6467" i="20"/>
  <c r="I6468" i="20"/>
  <c r="I6469" i="20"/>
  <c r="I6470" i="20"/>
  <c r="I6471" i="20"/>
  <c r="I6472" i="20"/>
  <c r="I6473" i="20"/>
  <c r="I6474" i="20"/>
  <c r="I6475" i="20"/>
  <c r="I6476" i="20"/>
  <c r="I6477" i="20"/>
  <c r="I6478" i="20"/>
  <c r="I6479" i="20"/>
  <c r="I6480" i="20"/>
  <c r="I6481" i="20"/>
  <c r="I6482" i="20"/>
  <c r="I6483" i="20"/>
  <c r="I6484" i="20"/>
  <c r="I6485" i="20"/>
  <c r="I6486" i="20"/>
  <c r="I6487" i="20"/>
  <c r="I6488" i="20"/>
  <c r="I6489" i="20"/>
  <c r="I6490" i="20"/>
  <c r="I6491" i="20"/>
  <c r="I6492" i="20"/>
  <c r="I6493" i="20"/>
  <c r="I6494" i="20"/>
  <c r="I6495" i="20"/>
  <c r="I6496" i="20"/>
  <c r="I6497" i="20"/>
  <c r="I6498" i="20"/>
  <c r="I6499" i="20"/>
  <c r="I6500" i="20"/>
  <c r="I6501" i="20"/>
  <c r="I6502" i="20"/>
  <c r="I6503" i="20"/>
  <c r="I6504" i="20"/>
  <c r="I6505" i="20"/>
  <c r="I6506" i="20"/>
  <c r="I6507" i="20"/>
  <c r="I6508" i="20"/>
  <c r="I6509" i="20"/>
  <c r="I6510" i="20"/>
  <c r="I6511" i="20"/>
  <c r="I6512" i="20"/>
  <c r="I6513" i="20"/>
  <c r="I6514" i="20"/>
  <c r="I6515" i="20"/>
  <c r="I6516" i="20"/>
  <c r="I6517" i="20"/>
  <c r="I6518" i="20"/>
  <c r="I6519" i="20"/>
  <c r="I6520" i="20"/>
  <c r="I6521" i="20"/>
  <c r="I6522" i="20"/>
  <c r="I6523" i="20"/>
  <c r="I6524" i="20"/>
  <c r="I6525" i="20"/>
  <c r="I6526" i="20"/>
  <c r="I6527" i="20"/>
  <c r="I6528" i="20"/>
  <c r="I6529" i="20"/>
  <c r="I6530" i="20"/>
  <c r="I6531" i="20"/>
  <c r="I6532" i="20"/>
  <c r="I6533" i="20"/>
  <c r="I6534" i="20"/>
  <c r="I6535" i="20"/>
  <c r="I6536" i="20"/>
  <c r="I6537" i="20"/>
  <c r="I6538" i="20"/>
  <c r="I6539" i="20"/>
  <c r="I6540" i="20"/>
  <c r="I6541" i="20"/>
  <c r="I6542" i="20"/>
  <c r="I6543" i="20"/>
  <c r="I6544" i="20"/>
  <c r="I6545" i="20"/>
  <c r="I6546" i="20"/>
  <c r="I6547" i="20"/>
  <c r="I6548" i="20"/>
  <c r="I6549" i="20"/>
  <c r="I6550" i="20"/>
  <c r="I6551" i="20"/>
  <c r="I6552" i="20"/>
  <c r="I6553" i="20"/>
  <c r="I6554" i="20"/>
  <c r="I6555" i="20"/>
  <c r="I6556" i="20"/>
  <c r="I6557" i="20"/>
  <c r="I6558" i="20"/>
  <c r="I6559" i="20"/>
  <c r="I6560" i="20"/>
  <c r="I6561" i="20"/>
  <c r="I6562" i="20"/>
  <c r="I6563" i="20"/>
  <c r="I6564" i="20"/>
  <c r="I6565" i="20"/>
  <c r="I6566" i="20"/>
  <c r="I6567" i="20"/>
  <c r="I6568" i="20"/>
  <c r="I6569" i="20"/>
  <c r="I6570" i="20"/>
  <c r="I6571" i="20"/>
  <c r="I6572" i="20"/>
  <c r="I6573" i="20"/>
  <c r="I6574" i="20"/>
  <c r="I6575" i="20"/>
  <c r="I6576" i="20"/>
  <c r="I6577" i="20"/>
  <c r="I6578" i="20"/>
  <c r="I6579" i="20"/>
  <c r="I6580" i="20"/>
  <c r="I6581" i="20"/>
  <c r="I6582" i="20"/>
  <c r="I6583" i="20"/>
  <c r="I6584" i="20"/>
  <c r="I6585" i="20"/>
  <c r="I6586" i="20"/>
  <c r="I6587" i="20"/>
  <c r="I6588" i="20"/>
  <c r="I6589" i="20"/>
  <c r="I6590" i="20"/>
  <c r="I6591" i="20"/>
  <c r="I6592" i="20"/>
  <c r="I6593" i="20"/>
  <c r="I6594" i="20"/>
  <c r="I6595" i="20"/>
  <c r="I6596" i="20"/>
  <c r="I6597" i="20"/>
  <c r="I6598" i="20"/>
  <c r="I6599" i="20"/>
  <c r="I6600" i="20"/>
  <c r="I6601" i="20"/>
  <c r="I6602" i="20"/>
  <c r="I6603" i="20"/>
  <c r="I6604" i="20"/>
  <c r="I6605" i="20"/>
  <c r="I6606" i="20"/>
  <c r="I6607" i="20"/>
  <c r="I6608" i="20"/>
  <c r="I6609" i="20"/>
  <c r="I6610" i="20"/>
  <c r="I6611" i="20"/>
  <c r="I6612" i="20"/>
  <c r="I6613" i="20"/>
  <c r="I6614" i="20"/>
  <c r="I6615" i="20"/>
  <c r="I6616" i="20"/>
  <c r="I6617" i="20"/>
  <c r="I6618" i="20"/>
  <c r="I6619" i="20"/>
  <c r="I6620" i="20"/>
  <c r="I6621" i="20"/>
  <c r="I6622" i="20"/>
  <c r="I6623" i="20"/>
  <c r="I6624" i="20"/>
  <c r="I6625" i="20"/>
  <c r="I6626" i="20"/>
  <c r="I6627" i="20"/>
  <c r="I6628" i="20"/>
  <c r="I6629" i="20"/>
  <c r="I6630" i="20"/>
  <c r="I6631" i="20"/>
  <c r="I6632" i="20"/>
  <c r="I6633" i="20"/>
  <c r="I6634" i="20"/>
  <c r="I6635" i="20"/>
  <c r="I6636" i="20"/>
  <c r="I6637" i="20"/>
  <c r="I6638" i="20"/>
  <c r="I6639" i="20"/>
  <c r="I6640" i="20"/>
  <c r="I6641" i="20"/>
  <c r="I6642" i="20"/>
  <c r="I6643" i="20"/>
  <c r="I6644" i="20"/>
  <c r="I6645" i="20"/>
  <c r="I6646" i="20"/>
  <c r="I6647" i="20"/>
  <c r="I6648" i="20"/>
  <c r="I6649" i="20"/>
  <c r="I6650" i="20"/>
  <c r="I6651" i="20"/>
  <c r="I6652" i="20"/>
  <c r="I6653" i="20"/>
  <c r="I6654" i="20"/>
  <c r="I6655" i="20"/>
  <c r="I6656" i="20"/>
  <c r="I6657" i="20"/>
  <c r="I6658" i="20"/>
  <c r="I6659" i="20"/>
  <c r="I6660" i="20"/>
  <c r="I6661" i="20"/>
  <c r="I6662" i="20"/>
  <c r="I6663" i="20"/>
  <c r="I6664" i="20"/>
  <c r="I6665" i="20"/>
  <c r="I6666" i="20"/>
  <c r="I6667" i="20"/>
  <c r="I6668" i="20"/>
  <c r="I6669" i="20"/>
  <c r="I6670" i="20"/>
  <c r="I6671" i="20"/>
  <c r="I6672" i="20"/>
  <c r="I6673" i="20"/>
  <c r="I6674" i="20"/>
  <c r="I6675" i="20"/>
  <c r="I6676" i="20"/>
  <c r="I6677" i="20"/>
  <c r="I6678" i="20"/>
  <c r="I6679" i="20"/>
  <c r="I6680" i="20"/>
  <c r="I6681" i="20"/>
  <c r="I6682" i="20"/>
  <c r="I6683" i="20"/>
  <c r="I6684" i="20"/>
  <c r="I6685" i="20"/>
  <c r="I6686" i="20"/>
  <c r="I6687" i="20"/>
  <c r="I6688" i="20"/>
  <c r="I6689" i="20"/>
  <c r="I6690" i="20"/>
  <c r="I6691" i="20"/>
  <c r="I6692" i="20"/>
  <c r="I6693" i="20"/>
  <c r="I6694" i="20"/>
  <c r="I6695" i="20"/>
  <c r="I6696" i="20"/>
  <c r="I6697" i="20"/>
  <c r="I6698" i="20"/>
  <c r="I6699" i="20"/>
  <c r="I6700" i="20"/>
  <c r="I6701" i="20"/>
  <c r="I6702" i="20"/>
  <c r="I6703" i="20"/>
  <c r="I6704" i="20"/>
  <c r="I6705" i="20"/>
  <c r="I6706" i="20"/>
  <c r="I6707" i="20"/>
  <c r="I6708" i="20"/>
  <c r="I6709" i="20"/>
  <c r="I6710" i="20"/>
  <c r="I6711" i="20"/>
  <c r="I6712" i="20"/>
  <c r="I6713" i="20"/>
  <c r="I6714" i="20"/>
  <c r="I6715" i="20"/>
  <c r="I6716" i="20"/>
  <c r="I6717" i="20"/>
  <c r="I6718" i="20"/>
  <c r="I6719" i="20"/>
  <c r="I6720" i="20"/>
  <c r="I6721" i="20"/>
  <c r="I6722" i="20"/>
  <c r="I6723" i="20"/>
  <c r="I6724" i="20"/>
  <c r="I6725" i="20"/>
  <c r="I6726" i="20"/>
  <c r="I6727" i="20"/>
  <c r="I6728" i="20"/>
  <c r="I6729" i="20"/>
  <c r="I6730" i="20"/>
  <c r="I6731" i="20"/>
  <c r="I6732" i="20"/>
  <c r="I6733" i="20"/>
  <c r="I6734" i="20"/>
  <c r="I6735" i="20"/>
  <c r="I6736" i="20"/>
  <c r="I6737" i="20"/>
  <c r="I6738" i="20"/>
  <c r="I6739" i="20"/>
  <c r="I6740" i="20"/>
  <c r="I6741" i="20"/>
  <c r="I6742" i="20"/>
  <c r="I6743" i="20"/>
  <c r="I6744" i="20"/>
  <c r="I6745" i="20"/>
  <c r="I6746" i="20"/>
  <c r="I6747" i="20"/>
  <c r="I6748" i="20"/>
  <c r="I6749" i="20"/>
  <c r="I6750" i="20"/>
  <c r="I6751" i="20"/>
  <c r="I6752" i="20"/>
  <c r="I6753" i="20"/>
  <c r="I6754" i="20"/>
  <c r="I6755" i="20"/>
  <c r="I6756" i="20"/>
  <c r="I6757" i="20"/>
  <c r="I6758" i="20"/>
  <c r="I6759" i="20"/>
  <c r="I6760" i="20"/>
  <c r="I6761" i="20"/>
  <c r="I6762" i="20"/>
  <c r="I6763" i="20"/>
  <c r="I6764" i="20"/>
  <c r="I6765" i="20"/>
  <c r="I6766" i="20"/>
  <c r="I6767" i="20"/>
  <c r="I6768" i="20"/>
  <c r="I6769" i="20"/>
  <c r="I6770" i="20"/>
  <c r="I6771" i="20"/>
  <c r="I6772" i="20"/>
  <c r="I6773" i="20"/>
  <c r="I6774" i="20"/>
  <c r="I6775" i="20"/>
  <c r="I6776" i="20"/>
  <c r="I6777" i="20"/>
  <c r="I6778" i="20"/>
  <c r="I6779" i="20"/>
  <c r="I6780" i="20"/>
  <c r="I6781" i="20"/>
  <c r="I6782" i="20"/>
  <c r="I6783" i="20"/>
  <c r="I6784" i="20"/>
  <c r="I6785" i="20"/>
  <c r="I6786" i="20"/>
  <c r="I6787" i="20"/>
  <c r="I6788" i="20"/>
  <c r="I6789" i="20"/>
  <c r="I6790" i="20"/>
  <c r="I6791" i="20"/>
  <c r="I6792" i="20"/>
  <c r="I6793" i="20"/>
  <c r="I6794" i="20"/>
  <c r="I6795" i="20"/>
  <c r="I6796" i="20"/>
  <c r="I6797" i="20"/>
  <c r="I6798" i="20"/>
  <c r="I6799" i="20"/>
  <c r="I6800" i="20"/>
  <c r="I6801" i="20"/>
  <c r="I6802" i="20"/>
  <c r="I6803" i="20"/>
  <c r="I6804" i="20"/>
  <c r="I6805" i="20"/>
  <c r="I6806" i="20"/>
  <c r="I6807" i="20"/>
  <c r="I6808" i="20"/>
  <c r="I6809" i="20"/>
  <c r="I6810" i="20"/>
  <c r="I6811" i="20"/>
  <c r="I6812" i="20"/>
  <c r="I6813" i="20"/>
  <c r="I6814" i="20"/>
  <c r="I6815" i="20"/>
  <c r="I6816" i="20"/>
  <c r="I6817" i="20"/>
  <c r="I6818" i="20"/>
  <c r="I6819" i="20"/>
  <c r="I6820" i="20"/>
  <c r="I6821" i="20"/>
  <c r="I6822" i="20"/>
  <c r="I6823" i="20"/>
  <c r="I6824" i="20"/>
  <c r="I6825" i="20"/>
  <c r="I6826" i="20"/>
  <c r="I6827" i="20"/>
  <c r="I6828" i="20"/>
  <c r="I6829" i="20"/>
  <c r="I6830" i="20"/>
  <c r="I6831" i="20"/>
  <c r="I6832" i="20"/>
  <c r="I6833" i="20"/>
  <c r="I6834" i="20"/>
  <c r="I6835" i="20"/>
  <c r="I6836" i="20"/>
  <c r="I6837" i="20"/>
  <c r="I6838" i="20"/>
  <c r="I6839" i="20"/>
  <c r="I6840" i="20"/>
  <c r="I6841" i="20"/>
  <c r="I6842" i="20"/>
  <c r="I6843" i="20"/>
  <c r="I6844" i="20"/>
  <c r="I6845" i="20"/>
  <c r="I6846" i="20"/>
  <c r="I6847" i="20"/>
  <c r="I6848" i="20"/>
  <c r="I6849" i="20"/>
  <c r="I6850" i="20"/>
  <c r="I6851" i="20"/>
  <c r="I6852" i="20"/>
  <c r="I6853" i="20"/>
  <c r="I6854" i="20"/>
  <c r="I6855" i="20"/>
  <c r="I6856" i="20"/>
  <c r="I6857" i="20"/>
  <c r="I6858" i="20"/>
  <c r="I6859" i="20"/>
  <c r="I6860" i="20"/>
  <c r="I6861" i="20"/>
  <c r="I6862" i="20"/>
  <c r="I6863" i="20"/>
  <c r="I6864" i="20"/>
  <c r="I6865" i="20"/>
  <c r="I6866" i="20"/>
  <c r="I6867" i="20"/>
  <c r="I6868" i="20"/>
  <c r="I6869" i="20"/>
  <c r="I6870" i="20"/>
  <c r="I6871" i="20"/>
  <c r="I6872" i="20"/>
  <c r="I6873" i="20"/>
  <c r="I6874" i="20"/>
  <c r="I6875" i="20"/>
  <c r="I6876" i="20"/>
  <c r="I6877" i="20"/>
  <c r="I6878" i="20"/>
  <c r="I6879" i="20"/>
  <c r="I6880" i="20"/>
  <c r="I6881" i="20"/>
  <c r="I6882" i="20"/>
  <c r="I6883" i="20"/>
  <c r="I6884" i="20"/>
  <c r="I6885" i="20"/>
  <c r="I6886" i="20"/>
  <c r="I6887" i="20"/>
  <c r="I6888" i="20"/>
  <c r="I6889" i="20"/>
  <c r="I6890" i="20"/>
  <c r="I6891" i="20"/>
  <c r="I6892" i="20"/>
  <c r="I6893" i="20"/>
  <c r="I6894" i="20"/>
  <c r="I6895" i="20"/>
  <c r="I6896" i="20"/>
  <c r="I6897" i="20"/>
  <c r="I6898" i="20"/>
  <c r="I6899" i="20"/>
  <c r="I6900" i="20"/>
  <c r="I6901" i="20"/>
  <c r="I6902" i="20"/>
  <c r="I6903" i="20"/>
  <c r="I6904" i="20"/>
  <c r="I6905" i="20"/>
  <c r="I6906" i="20"/>
  <c r="I6907" i="20"/>
  <c r="I6908" i="20"/>
  <c r="I6909" i="20"/>
  <c r="I6910" i="20"/>
  <c r="I6911" i="20"/>
  <c r="I6912" i="20"/>
  <c r="I6913" i="20"/>
  <c r="I6914" i="20"/>
  <c r="I6915" i="20"/>
  <c r="I6916" i="20"/>
  <c r="I6917" i="20"/>
  <c r="I6918" i="20"/>
  <c r="I6919" i="20"/>
  <c r="I6920" i="20"/>
  <c r="I6921" i="20"/>
  <c r="I6922" i="20"/>
  <c r="I6923" i="20"/>
  <c r="I6924" i="20"/>
  <c r="I6925" i="20"/>
  <c r="I6926" i="20"/>
  <c r="I6927" i="20"/>
  <c r="I6928" i="20"/>
  <c r="I6929" i="20"/>
  <c r="I6930" i="20"/>
  <c r="I6931" i="20"/>
  <c r="I6932" i="20"/>
  <c r="I6933" i="20"/>
  <c r="I6934" i="20"/>
  <c r="I6935" i="20"/>
  <c r="I6936" i="20"/>
  <c r="I6937" i="20"/>
  <c r="I6938" i="20"/>
  <c r="I6939" i="20"/>
  <c r="I6940" i="20"/>
  <c r="I6941" i="20"/>
  <c r="I6942" i="20"/>
  <c r="I6943" i="20"/>
  <c r="I6944" i="20"/>
  <c r="I6945" i="20"/>
  <c r="I6946" i="20"/>
  <c r="I6947" i="20"/>
  <c r="I6948" i="20"/>
  <c r="I6949" i="20"/>
  <c r="I6950" i="20"/>
  <c r="I6951" i="20"/>
  <c r="I6952" i="20"/>
  <c r="I6953" i="20"/>
  <c r="I6954" i="20"/>
  <c r="I6955" i="20"/>
  <c r="I6956" i="20"/>
  <c r="I6957" i="20"/>
  <c r="I6958" i="20"/>
  <c r="I6959" i="20"/>
  <c r="I6960" i="20"/>
  <c r="I6961" i="20"/>
  <c r="I6962" i="20"/>
  <c r="I6963" i="20"/>
  <c r="I6964" i="20"/>
  <c r="I6965" i="20"/>
  <c r="I6966" i="20"/>
  <c r="I6967" i="20"/>
  <c r="I6968" i="20"/>
  <c r="I6969" i="20"/>
  <c r="I6970" i="20"/>
  <c r="I6971" i="20"/>
  <c r="I6972" i="20"/>
  <c r="I6973" i="20"/>
  <c r="I6974" i="20"/>
  <c r="I6975" i="20"/>
  <c r="I6976" i="20"/>
  <c r="I6977" i="20"/>
  <c r="I6978" i="20"/>
  <c r="I6979" i="20"/>
  <c r="I6980" i="20"/>
  <c r="I6981" i="20"/>
  <c r="I6982" i="20"/>
  <c r="I6983" i="20"/>
  <c r="I6984" i="20"/>
  <c r="I6985" i="20"/>
  <c r="I6986" i="20"/>
  <c r="I6987" i="20"/>
  <c r="I6988" i="20"/>
  <c r="I6989" i="20"/>
  <c r="I6990" i="20"/>
  <c r="I6991" i="20"/>
  <c r="I6992" i="20"/>
  <c r="I6993" i="20"/>
  <c r="I6994" i="20"/>
  <c r="I6995" i="20"/>
  <c r="I6996" i="20"/>
  <c r="I6997" i="20"/>
  <c r="I6998" i="20"/>
  <c r="I6999" i="20"/>
  <c r="I7000" i="20"/>
  <c r="I7001" i="20"/>
  <c r="I7002" i="20"/>
  <c r="I7003" i="20"/>
  <c r="I7004" i="20"/>
  <c r="I7005" i="20"/>
  <c r="I7006" i="20"/>
  <c r="I7007" i="20"/>
  <c r="I7008" i="20"/>
  <c r="I7009" i="20"/>
  <c r="I7010" i="20"/>
  <c r="I7011" i="20"/>
  <c r="I7012" i="20"/>
  <c r="I7013" i="20"/>
  <c r="I7014" i="20"/>
  <c r="I7015" i="20"/>
  <c r="I7016" i="20"/>
  <c r="I7017" i="20"/>
  <c r="I7018" i="20"/>
  <c r="I7019" i="20"/>
  <c r="I7020" i="20"/>
  <c r="I7021" i="20"/>
  <c r="I7022" i="20"/>
  <c r="I7023" i="20"/>
  <c r="I7024" i="20"/>
  <c r="I7025" i="20"/>
  <c r="I7026" i="20"/>
  <c r="I7027" i="20"/>
  <c r="I7028" i="20"/>
  <c r="I7029" i="20"/>
  <c r="I7030" i="20"/>
  <c r="I7031" i="20"/>
  <c r="I7032" i="20"/>
  <c r="I7033" i="20"/>
  <c r="I7034" i="20"/>
  <c r="I7035" i="20"/>
  <c r="I7036" i="20"/>
  <c r="I7037" i="20"/>
  <c r="I7038" i="20"/>
  <c r="I7039" i="20"/>
  <c r="I7040" i="20"/>
  <c r="I7041" i="20"/>
  <c r="I7042" i="20"/>
  <c r="I7043" i="20"/>
  <c r="I7044" i="20"/>
  <c r="I7045" i="20"/>
  <c r="I7046" i="20"/>
  <c r="I7047" i="20"/>
  <c r="I7048" i="20"/>
  <c r="I7049" i="20"/>
  <c r="I7050" i="20"/>
  <c r="I7051" i="20"/>
  <c r="I7052" i="20"/>
  <c r="I7053" i="20"/>
  <c r="I7054" i="20"/>
  <c r="I7055" i="20"/>
  <c r="I7056" i="20"/>
  <c r="I7057" i="20"/>
  <c r="I7058" i="20"/>
  <c r="I7059" i="20"/>
  <c r="I7060" i="20"/>
  <c r="I7061" i="20"/>
  <c r="I7062" i="20"/>
  <c r="I7063" i="20"/>
  <c r="I7064" i="20"/>
  <c r="I7065" i="20"/>
  <c r="I7066" i="20"/>
  <c r="I7067" i="20"/>
  <c r="I7068" i="20"/>
  <c r="I7069" i="20"/>
  <c r="I7070" i="20"/>
  <c r="I7071" i="20"/>
  <c r="I7072" i="20"/>
  <c r="I7073" i="20"/>
  <c r="I7074" i="20"/>
  <c r="I7075" i="20"/>
  <c r="I7076" i="20"/>
  <c r="I7077" i="20"/>
  <c r="I7078" i="20"/>
  <c r="I7079" i="20"/>
  <c r="I7080" i="20"/>
  <c r="I7081" i="20"/>
  <c r="I7082" i="20"/>
  <c r="I7083" i="20"/>
  <c r="I7084" i="20"/>
  <c r="I7085" i="20"/>
  <c r="I7086" i="20"/>
  <c r="I7087" i="20"/>
  <c r="I7088" i="20"/>
  <c r="I7089" i="20"/>
  <c r="I7090" i="20"/>
  <c r="I7091" i="20"/>
  <c r="I7092" i="20"/>
  <c r="I7093" i="20"/>
  <c r="I7094" i="20"/>
  <c r="I7095" i="20"/>
  <c r="I7096" i="20"/>
  <c r="I7097" i="20"/>
  <c r="I7098" i="20"/>
  <c r="I7099" i="20"/>
  <c r="I7100" i="20"/>
  <c r="I7101" i="20"/>
  <c r="I7102" i="20"/>
  <c r="I7103" i="20"/>
  <c r="I7104" i="20"/>
  <c r="I7105" i="20"/>
  <c r="I7106" i="20"/>
  <c r="I7107" i="20"/>
  <c r="I7108" i="20"/>
  <c r="I7109" i="20"/>
  <c r="I7110" i="20"/>
  <c r="I7111" i="20"/>
  <c r="I7112" i="20"/>
  <c r="I7113" i="20"/>
  <c r="I7114" i="20"/>
  <c r="I7115" i="20"/>
  <c r="I7116" i="20"/>
  <c r="I7117" i="20"/>
  <c r="I7118" i="20"/>
  <c r="I7119" i="20"/>
  <c r="I7120" i="20"/>
  <c r="I7121" i="20"/>
  <c r="I7122" i="20"/>
  <c r="I7123" i="20"/>
  <c r="I7124" i="20"/>
  <c r="I7125" i="20"/>
  <c r="I7126" i="20"/>
  <c r="I7127" i="20"/>
  <c r="I7128" i="20"/>
  <c r="I7129" i="20"/>
  <c r="I7130" i="20"/>
  <c r="I7131" i="20"/>
  <c r="I7132" i="20"/>
  <c r="I7133" i="20"/>
  <c r="I7134" i="20"/>
  <c r="I7135" i="20"/>
  <c r="I7136" i="20"/>
  <c r="I7137" i="20"/>
  <c r="I7138" i="20"/>
  <c r="I7139" i="20"/>
  <c r="I7140" i="20"/>
  <c r="I7141" i="20"/>
  <c r="I7142" i="20"/>
  <c r="I7143" i="20"/>
  <c r="I7144" i="20"/>
  <c r="I7145" i="20"/>
  <c r="I7146" i="20"/>
  <c r="I7147" i="20"/>
  <c r="I7148" i="20"/>
  <c r="I7149" i="20"/>
  <c r="I7150" i="20"/>
  <c r="I7151" i="20"/>
  <c r="I7152" i="20"/>
  <c r="I7153" i="20"/>
  <c r="I7154" i="20"/>
  <c r="I7155" i="20"/>
  <c r="I7156" i="20"/>
  <c r="I7157" i="20"/>
  <c r="I7158" i="20"/>
  <c r="I7159" i="20"/>
  <c r="I7160" i="20"/>
  <c r="I7161" i="20"/>
  <c r="I7162" i="20"/>
  <c r="I7163" i="20"/>
  <c r="I7164" i="20"/>
  <c r="I7165" i="20"/>
  <c r="I7166" i="20"/>
  <c r="I7167" i="20"/>
  <c r="I7168" i="20"/>
  <c r="I7169" i="20"/>
  <c r="I7170" i="20"/>
  <c r="I7171" i="20"/>
  <c r="I7172" i="20"/>
  <c r="I7173" i="20"/>
  <c r="I7174" i="20"/>
  <c r="I7175" i="20"/>
  <c r="I7176" i="20"/>
  <c r="I7177" i="20"/>
  <c r="I7178" i="20"/>
  <c r="I7179" i="20"/>
  <c r="I7180" i="20"/>
  <c r="I7181" i="20"/>
  <c r="I7182" i="20"/>
  <c r="I7183" i="20"/>
  <c r="I7184" i="20"/>
  <c r="I7185" i="20"/>
  <c r="I7186" i="20"/>
  <c r="I7187" i="20"/>
  <c r="I7188" i="20"/>
  <c r="I7189" i="20"/>
  <c r="I7190" i="20"/>
  <c r="I7191" i="20"/>
  <c r="I7192" i="20"/>
  <c r="I7193" i="20"/>
  <c r="I7194" i="20"/>
  <c r="I7195" i="20"/>
  <c r="I7196" i="20"/>
  <c r="I7197" i="20"/>
  <c r="I7198" i="20"/>
  <c r="I7199" i="20"/>
  <c r="I7200" i="20"/>
  <c r="I7201" i="20"/>
  <c r="I7202" i="20"/>
  <c r="I7203" i="20"/>
  <c r="I7204" i="20"/>
  <c r="I7205" i="20"/>
  <c r="I7206" i="20"/>
  <c r="I7207" i="20"/>
  <c r="I7208" i="20"/>
  <c r="I7209" i="20"/>
  <c r="I7210" i="20"/>
  <c r="I7211" i="20"/>
  <c r="I7212" i="20"/>
  <c r="I7213" i="20"/>
  <c r="I7214" i="20"/>
  <c r="I7215" i="20"/>
  <c r="I7216" i="20"/>
  <c r="I7217" i="20"/>
  <c r="I7218" i="20"/>
  <c r="I7219" i="20"/>
  <c r="I7220" i="20"/>
  <c r="I7221" i="20"/>
  <c r="I7222" i="20"/>
  <c r="I7223" i="20"/>
  <c r="I7224" i="20"/>
  <c r="I7225" i="20"/>
  <c r="I7226" i="20"/>
  <c r="I7227" i="20"/>
  <c r="I7228" i="20"/>
  <c r="I7229" i="20"/>
  <c r="I7230" i="20"/>
  <c r="I7231" i="20"/>
  <c r="I7232" i="20"/>
  <c r="I7233" i="20"/>
  <c r="I7234" i="20"/>
  <c r="I7235" i="20"/>
  <c r="I7236" i="20"/>
  <c r="I7237" i="20"/>
  <c r="I7238" i="20"/>
  <c r="I7239" i="20"/>
  <c r="I7240" i="20"/>
  <c r="I7241" i="20"/>
  <c r="I7242" i="20"/>
  <c r="I7243" i="20"/>
  <c r="I7244" i="20"/>
  <c r="I7245" i="20"/>
  <c r="I7246" i="20"/>
  <c r="I7247" i="20"/>
  <c r="I7248" i="20"/>
  <c r="I7249" i="20"/>
  <c r="I7250" i="20"/>
  <c r="I7251" i="20"/>
  <c r="I7252" i="20"/>
  <c r="I7253" i="20"/>
  <c r="I7254" i="20"/>
  <c r="I7255" i="20"/>
  <c r="I7256" i="20"/>
  <c r="I7257" i="20"/>
  <c r="I7258" i="20"/>
  <c r="I7259" i="20"/>
  <c r="I7260" i="20"/>
  <c r="I7261" i="20"/>
  <c r="I7262" i="20"/>
  <c r="I7263" i="20"/>
  <c r="I7264" i="20"/>
  <c r="I7265" i="20"/>
  <c r="I7266" i="20"/>
  <c r="I7267" i="20"/>
  <c r="I7268" i="20"/>
  <c r="I7269" i="20"/>
  <c r="I7270" i="20"/>
  <c r="I7271" i="20"/>
  <c r="I7272" i="20"/>
  <c r="I7273" i="20"/>
  <c r="I7274" i="20"/>
  <c r="I7275" i="20"/>
  <c r="I7276" i="20"/>
  <c r="I7277" i="20"/>
  <c r="I7278" i="20"/>
  <c r="I7279" i="20"/>
  <c r="I7280" i="20"/>
  <c r="I7281" i="20"/>
  <c r="I7282" i="20"/>
  <c r="I7283" i="20"/>
  <c r="I7284" i="20"/>
  <c r="I7285" i="20"/>
  <c r="I7286" i="20"/>
  <c r="I7287" i="20"/>
  <c r="I7288" i="20"/>
  <c r="I7289" i="20"/>
  <c r="I7290" i="20"/>
  <c r="I7291" i="20"/>
  <c r="I7292" i="20"/>
  <c r="I7293" i="20"/>
  <c r="I7294" i="20"/>
  <c r="I7295" i="20"/>
  <c r="I7296" i="20"/>
  <c r="I7297" i="20"/>
  <c r="I7298" i="20"/>
  <c r="I7299" i="20"/>
  <c r="I7300" i="20"/>
  <c r="I7301" i="20"/>
  <c r="I7302" i="20"/>
  <c r="I7303" i="20"/>
  <c r="I7304" i="20"/>
  <c r="I7305" i="20"/>
  <c r="I7306" i="20"/>
  <c r="I7307" i="20"/>
  <c r="I7308" i="20"/>
  <c r="I7309" i="20"/>
  <c r="I7310" i="20"/>
  <c r="I7311" i="20"/>
  <c r="I7312" i="20"/>
  <c r="I7313" i="20"/>
  <c r="I7314" i="20"/>
  <c r="I7315" i="20"/>
  <c r="I7316" i="20"/>
  <c r="I7317" i="20"/>
  <c r="I7318" i="20"/>
  <c r="I7319" i="20"/>
  <c r="I7320" i="20"/>
  <c r="I7321" i="20"/>
  <c r="I7322" i="20"/>
  <c r="I7323" i="20"/>
  <c r="I7324" i="20"/>
  <c r="I7325" i="20"/>
  <c r="I7326" i="20"/>
  <c r="I7327" i="20"/>
  <c r="I7328" i="20"/>
  <c r="I7329" i="20"/>
  <c r="I7330" i="20"/>
  <c r="I7331" i="20"/>
  <c r="I7332" i="20"/>
  <c r="I7333" i="20"/>
  <c r="I7334" i="20"/>
  <c r="I7335" i="20"/>
  <c r="I7336" i="20"/>
  <c r="I7337" i="20"/>
  <c r="I7338" i="20"/>
  <c r="I7339" i="20"/>
  <c r="I7340" i="20"/>
  <c r="I7341" i="20"/>
  <c r="I7342" i="20"/>
  <c r="I7343" i="20"/>
  <c r="I7344" i="20"/>
  <c r="I7345" i="20"/>
  <c r="I7346" i="20"/>
  <c r="I7347" i="20"/>
  <c r="I7348" i="20"/>
  <c r="I7349" i="20"/>
  <c r="I7350" i="20"/>
  <c r="I7351" i="20"/>
  <c r="I7352" i="20"/>
  <c r="I7353" i="20"/>
  <c r="I7354" i="20"/>
  <c r="I7355" i="20"/>
  <c r="I7356" i="20"/>
  <c r="I7357" i="20"/>
  <c r="I7358" i="20"/>
  <c r="I7359" i="20"/>
  <c r="I7360" i="20"/>
  <c r="I7361" i="20"/>
  <c r="I7362" i="20"/>
  <c r="I7363" i="20"/>
  <c r="I7364" i="20"/>
  <c r="I7365" i="20"/>
  <c r="I7366" i="20"/>
  <c r="I7367" i="20"/>
  <c r="I7368" i="20"/>
  <c r="I7369" i="20"/>
  <c r="I7370" i="20"/>
  <c r="I7371" i="20"/>
  <c r="I7372" i="20"/>
  <c r="I7373" i="20"/>
  <c r="I7374" i="20"/>
  <c r="I7375" i="20"/>
  <c r="I7376" i="20"/>
  <c r="I7377" i="20"/>
  <c r="I7378" i="20"/>
  <c r="I7379" i="20"/>
  <c r="I7380" i="20"/>
  <c r="I7381" i="20"/>
  <c r="I7382" i="20"/>
  <c r="I7383" i="20"/>
  <c r="I7384" i="20"/>
  <c r="I7385" i="20"/>
  <c r="I7386" i="20"/>
  <c r="I7387" i="20"/>
  <c r="I7388" i="20"/>
  <c r="I7389" i="20"/>
  <c r="I7390" i="20"/>
  <c r="I7391" i="20"/>
  <c r="I7392" i="20"/>
  <c r="I7393" i="20"/>
  <c r="I7394" i="20"/>
  <c r="I7395" i="20"/>
  <c r="I7396" i="20"/>
  <c r="I7397" i="20"/>
  <c r="I7398" i="20"/>
  <c r="I7399" i="20"/>
  <c r="I7400" i="20"/>
  <c r="I7401" i="20"/>
  <c r="I7402" i="20"/>
  <c r="I7403" i="20"/>
  <c r="I7404" i="20"/>
  <c r="I7405" i="20"/>
  <c r="I7406" i="20"/>
  <c r="I7407" i="20"/>
  <c r="I7408" i="20"/>
  <c r="I7409" i="20"/>
  <c r="I7410" i="20"/>
  <c r="I7411" i="20"/>
  <c r="I7412" i="20"/>
  <c r="I7413" i="20"/>
  <c r="I7414" i="20"/>
  <c r="I7415" i="20"/>
  <c r="I7416" i="20"/>
  <c r="I7417" i="20"/>
  <c r="I7418" i="20"/>
  <c r="I7419" i="20"/>
  <c r="I7420" i="20"/>
  <c r="I7421" i="20"/>
  <c r="I7422" i="20"/>
  <c r="I7423" i="20"/>
  <c r="I7424" i="20"/>
  <c r="I7425" i="20"/>
  <c r="I7426" i="20"/>
  <c r="I7427" i="20"/>
  <c r="I7428" i="20"/>
  <c r="I7429" i="20"/>
  <c r="I7430" i="20"/>
  <c r="I7431" i="20"/>
  <c r="I7432" i="20"/>
  <c r="I7433" i="20"/>
  <c r="I7434" i="20"/>
  <c r="I7435" i="20"/>
  <c r="I7436" i="20"/>
  <c r="I7437" i="20"/>
  <c r="I7438" i="20"/>
  <c r="I7439" i="20"/>
  <c r="I7440" i="20"/>
  <c r="I7441" i="20"/>
  <c r="I7442" i="20"/>
  <c r="I7443" i="20"/>
  <c r="I7444" i="20"/>
  <c r="I7445" i="20"/>
  <c r="I7446" i="20"/>
  <c r="I7447" i="20"/>
  <c r="I7448" i="20"/>
  <c r="I7449" i="20"/>
  <c r="I7450" i="20"/>
  <c r="I7451" i="20"/>
  <c r="I7452" i="20"/>
  <c r="I7453" i="20"/>
  <c r="I7454" i="20"/>
  <c r="I7455" i="20"/>
  <c r="I7456" i="20"/>
  <c r="I7457" i="20"/>
  <c r="I7458" i="20"/>
  <c r="I7459" i="20"/>
  <c r="I7460" i="20"/>
  <c r="I7461" i="20"/>
  <c r="I7462" i="20"/>
  <c r="I7463" i="20"/>
  <c r="I7464" i="20"/>
  <c r="I7465" i="20"/>
  <c r="I7466" i="20"/>
  <c r="I7467" i="20"/>
  <c r="I7468" i="20"/>
  <c r="I7469" i="20"/>
  <c r="I7470" i="20"/>
  <c r="I7471" i="20"/>
  <c r="I7472" i="20"/>
  <c r="I7473" i="20"/>
  <c r="I7474" i="20"/>
  <c r="I7475" i="20"/>
  <c r="I7476" i="20"/>
  <c r="I7477" i="20"/>
  <c r="I7478" i="20"/>
  <c r="I7479" i="20"/>
  <c r="I7480" i="20"/>
  <c r="I7481" i="20"/>
  <c r="I7482" i="20"/>
  <c r="I7483" i="20"/>
  <c r="I7484" i="20"/>
  <c r="I7485" i="20"/>
  <c r="I7486" i="20"/>
  <c r="I7487" i="20"/>
  <c r="I7488" i="20"/>
  <c r="I7489" i="20"/>
  <c r="I7490" i="20"/>
  <c r="I7491" i="20"/>
  <c r="I7492" i="20"/>
  <c r="I7493" i="20"/>
  <c r="I7494" i="20"/>
  <c r="I7495" i="20"/>
  <c r="I7496" i="20"/>
  <c r="I7497" i="20"/>
  <c r="I7498" i="20"/>
  <c r="I7499" i="20"/>
  <c r="I7500" i="20"/>
  <c r="I7501" i="20"/>
  <c r="I7502" i="20"/>
  <c r="I7503" i="20"/>
  <c r="I7504" i="20"/>
  <c r="I7505" i="20"/>
  <c r="I7506" i="20"/>
  <c r="I7507" i="20"/>
  <c r="I7508" i="20"/>
  <c r="I7509" i="20"/>
  <c r="I7510" i="20"/>
  <c r="I7511" i="20"/>
  <c r="I7512" i="20"/>
  <c r="I7513" i="20"/>
  <c r="I7514" i="20"/>
  <c r="I7515" i="20"/>
  <c r="I7516" i="20"/>
  <c r="I7517" i="20"/>
  <c r="I7518" i="20"/>
  <c r="I7519" i="20"/>
  <c r="I7520" i="20"/>
  <c r="I7521" i="20"/>
  <c r="I7522" i="20"/>
  <c r="I7523" i="20"/>
  <c r="I7524" i="20"/>
  <c r="I7525" i="20"/>
  <c r="I7526" i="20"/>
  <c r="I7527" i="20"/>
  <c r="I7528" i="20"/>
  <c r="I7529" i="20"/>
  <c r="I7530" i="20"/>
  <c r="I7531" i="20"/>
  <c r="I7532" i="20"/>
  <c r="I7533" i="20"/>
  <c r="I7534" i="20"/>
  <c r="I7535" i="20"/>
  <c r="I7536" i="20"/>
  <c r="I7537" i="20"/>
  <c r="I7538" i="20"/>
  <c r="I7539" i="20"/>
  <c r="I7540" i="20"/>
  <c r="I7541" i="20"/>
  <c r="I7542" i="20"/>
  <c r="I7543" i="20"/>
  <c r="I7544" i="20"/>
  <c r="I7545" i="20"/>
  <c r="I7546" i="20"/>
  <c r="I7547" i="20"/>
  <c r="I7548" i="20"/>
  <c r="I7549" i="20"/>
  <c r="I7550" i="20"/>
  <c r="I7551" i="20"/>
  <c r="I7552" i="20"/>
  <c r="I7553" i="20"/>
  <c r="I7554" i="20"/>
  <c r="I7555" i="20"/>
  <c r="I7556" i="20"/>
  <c r="I7557" i="20"/>
  <c r="I7558" i="20"/>
  <c r="I7559" i="20"/>
  <c r="I7560" i="20"/>
  <c r="I7561" i="20"/>
  <c r="I7562" i="20"/>
  <c r="I7563" i="20"/>
  <c r="I7564" i="20"/>
  <c r="I7565" i="20"/>
  <c r="I7566" i="20"/>
  <c r="I7567" i="20"/>
  <c r="I7568" i="20"/>
  <c r="I7569" i="20"/>
  <c r="I7570" i="20"/>
  <c r="I7571" i="20"/>
  <c r="I7572" i="20"/>
  <c r="I7573" i="20"/>
  <c r="I7574" i="20"/>
  <c r="I7575" i="20"/>
  <c r="I7576" i="20"/>
  <c r="I7577" i="20"/>
  <c r="I7578" i="20"/>
  <c r="I7579" i="20"/>
  <c r="I7580" i="20"/>
  <c r="I7581" i="20"/>
  <c r="I7582" i="20"/>
  <c r="I7583" i="20"/>
  <c r="I7584" i="20"/>
  <c r="I7585" i="20"/>
  <c r="I7586" i="20"/>
  <c r="I7587" i="20"/>
  <c r="I7588" i="20"/>
  <c r="I7589" i="20"/>
  <c r="I7590" i="20"/>
  <c r="I7591" i="20"/>
  <c r="I7592" i="20"/>
  <c r="I7593" i="20"/>
  <c r="I7594" i="20"/>
  <c r="I7595" i="20"/>
  <c r="I7596" i="20"/>
  <c r="I7597" i="20"/>
  <c r="I7598" i="20"/>
  <c r="I7599" i="20"/>
  <c r="I7600" i="20"/>
  <c r="I7601" i="20"/>
  <c r="I7602" i="20"/>
  <c r="I7603" i="20"/>
  <c r="I7604" i="20"/>
  <c r="I7605" i="20"/>
  <c r="I7606" i="20"/>
  <c r="I7607" i="20"/>
  <c r="I7608" i="20"/>
  <c r="I7609" i="20"/>
  <c r="I7610" i="20"/>
  <c r="I7611" i="20"/>
  <c r="I7612" i="20"/>
  <c r="I7613" i="20"/>
  <c r="I7614" i="20"/>
  <c r="I7615" i="20"/>
  <c r="I7616" i="20"/>
  <c r="I7617" i="20"/>
  <c r="I7618" i="20"/>
  <c r="I7619" i="20"/>
  <c r="I7620" i="20"/>
  <c r="I7621" i="20"/>
  <c r="I7622" i="20"/>
  <c r="I7623" i="20"/>
  <c r="I7624" i="20"/>
  <c r="I7625" i="20"/>
  <c r="I7626" i="20"/>
  <c r="I7627" i="20"/>
  <c r="I7628" i="20"/>
  <c r="I7629" i="20"/>
  <c r="I7630" i="20"/>
  <c r="I7631" i="20"/>
  <c r="I7632" i="20"/>
  <c r="I7633" i="20"/>
  <c r="I7634" i="20"/>
  <c r="I7635" i="20"/>
  <c r="I7636" i="20"/>
  <c r="I7637" i="20"/>
  <c r="I7638" i="20"/>
  <c r="I7639" i="20"/>
  <c r="I7640" i="20"/>
  <c r="I7641" i="20"/>
  <c r="I7642" i="20"/>
  <c r="I7643" i="20"/>
  <c r="I7644" i="20"/>
  <c r="I7645" i="20"/>
  <c r="I7646" i="20"/>
  <c r="I7647" i="20"/>
  <c r="I7648" i="20"/>
  <c r="I7649" i="20"/>
  <c r="I7650" i="20"/>
  <c r="I7651" i="20"/>
  <c r="I7652" i="20"/>
  <c r="I7653" i="20"/>
  <c r="I7654" i="20"/>
  <c r="I7655" i="20"/>
  <c r="I7656" i="20"/>
  <c r="I7657" i="20"/>
  <c r="I7658" i="20"/>
  <c r="I7659" i="20"/>
  <c r="I7660" i="20"/>
  <c r="I7661" i="20"/>
  <c r="I7662" i="20"/>
  <c r="I7663" i="20"/>
  <c r="I7664" i="20"/>
  <c r="I7665" i="20"/>
  <c r="I7666" i="20"/>
  <c r="I7667" i="20"/>
  <c r="I7668" i="20"/>
  <c r="I7669" i="20"/>
  <c r="I7670" i="20"/>
  <c r="I7671" i="20"/>
  <c r="I7672" i="20"/>
  <c r="I7673" i="20"/>
  <c r="I7674" i="20"/>
  <c r="I7675" i="20"/>
  <c r="I7676" i="20"/>
  <c r="I7677" i="20"/>
  <c r="I7678" i="20"/>
  <c r="I7679" i="20"/>
  <c r="I7680" i="20"/>
  <c r="I7681" i="20"/>
  <c r="I7682" i="20"/>
  <c r="I7683" i="20"/>
  <c r="I7684" i="20"/>
  <c r="I7685" i="20"/>
  <c r="I7686" i="20"/>
  <c r="I7687" i="20"/>
  <c r="I7688" i="20"/>
  <c r="I7689" i="20"/>
  <c r="I7690" i="20"/>
  <c r="I7691" i="20"/>
  <c r="I7692" i="20"/>
  <c r="I7693" i="20"/>
  <c r="I7694" i="20"/>
  <c r="I7695" i="20"/>
  <c r="I7696" i="20"/>
  <c r="I7697" i="20"/>
  <c r="I7698" i="20"/>
  <c r="I7699" i="20"/>
  <c r="I7700" i="20"/>
  <c r="I7701" i="20"/>
  <c r="I7702" i="20"/>
  <c r="I7703" i="20"/>
  <c r="I7704" i="20"/>
  <c r="I7705" i="20"/>
  <c r="I7706" i="20"/>
  <c r="I7707" i="20"/>
  <c r="I7708" i="20"/>
  <c r="I7709" i="20"/>
  <c r="I7710" i="20"/>
  <c r="I7711" i="20"/>
  <c r="I7712" i="20"/>
  <c r="I7713" i="20"/>
  <c r="I7714" i="20"/>
  <c r="I7715" i="20"/>
  <c r="I7716" i="20"/>
  <c r="I7717" i="20"/>
  <c r="I7718" i="20"/>
  <c r="I7719" i="20"/>
  <c r="I7720" i="20"/>
  <c r="I7721" i="20"/>
  <c r="I7722" i="20"/>
  <c r="I7723" i="20"/>
  <c r="I7724" i="20"/>
  <c r="I7725" i="20"/>
  <c r="I7726" i="20"/>
  <c r="I7727" i="20"/>
  <c r="I7728" i="20"/>
  <c r="I7729" i="20"/>
  <c r="I7730" i="20"/>
  <c r="I7731" i="20"/>
  <c r="I7732" i="20"/>
  <c r="I7733" i="20"/>
  <c r="I7734" i="20"/>
  <c r="I7735" i="20"/>
  <c r="I7736" i="20"/>
  <c r="I7737" i="20"/>
  <c r="I7738" i="20"/>
  <c r="I7739" i="20"/>
  <c r="I7740" i="20"/>
  <c r="I7741" i="20"/>
  <c r="I7742" i="20"/>
  <c r="I7743" i="20"/>
  <c r="I7744" i="20"/>
  <c r="I7745" i="20"/>
  <c r="I7746" i="20"/>
  <c r="I7747" i="20"/>
  <c r="I7748" i="20"/>
  <c r="I7749" i="20"/>
  <c r="I7750" i="20"/>
  <c r="I7751" i="20"/>
  <c r="I7752" i="20"/>
  <c r="I7753" i="20"/>
  <c r="I7754" i="20"/>
  <c r="I7755" i="20"/>
  <c r="I7756" i="20"/>
  <c r="I7757" i="20"/>
  <c r="I7758" i="20"/>
  <c r="I7759" i="20"/>
  <c r="I7760" i="20"/>
  <c r="I7761" i="20"/>
  <c r="I7762" i="20"/>
  <c r="I7763" i="20"/>
  <c r="I7764" i="20"/>
  <c r="I7765" i="20"/>
  <c r="I7766" i="20"/>
  <c r="I7767" i="20"/>
  <c r="I7768" i="20"/>
  <c r="I7769" i="20"/>
  <c r="I7770" i="20"/>
  <c r="I7771" i="20"/>
  <c r="I7772" i="20"/>
  <c r="I7773" i="20"/>
  <c r="I7774" i="20"/>
  <c r="I7775" i="20"/>
  <c r="I7776" i="20"/>
  <c r="I7777" i="20"/>
  <c r="I7778" i="20"/>
  <c r="I7779" i="20"/>
  <c r="I7780" i="20"/>
  <c r="I7781" i="20"/>
  <c r="I7782" i="20"/>
  <c r="I7783" i="20"/>
  <c r="I7784" i="20"/>
  <c r="I7785" i="20"/>
  <c r="I7786" i="20"/>
  <c r="I7787" i="20"/>
  <c r="I7788" i="20"/>
  <c r="I7789" i="20"/>
  <c r="I7790" i="20"/>
  <c r="I7791" i="20"/>
  <c r="I7792" i="20"/>
  <c r="I7793" i="20"/>
  <c r="I7794" i="20"/>
  <c r="I7795" i="20"/>
  <c r="I7796" i="20"/>
  <c r="I7797" i="20"/>
  <c r="I7798" i="20"/>
  <c r="I7799" i="20"/>
  <c r="I7800" i="20"/>
  <c r="I7801" i="20"/>
  <c r="I7802" i="20"/>
  <c r="I7803" i="20"/>
  <c r="I7804" i="20"/>
  <c r="I7805" i="20"/>
  <c r="I7806" i="20"/>
  <c r="I7807" i="20"/>
  <c r="I7808" i="20"/>
  <c r="I7809" i="20"/>
  <c r="I7810" i="20"/>
  <c r="I7811" i="20"/>
  <c r="I7812" i="20"/>
  <c r="I7813" i="20"/>
  <c r="I7814" i="20"/>
  <c r="I7815" i="20"/>
  <c r="I7816" i="20"/>
  <c r="I7817" i="20"/>
  <c r="I7818" i="20"/>
  <c r="I7819" i="20"/>
  <c r="I7820" i="20"/>
  <c r="I7821" i="20"/>
  <c r="I7822" i="20"/>
  <c r="I7823" i="20"/>
  <c r="I7824" i="20"/>
  <c r="I7825" i="20"/>
  <c r="I7826" i="20"/>
  <c r="I7827" i="20"/>
  <c r="I7828" i="20"/>
  <c r="I7829" i="20"/>
  <c r="I7830" i="20"/>
  <c r="I7831" i="20"/>
  <c r="I7832" i="20"/>
  <c r="I7833" i="20"/>
  <c r="I7834" i="20"/>
  <c r="I7835" i="20"/>
  <c r="I7836" i="20"/>
  <c r="I7837" i="20"/>
  <c r="I7838" i="20"/>
  <c r="I7839" i="20"/>
  <c r="I7840" i="20"/>
  <c r="I7841" i="20"/>
  <c r="I7842" i="20"/>
  <c r="I7843" i="20"/>
  <c r="I7844" i="20"/>
  <c r="I7845" i="20"/>
  <c r="I7846" i="20"/>
  <c r="I7847" i="20"/>
  <c r="I7848" i="20"/>
  <c r="I7849" i="20"/>
  <c r="I7850" i="20"/>
  <c r="I7851" i="20"/>
  <c r="I7852" i="20"/>
  <c r="I7853" i="20"/>
  <c r="I7854" i="20"/>
  <c r="I7855" i="20"/>
  <c r="I7856" i="20"/>
  <c r="I7857" i="20"/>
  <c r="I7858" i="20"/>
  <c r="I7859" i="20"/>
  <c r="I7860" i="20"/>
  <c r="I7861" i="20"/>
  <c r="I7862" i="20"/>
  <c r="I7863" i="20"/>
  <c r="I7864" i="20"/>
  <c r="I7865" i="20"/>
  <c r="I7866" i="20"/>
  <c r="I7867" i="20"/>
  <c r="I7868" i="20"/>
  <c r="I7869" i="20"/>
  <c r="I7870" i="20"/>
  <c r="I7871" i="20"/>
  <c r="I7872" i="20"/>
  <c r="I7873" i="20"/>
  <c r="I7874" i="20"/>
  <c r="I7875" i="20"/>
  <c r="I7876" i="20"/>
  <c r="I7877" i="20"/>
  <c r="I7878" i="20"/>
  <c r="I7879" i="20"/>
  <c r="I7880" i="20"/>
  <c r="I7881" i="20"/>
  <c r="I7882" i="20"/>
  <c r="I7883" i="20"/>
  <c r="I7884" i="20"/>
  <c r="I7885" i="20"/>
  <c r="I7886" i="20"/>
  <c r="I7887" i="20"/>
  <c r="I7888" i="20"/>
  <c r="I7889" i="20"/>
  <c r="I7890" i="20"/>
  <c r="I7891" i="20"/>
  <c r="I7892" i="20"/>
  <c r="I7893" i="20"/>
  <c r="I7894" i="20"/>
  <c r="I7895" i="20"/>
  <c r="I7896" i="20"/>
  <c r="I7897" i="20"/>
  <c r="I7898" i="20"/>
  <c r="I7899" i="20"/>
  <c r="I7900" i="20"/>
  <c r="I7901" i="20"/>
  <c r="I7902" i="20"/>
  <c r="I7903" i="20"/>
  <c r="I7904" i="20"/>
  <c r="I7905" i="20"/>
  <c r="I7906" i="20"/>
  <c r="I7907" i="20"/>
  <c r="I7908" i="20"/>
  <c r="I7909" i="20"/>
  <c r="I7910" i="20"/>
  <c r="I7911" i="20"/>
  <c r="I7912" i="20"/>
  <c r="I7913" i="20"/>
  <c r="I7914" i="20"/>
  <c r="I7915" i="20"/>
  <c r="I7916" i="20"/>
  <c r="I7917" i="20"/>
  <c r="I7918" i="20"/>
  <c r="I7919" i="20"/>
  <c r="I7920" i="20"/>
  <c r="I7921" i="20"/>
  <c r="I7922" i="20"/>
  <c r="I7923" i="20"/>
  <c r="I7924" i="20"/>
  <c r="I7925" i="20"/>
  <c r="I7926" i="20"/>
  <c r="I7927" i="20"/>
  <c r="I7928" i="20"/>
  <c r="I7929" i="20"/>
  <c r="I7930" i="20"/>
  <c r="I7931" i="20"/>
  <c r="I7932" i="20"/>
  <c r="I7933" i="20"/>
  <c r="I7934" i="20"/>
  <c r="I7935" i="20"/>
  <c r="I7936" i="20"/>
  <c r="I7937" i="20"/>
  <c r="I7938" i="20"/>
  <c r="I7939" i="20"/>
  <c r="I7940" i="20"/>
  <c r="I7941" i="20"/>
  <c r="I7942" i="20"/>
  <c r="I7943" i="20"/>
  <c r="I7944" i="20"/>
  <c r="I7945" i="20"/>
  <c r="I7946" i="20"/>
  <c r="I7947" i="20"/>
  <c r="I7948" i="20"/>
  <c r="I7949" i="20"/>
  <c r="I7950" i="20"/>
  <c r="I7951" i="20"/>
  <c r="I7952" i="20"/>
  <c r="I7953" i="20"/>
  <c r="I7954" i="20"/>
  <c r="I7955" i="20"/>
  <c r="I7956" i="20"/>
  <c r="I7957" i="20"/>
  <c r="I7958" i="20"/>
  <c r="I7959" i="20"/>
  <c r="I7960" i="20"/>
  <c r="I7961" i="20"/>
  <c r="I7962" i="20"/>
  <c r="I7963" i="20"/>
  <c r="I7964" i="20"/>
  <c r="I7965" i="20"/>
  <c r="I7966" i="20"/>
  <c r="I7967" i="20"/>
  <c r="I7968" i="20"/>
  <c r="I7969" i="20"/>
  <c r="I7970" i="20"/>
  <c r="I7971" i="20"/>
  <c r="I7972" i="20"/>
  <c r="I7973" i="20"/>
  <c r="I7974" i="20"/>
  <c r="I7975" i="20"/>
  <c r="I7976" i="20"/>
  <c r="I7977" i="20"/>
  <c r="I7978" i="20"/>
  <c r="I7979" i="20"/>
  <c r="I7980" i="20"/>
  <c r="I7981" i="20"/>
  <c r="I7982" i="20"/>
  <c r="I7983" i="20"/>
  <c r="I7984" i="20"/>
  <c r="I7985" i="20"/>
  <c r="I7986" i="20"/>
  <c r="I7987" i="20"/>
  <c r="I7988" i="20"/>
  <c r="I7989" i="20"/>
  <c r="I7990" i="20"/>
  <c r="I7991" i="20"/>
  <c r="I7992" i="20"/>
  <c r="I7993" i="20"/>
  <c r="I7994" i="20"/>
  <c r="I7995" i="20"/>
  <c r="I7996" i="20"/>
  <c r="I7997" i="20"/>
  <c r="I7998" i="20"/>
  <c r="I7999" i="20"/>
  <c r="I8000" i="20"/>
  <c r="I8001" i="20"/>
  <c r="I8002" i="20"/>
  <c r="I8003" i="20"/>
  <c r="I8004" i="20"/>
  <c r="I8005" i="20"/>
  <c r="I8006" i="20"/>
  <c r="I8007" i="20"/>
  <c r="I8008" i="20"/>
  <c r="I8009" i="20"/>
  <c r="I8010" i="20"/>
  <c r="I8011" i="20"/>
  <c r="I8012" i="20"/>
  <c r="I8013" i="20"/>
  <c r="I8014" i="20"/>
  <c r="I8015" i="20"/>
  <c r="I8016" i="20"/>
  <c r="I8017" i="20"/>
  <c r="I8018" i="20"/>
  <c r="I8019" i="20"/>
  <c r="I8020" i="20"/>
  <c r="I8021" i="20"/>
  <c r="I8022" i="20"/>
  <c r="I8023" i="20"/>
  <c r="I8024" i="20"/>
  <c r="I8025" i="20"/>
  <c r="I8026" i="20"/>
  <c r="I8027" i="20"/>
  <c r="I8028" i="20"/>
  <c r="I8029" i="20"/>
  <c r="I8030" i="20"/>
  <c r="I8031" i="20"/>
  <c r="I8032" i="20"/>
  <c r="I8033" i="20"/>
  <c r="I8034" i="20"/>
  <c r="I8035" i="20"/>
  <c r="I8036" i="20"/>
  <c r="I8037" i="20"/>
  <c r="I8038" i="20"/>
  <c r="I8039" i="20"/>
  <c r="I8040" i="20"/>
  <c r="I8041" i="20"/>
  <c r="I8042" i="20"/>
  <c r="I8043" i="20"/>
  <c r="I8044" i="20"/>
  <c r="I8045" i="20"/>
  <c r="I8046" i="20"/>
  <c r="I8047" i="20"/>
  <c r="I8048" i="20"/>
  <c r="I8049" i="20"/>
  <c r="I8050" i="20"/>
  <c r="I8051" i="20"/>
  <c r="I8052" i="20"/>
  <c r="I8053" i="20"/>
  <c r="I8054" i="20"/>
  <c r="I8055" i="20"/>
  <c r="I8056" i="20"/>
  <c r="I8057" i="20"/>
  <c r="I8058" i="20"/>
  <c r="I8059" i="20"/>
  <c r="I8060" i="20"/>
  <c r="I8061" i="20"/>
  <c r="I8062" i="20"/>
  <c r="I8063" i="20"/>
  <c r="I8064" i="20"/>
  <c r="I8065" i="20"/>
  <c r="I8066" i="20"/>
  <c r="I8067" i="20"/>
  <c r="I8068" i="20"/>
  <c r="I8069" i="20"/>
  <c r="I8070" i="20"/>
  <c r="I8071" i="20"/>
  <c r="I8072" i="20"/>
  <c r="I8073" i="20"/>
  <c r="I8074" i="20"/>
  <c r="I8075" i="20"/>
  <c r="I8076" i="20"/>
  <c r="I8077" i="20"/>
  <c r="I8078" i="20"/>
  <c r="I8079" i="20"/>
  <c r="I8080" i="20"/>
  <c r="I8081" i="20"/>
  <c r="I8082" i="20"/>
  <c r="I8083" i="20"/>
  <c r="I8084" i="20"/>
  <c r="I8085" i="20"/>
  <c r="I8086" i="20"/>
  <c r="I8087" i="20"/>
  <c r="I8088" i="20"/>
  <c r="I8089" i="20"/>
  <c r="I8090" i="20"/>
  <c r="I8091" i="20"/>
  <c r="I8092" i="20"/>
  <c r="I8093" i="20"/>
  <c r="I8094" i="20"/>
  <c r="I8095" i="20"/>
  <c r="I8096" i="20"/>
  <c r="I8097" i="20"/>
  <c r="I8098" i="20"/>
  <c r="I8099" i="20"/>
  <c r="I8100" i="20"/>
  <c r="I8101" i="20"/>
  <c r="I8102" i="20"/>
  <c r="I8103" i="20"/>
  <c r="I8104" i="20"/>
  <c r="I8105" i="20"/>
  <c r="I8106" i="20"/>
  <c r="I8107" i="20"/>
  <c r="I8108" i="20"/>
  <c r="I8109" i="20"/>
  <c r="I8110" i="20"/>
  <c r="I8111" i="20"/>
  <c r="I8112" i="20"/>
  <c r="I8113" i="20"/>
  <c r="I8114" i="20"/>
  <c r="I8115" i="20"/>
  <c r="I8116" i="20"/>
  <c r="I8117" i="20"/>
  <c r="I8118" i="20"/>
  <c r="I8119" i="20"/>
  <c r="I8120" i="20"/>
  <c r="I8121" i="20"/>
  <c r="I8122" i="20"/>
  <c r="I8123" i="20"/>
  <c r="I8124" i="20"/>
  <c r="I8125" i="20"/>
  <c r="I8126" i="20"/>
  <c r="I8127" i="20"/>
  <c r="I8128" i="20"/>
  <c r="I8129" i="20"/>
  <c r="I8130" i="20"/>
  <c r="I8131" i="20"/>
  <c r="I8132" i="20"/>
  <c r="I8133" i="20"/>
  <c r="I8134" i="20"/>
  <c r="I8135" i="20"/>
  <c r="I8136" i="20"/>
  <c r="I8137" i="20"/>
  <c r="I8138" i="20"/>
  <c r="I8139" i="20"/>
  <c r="I8140" i="20"/>
  <c r="I8141" i="20"/>
  <c r="I8142" i="20"/>
  <c r="I8143" i="20"/>
  <c r="I8144" i="20"/>
  <c r="I8145" i="20"/>
  <c r="I8146" i="20"/>
  <c r="I8147" i="20"/>
  <c r="I8148" i="20"/>
  <c r="I8149" i="20"/>
  <c r="I8150" i="20"/>
  <c r="I8151" i="20"/>
  <c r="I8152" i="20"/>
  <c r="I8153" i="20"/>
  <c r="I8154" i="20"/>
  <c r="I8155" i="20"/>
  <c r="I8156" i="20"/>
  <c r="I8157" i="20"/>
  <c r="I8158" i="20"/>
  <c r="I8159" i="20"/>
  <c r="I8160" i="20"/>
  <c r="I8161" i="20"/>
  <c r="I8162" i="20"/>
  <c r="I8163" i="20"/>
  <c r="I8164" i="20"/>
  <c r="I8165" i="20"/>
  <c r="I8166" i="20"/>
  <c r="I8167" i="20"/>
  <c r="I8168" i="20"/>
  <c r="I8169" i="20"/>
  <c r="I8170" i="20"/>
  <c r="I8171" i="20"/>
  <c r="I8172" i="20"/>
  <c r="I8173" i="20"/>
  <c r="I8174" i="20"/>
  <c r="I8175" i="20"/>
  <c r="I8176" i="20"/>
  <c r="I8177" i="20"/>
  <c r="I8178" i="20"/>
  <c r="I8179" i="20"/>
  <c r="I8180" i="20"/>
  <c r="I8181" i="20"/>
  <c r="I8182" i="20"/>
  <c r="I8183" i="20"/>
  <c r="I8184" i="20"/>
  <c r="I8185" i="20"/>
  <c r="I8186" i="20"/>
  <c r="I8187" i="20"/>
  <c r="I8188" i="20"/>
  <c r="I8189" i="20"/>
  <c r="I8190" i="20"/>
  <c r="I8191" i="20"/>
  <c r="I8192" i="20"/>
  <c r="I8193" i="20"/>
  <c r="I8194" i="20"/>
  <c r="I8195" i="20"/>
  <c r="I8196" i="20"/>
  <c r="I8197" i="20"/>
  <c r="I8198" i="20"/>
  <c r="I8199" i="20"/>
  <c r="I8200" i="20"/>
  <c r="I8201" i="20"/>
  <c r="I8202" i="20"/>
  <c r="I8203" i="20"/>
  <c r="I8204" i="20"/>
  <c r="I8205" i="20"/>
  <c r="I8206" i="20"/>
  <c r="I8207" i="20"/>
  <c r="I8208" i="20"/>
  <c r="I8209" i="20"/>
  <c r="I8210" i="20"/>
  <c r="I8211" i="20"/>
  <c r="I8212" i="20"/>
  <c r="I8213" i="20"/>
  <c r="I8214" i="20"/>
  <c r="I8215" i="20"/>
  <c r="I8216" i="20"/>
  <c r="I8217" i="20"/>
  <c r="I8218" i="20"/>
  <c r="I8219" i="20"/>
  <c r="I8220" i="20"/>
  <c r="I8221" i="20"/>
  <c r="I8222" i="20"/>
  <c r="I8223" i="20"/>
  <c r="I8224" i="20"/>
  <c r="I8225" i="20"/>
  <c r="I8226" i="20"/>
  <c r="I8227" i="20"/>
  <c r="I8228" i="20"/>
  <c r="I8229" i="20"/>
  <c r="I8230" i="20"/>
  <c r="I8231" i="20"/>
  <c r="I8232" i="20"/>
  <c r="I8233" i="20"/>
  <c r="I8234" i="20"/>
  <c r="I8235" i="20"/>
  <c r="I8236" i="20"/>
  <c r="I8237" i="20"/>
  <c r="I8238" i="20"/>
  <c r="I8239" i="20"/>
  <c r="I8240" i="20"/>
  <c r="I8241" i="20"/>
  <c r="I8242" i="20"/>
  <c r="I8243" i="20"/>
  <c r="I8244" i="20"/>
  <c r="I8245" i="20"/>
  <c r="I8246" i="20"/>
  <c r="I8247" i="20"/>
  <c r="I8248" i="20"/>
  <c r="I8249" i="20"/>
  <c r="I8250" i="20"/>
  <c r="I8251" i="20"/>
  <c r="I8252" i="20"/>
  <c r="I8253" i="20"/>
  <c r="I8254" i="20"/>
  <c r="I8255" i="20"/>
  <c r="I8256" i="20"/>
  <c r="I8257" i="20"/>
  <c r="I8258" i="20"/>
  <c r="I8259" i="20"/>
  <c r="I8260" i="20"/>
  <c r="I8261" i="20"/>
  <c r="I8262" i="20"/>
  <c r="I8263" i="20"/>
  <c r="I8264" i="20"/>
  <c r="I8265" i="20"/>
  <c r="I8266" i="20"/>
  <c r="I8267" i="20"/>
  <c r="I8268" i="20"/>
  <c r="I8269" i="20"/>
  <c r="I8270" i="20"/>
  <c r="I8271" i="20"/>
  <c r="I8272" i="20"/>
  <c r="I8273" i="20"/>
  <c r="I8274" i="20"/>
  <c r="I8275" i="20"/>
  <c r="I8276" i="20"/>
  <c r="I8277" i="20"/>
  <c r="I8278" i="20"/>
  <c r="I8279" i="20"/>
  <c r="I8280" i="20"/>
  <c r="I8281" i="20"/>
  <c r="I8282" i="20"/>
  <c r="I8283" i="20"/>
  <c r="I8284" i="20"/>
  <c r="I8285" i="20"/>
  <c r="I8286" i="20"/>
  <c r="I8287" i="20"/>
  <c r="I8288" i="20"/>
  <c r="I8289" i="20"/>
  <c r="I8290" i="20"/>
  <c r="I8291" i="20"/>
  <c r="I8292" i="20"/>
  <c r="I8293" i="20"/>
  <c r="I8294" i="20"/>
  <c r="I8295" i="20"/>
  <c r="I8296" i="20"/>
  <c r="I8297" i="20"/>
  <c r="I8298" i="20"/>
  <c r="I8299" i="20"/>
  <c r="I8300" i="20"/>
  <c r="I8301" i="20"/>
  <c r="I8302" i="20"/>
  <c r="I8303" i="20"/>
  <c r="I8304" i="20"/>
  <c r="I8305" i="20"/>
  <c r="I8306" i="20"/>
  <c r="I8307" i="20"/>
  <c r="I8308" i="20"/>
  <c r="I8309" i="20"/>
  <c r="I8310" i="20"/>
  <c r="I8311" i="20"/>
  <c r="I8312" i="20"/>
  <c r="I8313" i="20"/>
  <c r="I8314" i="20"/>
  <c r="I8315" i="20"/>
  <c r="I8316" i="20"/>
  <c r="I8317" i="20"/>
  <c r="I8318" i="20"/>
  <c r="I8319" i="20"/>
  <c r="I8320" i="20"/>
  <c r="I8321" i="20"/>
  <c r="I8322" i="20"/>
  <c r="I8323" i="20"/>
  <c r="I8324" i="20"/>
  <c r="I8325" i="20"/>
  <c r="I8326" i="20"/>
  <c r="I8327" i="20"/>
  <c r="I8328" i="20"/>
  <c r="I8329" i="20"/>
  <c r="I8330" i="20"/>
  <c r="I8331" i="20"/>
  <c r="I8332" i="20"/>
  <c r="I8333" i="20"/>
  <c r="I8334" i="20"/>
  <c r="I8335" i="20"/>
  <c r="I8336" i="20"/>
  <c r="I8337" i="20"/>
  <c r="I8338" i="20"/>
  <c r="I8339" i="20"/>
  <c r="I8340" i="20"/>
  <c r="I8341" i="20"/>
  <c r="I8342" i="20"/>
  <c r="I8343" i="20"/>
  <c r="I8344" i="20"/>
  <c r="I8345" i="20"/>
  <c r="I8346" i="20"/>
  <c r="I8347" i="20"/>
  <c r="I8348" i="20"/>
  <c r="I8349" i="20"/>
  <c r="I8350" i="20"/>
  <c r="I8351" i="20"/>
  <c r="I8352" i="20"/>
  <c r="I8353" i="20"/>
  <c r="I8354" i="20"/>
  <c r="I8355" i="20"/>
  <c r="I8356" i="20"/>
  <c r="I8357" i="20"/>
  <c r="I8358" i="20"/>
  <c r="I8359" i="20"/>
  <c r="I8360" i="20"/>
  <c r="I8361" i="20"/>
  <c r="I8362" i="20"/>
  <c r="I8363" i="20"/>
  <c r="I8364" i="20"/>
  <c r="I8365" i="20"/>
  <c r="I8366" i="20"/>
  <c r="I8367" i="20"/>
  <c r="I8368" i="20"/>
  <c r="I8369" i="20"/>
  <c r="I8370" i="20"/>
  <c r="I8371" i="20"/>
  <c r="I8372" i="20"/>
  <c r="I8373" i="20"/>
  <c r="I8374" i="20"/>
  <c r="I8375" i="20"/>
  <c r="I8376" i="20"/>
  <c r="I8377" i="20"/>
  <c r="I8378" i="20"/>
  <c r="I8379" i="20"/>
  <c r="I8380" i="20"/>
  <c r="I8381" i="20"/>
  <c r="I8382" i="20"/>
  <c r="I8383" i="20"/>
  <c r="I8384" i="20"/>
  <c r="I8385" i="20"/>
  <c r="I8386" i="20"/>
  <c r="I8387" i="20"/>
  <c r="I8388" i="20"/>
  <c r="I8389" i="20"/>
  <c r="I8390" i="20"/>
  <c r="I8391" i="20"/>
  <c r="I8392" i="20"/>
  <c r="I8393" i="20"/>
  <c r="I8394" i="20"/>
  <c r="I8395" i="20"/>
  <c r="I8396" i="20"/>
  <c r="I8397" i="20"/>
  <c r="I8398" i="20"/>
  <c r="I8399" i="20"/>
  <c r="I8400" i="20"/>
  <c r="I8401" i="20"/>
  <c r="I8402" i="20"/>
  <c r="I8403" i="20"/>
  <c r="I8404" i="20"/>
  <c r="I8405" i="20"/>
  <c r="I8406" i="20"/>
  <c r="I8407" i="20"/>
  <c r="I8408" i="20"/>
  <c r="I8409" i="20"/>
  <c r="I8410" i="20"/>
  <c r="I8411" i="20"/>
  <c r="I8412" i="20"/>
  <c r="I8413" i="20"/>
  <c r="I8414" i="20"/>
  <c r="I8415" i="20"/>
  <c r="I8416" i="20"/>
  <c r="I8417" i="20"/>
  <c r="I8418" i="20"/>
  <c r="I8419" i="20"/>
  <c r="I8420" i="20"/>
  <c r="I8421" i="20"/>
  <c r="I8422" i="20"/>
  <c r="I8423" i="20"/>
  <c r="I8424" i="20"/>
  <c r="I8425" i="20"/>
  <c r="I8426" i="20"/>
  <c r="I8427" i="20"/>
  <c r="I8428" i="20"/>
  <c r="I8429" i="20"/>
  <c r="I8430" i="20"/>
  <c r="I8431" i="20"/>
  <c r="I8432" i="20"/>
  <c r="I8433" i="20"/>
  <c r="I8434" i="20"/>
  <c r="I8435" i="20"/>
  <c r="I8436" i="20"/>
  <c r="I8437" i="20"/>
  <c r="I8438" i="20"/>
  <c r="I8439" i="20"/>
  <c r="I8440" i="20"/>
  <c r="I8441" i="20"/>
  <c r="I8442" i="20"/>
  <c r="I8443" i="20"/>
  <c r="I8444" i="20"/>
  <c r="I8445" i="20"/>
  <c r="I8446" i="20"/>
  <c r="I8447" i="20"/>
  <c r="I8448" i="20"/>
  <c r="I8449" i="20"/>
  <c r="I8450" i="20"/>
  <c r="I8451" i="20"/>
  <c r="I8452" i="20"/>
  <c r="I8453" i="20"/>
  <c r="I8454" i="20"/>
  <c r="I8455" i="20"/>
  <c r="I8456" i="20"/>
  <c r="I8457" i="20"/>
  <c r="I8458" i="20"/>
  <c r="I8459" i="20"/>
  <c r="I8460" i="20"/>
  <c r="I8461" i="20"/>
  <c r="I8462" i="20"/>
  <c r="I8463" i="20"/>
  <c r="I8464" i="20"/>
  <c r="I8465" i="20"/>
  <c r="I8466" i="20"/>
  <c r="I8467" i="20"/>
  <c r="I8468" i="20"/>
  <c r="I8469" i="20"/>
  <c r="I8470" i="20"/>
  <c r="I8471" i="20"/>
  <c r="I8472" i="20"/>
  <c r="I8473" i="20"/>
  <c r="I8474" i="20"/>
  <c r="I8475" i="20"/>
  <c r="I8476" i="20"/>
  <c r="I8477" i="20"/>
  <c r="I8478" i="20"/>
  <c r="I8479" i="20"/>
  <c r="I8480" i="20"/>
  <c r="I8481" i="20"/>
  <c r="I8482" i="20"/>
  <c r="I8483" i="20"/>
  <c r="I8484" i="20"/>
  <c r="I8485" i="20"/>
  <c r="I8486" i="20"/>
  <c r="I8487" i="20"/>
  <c r="I8488" i="20"/>
  <c r="I8489" i="20"/>
  <c r="I8490" i="20"/>
  <c r="I8491" i="20"/>
  <c r="I8492" i="20"/>
  <c r="I8493" i="20"/>
  <c r="I8494" i="20"/>
  <c r="I8495" i="20"/>
  <c r="I8496" i="20"/>
  <c r="I8497" i="20"/>
  <c r="I8498" i="20"/>
  <c r="I8499" i="20"/>
  <c r="I8500" i="20"/>
  <c r="I8501" i="20"/>
  <c r="I8502" i="20"/>
  <c r="I8503" i="20"/>
  <c r="I8504" i="20"/>
  <c r="I8505" i="20"/>
  <c r="I8506" i="20"/>
  <c r="I8507" i="20"/>
  <c r="I8508" i="20"/>
  <c r="I8509" i="20"/>
  <c r="I8510" i="20"/>
  <c r="I8511" i="20"/>
  <c r="I8512" i="20"/>
  <c r="I8513" i="20"/>
  <c r="I8514" i="20"/>
  <c r="I8515" i="20"/>
  <c r="I8516" i="20"/>
  <c r="I8517" i="20"/>
  <c r="I8518" i="20"/>
  <c r="I8519" i="20"/>
  <c r="I8520" i="20"/>
  <c r="I8521" i="20"/>
  <c r="I8522" i="20"/>
  <c r="I8523" i="20"/>
  <c r="I8524" i="20"/>
  <c r="I8525" i="20"/>
  <c r="I8526" i="20"/>
  <c r="I8527" i="20"/>
  <c r="I8528" i="20"/>
  <c r="I8529" i="20"/>
  <c r="I8530" i="20"/>
  <c r="I8531" i="20"/>
  <c r="I8532" i="20"/>
  <c r="I8533" i="20"/>
  <c r="I8534" i="20"/>
  <c r="I8535" i="20"/>
  <c r="I8536" i="20"/>
  <c r="I8537" i="20"/>
  <c r="I8538" i="20"/>
  <c r="I8539" i="20"/>
  <c r="I8540" i="20"/>
  <c r="I8541" i="20"/>
  <c r="I8542" i="20"/>
  <c r="I8543" i="20"/>
  <c r="I8544" i="20"/>
  <c r="I8545" i="20"/>
  <c r="I8546" i="20"/>
  <c r="I8547" i="20"/>
  <c r="I8548" i="20"/>
  <c r="I8549" i="20"/>
  <c r="I8550" i="20"/>
  <c r="I8551" i="20"/>
  <c r="I8552" i="20"/>
  <c r="I8553" i="20"/>
  <c r="I8554" i="20"/>
  <c r="I8555" i="20"/>
  <c r="I8556" i="20"/>
  <c r="I8557" i="20"/>
  <c r="I8558" i="20"/>
  <c r="I8559" i="20"/>
  <c r="I8560" i="20"/>
  <c r="I8561" i="20"/>
  <c r="I8562" i="20"/>
  <c r="I8563" i="20"/>
  <c r="I8564" i="20"/>
  <c r="I8565" i="20"/>
  <c r="I8566" i="20"/>
  <c r="I8567" i="20"/>
  <c r="I8568" i="20"/>
  <c r="I8569" i="20"/>
  <c r="I8570" i="20"/>
  <c r="I8571" i="20"/>
  <c r="I8572" i="20"/>
  <c r="I8573" i="20"/>
  <c r="I8574" i="20"/>
  <c r="I8575" i="20"/>
  <c r="I8576" i="20"/>
  <c r="I8577" i="20"/>
  <c r="I8578" i="20"/>
  <c r="I8579" i="20"/>
  <c r="I8580" i="20"/>
  <c r="I8581" i="20"/>
  <c r="I8582" i="20"/>
  <c r="I8583" i="20"/>
  <c r="I8584" i="20"/>
  <c r="I8585" i="20"/>
  <c r="I8586" i="20"/>
  <c r="I8587" i="20"/>
  <c r="I8588" i="20"/>
  <c r="I8589" i="20"/>
  <c r="I8590" i="20"/>
  <c r="I8591" i="20"/>
  <c r="I8592" i="20"/>
  <c r="I8593" i="20"/>
  <c r="I8594" i="20"/>
  <c r="I8595" i="20"/>
  <c r="I8596" i="20"/>
  <c r="I8597" i="20"/>
  <c r="I8598" i="20"/>
  <c r="I8599" i="20"/>
  <c r="I8600" i="20"/>
  <c r="I8601" i="20"/>
  <c r="I8602" i="20"/>
  <c r="I8603" i="20"/>
  <c r="I8604" i="20"/>
  <c r="I8605" i="20"/>
  <c r="I8606" i="20"/>
  <c r="I8607" i="20"/>
  <c r="I8608" i="20"/>
  <c r="I8609" i="20"/>
  <c r="I8610" i="20"/>
  <c r="I8611" i="20"/>
  <c r="I8612" i="20"/>
  <c r="I8613" i="20"/>
  <c r="I8614" i="20"/>
  <c r="I8615" i="20"/>
  <c r="I8616" i="20"/>
  <c r="I8617" i="20"/>
  <c r="I8618" i="20"/>
  <c r="I8619" i="20"/>
  <c r="I8620" i="20"/>
  <c r="I8621" i="20"/>
  <c r="I8622" i="20"/>
  <c r="I8623" i="20"/>
  <c r="I8624" i="20"/>
  <c r="I8625" i="20"/>
  <c r="I8626" i="20"/>
  <c r="I8627" i="20"/>
  <c r="I8628" i="20"/>
  <c r="I8629" i="20"/>
  <c r="I8630" i="20"/>
  <c r="I8631" i="20"/>
  <c r="I8632" i="20"/>
  <c r="I8633" i="20"/>
  <c r="I8634" i="20"/>
  <c r="I8635" i="20"/>
  <c r="I8636" i="20"/>
  <c r="I8637" i="20"/>
  <c r="I8638" i="20"/>
  <c r="I8639" i="20"/>
  <c r="I8640" i="20"/>
  <c r="I8641" i="20"/>
  <c r="I8642" i="20"/>
  <c r="I8643" i="20"/>
  <c r="I8644" i="20"/>
  <c r="I8645" i="20"/>
  <c r="I8646" i="20"/>
  <c r="I8647" i="20"/>
  <c r="I8648" i="20"/>
  <c r="I8649" i="20"/>
  <c r="I8650" i="20"/>
  <c r="I8651" i="20"/>
  <c r="I8652" i="20"/>
  <c r="I8653" i="20"/>
  <c r="I8654" i="20"/>
  <c r="I8655" i="20"/>
  <c r="I8656" i="20"/>
  <c r="I8657" i="20"/>
  <c r="I8658" i="20"/>
  <c r="I8659" i="20"/>
  <c r="I8660" i="20"/>
  <c r="I8661" i="20"/>
  <c r="I8662" i="20"/>
  <c r="I8663" i="20"/>
  <c r="I8664" i="20"/>
  <c r="I8665" i="20"/>
  <c r="I8666" i="20"/>
  <c r="I8667" i="20"/>
  <c r="I8668" i="20"/>
  <c r="I8669" i="20"/>
  <c r="I8670" i="20"/>
  <c r="I8671" i="20"/>
  <c r="I8672" i="20"/>
  <c r="I8673" i="20"/>
  <c r="I8674" i="20"/>
  <c r="I8675" i="20"/>
  <c r="I8676" i="20"/>
  <c r="I8677" i="20"/>
  <c r="I8678" i="20"/>
  <c r="I8679" i="20"/>
  <c r="I8680" i="20"/>
  <c r="I8681" i="20"/>
  <c r="I8682" i="20"/>
  <c r="I8683" i="20"/>
  <c r="I8684" i="20"/>
  <c r="I8685" i="20"/>
  <c r="I8686" i="20"/>
  <c r="I8687" i="20"/>
  <c r="I8688" i="20"/>
  <c r="I8689" i="20"/>
  <c r="I8690" i="20"/>
  <c r="I8691" i="20"/>
  <c r="I8692" i="20"/>
  <c r="I8693" i="20"/>
  <c r="I8694" i="20"/>
  <c r="I8695" i="20"/>
  <c r="I8696" i="20"/>
  <c r="I8697" i="20"/>
  <c r="I8698" i="20"/>
  <c r="I8699" i="20"/>
  <c r="I8700" i="20"/>
  <c r="I8701" i="20"/>
  <c r="I8702" i="20"/>
  <c r="I8703" i="20"/>
  <c r="I8704" i="20"/>
  <c r="I8705" i="20"/>
  <c r="I8706" i="20"/>
  <c r="I8707" i="20"/>
  <c r="I8708" i="20"/>
  <c r="I8709" i="20"/>
  <c r="I8710" i="20"/>
  <c r="I8711" i="20"/>
  <c r="I8712" i="20"/>
  <c r="I8713" i="20"/>
  <c r="I8714" i="20"/>
  <c r="I8715" i="20"/>
  <c r="I8716" i="20"/>
  <c r="I8717" i="20"/>
  <c r="I8718" i="20"/>
  <c r="I8719" i="20"/>
  <c r="I8720" i="20"/>
  <c r="I8721" i="20"/>
  <c r="I8722" i="20"/>
  <c r="I8723" i="20"/>
  <c r="I8724" i="20"/>
  <c r="I8725" i="20"/>
  <c r="I8726" i="20"/>
  <c r="I8727" i="20"/>
  <c r="I8728" i="20"/>
  <c r="I8729" i="20"/>
  <c r="I8730" i="20"/>
  <c r="I8731" i="20"/>
  <c r="I8732" i="20"/>
  <c r="I8733" i="20"/>
  <c r="I8734" i="20"/>
  <c r="I8735" i="20"/>
  <c r="I8736" i="20"/>
  <c r="I8737" i="20"/>
  <c r="I8738" i="20"/>
  <c r="I8739" i="20"/>
  <c r="I8740" i="20"/>
  <c r="I8741" i="20"/>
  <c r="I8742" i="20"/>
  <c r="I8743" i="20"/>
  <c r="I8744" i="20"/>
  <c r="I8745" i="20"/>
  <c r="I8746" i="20"/>
  <c r="I8747" i="20"/>
  <c r="I8748" i="20"/>
  <c r="I8749" i="20"/>
  <c r="I8750" i="20"/>
  <c r="I8751" i="20"/>
  <c r="I8752" i="20"/>
  <c r="I8753" i="20"/>
  <c r="I8754" i="20"/>
  <c r="I8755" i="20"/>
  <c r="I8756" i="20"/>
  <c r="I8757" i="20"/>
  <c r="I8758" i="20"/>
  <c r="I8759" i="20"/>
  <c r="I8760" i="20"/>
  <c r="I8761" i="20"/>
  <c r="I8762" i="20"/>
  <c r="I8763" i="20"/>
  <c r="I8764" i="20"/>
  <c r="I8765" i="20"/>
  <c r="I8766" i="20"/>
  <c r="I8767" i="20"/>
  <c r="I8768" i="20"/>
  <c r="I8769" i="20"/>
  <c r="I8770" i="20"/>
  <c r="I8771" i="20"/>
  <c r="I8772" i="20"/>
  <c r="I8773" i="20"/>
  <c r="I8774" i="20"/>
  <c r="I8775" i="20"/>
  <c r="I8776" i="20"/>
  <c r="I8777" i="20"/>
  <c r="I8778" i="20"/>
  <c r="I8779" i="20"/>
  <c r="I8780" i="20"/>
  <c r="I8781" i="20"/>
  <c r="I8782" i="20"/>
  <c r="I8783" i="20"/>
  <c r="I8784" i="20"/>
  <c r="I8785" i="20"/>
  <c r="I8786" i="20"/>
  <c r="I8787" i="20"/>
  <c r="I8788" i="20"/>
  <c r="I8789" i="20"/>
  <c r="I8790" i="20"/>
  <c r="I8791" i="20"/>
  <c r="I8792" i="20"/>
  <c r="I8793" i="20"/>
  <c r="I8794" i="20"/>
  <c r="I8795" i="20"/>
  <c r="I8796" i="20"/>
  <c r="I8797" i="20"/>
  <c r="I8798" i="20"/>
  <c r="I8799" i="20"/>
  <c r="I8800" i="20"/>
  <c r="I8801" i="20"/>
  <c r="I8802" i="20"/>
  <c r="I8803" i="20"/>
  <c r="I8804" i="20"/>
  <c r="I8805" i="20"/>
  <c r="I8806" i="20"/>
  <c r="I8807" i="20"/>
  <c r="I8808" i="20"/>
  <c r="I8809" i="20"/>
  <c r="I8810" i="20"/>
  <c r="I8811" i="20"/>
  <c r="I8812" i="20"/>
  <c r="I8813" i="20"/>
  <c r="I8814" i="20"/>
  <c r="I8815" i="20"/>
  <c r="I8816" i="20"/>
  <c r="I8817" i="20"/>
  <c r="I8818" i="20"/>
  <c r="I8819" i="20"/>
  <c r="I8820" i="20"/>
  <c r="I8821" i="20"/>
  <c r="I8822" i="20"/>
  <c r="I8823" i="20"/>
  <c r="I8824" i="20"/>
  <c r="I8825" i="20"/>
  <c r="I8826" i="20"/>
  <c r="I8827" i="20"/>
  <c r="I8828" i="20"/>
  <c r="I8829" i="20"/>
  <c r="I8830" i="20"/>
  <c r="I8831" i="20"/>
  <c r="I8832" i="20"/>
  <c r="I8833" i="20"/>
  <c r="I8834" i="20"/>
  <c r="I8835" i="20"/>
  <c r="I8836" i="20"/>
  <c r="I8837" i="20"/>
  <c r="I8838" i="20"/>
  <c r="I8839" i="20"/>
  <c r="I8840" i="20"/>
  <c r="I8841" i="20"/>
  <c r="I8842" i="20"/>
  <c r="I8843" i="20"/>
  <c r="I8844" i="20"/>
  <c r="I8845" i="20"/>
  <c r="I8846" i="20"/>
  <c r="I8847" i="20"/>
  <c r="I8848" i="20"/>
  <c r="I8849" i="20"/>
  <c r="I8850" i="20"/>
  <c r="I8851" i="20"/>
  <c r="I8852" i="20"/>
  <c r="I8853" i="20"/>
  <c r="I8854" i="20"/>
  <c r="I8855" i="20"/>
  <c r="I8856" i="20"/>
  <c r="I8857" i="20"/>
  <c r="I8858" i="20"/>
  <c r="I8859" i="20"/>
  <c r="I8860" i="20"/>
  <c r="I8861" i="20"/>
  <c r="I8862" i="20"/>
  <c r="I8863" i="20"/>
  <c r="I8864" i="20"/>
  <c r="I8865" i="20"/>
  <c r="I8866" i="20"/>
  <c r="I8867" i="20"/>
  <c r="I8868" i="20"/>
  <c r="I8869" i="20"/>
  <c r="I8870" i="20"/>
  <c r="I8871" i="20"/>
  <c r="I8872" i="20"/>
  <c r="I8873" i="20"/>
  <c r="I8874" i="20"/>
  <c r="I8875" i="20"/>
  <c r="I8876" i="20"/>
  <c r="I8877" i="20"/>
  <c r="I8878" i="20"/>
  <c r="I8879" i="20"/>
  <c r="I8880" i="20"/>
  <c r="I8881" i="20"/>
  <c r="I8882" i="20"/>
  <c r="I8883" i="20"/>
  <c r="I8884" i="20"/>
  <c r="I8885" i="20"/>
  <c r="I8886" i="20"/>
  <c r="I8887" i="20"/>
  <c r="I8888" i="20"/>
  <c r="I8889" i="20"/>
  <c r="I8890" i="20"/>
  <c r="I8891" i="20"/>
  <c r="I8892" i="20"/>
  <c r="I8893" i="20"/>
  <c r="I8894" i="20"/>
  <c r="I8895" i="20"/>
  <c r="I8896" i="20"/>
  <c r="I8897" i="20"/>
  <c r="I8898" i="20"/>
  <c r="I8899" i="20"/>
  <c r="I8900" i="20"/>
  <c r="I8901" i="20"/>
  <c r="I8902" i="20"/>
  <c r="I8903" i="20"/>
  <c r="I8904" i="20"/>
  <c r="I8905" i="20"/>
  <c r="I8906" i="20"/>
  <c r="I8907" i="20"/>
  <c r="I8908" i="20"/>
  <c r="I8909" i="20"/>
  <c r="I8910" i="20"/>
  <c r="I8911" i="20"/>
  <c r="I8912" i="20"/>
  <c r="I8913" i="20"/>
  <c r="I8914" i="20"/>
  <c r="I8915" i="20"/>
  <c r="I8916" i="20"/>
  <c r="I8917" i="20"/>
  <c r="I8918" i="20"/>
  <c r="I8919" i="20"/>
  <c r="I8920" i="20"/>
  <c r="I8921" i="20"/>
  <c r="I8922" i="20"/>
  <c r="I8923" i="20"/>
  <c r="I8924" i="20"/>
  <c r="I8925" i="20"/>
  <c r="I8926" i="20"/>
  <c r="I8927" i="20"/>
  <c r="I8928" i="20"/>
  <c r="I8929" i="20"/>
  <c r="I8930" i="20"/>
  <c r="I8931" i="20"/>
  <c r="I8932" i="20"/>
  <c r="I8933" i="20"/>
  <c r="I8934" i="20"/>
  <c r="I8935" i="20"/>
  <c r="I8936" i="20"/>
  <c r="I8937" i="20"/>
  <c r="I8938" i="20"/>
  <c r="I8939" i="20"/>
  <c r="I8940" i="20"/>
  <c r="I8941" i="20"/>
  <c r="I8942" i="20"/>
  <c r="I8943" i="20"/>
  <c r="I8944" i="20"/>
  <c r="I8945" i="20"/>
  <c r="I8946" i="20"/>
  <c r="I8947" i="20"/>
  <c r="I8948" i="20"/>
  <c r="I8949" i="20"/>
  <c r="I8950" i="20"/>
  <c r="I8951" i="20"/>
  <c r="I8952" i="20"/>
  <c r="I8953" i="20"/>
  <c r="I8954" i="20"/>
  <c r="I8955" i="20"/>
  <c r="I8956" i="20"/>
  <c r="I8957" i="20"/>
  <c r="I8958" i="20"/>
  <c r="I8959" i="20"/>
  <c r="I8960" i="20"/>
  <c r="I8961" i="20"/>
  <c r="I8962" i="20"/>
  <c r="I8963" i="20"/>
  <c r="I8964" i="20"/>
  <c r="I8965" i="20"/>
  <c r="I8966" i="20"/>
  <c r="I8967" i="20"/>
  <c r="I8968" i="20"/>
  <c r="I8969" i="20"/>
  <c r="I8970" i="20"/>
  <c r="I8971" i="20"/>
  <c r="I8972" i="20"/>
  <c r="I8973" i="20"/>
  <c r="I8974" i="20"/>
  <c r="I8975" i="20"/>
  <c r="I8976" i="20"/>
  <c r="I8977" i="20"/>
  <c r="I8978" i="20"/>
  <c r="I8979" i="20"/>
  <c r="I8980" i="20"/>
  <c r="I8981" i="20"/>
  <c r="I8982" i="20"/>
  <c r="I8983" i="20"/>
  <c r="I8984" i="20"/>
  <c r="I8985" i="20"/>
  <c r="I8986" i="20"/>
  <c r="I8987" i="20"/>
  <c r="I8988" i="20"/>
  <c r="I8989" i="20"/>
  <c r="I8990" i="20"/>
  <c r="I8991" i="20"/>
  <c r="I8992" i="20"/>
  <c r="I8993" i="20"/>
  <c r="I8994" i="20"/>
  <c r="I8995" i="20"/>
  <c r="I8996" i="20"/>
  <c r="I8997" i="20"/>
  <c r="I8998" i="20"/>
  <c r="I8999" i="20"/>
  <c r="I9000" i="20"/>
  <c r="I9001" i="20"/>
  <c r="I9002" i="20"/>
  <c r="I9003" i="20"/>
  <c r="I9004" i="20"/>
  <c r="I9005" i="20"/>
  <c r="I9006" i="20"/>
  <c r="I9007" i="20"/>
  <c r="I9008" i="20"/>
  <c r="I9009" i="20"/>
  <c r="I9010" i="20"/>
  <c r="I9011" i="20"/>
  <c r="I9012" i="20"/>
  <c r="I9013" i="20"/>
  <c r="I9014" i="20"/>
  <c r="I9015" i="20"/>
  <c r="I9016" i="20"/>
  <c r="I9017" i="20"/>
  <c r="I9018" i="20"/>
  <c r="I9019" i="20"/>
  <c r="I9020" i="20"/>
  <c r="I9021" i="20"/>
  <c r="I9022" i="20"/>
  <c r="I9023" i="20"/>
  <c r="I9024" i="20"/>
  <c r="I9025" i="20"/>
  <c r="I9026" i="20"/>
  <c r="I9027" i="20"/>
  <c r="I9028" i="20"/>
  <c r="I9029" i="20"/>
  <c r="I9030" i="20"/>
  <c r="I9031" i="20"/>
  <c r="I9032" i="20"/>
  <c r="I9033" i="20"/>
  <c r="I9034" i="20"/>
  <c r="I9035" i="20"/>
  <c r="I9036" i="20"/>
  <c r="I9037" i="20"/>
  <c r="I9038" i="20"/>
  <c r="I9039" i="20"/>
  <c r="I9040" i="20"/>
  <c r="I9041" i="20"/>
  <c r="I9042" i="20"/>
  <c r="I9043" i="20"/>
  <c r="I9044" i="20"/>
  <c r="I9045" i="20"/>
  <c r="I9046" i="20"/>
  <c r="I9047" i="20"/>
  <c r="I9048" i="20"/>
  <c r="I9049" i="20"/>
  <c r="I9050" i="20"/>
  <c r="I9051" i="20"/>
  <c r="I9052" i="20"/>
  <c r="I9053" i="20"/>
  <c r="I9054" i="20"/>
  <c r="I9055" i="20"/>
  <c r="I9056" i="20"/>
  <c r="I9057" i="20"/>
  <c r="I9058" i="20"/>
  <c r="I9059" i="20"/>
  <c r="I9060" i="20"/>
  <c r="I9061" i="20"/>
  <c r="I9062" i="20"/>
  <c r="I9063" i="20"/>
  <c r="I9064" i="20"/>
  <c r="I9065" i="20"/>
  <c r="I9066" i="20"/>
  <c r="I9067" i="20"/>
  <c r="I9068" i="20"/>
  <c r="I9069" i="20"/>
  <c r="I9070" i="20"/>
  <c r="I9071" i="20"/>
  <c r="I9072" i="20"/>
  <c r="I9073" i="20"/>
  <c r="I9074" i="20"/>
  <c r="I9075" i="20"/>
  <c r="I9076" i="20"/>
  <c r="I9077" i="20"/>
  <c r="I9078" i="20"/>
  <c r="I9079" i="20"/>
  <c r="I9080" i="20"/>
  <c r="I9081" i="20"/>
  <c r="I9082" i="20"/>
  <c r="I9083" i="20"/>
  <c r="I9084" i="20"/>
  <c r="I9085" i="20"/>
  <c r="I9086" i="20"/>
  <c r="I9087" i="20"/>
  <c r="I9088" i="20"/>
  <c r="I9089" i="20"/>
  <c r="I9090" i="20"/>
  <c r="I9091" i="20"/>
  <c r="I9092" i="20"/>
  <c r="I9093" i="20"/>
  <c r="I9094" i="20"/>
  <c r="I9095" i="20"/>
  <c r="I9096" i="20"/>
  <c r="I9097" i="20"/>
  <c r="I9098" i="20"/>
  <c r="I9099" i="20"/>
  <c r="I9100" i="20"/>
  <c r="I9101" i="20"/>
  <c r="I9102" i="20"/>
  <c r="I9103" i="20"/>
  <c r="I9104" i="20"/>
  <c r="I9105" i="20"/>
  <c r="I9106" i="20"/>
  <c r="I9107" i="20"/>
  <c r="I9108" i="20"/>
  <c r="I9109" i="20"/>
  <c r="I9110" i="20"/>
  <c r="I9111" i="20"/>
  <c r="I9112" i="20"/>
  <c r="I9113" i="20"/>
  <c r="I9114" i="20"/>
  <c r="I9115" i="20"/>
  <c r="I9116" i="20"/>
  <c r="I9117" i="20"/>
  <c r="I9118" i="20"/>
  <c r="I9119" i="20"/>
  <c r="I9120" i="20"/>
  <c r="I9121" i="20"/>
  <c r="I9122" i="20"/>
  <c r="I9123" i="20"/>
  <c r="I9124" i="20"/>
  <c r="I9125" i="20"/>
  <c r="I9126" i="20"/>
  <c r="I9127" i="20"/>
  <c r="I9128" i="20"/>
  <c r="I9129" i="20"/>
  <c r="I9130" i="20"/>
  <c r="I9131" i="20"/>
  <c r="I9132" i="20"/>
  <c r="I9133" i="20"/>
  <c r="I9134" i="20"/>
  <c r="I9135" i="20"/>
  <c r="I9136" i="20"/>
  <c r="I9137" i="20"/>
  <c r="I9138" i="20"/>
  <c r="I9139" i="20"/>
  <c r="I9140" i="20"/>
  <c r="I9141" i="20"/>
  <c r="I9142" i="20"/>
  <c r="I9143" i="20"/>
  <c r="I9144" i="20"/>
  <c r="I9145" i="20"/>
  <c r="I9146" i="20"/>
  <c r="I9147" i="20"/>
  <c r="I9148" i="20"/>
  <c r="I9149" i="20"/>
  <c r="I9150" i="20"/>
  <c r="I9151" i="20"/>
  <c r="I9152" i="20"/>
  <c r="I9153" i="20"/>
  <c r="I9154" i="20"/>
  <c r="I9155" i="20"/>
  <c r="I9156" i="20"/>
  <c r="I9157" i="20"/>
  <c r="I9158" i="20"/>
  <c r="I9159" i="20"/>
  <c r="I9160" i="20"/>
  <c r="I9161" i="20"/>
  <c r="I9162" i="20"/>
  <c r="I9163" i="20"/>
  <c r="I9164" i="20"/>
  <c r="I9165" i="20"/>
  <c r="I9166" i="20"/>
  <c r="I9167" i="20"/>
  <c r="I9168" i="20"/>
  <c r="I9169" i="20"/>
  <c r="I9170" i="20"/>
  <c r="I9171" i="20"/>
  <c r="I9172" i="20"/>
  <c r="I9173" i="20"/>
  <c r="I9174" i="20"/>
  <c r="I9175" i="20"/>
  <c r="I9176" i="20"/>
  <c r="I9177" i="20"/>
  <c r="I9178" i="20"/>
  <c r="I9179" i="20"/>
  <c r="I9180" i="20"/>
  <c r="I9181" i="20"/>
  <c r="I9182" i="20"/>
  <c r="I9183" i="20"/>
  <c r="I9184" i="20"/>
  <c r="I9185" i="20"/>
  <c r="I9186" i="20"/>
  <c r="I9187" i="20"/>
  <c r="I9188" i="20"/>
  <c r="I9189" i="20"/>
  <c r="I9190" i="20"/>
  <c r="I9191" i="20"/>
  <c r="I9192" i="20"/>
  <c r="I9193" i="20"/>
  <c r="I9194" i="20"/>
  <c r="I9195" i="20"/>
  <c r="I9196" i="20"/>
  <c r="I9197" i="20"/>
  <c r="I9198" i="20"/>
  <c r="I9199" i="20"/>
  <c r="I9200" i="20"/>
  <c r="I9201" i="20"/>
  <c r="I9202" i="20"/>
  <c r="I9203" i="20"/>
  <c r="I9204" i="20"/>
  <c r="I9205" i="20"/>
  <c r="I9206" i="20"/>
  <c r="I9207" i="20"/>
  <c r="I9208" i="20"/>
  <c r="I9209" i="20"/>
  <c r="I9210" i="20"/>
  <c r="I9211" i="20"/>
  <c r="I9212" i="20"/>
  <c r="I9213" i="20"/>
  <c r="I9214" i="20"/>
  <c r="I9215" i="20"/>
  <c r="I9216" i="20"/>
  <c r="I9217" i="20"/>
  <c r="I9218" i="20"/>
  <c r="I9219" i="20"/>
  <c r="I9220" i="20"/>
  <c r="I9221" i="20"/>
  <c r="I9222" i="20"/>
  <c r="I9223" i="20"/>
  <c r="I9224" i="20"/>
  <c r="I9225" i="20"/>
  <c r="I9226" i="20"/>
  <c r="I9227" i="20"/>
  <c r="I9228" i="20"/>
  <c r="I9229" i="20"/>
  <c r="I9230" i="20"/>
  <c r="I9231" i="20"/>
  <c r="I9232" i="20"/>
  <c r="I9233" i="20"/>
  <c r="I9234" i="20"/>
  <c r="I9235" i="20"/>
  <c r="I9236" i="20"/>
  <c r="I9237" i="20"/>
  <c r="I9238" i="20"/>
  <c r="I9239" i="20"/>
  <c r="I9240" i="20"/>
  <c r="I9241" i="20"/>
  <c r="I9242" i="20"/>
  <c r="I9243" i="20"/>
  <c r="I9244" i="20"/>
  <c r="I9245" i="20"/>
  <c r="I9246" i="20"/>
  <c r="I9247" i="20"/>
  <c r="I9248" i="20"/>
  <c r="I9249" i="20"/>
  <c r="I9250" i="20"/>
  <c r="I9251" i="20"/>
  <c r="I9252" i="20"/>
  <c r="I9253" i="20"/>
  <c r="I9254" i="20"/>
  <c r="I9255" i="20"/>
  <c r="I9256" i="20"/>
  <c r="I9257" i="20"/>
  <c r="I9258" i="20"/>
  <c r="I9259" i="20"/>
  <c r="I9260" i="20"/>
  <c r="I9261" i="20"/>
  <c r="I9262" i="20"/>
  <c r="I9263" i="20"/>
  <c r="I9264" i="20"/>
  <c r="I9265" i="20"/>
  <c r="I9266" i="20"/>
  <c r="I9267" i="20"/>
  <c r="I9268" i="20"/>
  <c r="I9269" i="20"/>
  <c r="I9270" i="20"/>
  <c r="I9271" i="20"/>
  <c r="I9272" i="20"/>
  <c r="I9273" i="20"/>
  <c r="I9274" i="20"/>
  <c r="I9275" i="20"/>
  <c r="I9276" i="20"/>
  <c r="I9277" i="20"/>
  <c r="I9278" i="20"/>
  <c r="I9279" i="20"/>
  <c r="I9280" i="20"/>
  <c r="I9281" i="20"/>
  <c r="I9282" i="20"/>
  <c r="I9283" i="20"/>
  <c r="I9284" i="20"/>
  <c r="I9285" i="20"/>
  <c r="I9286" i="20"/>
  <c r="I9287" i="20"/>
  <c r="I9288" i="20"/>
  <c r="I9289" i="20"/>
  <c r="I9290" i="20"/>
  <c r="I9291" i="20"/>
  <c r="I9292" i="20"/>
  <c r="I9293" i="20"/>
  <c r="I9294" i="20"/>
  <c r="I9295" i="20"/>
  <c r="I9296" i="20"/>
  <c r="I9297" i="20"/>
  <c r="I9298" i="20"/>
  <c r="I9299" i="20"/>
  <c r="I9300" i="20"/>
  <c r="I9301" i="20"/>
  <c r="I9302" i="20"/>
  <c r="I9303" i="20"/>
  <c r="I9304" i="20"/>
  <c r="I9305" i="20"/>
  <c r="I9306" i="20"/>
  <c r="I9307" i="20"/>
  <c r="I9308" i="20"/>
  <c r="I9309" i="20"/>
  <c r="I9310" i="20"/>
  <c r="I9311" i="20"/>
  <c r="I9312" i="20"/>
  <c r="I9313" i="20"/>
  <c r="I9314" i="20"/>
  <c r="I9315" i="20"/>
  <c r="I9316" i="20"/>
  <c r="I9317" i="20"/>
  <c r="I9318" i="20"/>
  <c r="I9319" i="20"/>
  <c r="I9320" i="20"/>
  <c r="I9321" i="20"/>
  <c r="I9322" i="20"/>
  <c r="I9323" i="20"/>
  <c r="I9324" i="20"/>
  <c r="I9325" i="20"/>
  <c r="I9326" i="20"/>
  <c r="I9327" i="20"/>
  <c r="I9328" i="20"/>
  <c r="I9329" i="20"/>
  <c r="I9330" i="20"/>
  <c r="I9331" i="20"/>
  <c r="I9332" i="20"/>
  <c r="I9333" i="20"/>
  <c r="I9334" i="20"/>
  <c r="I9335" i="20"/>
  <c r="I9336" i="20"/>
  <c r="I9337" i="20"/>
  <c r="I9338" i="20"/>
  <c r="I9339" i="20"/>
  <c r="I9340" i="20"/>
  <c r="I9341" i="20"/>
  <c r="I9342" i="20"/>
  <c r="I9343" i="20"/>
  <c r="I9344" i="20"/>
  <c r="I9345" i="20"/>
  <c r="I9346" i="20"/>
  <c r="I9347" i="20"/>
  <c r="I9348" i="20"/>
  <c r="I9349" i="20"/>
  <c r="I9350" i="20"/>
  <c r="I9351" i="20"/>
  <c r="I9352" i="20"/>
  <c r="I9353" i="20"/>
  <c r="I9354" i="20"/>
  <c r="I9355" i="20"/>
  <c r="I9356" i="20"/>
  <c r="I9357" i="20"/>
  <c r="I9358" i="20"/>
  <c r="I9359" i="20"/>
  <c r="I9360" i="20"/>
  <c r="I9361" i="20"/>
  <c r="I9362" i="20"/>
  <c r="I9363" i="20"/>
  <c r="I9364" i="20"/>
  <c r="I9365" i="20"/>
  <c r="I9366" i="20"/>
  <c r="I9367" i="20"/>
  <c r="I9368" i="20"/>
  <c r="I9369" i="20"/>
  <c r="I9370" i="20"/>
  <c r="I9371" i="20"/>
  <c r="I9372" i="20"/>
  <c r="I9373" i="20"/>
  <c r="I9374" i="20"/>
  <c r="I9375" i="20"/>
  <c r="I9376" i="20"/>
  <c r="I9377" i="20"/>
  <c r="I9378" i="20"/>
  <c r="I9379" i="20"/>
  <c r="I9380" i="20"/>
  <c r="I9381" i="20"/>
  <c r="I9382" i="20"/>
  <c r="I9383" i="20"/>
  <c r="I9384" i="20"/>
  <c r="I9385" i="20"/>
  <c r="I9386" i="20"/>
  <c r="I9387" i="20"/>
  <c r="I9388" i="20"/>
  <c r="I9389" i="20"/>
  <c r="I9390" i="20"/>
  <c r="I9391" i="20"/>
  <c r="I9392" i="20"/>
  <c r="I9393" i="20"/>
  <c r="I9394" i="20"/>
  <c r="I9395" i="20"/>
  <c r="I9396" i="20"/>
  <c r="I9397" i="20"/>
  <c r="I9398" i="20"/>
  <c r="I9399" i="20"/>
  <c r="I9400" i="20"/>
  <c r="I9401" i="20"/>
  <c r="I9402" i="20"/>
  <c r="I9403" i="20"/>
  <c r="I9404" i="20"/>
  <c r="I9405" i="20"/>
  <c r="I9406" i="20"/>
  <c r="I9407" i="20"/>
  <c r="I9408" i="20"/>
  <c r="I9409" i="20"/>
  <c r="I9410" i="20"/>
  <c r="I9411" i="20"/>
  <c r="I9412" i="20"/>
  <c r="I9413" i="20"/>
  <c r="I9414" i="20"/>
  <c r="I9415" i="20"/>
  <c r="I9416" i="20"/>
  <c r="I9417" i="20"/>
  <c r="I9418" i="20"/>
  <c r="I9419" i="20"/>
  <c r="I9420" i="20"/>
  <c r="I9421" i="20"/>
  <c r="I9422" i="20"/>
  <c r="I9423" i="20"/>
  <c r="I9424" i="20"/>
  <c r="I9425" i="20"/>
  <c r="I9426" i="20"/>
  <c r="I9427" i="20"/>
  <c r="I9428" i="20"/>
  <c r="I9429" i="20"/>
  <c r="I9430" i="20"/>
  <c r="I9431" i="20"/>
  <c r="I9432" i="20"/>
  <c r="I9433" i="20"/>
  <c r="I9434" i="20"/>
  <c r="I9435" i="20"/>
  <c r="I9436" i="20"/>
  <c r="I9437" i="20"/>
  <c r="I9438" i="20"/>
  <c r="I9439" i="20"/>
  <c r="I9440" i="20"/>
  <c r="I9441" i="20"/>
  <c r="I9442" i="20"/>
  <c r="I9443" i="20"/>
  <c r="I9444" i="20"/>
  <c r="I9445" i="20"/>
  <c r="I9446" i="20"/>
  <c r="I9447" i="20"/>
  <c r="I9448" i="20"/>
  <c r="I9449" i="20"/>
  <c r="I9450" i="20"/>
  <c r="I9451" i="20"/>
  <c r="I9452" i="20"/>
  <c r="I9453" i="20"/>
  <c r="I9454" i="20"/>
  <c r="I9455" i="20"/>
  <c r="I9456" i="20"/>
  <c r="I9457" i="20"/>
  <c r="I9458" i="20"/>
  <c r="I9459" i="20"/>
  <c r="I9460" i="20"/>
  <c r="I9461" i="20"/>
  <c r="I9462" i="20"/>
  <c r="I9463" i="20"/>
  <c r="I9464" i="20"/>
  <c r="I9465" i="20"/>
  <c r="I9466" i="20"/>
  <c r="I9467" i="20"/>
  <c r="I9468" i="20"/>
  <c r="I9469" i="20"/>
  <c r="I9470" i="20"/>
  <c r="I9471" i="20"/>
  <c r="I9472" i="20"/>
  <c r="I9473" i="20"/>
  <c r="I9474" i="20"/>
  <c r="I9475" i="20"/>
  <c r="I9476" i="20"/>
  <c r="I9477" i="20"/>
  <c r="I9478" i="20"/>
  <c r="I9479" i="20"/>
  <c r="I9480" i="20"/>
  <c r="I9481" i="20"/>
  <c r="I9482" i="20"/>
  <c r="I9483" i="20"/>
  <c r="I9484" i="20"/>
  <c r="I9485" i="20"/>
  <c r="I9486" i="20"/>
  <c r="I9487" i="20"/>
  <c r="I9488" i="20"/>
  <c r="I9489" i="20"/>
  <c r="I9490" i="20"/>
  <c r="I9491" i="20"/>
  <c r="I9492" i="20"/>
  <c r="I9493" i="20"/>
  <c r="I9494" i="20"/>
  <c r="I9495" i="20"/>
  <c r="I9496" i="20"/>
  <c r="I9497" i="20"/>
  <c r="I9498" i="20"/>
  <c r="I9499" i="20"/>
  <c r="I9500" i="20"/>
  <c r="I9501" i="20"/>
  <c r="I9502" i="20"/>
  <c r="I9503" i="20"/>
  <c r="I9504" i="20"/>
  <c r="I9505" i="20"/>
  <c r="I9506" i="20"/>
  <c r="I9507" i="20"/>
  <c r="I9508" i="20"/>
  <c r="I9509" i="20"/>
  <c r="I9510" i="20"/>
  <c r="I9511" i="20"/>
  <c r="I9512" i="20"/>
  <c r="I9513" i="20"/>
  <c r="I9514" i="20"/>
  <c r="I9515" i="20"/>
  <c r="I9516" i="20"/>
  <c r="I9517" i="20"/>
  <c r="I9518" i="20"/>
  <c r="I9519" i="20"/>
  <c r="I9520" i="20"/>
  <c r="I9521" i="20"/>
  <c r="I9522" i="20"/>
  <c r="I9523" i="20"/>
  <c r="I9524" i="20"/>
  <c r="I9525" i="20"/>
  <c r="I9526" i="20"/>
  <c r="I9527" i="20"/>
  <c r="I9528" i="20"/>
  <c r="I9529" i="20"/>
  <c r="I9530" i="20"/>
  <c r="I9531" i="20"/>
  <c r="I9532" i="20"/>
  <c r="I9533" i="20"/>
  <c r="I9534" i="20"/>
  <c r="I9535" i="20"/>
  <c r="I9536" i="20"/>
  <c r="I9537" i="20"/>
  <c r="I9538" i="20"/>
  <c r="I9539" i="20"/>
  <c r="I9540" i="20"/>
  <c r="I9541" i="20"/>
  <c r="I9542" i="20"/>
  <c r="I9543" i="20"/>
  <c r="I9544" i="20"/>
  <c r="I9545" i="20"/>
  <c r="I9546" i="20"/>
  <c r="I9547" i="20"/>
  <c r="I9548" i="20"/>
  <c r="I9549" i="20"/>
  <c r="I9550" i="20"/>
  <c r="I9551" i="20"/>
  <c r="I9552" i="20"/>
  <c r="I9553" i="20"/>
  <c r="I9554" i="20"/>
  <c r="I9555" i="20"/>
  <c r="I9556" i="20"/>
  <c r="I9557" i="20"/>
  <c r="I9558" i="20"/>
  <c r="I9559" i="20"/>
  <c r="I9560" i="20"/>
  <c r="I9561" i="20"/>
  <c r="I9562" i="20"/>
  <c r="I9563" i="20"/>
  <c r="I9564" i="20"/>
  <c r="I9565" i="20"/>
  <c r="I9566" i="20"/>
  <c r="I9567" i="20"/>
  <c r="I9568" i="20"/>
  <c r="I9569" i="20"/>
  <c r="I9570" i="20"/>
  <c r="I9571" i="20"/>
  <c r="I9572" i="20"/>
  <c r="I9573" i="20"/>
  <c r="I9574" i="20"/>
  <c r="I9575" i="20"/>
  <c r="I9576" i="20"/>
  <c r="I9577" i="20"/>
  <c r="I9578" i="20"/>
  <c r="I9579" i="20"/>
  <c r="I9580" i="20"/>
  <c r="I9581" i="20"/>
  <c r="I9582" i="20"/>
  <c r="I9583" i="20"/>
  <c r="I9584" i="20"/>
  <c r="I9585" i="20"/>
  <c r="I9586" i="20"/>
  <c r="I9587" i="20"/>
  <c r="I9588" i="20"/>
  <c r="I9589" i="20"/>
  <c r="I9590" i="20"/>
  <c r="I9591" i="20"/>
  <c r="I9592" i="20"/>
  <c r="I9593" i="20"/>
  <c r="I9594" i="20"/>
  <c r="I9595" i="20"/>
  <c r="I9596" i="20"/>
  <c r="I9597" i="20"/>
  <c r="I9598" i="20"/>
  <c r="I9599" i="20"/>
  <c r="I9600" i="20"/>
  <c r="I9601" i="20"/>
  <c r="I9602" i="20"/>
  <c r="I9603" i="20"/>
  <c r="I9604" i="20"/>
  <c r="I9605" i="20"/>
  <c r="I9606" i="20"/>
  <c r="I9607" i="20"/>
  <c r="I9608" i="20"/>
  <c r="I9609" i="20"/>
  <c r="I9610" i="20"/>
  <c r="I9611" i="20"/>
  <c r="I9612" i="20"/>
  <c r="I9613" i="20"/>
  <c r="I9614" i="20"/>
  <c r="I9615" i="20"/>
  <c r="I9616" i="20"/>
  <c r="I9617" i="20"/>
  <c r="I9618" i="20"/>
  <c r="I9619" i="20"/>
  <c r="I9620" i="20"/>
  <c r="I9621" i="20"/>
  <c r="I9622" i="20"/>
  <c r="I9623" i="20"/>
  <c r="I9624" i="20"/>
  <c r="I9625" i="20"/>
  <c r="I9626" i="20"/>
  <c r="I9627" i="20"/>
  <c r="I9628" i="20"/>
  <c r="I9629" i="20"/>
  <c r="I9630" i="20"/>
  <c r="I9631" i="20"/>
  <c r="I9632" i="20"/>
  <c r="I9633" i="20"/>
  <c r="I9634" i="20"/>
  <c r="I9635" i="20"/>
  <c r="I9636" i="20"/>
  <c r="I9637" i="20"/>
  <c r="I9638" i="20"/>
  <c r="I9639" i="20"/>
  <c r="I9640" i="20"/>
  <c r="I9641" i="20"/>
  <c r="I9642" i="20"/>
  <c r="I9643" i="20"/>
  <c r="I9644" i="20"/>
  <c r="I9645" i="20"/>
  <c r="I9646" i="20"/>
  <c r="I9647" i="20"/>
  <c r="I9648" i="20"/>
  <c r="I9649" i="20"/>
  <c r="I9650" i="20"/>
  <c r="I9651" i="20"/>
  <c r="I9652" i="20"/>
  <c r="I9653" i="20"/>
  <c r="I9654" i="20"/>
  <c r="I9655" i="20"/>
  <c r="I9656" i="20"/>
  <c r="I9657" i="20"/>
  <c r="I9658" i="20"/>
  <c r="I9659" i="20"/>
  <c r="I9660" i="20"/>
  <c r="I9661" i="20"/>
  <c r="I9662" i="20"/>
  <c r="I9663" i="20"/>
  <c r="I9664" i="20"/>
  <c r="I9665" i="20"/>
  <c r="I9666" i="20"/>
  <c r="I9667" i="20"/>
  <c r="I9668" i="20"/>
  <c r="I9669" i="20"/>
  <c r="I9670" i="20"/>
  <c r="I9671" i="20"/>
  <c r="I9672" i="20"/>
  <c r="I9673" i="20"/>
  <c r="I9674" i="20"/>
  <c r="I9675" i="20"/>
  <c r="I9676" i="20"/>
  <c r="I9677" i="20"/>
  <c r="I9678" i="20"/>
  <c r="I9679" i="20"/>
  <c r="I9680" i="20"/>
  <c r="I9681" i="20"/>
  <c r="I9682" i="20"/>
  <c r="I9683" i="20"/>
  <c r="I9684" i="20"/>
  <c r="I9685" i="20"/>
  <c r="I9686" i="20"/>
  <c r="I9687" i="20"/>
  <c r="I9688" i="20"/>
  <c r="I9689" i="20"/>
  <c r="I9690" i="20"/>
  <c r="I9691" i="20"/>
  <c r="I9692" i="20"/>
  <c r="I9693" i="20"/>
  <c r="I9694" i="20"/>
  <c r="I9695" i="20"/>
  <c r="I9696" i="20"/>
  <c r="I9697" i="20"/>
  <c r="I9698" i="20"/>
  <c r="I9699" i="20"/>
  <c r="I9700" i="20"/>
  <c r="I9701" i="20"/>
  <c r="I9702" i="20"/>
  <c r="I9703" i="20"/>
  <c r="I9704" i="20"/>
  <c r="I9705" i="20"/>
  <c r="I9706" i="20"/>
  <c r="I9707" i="20"/>
  <c r="I9708" i="20"/>
  <c r="I9709" i="20"/>
  <c r="I9710" i="20"/>
  <c r="I9711" i="20"/>
  <c r="I9712" i="20"/>
  <c r="I9713" i="20"/>
  <c r="I9714" i="20"/>
  <c r="I9715" i="20"/>
  <c r="I9716" i="20"/>
  <c r="I9717" i="20"/>
  <c r="I9718" i="20"/>
  <c r="I9719" i="20"/>
  <c r="I9720" i="20"/>
  <c r="I9721" i="20"/>
  <c r="I9722" i="20"/>
  <c r="I9723" i="20"/>
  <c r="I9724" i="20"/>
  <c r="I9725" i="20"/>
  <c r="I9726" i="20"/>
  <c r="I9727" i="20"/>
  <c r="I9728" i="20"/>
  <c r="I9729" i="20"/>
  <c r="I9730" i="20"/>
  <c r="I9731" i="20"/>
  <c r="I9732" i="20"/>
  <c r="I9733" i="20"/>
  <c r="I9734" i="20"/>
  <c r="I9735" i="20"/>
  <c r="I9736" i="20"/>
  <c r="I9737" i="20"/>
  <c r="I9738" i="20"/>
  <c r="I9739" i="20"/>
  <c r="I9740" i="20"/>
  <c r="I9741" i="20"/>
  <c r="I9742" i="20"/>
  <c r="I9743" i="20"/>
  <c r="I9744" i="20"/>
  <c r="I9745" i="20"/>
  <c r="I9746" i="20"/>
  <c r="I9747" i="20"/>
  <c r="I9748" i="20"/>
  <c r="I9749" i="20"/>
  <c r="I9750" i="20"/>
  <c r="I9751" i="20"/>
  <c r="I9752" i="20"/>
  <c r="I9753" i="20"/>
  <c r="I9754" i="20"/>
  <c r="I9755" i="20"/>
  <c r="I9756" i="20"/>
  <c r="I9757" i="20"/>
  <c r="I9758" i="20"/>
  <c r="I9759" i="20"/>
  <c r="I9760" i="20"/>
  <c r="I9761" i="20"/>
  <c r="I9762" i="20"/>
  <c r="I9763" i="20"/>
  <c r="I9764" i="20"/>
  <c r="I9765" i="20"/>
  <c r="I9766" i="20"/>
  <c r="I9767" i="20"/>
  <c r="I9768" i="20"/>
  <c r="I9769" i="20"/>
  <c r="I9770" i="20"/>
  <c r="I9771" i="20"/>
  <c r="I9772" i="20"/>
  <c r="I9773" i="20"/>
  <c r="I9774" i="20"/>
  <c r="I9775" i="20"/>
  <c r="I9776" i="20"/>
  <c r="I9777" i="20"/>
  <c r="I9778" i="20"/>
  <c r="I9779" i="20"/>
  <c r="I9780" i="20"/>
  <c r="I9781" i="20"/>
  <c r="I9782" i="20"/>
  <c r="I9783" i="20"/>
  <c r="I9784" i="20"/>
  <c r="I9785" i="20"/>
  <c r="I9786" i="20"/>
  <c r="I9787" i="20"/>
  <c r="I9788" i="20"/>
  <c r="I9789" i="20"/>
  <c r="I9790" i="20"/>
  <c r="I9791" i="20"/>
  <c r="I9792" i="20"/>
  <c r="I9793" i="20"/>
  <c r="I9794" i="20"/>
  <c r="I9795" i="20"/>
  <c r="I9796" i="20"/>
  <c r="I9797" i="20"/>
  <c r="I9798" i="20"/>
  <c r="I9799" i="20"/>
  <c r="I9800" i="20"/>
  <c r="I9801" i="20"/>
  <c r="I9802" i="20"/>
  <c r="I9803" i="20"/>
  <c r="I9804" i="20"/>
  <c r="I9805" i="20"/>
  <c r="I9806" i="20"/>
  <c r="I9807" i="20"/>
  <c r="I9808" i="20"/>
  <c r="I9809" i="20"/>
  <c r="I9810" i="20"/>
  <c r="I9811" i="20"/>
  <c r="I9812" i="20"/>
  <c r="I9813" i="20"/>
  <c r="I9814" i="20"/>
  <c r="I9815" i="20"/>
  <c r="I9816" i="20"/>
  <c r="I9817" i="20"/>
  <c r="I9818" i="20"/>
  <c r="I9819" i="20"/>
  <c r="I9820" i="20"/>
  <c r="I9821" i="20"/>
  <c r="I9822" i="20"/>
  <c r="I9823" i="20"/>
  <c r="I9824" i="20"/>
  <c r="I9825" i="20"/>
  <c r="I9826" i="20"/>
  <c r="I9827" i="20"/>
  <c r="I9828" i="20"/>
  <c r="I9829" i="20"/>
  <c r="I9830" i="20"/>
  <c r="I9831" i="20"/>
  <c r="I9832" i="20"/>
  <c r="I9833" i="20"/>
  <c r="I9834" i="20"/>
  <c r="I9835" i="20"/>
  <c r="I9836" i="20"/>
  <c r="I9837" i="20"/>
  <c r="I9838" i="20"/>
  <c r="I9839" i="20"/>
  <c r="I9840" i="20"/>
  <c r="I9841" i="20"/>
  <c r="I9842" i="20"/>
  <c r="I9843" i="20"/>
  <c r="I9844" i="20"/>
  <c r="I9845" i="20"/>
  <c r="I9846" i="20"/>
  <c r="I9847" i="20"/>
  <c r="I9848" i="20"/>
  <c r="I9849" i="20"/>
  <c r="I9850" i="20"/>
  <c r="I9851" i="20"/>
  <c r="I9852" i="20"/>
  <c r="I9853" i="20"/>
  <c r="I9854" i="20"/>
  <c r="I9855" i="20"/>
  <c r="I9856" i="20"/>
  <c r="I9857" i="20"/>
  <c r="I9858" i="20"/>
  <c r="I9859" i="20"/>
  <c r="I9860" i="20"/>
  <c r="I9861" i="20"/>
  <c r="I9862" i="20"/>
  <c r="I9863" i="20"/>
  <c r="I9864" i="20"/>
  <c r="I9865" i="20"/>
  <c r="I9866" i="20"/>
  <c r="I9867" i="20"/>
  <c r="I9868" i="20"/>
  <c r="I9869" i="20"/>
  <c r="I9870" i="20"/>
  <c r="I9871" i="20"/>
  <c r="I9872" i="20"/>
  <c r="I9873" i="20"/>
  <c r="I9874" i="20"/>
  <c r="I9875" i="20"/>
  <c r="I9876" i="20"/>
  <c r="I9877" i="20"/>
  <c r="I9878" i="20"/>
  <c r="I9879" i="20"/>
  <c r="I9880" i="20"/>
  <c r="I9881" i="20"/>
  <c r="I9882" i="20"/>
  <c r="I9883" i="20"/>
  <c r="I9884" i="20"/>
  <c r="I9885" i="20"/>
  <c r="I9886" i="20"/>
  <c r="I9887" i="20"/>
  <c r="I9888" i="20"/>
  <c r="I9889" i="20"/>
  <c r="I9890" i="20"/>
  <c r="I9891" i="20"/>
  <c r="I9892" i="20"/>
  <c r="I9893" i="20"/>
  <c r="I9894" i="20"/>
  <c r="I9895" i="20"/>
  <c r="I9896" i="20"/>
  <c r="I9897" i="20"/>
  <c r="I9898" i="20"/>
  <c r="I9899" i="20"/>
  <c r="I9900" i="20"/>
  <c r="I9901" i="20"/>
  <c r="I9902" i="20"/>
  <c r="I9903" i="20"/>
  <c r="I9904" i="20"/>
  <c r="I9905" i="20"/>
  <c r="I9906" i="20"/>
  <c r="I9907" i="20"/>
  <c r="I9908" i="20"/>
  <c r="I9909" i="20"/>
  <c r="I9910" i="20"/>
  <c r="I9911" i="20"/>
  <c r="I9912" i="20"/>
  <c r="I9913" i="20"/>
  <c r="I9914" i="20"/>
  <c r="I9915" i="20"/>
  <c r="I9916" i="20"/>
  <c r="I9917" i="20"/>
  <c r="I9918" i="20"/>
  <c r="I9919" i="20"/>
  <c r="I9920" i="20"/>
  <c r="I9921" i="20"/>
  <c r="I9922" i="20"/>
  <c r="I9923" i="20"/>
  <c r="I9924" i="20"/>
  <c r="I9925" i="20"/>
  <c r="I9926" i="20"/>
  <c r="I9927" i="20"/>
  <c r="I9928" i="20"/>
  <c r="I9929" i="20"/>
  <c r="I9930" i="20"/>
  <c r="I9931" i="20"/>
  <c r="I9932" i="20"/>
  <c r="I9933" i="20"/>
  <c r="I9934" i="20"/>
  <c r="I9935" i="20"/>
  <c r="I9936" i="20"/>
  <c r="I9937" i="20"/>
  <c r="I9938" i="20"/>
  <c r="I9939" i="20"/>
  <c r="I9940" i="20"/>
  <c r="I9941" i="20"/>
  <c r="I9942" i="20"/>
  <c r="I9943" i="20"/>
  <c r="I9944" i="20"/>
  <c r="I9945" i="20"/>
  <c r="I9946" i="20"/>
  <c r="I9947" i="20"/>
  <c r="I9948" i="20"/>
  <c r="I9949" i="20"/>
  <c r="I9950" i="20"/>
  <c r="I9951" i="20"/>
  <c r="I9952" i="20"/>
  <c r="I9953" i="20"/>
  <c r="I9954" i="20"/>
  <c r="I9955" i="20"/>
  <c r="I9956" i="20"/>
  <c r="I9957" i="20"/>
  <c r="I9958" i="20"/>
  <c r="I9959" i="20"/>
  <c r="I9960" i="20"/>
  <c r="I9961" i="20"/>
  <c r="I9962" i="20"/>
  <c r="I9963" i="20"/>
  <c r="I9964" i="20"/>
  <c r="I9965" i="20"/>
  <c r="I9966" i="20"/>
  <c r="I9967" i="20"/>
  <c r="I9968" i="20"/>
  <c r="I9969" i="20"/>
  <c r="I9970" i="20"/>
  <c r="I9971" i="20"/>
  <c r="I9972" i="20"/>
  <c r="I9973" i="20"/>
  <c r="I9974" i="20"/>
  <c r="I9975" i="20"/>
  <c r="I9976" i="20"/>
  <c r="I9977" i="20"/>
  <c r="I9978" i="20"/>
  <c r="I9979" i="20"/>
  <c r="I9980" i="20"/>
  <c r="I9981" i="20"/>
  <c r="I9982" i="20"/>
  <c r="I9983" i="20"/>
  <c r="I9984" i="20"/>
  <c r="I9985" i="20"/>
  <c r="I9986" i="20"/>
  <c r="I9987" i="20"/>
  <c r="I9988" i="20"/>
  <c r="I9989" i="20"/>
  <c r="I9990" i="20"/>
  <c r="I9991" i="20"/>
  <c r="I9992" i="20"/>
  <c r="I9993" i="20"/>
  <c r="I9994" i="20"/>
  <c r="I9995" i="20"/>
  <c r="I9996" i="20"/>
  <c r="I9997" i="20"/>
  <c r="I9998" i="20"/>
  <c r="I9999" i="20"/>
  <c r="I10000" i="20"/>
  <c r="I10001" i="20"/>
  <c r="K13" i="2"/>
  <c r="K4" i="2"/>
  <c r="K5" i="2"/>
  <c r="K7" i="2"/>
  <c r="K8" i="2"/>
  <c r="K9" i="2"/>
  <c r="K10" i="2"/>
  <c r="K11" i="2"/>
  <c r="K12" i="2"/>
  <c r="K15" i="2"/>
  <c r="K19" i="2"/>
  <c r="K20" i="2"/>
  <c r="K21" i="2"/>
  <c r="K23" i="2"/>
  <c r="K24" i="2"/>
  <c r="K26" i="2"/>
  <c r="K27" i="2"/>
  <c r="K28" i="2"/>
  <c r="K29" i="2"/>
  <c r="K31" i="2"/>
  <c r="K35" i="2"/>
  <c r="K36" i="2"/>
  <c r="K37" i="2"/>
  <c r="K39" i="2"/>
  <c r="K40" i="2"/>
  <c r="K41" i="2"/>
  <c r="K42" i="2"/>
  <c r="K43" i="2"/>
  <c r="K44" i="2"/>
  <c r="K45" i="2"/>
  <c r="K47" i="2"/>
  <c r="K51" i="2"/>
  <c r="K52" i="2"/>
  <c r="K53" i="2"/>
  <c r="K56" i="2"/>
  <c r="K57" i="2"/>
  <c r="K58" i="2"/>
  <c r="K59" i="2"/>
  <c r="K60" i="2"/>
  <c r="K61" i="2"/>
  <c r="K63" i="2"/>
  <c r="K67" i="2"/>
  <c r="K68" i="2"/>
  <c r="K69" i="2"/>
  <c r="K70" i="2"/>
  <c r="K72" i="2"/>
  <c r="K73" i="2"/>
  <c r="K74" i="2"/>
  <c r="K75" i="2"/>
  <c r="K76" i="2"/>
  <c r="K77" i="2"/>
  <c r="K79" i="2"/>
  <c r="K83" i="2"/>
  <c r="K84" i="2"/>
  <c r="K85" i="2"/>
  <c r="K87" i="2"/>
  <c r="K88" i="2"/>
  <c r="K89" i="2"/>
  <c r="K90" i="2"/>
  <c r="K91" i="2"/>
  <c r="K92" i="2"/>
  <c r="K93" i="2"/>
  <c r="K95" i="2"/>
  <c r="K99" i="2"/>
  <c r="K100" i="2"/>
  <c r="K101" i="2"/>
  <c r="K103" i="2"/>
  <c r="K104" i="2"/>
  <c r="K105" i="2"/>
  <c r="K106" i="2"/>
  <c r="K107" i="2"/>
  <c r="K108" i="2"/>
  <c r="K109" i="2"/>
  <c r="K111" i="2"/>
  <c r="K115" i="2"/>
  <c r="K116" i="2"/>
  <c r="K117" i="2"/>
  <c r="K119" i="2"/>
  <c r="K120" i="2"/>
  <c r="K121" i="2"/>
  <c r="K122" i="2"/>
  <c r="K123" i="2"/>
  <c r="K124" i="2"/>
  <c r="K125" i="2"/>
  <c r="K127" i="2"/>
  <c r="K131" i="2"/>
  <c r="K132" i="2"/>
  <c r="K133" i="2"/>
  <c r="K136" i="2"/>
  <c r="K137" i="2"/>
  <c r="K138" i="2"/>
  <c r="K139" i="2"/>
  <c r="K140" i="2"/>
  <c r="K141" i="2"/>
  <c r="K143" i="2"/>
  <c r="K147" i="2"/>
  <c r="K148" i="2"/>
  <c r="K149" i="2"/>
  <c r="K152" i="2"/>
  <c r="K153" i="2"/>
  <c r="K154" i="2"/>
  <c r="K155" i="2"/>
  <c r="K156" i="2"/>
  <c r="K157" i="2"/>
  <c r="K159" i="2"/>
  <c r="K163" i="2"/>
  <c r="K164" i="2"/>
  <c r="K165" i="2"/>
  <c r="K167" i="2"/>
  <c r="K168" i="2"/>
  <c r="K169" i="2"/>
  <c r="K170" i="2"/>
  <c r="K171" i="2"/>
  <c r="K172" i="2"/>
  <c r="K173" i="2"/>
  <c r="K175" i="2"/>
  <c r="K179" i="2"/>
  <c r="K180" i="2"/>
  <c r="K181" i="2"/>
  <c r="K183" i="2"/>
  <c r="K184" i="2"/>
  <c r="K185" i="2"/>
  <c r="K186" i="2"/>
  <c r="K187" i="2"/>
  <c r="K188" i="2"/>
  <c r="K189" i="2"/>
  <c r="K191" i="2"/>
  <c r="K195" i="2"/>
  <c r="K196" i="2"/>
  <c r="K197" i="2"/>
  <c r="K199" i="2"/>
  <c r="K200" i="2"/>
  <c r="K201" i="2"/>
  <c r="K202" i="2"/>
  <c r="K203" i="2"/>
  <c r="K204" i="2"/>
  <c r="K205" i="2"/>
  <c r="K207" i="2"/>
  <c r="K211" i="2"/>
  <c r="K212" i="2"/>
  <c r="K213" i="2"/>
  <c r="K216" i="2"/>
  <c r="K217" i="2"/>
  <c r="K218" i="2"/>
  <c r="K219" i="2"/>
  <c r="K220" i="2"/>
  <c r="K221" i="2"/>
  <c r="K223" i="2"/>
  <c r="K227" i="2"/>
  <c r="K228" i="2"/>
  <c r="K229" i="2"/>
  <c r="K232" i="2"/>
  <c r="K233" i="2"/>
  <c r="K234" i="2"/>
  <c r="K235" i="2"/>
  <c r="K236" i="2"/>
  <c r="K237" i="2"/>
  <c r="K239" i="2"/>
  <c r="K243" i="2"/>
  <c r="K244" i="2"/>
  <c r="K245" i="2"/>
  <c r="K247" i="2"/>
  <c r="K248" i="2"/>
  <c r="K249" i="2"/>
  <c r="K250" i="2"/>
  <c r="K251" i="2"/>
  <c r="K252" i="2"/>
  <c r="K253" i="2"/>
  <c r="K255" i="2"/>
  <c r="K259" i="2"/>
  <c r="K260" i="2"/>
  <c r="K261" i="2"/>
  <c r="K263" i="2"/>
  <c r="K264" i="2"/>
  <c r="K265" i="2"/>
  <c r="K266" i="2"/>
  <c r="K267" i="2"/>
  <c r="K268" i="2"/>
  <c r="K269" i="2"/>
  <c r="K271" i="2"/>
  <c r="K275" i="2"/>
  <c r="K276" i="2"/>
  <c r="K277" i="2"/>
  <c r="K280" i="2"/>
  <c r="K281" i="2"/>
  <c r="K282" i="2"/>
  <c r="K283" i="2"/>
  <c r="K284" i="2"/>
  <c r="K285" i="2"/>
  <c r="K287" i="2"/>
  <c r="K289" i="2"/>
  <c r="K291" i="2"/>
  <c r="K292" i="2"/>
  <c r="K293" i="2"/>
  <c r="K296" i="2"/>
  <c r="K297" i="2"/>
  <c r="K298" i="2"/>
  <c r="K299" i="2"/>
  <c r="K300" i="2"/>
  <c r="K301" i="2"/>
  <c r="K303" i="2"/>
  <c r="K307" i="2"/>
  <c r="K308" i="2"/>
  <c r="K309" i="2"/>
  <c r="K311" i="2"/>
  <c r="K312" i="2"/>
  <c r="K313" i="2"/>
  <c r="K314" i="2"/>
  <c r="K315" i="2"/>
  <c r="K316" i="2"/>
  <c r="K317" i="2"/>
  <c r="K319" i="2"/>
  <c r="K323" i="2"/>
  <c r="K324" i="2"/>
  <c r="K325" i="2"/>
  <c r="K328" i="2"/>
  <c r="K329" i="2"/>
  <c r="K330" i="2"/>
  <c r="K331" i="2"/>
  <c r="K332" i="2"/>
  <c r="K333" i="2"/>
  <c r="K335" i="2"/>
  <c r="K339" i="2"/>
  <c r="K340" i="2"/>
  <c r="K341" i="2"/>
  <c r="K343" i="2"/>
  <c r="K344" i="2"/>
  <c r="K345" i="2"/>
  <c r="K346" i="2"/>
  <c r="K347" i="2"/>
  <c r="K348" i="2"/>
  <c r="K349" i="2"/>
  <c r="K351" i="2"/>
  <c r="K355" i="2"/>
  <c r="K356" i="2"/>
  <c r="K357" i="2"/>
  <c r="K360" i="2"/>
  <c r="K361" i="2"/>
  <c r="K362" i="2"/>
  <c r="K363" i="2"/>
  <c r="K364" i="2"/>
  <c r="K367" i="2"/>
  <c r="K371" i="2"/>
  <c r="K372" i="2"/>
  <c r="K373" i="2"/>
  <c r="K375" i="2"/>
  <c r="K376" i="2"/>
  <c r="K377" i="2"/>
  <c r="K378" i="2"/>
  <c r="K379" i="2"/>
  <c r="K380" i="2"/>
  <c r="K381" i="2"/>
  <c r="K383" i="2"/>
  <c r="K387" i="2"/>
  <c r="K388" i="2"/>
  <c r="K389" i="2"/>
  <c r="K391" i="2"/>
  <c r="K392" i="2"/>
  <c r="K393" i="2"/>
  <c r="K394" i="2"/>
  <c r="K395" i="2"/>
  <c r="K396" i="2"/>
  <c r="K397" i="2"/>
  <c r="K398" i="2"/>
  <c r="K399" i="2"/>
  <c r="K403" i="2"/>
  <c r="K404" i="2"/>
  <c r="K405" i="2"/>
  <c r="K408" i="2"/>
  <c r="K409" i="2"/>
  <c r="K410" i="2"/>
  <c r="K411" i="2"/>
  <c r="K412" i="2"/>
  <c r="K413" i="2"/>
  <c r="K414" i="2"/>
  <c r="K415" i="2"/>
  <c r="K419" i="2"/>
  <c r="K420" i="2"/>
  <c r="K421" i="2"/>
  <c r="K424" i="2"/>
  <c r="K425" i="2"/>
  <c r="K426" i="2"/>
  <c r="K427" i="2"/>
  <c r="K428" i="2"/>
  <c r="K429" i="2"/>
  <c r="K430" i="2"/>
  <c r="K431" i="2"/>
  <c r="K435" i="2"/>
  <c r="K436" i="2"/>
  <c r="K437" i="2"/>
  <c r="K440" i="2"/>
  <c r="K441" i="2"/>
  <c r="K442" i="2"/>
  <c r="K443" i="2"/>
  <c r="K444" i="2"/>
  <c r="K445" i="2"/>
  <c r="K447" i="2"/>
  <c r="K451" i="2"/>
  <c r="K452" i="2"/>
  <c r="K453" i="2"/>
  <c r="K454" i="2"/>
  <c r="K456" i="2"/>
  <c r="K457" i="2"/>
  <c r="K458" i="2"/>
  <c r="K459" i="2"/>
  <c r="K460" i="2"/>
  <c r="K461" i="2"/>
  <c r="K463" i="2"/>
  <c r="K465" i="2"/>
  <c r="K467" i="2"/>
  <c r="K468" i="2"/>
  <c r="K469" i="2"/>
  <c r="K471" i="2"/>
  <c r="K472" i="2"/>
  <c r="K473" i="2"/>
  <c r="K474" i="2"/>
  <c r="K475" i="2"/>
  <c r="K476" i="2"/>
  <c r="K477" i="2"/>
  <c r="K479" i="2"/>
  <c r="K483" i="2"/>
  <c r="K484" i="2"/>
  <c r="K485" i="2"/>
  <c r="K487" i="2"/>
  <c r="K488" i="2"/>
  <c r="K489" i="2"/>
  <c r="K490" i="2"/>
  <c r="K491" i="2"/>
  <c r="K492" i="2"/>
  <c r="K493" i="2"/>
  <c r="K495" i="2"/>
  <c r="K499" i="2"/>
  <c r="K500" i="2"/>
  <c r="K501" i="2"/>
  <c r="K504" i="2"/>
  <c r="K505" i="2"/>
  <c r="K506" i="2"/>
  <c r="K507" i="2"/>
  <c r="K508" i="2"/>
  <c r="K509" i="2"/>
  <c r="K511" i="2"/>
  <c r="K515" i="2"/>
  <c r="K516" i="2"/>
  <c r="K517" i="2"/>
  <c r="K520" i="2"/>
  <c r="K521" i="2"/>
  <c r="K522" i="2"/>
  <c r="K523" i="2"/>
  <c r="K524" i="2"/>
  <c r="K525" i="2"/>
  <c r="K527" i="2"/>
  <c r="K531" i="2"/>
  <c r="K532" i="2"/>
  <c r="K533" i="2"/>
  <c r="K534" i="2"/>
  <c r="K536" i="2"/>
  <c r="K537" i="2"/>
  <c r="K538" i="2"/>
  <c r="K539" i="2"/>
  <c r="K540" i="2"/>
  <c r="K541" i="2"/>
  <c r="K543" i="2"/>
  <c r="K547" i="2"/>
  <c r="K548" i="2"/>
  <c r="K549" i="2"/>
  <c r="K551" i="2"/>
  <c r="K552" i="2"/>
  <c r="K553" i="2"/>
  <c r="K554" i="2"/>
  <c r="K555" i="2"/>
  <c r="K556" i="2"/>
  <c r="K559" i="2"/>
  <c r="K563" i="2"/>
  <c r="K564" i="2"/>
  <c r="K565" i="2"/>
  <c r="K568" i="2"/>
  <c r="K569" i="2"/>
  <c r="K570" i="2"/>
  <c r="K571" i="2"/>
  <c r="K572" i="2"/>
  <c r="K573" i="2"/>
  <c r="K575" i="2"/>
  <c r="K579" i="2"/>
  <c r="K580" i="2"/>
  <c r="K581" i="2"/>
  <c r="K584" i="2"/>
  <c r="K585" i="2"/>
  <c r="K586" i="2"/>
  <c r="K587" i="2"/>
  <c r="K588" i="2"/>
  <c r="K589" i="2"/>
  <c r="K591" i="2"/>
  <c r="K595" i="2"/>
  <c r="K596" i="2"/>
  <c r="K597" i="2"/>
  <c r="K600" i="2"/>
  <c r="K601" i="2"/>
  <c r="K602" i="2"/>
  <c r="K603" i="2"/>
  <c r="K604" i="2"/>
  <c r="K605" i="2"/>
  <c r="K607" i="2"/>
  <c r="K611" i="2"/>
  <c r="K612" i="2"/>
  <c r="K613" i="2"/>
  <c r="K616" i="2"/>
  <c r="K618" i="2"/>
  <c r="K619" i="2"/>
  <c r="K620" i="2"/>
  <c r="K621" i="2"/>
  <c r="K623" i="2"/>
  <c r="K627" i="2"/>
  <c r="K628" i="2"/>
  <c r="K629" i="2"/>
  <c r="K632" i="2"/>
  <c r="K633" i="2"/>
  <c r="K634" i="2"/>
  <c r="K635" i="2"/>
  <c r="K637" i="2"/>
  <c r="K639" i="2"/>
  <c r="K643" i="2"/>
  <c r="K644" i="2"/>
  <c r="K645" i="2"/>
  <c r="K648" i="2"/>
  <c r="K649" i="2"/>
  <c r="K650" i="2"/>
  <c r="K651" i="2"/>
  <c r="K652" i="2"/>
  <c r="K653" i="2"/>
  <c r="K654" i="2"/>
  <c r="K659" i="2"/>
  <c r="K660" i="2"/>
  <c r="K661" i="2"/>
  <c r="K664" i="2"/>
  <c r="K665" i="2"/>
  <c r="K667" i="2"/>
  <c r="K668" i="2"/>
  <c r="K669" i="2"/>
  <c r="K670" i="2"/>
  <c r="K671" i="2"/>
  <c r="K675" i="2"/>
  <c r="K676" i="2"/>
  <c r="K677" i="2"/>
  <c r="K680" i="2"/>
  <c r="K681" i="2"/>
  <c r="K682" i="2"/>
  <c r="K683" i="2"/>
  <c r="K684" i="2"/>
  <c r="K685" i="2"/>
  <c r="K686" i="2"/>
  <c r="K687" i="2"/>
  <c r="K691" i="2"/>
  <c r="K693" i="2"/>
  <c r="K696" i="2"/>
  <c r="K697" i="2"/>
  <c r="K698" i="2"/>
  <c r="K699" i="2"/>
  <c r="K700" i="2"/>
  <c r="K701" i="2"/>
  <c r="K703" i="2"/>
  <c r="K707" i="2"/>
  <c r="K708" i="2"/>
  <c r="K709" i="2"/>
  <c r="K712" i="2"/>
  <c r="K715" i="2"/>
  <c r="K716" i="2"/>
  <c r="K717" i="2"/>
  <c r="K719" i="2"/>
  <c r="K723" i="2"/>
  <c r="K724" i="2"/>
  <c r="K725" i="2"/>
  <c r="K728" i="2"/>
  <c r="K729" i="2"/>
  <c r="K731" i="2"/>
  <c r="K732" i="2"/>
  <c r="K733" i="2"/>
  <c r="K735" i="2"/>
  <c r="K739" i="2"/>
  <c r="K740" i="2"/>
  <c r="K741" i="2"/>
  <c r="K744" i="2"/>
  <c r="K747" i="2"/>
  <c r="K748" i="2"/>
  <c r="K751" i="2"/>
  <c r="K755" i="2"/>
  <c r="K756" i="2"/>
  <c r="K757" i="2"/>
  <c r="K760" i="2"/>
  <c r="K763" i="2"/>
  <c r="K764" i="2"/>
  <c r="K765" i="2"/>
  <c r="K767" i="2"/>
  <c r="K772" i="2"/>
  <c r="K773" i="2"/>
  <c r="K776" i="2"/>
  <c r="K779" i="2"/>
  <c r="K780" i="2"/>
  <c r="K781" i="2"/>
  <c r="K783" i="2"/>
  <c r="K787" i="2"/>
  <c r="K788" i="2"/>
  <c r="K789" i="2"/>
  <c r="K792" i="2"/>
  <c r="K795" i="2"/>
  <c r="K796" i="2"/>
  <c r="K797" i="2"/>
  <c r="K799" i="2"/>
  <c r="K803" i="2"/>
  <c r="K804" i="2"/>
  <c r="K805" i="2"/>
  <c r="K808" i="2"/>
  <c r="K811" i="2"/>
  <c r="K812" i="2"/>
  <c r="K813" i="2"/>
  <c r="K815" i="2"/>
  <c r="K819" i="2"/>
  <c r="K820" i="2"/>
  <c r="K821" i="2"/>
  <c r="K824" i="2"/>
  <c r="K825" i="2"/>
  <c r="K827" i="2"/>
  <c r="K831" i="2"/>
  <c r="K835" i="2"/>
  <c r="K836" i="2"/>
  <c r="K837" i="2"/>
  <c r="K840" i="2"/>
  <c r="K843" i="2"/>
  <c r="K844" i="2"/>
  <c r="K845" i="2"/>
  <c r="K847" i="2"/>
  <c r="K851" i="2"/>
  <c r="K852" i="2"/>
  <c r="K853" i="2"/>
  <c r="K856" i="2"/>
  <c r="K857" i="2"/>
  <c r="K859" i="2"/>
  <c r="K860" i="2"/>
  <c r="K861" i="2"/>
  <c r="K863" i="2"/>
  <c r="K867" i="2"/>
  <c r="K868" i="2"/>
  <c r="K872" i="2"/>
  <c r="K873" i="2"/>
  <c r="K875" i="2"/>
  <c r="K876" i="2"/>
  <c r="K877" i="2"/>
  <c r="K879" i="2"/>
  <c r="K883" i="2"/>
  <c r="K884" i="2"/>
  <c r="K885" i="2"/>
  <c r="K888" i="2"/>
  <c r="K891" i="2"/>
  <c r="K892" i="2"/>
  <c r="K893" i="2"/>
  <c r="K895" i="2"/>
  <c r="K899" i="2"/>
  <c r="K900" i="2"/>
  <c r="K901" i="2"/>
  <c r="K904" i="2"/>
  <c r="K908" i="2"/>
  <c r="K909" i="2"/>
  <c r="K910" i="2"/>
  <c r="K911" i="2"/>
  <c r="K915" i="2"/>
  <c r="K916" i="2"/>
  <c r="K917" i="2"/>
  <c r="K920" i="2"/>
  <c r="K921" i="2"/>
  <c r="K923" i="2"/>
  <c r="K924" i="2"/>
  <c r="K926" i="2"/>
  <c r="K927" i="2"/>
  <c r="K931" i="2"/>
  <c r="K932" i="2"/>
  <c r="K933" i="2"/>
  <c r="K936" i="2"/>
  <c r="K939" i="2"/>
  <c r="K940" i="2"/>
  <c r="K941" i="2"/>
  <c r="K942" i="2"/>
  <c r="K947" i="2"/>
  <c r="K948" i="2"/>
  <c r="K949" i="2"/>
  <c r="K950" i="2"/>
  <c r="K952" i="2"/>
  <c r="K955" i="2"/>
  <c r="K956" i="2"/>
  <c r="K957" i="2"/>
  <c r="K959" i="2"/>
  <c r="K964" i="2"/>
  <c r="K965" i="2"/>
  <c r="K968" i="2"/>
  <c r="K971" i="2"/>
  <c r="K972" i="2"/>
  <c r="K973" i="2"/>
  <c r="K975" i="2"/>
  <c r="K979" i="2"/>
  <c r="K980" i="2"/>
  <c r="K981" i="2"/>
  <c r="K984" i="2"/>
  <c r="K987" i="2"/>
  <c r="K988" i="2"/>
  <c r="K989" i="2"/>
  <c r="K995" i="2"/>
  <c r="K996" i="2"/>
  <c r="K997" i="2"/>
  <c r="K1000" i="2"/>
  <c r="K1003" i="2"/>
  <c r="K1004" i="2"/>
  <c r="K1005" i="2"/>
  <c r="K1007" i="2"/>
  <c r="K1011" i="2"/>
  <c r="K1012" i="2"/>
  <c r="K1013" i="2"/>
  <c r="K1014" i="2"/>
  <c r="K1016" i="2"/>
  <c r="K1019" i="2"/>
  <c r="K1020" i="2"/>
  <c r="K1027" i="2"/>
  <c r="K1028" i="2"/>
  <c r="K1029" i="2"/>
  <c r="K1032" i="2"/>
  <c r="K1035" i="2"/>
  <c r="K1036" i="2"/>
  <c r="K1037" i="2"/>
  <c r="K1043" i="2"/>
  <c r="K1044" i="2"/>
  <c r="K1048" i="2"/>
  <c r="K1051" i="2"/>
  <c r="K1052" i="2"/>
  <c r="K1053" i="2"/>
  <c r="K1055" i="2"/>
  <c r="K1059" i="2"/>
  <c r="K1060" i="2"/>
  <c r="K1061" i="2"/>
  <c r="K1064" i="2"/>
  <c r="K1067" i="2"/>
  <c r="K1068" i="2"/>
  <c r="K1069" i="2"/>
  <c r="K1075" i="2"/>
  <c r="K1076" i="2"/>
  <c r="K1077" i="2"/>
  <c r="K1080" i="2"/>
  <c r="K1083" i="2"/>
  <c r="K1089" i="2"/>
  <c r="K1091" i="2"/>
  <c r="K1092" i="2"/>
  <c r="K1093" i="2"/>
  <c r="K1096" i="2"/>
  <c r="K1099" i="2"/>
  <c r="K1100" i="2"/>
  <c r="K1101" i="2"/>
  <c r="K1107" i="2"/>
  <c r="K1109" i="2"/>
  <c r="K1112" i="2"/>
  <c r="K1115" i="2"/>
  <c r="K1116" i="2"/>
  <c r="K1117" i="2"/>
  <c r="K1123" i="2"/>
  <c r="K1124" i="2"/>
  <c r="K1125" i="2"/>
  <c r="K1128" i="2"/>
  <c r="K1131" i="2"/>
  <c r="K1132" i="2"/>
  <c r="K1139" i="2"/>
  <c r="K1140" i="2"/>
  <c r="K1141" i="2"/>
  <c r="K1144" i="2"/>
  <c r="K1147" i="2"/>
  <c r="K1155" i="2"/>
  <c r="K1156" i="2"/>
  <c r="K1157" i="2"/>
  <c r="K1160" i="2"/>
  <c r="K1163" i="2"/>
  <c r="K1164" i="2"/>
  <c r="K1165" i="2"/>
  <c r="K1166" i="2"/>
  <c r="K1172" i="2"/>
  <c r="K1173" i="2"/>
  <c r="K1175" i="2"/>
  <c r="K1176" i="2"/>
  <c r="K1179" i="2"/>
  <c r="K1180" i="2"/>
  <c r="K1181" i="2"/>
  <c r="K1182" i="2"/>
  <c r="K1183" i="2"/>
  <c r="K1187" i="2"/>
  <c r="K1188" i="2"/>
  <c r="K1192" i="2"/>
  <c r="K1194" i="2"/>
  <c r="K1195" i="2"/>
  <c r="K1196" i="2"/>
  <c r="K1197" i="2"/>
  <c r="K1198" i="2"/>
  <c r="K1199" i="2"/>
  <c r="K1203" i="2"/>
  <c r="K1205" i="2"/>
  <c r="K1208" i="2"/>
  <c r="K1211" i="2"/>
  <c r="K1212" i="2"/>
  <c r="K1213" i="2"/>
  <c r="K1215" i="2"/>
  <c r="K1219" i="2"/>
  <c r="K1220" i="2"/>
  <c r="K1221" i="2"/>
  <c r="K1224" i="2"/>
  <c r="K1228" i="2"/>
  <c r="K1235" i="2"/>
  <c r="K1236" i="2"/>
  <c r="K1237" i="2"/>
  <c r="K1240" i="2"/>
  <c r="K1243" i="2"/>
  <c r="K1244" i="2"/>
  <c r="K1245" i="2"/>
  <c r="K1252" i="2"/>
  <c r="K1253" i="2"/>
  <c r="K1256" i="2"/>
  <c r="K1259" i="2"/>
  <c r="K1260" i="2"/>
  <c r="K1261" i="2"/>
  <c r="K1267" i="2"/>
  <c r="K1268" i="2"/>
  <c r="K1272" i="2"/>
  <c r="K1275" i="2"/>
  <c r="K1276" i="2"/>
  <c r="K1277" i="2"/>
  <c r="K1283" i="2"/>
  <c r="K1284" i="2"/>
  <c r="K1285" i="2"/>
  <c r="K1288" i="2"/>
  <c r="K1291" i="2"/>
  <c r="K1299" i="2"/>
  <c r="K1300" i="2"/>
  <c r="K1301" i="2"/>
  <c r="K1304" i="2"/>
  <c r="K1306" i="2"/>
  <c r="K1307" i="2"/>
  <c r="K1308" i="2"/>
  <c r="K1309" i="2"/>
  <c r="K1316" i="2"/>
  <c r="K1317" i="2"/>
  <c r="K1320" i="2"/>
  <c r="K1322" i="2"/>
  <c r="K1323" i="2"/>
  <c r="K1324" i="2"/>
  <c r="K1325" i="2"/>
  <c r="K1331" i="2"/>
  <c r="K1332" i="2"/>
  <c r="K1333" i="2"/>
  <c r="K1336" i="2"/>
  <c r="K1337" i="2"/>
  <c r="K1339" i="2"/>
  <c r="K1340" i="2"/>
  <c r="K1347" i="2"/>
  <c r="K1349" i="2"/>
  <c r="K1352" i="2"/>
  <c r="K1356" i="2"/>
  <c r="K1357" i="2"/>
  <c r="K1363" i="2"/>
  <c r="K1364" i="2"/>
  <c r="K1365" i="2"/>
  <c r="K1368" i="2"/>
  <c r="K1371" i="2"/>
  <c r="K1372" i="2"/>
  <c r="K1373" i="2"/>
  <c r="K1381" i="2"/>
  <c r="K1384" i="2"/>
  <c r="K1387" i="2"/>
  <c r="K1388" i="2"/>
  <c r="K1395" i="2"/>
  <c r="K1396" i="2"/>
  <c r="K1397" i="2"/>
  <c r="K1400" i="2"/>
  <c r="K1403" i="2"/>
  <c r="K1404" i="2"/>
  <c r="K1411" i="2"/>
  <c r="K1412" i="2"/>
  <c r="K1413" i="2"/>
  <c r="K1416" i="2"/>
  <c r="K1420" i="2"/>
  <c r="K1422" i="2"/>
  <c r="K1427" i="2"/>
  <c r="K1428" i="2"/>
  <c r="K1429" i="2"/>
  <c r="K1435" i="2"/>
  <c r="K1438" i="2"/>
  <c r="K1439" i="2"/>
  <c r="K1444" i="2"/>
  <c r="K1445" i="2"/>
  <c r="K1448" i="2"/>
  <c r="K1451" i="2"/>
  <c r="K1452" i="2"/>
  <c r="K1455" i="2"/>
  <c r="K1459" i="2"/>
  <c r="K1460" i="2"/>
  <c r="K1467" i="2"/>
  <c r="K1468" i="2"/>
  <c r="K1475" i="2"/>
  <c r="K1476" i="2"/>
  <c r="K1477" i="2"/>
  <c r="K1480" i="2"/>
  <c r="K1491" i="2"/>
  <c r="K1492" i="2"/>
  <c r="K1493" i="2"/>
  <c r="K1496" i="2"/>
  <c r="K1497" i="2"/>
  <c r="K1498" i="2"/>
  <c r="K1499" i="2"/>
  <c r="K1507" i="2"/>
  <c r="K1508" i="2"/>
  <c r="K1512" i="2"/>
  <c r="K1515" i="2"/>
  <c r="K1516" i="2"/>
  <c r="K1523" i="2"/>
  <c r="K1528" i="2"/>
  <c r="K1532" i="2"/>
  <c r="K1539" i="2"/>
  <c r="K1540" i="2"/>
  <c r="K1545" i="2"/>
  <c r="K1557" i="2"/>
  <c r="K1560" i="2"/>
  <c r="K1563" i="2"/>
  <c r="K1571" i="2"/>
  <c r="K1572" i="2"/>
  <c r="K1573" i="2"/>
  <c r="K1576" i="2"/>
  <c r="K1580" i="2"/>
  <c r="K1587" i="2"/>
  <c r="K1589" i="2"/>
  <c r="K1592" i="2"/>
  <c r="K1594" i="2"/>
  <c r="K1595" i="2"/>
  <c r="K1596" i="2"/>
  <c r="K1608" i="2"/>
  <c r="K1611" i="2"/>
  <c r="K1612" i="2"/>
  <c r="K1619" i="2"/>
  <c r="K1620" i="2"/>
  <c r="K1621" i="2"/>
  <c r="K1624" i="2"/>
  <c r="K1636" i="2"/>
  <c r="K1637" i="2"/>
  <c r="K1643" i="2"/>
  <c r="K1651" i="2"/>
  <c r="K1654" i="2"/>
  <c r="K1656" i="2"/>
  <c r="K1667" i="2"/>
  <c r="K1668" i="2"/>
  <c r="K1669" i="2"/>
  <c r="K1675" i="2"/>
  <c r="K1684" i="2"/>
  <c r="K1687" i="2"/>
  <c r="K1701" i="2"/>
  <c r="K1704" i="2"/>
  <c r="K1717" i="2"/>
  <c r="K1720" i="2"/>
  <c r="K1721" i="2"/>
  <c r="K1723" i="2"/>
  <c r="K1736" i="2"/>
  <c r="K1749" i="2"/>
  <c r="K1755" i="2"/>
  <c r="K1756" i="2"/>
  <c r="K1757" i="2"/>
  <c r="K1779" i="2"/>
  <c r="K1780" i="2"/>
  <c r="K1781" i="2"/>
  <c r="K1784" i="2"/>
  <c r="K1787" i="2"/>
  <c r="K1788" i="2"/>
  <c r="K1801" i="2"/>
  <c r="K1803" i="2"/>
  <c r="K1813" i="2"/>
  <c r="K1819" i="2"/>
  <c r="K1843" i="2"/>
  <c r="K1844" i="2"/>
  <c r="K1845" i="2"/>
  <c r="K1860" i="2"/>
  <c r="K1861" i="2"/>
  <c r="K1891" i="2"/>
  <c r="K1899" i="2"/>
  <c r="K1909" i="2"/>
  <c r="K1947" i="2"/>
  <c r="K1973" i="2"/>
  <c r="K1538" i="2" l="1"/>
  <c r="K1458" i="2"/>
  <c r="K1266" i="2"/>
  <c r="K962" i="2"/>
  <c r="K530" i="2"/>
  <c r="K1713" i="2"/>
  <c r="K1569" i="2"/>
  <c r="K1409" i="2"/>
  <c r="K1361" i="2"/>
  <c r="K1345" i="2"/>
  <c r="K1329" i="2"/>
  <c r="K1297" i="2"/>
  <c r="K1281" i="2"/>
  <c r="K1265" i="2"/>
  <c r="K1233" i="2"/>
  <c r="K1201" i="2"/>
  <c r="K1185" i="2"/>
  <c r="K1153" i="2"/>
  <c r="K1137" i="2"/>
  <c r="K1105" i="2"/>
  <c r="K1073" i="2"/>
  <c r="K1057" i="2"/>
  <c r="K1041" i="2"/>
  <c r="K1025" i="2"/>
  <c r="K977" i="2"/>
  <c r="K945" i="2"/>
  <c r="K929" i="2"/>
  <c r="K897" i="2"/>
  <c r="K881" i="2"/>
  <c r="K833" i="2"/>
  <c r="K785" i="2"/>
  <c r="K737" i="2"/>
  <c r="K705" i="2"/>
  <c r="K689" i="2"/>
  <c r="K641" i="2"/>
  <c r="K593" i="2"/>
  <c r="K545" i="2"/>
  <c r="K529" i="2"/>
  <c r="K497" i="2"/>
  <c r="K481" i="2"/>
  <c r="K449" i="2"/>
  <c r="K433" i="2"/>
  <c r="K417" i="2"/>
  <c r="K385" i="2"/>
  <c r="K369" i="2"/>
  <c r="K353" i="2"/>
  <c r="K305" i="2"/>
  <c r="K257" i="2"/>
  <c r="K241" i="2"/>
  <c r="K193" i="2"/>
  <c r="K145" i="2"/>
  <c r="K129" i="2"/>
  <c r="K81" i="2"/>
  <c r="K65" i="2"/>
  <c r="K17" i="2"/>
  <c r="K1863" i="2"/>
  <c r="K1847" i="2"/>
  <c r="K1831" i="2"/>
  <c r="K1815" i="2"/>
  <c r="K1799" i="2"/>
  <c r="K1783" i="2"/>
  <c r="K1767" i="2"/>
  <c r="K1735" i="2"/>
  <c r="K1719" i="2"/>
  <c r="K1703" i="2"/>
  <c r="K1671" i="2"/>
  <c r="K1938" i="2"/>
  <c r="K1826" i="2"/>
  <c r="K674" i="2"/>
  <c r="K1655" i="2"/>
  <c r="K1639" i="2"/>
  <c r="K1623" i="2"/>
  <c r="K1607" i="2"/>
  <c r="K1591" i="2"/>
  <c r="K1575" i="2"/>
  <c r="K1559" i="2"/>
  <c r="K1543" i="2"/>
  <c r="K1527" i="2"/>
  <c r="K1511" i="2"/>
  <c r="K1495" i="2"/>
  <c r="K1479" i="2"/>
  <c r="K1463" i="2"/>
  <c r="K1447" i="2"/>
  <c r="K1431" i="2"/>
  <c r="K1415" i="2"/>
  <c r="K1399" i="2"/>
  <c r="K1383" i="2"/>
  <c r="K1367" i="2"/>
  <c r="K1351" i="2"/>
  <c r="K1335" i="2"/>
  <c r="K1319" i="2"/>
  <c r="K1303" i="2"/>
  <c r="K1287" i="2"/>
  <c r="K1271" i="2"/>
  <c r="K1255" i="2"/>
  <c r="K1239" i="2"/>
  <c r="K1223" i="2"/>
  <c r="K1207" i="2"/>
  <c r="K1191" i="2"/>
  <c r="K1159" i="2"/>
  <c r="K1143" i="2"/>
  <c r="K1127" i="2"/>
  <c r="K1111" i="2"/>
  <c r="K1095" i="2"/>
  <c r="K1079" i="2"/>
  <c r="K1063" i="2"/>
  <c r="K1047" i="2"/>
  <c r="K1031" i="2"/>
  <c r="K1015" i="2"/>
  <c r="K999" i="2"/>
  <c r="K983" i="2"/>
  <c r="K967" i="2"/>
  <c r="K951" i="2"/>
  <c r="K935" i="2"/>
  <c r="K919" i="2"/>
  <c r="K903" i="2"/>
  <c r="K887" i="2"/>
  <c r="K871" i="2"/>
  <c r="K855" i="2"/>
  <c r="K839" i="2"/>
  <c r="K823" i="2"/>
  <c r="K807" i="2"/>
  <c r="K791" i="2"/>
  <c r="K775" i="2"/>
  <c r="K759" i="2"/>
  <c r="K743" i="2"/>
  <c r="K727" i="2"/>
  <c r="K711" i="2"/>
  <c r="K695" i="2"/>
  <c r="K679" i="2"/>
  <c r="K663" i="2"/>
  <c r="K647" i="2"/>
  <c r="K631" i="2"/>
  <c r="K615" i="2"/>
  <c r="K599" i="2"/>
  <c r="K583" i="2"/>
  <c r="K567" i="2"/>
  <c r="K535" i="2"/>
  <c r="K519" i="2"/>
  <c r="K503" i="2"/>
  <c r="K455" i="2"/>
  <c r="K439" i="2"/>
  <c r="K423" i="2"/>
  <c r="K407" i="2"/>
  <c r="K359" i="2"/>
  <c r="K327" i="2"/>
  <c r="K295" i="2"/>
  <c r="K279" i="2"/>
  <c r="K231" i="2"/>
  <c r="K215" i="2"/>
  <c r="K151" i="2"/>
  <c r="K135" i="2"/>
  <c r="K71" i="2"/>
  <c r="K55" i="2"/>
  <c r="K1991" i="2"/>
  <c r="K1975" i="2"/>
  <c r="K1959" i="2"/>
  <c r="K1943" i="2"/>
  <c r="K1927" i="2"/>
  <c r="K1911" i="2"/>
  <c r="K1895" i="2"/>
  <c r="K1879" i="2"/>
  <c r="K1986" i="2"/>
  <c r="K1954" i="2"/>
  <c r="K1922" i="2"/>
  <c r="K1890" i="2"/>
  <c r="K1874" i="2"/>
  <c r="K1858" i="2"/>
  <c r="K1842" i="2"/>
  <c r="K1810" i="2"/>
  <c r="K1794" i="2"/>
  <c r="K1778" i="2"/>
  <c r="K1762" i="2"/>
  <c r="K1746" i="2"/>
  <c r="K1730" i="2"/>
  <c r="K1714" i="2"/>
  <c r="K1698" i="2"/>
  <c r="K1682" i="2"/>
  <c r="K1666" i="2"/>
  <c r="K1650" i="2"/>
  <c r="K1634" i="2"/>
  <c r="K1618" i="2"/>
  <c r="K1602" i="2"/>
  <c r="K1586" i="2"/>
  <c r="K1570" i="2"/>
  <c r="K1554" i="2"/>
  <c r="K1522" i="2"/>
  <c r="K1506" i="2"/>
  <c r="K1490" i="2"/>
  <c r="K1474" i="2"/>
  <c r="K1442" i="2"/>
  <c r="K1426" i="2"/>
  <c r="K1951" i="2"/>
  <c r="K1950" i="2"/>
  <c r="K1981" i="2"/>
  <c r="K1949" i="2"/>
  <c r="K1917" i="2"/>
  <c r="K1773" i="2"/>
  <c r="K1980" i="2"/>
  <c r="K1948" i="2"/>
  <c r="K1932" i="2"/>
  <c r="K1916" i="2"/>
  <c r="K1900" i="2"/>
  <c r="K1884" i="2"/>
  <c r="K1836" i="2"/>
  <c r="K1804" i="2"/>
  <c r="K1708" i="2"/>
  <c r="K1644" i="2"/>
  <c r="K1564" i="2"/>
  <c r="K1834" i="2"/>
  <c r="K1751" i="2"/>
  <c r="K1814" i="2"/>
  <c r="K1685" i="2"/>
  <c r="K1859" i="2"/>
  <c r="K1795" i="2"/>
  <c r="K1731" i="2"/>
  <c r="K1292" i="2"/>
  <c r="K3" i="2"/>
  <c r="K1410" i="2"/>
  <c r="K1394" i="2"/>
  <c r="K1378" i="2"/>
  <c r="K1362" i="2"/>
  <c r="K1346" i="2"/>
  <c r="K1330" i="2"/>
  <c r="K1314" i="2"/>
  <c r="K1298" i="2"/>
  <c r="K1282" i="2"/>
  <c r="K1250" i="2"/>
  <c r="K1234" i="2"/>
  <c r="K1218" i="2"/>
  <c r="K1202" i="2"/>
  <c r="K1186" i="2"/>
  <c r="K1170" i="2"/>
  <c r="K1154" i="2"/>
  <c r="K1138" i="2"/>
  <c r="K1122" i="2"/>
  <c r="K1106" i="2"/>
  <c r="K1090" i="2"/>
  <c r="K1074" i="2"/>
  <c r="K1058" i="2"/>
  <c r="K1042" i="2"/>
  <c r="K1026" i="2"/>
  <c r="K1010" i="2"/>
  <c r="K994" i="2"/>
  <c r="K978" i="2"/>
  <c r="K946" i="2"/>
  <c r="K930" i="2"/>
  <c r="K914" i="2"/>
  <c r="K898" i="2"/>
  <c r="K882" i="2"/>
  <c r="K866" i="2"/>
  <c r="K850" i="2"/>
  <c r="K834" i="2"/>
  <c r="K818" i="2"/>
  <c r="K802" i="2"/>
  <c r="K786" i="2"/>
  <c r="K770" i="2"/>
  <c r="K754" i="2"/>
  <c r="K738" i="2"/>
  <c r="K722" i="2"/>
  <c r="K706" i="2"/>
  <c r="K690" i="2"/>
  <c r="K658" i="2"/>
  <c r="K642" i="2"/>
  <c r="K626" i="2"/>
  <c r="K610" i="2"/>
  <c r="K594" i="2"/>
  <c r="K578" i="2"/>
  <c r="K562" i="2"/>
  <c r="K546" i="2"/>
  <c r="K514" i="2"/>
  <c r="K498" i="2"/>
  <c r="K482" i="2"/>
  <c r="K466" i="2"/>
  <c r="K450" i="2"/>
  <c r="K434" i="2"/>
  <c r="K418" i="2"/>
  <c r="K402" i="2"/>
  <c r="K386" i="2"/>
  <c r="K370" i="2"/>
  <c r="K354" i="2"/>
  <c r="K338" i="2"/>
  <c r="K322" i="2"/>
  <c r="K306" i="2"/>
  <c r="K290" i="2"/>
  <c r="K274" i="2"/>
  <c r="K258" i="2"/>
  <c r="K242" i="2"/>
  <c r="K226" i="2"/>
  <c r="K210" i="2"/>
  <c r="K194" i="2"/>
  <c r="K178" i="2"/>
  <c r="K162" i="2"/>
  <c r="K146" i="2"/>
  <c r="K130" i="2"/>
  <c r="K114" i="2"/>
  <c r="K98" i="2"/>
  <c r="K82" i="2"/>
  <c r="K66" i="2"/>
  <c r="K50" i="2"/>
  <c r="K34" i="2"/>
  <c r="K18" i="2"/>
  <c r="K2000" i="2"/>
  <c r="K1984" i="2"/>
  <c r="K1968" i="2"/>
  <c r="K1996" i="2"/>
  <c r="K1992" i="2"/>
  <c r="K1960" i="2"/>
  <c r="K1944" i="2"/>
  <c r="K1928" i="2"/>
  <c r="K1912" i="2"/>
  <c r="K1896" i="2"/>
  <c r="K1880" i="2"/>
  <c r="K1864" i="2"/>
  <c r="K1848" i="2"/>
  <c r="K1832" i="2"/>
  <c r="K1816" i="2"/>
  <c r="K1800" i="2"/>
  <c r="K1768" i="2"/>
  <c r="K1688" i="2"/>
  <c r="K1672" i="2"/>
  <c r="K1640" i="2"/>
  <c r="K1989" i="2"/>
  <c r="K1987" i="2"/>
  <c r="K1970" i="2"/>
  <c r="K1906" i="2"/>
  <c r="E26" i="41"/>
  <c r="D26" i="41"/>
  <c r="C26" i="41"/>
  <c r="E25" i="41"/>
  <c r="D25" i="41"/>
  <c r="C25" i="41"/>
  <c r="E24" i="41"/>
  <c r="D24" i="41"/>
  <c r="C24" i="41"/>
  <c r="E23" i="41"/>
  <c r="D23" i="41"/>
  <c r="C23" i="41"/>
  <c r="E22" i="41"/>
  <c r="D22" i="41"/>
  <c r="C22" i="41"/>
  <c r="E21" i="41"/>
  <c r="D21" i="41"/>
  <c r="C21" i="41"/>
  <c r="E20" i="41"/>
  <c r="D20" i="41"/>
  <c r="C20" i="41"/>
  <c r="E19" i="41"/>
  <c r="D19" i="41"/>
  <c r="C19" i="41"/>
  <c r="E18" i="41"/>
  <c r="D18" i="41"/>
  <c r="C18" i="41"/>
  <c r="E17" i="41"/>
  <c r="D17" i="41"/>
  <c r="C17" i="41"/>
  <c r="E16" i="41"/>
  <c r="D16" i="41"/>
  <c r="C16" i="41"/>
  <c r="E15" i="41"/>
  <c r="D15" i="41"/>
  <c r="C15" i="41"/>
  <c r="E14" i="41"/>
  <c r="D14" i="41"/>
  <c r="C14" i="41"/>
  <c r="E13" i="41"/>
  <c r="D13" i="41"/>
  <c r="C13" i="41"/>
  <c r="E12" i="41"/>
  <c r="D12" i="41"/>
  <c r="C12" i="41"/>
  <c r="E11" i="41"/>
  <c r="D11" i="41"/>
  <c r="C11" i="41"/>
  <c r="E10" i="41"/>
  <c r="D10" i="41"/>
  <c r="C10" i="41"/>
  <c r="E9" i="41"/>
  <c r="D9" i="41"/>
  <c r="C9" i="41"/>
  <c r="E8" i="41"/>
  <c r="D8" i="41"/>
  <c r="C8" i="41"/>
  <c r="E7" i="41"/>
  <c r="D7" i="41"/>
  <c r="C7" i="41"/>
  <c r="E6" i="41"/>
  <c r="D6" i="41"/>
  <c r="C6" i="41"/>
  <c r="E5" i="41"/>
  <c r="D5" i="41"/>
  <c r="C5" i="41"/>
  <c r="E4" i="41"/>
  <c r="D4" i="41"/>
  <c r="C4" i="41"/>
  <c r="E3" i="41"/>
  <c r="D3" i="41"/>
  <c r="C3" i="41"/>
  <c r="E2" i="41"/>
  <c r="D2" i="41"/>
  <c r="C2" i="41"/>
  <c r="E26" i="40"/>
  <c r="D26" i="40"/>
  <c r="C26" i="40"/>
  <c r="E25" i="40"/>
  <c r="D25" i="40"/>
  <c r="C25" i="40"/>
  <c r="E24" i="40"/>
  <c r="D24" i="40"/>
  <c r="C24" i="40"/>
  <c r="E23" i="40"/>
  <c r="D23" i="40"/>
  <c r="C23" i="40"/>
  <c r="E22" i="40"/>
  <c r="D22" i="40"/>
  <c r="C22" i="40"/>
  <c r="E21" i="40"/>
  <c r="D21" i="40"/>
  <c r="C21" i="40"/>
  <c r="E20" i="40"/>
  <c r="D20" i="40"/>
  <c r="C20" i="40"/>
  <c r="E19" i="40"/>
  <c r="D19" i="40"/>
  <c r="C19" i="40"/>
  <c r="E18" i="40"/>
  <c r="D18" i="40"/>
  <c r="C18" i="40"/>
  <c r="E17" i="40"/>
  <c r="D17" i="40"/>
  <c r="C17" i="40"/>
  <c r="E16" i="40"/>
  <c r="D16" i="40"/>
  <c r="C16" i="40"/>
  <c r="E15" i="40"/>
  <c r="D15" i="40"/>
  <c r="C15" i="40"/>
  <c r="E14" i="40"/>
  <c r="D14" i="40"/>
  <c r="C14" i="40"/>
  <c r="E13" i="40"/>
  <c r="D13" i="40"/>
  <c r="C13" i="40"/>
  <c r="E12" i="40"/>
  <c r="D12" i="40"/>
  <c r="C12" i="40"/>
  <c r="E11" i="40"/>
  <c r="D11" i="40"/>
  <c r="C11" i="40"/>
  <c r="E10" i="40"/>
  <c r="D10" i="40"/>
  <c r="C10" i="40"/>
  <c r="E9" i="40"/>
  <c r="D9" i="40"/>
  <c r="C9" i="40"/>
  <c r="E8" i="40"/>
  <c r="D8" i="40"/>
  <c r="C8" i="40"/>
  <c r="E7" i="40"/>
  <c r="D7" i="40"/>
  <c r="C7" i="40"/>
  <c r="E6" i="40"/>
  <c r="D6" i="40"/>
  <c r="C6" i="40"/>
  <c r="E5" i="40"/>
  <c r="D5" i="40"/>
  <c r="C5" i="40"/>
  <c r="E4" i="40"/>
  <c r="D4" i="40"/>
  <c r="C4" i="40"/>
  <c r="E3" i="40"/>
  <c r="D3" i="40"/>
  <c r="C3" i="40"/>
  <c r="E2" i="40"/>
  <c r="D2" i="40"/>
  <c r="C2" i="40"/>
  <c r="E26" i="39"/>
  <c r="D26" i="39"/>
  <c r="C26" i="39"/>
  <c r="E25" i="39"/>
  <c r="D25" i="39"/>
  <c r="C25" i="39"/>
  <c r="E24" i="39"/>
  <c r="D24" i="39"/>
  <c r="C24" i="39"/>
  <c r="E23" i="39"/>
  <c r="D23" i="39"/>
  <c r="C23" i="39"/>
  <c r="E22" i="39"/>
  <c r="D22" i="39"/>
  <c r="C22" i="39"/>
  <c r="E21" i="39"/>
  <c r="D21" i="39"/>
  <c r="C21" i="39"/>
  <c r="E20" i="39"/>
  <c r="D20" i="39"/>
  <c r="C20" i="39"/>
  <c r="E19" i="39"/>
  <c r="D19" i="39"/>
  <c r="C19" i="39"/>
  <c r="E18" i="39"/>
  <c r="D18" i="39"/>
  <c r="C18" i="39"/>
  <c r="E17" i="39"/>
  <c r="D17" i="39"/>
  <c r="C17" i="39"/>
  <c r="E16" i="39"/>
  <c r="D16" i="39"/>
  <c r="C16" i="39"/>
  <c r="E15" i="39"/>
  <c r="D15" i="39"/>
  <c r="C15" i="39"/>
  <c r="E14" i="39"/>
  <c r="D14" i="39"/>
  <c r="C14" i="39"/>
  <c r="E13" i="39"/>
  <c r="D13" i="39"/>
  <c r="C13" i="39"/>
  <c r="E12" i="39"/>
  <c r="D12" i="39"/>
  <c r="C12" i="39"/>
  <c r="E11" i="39"/>
  <c r="D11" i="39"/>
  <c r="C11" i="39"/>
  <c r="E10" i="39"/>
  <c r="D10" i="39"/>
  <c r="C10" i="39"/>
  <c r="E9" i="39"/>
  <c r="D9" i="39"/>
  <c r="C9" i="39"/>
  <c r="E8" i="39"/>
  <c r="D8" i="39"/>
  <c r="C8" i="39"/>
  <c r="E7" i="39"/>
  <c r="D7" i="39"/>
  <c r="C7" i="39"/>
  <c r="E6" i="39"/>
  <c r="D6" i="39"/>
  <c r="C6" i="39"/>
  <c r="E5" i="39"/>
  <c r="D5" i="39"/>
  <c r="C5" i="39"/>
  <c r="E4" i="39"/>
  <c r="D4" i="39"/>
  <c r="C4" i="39"/>
  <c r="E3" i="39"/>
  <c r="D3" i="39"/>
  <c r="C3" i="39"/>
  <c r="E2" i="39"/>
  <c r="D2" i="39"/>
  <c r="C2" i="39"/>
  <c r="E26" i="38"/>
  <c r="D26" i="38"/>
  <c r="C26" i="38"/>
  <c r="E25" i="38"/>
  <c r="D25" i="38"/>
  <c r="C25" i="38"/>
  <c r="E24" i="38"/>
  <c r="D24" i="38"/>
  <c r="C24" i="38"/>
  <c r="E23" i="38"/>
  <c r="D23" i="38"/>
  <c r="C23" i="38"/>
  <c r="E22" i="38"/>
  <c r="D22" i="38"/>
  <c r="C22" i="38"/>
  <c r="E21" i="38"/>
  <c r="D21" i="38"/>
  <c r="C21" i="38"/>
  <c r="E20" i="38"/>
  <c r="D20" i="38"/>
  <c r="C20" i="38"/>
  <c r="E19" i="38"/>
  <c r="D19" i="38"/>
  <c r="C19" i="38"/>
  <c r="E18" i="38"/>
  <c r="D18" i="38"/>
  <c r="C18" i="38"/>
  <c r="E17" i="38"/>
  <c r="D17" i="38"/>
  <c r="C17" i="38"/>
  <c r="E16" i="38"/>
  <c r="D16" i="38"/>
  <c r="C16" i="38"/>
  <c r="E15" i="38"/>
  <c r="D15" i="38"/>
  <c r="C15" i="38"/>
  <c r="E14" i="38"/>
  <c r="D14" i="38"/>
  <c r="C14" i="38"/>
  <c r="E13" i="38"/>
  <c r="D13" i="38"/>
  <c r="C13" i="38"/>
  <c r="E12" i="38"/>
  <c r="D12" i="38"/>
  <c r="C12" i="38"/>
  <c r="E11" i="38"/>
  <c r="D11" i="38"/>
  <c r="C11" i="38"/>
  <c r="E10" i="38"/>
  <c r="D10" i="38"/>
  <c r="C10" i="38"/>
  <c r="E9" i="38"/>
  <c r="D9" i="38"/>
  <c r="C9" i="38"/>
  <c r="E8" i="38"/>
  <c r="D8" i="38"/>
  <c r="C8" i="38"/>
  <c r="E7" i="38"/>
  <c r="D7" i="38"/>
  <c r="C7" i="38"/>
  <c r="E6" i="38"/>
  <c r="D6" i="38"/>
  <c r="C6" i="38"/>
  <c r="E5" i="38"/>
  <c r="D5" i="38"/>
  <c r="C5" i="38"/>
  <c r="E4" i="38"/>
  <c r="D4" i="38"/>
  <c r="C4" i="38"/>
  <c r="E3" i="38"/>
  <c r="D3" i="38"/>
  <c r="C3" i="38"/>
  <c r="E2" i="38"/>
  <c r="D2" i="38"/>
  <c r="C2" i="38"/>
  <c r="E26" i="37"/>
  <c r="D26" i="37"/>
  <c r="C26" i="37"/>
  <c r="E25" i="37"/>
  <c r="D25" i="37"/>
  <c r="C25" i="37"/>
  <c r="E24" i="37"/>
  <c r="D24" i="37"/>
  <c r="C24" i="37"/>
  <c r="E23" i="37"/>
  <c r="D23" i="37"/>
  <c r="C23" i="37"/>
  <c r="E22" i="37"/>
  <c r="D22" i="37"/>
  <c r="C22" i="37"/>
  <c r="E21" i="37"/>
  <c r="D21" i="37"/>
  <c r="C21" i="37"/>
  <c r="E20" i="37"/>
  <c r="D20" i="37"/>
  <c r="C20" i="37"/>
  <c r="E19" i="37"/>
  <c r="D19" i="37"/>
  <c r="C19" i="37"/>
  <c r="E18" i="37"/>
  <c r="D18" i="37"/>
  <c r="C18" i="37"/>
  <c r="E17" i="37"/>
  <c r="D17" i="37"/>
  <c r="C17" i="37"/>
  <c r="E16" i="37"/>
  <c r="D16" i="37"/>
  <c r="C16" i="37"/>
  <c r="E15" i="37"/>
  <c r="D15" i="37"/>
  <c r="C15" i="37"/>
  <c r="E14" i="37"/>
  <c r="D14" i="37"/>
  <c r="C14" i="37"/>
  <c r="E13" i="37"/>
  <c r="D13" i="37"/>
  <c r="C13" i="37"/>
  <c r="E12" i="37"/>
  <c r="D12" i="37"/>
  <c r="C12" i="37"/>
  <c r="E11" i="37"/>
  <c r="D11" i="37"/>
  <c r="C11" i="37"/>
  <c r="E10" i="37"/>
  <c r="D10" i="37"/>
  <c r="C10" i="37"/>
  <c r="E9" i="37"/>
  <c r="D9" i="37"/>
  <c r="C9" i="37"/>
  <c r="E8" i="37"/>
  <c r="D8" i="37"/>
  <c r="C8" i="37"/>
  <c r="E7" i="37"/>
  <c r="D7" i="37"/>
  <c r="C7" i="37"/>
  <c r="E6" i="37"/>
  <c r="D6" i="37"/>
  <c r="C6" i="37"/>
  <c r="E5" i="37"/>
  <c r="D5" i="37"/>
  <c r="C5" i="37"/>
  <c r="E4" i="37"/>
  <c r="D4" i="37"/>
  <c r="C4" i="37"/>
  <c r="E3" i="37"/>
  <c r="D3" i="37"/>
  <c r="C3" i="37"/>
  <c r="E2" i="37"/>
  <c r="D2" i="37"/>
  <c r="C2" i="37"/>
  <c r="E26" i="36"/>
  <c r="D26" i="36"/>
  <c r="C26" i="36"/>
  <c r="E25" i="36"/>
  <c r="D25" i="36"/>
  <c r="C25" i="36"/>
  <c r="E24" i="36"/>
  <c r="D24" i="36"/>
  <c r="C24" i="36"/>
  <c r="E23" i="36"/>
  <c r="D23" i="36"/>
  <c r="C23" i="36"/>
  <c r="E22" i="36"/>
  <c r="D22" i="36"/>
  <c r="C22" i="36"/>
  <c r="E21" i="36"/>
  <c r="D21" i="36"/>
  <c r="C21" i="36"/>
  <c r="E20" i="36"/>
  <c r="D20" i="36"/>
  <c r="C20" i="36"/>
  <c r="E19" i="36"/>
  <c r="D19" i="36"/>
  <c r="C19" i="36"/>
  <c r="E18" i="36"/>
  <c r="D18" i="36"/>
  <c r="C18" i="36"/>
  <c r="E17" i="36"/>
  <c r="D17" i="36"/>
  <c r="C17" i="36"/>
  <c r="E16" i="36"/>
  <c r="D16" i="36"/>
  <c r="C16" i="36"/>
  <c r="E15" i="36"/>
  <c r="D15" i="36"/>
  <c r="C15" i="36"/>
  <c r="E14" i="36"/>
  <c r="D14" i="36"/>
  <c r="C14" i="36"/>
  <c r="E13" i="36"/>
  <c r="D13" i="36"/>
  <c r="C13" i="36"/>
  <c r="E12" i="36"/>
  <c r="D12" i="36"/>
  <c r="C12" i="36"/>
  <c r="E11" i="36"/>
  <c r="D11" i="36"/>
  <c r="C11" i="36"/>
  <c r="E10" i="36"/>
  <c r="D10" i="36"/>
  <c r="C10" i="36"/>
  <c r="E9" i="36"/>
  <c r="D9" i="36"/>
  <c r="C9" i="36"/>
  <c r="E8" i="36"/>
  <c r="D8" i="36"/>
  <c r="C8" i="36"/>
  <c r="E7" i="36"/>
  <c r="D7" i="36"/>
  <c r="C7" i="36"/>
  <c r="E6" i="36"/>
  <c r="D6" i="36"/>
  <c r="C6" i="36"/>
  <c r="E5" i="36"/>
  <c r="D5" i="36"/>
  <c r="C5" i="36"/>
  <c r="E4" i="36"/>
  <c r="D4" i="36"/>
  <c r="C4" i="36"/>
  <c r="E3" i="36"/>
  <c r="D3" i="36"/>
  <c r="C3" i="36"/>
  <c r="E2" i="36"/>
  <c r="D2" i="36"/>
  <c r="C2" i="36"/>
  <c r="E26" i="35"/>
  <c r="D26" i="35"/>
  <c r="C26" i="35"/>
  <c r="E25" i="35"/>
  <c r="D25" i="35"/>
  <c r="C25" i="35"/>
  <c r="E24" i="35"/>
  <c r="D24" i="35"/>
  <c r="C24" i="35"/>
  <c r="E23" i="35"/>
  <c r="D23" i="35"/>
  <c r="C23" i="35"/>
  <c r="E22" i="35"/>
  <c r="D22" i="35"/>
  <c r="C22" i="35"/>
  <c r="E21" i="35"/>
  <c r="D21" i="35"/>
  <c r="C21" i="35"/>
  <c r="E20" i="35"/>
  <c r="D20" i="35"/>
  <c r="C20" i="35"/>
  <c r="E19" i="35"/>
  <c r="D19" i="35"/>
  <c r="C19" i="35"/>
  <c r="E18" i="35"/>
  <c r="D18" i="35"/>
  <c r="C18" i="35"/>
  <c r="E17" i="35"/>
  <c r="D17" i="35"/>
  <c r="C17" i="35"/>
  <c r="E16" i="35"/>
  <c r="D16" i="35"/>
  <c r="C16" i="35"/>
  <c r="E15" i="35"/>
  <c r="D15" i="35"/>
  <c r="C15" i="35"/>
  <c r="E14" i="35"/>
  <c r="D14" i="35"/>
  <c r="C14" i="35"/>
  <c r="E13" i="35"/>
  <c r="D13" i="35"/>
  <c r="C13" i="35"/>
  <c r="E12" i="35"/>
  <c r="D12" i="35"/>
  <c r="C12" i="35"/>
  <c r="E11" i="35"/>
  <c r="D11" i="35"/>
  <c r="C11" i="35"/>
  <c r="E10" i="35"/>
  <c r="D10" i="35"/>
  <c r="C10" i="35"/>
  <c r="E9" i="35"/>
  <c r="D9" i="35"/>
  <c r="C9" i="35"/>
  <c r="E8" i="35"/>
  <c r="D8" i="35"/>
  <c r="C8" i="35"/>
  <c r="E7" i="35"/>
  <c r="D7" i="35"/>
  <c r="C7" i="35"/>
  <c r="E6" i="35"/>
  <c r="D6" i="35"/>
  <c r="C6" i="35"/>
  <c r="E5" i="35"/>
  <c r="D5" i="35"/>
  <c r="C5" i="35"/>
  <c r="E4" i="35"/>
  <c r="D4" i="35"/>
  <c r="C4" i="35"/>
  <c r="E3" i="35"/>
  <c r="D3" i="35"/>
  <c r="C3" i="35"/>
  <c r="E2" i="35"/>
  <c r="D2" i="35"/>
  <c r="C2" i="35"/>
  <c r="E26" i="34"/>
  <c r="D26" i="34"/>
  <c r="C26" i="34"/>
  <c r="E25" i="34"/>
  <c r="D25" i="34"/>
  <c r="C25" i="34"/>
  <c r="E24" i="34"/>
  <c r="D24" i="34"/>
  <c r="C24" i="34"/>
  <c r="E23" i="34"/>
  <c r="D23" i="34"/>
  <c r="C23" i="34"/>
  <c r="E22" i="34"/>
  <c r="D22" i="34"/>
  <c r="C22" i="34"/>
  <c r="E21" i="34"/>
  <c r="D21" i="34"/>
  <c r="C21" i="34"/>
  <c r="E20" i="34"/>
  <c r="D20" i="34"/>
  <c r="C20" i="34"/>
  <c r="E19" i="34"/>
  <c r="D19" i="34"/>
  <c r="C19" i="34"/>
  <c r="E18" i="34"/>
  <c r="D18" i="34"/>
  <c r="C18" i="34"/>
  <c r="E17" i="34"/>
  <c r="D17" i="34"/>
  <c r="C17" i="34"/>
  <c r="E16" i="34"/>
  <c r="D16" i="34"/>
  <c r="C16" i="34"/>
  <c r="E15" i="34"/>
  <c r="D15" i="34"/>
  <c r="C15" i="34"/>
  <c r="E14" i="34"/>
  <c r="D14" i="34"/>
  <c r="C14" i="34"/>
  <c r="E13" i="34"/>
  <c r="D13" i="34"/>
  <c r="C13" i="34"/>
  <c r="E12" i="34"/>
  <c r="D12" i="34"/>
  <c r="C12" i="34"/>
  <c r="E11" i="34"/>
  <c r="D11" i="34"/>
  <c r="C11" i="34"/>
  <c r="E10" i="34"/>
  <c r="D10" i="34"/>
  <c r="C10" i="34"/>
  <c r="E9" i="34"/>
  <c r="D9" i="34"/>
  <c r="C9" i="34"/>
  <c r="E8" i="34"/>
  <c r="D8" i="34"/>
  <c r="C8" i="34"/>
  <c r="E7" i="34"/>
  <c r="D7" i="34"/>
  <c r="C7" i="34"/>
  <c r="E6" i="34"/>
  <c r="D6" i="34"/>
  <c r="C6" i="34"/>
  <c r="E5" i="34"/>
  <c r="D5" i="34"/>
  <c r="C5" i="34"/>
  <c r="E4" i="34"/>
  <c r="D4" i="34"/>
  <c r="C4" i="34"/>
  <c r="E3" i="34"/>
  <c r="D3" i="34"/>
  <c r="C3" i="34"/>
  <c r="E2" i="34"/>
  <c r="D2" i="34"/>
  <c r="C2" i="34"/>
  <c r="E26" i="33"/>
  <c r="D26" i="33"/>
  <c r="C26" i="33"/>
  <c r="E25" i="33"/>
  <c r="D25" i="33"/>
  <c r="C25" i="33"/>
  <c r="E24" i="33"/>
  <c r="D24" i="33"/>
  <c r="C24" i="33"/>
  <c r="E23" i="33"/>
  <c r="D23" i="33"/>
  <c r="C23" i="33"/>
  <c r="E22" i="33"/>
  <c r="D22" i="33"/>
  <c r="C22" i="33"/>
  <c r="E21" i="33"/>
  <c r="D21" i="33"/>
  <c r="C21" i="33"/>
  <c r="E20" i="33"/>
  <c r="D20" i="33"/>
  <c r="C20" i="33"/>
  <c r="E19" i="33"/>
  <c r="D19" i="33"/>
  <c r="C19" i="33"/>
  <c r="E18" i="33"/>
  <c r="D18" i="33"/>
  <c r="C18" i="33"/>
  <c r="E17" i="33"/>
  <c r="D17" i="33"/>
  <c r="C17" i="33"/>
  <c r="E16" i="33"/>
  <c r="D16" i="33"/>
  <c r="C16" i="33"/>
  <c r="E15" i="33"/>
  <c r="D15" i="33"/>
  <c r="C15" i="33"/>
  <c r="E14" i="33"/>
  <c r="D14" i="33"/>
  <c r="C14" i="33"/>
  <c r="E13" i="33"/>
  <c r="D13" i="33"/>
  <c r="C13" i="33"/>
  <c r="E12" i="33"/>
  <c r="D12" i="33"/>
  <c r="C12" i="33"/>
  <c r="E11" i="33"/>
  <c r="D11" i="33"/>
  <c r="C11" i="33"/>
  <c r="E10" i="33"/>
  <c r="D10" i="33"/>
  <c r="C10" i="33"/>
  <c r="E9" i="33"/>
  <c r="D9" i="33"/>
  <c r="C9" i="33"/>
  <c r="E8" i="33"/>
  <c r="D8" i="33"/>
  <c r="C8" i="33"/>
  <c r="E7" i="33"/>
  <c r="D7" i="33"/>
  <c r="C7" i="33"/>
  <c r="E6" i="33"/>
  <c r="D6" i="33"/>
  <c r="C6" i="33"/>
  <c r="E5" i="33"/>
  <c r="D5" i="33"/>
  <c r="C5" i="33"/>
  <c r="E4" i="33"/>
  <c r="D4" i="33"/>
  <c r="C4" i="33"/>
  <c r="E3" i="33"/>
  <c r="D3" i="33"/>
  <c r="C3" i="33"/>
  <c r="E2" i="33"/>
  <c r="D2" i="33"/>
  <c r="C2" i="33"/>
  <c r="D26" i="32"/>
  <c r="C26" i="32"/>
  <c r="D25" i="32"/>
  <c r="C25" i="32"/>
  <c r="D24" i="32"/>
  <c r="C24" i="32"/>
  <c r="D23" i="32"/>
  <c r="C23" i="32"/>
  <c r="D22" i="32"/>
  <c r="C22" i="32"/>
  <c r="D21" i="32"/>
  <c r="C21" i="32"/>
  <c r="D20" i="32"/>
  <c r="C20" i="32"/>
  <c r="D19" i="32"/>
  <c r="C19" i="32"/>
  <c r="D18" i="32"/>
  <c r="C18" i="32"/>
  <c r="D17" i="32"/>
  <c r="C17" i="32"/>
  <c r="D16" i="32"/>
  <c r="C16" i="32"/>
  <c r="D15" i="32"/>
  <c r="C15" i="32"/>
  <c r="D14" i="32"/>
  <c r="C14" i="32"/>
  <c r="D13" i="32"/>
  <c r="C13" i="32"/>
  <c r="D12" i="32"/>
  <c r="C12" i="32"/>
  <c r="D11" i="32"/>
  <c r="C11" i="32"/>
  <c r="D10" i="32"/>
  <c r="C10" i="32"/>
  <c r="D9" i="32"/>
  <c r="C9" i="32"/>
  <c r="D8" i="32"/>
  <c r="C8" i="32"/>
  <c r="D7" i="32"/>
  <c r="C7" i="32"/>
  <c r="D6" i="32"/>
  <c r="C6" i="32"/>
  <c r="D5" i="32"/>
  <c r="C5" i="32"/>
  <c r="D4" i="32"/>
  <c r="C4" i="32"/>
  <c r="D3" i="32"/>
  <c r="C3" i="32"/>
  <c r="D2" i="32"/>
  <c r="C2" i="32"/>
  <c r="E2" i="32"/>
  <c r="E4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3" i="32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" i="31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" i="30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" i="29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" i="28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" i="27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" i="25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6" i="21"/>
  <c r="D5" i="21"/>
  <c r="D4" i="21"/>
  <c r="D3" i="21"/>
  <c r="D2" i="21"/>
  <c r="C2" i="21"/>
  <c r="D26" i="31"/>
  <c r="C26" i="31"/>
  <c r="D25" i="31"/>
  <c r="C25" i="31"/>
  <c r="D24" i="31"/>
  <c r="C24" i="31"/>
  <c r="D23" i="31"/>
  <c r="C23" i="31"/>
  <c r="D22" i="31"/>
  <c r="C22" i="31"/>
  <c r="D21" i="31"/>
  <c r="C21" i="31"/>
  <c r="D20" i="31"/>
  <c r="C20" i="31"/>
  <c r="D19" i="31"/>
  <c r="C19" i="31"/>
  <c r="D18" i="31"/>
  <c r="C18" i="31"/>
  <c r="D17" i="31"/>
  <c r="C17" i="31"/>
  <c r="D16" i="31"/>
  <c r="C16" i="31"/>
  <c r="D15" i="31"/>
  <c r="C15" i="31"/>
  <c r="D14" i="31"/>
  <c r="C14" i="31"/>
  <c r="D13" i="31"/>
  <c r="C13" i="31"/>
  <c r="D12" i="31"/>
  <c r="C12" i="31"/>
  <c r="D11" i="31"/>
  <c r="C11" i="31"/>
  <c r="D10" i="31"/>
  <c r="C10" i="31"/>
  <c r="D9" i="31"/>
  <c r="C9" i="31"/>
  <c r="D8" i="31"/>
  <c r="C8" i="31"/>
  <c r="D7" i="31"/>
  <c r="C7" i="31"/>
  <c r="D6" i="31"/>
  <c r="C6" i="31"/>
  <c r="D5" i="31"/>
  <c r="C5" i="31"/>
  <c r="D4" i="31"/>
  <c r="C4" i="31"/>
  <c r="D3" i="31"/>
  <c r="C3" i="31"/>
  <c r="D2" i="31"/>
  <c r="C2" i="31"/>
  <c r="D26" i="30"/>
  <c r="C26" i="30"/>
  <c r="D25" i="30"/>
  <c r="C25" i="30"/>
  <c r="D24" i="30"/>
  <c r="C24" i="30"/>
  <c r="D23" i="30"/>
  <c r="C23" i="30"/>
  <c r="D22" i="30"/>
  <c r="C22" i="30"/>
  <c r="D21" i="30"/>
  <c r="C21" i="30"/>
  <c r="D20" i="30"/>
  <c r="C20" i="30"/>
  <c r="D19" i="30"/>
  <c r="C19" i="30"/>
  <c r="D18" i="30"/>
  <c r="C18" i="30"/>
  <c r="D17" i="30"/>
  <c r="C17" i="30"/>
  <c r="D16" i="30"/>
  <c r="C16" i="30"/>
  <c r="D15" i="30"/>
  <c r="C15" i="30"/>
  <c r="D14" i="30"/>
  <c r="C14" i="30"/>
  <c r="D13" i="30"/>
  <c r="C13" i="30"/>
  <c r="D12" i="30"/>
  <c r="C12" i="30"/>
  <c r="D11" i="30"/>
  <c r="C11" i="30"/>
  <c r="D10" i="30"/>
  <c r="C10" i="30"/>
  <c r="D9" i="30"/>
  <c r="C9" i="30"/>
  <c r="D8" i="30"/>
  <c r="C8" i="30"/>
  <c r="D7" i="30"/>
  <c r="C7" i="30"/>
  <c r="D6" i="30"/>
  <c r="C6" i="30"/>
  <c r="D5" i="30"/>
  <c r="C5" i="30"/>
  <c r="D4" i="30"/>
  <c r="C4" i="30"/>
  <c r="D3" i="30"/>
  <c r="C3" i="30"/>
  <c r="D2" i="30"/>
  <c r="C2" i="30"/>
  <c r="D26" i="29"/>
  <c r="C26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D15" i="29"/>
  <c r="C15" i="29"/>
  <c r="D14" i="29"/>
  <c r="C14" i="29"/>
  <c r="D13" i="29"/>
  <c r="C13" i="29"/>
  <c r="D12" i="29"/>
  <c r="C12" i="29"/>
  <c r="D11" i="29"/>
  <c r="C11" i="29"/>
  <c r="D10" i="29"/>
  <c r="C10" i="29"/>
  <c r="D9" i="29"/>
  <c r="C9" i="29"/>
  <c r="D8" i="29"/>
  <c r="C8" i="29"/>
  <c r="D7" i="29"/>
  <c r="C7" i="29"/>
  <c r="D6" i="29"/>
  <c r="C6" i="29"/>
  <c r="D5" i="29"/>
  <c r="C5" i="29"/>
  <c r="D4" i="29"/>
  <c r="C4" i="29"/>
  <c r="D3" i="29"/>
  <c r="C3" i="29"/>
  <c r="D2" i="29"/>
  <c r="C2" i="29"/>
  <c r="D26" i="28"/>
  <c r="C26" i="28"/>
  <c r="D25" i="28"/>
  <c r="C25" i="28"/>
  <c r="D24" i="28"/>
  <c r="C24" i="28"/>
  <c r="D23" i="28"/>
  <c r="C23" i="28"/>
  <c r="D22" i="28"/>
  <c r="C22" i="28"/>
  <c r="D21" i="28"/>
  <c r="C21" i="28"/>
  <c r="D20" i="28"/>
  <c r="C20" i="28"/>
  <c r="D19" i="28"/>
  <c r="C19" i="28"/>
  <c r="D18" i="28"/>
  <c r="C18" i="28"/>
  <c r="D17" i="28"/>
  <c r="C17" i="28"/>
  <c r="D16" i="28"/>
  <c r="C16" i="28"/>
  <c r="D15" i="28"/>
  <c r="C15" i="28"/>
  <c r="D14" i="28"/>
  <c r="C14" i="28"/>
  <c r="D13" i="28"/>
  <c r="C13" i="28"/>
  <c r="D12" i="28"/>
  <c r="C12" i="28"/>
  <c r="D11" i="28"/>
  <c r="C11" i="28"/>
  <c r="D10" i="28"/>
  <c r="C10" i="28"/>
  <c r="D9" i="28"/>
  <c r="C9" i="28"/>
  <c r="D8" i="28"/>
  <c r="C8" i="28"/>
  <c r="D7" i="28"/>
  <c r="C7" i="28"/>
  <c r="D6" i="28"/>
  <c r="C6" i="28"/>
  <c r="D5" i="28"/>
  <c r="C5" i="28"/>
  <c r="D4" i="28"/>
  <c r="C4" i="28"/>
  <c r="D3" i="28"/>
  <c r="C3" i="28"/>
  <c r="D2" i="28"/>
  <c r="C2" i="28"/>
  <c r="D26" i="27"/>
  <c r="C26" i="27"/>
  <c r="D25" i="27"/>
  <c r="C25" i="27"/>
  <c r="D24" i="27"/>
  <c r="C24" i="27"/>
  <c r="D23" i="27"/>
  <c r="C23" i="27"/>
  <c r="D22" i="27"/>
  <c r="C22" i="27"/>
  <c r="D21" i="27"/>
  <c r="C21" i="27"/>
  <c r="D20" i="27"/>
  <c r="C20" i="27"/>
  <c r="D19" i="27"/>
  <c r="C19" i="27"/>
  <c r="D18" i="27"/>
  <c r="C18" i="27"/>
  <c r="D17" i="27"/>
  <c r="C17" i="27"/>
  <c r="D16" i="27"/>
  <c r="C16" i="27"/>
  <c r="D15" i="27"/>
  <c r="C15" i="27"/>
  <c r="D14" i="27"/>
  <c r="C14" i="27"/>
  <c r="D13" i="27"/>
  <c r="C13" i="27"/>
  <c r="D12" i="27"/>
  <c r="C12" i="27"/>
  <c r="D11" i="27"/>
  <c r="C11" i="27"/>
  <c r="D10" i="27"/>
  <c r="C10" i="27"/>
  <c r="D9" i="27"/>
  <c r="C9" i="27"/>
  <c r="D8" i="27"/>
  <c r="C8" i="27"/>
  <c r="D7" i="27"/>
  <c r="C7" i="27"/>
  <c r="D6" i="27"/>
  <c r="C6" i="27"/>
  <c r="D5" i="27"/>
  <c r="C5" i="27"/>
  <c r="D4" i="27"/>
  <c r="C4" i="27"/>
  <c r="D3" i="27"/>
  <c r="C3" i="27"/>
  <c r="D2" i="27"/>
  <c r="C2" i="27"/>
  <c r="D26" i="26"/>
  <c r="C26" i="26"/>
  <c r="D25" i="26"/>
  <c r="C25" i="26"/>
  <c r="D24" i="26"/>
  <c r="C24" i="26"/>
  <c r="D23" i="26"/>
  <c r="C23" i="26"/>
  <c r="D22" i="26"/>
  <c r="C22" i="26"/>
  <c r="D21" i="26"/>
  <c r="C21" i="26"/>
  <c r="D20" i="26"/>
  <c r="C20" i="26"/>
  <c r="D19" i="26"/>
  <c r="C19" i="26"/>
  <c r="D18" i="26"/>
  <c r="C18" i="26"/>
  <c r="D17" i="26"/>
  <c r="C17" i="26"/>
  <c r="D16" i="26"/>
  <c r="C16" i="26"/>
  <c r="D15" i="26"/>
  <c r="C15" i="26"/>
  <c r="D14" i="26"/>
  <c r="C14" i="26"/>
  <c r="D13" i="26"/>
  <c r="C13" i="26"/>
  <c r="D12" i="26"/>
  <c r="C12" i="26"/>
  <c r="D11" i="26"/>
  <c r="C11" i="26"/>
  <c r="D10" i="26"/>
  <c r="C10" i="26"/>
  <c r="D9" i="26"/>
  <c r="C9" i="26"/>
  <c r="D8" i="26"/>
  <c r="C8" i="26"/>
  <c r="D7" i="26"/>
  <c r="C7" i="26"/>
  <c r="D6" i="26"/>
  <c r="C6" i="26"/>
  <c r="D5" i="26"/>
  <c r="C5" i="26"/>
  <c r="D4" i="26"/>
  <c r="C4" i="26"/>
  <c r="D3" i="26"/>
  <c r="C3" i="26"/>
  <c r="D2" i="26"/>
  <c r="C2" i="26"/>
  <c r="D26" i="25"/>
  <c r="C26" i="25"/>
  <c r="D25" i="25"/>
  <c r="C25" i="25"/>
  <c r="D24" i="25"/>
  <c r="C24" i="25"/>
  <c r="D23" i="25"/>
  <c r="C23" i="25"/>
  <c r="D22" i="25"/>
  <c r="C22" i="25"/>
  <c r="D21" i="25"/>
  <c r="C21" i="25"/>
  <c r="D20" i="25"/>
  <c r="C20" i="25"/>
  <c r="D19" i="25"/>
  <c r="C19" i="25"/>
  <c r="D18" i="25"/>
  <c r="C18" i="25"/>
  <c r="D17" i="25"/>
  <c r="C17" i="25"/>
  <c r="D16" i="25"/>
  <c r="C16" i="25"/>
  <c r="D15" i="25"/>
  <c r="C15" i="25"/>
  <c r="D14" i="25"/>
  <c r="C14" i="25"/>
  <c r="D13" i="25"/>
  <c r="C13" i="25"/>
  <c r="D12" i="25"/>
  <c r="C12" i="25"/>
  <c r="D11" i="25"/>
  <c r="C11" i="25"/>
  <c r="D10" i="25"/>
  <c r="C10" i="25"/>
  <c r="D9" i="25"/>
  <c r="C9" i="25"/>
  <c r="D8" i="25"/>
  <c r="C8" i="25"/>
  <c r="D7" i="25"/>
  <c r="C7" i="25"/>
  <c r="D6" i="25"/>
  <c r="C6" i="25"/>
  <c r="D5" i="25"/>
  <c r="C5" i="25"/>
  <c r="D4" i="25"/>
  <c r="C4" i="25"/>
  <c r="D3" i="25"/>
  <c r="C3" i="25"/>
  <c r="D2" i="25"/>
  <c r="C2" i="25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D14" i="24"/>
  <c r="C14" i="24"/>
  <c r="D13" i="24"/>
  <c r="C13" i="24"/>
  <c r="D12" i="24"/>
  <c r="C12" i="24"/>
  <c r="D11" i="24"/>
  <c r="C11" i="24"/>
  <c r="D10" i="24"/>
  <c r="C10" i="24"/>
  <c r="D9" i="24"/>
  <c r="C9" i="24"/>
  <c r="D8" i="24"/>
  <c r="C8" i="24"/>
  <c r="D7" i="24"/>
  <c r="C7" i="24"/>
  <c r="D6" i="24"/>
  <c r="C6" i="24"/>
  <c r="D5" i="24"/>
  <c r="C5" i="24"/>
  <c r="D4" i="24"/>
  <c r="C4" i="24"/>
  <c r="D3" i="24"/>
  <c r="C3" i="24"/>
  <c r="D2" i="24"/>
  <c r="C2" i="24"/>
  <c r="B3" i="21"/>
  <c r="D26" i="22"/>
  <c r="C26" i="22"/>
  <c r="D25" i="22"/>
  <c r="C25" i="22"/>
  <c r="D24" i="22"/>
  <c r="C24" i="22"/>
  <c r="D23" i="22"/>
  <c r="C23" i="22"/>
  <c r="D22" i="22"/>
  <c r="C22" i="22"/>
  <c r="D21" i="22"/>
  <c r="C21" i="22"/>
  <c r="D20" i="22"/>
  <c r="C20" i="22"/>
  <c r="D19" i="22"/>
  <c r="C19" i="22"/>
  <c r="D18" i="22"/>
  <c r="C18" i="22"/>
  <c r="D17" i="22"/>
  <c r="C17" i="22"/>
  <c r="D16" i="22"/>
  <c r="C16" i="22"/>
  <c r="D15" i="22"/>
  <c r="C15" i="22"/>
  <c r="D14" i="22"/>
  <c r="C14" i="22"/>
  <c r="D13" i="22"/>
  <c r="C13" i="22"/>
  <c r="D12" i="22"/>
  <c r="C12" i="22"/>
  <c r="D11" i="22"/>
  <c r="C11" i="22"/>
  <c r="D10" i="22"/>
  <c r="C10" i="22"/>
  <c r="D9" i="22"/>
  <c r="C9" i="22"/>
  <c r="D8" i="22"/>
  <c r="C8" i="22"/>
  <c r="D7" i="22"/>
  <c r="C7" i="22"/>
  <c r="D6" i="22"/>
  <c r="C6" i="22"/>
  <c r="D5" i="22"/>
  <c r="C5" i="22"/>
  <c r="D4" i="22"/>
  <c r="C4" i="22"/>
  <c r="D3" i="22"/>
  <c r="C3" i="22"/>
  <c r="D2" i="22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5" i="21"/>
  <c r="C4" i="21"/>
  <c r="C3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25" i="21"/>
  <c r="B26" i="21"/>
  <c r="B8" i="21"/>
  <c r="B7" i="21"/>
  <c r="B6" i="21"/>
  <c r="B4" i="21"/>
  <c r="D26" i="16"/>
  <c r="D25" i="16"/>
  <c r="C26" i="16"/>
  <c r="C25" i="16"/>
  <c r="B13" i="16"/>
  <c r="B26" i="16"/>
  <c r="B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B24" i="16"/>
  <c r="B23" i="16"/>
  <c r="B22" i="16"/>
  <c r="B21" i="16"/>
  <c r="B20" i="16"/>
  <c r="B19" i="16"/>
  <c r="B18" i="16"/>
  <c r="B17" i="16"/>
  <c r="B16" i="16"/>
  <c r="B15" i="16"/>
  <c r="B14" i="16"/>
  <c r="D12" i="16"/>
  <c r="D11" i="16"/>
  <c r="D10" i="16"/>
  <c r="D9" i="16"/>
  <c r="D8" i="16"/>
  <c r="D7" i="16"/>
  <c r="D6" i="16"/>
  <c r="D5" i="16"/>
  <c r="D4" i="16"/>
  <c r="C12" i="16"/>
  <c r="C11" i="16"/>
  <c r="C10" i="16"/>
  <c r="C9" i="16"/>
  <c r="C8" i="16"/>
  <c r="C7" i="16"/>
  <c r="C6" i="16"/>
  <c r="C5" i="16"/>
  <c r="C4" i="16"/>
  <c r="B12" i="16"/>
  <c r="B11" i="16"/>
  <c r="B10" i="16"/>
  <c r="B9" i="16"/>
  <c r="B8" i="16"/>
  <c r="B7" i="16"/>
  <c r="B6" i="16"/>
  <c r="B5" i="16"/>
  <c r="B4" i="16"/>
  <c r="D3" i="16"/>
  <c r="B3" i="16"/>
  <c r="D15" i="18"/>
  <c r="D3" i="18"/>
  <c r="D16" i="18"/>
  <c r="D4" i="18"/>
  <c r="D28" i="18"/>
  <c r="D27" i="18"/>
  <c r="D26" i="18"/>
  <c r="D14" i="18"/>
  <c r="C19" i="18"/>
  <c r="C18" i="18"/>
  <c r="C17" i="18"/>
  <c r="C5" i="18"/>
  <c r="C28" i="18"/>
  <c r="C16" i="18"/>
  <c r="C27" i="18"/>
  <c r="C15" i="18"/>
  <c r="C26" i="18"/>
  <c r="C14" i="18"/>
  <c r="D25" i="18"/>
  <c r="D24" i="18"/>
  <c r="D23" i="18"/>
  <c r="D22" i="18"/>
  <c r="D21" i="18"/>
  <c r="D20" i="18"/>
  <c r="D19" i="18"/>
  <c r="D18" i="18"/>
  <c r="D17" i="18"/>
  <c r="D6" i="18"/>
  <c r="D5" i="18"/>
  <c r="C25" i="18"/>
  <c r="C13" i="18"/>
  <c r="C23" i="18"/>
  <c r="C24" i="18"/>
  <c r="C12" i="18"/>
  <c r="C22" i="18"/>
  <c r="C10" i="18"/>
  <c r="C21" i="18"/>
  <c r="C9" i="18"/>
  <c r="C20" i="18"/>
  <c r="C8" i="18"/>
  <c r="C7" i="18"/>
  <c r="C6" i="18"/>
  <c r="C4" i="18"/>
  <c r="C3" i="18"/>
  <c r="D13" i="18"/>
  <c r="D12" i="18"/>
  <c r="D11" i="18"/>
  <c r="D10" i="18"/>
  <c r="D9" i="18"/>
  <c r="D8" i="18"/>
  <c r="D7" i="18"/>
  <c r="C11" i="18"/>
  <c r="F16" i="22" l="1"/>
  <c r="G16" i="22" s="1"/>
  <c r="F14" i="39"/>
  <c r="G14" i="39" s="1"/>
  <c r="F7" i="38"/>
  <c r="G7" i="38" s="1"/>
  <c r="F23" i="38"/>
  <c r="G23" i="38" s="1"/>
  <c r="F2" i="38"/>
  <c r="G2" i="38" s="1"/>
  <c r="F25" i="38"/>
  <c r="G25" i="38" s="1"/>
  <c r="F23" i="33"/>
  <c r="G23" i="33" s="1"/>
  <c r="F17" i="22"/>
  <c r="G17" i="22" s="1"/>
  <c r="F25" i="22"/>
  <c r="G25" i="22" s="1"/>
  <c r="F22" i="38"/>
  <c r="G22" i="38" s="1"/>
  <c r="F6" i="41"/>
  <c r="G6" i="41" s="1"/>
  <c r="F22" i="41"/>
  <c r="G22" i="41" s="1"/>
  <c r="F10" i="40"/>
  <c r="G10" i="40" s="1"/>
  <c r="F18" i="38"/>
  <c r="G18" i="38" s="1"/>
  <c r="E6" i="21"/>
  <c r="F6" i="21" s="1"/>
  <c r="F14" i="34"/>
  <c r="G14" i="34" s="1"/>
  <c r="F10" i="41"/>
  <c r="G10" i="41" s="1"/>
  <c r="F24" i="22"/>
  <c r="G24" i="22" s="1"/>
  <c r="F22" i="34"/>
  <c r="G22" i="34" s="1"/>
  <c r="F24" i="39"/>
  <c r="G24" i="39" s="1"/>
  <c r="F18" i="22"/>
  <c r="G18" i="22" s="1"/>
  <c r="F15" i="40"/>
  <c r="G15" i="40" s="1"/>
  <c r="F26" i="40"/>
  <c r="G26" i="40" s="1"/>
  <c r="F13" i="22"/>
  <c r="G13" i="22" s="1"/>
  <c r="F26" i="22"/>
  <c r="G26" i="22" s="1"/>
  <c r="E20" i="21"/>
  <c r="F20" i="21" s="1"/>
  <c r="F24" i="27"/>
  <c r="G24" i="27" s="1"/>
  <c r="F14" i="35"/>
  <c r="G14" i="35" s="1"/>
  <c r="F25" i="37"/>
  <c r="G25" i="37" s="1"/>
  <c r="F18" i="24"/>
  <c r="G18" i="24" s="1"/>
  <c r="F26" i="24"/>
  <c r="G26" i="24" s="1"/>
  <c r="F25" i="25"/>
  <c r="G25" i="25" s="1"/>
  <c r="F17" i="37"/>
  <c r="G17" i="37" s="1"/>
  <c r="F22" i="37"/>
  <c r="G22" i="37" s="1"/>
  <c r="F12" i="34"/>
  <c r="G12" i="34" s="1"/>
  <c r="F17" i="33"/>
  <c r="G17" i="33" s="1"/>
  <c r="F26" i="39"/>
  <c r="G26" i="39" s="1"/>
  <c r="F11" i="40"/>
  <c r="G11" i="40" s="1"/>
  <c r="F22" i="36"/>
  <c r="G22" i="36" s="1"/>
  <c r="F7" i="40"/>
  <c r="G7" i="40" s="1"/>
  <c r="F23" i="40"/>
  <c r="G23" i="40" s="1"/>
  <c r="F18" i="40"/>
  <c r="G18" i="40" s="1"/>
  <c r="F14" i="41"/>
  <c r="G14" i="41" s="1"/>
  <c r="F21" i="34"/>
  <c r="G21" i="34" s="1"/>
  <c r="F26" i="34"/>
  <c r="G26" i="34" s="1"/>
  <c r="F18" i="39"/>
  <c r="G18" i="39" s="1"/>
  <c r="F8" i="25"/>
  <c r="G8" i="25" s="1"/>
  <c r="F16" i="25"/>
  <c r="G16" i="25" s="1"/>
  <c r="F23" i="26"/>
  <c r="G23" i="26" s="1"/>
  <c r="F26" i="31"/>
  <c r="G26" i="31" s="1"/>
  <c r="F21" i="41"/>
  <c r="G21" i="41" s="1"/>
  <c r="F8" i="22"/>
  <c r="G8" i="22" s="1"/>
  <c r="F15" i="22"/>
  <c r="G15" i="22" s="1"/>
  <c r="F20" i="35"/>
  <c r="G20" i="35" s="1"/>
  <c r="F3" i="40"/>
  <c r="G3" i="40" s="1"/>
  <c r="F19" i="40"/>
  <c r="G19" i="40" s="1"/>
  <c r="F26" i="30"/>
  <c r="G26" i="30" s="1"/>
  <c r="F2" i="33"/>
  <c r="G2" i="33" s="1"/>
  <c r="F18" i="33"/>
  <c r="G18" i="33" s="1"/>
  <c r="F9" i="39"/>
  <c r="G9" i="39" s="1"/>
  <c r="F14" i="40"/>
  <c r="G14" i="40" s="1"/>
  <c r="F25" i="40"/>
  <c r="G25" i="40" s="1"/>
  <c r="E17" i="21"/>
  <c r="F17" i="21" s="1"/>
  <c r="F18" i="29"/>
  <c r="G18" i="29" s="1"/>
  <c r="F15" i="35"/>
  <c r="G15" i="35" s="1"/>
  <c r="F13" i="38"/>
  <c r="G13" i="38" s="1"/>
  <c r="F20" i="40"/>
  <c r="G20" i="40" s="1"/>
  <c r="E18" i="21"/>
  <c r="F18" i="21" s="1"/>
  <c r="F21" i="32"/>
  <c r="G21" i="32" s="1"/>
  <c r="F15" i="39"/>
  <c r="G15" i="39" s="1"/>
  <c r="F20" i="39"/>
  <c r="G20" i="39" s="1"/>
  <c r="F26" i="41"/>
  <c r="G26" i="41" s="1"/>
  <c r="F20" i="22"/>
  <c r="G20" i="22" s="1"/>
  <c r="F25" i="33"/>
  <c r="G25" i="33" s="1"/>
  <c r="E5" i="21"/>
  <c r="F5" i="21" s="1"/>
  <c r="F22" i="27"/>
  <c r="G22" i="27" s="1"/>
  <c r="F17" i="31"/>
  <c r="G17" i="31" s="1"/>
  <c r="F21" i="22"/>
  <c r="G21" i="22" s="1"/>
  <c r="F2" i="36"/>
  <c r="G2" i="36" s="1"/>
  <c r="F18" i="36"/>
  <c r="G18" i="36" s="1"/>
  <c r="F23" i="36"/>
  <c r="G23" i="36" s="1"/>
  <c r="F21" i="39"/>
  <c r="G21" i="39" s="1"/>
  <c r="F22" i="22"/>
  <c r="G22" i="22" s="1"/>
  <c r="F16" i="32"/>
  <c r="G16" i="32" s="1"/>
  <c r="F10" i="33"/>
  <c r="G10" i="33" s="1"/>
  <c r="F15" i="33"/>
  <c r="G15" i="33" s="1"/>
  <c r="F26" i="33"/>
  <c r="G26" i="33" s="1"/>
  <c r="F12" i="35"/>
  <c r="G12" i="35" s="1"/>
  <c r="F6" i="39"/>
  <c r="G6" i="39" s="1"/>
  <c r="F17" i="39"/>
  <c r="G17" i="39" s="1"/>
  <c r="F22" i="39"/>
  <c r="G22" i="39" s="1"/>
  <c r="F6" i="40"/>
  <c r="G6" i="40" s="1"/>
  <c r="F17" i="40"/>
  <c r="G17" i="40" s="1"/>
  <c r="F8" i="27"/>
  <c r="G8" i="27" s="1"/>
  <c r="F21" i="38"/>
  <c r="G21" i="38" s="1"/>
  <c r="F26" i="38"/>
  <c r="G26" i="38" s="1"/>
  <c r="F17" i="25"/>
  <c r="G17" i="25" s="1"/>
  <c r="F21" i="30"/>
  <c r="G21" i="30" s="1"/>
  <c r="F5" i="37"/>
  <c r="G5" i="37" s="1"/>
  <c r="F10" i="37"/>
  <c r="G10" i="37" s="1"/>
  <c r="F23" i="39"/>
  <c r="G23" i="39" s="1"/>
  <c r="F2" i="41"/>
  <c r="G2" i="41" s="1"/>
  <c r="F18" i="41"/>
  <c r="G18" i="41" s="1"/>
  <c r="F23" i="41"/>
  <c r="G23" i="41" s="1"/>
  <c r="F26" i="32"/>
  <c r="G26" i="32" s="1"/>
  <c r="F2" i="40"/>
  <c r="G2" i="40" s="1"/>
  <c r="F23" i="22"/>
  <c r="G23" i="22" s="1"/>
  <c r="F21" i="31"/>
  <c r="G21" i="31" s="1"/>
  <c r="F10" i="36"/>
  <c r="G10" i="36" s="1"/>
  <c r="F26" i="36"/>
  <c r="G26" i="36" s="1"/>
  <c r="F14" i="22"/>
  <c r="G14" i="22" s="1"/>
  <c r="F8" i="26"/>
  <c r="G8" i="26" s="1"/>
  <c r="F16" i="26"/>
  <c r="G16" i="26" s="1"/>
  <c r="F24" i="26"/>
  <c r="G24" i="26" s="1"/>
  <c r="F13" i="28"/>
  <c r="G13" i="28" s="1"/>
  <c r="F18" i="30"/>
  <c r="G18" i="30" s="1"/>
  <c r="F24" i="32"/>
  <c r="G24" i="32" s="1"/>
  <c r="F5" i="34"/>
  <c r="G5" i="34" s="1"/>
  <c r="F8" i="34"/>
  <c r="G8" i="34" s="1"/>
  <c r="F13" i="34"/>
  <c r="G13" i="34" s="1"/>
  <c r="F16" i="34"/>
  <c r="G16" i="34" s="1"/>
  <c r="F19" i="34"/>
  <c r="G19" i="34" s="1"/>
  <c r="F24" i="34"/>
  <c r="G24" i="34" s="1"/>
  <c r="F7" i="37"/>
  <c r="G7" i="37" s="1"/>
  <c r="F15" i="37"/>
  <c r="G15" i="37" s="1"/>
  <c r="F18" i="37"/>
  <c r="G18" i="37" s="1"/>
  <c r="F23" i="37"/>
  <c r="G23" i="37" s="1"/>
  <c r="F15" i="38"/>
  <c r="G15" i="38" s="1"/>
  <c r="F8" i="33"/>
  <c r="G8" i="33" s="1"/>
  <c r="F16" i="33"/>
  <c r="G16" i="33" s="1"/>
  <c r="F24" i="33"/>
  <c r="G24" i="33" s="1"/>
  <c r="F6" i="35"/>
  <c r="G6" i="35" s="1"/>
  <c r="F22" i="35"/>
  <c r="G22" i="35" s="1"/>
  <c r="F25" i="35"/>
  <c r="G25" i="35" s="1"/>
  <c r="F15" i="36"/>
  <c r="G15" i="36" s="1"/>
  <c r="F2" i="37"/>
  <c r="F26" i="37"/>
  <c r="G26" i="37" s="1"/>
  <c r="F10" i="38"/>
  <c r="G10" i="38" s="1"/>
  <c r="F4" i="39"/>
  <c r="G4" i="39" s="1"/>
  <c r="F12" i="39"/>
  <c r="G12" i="39" s="1"/>
  <c r="F25" i="39"/>
  <c r="G25" i="39" s="1"/>
  <c r="F5" i="40"/>
  <c r="G5" i="40" s="1"/>
  <c r="F8" i="40"/>
  <c r="G8" i="40" s="1"/>
  <c r="F13" i="40"/>
  <c r="G13" i="40" s="1"/>
  <c r="F16" i="40"/>
  <c r="G16" i="40" s="1"/>
  <c r="F21" i="40"/>
  <c r="G21" i="40" s="1"/>
  <c r="F24" i="40"/>
  <c r="G24" i="40" s="1"/>
  <c r="F4" i="41"/>
  <c r="G4" i="41" s="1"/>
  <c r="F7" i="41"/>
  <c r="G7" i="41" s="1"/>
  <c r="F9" i="41"/>
  <c r="G9" i="41" s="1"/>
  <c r="F12" i="41"/>
  <c r="G12" i="41" s="1"/>
  <c r="F15" i="41"/>
  <c r="G15" i="41" s="1"/>
  <c r="F17" i="41"/>
  <c r="G17" i="41" s="1"/>
  <c r="F20" i="41"/>
  <c r="G20" i="41" s="1"/>
  <c r="F25" i="41"/>
  <c r="G25" i="41" s="1"/>
  <c r="F25" i="29"/>
  <c r="G25" i="29" s="1"/>
  <c r="F22" i="31"/>
  <c r="G22" i="31" s="1"/>
  <c r="F6" i="33"/>
  <c r="G6" i="33" s="1"/>
  <c r="F14" i="33"/>
  <c r="G14" i="33" s="1"/>
  <c r="F22" i="33"/>
  <c r="G22" i="33" s="1"/>
  <c r="F17" i="35"/>
  <c r="G17" i="35" s="1"/>
  <c r="F7" i="39"/>
  <c r="G7" i="39" s="1"/>
  <c r="F4" i="27"/>
  <c r="G4" i="27" s="1"/>
  <c r="F20" i="30"/>
  <c r="G20" i="30" s="1"/>
  <c r="F6" i="32"/>
  <c r="G6" i="32" s="1"/>
  <c r="F14" i="32"/>
  <c r="G14" i="32" s="1"/>
  <c r="F18" i="32"/>
  <c r="G18" i="32" s="1"/>
  <c r="F22" i="32"/>
  <c r="G22" i="32" s="1"/>
  <c r="F4" i="34"/>
  <c r="G4" i="34" s="1"/>
  <c r="F9" i="34"/>
  <c r="G9" i="34" s="1"/>
  <c r="F17" i="34"/>
  <c r="G17" i="34" s="1"/>
  <c r="F25" i="34"/>
  <c r="G25" i="34" s="1"/>
  <c r="F8" i="36"/>
  <c r="G8" i="36" s="1"/>
  <c r="F16" i="36"/>
  <c r="G16" i="36" s="1"/>
  <c r="F24" i="36"/>
  <c r="G24" i="36" s="1"/>
  <c r="F3" i="37"/>
  <c r="G3" i="37" s="1"/>
  <c r="F11" i="37"/>
  <c r="G11" i="37" s="1"/>
  <c r="F19" i="37"/>
  <c r="G19" i="37" s="1"/>
  <c r="F3" i="38"/>
  <c r="G3" i="38" s="1"/>
  <c r="F11" i="38"/>
  <c r="G11" i="38" s="1"/>
  <c r="F9" i="40"/>
  <c r="G9" i="40" s="1"/>
  <c r="F22" i="40"/>
  <c r="G22" i="40" s="1"/>
  <c r="F20" i="33"/>
  <c r="G20" i="33" s="1"/>
  <c r="F18" i="34"/>
  <c r="G18" i="34" s="1"/>
  <c r="F23" i="34"/>
  <c r="G23" i="34" s="1"/>
  <c r="F7" i="35"/>
  <c r="G7" i="35" s="1"/>
  <c r="F10" i="35"/>
  <c r="G10" i="35" s="1"/>
  <c r="F18" i="35"/>
  <c r="G18" i="35" s="1"/>
  <c r="F26" i="35"/>
  <c r="G26" i="35" s="1"/>
  <c r="F4" i="40"/>
  <c r="G4" i="40" s="1"/>
  <c r="F12" i="40"/>
  <c r="G12" i="40" s="1"/>
  <c r="F5" i="41"/>
  <c r="G5" i="41" s="1"/>
  <c r="F8" i="41"/>
  <c r="G8" i="41" s="1"/>
  <c r="F13" i="41"/>
  <c r="G13" i="41" s="1"/>
  <c r="F16" i="41"/>
  <c r="G16" i="41" s="1"/>
  <c r="F24" i="41"/>
  <c r="G24" i="41" s="1"/>
  <c r="F21" i="27"/>
  <c r="G21" i="27" s="1"/>
  <c r="F16" i="28"/>
  <c r="G16" i="28" s="1"/>
  <c r="F24" i="28"/>
  <c r="G24" i="28" s="1"/>
  <c r="F19" i="29"/>
  <c r="G19" i="29" s="1"/>
  <c r="F4" i="31"/>
  <c r="G4" i="31" s="1"/>
  <c r="F8" i="31"/>
  <c r="G8" i="31" s="1"/>
  <c r="F20" i="31"/>
  <c r="G20" i="31" s="1"/>
  <c r="F24" i="31"/>
  <c r="G24" i="31" s="1"/>
  <c r="F7" i="33"/>
  <c r="G7" i="33" s="1"/>
  <c r="F5" i="35"/>
  <c r="G5" i="35" s="1"/>
  <c r="F6" i="36"/>
  <c r="G6" i="36" s="1"/>
  <c r="F14" i="36"/>
  <c r="G14" i="36" s="1"/>
  <c r="F19" i="39"/>
  <c r="G19" i="39" s="1"/>
  <c r="F3" i="41"/>
  <c r="G3" i="41" s="1"/>
  <c r="F11" i="41"/>
  <c r="G11" i="41" s="1"/>
  <c r="F19" i="41"/>
  <c r="G19" i="41" s="1"/>
  <c r="F25" i="32"/>
  <c r="G25" i="32" s="1"/>
  <c r="F15" i="27"/>
  <c r="G15" i="27" s="1"/>
  <c r="F18" i="28"/>
  <c r="G18" i="28" s="1"/>
  <c r="F26" i="28"/>
  <c r="G26" i="28" s="1"/>
  <c r="F23" i="32"/>
  <c r="G23" i="32" s="1"/>
  <c r="F2" i="34"/>
  <c r="F10" i="34"/>
  <c r="G10" i="34" s="1"/>
  <c r="F8" i="35"/>
  <c r="G8" i="35" s="1"/>
  <c r="F13" i="35"/>
  <c r="G13" i="35" s="1"/>
  <c r="F16" i="35"/>
  <c r="G16" i="35" s="1"/>
  <c r="F21" i="35"/>
  <c r="G21" i="35" s="1"/>
  <c r="F24" i="35"/>
  <c r="G24" i="35" s="1"/>
  <c r="F4" i="36"/>
  <c r="G4" i="36" s="1"/>
  <c r="F7" i="36"/>
  <c r="G7" i="36" s="1"/>
  <c r="F9" i="36"/>
  <c r="G9" i="36" s="1"/>
  <c r="F12" i="36"/>
  <c r="G12" i="36" s="1"/>
  <c r="F17" i="36"/>
  <c r="G17" i="36" s="1"/>
  <c r="F20" i="36"/>
  <c r="G20" i="36" s="1"/>
  <c r="F25" i="36"/>
  <c r="G25" i="36" s="1"/>
  <c r="F6" i="38"/>
  <c r="G6" i="38" s="1"/>
  <c r="F14" i="38"/>
  <c r="G14" i="38" s="1"/>
  <c r="F19" i="38"/>
  <c r="G19" i="38" s="1"/>
  <c r="F24" i="38"/>
  <c r="G24" i="38" s="1"/>
  <c r="F8" i="39"/>
  <c r="G8" i="39" s="1"/>
  <c r="F16" i="39"/>
  <c r="G16" i="39" s="1"/>
  <c r="F3" i="35"/>
  <c r="G3" i="35" s="1"/>
  <c r="F11" i="35"/>
  <c r="G11" i="35" s="1"/>
  <c r="F19" i="35"/>
  <c r="G19" i="35" s="1"/>
  <c r="F8" i="37"/>
  <c r="G8" i="37" s="1"/>
  <c r="F13" i="37"/>
  <c r="G13" i="37" s="1"/>
  <c r="F16" i="37"/>
  <c r="G16" i="37" s="1"/>
  <c r="F21" i="37"/>
  <c r="G21" i="37" s="1"/>
  <c r="F24" i="37"/>
  <c r="G24" i="37" s="1"/>
  <c r="F3" i="39"/>
  <c r="G3" i="39" s="1"/>
  <c r="F11" i="39"/>
  <c r="G11" i="39" s="1"/>
  <c r="F19" i="30"/>
  <c r="G19" i="30" s="1"/>
  <c r="F18" i="31"/>
  <c r="G18" i="31" s="1"/>
  <c r="F10" i="32"/>
  <c r="G10" i="32" s="1"/>
  <c r="F16" i="27"/>
  <c r="G16" i="27" s="1"/>
  <c r="F26" i="29"/>
  <c r="G26" i="29" s="1"/>
  <c r="F3" i="34"/>
  <c r="G3" i="34" s="1"/>
  <c r="F6" i="34"/>
  <c r="G6" i="34" s="1"/>
  <c r="F11" i="34"/>
  <c r="G11" i="34" s="1"/>
  <c r="F9" i="35"/>
  <c r="G9" i="35" s="1"/>
  <c r="F6" i="37"/>
  <c r="G6" i="37" s="1"/>
  <c r="F9" i="37"/>
  <c r="G9" i="37" s="1"/>
  <c r="F14" i="37"/>
  <c r="G14" i="37" s="1"/>
  <c r="F4" i="38"/>
  <c r="G4" i="38" s="1"/>
  <c r="F9" i="38"/>
  <c r="G9" i="38" s="1"/>
  <c r="F12" i="38"/>
  <c r="G12" i="38" s="1"/>
  <c r="F17" i="38"/>
  <c r="G17" i="38" s="1"/>
  <c r="F20" i="38"/>
  <c r="G20" i="38" s="1"/>
  <c r="F24" i="30"/>
  <c r="G24" i="30" s="1"/>
  <c r="F11" i="26"/>
  <c r="G11" i="26" s="1"/>
  <c r="F22" i="29"/>
  <c r="G22" i="29" s="1"/>
  <c r="F12" i="31"/>
  <c r="G12" i="31" s="1"/>
  <c r="F20" i="32"/>
  <c r="G20" i="32" s="1"/>
  <c r="F5" i="33"/>
  <c r="G5" i="33" s="1"/>
  <c r="F13" i="33"/>
  <c r="G13" i="33" s="1"/>
  <c r="F21" i="33"/>
  <c r="G21" i="33" s="1"/>
  <c r="F23" i="35"/>
  <c r="G23" i="35" s="1"/>
  <c r="F5" i="36"/>
  <c r="G5" i="36" s="1"/>
  <c r="F13" i="36"/>
  <c r="G13" i="36" s="1"/>
  <c r="F19" i="36"/>
  <c r="G19" i="36" s="1"/>
  <c r="F21" i="36"/>
  <c r="G21" i="36" s="1"/>
  <c r="F12" i="37"/>
  <c r="G12" i="37" s="1"/>
  <c r="F20" i="37"/>
  <c r="G20" i="37" s="1"/>
  <c r="F20" i="26"/>
  <c r="G20" i="26" s="1"/>
  <c r="F3" i="33"/>
  <c r="G3" i="33" s="1"/>
  <c r="F11" i="33"/>
  <c r="G11" i="33" s="1"/>
  <c r="F19" i="33"/>
  <c r="G19" i="33" s="1"/>
  <c r="F4" i="35"/>
  <c r="G4" i="35" s="1"/>
  <c r="F3" i="36"/>
  <c r="G3" i="36" s="1"/>
  <c r="F11" i="36"/>
  <c r="G11" i="36" s="1"/>
  <c r="F4" i="37"/>
  <c r="G4" i="37" s="1"/>
  <c r="F22" i="25"/>
  <c r="G22" i="25" s="1"/>
  <c r="F21" i="24"/>
  <c r="G21" i="24" s="1"/>
  <c r="F16" i="24"/>
  <c r="G16" i="24" s="1"/>
  <c r="F26" i="25"/>
  <c r="G26" i="25" s="1"/>
  <c r="F4" i="33"/>
  <c r="G4" i="33" s="1"/>
  <c r="F9" i="33"/>
  <c r="G9" i="33" s="1"/>
  <c r="F12" i="33"/>
  <c r="G12" i="33" s="1"/>
  <c r="F7" i="34"/>
  <c r="G7" i="34" s="1"/>
  <c r="F15" i="34"/>
  <c r="G15" i="34" s="1"/>
  <c r="F20" i="34"/>
  <c r="G20" i="34" s="1"/>
  <c r="F5" i="38"/>
  <c r="G5" i="38" s="1"/>
  <c r="F8" i="38"/>
  <c r="G8" i="38" s="1"/>
  <c r="F16" i="38"/>
  <c r="G16" i="38" s="1"/>
  <c r="F2" i="39"/>
  <c r="F5" i="39"/>
  <c r="G5" i="39" s="1"/>
  <c r="F10" i="39"/>
  <c r="G10" i="39" s="1"/>
  <c r="F13" i="39"/>
  <c r="G13" i="39" s="1"/>
  <c r="F2" i="35"/>
  <c r="F13" i="32"/>
  <c r="G13" i="32" s="1"/>
  <c r="F3" i="32"/>
  <c r="G3" i="32" s="1"/>
  <c r="F11" i="32"/>
  <c r="G11" i="32" s="1"/>
  <c r="F19" i="32"/>
  <c r="G19" i="32" s="1"/>
  <c r="F4" i="32"/>
  <c r="G4" i="32" s="1"/>
  <c r="F12" i="32"/>
  <c r="G12" i="32" s="1"/>
  <c r="F5" i="32"/>
  <c r="G5" i="32" s="1"/>
  <c r="F13" i="24"/>
  <c r="G13" i="24" s="1"/>
  <c r="F22" i="24"/>
  <c r="G22" i="24" s="1"/>
  <c r="F10" i="31"/>
  <c r="G10" i="31" s="1"/>
  <c r="F14" i="31"/>
  <c r="G14" i="31" s="1"/>
  <c r="F4" i="30"/>
  <c r="G4" i="30" s="1"/>
  <c r="F12" i="30"/>
  <c r="G12" i="30" s="1"/>
  <c r="F6" i="30"/>
  <c r="G6" i="30" s="1"/>
  <c r="F10" i="29"/>
  <c r="G10" i="29" s="1"/>
  <c r="F19" i="28"/>
  <c r="G19" i="28" s="1"/>
  <c r="F23" i="28"/>
  <c r="G23" i="28" s="1"/>
  <c r="F20" i="28"/>
  <c r="G20" i="28" s="1"/>
  <c r="F22" i="28"/>
  <c r="G22" i="28" s="1"/>
  <c r="F9" i="27"/>
  <c r="G9" i="27" s="1"/>
  <c r="F13" i="27"/>
  <c r="G13" i="27" s="1"/>
  <c r="F17" i="27"/>
  <c r="G17" i="27" s="1"/>
  <c r="F25" i="27"/>
  <c r="G25" i="27" s="1"/>
  <c r="F3" i="27"/>
  <c r="G3" i="27" s="1"/>
  <c r="F5" i="26"/>
  <c r="G5" i="26" s="1"/>
  <c r="F9" i="26"/>
  <c r="G9" i="26" s="1"/>
  <c r="F13" i="26"/>
  <c r="G13" i="26" s="1"/>
  <c r="F12" i="26"/>
  <c r="G12" i="26" s="1"/>
  <c r="F21" i="25"/>
  <c r="G21" i="25" s="1"/>
  <c r="F7" i="22"/>
  <c r="G7" i="22" s="1"/>
  <c r="F19" i="22"/>
  <c r="G19" i="22" s="1"/>
  <c r="F12" i="22"/>
  <c r="G12" i="22" s="1"/>
  <c r="F4" i="22"/>
  <c r="G4" i="22" s="1"/>
  <c r="F5" i="22"/>
  <c r="G5" i="22" s="1"/>
  <c r="F2" i="22"/>
  <c r="F6" i="22"/>
  <c r="G6" i="22" s="1"/>
  <c r="F10" i="22"/>
  <c r="G10" i="22" s="1"/>
  <c r="F3" i="22"/>
  <c r="G3" i="22" s="1"/>
  <c r="F11" i="22"/>
  <c r="G11" i="22" s="1"/>
  <c r="F15" i="32"/>
  <c r="G15" i="32" s="1"/>
  <c r="F7" i="32"/>
  <c r="G7" i="32" s="1"/>
  <c r="F17" i="32"/>
  <c r="G17" i="32" s="1"/>
  <c r="F9" i="32"/>
  <c r="G9" i="32" s="1"/>
  <c r="F8" i="32"/>
  <c r="G8" i="32" s="1"/>
  <c r="F2" i="32"/>
  <c r="F12" i="27"/>
  <c r="G12" i="27" s="1"/>
  <c r="F20" i="27"/>
  <c r="G20" i="27" s="1"/>
  <c r="F21" i="29"/>
  <c r="G21" i="29" s="1"/>
  <c r="F17" i="26"/>
  <c r="G17" i="26" s="1"/>
  <c r="F21" i="26"/>
  <c r="G21" i="26" s="1"/>
  <c r="F25" i="26"/>
  <c r="G25" i="26" s="1"/>
  <c r="F18" i="27"/>
  <c r="G18" i="27" s="1"/>
  <c r="F7" i="24"/>
  <c r="G7" i="24" s="1"/>
  <c r="F11" i="24"/>
  <c r="G11" i="24" s="1"/>
  <c r="F15" i="24"/>
  <c r="G15" i="24" s="1"/>
  <c r="F19" i="24"/>
  <c r="G19" i="24" s="1"/>
  <c r="F23" i="24"/>
  <c r="G23" i="24" s="1"/>
  <c r="F3" i="25"/>
  <c r="G3" i="25" s="1"/>
  <c r="F11" i="25"/>
  <c r="G11" i="25" s="1"/>
  <c r="F19" i="25"/>
  <c r="G19" i="25" s="1"/>
  <c r="F18" i="26"/>
  <c r="G18" i="26" s="1"/>
  <c r="F26" i="26"/>
  <c r="G26" i="26" s="1"/>
  <c r="F5" i="28"/>
  <c r="G5" i="28" s="1"/>
  <c r="F21" i="28"/>
  <c r="G21" i="28" s="1"/>
  <c r="F8" i="24"/>
  <c r="G8" i="24" s="1"/>
  <c r="F12" i="24"/>
  <c r="G12" i="24" s="1"/>
  <c r="F20" i="24"/>
  <c r="G20" i="24" s="1"/>
  <c r="F24" i="24"/>
  <c r="G24" i="24" s="1"/>
  <c r="F4" i="25"/>
  <c r="G4" i="25" s="1"/>
  <c r="F12" i="25"/>
  <c r="G12" i="25" s="1"/>
  <c r="F20" i="25"/>
  <c r="G20" i="25" s="1"/>
  <c r="F24" i="25"/>
  <c r="G24" i="25" s="1"/>
  <c r="F8" i="28"/>
  <c r="G8" i="28" s="1"/>
  <c r="F3" i="29"/>
  <c r="G3" i="29" s="1"/>
  <c r="F7" i="29"/>
  <c r="G7" i="29" s="1"/>
  <c r="F11" i="29"/>
  <c r="G11" i="29" s="1"/>
  <c r="F23" i="29"/>
  <c r="G23" i="29" s="1"/>
  <c r="F10" i="30"/>
  <c r="G10" i="30" s="1"/>
  <c r="F14" i="30"/>
  <c r="G14" i="30" s="1"/>
  <c r="F22" i="30"/>
  <c r="G22" i="30" s="1"/>
  <c r="F3" i="26"/>
  <c r="G3" i="26" s="1"/>
  <c r="F19" i="26"/>
  <c r="G19" i="26" s="1"/>
  <c r="F2" i="27"/>
  <c r="F6" i="27"/>
  <c r="G6" i="27" s="1"/>
  <c r="F10" i="27"/>
  <c r="G10" i="27" s="1"/>
  <c r="F14" i="27"/>
  <c r="G14" i="27" s="1"/>
  <c r="F26" i="27"/>
  <c r="G26" i="27" s="1"/>
  <c r="F9" i="28"/>
  <c r="G9" i="28" s="1"/>
  <c r="F11" i="28"/>
  <c r="G11" i="28" s="1"/>
  <c r="F15" i="28"/>
  <c r="G15" i="28" s="1"/>
  <c r="F4" i="29"/>
  <c r="G4" i="29" s="1"/>
  <c r="F8" i="29"/>
  <c r="G8" i="29" s="1"/>
  <c r="F16" i="29"/>
  <c r="G16" i="29" s="1"/>
  <c r="F24" i="29"/>
  <c r="G24" i="29" s="1"/>
  <c r="F17" i="24"/>
  <c r="G17" i="24" s="1"/>
  <c r="F6" i="24"/>
  <c r="G6" i="24" s="1"/>
  <c r="F10" i="24"/>
  <c r="G10" i="24" s="1"/>
  <c r="F14" i="24"/>
  <c r="G14" i="24" s="1"/>
  <c r="F2" i="25"/>
  <c r="F6" i="25"/>
  <c r="G6" i="25" s="1"/>
  <c r="F10" i="25"/>
  <c r="G10" i="25" s="1"/>
  <c r="F14" i="25"/>
  <c r="G14" i="25" s="1"/>
  <c r="F18" i="25"/>
  <c r="G18" i="25" s="1"/>
  <c r="F19" i="27"/>
  <c r="G19" i="27" s="1"/>
  <c r="F4" i="28"/>
  <c r="G4" i="28" s="1"/>
  <c r="F12" i="28"/>
  <c r="G12" i="28" s="1"/>
  <c r="F9" i="29"/>
  <c r="G9" i="29" s="1"/>
  <c r="F2" i="31"/>
  <c r="F6" i="31"/>
  <c r="G6" i="31" s="1"/>
  <c r="F5" i="25"/>
  <c r="G5" i="25" s="1"/>
  <c r="F13" i="25"/>
  <c r="G13" i="25" s="1"/>
  <c r="F15" i="26"/>
  <c r="G15" i="26" s="1"/>
  <c r="F3" i="28"/>
  <c r="G3" i="28" s="1"/>
  <c r="F7" i="28"/>
  <c r="G7" i="28" s="1"/>
  <c r="F3" i="31"/>
  <c r="G3" i="31" s="1"/>
  <c r="F7" i="31"/>
  <c r="G7" i="31" s="1"/>
  <c r="F11" i="31"/>
  <c r="G11" i="31" s="1"/>
  <c r="F15" i="31"/>
  <c r="G15" i="31" s="1"/>
  <c r="F19" i="31"/>
  <c r="G19" i="31" s="1"/>
  <c r="F23" i="31"/>
  <c r="G23" i="31" s="1"/>
  <c r="F23" i="27"/>
  <c r="G23" i="27" s="1"/>
  <c r="F17" i="29"/>
  <c r="G17" i="29" s="1"/>
  <c r="F3" i="30"/>
  <c r="G3" i="30" s="1"/>
  <c r="F7" i="30"/>
  <c r="G7" i="30" s="1"/>
  <c r="F11" i="30"/>
  <c r="G11" i="30" s="1"/>
  <c r="F15" i="30"/>
  <c r="G15" i="30" s="1"/>
  <c r="F23" i="30"/>
  <c r="G23" i="30" s="1"/>
  <c r="F7" i="27"/>
  <c r="G7" i="27" s="1"/>
  <c r="F9" i="24"/>
  <c r="G9" i="24" s="1"/>
  <c r="F2" i="24"/>
  <c r="F7" i="26"/>
  <c r="G7" i="26" s="1"/>
  <c r="F4" i="26"/>
  <c r="G4" i="26" s="1"/>
  <c r="F25" i="28"/>
  <c r="G25" i="28" s="1"/>
  <c r="F2" i="29"/>
  <c r="F8" i="30"/>
  <c r="G8" i="30" s="1"/>
  <c r="F16" i="30"/>
  <c r="G16" i="30" s="1"/>
  <c r="F25" i="31"/>
  <c r="G25" i="31" s="1"/>
  <c r="F11" i="27"/>
  <c r="G11" i="27" s="1"/>
  <c r="F3" i="24"/>
  <c r="G3" i="24" s="1"/>
  <c r="F23" i="25"/>
  <c r="G23" i="25" s="1"/>
  <c r="F17" i="28"/>
  <c r="G17" i="28" s="1"/>
  <c r="F5" i="29"/>
  <c r="G5" i="29" s="1"/>
  <c r="F15" i="29"/>
  <c r="G15" i="29" s="1"/>
  <c r="F25" i="30"/>
  <c r="G25" i="30" s="1"/>
  <c r="F25" i="24"/>
  <c r="G25" i="24" s="1"/>
  <c r="F9" i="25"/>
  <c r="G9" i="25" s="1"/>
  <c r="F22" i="26"/>
  <c r="G22" i="26" s="1"/>
  <c r="F13" i="29"/>
  <c r="G13" i="29" s="1"/>
  <c r="F16" i="31"/>
  <c r="G16" i="31" s="1"/>
  <c r="F5" i="31"/>
  <c r="G5" i="31" s="1"/>
  <c r="F13" i="31"/>
  <c r="G13" i="31" s="1"/>
  <c r="F4" i="24"/>
  <c r="G4" i="24" s="1"/>
  <c r="F2" i="26"/>
  <c r="F10" i="26"/>
  <c r="G10" i="26" s="1"/>
  <c r="F2" i="28"/>
  <c r="F6" i="28"/>
  <c r="G6" i="28" s="1"/>
  <c r="F10" i="28"/>
  <c r="G10" i="28" s="1"/>
  <c r="F14" i="28"/>
  <c r="G14" i="28" s="1"/>
  <c r="F20" i="29"/>
  <c r="G20" i="29" s="1"/>
  <c r="F5" i="30"/>
  <c r="G5" i="30" s="1"/>
  <c r="F2" i="30"/>
  <c r="F9" i="31"/>
  <c r="G9" i="31" s="1"/>
  <c r="F17" i="30"/>
  <c r="G17" i="30" s="1"/>
  <c r="F13" i="30"/>
  <c r="G13" i="30" s="1"/>
  <c r="F9" i="30"/>
  <c r="G9" i="30" s="1"/>
  <c r="F6" i="29"/>
  <c r="G6" i="29" s="1"/>
  <c r="F12" i="29"/>
  <c r="G12" i="29" s="1"/>
  <c r="F14" i="29"/>
  <c r="G14" i="29" s="1"/>
  <c r="F5" i="27"/>
  <c r="G5" i="27" s="1"/>
  <c r="F14" i="26"/>
  <c r="G14" i="26" s="1"/>
  <c r="F6" i="26"/>
  <c r="G6" i="26" s="1"/>
  <c r="F7" i="25"/>
  <c r="G7" i="25" s="1"/>
  <c r="F15" i="25"/>
  <c r="G15" i="25" s="1"/>
  <c r="F5" i="24"/>
  <c r="G5" i="24" s="1"/>
  <c r="F9" i="22"/>
  <c r="G9" i="22" s="1"/>
  <c r="E13" i="21"/>
  <c r="F13" i="21" s="1"/>
  <c r="E10" i="21"/>
  <c r="F10" i="21" s="1"/>
  <c r="E9" i="21"/>
  <c r="F9" i="21" s="1"/>
  <c r="E2" i="21"/>
  <c r="F27" i="21" s="1"/>
  <c r="E22" i="21"/>
  <c r="F22" i="21" s="1"/>
  <c r="E14" i="21"/>
  <c r="F14" i="21" s="1"/>
  <c r="E12" i="21"/>
  <c r="F12" i="21" s="1"/>
  <c r="E7" i="21"/>
  <c r="F7" i="21" s="1"/>
  <c r="E11" i="21"/>
  <c r="F11" i="21" s="1"/>
  <c r="E19" i="21"/>
  <c r="F19" i="21" s="1"/>
  <c r="E3" i="21"/>
  <c r="F3" i="21" s="1"/>
  <c r="E21" i="21"/>
  <c r="F21" i="21" s="1"/>
  <c r="E23" i="21"/>
  <c r="F23" i="21" s="1"/>
  <c r="E4" i="21"/>
  <c r="F4" i="21" s="1"/>
  <c r="E25" i="21"/>
  <c r="F25" i="21" s="1"/>
  <c r="E8" i="21"/>
  <c r="F8" i="21" s="1"/>
  <c r="E15" i="21"/>
  <c r="F15" i="21" s="1"/>
  <c r="E26" i="21"/>
  <c r="F26" i="21" s="1"/>
  <c r="E24" i="21"/>
  <c r="F24" i="21" s="1"/>
  <c r="E16" i="21"/>
  <c r="F16" i="21" s="1"/>
  <c r="E25" i="16"/>
  <c r="F25" i="16" s="1"/>
  <c r="E14" i="16"/>
  <c r="F14" i="16" s="1"/>
  <c r="E26" i="16"/>
  <c r="F26" i="16" s="1"/>
  <c r="E18" i="16"/>
  <c r="F18" i="16" s="1"/>
  <c r="E3" i="16"/>
  <c r="F3" i="16" s="1"/>
  <c r="E26" i="18"/>
  <c r="E27" i="18"/>
  <c r="E15" i="16"/>
  <c r="F15" i="16" s="1"/>
  <c r="E23" i="16"/>
  <c r="F23" i="16" s="1"/>
  <c r="E2" i="16"/>
  <c r="F2" i="16" s="1"/>
  <c r="E16" i="16"/>
  <c r="F16" i="16" s="1"/>
  <c r="E24" i="16"/>
  <c r="F24" i="16" s="1"/>
  <c r="E17" i="16"/>
  <c r="F17" i="16" s="1"/>
  <c r="E19" i="16"/>
  <c r="F19" i="16" s="1"/>
  <c r="E20" i="16"/>
  <c r="F20" i="16" s="1"/>
  <c r="E13" i="16"/>
  <c r="F13" i="16" s="1"/>
  <c r="E21" i="16"/>
  <c r="F21" i="16" s="1"/>
  <c r="E22" i="16"/>
  <c r="F22" i="16" s="1"/>
  <c r="E8" i="16"/>
  <c r="F8" i="16" s="1"/>
  <c r="E7" i="16"/>
  <c r="F7" i="16" s="1"/>
  <c r="E11" i="16"/>
  <c r="F11" i="16" s="1"/>
  <c r="E4" i="16"/>
  <c r="F4" i="16" s="1"/>
  <c r="E6" i="16"/>
  <c r="F6" i="16" s="1"/>
  <c r="E9" i="16"/>
  <c r="F9" i="16" s="1"/>
  <c r="E10" i="16"/>
  <c r="F10" i="16" s="1"/>
  <c r="E12" i="16"/>
  <c r="F12" i="16" s="1"/>
  <c r="E5" i="16"/>
  <c r="F5" i="16" s="1"/>
  <c r="E21" i="18"/>
  <c r="E10" i="18"/>
  <c r="E17" i="18"/>
  <c r="E22" i="18"/>
  <c r="E20" i="18"/>
  <c r="E11" i="18"/>
  <c r="E12" i="18"/>
  <c r="E7" i="18"/>
  <c r="E23" i="18"/>
  <c r="E8" i="18"/>
  <c r="E4" i="18"/>
  <c r="E24" i="18"/>
  <c r="E13" i="18"/>
  <c r="E25" i="18"/>
  <c r="E9" i="18"/>
  <c r="E19" i="18"/>
  <c r="E18" i="18"/>
  <c r="E16" i="18"/>
  <c r="E15" i="18"/>
  <c r="E14" i="18"/>
  <c r="E6" i="18"/>
  <c r="E5" i="18"/>
  <c r="E3" i="18"/>
  <c r="G2" i="30" l="1"/>
  <c r="F27" i="30"/>
  <c r="G27" i="30" s="1"/>
  <c r="G2" i="31"/>
  <c r="F27" i="31"/>
  <c r="G27" i="31" s="1"/>
  <c r="G2" i="28"/>
  <c r="F27" i="28"/>
  <c r="G27" i="28" s="1"/>
  <c r="G2" i="26"/>
  <c r="F27" i="26"/>
  <c r="G27" i="26" s="1"/>
  <c r="G2" i="29"/>
  <c r="F27" i="29"/>
  <c r="G27" i="29" s="1"/>
  <c r="F2" i="21"/>
  <c r="G27" i="21"/>
  <c r="G2" i="25"/>
  <c r="F27" i="25"/>
  <c r="G27" i="25" s="1"/>
  <c r="G2" i="27"/>
  <c r="F27" i="27"/>
  <c r="G27" i="27" s="1"/>
  <c r="G2" i="22"/>
  <c r="F27" i="22"/>
  <c r="G27" i="22" s="1"/>
  <c r="G2" i="24"/>
  <c r="F27" i="24"/>
  <c r="G27" i="24" s="1"/>
  <c r="G2" i="32"/>
  <c r="F27" i="32"/>
  <c r="G2" i="39"/>
  <c r="F27" i="39"/>
  <c r="G27" i="39" s="1"/>
  <c r="F27" i="33"/>
  <c r="G27" i="33" s="1"/>
  <c r="F27" i="36"/>
  <c r="G27" i="36" s="1"/>
  <c r="G2" i="37"/>
  <c r="F27" i="37"/>
  <c r="G27" i="37" s="1"/>
  <c r="F27" i="40"/>
  <c r="G27" i="40" s="1"/>
  <c r="G2" i="34"/>
  <c r="F27" i="34"/>
  <c r="G27" i="34" s="1"/>
  <c r="F27" i="41"/>
  <c r="G27" i="41" s="1"/>
  <c r="G2" i="35"/>
  <c r="F27" i="35"/>
  <c r="G27" i="35" s="1"/>
  <c r="F27" i="38"/>
  <c r="G27" i="38" s="1"/>
  <c r="J1958" i="2" l="1"/>
  <c r="M1958" i="2" s="1"/>
  <c r="J1945" i="2"/>
  <c r="M1945" i="2" s="1"/>
  <c r="J1836" i="2"/>
  <c r="M1836" i="2" s="1"/>
  <c r="J1792" i="2"/>
  <c r="M1792" i="2" s="1"/>
  <c r="J1129" i="2"/>
  <c r="M1129" i="2" s="1"/>
  <c r="J1083" i="2"/>
  <c r="M1083" i="2" s="1"/>
  <c r="J1961" i="2"/>
  <c r="M1961" i="2" s="1"/>
  <c r="J1837" i="2"/>
  <c r="M1837" i="2" s="1"/>
  <c r="J1268" i="2"/>
  <c r="M1268" i="2" s="1"/>
  <c r="J1957" i="2"/>
  <c r="M1957" i="2" s="1"/>
  <c r="J1808" i="2"/>
  <c r="M1808" i="2" s="1"/>
  <c r="J1104" i="2"/>
  <c r="M1104" i="2" s="1"/>
  <c r="J1942" i="2"/>
  <c r="M1942" i="2" s="1"/>
  <c r="J1791" i="2"/>
  <c r="M1791" i="2" s="1"/>
  <c r="J928" i="2"/>
  <c r="M928" i="2" s="1"/>
  <c r="J1941" i="2"/>
  <c r="M1941" i="2" s="1"/>
  <c r="J1712" i="2"/>
  <c r="M1712" i="2" s="1"/>
  <c r="J897" i="2"/>
  <c r="M897" i="2" s="1"/>
  <c r="J1929" i="2"/>
  <c r="M1929" i="2" s="1"/>
  <c r="J1695" i="2"/>
  <c r="M1695" i="2" s="1"/>
  <c r="J871" i="2"/>
  <c r="M871" i="2" s="1"/>
  <c r="J1926" i="2"/>
  <c r="M1926" i="2" s="1"/>
  <c r="J1680" i="2"/>
  <c r="M1680" i="2" s="1"/>
  <c r="J702" i="2"/>
  <c r="M702" i="2" s="1"/>
  <c r="J1925" i="2"/>
  <c r="M1925" i="2" s="1"/>
  <c r="J1584" i="2"/>
  <c r="M1584" i="2" s="1"/>
  <c r="J671" i="2"/>
  <c r="M671" i="2" s="1"/>
  <c r="J1904" i="2"/>
  <c r="M1904" i="2" s="1"/>
  <c r="J1567" i="2"/>
  <c r="M1567" i="2" s="1"/>
  <c r="J642" i="2"/>
  <c r="M642" i="2" s="1"/>
  <c r="J1993" i="2"/>
  <c r="M1993" i="2" s="1"/>
  <c r="J1901" i="2"/>
  <c r="M1901" i="2" s="1"/>
  <c r="J1552" i="2"/>
  <c r="M1552" i="2" s="1"/>
  <c r="J472" i="2"/>
  <c r="M472" i="2" s="1"/>
  <c r="J1990" i="2"/>
  <c r="M1990" i="2" s="1"/>
  <c r="J1900" i="2"/>
  <c r="M1900" i="2" s="1"/>
  <c r="J1456" i="2"/>
  <c r="M1456" i="2" s="1"/>
  <c r="J443" i="2"/>
  <c r="M443" i="2" s="1"/>
  <c r="J1989" i="2"/>
  <c r="M1989" i="2" s="1"/>
  <c r="J1872" i="2"/>
  <c r="M1872" i="2" s="1"/>
  <c r="J1439" i="2"/>
  <c r="M1439" i="2" s="1"/>
  <c r="J416" i="2"/>
  <c r="M416" i="2" s="1"/>
  <c r="J1977" i="2"/>
  <c r="M1977" i="2" s="1"/>
  <c r="J1869" i="2"/>
  <c r="M1869" i="2" s="1"/>
  <c r="J1424" i="2"/>
  <c r="M1424" i="2" s="1"/>
  <c r="J244" i="2"/>
  <c r="M244" i="2" s="1"/>
  <c r="J1974" i="2"/>
  <c r="M1974" i="2" s="1"/>
  <c r="J1868" i="2"/>
  <c r="M1868" i="2" s="1"/>
  <c r="J1314" i="2"/>
  <c r="M1314" i="2" s="1"/>
  <c r="J215" i="2"/>
  <c r="M215" i="2" s="1"/>
  <c r="J1973" i="2"/>
  <c r="M1973" i="2" s="1"/>
  <c r="J1840" i="2"/>
  <c r="M1840" i="2" s="1"/>
  <c r="J1291" i="2"/>
  <c r="M1291" i="2" s="1"/>
  <c r="J190" i="2"/>
  <c r="M190" i="2" s="1"/>
  <c r="J1992" i="2"/>
  <c r="M1992" i="2" s="1"/>
  <c r="J1976" i="2"/>
  <c r="M1976" i="2" s="1"/>
  <c r="J1960" i="2"/>
  <c r="M1960" i="2" s="1"/>
  <c r="J1944" i="2"/>
  <c r="M1944" i="2" s="1"/>
  <c r="J1928" i="2"/>
  <c r="M1928" i="2" s="1"/>
  <c r="J1903" i="2"/>
  <c r="M1903" i="2" s="1"/>
  <c r="J1871" i="2"/>
  <c r="M1871" i="2" s="1"/>
  <c r="J1839" i="2"/>
  <c r="M1839" i="2" s="1"/>
  <c r="J1807" i="2"/>
  <c r="M1807" i="2" s="1"/>
  <c r="J1711" i="2"/>
  <c r="M1711" i="2" s="1"/>
  <c r="J1583" i="2"/>
  <c r="M1583" i="2" s="1"/>
  <c r="J1455" i="2"/>
  <c r="M1455" i="2" s="1"/>
  <c r="J1313" i="2"/>
  <c r="M1313" i="2" s="1"/>
  <c r="J1128" i="2"/>
  <c r="M1128" i="2" s="1"/>
  <c r="J927" i="2"/>
  <c r="M927" i="2" s="1"/>
  <c r="J699" i="2"/>
  <c r="M699" i="2" s="1"/>
  <c r="J471" i="2"/>
  <c r="M471" i="2" s="1"/>
  <c r="J242" i="2"/>
  <c r="M242" i="2" s="1"/>
  <c r="J1991" i="2"/>
  <c r="M1991" i="2" s="1"/>
  <c r="J1975" i="2"/>
  <c r="M1975" i="2" s="1"/>
  <c r="J1959" i="2"/>
  <c r="M1959" i="2" s="1"/>
  <c r="J1943" i="2"/>
  <c r="M1943" i="2" s="1"/>
  <c r="J1927" i="2"/>
  <c r="M1927" i="2" s="1"/>
  <c r="J1902" i="2"/>
  <c r="M1902" i="2" s="1"/>
  <c r="J1870" i="2"/>
  <c r="M1870" i="2" s="1"/>
  <c r="J1838" i="2"/>
  <c r="M1838" i="2" s="1"/>
  <c r="J1804" i="2"/>
  <c r="M1804" i="2" s="1"/>
  <c r="J1696" i="2"/>
  <c r="M1696" i="2" s="1"/>
  <c r="J1568" i="2"/>
  <c r="M1568" i="2" s="1"/>
  <c r="J1440" i="2"/>
  <c r="M1440" i="2" s="1"/>
  <c r="J1292" i="2"/>
  <c r="M1292" i="2" s="1"/>
  <c r="J1105" i="2"/>
  <c r="M1105" i="2" s="1"/>
  <c r="J898" i="2"/>
  <c r="M898" i="2" s="1"/>
  <c r="J672" i="2"/>
  <c r="M672" i="2" s="1"/>
  <c r="J446" i="2"/>
  <c r="M446" i="2" s="1"/>
  <c r="J216" i="2"/>
  <c r="M216" i="2" s="1"/>
  <c r="J1988" i="2"/>
  <c r="M1988" i="2" s="1"/>
  <c r="J1972" i="2"/>
  <c r="M1972" i="2" s="1"/>
  <c r="J1956" i="2"/>
  <c r="M1956" i="2" s="1"/>
  <c r="J1940" i="2"/>
  <c r="M1940" i="2" s="1"/>
  <c r="J1924" i="2"/>
  <c r="M1924" i="2" s="1"/>
  <c r="J1899" i="2"/>
  <c r="M1899" i="2" s="1"/>
  <c r="J1867" i="2"/>
  <c r="M1867" i="2" s="1"/>
  <c r="J1835" i="2"/>
  <c r="M1835" i="2" s="1"/>
  <c r="J1788" i="2"/>
  <c r="M1788" i="2" s="1"/>
  <c r="J1679" i="2"/>
  <c r="M1679" i="2" s="1"/>
  <c r="J1551" i="2"/>
  <c r="M1551" i="2" s="1"/>
  <c r="J1423" i="2"/>
  <c r="M1423" i="2" s="1"/>
  <c r="J1266" i="2"/>
  <c r="M1266" i="2" s="1"/>
  <c r="J1081" i="2"/>
  <c r="M1081" i="2" s="1"/>
  <c r="J868" i="2"/>
  <c r="M868" i="2" s="1"/>
  <c r="J641" i="2"/>
  <c r="M641" i="2" s="1"/>
  <c r="J415" i="2"/>
  <c r="M415" i="2" s="1"/>
  <c r="J187" i="2"/>
  <c r="M187" i="2" s="1"/>
  <c r="J1987" i="2"/>
  <c r="M1987" i="2" s="1"/>
  <c r="J1971" i="2"/>
  <c r="M1971" i="2" s="1"/>
  <c r="J1955" i="2"/>
  <c r="M1955" i="2" s="1"/>
  <c r="J1939" i="2"/>
  <c r="M1939" i="2" s="1"/>
  <c r="J1923" i="2"/>
  <c r="M1923" i="2" s="1"/>
  <c r="J1898" i="2"/>
  <c r="M1898" i="2" s="1"/>
  <c r="J1866" i="2"/>
  <c r="M1866" i="2" s="1"/>
  <c r="J1834" i="2"/>
  <c r="M1834" i="2" s="1"/>
  <c r="J1776" i="2"/>
  <c r="M1776" i="2" s="1"/>
  <c r="J1664" i="2"/>
  <c r="M1664" i="2" s="1"/>
  <c r="J1536" i="2"/>
  <c r="M1536" i="2" s="1"/>
  <c r="J1408" i="2"/>
  <c r="M1408" i="2" s="1"/>
  <c r="J1246" i="2"/>
  <c r="M1246" i="2" s="1"/>
  <c r="J1058" i="2"/>
  <c r="M1058" i="2" s="1"/>
  <c r="J843" i="2"/>
  <c r="M843" i="2" s="1"/>
  <c r="J615" i="2"/>
  <c r="M615" i="2" s="1"/>
  <c r="J386" i="2"/>
  <c r="M386" i="2" s="1"/>
  <c r="J160" i="2"/>
  <c r="M160" i="2" s="1"/>
  <c r="J1986" i="2"/>
  <c r="M1986" i="2" s="1"/>
  <c r="J1970" i="2"/>
  <c r="M1970" i="2" s="1"/>
  <c r="J1954" i="2"/>
  <c r="M1954" i="2" s="1"/>
  <c r="J1938" i="2"/>
  <c r="M1938" i="2" s="1"/>
  <c r="J1921" i="2"/>
  <c r="M1921" i="2" s="1"/>
  <c r="J1897" i="2"/>
  <c r="M1897" i="2" s="1"/>
  <c r="J1865" i="2"/>
  <c r="M1865" i="2" s="1"/>
  <c r="J1833" i="2"/>
  <c r="M1833" i="2" s="1"/>
  <c r="J1775" i="2"/>
  <c r="M1775" i="2" s="1"/>
  <c r="J1663" i="2"/>
  <c r="M1663" i="2" s="1"/>
  <c r="J1535" i="2"/>
  <c r="M1535" i="2" s="1"/>
  <c r="J1407" i="2"/>
  <c r="M1407" i="2" s="1"/>
  <c r="J1244" i="2"/>
  <c r="M1244" i="2" s="1"/>
  <c r="J1057" i="2"/>
  <c r="M1057" i="2" s="1"/>
  <c r="J840" i="2"/>
  <c r="M840" i="2" s="1"/>
  <c r="J612" i="2"/>
  <c r="M612" i="2" s="1"/>
  <c r="J385" i="2"/>
  <c r="M385" i="2" s="1"/>
  <c r="J159" i="2"/>
  <c r="M159" i="2" s="1"/>
  <c r="J2001" i="2"/>
  <c r="M2001" i="2" s="1"/>
  <c r="J1985" i="2"/>
  <c r="M1985" i="2" s="1"/>
  <c r="J1969" i="2"/>
  <c r="M1969" i="2" s="1"/>
  <c r="J1953" i="2"/>
  <c r="M1953" i="2" s="1"/>
  <c r="J1937" i="2"/>
  <c r="M1937" i="2" s="1"/>
  <c r="J1920" i="2"/>
  <c r="M1920" i="2" s="1"/>
  <c r="J1888" i="2"/>
  <c r="M1888" i="2" s="1"/>
  <c r="J1856" i="2"/>
  <c r="M1856" i="2" s="1"/>
  <c r="J1824" i="2"/>
  <c r="M1824" i="2" s="1"/>
  <c r="J1772" i="2"/>
  <c r="M1772" i="2" s="1"/>
  <c r="J1648" i="2"/>
  <c r="M1648" i="2" s="1"/>
  <c r="J1520" i="2"/>
  <c r="M1520" i="2" s="1"/>
  <c r="J1392" i="2"/>
  <c r="M1392" i="2" s="1"/>
  <c r="J1223" i="2"/>
  <c r="M1223" i="2" s="1"/>
  <c r="J1035" i="2"/>
  <c r="M1035" i="2" s="1"/>
  <c r="J815" i="2"/>
  <c r="M815" i="2" s="1"/>
  <c r="J587" i="2"/>
  <c r="M587" i="2" s="1"/>
  <c r="J359" i="2"/>
  <c r="M359" i="2" s="1"/>
  <c r="J130" i="2"/>
  <c r="M130" i="2" s="1"/>
  <c r="J2000" i="2"/>
  <c r="M2000" i="2" s="1"/>
  <c r="J1984" i="2"/>
  <c r="M1984" i="2" s="1"/>
  <c r="J1968" i="2"/>
  <c r="M1968" i="2" s="1"/>
  <c r="J1952" i="2"/>
  <c r="M1952" i="2" s="1"/>
  <c r="J1936" i="2"/>
  <c r="M1936" i="2" s="1"/>
  <c r="J1919" i="2"/>
  <c r="M1919" i="2" s="1"/>
  <c r="J1887" i="2"/>
  <c r="M1887" i="2" s="1"/>
  <c r="J1855" i="2"/>
  <c r="M1855" i="2" s="1"/>
  <c r="J1823" i="2"/>
  <c r="M1823" i="2" s="1"/>
  <c r="J1760" i="2"/>
  <c r="M1760" i="2" s="1"/>
  <c r="J1647" i="2"/>
  <c r="M1647" i="2" s="1"/>
  <c r="J1519" i="2"/>
  <c r="M1519" i="2" s="1"/>
  <c r="J1391" i="2"/>
  <c r="M1391" i="2" s="1"/>
  <c r="J1220" i="2"/>
  <c r="M1220" i="2" s="1"/>
  <c r="J1033" i="2"/>
  <c r="M1033" i="2" s="1"/>
  <c r="J814" i="2"/>
  <c r="M814" i="2" s="1"/>
  <c r="J584" i="2"/>
  <c r="M584" i="2" s="1"/>
  <c r="J356" i="2"/>
  <c r="M356" i="2" s="1"/>
  <c r="J129" i="2"/>
  <c r="M129" i="2" s="1"/>
  <c r="J1999" i="2"/>
  <c r="M1999" i="2" s="1"/>
  <c r="J1983" i="2"/>
  <c r="M1983" i="2" s="1"/>
  <c r="J1967" i="2"/>
  <c r="M1967" i="2" s="1"/>
  <c r="J1951" i="2"/>
  <c r="M1951" i="2" s="1"/>
  <c r="J1935" i="2"/>
  <c r="M1935" i="2" s="1"/>
  <c r="J1918" i="2"/>
  <c r="M1918" i="2" s="1"/>
  <c r="J1886" i="2"/>
  <c r="M1886" i="2" s="1"/>
  <c r="J1854" i="2"/>
  <c r="M1854" i="2" s="1"/>
  <c r="J1822" i="2"/>
  <c r="M1822" i="2" s="1"/>
  <c r="J1759" i="2"/>
  <c r="M1759" i="2" s="1"/>
  <c r="J1632" i="2"/>
  <c r="M1632" i="2" s="1"/>
  <c r="J1504" i="2"/>
  <c r="M1504" i="2" s="1"/>
  <c r="J1376" i="2"/>
  <c r="M1376" i="2" s="1"/>
  <c r="J1199" i="2"/>
  <c r="M1199" i="2" s="1"/>
  <c r="J1009" i="2"/>
  <c r="M1009" i="2" s="1"/>
  <c r="J785" i="2"/>
  <c r="M785" i="2" s="1"/>
  <c r="J559" i="2"/>
  <c r="M559" i="2" s="1"/>
  <c r="J331" i="2"/>
  <c r="M331" i="2" s="1"/>
  <c r="J103" i="2"/>
  <c r="M103" i="2" s="1"/>
  <c r="J1998" i="2"/>
  <c r="M1998" i="2" s="1"/>
  <c r="J1982" i="2"/>
  <c r="M1982" i="2" s="1"/>
  <c r="J1966" i="2"/>
  <c r="M1966" i="2" s="1"/>
  <c r="J1950" i="2"/>
  <c r="M1950" i="2" s="1"/>
  <c r="J1934" i="2"/>
  <c r="M1934" i="2" s="1"/>
  <c r="J1917" i="2"/>
  <c r="M1917" i="2" s="1"/>
  <c r="J1885" i="2"/>
  <c r="M1885" i="2" s="1"/>
  <c r="J1853" i="2"/>
  <c r="M1853" i="2" s="1"/>
  <c r="J1821" i="2"/>
  <c r="M1821" i="2" s="1"/>
  <c r="J1756" i="2"/>
  <c r="M1756" i="2" s="1"/>
  <c r="J1631" i="2"/>
  <c r="M1631" i="2" s="1"/>
  <c r="J1503" i="2"/>
  <c r="M1503" i="2" s="1"/>
  <c r="J1375" i="2"/>
  <c r="M1375" i="2" s="1"/>
  <c r="J1198" i="2"/>
  <c r="M1198" i="2" s="1"/>
  <c r="J1008" i="2"/>
  <c r="M1008" i="2" s="1"/>
  <c r="J784" i="2"/>
  <c r="M784" i="2" s="1"/>
  <c r="J558" i="2"/>
  <c r="M558" i="2" s="1"/>
  <c r="J328" i="2"/>
  <c r="M328" i="2" s="1"/>
  <c r="J100" i="2"/>
  <c r="M100" i="2" s="1"/>
  <c r="J1997" i="2"/>
  <c r="M1997" i="2" s="1"/>
  <c r="J1981" i="2"/>
  <c r="M1981" i="2" s="1"/>
  <c r="J1965" i="2"/>
  <c r="M1965" i="2" s="1"/>
  <c r="J1949" i="2"/>
  <c r="M1949" i="2" s="1"/>
  <c r="J1933" i="2"/>
  <c r="M1933" i="2" s="1"/>
  <c r="J1916" i="2"/>
  <c r="M1916" i="2" s="1"/>
  <c r="J1884" i="2"/>
  <c r="M1884" i="2" s="1"/>
  <c r="J1852" i="2"/>
  <c r="M1852" i="2" s="1"/>
  <c r="J1820" i="2"/>
  <c r="M1820" i="2" s="1"/>
  <c r="J1744" i="2"/>
  <c r="M1744" i="2" s="1"/>
  <c r="J1616" i="2"/>
  <c r="M1616" i="2" s="1"/>
  <c r="J1488" i="2"/>
  <c r="M1488" i="2" s="1"/>
  <c r="J1360" i="2"/>
  <c r="M1360" i="2" s="1"/>
  <c r="J1176" i="2"/>
  <c r="M1176" i="2" s="1"/>
  <c r="J984" i="2"/>
  <c r="M984" i="2" s="1"/>
  <c r="J756" i="2"/>
  <c r="M756" i="2" s="1"/>
  <c r="J529" i="2"/>
  <c r="M529" i="2" s="1"/>
  <c r="J303" i="2"/>
  <c r="M303" i="2" s="1"/>
  <c r="J75" i="2"/>
  <c r="M75" i="2" s="1"/>
  <c r="J1996" i="2"/>
  <c r="M1996" i="2" s="1"/>
  <c r="J1980" i="2"/>
  <c r="M1980" i="2" s="1"/>
  <c r="J1964" i="2"/>
  <c r="M1964" i="2" s="1"/>
  <c r="J1948" i="2"/>
  <c r="M1948" i="2" s="1"/>
  <c r="J1932" i="2"/>
  <c r="M1932" i="2" s="1"/>
  <c r="J1915" i="2"/>
  <c r="M1915" i="2" s="1"/>
  <c r="J1883" i="2"/>
  <c r="M1883" i="2" s="1"/>
  <c r="J1851" i="2"/>
  <c r="M1851" i="2" s="1"/>
  <c r="J1819" i="2"/>
  <c r="M1819" i="2" s="1"/>
  <c r="J1743" i="2"/>
  <c r="M1743" i="2" s="1"/>
  <c r="J1615" i="2"/>
  <c r="M1615" i="2" s="1"/>
  <c r="J1487" i="2"/>
  <c r="M1487" i="2" s="1"/>
  <c r="J1359" i="2"/>
  <c r="M1359" i="2" s="1"/>
  <c r="J1175" i="2"/>
  <c r="M1175" i="2" s="1"/>
  <c r="J983" i="2"/>
  <c r="M983" i="2" s="1"/>
  <c r="J754" i="2"/>
  <c r="M754" i="2" s="1"/>
  <c r="J528" i="2"/>
  <c r="M528" i="2" s="1"/>
  <c r="J302" i="2"/>
  <c r="M302" i="2" s="1"/>
  <c r="J72" i="2"/>
  <c r="M72" i="2" s="1"/>
  <c r="J1995" i="2"/>
  <c r="M1995" i="2" s="1"/>
  <c r="J1979" i="2"/>
  <c r="M1979" i="2" s="1"/>
  <c r="J1963" i="2"/>
  <c r="M1963" i="2" s="1"/>
  <c r="J1947" i="2"/>
  <c r="M1947" i="2" s="1"/>
  <c r="J1931" i="2"/>
  <c r="M1931" i="2" s="1"/>
  <c r="J1914" i="2"/>
  <c r="M1914" i="2" s="1"/>
  <c r="J1882" i="2"/>
  <c r="M1882" i="2" s="1"/>
  <c r="J1850" i="2"/>
  <c r="M1850" i="2" s="1"/>
  <c r="J1818" i="2"/>
  <c r="M1818" i="2" s="1"/>
  <c r="J1728" i="2"/>
  <c r="M1728" i="2" s="1"/>
  <c r="J1600" i="2"/>
  <c r="M1600" i="2" s="1"/>
  <c r="J1472" i="2"/>
  <c r="M1472" i="2" s="1"/>
  <c r="J1339" i="2"/>
  <c r="M1339" i="2" s="1"/>
  <c r="J1152" i="2"/>
  <c r="M1152" i="2" s="1"/>
  <c r="J958" i="2"/>
  <c r="M958" i="2" s="1"/>
  <c r="J728" i="2"/>
  <c r="M728" i="2" s="1"/>
  <c r="J500" i="2"/>
  <c r="M500" i="2" s="1"/>
  <c r="J273" i="2"/>
  <c r="M273" i="2" s="1"/>
  <c r="J47" i="2"/>
  <c r="M47" i="2" s="1"/>
  <c r="J1994" i="2"/>
  <c r="M1994" i="2" s="1"/>
  <c r="J1978" i="2"/>
  <c r="M1978" i="2" s="1"/>
  <c r="J1962" i="2"/>
  <c r="M1962" i="2" s="1"/>
  <c r="J1946" i="2"/>
  <c r="M1946" i="2" s="1"/>
  <c r="J1930" i="2"/>
  <c r="M1930" i="2" s="1"/>
  <c r="J1913" i="2"/>
  <c r="M1913" i="2" s="1"/>
  <c r="J1881" i="2"/>
  <c r="M1881" i="2" s="1"/>
  <c r="J1849" i="2"/>
  <c r="M1849" i="2" s="1"/>
  <c r="J1817" i="2"/>
  <c r="M1817" i="2" s="1"/>
  <c r="J1727" i="2"/>
  <c r="M1727" i="2" s="1"/>
  <c r="J1599" i="2"/>
  <c r="M1599" i="2" s="1"/>
  <c r="J1471" i="2"/>
  <c r="M1471" i="2" s="1"/>
  <c r="J1337" i="2"/>
  <c r="M1337" i="2" s="1"/>
  <c r="J1151" i="2"/>
  <c r="M1151" i="2" s="1"/>
  <c r="J955" i="2"/>
  <c r="M955" i="2" s="1"/>
  <c r="J727" i="2"/>
  <c r="M727" i="2" s="1"/>
  <c r="J498" i="2"/>
  <c r="M498" i="2" s="1"/>
  <c r="J272" i="2"/>
  <c r="M272" i="2" s="1"/>
  <c r="J46" i="2"/>
  <c r="M46" i="2" s="1"/>
  <c r="J1806" i="2"/>
  <c r="M1806" i="2" s="1"/>
  <c r="J1790" i="2"/>
  <c r="M1790" i="2" s="1"/>
  <c r="J1774" i="2"/>
  <c r="M1774" i="2" s="1"/>
  <c r="J1758" i="2"/>
  <c r="M1758" i="2" s="1"/>
  <c r="J1742" i="2"/>
  <c r="M1742" i="2" s="1"/>
  <c r="J1726" i="2"/>
  <c r="M1726" i="2" s="1"/>
  <c r="J1710" i="2"/>
  <c r="M1710" i="2" s="1"/>
  <c r="J1694" i="2"/>
  <c r="M1694" i="2" s="1"/>
  <c r="J1678" i="2"/>
  <c r="M1678" i="2" s="1"/>
  <c r="J1662" i="2"/>
  <c r="M1662" i="2" s="1"/>
  <c r="J1646" i="2"/>
  <c r="M1646" i="2" s="1"/>
  <c r="J1630" i="2"/>
  <c r="M1630" i="2" s="1"/>
  <c r="J1614" i="2"/>
  <c r="M1614" i="2" s="1"/>
  <c r="J1598" i="2"/>
  <c r="M1598" i="2" s="1"/>
  <c r="J1582" i="2"/>
  <c r="M1582" i="2" s="1"/>
  <c r="J1566" i="2"/>
  <c r="M1566" i="2" s="1"/>
  <c r="J1550" i="2"/>
  <c r="M1550" i="2" s="1"/>
  <c r="J1534" i="2"/>
  <c r="M1534" i="2" s="1"/>
  <c r="J1518" i="2"/>
  <c r="M1518" i="2" s="1"/>
  <c r="J1502" i="2"/>
  <c r="M1502" i="2" s="1"/>
  <c r="J1486" i="2"/>
  <c r="M1486" i="2" s="1"/>
  <c r="J1470" i="2"/>
  <c r="M1470" i="2" s="1"/>
  <c r="J1454" i="2"/>
  <c r="M1454" i="2" s="1"/>
  <c r="J1438" i="2"/>
  <c r="M1438" i="2" s="1"/>
  <c r="J1422" i="2"/>
  <c r="M1422" i="2" s="1"/>
  <c r="J1406" i="2"/>
  <c r="M1406" i="2" s="1"/>
  <c r="J1390" i="2"/>
  <c r="M1390" i="2" s="1"/>
  <c r="J1374" i="2"/>
  <c r="M1374" i="2" s="1"/>
  <c r="J1358" i="2"/>
  <c r="M1358" i="2" s="1"/>
  <c r="J1336" i="2"/>
  <c r="M1336" i="2" s="1"/>
  <c r="J1312" i="2"/>
  <c r="M1312" i="2" s="1"/>
  <c r="J1289" i="2"/>
  <c r="M1289" i="2" s="1"/>
  <c r="J1265" i="2"/>
  <c r="M1265" i="2" s="1"/>
  <c r="J1243" i="2"/>
  <c r="M1243" i="2" s="1"/>
  <c r="J1218" i="2"/>
  <c r="M1218" i="2" s="1"/>
  <c r="J1196" i="2"/>
  <c r="M1196" i="2" s="1"/>
  <c r="J1172" i="2"/>
  <c r="M1172" i="2" s="1"/>
  <c r="J1150" i="2"/>
  <c r="M1150" i="2" s="1"/>
  <c r="J1127" i="2"/>
  <c r="M1127" i="2" s="1"/>
  <c r="J1103" i="2"/>
  <c r="M1103" i="2" s="1"/>
  <c r="J1080" i="2"/>
  <c r="M1080" i="2" s="1"/>
  <c r="J1056" i="2"/>
  <c r="M1056" i="2" s="1"/>
  <c r="J1032" i="2"/>
  <c r="M1032" i="2" s="1"/>
  <c r="J1007" i="2"/>
  <c r="M1007" i="2" s="1"/>
  <c r="J980" i="2"/>
  <c r="M980" i="2" s="1"/>
  <c r="J952" i="2"/>
  <c r="M952" i="2" s="1"/>
  <c r="J926" i="2"/>
  <c r="M926" i="2" s="1"/>
  <c r="J896" i="2"/>
  <c r="M896" i="2" s="1"/>
  <c r="J866" i="2"/>
  <c r="M866" i="2" s="1"/>
  <c r="J839" i="2"/>
  <c r="M839" i="2" s="1"/>
  <c r="J811" i="2"/>
  <c r="M811" i="2" s="1"/>
  <c r="J783" i="2"/>
  <c r="M783" i="2" s="1"/>
  <c r="J753" i="2"/>
  <c r="M753" i="2" s="1"/>
  <c r="J724" i="2"/>
  <c r="M724" i="2" s="1"/>
  <c r="J696" i="2"/>
  <c r="M696" i="2" s="1"/>
  <c r="J670" i="2"/>
  <c r="M670" i="2" s="1"/>
  <c r="J640" i="2"/>
  <c r="M640" i="2" s="1"/>
  <c r="J610" i="2"/>
  <c r="M610" i="2" s="1"/>
  <c r="J583" i="2"/>
  <c r="M583" i="2" s="1"/>
  <c r="J555" i="2"/>
  <c r="M555" i="2" s="1"/>
  <c r="J527" i="2"/>
  <c r="M527" i="2" s="1"/>
  <c r="J497" i="2"/>
  <c r="M497" i="2" s="1"/>
  <c r="J468" i="2"/>
  <c r="M468" i="2" s="1"/>
  <c r="J440" i="2"/>
  <c r="M440" i="2" s="1"/>
  <c r="J414" i="2"/>
  <c r="M414" i="2" s="1"/>
  <c r="J384" i="2"/>
  <c r="M384" i="2" s="1"/>
  <c r="J354" i="2"/>
  <c r="M354" i="2" s="1"/>
  <c r="J327" i="2"/>
  <c r="M327" i="2" s="1"/>
  <c r="J299" i="2"/>
  <c r="M299" i="2" s="1"/>
  <c r="J271" i="2"/>
  <c r="M271" i="2" s="1"/>
  <c r="J241" i="2"/>
  <c r="M241" i="2" s="1"/>
  <c r="J212" i="2"/>
  <c r="M212" i="2" s="1"/>
  <c r="J184" i="2"/>
  <c r="M184" i="2" s="1"/>
  <c r="J158" i="2"/>
  <c r="M158" i="2" s="1"/>
  <c r="J128" i="2"/>
  <c r="M128" i="2" s="1"/>
  <c r="J98" i="2"/>
  <c r="M98" i="2" s="1"/>
  <c r="J71" i="2"/>
  <c r="M71" i="2" s="1"/>
  <c r="J43" i="2"/>
  <c r="M43" i="2" s="1"/>
  <c r="J1805" i="2"/>
  <c r="M1805" i="2" s="1"/>
  <c r="J1789" i="2"/>
  <c r="M1789" i="2" s="1"/>
  <c r="J1773" i="2"/>
  <c r="M1773" i="2" s="1"/>
  <c r="J1757" i="2"/>
  <c r="M1757" i="2" s="1"/>
  <c r="J1741" i="2"/>
  <c r="M1741" i="2" s="1"/>
  <c r="J1725" i="2"/>
  <c r="M1725" i="2" s="1"/>
  <c r="J1709" i="2"/>
  <c r="M1709" i="2" s="1"/>
  <c r="J1693" i="2"/>
  <c r="M1693" i="2" s="1"/>
  <c r="J1677" i="2"/>
  <c r="M1677" i="2" s="1"/>
  <c r="J1661" i="2"/>
  <c r="M1661" i="2" s="1"/>
  <c r="J1645" i="2"/>
  <c r="M1645" i="2" s="1"/>
  <c r="J1629" i="2"/>
  <c r="M1629" i="2" s="1"/>
  <c r="J1613" i="2"/>
  <c r="M1613" i="2" s="1"/>
  <c r="J1597" i="2"/>
  <c r="M1597" i="2" s="1"/>
  <c r="J1581" i="2"/>
  <c r="M1581" i="2" s="1"/>
  <c r="J1565" i="2"/>
  <c r="M1565" i="2" s="1"/>
  <c r="J1549" i="2"/>
  <c r="M1549" i="2" s="1"/>
  <c r="J1533" i="2"/>
  <c r="M1533" i="2" s="1"/>
  <c r="J1517" i="2"/>
  <c r="M1517" i="2" s="1"/>
  <c r="J1501" i="2"/>
  <c r="M1501" i="2" s="1"/>
  <c r="J1485" i="2"/>
  <c r="M1485" i="2" s="1"/>
  <c r="J1469" i="2"/>
  <c r="M1469" i="2" s="1"/>
  <c r="J1453" i="2"/>
  <c r="M1453" i="2" s="1"/>
  <c r="J1437" i="2"/>
  <c r="M1437" i="2" s="1"/>
  <c r="J1421" i="2"/>
  <c r="M1421" i="2" s="1"/>
  <c r="J1405" i="2"/>
  <c r="M1405" i="2" s="1"/>
  <c r="J1389" i="2"/>
  <c r="M1389" i="2" s="1"/>
  <c r="J1373" i="2"/>
  <c r="M1373" i="2" s="1"/>
  <c r="J1357" i="2"/>
  <c r="M1357" i="2" s="1"/>
  <c r="J1335" i="2"/>
  <c r="M1335" i="2" s="1"/>
  <c r="J1311" i="2"/>
  <c r="M1311" i="2" s="1"/>
  <c r="J1288" i="2"/>
  <c r="M1288" i="2" s="1"/>
  <c r="J1264" i="2"/>
  <c r="M1264" i="2" s="1"/>
  <c r="J1241" i="2"/>
  <c r="M1241" i="2" s="1"/>
  <c r="J1217" i="2"/>
  <c r="M1217" i="2" s="1"/>
  <c r="J1195" i="2"/>
  <c r="M1195" i="2" s="1"/>
  <c r="J1170" i="2"/>
  <c r="M1170" i="2" s="1"/>
  <c r="J1148" i="2"/>
  <c r="M1148" i="2" s="1"/>
  <c r="J1124" i="2"/>
  <c r="M1124" i="2" s="1"/>
  <c r="J1102" i="2"/>
  <c r="M1102" i="2" s="1"/>
  <c r="J1079" i="2"/>
  <c r="M1079" i="2" s="1"/>
  <c r="J1055" i="2"/>
  <c r="M1055" i="2" s="1"/>
  <c r="J1031" i="2"/>
  <c r="M1031" i="2" s="1"/>
  <c r="J1006" i="2"/>
  <c r="M1006" i="2" s="1"/>
  <c r="J978" i="2"/>
  <c r="M978" i="2" s="1"/>
  <c r="J951" i="2"/>
  <c r="M951" i="2" s="1"/>
  <c r="J923" i="2"/>
  <c r="M923" i="2" s="1"/>
  <c r="J895" i="2"/>
  <c r="M895" i="2" s="1"/>
  <c r="J865" i="2"/>
  <c r="M865" i="2" s="1"/>
  <c r="J836" i="2"/>
  <c r="M836" i="2" s="1"/>
  <c r="J808" i="2"/>
  <c r="M808" i="2" s="1"/>
  <c r="J782" i="2"/>
  <c r="M782" i="2" s="1"/>
  <c r="J752" i="2"/>
  <c r="M752" i="2" s="1"/>
  <c r="J722" i="2"/>
  <c r="M722" i="2" s="1"/>
  <c r="J695" i="2"/>
  <c r="M695" i="2" s="1"/>
  <c r="J667" i="2"/>
  <c r="M667" i="2" s="1"/>
  <c r="J639" i="2"/>
  <c r="M639" i="2" s="1"/>
  <c r="J609" i="2"/>
  <c r="M609" i="2" s="1"/>
  <c r="J580" i="2"/>
  <c r="M580" i="2" s="1"/>
  <c r="J552" i="2"/>
  <c r="M552" i="2" s="1"/>
  <c r="J526" i="2"/>
  <c r="M526" i="2" s="1"/>
  <c r="J496" i="2"/>
  <c r="M496" i="2" s="1"/>
  <c r="J466" i="2"/>
  <c r="M466" i="2" s="1"/>
  <c r="J439" i="2"/>
  <c r="M439" i="2" s="1"/>
  <c r="J411" i="2"/>
  <c r="M411" i="2" s="1"/>
  <c r="J383" i="2"/>
  <c r="M383" i="2" s="1"/>
  <c r="J353" i="2"/>
  <c r="M353" i="2" s="1"/>
  <c r="J324" i="2"/>
  <c r="M324" i="2" s="1"/>
  <c r="J296" i="2"/>
  <c r="M296" i="2" s="1"/>
  <c r="J270" i="2"/>
  <c r="M270" i="2" s="1"/>
  <c r="J240" i="2"/>
  <c r="M240" i="2" s="1"/>
  <c r="J210" i="2"/>
  <c r="M210" i="2" s="1"/>
  <c r="J183" i="2"/>
  <c r="M183" i="2" s="1"/>
  <c r="J155" i="2"/>
  <c r="M155" i="2" s="1"/>
  <c r="J127" i="2"/>
  <c r="M127" i="2" s="1"/>
  <c r="J97" i="2"/>
  <c r="M97" i="2" s="1"/>
  <c r="J68" i="2"/>
  <c r="M68" i="2" s="1"/>
  <c r="J40" i="2"/>
  <c r="M40" i="2" s="1"/>
  <c r="J1740" i="2"/>
  <c r="M1740" i="2" s="1"/>
  <c r="J1724" i="2"/>
  <c r="M1724" i="2" s="1"/>
  <c r="J1708" i="2"/>
  <c r="M1708" i="2" s="1"/>
  <c r="J1692" i="2"/>
  <c r="M1692" i="2" s="1"/>
  <c r="J1676" i="2"/>
  <c r="M1676" i="2" s="1"/>
  <c r="J1660" i="2"/>
  <c r="M1660" i="2" s="1"/>
  <c r="J1644" i="2"/>
  <c r="M1644" i="2" s="1"/>
  <c r="J1628" i="2"/>
  <c r="M1628" i="2" s="1"/>
  <c r="J1612" i="2"/>
  <c r="M1612" i="2" s="1"/>
  <c r="J1596" i="2"/>
  <c r="M1596" i="2" s="1"/>
  <c r="J1580" i="2"/>
  <c r="M1580" i="2" s="1"/>
  <c r="J1564" i="2"/>
  <c r="M1564" i="2" s="1"/>
  <c r="J1548" i="2"/>
  <c r="M1548" i="2" s="1"/>
  <c r="J1532" i="2"/>
  <c r="M1532" i="2" s="1"/>
  <c r="J1516" i="2"/>
  <c r="M1516" i="2" s="1"/>
  <c r="J1500" i="2"/>
  <c r="M1500" i="2" s="1"/>
  <c r="J1484" i="2"/>
  <c r="M1484" i="2" s="1"/>
  <c r="J1468" i="2"/>
  <c r="M1468" i="2" s="1"/>
  <c r="J1452" i="2"/>
  <c r="M1452" i="2" s="1"/>
  <c r="J1436" i="2"/>
  <c r="M1436" i="2" s="1"/>
  <c r="J1420" i="2"/>
  <c r="M1420" i="2" s="1"/>
  <c r="J1404" i="2"/>
  <c r="M1404" i="2" s="1"/>
  <c r="J1388" i="2"/>
  <c r="M1388" i="2" s="1"/>
  <c r="J1372" i="2"/>
  <c r="M1372" i="2" s="1"/>
  <c r="J1356" i="2"/>
  <c r="M1356" i="2" s="1"/>
  <c r="J1332" i="2"/>
  <c r="M1332" i="2" s="1"/>
  <c r="J1310" i="2"/>
  <c r="M1310" i="2" s="1"/>
  <c r="J1287" i="2"/>
  <c r="M1287" i="2" s="1"/>
  <c r="J1263" i="2"/>
  <c r="M1263" i="2" s="1"/>
  <c r="J1240" i="2"/>
  <c r="M1240" i="2" s="1"/>
  <c r="J1216" i="2"/>
  <c r="M1216" i="2" s="1"/>
  <c r="J1193" i="2"/>
  <c r="M1193" i="2" s="1"/>
  <c r="J1169" i="2"/>
  <c r="M1169" i="2" s="1"/>
  <c r="J1147" i="2"/>
  <c r="M1147" i="2" s="1"/>
  <c r="J1122" i="2"/>
  <c r="M1122" i="2" s="1"/>
  <c r="J1100" i="2"/>
  <c r="M1100" i="2" s="1"/>
  <c r="J1076" i="2"/>
  <c r="M1076" i="2" s="1"/>
  <c r="J1054" i="2"/>
  <c r="M1054" i="2" s="1"/>
  <c r="J1028" i="2"/>
  <c r="M1028" i="2" s="1"/>
  <c r="J1003" i="2"/>
  <c r="M1003" i="2" s="1"/>
  <c r="J977" i="2"/>
  <c r="M977" i="2" s="1"/>
  <c r="J948" i="2"/>
  <c r="M948" i="2" s="1"/>
  <c r="J920" i="2"/>
  <c r="M920" i="2" s="1"/>
  <c r="J894" i="2"/>
  <c r="M894" i="2" s="1"/>
  <c r="J864" i="2"/>
  <c r="M864" i="2" s="1"/>
  <c r="J834" i="2"/>
  <c r="M834" i="2" s="1"/>
  <c r="J807" i="2"/>
  <c r="M807" i="2" s="1"/>
  <c r="J779" i="2"/>
  <c r="M779" i="2" s="1"/>
  <c r="J751" i="2"/>
  <c r="M751" i="2" s="1"/>
  <c r="J721" i="2"/>
  <c r="M721" i="2" s="1"/>
  <c r="J692" i="2"/>
  <c r="M692" i="2" s="1"/>
  <c r="J664" i="2"/>
  <c r="M664" i="2" s="1"/>
  <c r="J638" i="2"/>
  <c r="M638" i="2" s="1"/>
  <c r="J608" i="2"/>
  <c r="M608" i="2" s="1"/>
  <c r="J578" i="2"/>
  <c r="M578" i="2" s="1"/>
  <c r="J551" i="2"/>
  <c r="M551" i="2" s="1"/>
  <c r="J523" i="2"/>
  <c r="M523" i="2" s="1"/>
  <c r="J495" i="2"/>
  <c r="M495" i="2" s="1"/>
  <c r="J465" i="2"/>
  <c r="M465" i="2" s="1"/>
  <c r="J436" i="2"/>
  <c r="M436" i="2" s="1"/>
  <c r="J408" i="2"/>
  <c r="M408" i="2" s="1"/>
  <c r="J382" i="2"/>
  <c r="M382" i="2" s="1"/>
  <c r="J352" i="2"/>
  <c r="M352" i="2" s="1"/>
  <c r="J322" i="2"/>
  <c r="M322" i="2" s="1"/>
  <c r="J295" i="2"/>
  <c r="M295" i="2" s="1"/>
  <c r="J267" i="2"/>
  <c r="M267" i="2" s="1"/>
  <c r="J239" i="2"/>
  <c r="M239" i="2" s="1"/>
  <c r="J209" i="2"/>
  <c r="M209" i="2" s="1"/>
  <c r="J180" i="2"/>
  <c r="M180" i="2" s="1"/>
  <c r="J152" i="2"/>
  <c r="M152" i="2" s="1"/>
  <c r="J126" i="2"/>
  <c r="M126" i="2" s="1"/>
  <c r="J96" i="2"/>
  <c r="M96" i="2" s="1"/>
  <c r="J66" i="2"/>
  <c r="M66" i="2" s="1"/>
  <c r="J39" i="2"/>
  <c r="M39" i="2" s="1"/>
  <c r="J1803" i="2"/>
  <c r="M1803" i="2" s="1"/>
  <c r="J1787" i="2"/>
  <c r="M1787" i="2" s="1"/>
  <c r="J1771" i="2"/>
  <c r="M1771" i="2" s="1"/>
  <c r="J1755" i="2"/>
  <c r="M1755" i="2" s="1"/>
  <c r="J1739" i="2"/>
  <c r="M1739" i="2" s="1"/>
  <c r="J1723" i="2"/>
  <c r="M1723" i="2" s="1"/>
  <c r="J1707" i="2"/>
  <c r="M1707" i="2" s="1"/>
  <c r="J1691" i="2"/>
  <c r="M1691" i="2" s="1"/>
  <c r="J1675" i="2"/>
  <c r="M1675" i="2" s="1"/>
  <c r="J1659" i="2"/>
  <c r="M1659" i="2" s="1"/>
  <c r="J1643" i="2"/>
  <c r="M1643" i="2" s="1"/>
  <c r="J1627" i="2"/>
  <c r="M1627" i="2" s="1"/>
  <c r="J1611" i="2"/>
  <c r="M1611" i="2" s="1"/>
  <c r="J1595" i="2"/>
  <c r="M1595" i="2" s="1"/>
  <c r="J1579" i="2"/>
  <c r="M1579" i="2" s="1"/>
  <c r="J1563" i="2"/>
  <c r="M1563" i="2" s="1"/>
  <c r="J1547" i="2"/>
  <c r="M1547" i="2" s="1"/>
  <c r="J1531" i="2"/>
  <c r="M1531" i="2" s="1"/>
  <c r="J1515" i="2"/>
  <c r="M1515" i="2" s="1"/>
  <c r="J1499" i="2"/>
  <c r="M1499" i="2" s="1"/>
  <c r="J1483" i="2"/>
  <c r="M1483" i="2" s="1"/>
  <c r="J1467" i="2"/>
  <c r="M1467" i="2" s="1"/>
  <c r="J1451" i="2"/>
  <c r="M1451" i="2" s="1"/>
  <c r="J1435" i="2"/>
  <c r="M1435" i="2" s="1"/>
  <c r="J1419" i="2"/>
  <c r="M1419" i="2" s="1"/>
  <c r="J1403" i="2"/>
  <c r="M1403" i="2" s="1"/>
  <c r="J1387" i="2"/>
  <c r="M1387" i="2" s="1"/>
  <c r="J1371" i="2"/>
  <c r="M1371" i="2" s="1"/>
  <c r="J1355" i="2"/>
  <c r="M1355" i="2" s="1"/>
  <c r="J1330" i="2"/>
  <c r="M1330" i="2" s="1"/>
  <c r="J1308" i="2"/>
  <c r="M1308" i="2" s="1"/>
  <c r="J1284" i="2"/>
  <c r="M1284" i="2" s="1"/>
  <c r="J1262" i="2"/>
  <c r="M1262" i="2" s="1"/>
  <c r="J1239" i="2"/>
  <c r="M1239" i="2" s="1"/>
  <c r="J1215" i="2"/>
  <c r="M1215" i="2" s="1"/>
  <c r="J1192" i="2"/>
  <c r="M1192" i="2" s="1"/>
  <c r="J1168" i="2"/>
  <c r="M1168" i="2" s="1"/>
  <c r="J1145" i="2"/>
  <c r="M1145" i="2" s="1"/>
  <c r="J1121" i="2"/>
  <c r="M1121" i="2" s="1"/>
  <c r="J1099" i="2"/>
  <c r="M1099" i="2" s="1"/>
  <c r="J1074" i="2"/>
  <c r="M1074" i="2" s="1"/>
  <c r="J1052" i="2"/>
  <c r="M1052" i="2" s="1"/>
  <c r="J1026" i="2"/>
  <c r="M1026" i="2" s="1"/>
  <c r="J1001" i="2"/>
  <c r="M1001" i="2" s="1"/>
  <c r="J976" i="2"/>
  <c r="M976" i="2" s="1"/>
  <c r="J946" i="2"/>
  <c r="M946" i="2" s="1"/>
  <c r="J919" i="2"/>
  <c r="M919" i="2" s="1"/>
  <c r="J891" i="2"/>
  <c r="M891" i="2" s="1"/>
  <c r="J863" i="2"/>
  <c r="M863" i="2" s="1"/>
  <c r="J833" i="2"/>
  <c r="M833" i="2" s="1"/>
  <c r="J804" i="2"/>
  <c r="M804" i="2" s="1"/>
  <c r="J776" i="2"/>
  <c r="M776" i="2" s="1"/>
  <c r="J750" i="2"/>
  <c r="M750" i="2" s="1"/>
  <c r="J720" i="2"/>
  <c r="M720" i="2" s="1"/>
  <c r="J690" i="2"/>
  <c r="M690" i="2" s="1"/>
  <c r="J663" i="2"/>
  <c r="M663" i="2" s="1"/>
  <c r="J635" i="2"/>
  <c r="M635" i="2" s="1"/>
  <c r="J607" i="2"/>
  <c r="M607" i="2" s="1"/>
  <c r="J577" i="2"/>
  <c r="M577" i="2" s="1"/>
  <c r="J548" i="2"/>
  <c r="M548" i="2" s="1"/>
  <c r="J520" i="2"/>
  <c r="M520" i="2" s="1"/>
  <c r="J494" i="2"/>
  <c r="M494" i="2" s="1"/>
  <c r="J464" i="2"/>
  <c r="M464" i="2" s="1"/>
  <c r="J434" i="2"/>
  <c r="M434" i="2" s="1"/>
  <c r="J407" i="2"/>
  <c r="M407" i="2" s="1"/>
  <c r="J379" i="2"/>
  <c r="M379" i="2" s="1"/>
  <c r="J351" i="2"/>
  <c r="M351" i="2" s="1"/>
  <c r="J321" i="2"/>
  <c r="M321" i="2" s="1"/>
  <c r="J292" i="2"/>
  <c r="M292" i="2" s="1"/>
  <c r="J264" i="2"/>
  <c r="M264" i="2" s="1"/>
  <c r="J238" i="2"/>
  <c r="M238" i="2" s="1"/>
  <c r="J208" i="2"/>
  <c r="M208" i="2" s="1"/>
  <c r="J178" i="2"/>
  <c r="M178" i="2" s="1"/>
  <c r="J151" i="2"/>
  <c r="M151" i="2" s="1"/>
  <c r="J123" i="2"/>
  <c r="M123" i="2" s="1"/>
  <c r="J95" i="2"/>
  <c r="M95" i="2" s="1"/>
  <c r="J65" i="2"/>
  <c r="M65" i="2" s="1"/>
  <c r="J36" i="2"/>
  <c r="M36" i="2" s="1"/>
  <c r="J1802" i="2"/>
  <c r="M1802" i="2" s="1"/>
  <c r="J1786" i="2"/>
  <c r="M1786" i="2" s="1"/>
  <c r="J1770" i="2"/>
  <c r="M1770" i="2" s="1"/>
  <c r="J1754" i="2"/>
  <c r="M1754" i="2" s="1"/>
  <c r="J1738" i="2"/>
  <c r="M1738" i="2" s="1"/>
  <c r="J1722" i="2"/>
  <c r="M1722" i="2" s="1"/>
  <c r="J1706" i="2"/>
  <c r="M1706" i="2" s="1"/>
  <c r="J1690" i="2"/>
  <c r="M1690" i="2" s="1"/>
  <c r="J1674" i="2"/>
  <c r="M1674" i="2" s="1"/>
  <c r="J1658" i="2"/>
  <c r="M1658" i="2" s="1"/>
  <c r="J1642" i="2"/>
  <c r="M1642" i="2" s="1"/>
  <c r="J1626" i="2"/>
  <c r="M1626" i="2" s="1"/>
  <c r="J1610" i="2"/>
  <c r="M1610" i="2" s="1"/>
  <c r="J1594" i="2"/>
  <c r="M1594" i="2" s="1"/>
  <c r="J1578" i="2"/>
  <c r="M1578" i="2" s="1"/>
  <c r="J1562" i="2"/>
  <c r="M1562" i="2" s="1"/>
  <c r="J1546" i="2"/>
  <c r="M1546" i="2" s="1"/>
  <c r="J1530" i="2"/>
  <c r="M1530" i="2" s="1"/>
  <c r="J1514" i="2"/>
  <c r="M1514" i="2" s="1"/>
  <c r="J1498" i="2"/>
  <c r="M1498" i="2" s="1"/>
  <c r="J1482" i="2"/>
  <c r="M1482" i="2" s="1"/>
  <c r="J1466" i="2"/>
  <c r="M1466" i="2" s="1"/>
  <c r="J1450" i="2"/>
  <c r="M1450" i="2" s="1"/>
  <c r="J1434" i="2"/>
  <c r="M1434" i="2" s="1"/>
  <c r="J1418" i="2"/>
  <c r="M1418" i="2" s="1"/>
  <c r="J1402" i="2"/>
  <c r="M1402" i="2" s="1"/>
  <c r="J1386" i="2"/>
  <c r="M1386" i="2" s="1"/>
  <c r="J1370" i="2"/>
  <c r="M1370" i="2" s="1"/>
  <c r="J1353" i="2"/>
  <c r="M1353" i="2" s="1"/>
  <c r="J1329" i="2"/>
  <c r="M1329" i="2" s="1"/>
  <c r="J1307" i="2"/>
  <c r="M1307" i="2" s="1"/>
  <c r="J1282" i="2"/>
  <c r="M1282" i="2" s="1"/>
  <c r="J1260" i="2"/>
  <c r="M1260" i="2" s="1"/>
  <c r="J1236" i="2"/>
  <c r="M1236" i="2" s="1"/>
  <c r="J1214" i="2"/>
  <c r="M1214" i="2" s="1"/>
  <c r="J1191" i="2"/>
  <c r="M1191" i="2" s="1"/>
  <c r="J1167" i="2"/>
  <c r="M1167" i="2" s="1"/>
  <c r="J1144" i="2"/>
  <c r="M1144" i="2" s="1"/>
  <c r="J1120" i="2"/>
  <c r="M1120" i="2" s="1"/>
  <c r="J1097" i="2"/>
  <c r="M1097" i="2" s="1"/>
  <c r="J1073" i="2"/>
  <c r="M1073" i="2" s="1"/>
  <c r="J1051" i="2"/>
  <c r="M1051" i="2" s="1"/>
  <c r="J1025" i="2"/>
  <c r="M1025" i="2" s="1"/>
  <c r="J1000" i="2"/>
  <c r="M1000" i="2" s="1"/>
  <c r="J975" i="2"/>
  <c r="M975" i="2" s="1"/>
  <c r="J945" i="2"/>
  <c r="M945" i="2" s="1"/>
  <c r="J916" i="2"/>
  <c r="M916" i="2" s="1"/>
  <c r="J888" i="2"/>
  <c r="M888" i="2" s="1"/>
  <c r="J862" i="2"/>
  <c r="M862" i="2" s="1"/>
  <c r="J832" i="2"/>
  <c r="M832" i="2" s="1"/>
  <c r="J802" i="2"/>
  <c r="M802" i="2" s="1"/>
  <c r="J775" i="2"/>
  <c r="M775" i="2" s="1"/>
  <c r="J747" i="2"/>
  <c r="M747" i="2" s="1"/>
  <c r="J719" i="2"/>
  <c r="M719" i="2" s="1"/>
  <c r="J689" i="2"/>
  <c r="M689" i="2" s="1"/>
  <c r="J660" i="2"/>
  <c r="M660" i="2" s="1"/>
  <c r="J632" i="2"/>
  <c r="M632" i="2" s="1"/>
  <c r="J606" i="2"/>
  <c r="M606" i="2" s="1"/>
  <c r="J576" i="2"/>
  <c r="M576" i="2" s="1"/>
  <c r="J546" i="2"/>
  <c r="M546" i="2" s="1"/>
  <c r="J519" i="2"/>
  <c r="M519" i="2" s="1"/>
  <c r="J491" i="2"/>
  <c r="M491" i="2" s="1"/>
  <c r="J463" i="2"/>
  <c r="M463" i="2" s="1"/>
  <c r="J433" i="2"/>
  <c r="M433" i="2" s="1"/>
  <c r="J404" i="2"/>
  <c r="M404" i="2" s="1"/>
  <c r="J376" i="2"/>
  <c r="M376" i="2" s="1"/>
  <c r="J350" i="2"/>
  <c r="M350" i="2" s="1"/>
  <c r="J320" i="2"/>
  <c r="M320" i="2" s="1"/>
  <c r="J290" i="2"/>
  <c r="M290" i="2" s="1"/>
  <c r="J263" i="2"/>
  <c r="M263" i="2" s="1"/>
  <c r="J235" i="2"/>
  <c r="M235" i="2" s="1"/>
  <c r="J207" i="2"/>
  <c r="M207" i="2" s="1"/>
  <c r="J177" i="2"/>
  <c r="M177" i="2" s="1"/>
  <c r="J148" i="2"/>
  <c r="M148" i="2" s="1"/>
  <c r="J120" i="2"/>
  <c r="M120" i="2" s="1"/>
  <c r="J94" i="2"/>
  <c r="M94" i="2" s="1"/>
  <c r="J64" i="2"/>
  <c r="M64" i="2" s="1"/>
  <c r="J34" i="2"/>
  <c r="M34" i="2" s="1"/>
  <c r="J1801" i="2"/>
  <c r="M1801" i="2" s="1"/>
  <c r="J1785" i="2"/>
  <c r="M1785" i="2" s="1"/>
  <c r="J1769" i="2"/>
  <c r="M1769" i="2" s="1"/>
  <c r="J1753" i="2"/>
  <c r="M1753" i="2" s="1"/>
  <c r="J1737" i="2"/>
  <c r="M1737" i="2" s="1"/>
  <c r="J1721" i="2"/>
  <c r="M1721" i="2" s="1"/>
  <c r="J1705" i="2"/>
  <c r="M1705" i="2" s="1"/>
  <c r="J1689" i="2"/>
  <c r="M1689" i="2" s="1"/>
  <c r="J1673" i="2"/>
  <c r="M1673" i="2" s="1"/>
  <c r="J1657" i="2"/>
  <c r="M1657" i="2" s="1"/>
  <c r="J1641" i="2"/>
  <c r="M1641" i="2" s="1"/>
  <c r="J1625" i="2"/>
  <c r="M1625" i="2" s="1"/>
  <c r="J1609" i="2"/>
  <c r="M1609" i="2" s="1"/>
  <c r="J1593" i="2"/>
  <c r="M1593" i="2" s="1"/>
  <c r="J1577" i="2"/>
  <c r="M1577" i="2" s="1"/>
  <c r="J1561" i="2"/>
  <c r="M1561" i="2" s="1"/>
  <c r="J1545" i="2"/>
  <c r="M1545" i="2" s="1"/>
  <c r="J1529" i="2"/>
  <c r="M1529" i="2" s="1"/>
  <c r="J1513" i="2"/>
  <c r="M1513" i="2" s="1"/>
  <c r="J1497" i="2"/>
  <c r="M1497" i="2" s="1"/>
  <c r="J1481" i="2"/>
  <c r="M1481" i="2" s="1"/>
  <c r="J1465" i="2"/>
  <c r="M1465" i="2" s="1"/>
  <c r="J1449" i="2"/>
  <c r="M1449" i="2" s="1"/>
  <c r="J1433" i="2"/>
  <c r="M1433" i="2" s="1"/>
  <c r="J1417" i="2"/>
  <c r="M1417" i="2" s="1"/>
  <c r="J1401" i="2"/>
  <c r="M1401" i="2" s="1"/>
  <c r="J1385" i="2"/>
  <c r="M1385" i="2" s="1"/>
  <c r="J1369" i="2"/>
  <c r="M1369" i="2" s="1"/>
  <c r="J1352" i="2"/>
  <c r="M1352" i="2" s="1"/>
  <c r="J1328" i="2"/>
  <c r="M1328" i="2" s="1"/>
  <c r="J1305" i="2"/>
  <c r="M1305" i="2" s="1"/>
  <c r="J1281" i="2"/>
  <c r="M1281" i="2" s="1"/>
  <c r="J1259" i="2"/>
  <c r="M1259" i="2" s="1"/>
  <c r="J1234" i="2"/>
  <c r="M1234" i="2" s="1"/>
  <c r="J1212" i="2"/>
  <c r="M1212" i="2" s="1"/>
  <c r="J1188" i="2"/>
  <c r="M1188" i="2" s="1"/>
  <c r="J1166" i="2"/>
  <c r="M1166" i="2" s="1"/>
  <c r="J1143" i="2"/>
  <c r="M1143" i="2" s="1"/>
  <c r="J1119" i="2"/>
  <c r="M1119" i="2" s="1"/>
  <c r="J1096" i="2"/>
  <c r="M1096" i="2" s="1"/>
  <c r="J1072" i="2"/>
  <c r="M1072" i="2" s="1"/>
  <c r="J1049" i="2"/>
  <c r="M1049" i="2" s="1"/>
  <c r="J1024" i="2"/>
  <c r="M1024" i="2" s="1"/>
  <c r="J999" i="2"/>
  <c r="M999" i="2" s="1"/>
  <c r="J974" i="2"/>
  <c r="M974" i="2" s="1"/>
  <c r="J944" i="2"/>
  <c r="M944" i="2" s="1"/>
  <c r="J914" i="2"/>
  <c r="M914" i="2" s="1"/>
  <c r="J887" i="2"/>
  <c r="M887" i="2" s="1"/>
  <c r="J859" i="2"/>
  <c r="M859" i="2" s="1"/>
  <c r="J831" i="2"/>
  <c r="M831" i="2" s="1"/>
  <c r="J801" i="2"/>
  <c r="M801" i="2" s="1"/>
  <c r="J772" i="2"/>
  <c r="M772" i="2" s="1"/>
  <c r="J744" i="2"/>
  <c r="M744" i="2" s="1"/>
  <c r="J718" i="2"/>
  <c r="M718" i="2" s="1"/>
  <c r="J688" i="2"/>
  <c r="M688" i="2" s="1"/>
  <c r="J658" i="2"/>
  <c r="M658" i="2" s="1"/>
  <c r="J631" i="2"/>
  <c r="M631" i="2" s="1"/>
  <c r="J603" i="2"/>
  <c r="M603" i="2" s="1"/>
  <c r="J575" i="2"/>
  <c r="M575" i="2" s="1"/>
  <c r="J545" i="2"/>
  <c r="M545" i="2" s="1"/>
  <c r="J516" i="2"/>
  <c r="M516" i="2" s="1"/>
  <c r="J488" i="2"/>
  <c r="M488" i="2" s="1"/>
  <c r="J462" i="2"/>
  <c r="M462" i="2" s="1"/>
  <c r="J432" i="2"/>
  <c r="M432" i="2" s="1"/>
  <c r="J402" i="2"/>
  <c r="M402" i="2" s="1"/>
  <c r="J375" i="2"/>
  <c r="M375" i="2" s="1"/>
  <c r="J347" i="2"/>
  <c r="M347" i="2" s="1"/>
  <c r="J319" i="2"/>
  <c r="M319" i="2" s="1"/>
  <c r="J289" i="2"/>
  <c r="M289" i="2" s="1"/>
  <c r="J260" i="2"/>
  <c r="M260" i="2" s="1"/>
  <c r="J232" i="2"/>
  <c r="M232" i="2" s="1"/>
  <c r="J206" i="2"/>
  <c r="M206" i="2" s="1"/>
  <c r="J176" i="2"/>
  <c r="M176" i="2" s="1"/>
  <c r="J146" i="2"/>
  <c r="M146" i="2" s="1"/>
  <c r="J119" i="2"/>
  <c r="M119" i="2" s="1"/>
  <c r="J91" i="2"/>
  <c r="M91" i="2" s="1"/>
  <c r="J63" i="2"/>
  <c r="M63" i="2" s="1"/>
  <c r="J33" i="2"/>
  <c r="M33" i="2" s="1"/>
  <c r="J1912" i="2"/>
  <c r="M1912" i="2" s="1"/>
  <c r="J1896" i="2"/>
  <c r="M1896" i="2" s="1"/>
  <c r="J1880" i="2"/>
  <c r="M1880" i="2" s="1"/>
  <c r="J1864" i="2"/>
  <c r="M1864" i="2" s="1"/>
  <c r="J1848" i="2"/>
  <c r="M1848" i="2" s="1"/>
  <c r="J1832" i="2"/>
  <c r="M1832" i="2" s="1"/>
  <c r="J1816" i="2"/>
  <c r="M1816" i="2" s="1"/>
  <c r="J1800" i="2"/>
  <c r="M1800" i="2" s="1"/>
  <c r="J1784" i="2"/>
  <c r="M1784" i="2" s="1"/>
  <c r="J1768" i="2"/>
  <c r="M1768" i="2" s="1"/>
  <c r="J1752" i="2"/>
  <c r="M1752" i="2" s="1"/>
  <c r="J1736" i="2"/>
  <c r="M1736" i="2" s="1"/>
  <c r="J1720" i="2"/>
  <c r="M1720" i="2" s="1"/>
  <c r="J1704" i="2"/>
  <c r="M1704" i="2" s="1"/>
  <c r="J1688" i="2"/>
  <c r="M1688" i="2" s="1"/>
  <c r="J1672" i="2"/>
  <c r="M1672" i="2" s="1"/>
  <c r="J1656" i="2"/>
  <c r="M1656" i="2" s="1"/>
  <c r="J1640" i="2"/>
  <c r="M1640" i="2" s="1"/>
  <c r="J1624" i="2"/>
  <c r="M1624" i="2" s="1"/>
  <c r="J1608" i="2"/>
  <c r="M1608" i="2" s="1"/>
  <c r="J1592" i="2"/>
  <c r="M1592" i="2" s="1"/>
  <c r="J1576" i="2"/>
  <c r="M1576" i="2" s="1"/>
  <c r="J1560" i="2"/>
  <c r="M1560" i="2" s="1"/>
  <c r="J1544" i="2"/>
  <c r="M1544" i="2" s="1"/>
  <c r="J1528" i="2"/>
  <c r="M1528" i="2" s="1"/>
  <c r="J1512" i="2"/>
  <c r="M1512" i="2" s="1"/>
  <c r="J1496" i="2"/>
  <c r="M1496" i="2" s="1"/>
  <c r="J1480" i="2"/>
  <c r="M1480" i="2" s="1"/>
  <c r="J1464" i="2"/>
  <c r="M1464" i="2" s="1"/>
  <c r="J1448" i="2"/>
  <c r="M1448" i="2" s="1"/>
  <c r="J1432" i="2"/>
  <c r="M1432" i="2" s="1"/>
  <c r="J1416" i="2"/>
  <c r="M1416" i="2" s="1"/>
  <c r="J1400" i="2"/>
  <c r="M1400" i="2" s="1"/>
  <c r="J1384" i="2"/>
  <c r="M1384" i="2" s="1"/>
  <c r="J1368" i="2"/>
  <c r="M1368" i="2" s="1"/>
  <c r="J1351" i="2"/>
  <c r="M1351" i="2" s="1"/>
  <c r="J1327" i="2"/>
  <c r="M1327" i="2" s="1"/>
  <c r="J1304" i="2"/>
  <c r="M1304" i="2" s="1"/>
  <c r="J1280" i="2"/>
  <c r="M1280" i="2" s="1"/>
  <c r="J1257" i="2"/>
  <c r="M1257" i="2" s="1"/>
  <c r="J1233" i="2"/>
  <c r="M1233" i="2" s="1"/>
  <c r="J1211" i="2"/>
  <c r="M1211" i="2" s="1"/>
  <c r="J1186" i="2"/>
  <c r="M1186" i="2" s="1"/>
  <c r="J1164" i="2"/>
  <c r="M1164" i="2" s="1"/>
  <c r="J1140" i="2"/>
  <c r="M1140" i="2" s="1"/>
  <c r="J1118" i="2"/>
  <c r="M1118" i="2" s="1"/>
  <c r="J1095" i="2"/>
  <c r="M1095" i="2" s="1"/>
  <c r="J1071" i="2"/>
  <c r="M1071" i="2" s="1"/>
  <c r="J1048" i="2"/>
  <c r="M1048" i="2" s="1"/>
  <c r="J1023" i="2"/>
  <c r="M1023" i="2" s="1"/>
  <c r="J996" i="2"/>
  <c r="M996" i="2" s="1"/>
  <c r="J971" i="2"/>
  <c r="M971" i="2" s="1"/>
  <c r="J943" i="2"/>
  <c r="M943" i="2" s="1"/>
  <c r="J913" i="2"/>
  <c r="M913" i="2" s="1"/>
  <c r="J884" i="2"/>
  <c r="M884" i="2" s="1"/>
  <c r="J856" i="2"/>
  <c r="M856" i="2" s="1"/>
  <c r="J830" i="2"/>
  <c r="M830" i="2" s="1"/>
  <c r="J800" i="2"/>
  <c r="M800" i="2" s="1"/>
  <c r="J770" i="2"/>
  <c r="M770" i="2" s="1"/>
  <c r="J743" i="2"/>
  <c r="M743" i="2" s="1"/>
  <c r="J715" i="2"/>
  <c r="M715" i="2" s="1"/>
  <c r="J687" i="2"/>
  <c r="M687" i="2" s="1"/>
  <c r="J657" i="2"/>
  <c r="M657" i="2" s="1"/>
  <c r="J628" i="2"/>
  <c r="M628" i="2" s="1"/>
  <c r="J600" i="2"/>
  <c r="M600" i="2" s="1"/>
  <c r="J574" i="2"/>
  <c r="M574" i="2" s="1"/>
  <c r="J544" i="2"/>
  <c r="M544" i="2" s="1"/>
  <c r="J514" i="2"/>
  <c r="M514" i="2" s="1"/>
  <c r="J487" i="2"/>
  <c r="M487" i="2" s="1"/>
  <c r="J459" i="2"/>
  <c r="M459" i="2" s="1"/>
  <c r="J431" i="2"/>
  <c r="M431" i="2" s="1"/>
  <c r="J401" i="2"/>
  <c r="M401" i="2" s="1"/>
  <c r="J372" i="2"/>
  <c r="M372" i="2" s="1"/>
  <c r="J344" i="2"/>
  <c r="M344" i="2" s="1"/>
  <c r="J318" i="2"/>
  <c r="M318" i="2" s="1"/>
  <c r="J288" i="2"/>
  <c r="M288" i="2" s="1"/>
  <c r="J258" i="2"/>
  <c r="M258" i="2" s="1"/>
  <c r="J231" i="2"/>
  <c r="M231" i="2" s="1"/>
  <c r="J203" i="2"/>
  <c r="M203" i="2" s="1"/>
  <c r="J175" i="2"/>
  <c r="M175" i="2" s="1"/>
  <c r="J145" i="2"/>
  <c r="M145" i="2" s="1"/>
  <c r="J116" i="2"/>
  <c r="M116" i="2" s="1"/>
  <c r="J88" i="2"/>
  <c r="M88" i="2" s="1"/>
  <c r="J62" i="2"/>
  <c r="M62" i="2" s="1"/>
  <c r="J32" i="2"/>
  <c r="M32" i="2" s="1"/>
  <c r="J1911" i="2"/>
  <c r="M1911" i="2" s="1"/>
  <c r="J1895" i="2"/>
  <c r="M1895" i="2" s="1"/>
  <c r="J1879" i="2"/>
  <c r="M1879" i="2" s="1"/>
  <c r="J1863" i="2"/>
  <c r="M1863" i="2" s="1"/>
  <c r="J1847" i="2"/>
  <c r="M1847" i="2" s="1"/>
  <c r="J1831" i="2"/>
  <c r="M1831" i="2" s="1"/>
  <c r="J1815" i="2"/>
  <c r="M1815" i="2" s="1"/>
  <c r="J1799" i="2"/>
  <c r="M1799" i="2" s="1"/>
  <c r="J1783" i="2"/>
  <c r="M1783" i="2" s="1"/>
  <c r="J1767" i="2"/>
  <c r="M1767" i="2" s="1"/>
  <c r="J1751" i="2"/>
  <c r="M1751" i="2" s="1"/>
  <c r="J1735" i="2"/>
  <c r="M1735" i="2" s="1"/>
  <c r="J1719" i="2"/>
  <c r="M1719" i="2" s="1"/>
  <c r="J1703" i="2"/>
  <c r="M1703" i="2" s="1"/>
  <c r="J1687" i="2"/>
  <c r="M1687" i="2" s="1"/>
  <c r="J1671" i="2"/>
  <c r="M1671" i="2" s="1"/>
  <c r="J1655" i="2"/>
  <c r="M1655" i="2" s="1"/>
  <c r="J1639" i="2"/>
  <c r="M1639" i="2" s="1"/>
  <c r="J1623" i="2"/>
  <c r="M1623" i="2" s="1"/>
  <c r="J1607" i="2"/>
  <c r="M1607" i="2" s="1"/>
  <c r="J1591" i="2"/>
  <c r="M1591" i="2" s="1"/>
  <c r="J1575" i="2"/>
  <c r="M1575" i="2" s="1"/>
  <c r="J1559" i="2"/>
  <c r="M1559" i="2" s="1"/>
  <c r="J1543" i="2"/>
  <c r="M1543" i="2" s="1"/>
  <c r="J1527" i="2"/>
  <c r="M1527" i="2" s="1"/>
  <c r="J1511" i="2"/>
  <c r="M1511" i="2" s="1"/>
  <c r="J1495" i="2"/>
  <c r="M1495" i="2" s="1"/>
  <c r="J1479" i="2"/>
  <c r="M1479" i="2" s="1"/>
  <c r="J1463" i="2"/>
  <c r="M1463" i="2" s="1"/>
  <c r="J1447" i="2"/>
  <c r="M1447" i="2" s="1"/>
  <c r="J1431" i="2"/>
  <c r="M1431" i="2" s="1"/>
  <c r="J1415" i="2"/>
  <c r="M1415" i="2" s="1"/>
  <c r="J1399" i="2"/>
  <c r="M1399" i="2" s="1"/>
  <c r="J1383" i="2"/>
  <c r="M1383" i="2" s="1"/>
  <c r="J1367" i="2"/>
  <c r="M1367" i="2" s="1"/>
  <c r="J1348" i="2"/>
  <c r="M1348" i="2" s="1"/>
  <c r="J1326" i="2"/>
  <c r="M1326" i="2" s="1"/>
  <c r="J1303" i="2"/>
  <c r="M1303" i="2" s="1"/>
  <c r="J1279" i="2"/>
  <c r="M1279" i="2" s="1"/>
  <c r="J1256" i="2"/>
  <c r="M1256" i="2" s="1"/>
  <c r="J1232" i="2"/>
  <c r="M1232" i="2" s="1"/>
  <c r="J1209" i="2"/>
  <c r="M1209" i="2" s="1"/>
  <c r="J1185" i="2"/>
  <c r="M1185" i="2" s="1"/>
  <c r="J1163" i="2"/>
  <c r="M1163" i="2" s="1"/>
  <c r="J1138" i="2"/>
  <c r="M1138" i="2" s="1"/>
  <c r="J1116" i="2"/>
  <c r="M1116" i="2" s="1"/>
  <c r="J1092" i="2"/>
  <c r="M1092" i="2" s="1"/>
  <c r="J1070" i="2"/>
  <c r="M1070" i="2" s="1"/>
  <c r="J1047" i="2"/>
  <c r="M1047" i="2" s="1"/>
  <c r="J1022" i="2"/>
  <c r="M1022" i="2" s="1"/>
  <c r="J994" i="2"/>
  <c r="M994" i="2" s="1"/>
  <c r="J968" i="2"/>
  <c r="M968" i="2" s="1"/>
  <c r="J942" i="2"/>
  <c r="M942" i="2" s="1"/>
  <c r="J912" i="2"/>
  <c r="M912" i="2" s="1"/>
  <c r="J882" i="2"/>
  <c r="M882" i="2" s="1"/>
  <c r="J855" i="2"/>
  <c r="M855" i="2" s="1"/>
  <c r="J827" i="2"/>
  <c r="M827" i="2" s="1"/>
  <c r="J799" i="2"/>
  <c r="M799" i="2" s="1"/>
  <c r="J769" i="2"/>
  <c r="M769" i="2" s="1"/>
  <c r="J740" i="2"/>
  <c r="M740" i="2" s="1"/>
  <c r="J712" i="2"/>
  <c r="M712" i="2" s="1"/>
  <c r="J686" i="2"/>
  <c r="M686" i="2" s="1"/>
  <c r="J656" i="2"/>
  <c r="M656" i="2" s="1"/>
  <c r="J626" i="2"/>
  <c r="M626" i="2" s="1"/>
  <c r="J599" i="2"/>
  <c r="M599" i="2" s="1"/>
  <c r="J571" i="2"/>
  <c r="M571" i="2" s="1"/>
  <c r="J543" i="2"/>
  <c r="M543" i="2" s="1"/>
  <c r="J513" i="2"/>
  <c r="M513" i="2" s="1"/>
  <c r="J484" i="2"/>
  <c r="M484" i="2" s="1"/>
  <c r="J456" i="2"/>
  <c r="M456" i="2" s="1"/>
  <c r="J430" i="2"/>
  <c r="M430" i="2" s="1"/>
  <c r="J400" i="2"/>
  <c r="M400" i="2" s="1"/>
  <c r="J370" i="2"/>
  <c r="M370" i="2" s="1"/>
  <c r="J343" i="2"/>
  <c r="M343" i="2" s="1"/>
  <c r="J315" i="2"/>
  <c r="M315" i="2" s="1"/>
  <c r="J287" i="2"/>
  <c r="M287" i="2" s="1"/>
  <c r="J257" i="2"/>
  <c r="M257" i="2" s="1"/>
  <c r="J228" i="2"/>
  <c r="M228" i="2" s="1"/>
  <c r="J200" i="2"/>
  <c r="M200" i="2" s="1"/>
  <c r="J174" i="2"/>
  <c r="M174" i="2" s="1"/>
  <c r="J144" i="2"/>
  <c r="M144" i="2" s="1"/>
  <c r="J114" i="2"/>
  <c r="M114" i="2" s="1"/>
  <c r="J87" i="2"/>
  <c r="M87" i="2" s="1"/>
  <c r="J59" i="2"/>
  <c r="M59" i="2" s="1"/>
  <c r="J31" i="2"/>
  <c r="M31" i="2" s="1"/>
  <c r="J1910" i="2"/>
  <c r="M1910" i="2" s="1"/>
  <c r="J1894" i="2"/>
  <c r="M1894" i="2" s="1"/>
  <c r="J1878" i="2"/>
  <c r="M1878" i="2" s="1"/>
  <c r="J1862" i="2"/>
  <c r="M1862" i="2" s="1"/>
  <c r="J1846" i="2"/>
  <c r="M1846" i="2" s="1"/>
  <c r="J1830" i="2"/>
  <c r="M1830" i="2" s="1"/>
  <c r="J1814" i="2"/>
  <c r="M1814" i="2" s="1"/>
  <c r="J1798" i="2"/>
  <c r="M1798" i="2" s="1"/>
  <c r="J1782" i="2"/>
  <c r="M1782" i="2" s="1"/>
  <c r="J1766" i="2"/>
  <c r="M1766" i="2" s="1"/>
  <c r="J1750" i="2"/>
  <c r="M1750" i="2" s="1"/>
  <c r="J1734" i="2"/>
  <c r="M1734" i="2" s="1"/>
  <c r="J1718" i="2"/>
  <c r="M1718" i="2" s="1"/>
  <c r="J1702" i="2"/>
  <c r="M1702" i="2" s="1"/>
  <c r="J1686" i="2"/>
  <c r="M1686" i="2" s="1"/>
  <c r="J1670" i="2"/>
  <c r="M1670" i="2" s="1"/>
  <c r="J1654" i="2"/>
  <c r="M1654" i="2" s="1"/>
  <c r="J1638" i="2"/>
  <c r="M1638" i="2" s="1"/>
  <c r="J1622" i="2"/>
  <c r="M1622" i="2" s="1"/>
  <c r="J1606" i="2"/>
  <c r="M1606" i="2" s="1"/>
  <c r="J1590" i="2"/>
  <c r="M1590" i="2" s="1"/>
  <c r="J1574" i="2"/>
  <c r="M1574" i="2" s="1"/>
  <c r="J1558" i="2"/>
  <c r="M1558" i="2" s="1"/>
  <c r="J1542" i="2"/>
  <c r="M1542" i="2" s="1"/>
  <c r="J1526" i="2"/>
  <c r="M1526" i="2" s="1"/>
  <c r="J1510" i="2"/>
  <c r="M1510" i="2" s="1"/>
  <c r="J1494" i="2"/>
  <c r="M1494" i="2" s="1"/>
  <c r="J1478" i="2"/>
  <c r="M1478" i="2" s="1"/>
  <c r="J1462" i="2"/>
  <c r="M1462" i="2" s="1"/>
  <c r="J1446" i="2"/>
  <c r="M1446" i="2" s="1"/>
  <c r="J1430" i="2"/>
  <c r="M1430" i="2" s="1"/>
  <c r="J1414" i="2"/>
  <c r="M1414" i="2" s="1"/>
  <c r="J1398" i="2"/>
  <c r="M1398" i="2" s="1"/>
  <c r="J1382" i="2"/>
  <c r="M1382" i="2" s="1"/>
  <c r="J1366" i="2"/>
  <c r="M1366" i="2" s="1"/>
  <c r="J1346" i="2"/>
  <c r="M1346" i="2" s="1"/>
  <c r="J1324" i="2"/>
  <c r="M1324" i="2" s="1"/>
  <c r="J1300" i="2"/>
  <c r="M1300" i="2" s="1"/>
  <c r="J1278" i="2"/>
  <c r="M1278" i="2" s="1"/>
  <c r="J1255" i="2"/>
  <c r="M1255" i="2" s="1"/>
  <c r="J1231" i="2"/>
  <c r="M1231" i="2" s="1"/>
  <c r="J1208" i="2"/>
  <c r="M1208" i="2" s="1"/>
  <c r="J1184" i="2"/>
  <c r="M1184" i="2" s="1"/>
  <c r="J1161" i="2"/>
  <c r="M1161" i="2" s="1"/>
  <c r="J1137" i="2"/>
  <c r="M1137" i="2" s="1"/>
  <c r="J1115" i="2"/>
  <c r="M1115" i="2" s="1"/>
  <c r="J1090" i="2"/>
  <c r="M1090" i="2" s="1"/>
  <c r="J1068" i="2"/>
  <c r="M1068" i="2" s="1"/>
  <c r="J1044" i="2"/>
  <c r="M1044" i="2" s="1"/>
  <c r="J1019" i="2"/>
  <c r="M1019" i="2" s="1"/>
  <c r="J993" i="2"/>
  <c r="M993" i="2" s="1"/>
  <c r="J967" i="2"/>
  <c r="M967" i="2" s="1"/>
  <c r="J939" i="2"/>
  <c r="M939" i="2" s="1"/>
  <c r="J911" i="2"/>
  <c r="M911" i="2" s="1"/>
  <c r="J881" i="2"/>
  <c r="M881" i="2" s="1"/>
  <c r="J852" i="2"/>
  <c r="M852" i="2" s="1"/>
  <c r="J824" i="2"/>
  <c r="M824" i="2" s="1"/>
  <c r="J798" i="2"/>
  <c r="M798" i="2" s="1"/>
  <c r="J768" i="2"/>
  <c r="M768" i="2" s="1"/>
  <c r="J738" i="2"/>
  <c r="M738" i="2" s="1"/>
  <c r="J711" i="2"/>
  <c r="M711" i="2" s="1"/>
  <c r="J683" i="2"/>
  <c r="M683" i="2" s="1"/>
  <c r="J655" i="2"/>
  <c r="M655" i="2" s="1"/>
  <c r="J625" i="2"/>
  <c r="M625" i="2" s="1"/>
  <c r="J596" i="2"/>
  <c r="M596" i="2" s="1"/>
  <c r="J568" i="2"/>
  <c r="M568" i="2" s="1"/>
  <c r="J542" i="2"/>
  <c r="M542" i="2" s="1"/>
  <c r="J512" i="2"/>
  <c r="M512" i="2" s="1"/>
  <c r="J482" i="2"/>
  <c r="M482" i="2" s="1"/>
  <c r="J455" i="2"/>
  <c r="M455" i="2" s="1"/>
  <c r="J427" i="2"/>
  <c r="M427" i="2" s="1"/>
  <c r="J399" i="2"/>
  <c r="M399" i="2" s="1"/>
  <c r="J369" i="2"/>
  <c r="M369" i="2" s="1"/>
  <c r="J340" i="2"/>
  <c r="M340" i="2" s="1"/>
  <c r="J312" i="2"/>
  <c r="M312" i="2" s="1"/>
  <c r="J286" i="2"/>
  <c r="M286" i="2" s="1"/>
  <c r="J256" i="2"/>
  <c r="M256" i="2" s="1"/>
  <c r="J226" i="2"/>
  <c r="M226" i="2" s="1"/>
  <c r="J199" i="2"/>
  <c r="M199" i="2" s="1"/>
  <c r="J171" i="2"/>
  <c r="M171" i="2" s="1"/>
  <c r="J143" i="2"/>
  <c r="M143" i="2" s="1"/>
  <c r="J113" i="2"/>
  <c r="M113" i="2" s="1"/>
  <c r="J84" i="2"/>
  <c r="M84" i="2" s="1"/>
  <c r="J56" i="2"/>
  <c r="M56" i="2" s="1"/>
  <c r="J30" i="2"/>
  <c r="M30" i="2" s="1"/>
  <c r="J1909" i="2"/>
  <c r="M1909" i="2" s="1"/>
  <c r="J1893" i="2"/>
  <c r="M1893" i="2" s="1"/>
  <c r="J1877" i="2"/>
  <c r="M1877" i="2" s="1"/>
  <c r="J1861" i="2"/>
  <c r="M1861" i="2" s="1"/>
  <c r="J1845" i="2"/>
  <c r="M1845" i="2" s="1"/>
  <c r="J1829" i="2"/>
  <c r="M1829" i="2" s="1"/>
  <c r="J1813" i="2"/>
  <c r="M1813" i="2" s="1"/>
  <c r="J1797" i="2"/>
  <c r="M1797" i="2" s="1"/>
  <c r="J1781" i="2"/>
  <c r="M1781" i="2" s="1"/>
  <c r="J1765" i="2"/>
  <c r="M1765" i="2" s="1"/>
  <c r="J1749" i="2"/>
  <c r="M1749" i="2" s="1"/>
  <c r="J1733" i="2"/>
  <c r="M1733" i="2" s="1"/>
  <c r="J1717" i="2"/>
  <c r="M1717" i="2" s="1"/>
  <c r="J1701" i="2"/>
  <c r="M1701" i="2" s="1"/>
  <c r="J1685" i="2"/>
  <c r="M1685" i="2" s="1"/>
  <c r="J1669" i="2"/>
  <c r="M1669" i="2" s="1"/>
  <c r="J1653" i="2"/>
  <c r="M1653" i="2" s="1"/>
  <c r="J1637" i="2"/>
  <c r="M1637" i="2" s="1"/>
  <c r="J1621" i="2"/>
  <c r="M1621" i="2" s="1"/>
  <c r="J1605" i="2"/>
  <c r="M1605" i="2" s="1"/>
  <c r="J1589" i="2"/>
  <c r="M1589" i="2" s="1"/>
  <c r="J1573" i="2"/>
  <c r="M1573" i="2" s="1"/>
  <c r="J1557" i="2"/>
  <c r="M1557" i="2" s="1"/>
  <c r="J1541" i="2"/>
  <c r="M1541" i="2" s="1"/>
  <c r="J1525" i="2"/>
  <c r="M1525" i="2" s="1"/>
  <c r="J1509" i="2"/>
  <c r="M1509" i="2" s="1"/>
  <c r="J1493" i="2"/>
  <c r="M1493" i="2" s="1"/>
  <c r="J1477" i="2"/>
  <c r="M1477" i="2" s="1"/>
  <c r="J1461" i="2"/>
  <c r="M1461" i="2" s="1"/>
  <c r="J1445" i="2"/>
  <c r="M1445" i="2" s="1"/>
  <c r="J1429" i="2"/>
  <c r="M1429" i="2" s="1"/>
  <c r="J1413" i="2"/>
  <c r="M1413" i="2" s="1"/>
  <c r="J1397" i="2"/>
  <c r="M1397" i="2" s="1"/>
  <c r="J1381" i="2"/>
  <c r="M1381" i="2" s="1"/>
  <c r="J1365" i="2"/>
  <c r="M1365" i="2" s="1"/>
  <c r="J1345" i="2"/>
  <c r="M1345" i="2" s="1"/>
  <c r="J1323" i="2"/>
  <c r="M1323" i="2" s="1"/>
  <c r="J1298" i="2"/>
  <c r="M1298" i="2" s="1"/>
  <c r="J1276" i="2"/>
  <c r="M1276" i="2" s="1"/>
  <c r="J1252" i="2"/>
  <c r="M1252" i="2" s="1"/>
  <c r="J1230" i="2"/>
  <c r="M1230" i="2" s="1"/>
  <c r="J1207" i="2"/>
  <c r="M1207" i="2" s="1"/>
  <c r="J1183" i="2"/>
  <c r="M1183" i="2" s="1"/>
  <c r="J1160" i="2"/>
  <c r="M1160" i="2" s="1"/>
  <c r="J1136" i="2"/>
  <c r="M1136" i="2" s="1"/>
  <c r="J1113" i="2"/>
  <c r="M1113" i="2" s="1"/>
  <c r="J1089" i="2"/>
  <c r="M1089" i="2" s="1"/>
  <c r="J1067" i="2"/>
  <c r="M1067" i="2" s="1"/>
  <c r="J1042" i="2"/>
  <c r="M1042" i="2" s="1"/>
  <c r="J1017" i="2"/>
  <c r="M1017" i="2" s="1"/>
  <c r="J992" i="2"/>
  <c r="M992" i="2" s="1"/>
  <c r="J964" i="2"/>
  <c r="M964" i="2" s="1"/>
  <c r="J936" i="2"/>
  <c r="M936" i="2" s="1"/>
  <c r="J910" i="2"/>
  <c r="M910" i="2" s="1"/>
  <c r="J880" i="2"/>
  <c r="M880" i="2" s="1"/>
  <c r="J850" i="2"/>
  <c r="M850" i="2" s="1"/>
  <c r="J823" i="2"/>
  <c r="M823" i="2" s="1"/>
  <c r="J795" i="2"/>
  <c r="M795" i="2" s="1"/>
  <c r="J767" i="2"/>
  <c r="M767" i="2" s="1"/>
  <c r="J737" i="2"/>
  <c r="M737" i="2" s="1"/>
  <c r="J708" i="2"/>
  <c r="M708" i="2" s="1"/>
  <c r="J680" i="2"/>
  <c r="M680" i="2" s="1"/>
  <c r="J654" i="2"/>
  <c r="M654" i="2" s="1"/>
  <c r="J624" i="2"/>
  <c r="M624" i="2" s="1"/>
  <c r="J594" i="2"/>
  <c r="M594" i="2" s="1"/>
  <c r="J567" i="2"/>
  <c r="M567" i="2" s="1"/>
  <c r="J539" i="2"/>
  <c r="M539" i="2" s="1"/>
  <c r="J511" i="2"/>
  <c r="M511" i="2" s="1"/>
  <c r="J481" i="2"/>
  <c r="M481" i="2" s="1"/>
  <c r="J452" i="2"/>
  <c r="M452" i="2" s="1"/>
  <c r="J424" i="2"/>
  <c r="M424" i="2" s="1"/>
  <c r="J398" i="2"/>
  <c r="M398" i="2" s="1"/>
  <c r="J368" i="2"/>
  <c r="M368" i="2" s="1"/>
  <c r="J338" i="2"/>
  <c r="M338" i="2" s="1"/>
  <c r="J311" i="2"/>
  <c r="M311" i="2" s="1"/>
  <c r="J283" i="2"/>
  <c r="M283" i="2" s="1"/>
  <c r="J255" i="2"/>
  <c r="M255" i="2" s="1"/>
  <c r="J225" i="2"/>
  <c r="M225" i="2" s="1"/>
  <c r="J196" i="2"/>
  <c r="M196" i="2" s="1"/>
  <c r="J168" i="2"/>
  <c r="M168" i="2" s="1"/>
  <c r="J142" i="2"/>
  <c r="M142" i="2" s="1"/>
  <c r="J112" i="2"/>
  <c r="M112" i="2" s="1"/>
  <c r="J82" i="2"/>
  <c r="M82" i="2" s="1"/>
  <c r="J55" i="2"/>
  <c r="M55" i="2" s="1"/>
  <c r="J27" i="2"/>
  <c r="M27" i="2" s="1"/>
  <c r="J1908" i="2"/>
  <c r="M1908" i="2" s="1"/>
  <c r="J1892" i="2"/>
  <c r="M1892" i="2" s="1"/>
  <c r="J1876" i="2"/>
  <c r="M1876" i="2" s="1"/>
  <c r="J1860" i="2"/>
  <c r="M1860" i="2" s="1"/>
  <c r="J1844" i="2"/>
  <c r="M1844" i="2" s="1"/>
  <c r="J1828" i="2"/>
  <c r="M1828" i="2" s="1"/>
  <c r="J1812" i="2"/>
  <c r="M1812" i="2" s="1"/>
  <c r="J1796" i="2"/>
  <c r="M1796" i="2" s="1"/>
  <c r="J1780" i="2"/>
  <c r="M1780" i="2" s="1"/>
  <c r="J1764" i="2"/>
  <c r="M1764" i="2" s="1"/>
  <c r="J1748" i="2"/>
  <c r="M1748" i="2" s="1"/>
  <c r="J1732" i="2"/>
  <c r="M1732" i="2" s="1"/>
  <c r="J1716" i="2"/>
  <c r="M1716" i="2" s="1"/>
  <c r="J1700" i="2"/>
  <c r="M1700" i="2" s="1"/>
  <c r="J1684" i="2"/>
  <c r="M1684" i="2" s="1"/>
  <c r="J1668" i="2"/>
  <c r="M1668" i="2" s="1"/>
  <c r="J1652" i="2"/>
  <c r="M1652" i="2" s="1"/>
  <c r="J1636" i="2"/>
  <c r="M1636" i="2" s="1"/>
  <c r="J1620" i="2"/>
  <c r="M1620" i="2" s="1"/>
  <c r="J1604" i="2"/>
  <c r="M1604" i="2" s="1"/>
  <c r="J1588" i="2"/>
  <c r="M1588" i="2" s="1"/>
  <c r="J1572" i="2"/>
  <c r="M1572" i="2" s="1"/>
  <c r="J1556" i="2"/>
  <c r="M1556" i="2" s="1"/>
  <c r="J1540" i="2"/>
  <c r="M1540" i="2" s="1"/>
  <c r="J1524" i="2"/>
  <c r="M1524" i="2" s="1"/>
  <c r="J1508" i="2"/>
  <c r="M1508" i="2" s="1"/>
  <c r="J1492" i="2"/>
  <c r="M1492" i="2" s="1"/>
  <c r="J1476" i="2"/>
  <c r="M1476" i="2" s="1"/>
  <c r="J1460" i="2"/>
  <c r="M1460" i="2" s="1"/>
  <c r="J1444" i="2"/>
  <c r="M1444" i="2" s="1"/>
  <c r="J1428" i="2"/>
  <c r="M1428" i="2" s="1"/>
  <c r="J1412" i="2"/>
  <c r="M1412" i="2" s="1"/>
  <c r="J1396" i="2"/>
  <c r="M1396" i="2" s="1"/>
  <c r="J1380" i="2"/>
  <c r="M1380" i="2" s="1"/>
  <c r="J1364" i="2"/>
  <c r="M1364" i="2" s="1"/>
  <c r="J1344" i="2"/>
  <c r="M1344" i="2" s="1"/>
  <c r="J1321" i="2"/>
  <c r="M1321" i="2" s="1"/>
  <c r="J1297" i="2"/>
  <c r="M1297" i="2" s="1"/>
  <c r="J1275" i="2"/>
  <c r="M1275" i="2" s="1"/>
  <c r="J1250" i="2"/>
  <c r="M1250" i="2" s="1"/>
  <c r="J1228" i="2"/>
  <c r="M1228" i="2" s="1"/>
  <c r="J1204" i="2"/>
  <c r="M1204" i="2" s="1"/>
  <c r="J1182" i="2"/>
  <c r="M1182" i="2" s="1"/>
  <c r="J1159" i="2"/>
  <c r="M1159" i="2" s="1"/>
  <c r="J1135" i="2"/>
  <c r="M1135" i="2" s="1"/>
  <c r="J1112" i="2"/>
  <c r="M1112" i="2" s="1"/>
  <c r="J1088" i="2"/>
  <c r="M1088" i="2" s="1"/>
  <c r="J1065" i="2"/>
  <c r="M1065" i="2" s="1"/>
  <c r="J1041" i="2"/>
  <c r="M1041" i="2" s="1"/>
  <c r="J1016" i="2"/>
  <c r="M1016" i="2" s="1"/>
  <c r="J991" i="2"/>
  <c r="M991" i="2" s="1"/>
  <c r="J962" i="2"/>
  <c r="M962" i="2" s="1"/>
  <c r="J935" i="2"/>
  <c r="M935" i="2" s="1"/>
  <c r="J907" i="2"/>
  <c r="M907" i="2" s="1"/>
  <c r="J879" i="2"/>
  <c r="M879" i="2" s="1"/>
  <c r="J849" i="2"/>
  <c r="M849" i="2" s="1"/>
  <c r="J820" i="2"/>
  <c r="M820" i="2" s="1"/>
  <c r="J792" i="2"/>
  <c r="M792" i="2" s="1"/>
  <c r="J766" i="2"/>
  <c r="M766" i="2" s="1"/>
  <c r="J736" i="2"/>
  <c r="M736" i="2" s="1"/>
  <c r="J706" i="2"/>
  <c r="M706" i="2" s="1"/>
  <c r="J679" i="2"/>
  <c r="M679" i="2" s="1"/>
  <c r="J651" i="2"/>
  <c r="M651" i="2" s="1"/>
  <c r="J623" i="2"/>
  <c r="M623" i="2" s="1"/>
  <c r="J593" i="2"/>
  <c r="M593" i="2" s="1"/>
  <c r="J564" i="2"/>
  <c r="M564" i="2" s="1"/>
  <c r="J536" i="2"/>
  <c r="M536" i="2" s="1"/>
  <c r="J510" i="2"/>
  <c r="M510" i="2" s="1"/>
  <c r="J480" i="2"/>
  <c r="M480" i="2" s="1"/>
  <c r="J450" i="2"/>
  <c r="M450" i="2" s="1"/>
  <c r="J423" i="2"/>
  <c r="M423" i="2" s="1"/>
  <c r="J395" i="2"/>
  <c r="M395" i="2" s="1"/>
  <c r="J367" i="2"/>
  <c r="M367" i="2" s="1"/>
  <c r="J337" i="2"/>
  <c r="M337" i="2" s="1"/>
  <c r="J308" i="2"/>
  <c r="M308" i="2" s="1"/>
  <c r="J280" i="2"/>
  <c r="M280" i="2" s="1"/>
  <c r="J254" i="2"/>
  <c r="M254" i="2" s="1"/>
  <c r="J224" i="2"/>
  <c r="M224" i="2" s="1"/>
  <c r="J194" i="2"/>
  <c r="M194" i="2" s="1"/>
  <c r="J167" i="2"/>
  <c r="M167" i="2" s="1"/>
  <c r="J139" i="2"/>
  <c r="M139" i="2" s="1"/>
  <c r="J111" i="2"/>
  <c r="M111" i="2" s="1"/>
  <c r="J81" i="2"/>
  <c r="M81" i="2" s="1"/>
  <c r="J52" i="2"/>
  <c r="M52" i="2" s="1"/>
  <c r="J24" i="2"/>
  <c r="M24" i="2" s="1"/>
  <c r="J1907" i="2"/>
  <c r="M1907" i="2" s="1"/>
  <c r="J1891" i="2"/>
  <c r="M1891" i="2" s="1"/>
  <c r="J1875" i="2"/>
  <c r="M1875" i="2" s="1"/>
  <c r="J1859" i="2"/>
  <c r="M1859" i="2" s="1"/>
  <c r="J1843" i="2"/>
  <c r="M1843" i="2" s="1"/>
  <c r="J1827" i="2"/>
  <c r="M1827" i="2" s="1"/>
  <c r="J1811" i="2"/>
  <c r="M1811" i="2" s="1"/>
  <c r="J1795" i="2"/>
  <c r="M1795" i="2" s="1"/>
  <c r="J1779" i="2"/>
  <c r="M1779" i="2" s="1"/>
  <c r="J1763" i="2"/>
  <c r="M1763" i="2" s="1"/>
  <c r="J1747" i="2"/>
  <c r="M1747" i="2" s="1"/>
  <c r="J1731" i="2"/>
  <c r="M1731" i="2" s="1"/>
  <c r="J1715" i="2"/>
  <c r="M1715" i="2" s="1"/>
  <c r="J1699" i="2"/>
  <c r="M1699" i="2" s="1"/>
  <c r="J1683" i="2"/>
  <c r="M1683" i="2" s="1"/>
  <c r="J1667" i="2"/>
  <c r="M1667" i="2" s="1"/>
  <c r="J1651" i="2"/>
  <c r="M1651" i="2" s="1"/>
  <c r="J1635" i="2"/>
  <c r="M1635" i="2" s="1"/>
  <c r="J1619" i="2"/>
  <c r="M1619" i="2" s="1"/>
  <c r="J1603" i="2"/>
  <c r="M1603" i="2" s="1"/>
  <c r="J1587" i="2"/>
  <c r="M1587" i="2" s="1"/>
  <c r="J1571" i="2"/>
  <c r="M1571" i="2" s="1"/>
  <c r="J1555" i="2"/>
  <c r="M1555" i="2" s="1"/>
  <c r="J1539" i="2"/>
  <c r="M1539" i="2" s="1"/>
  <c r="J1523" i="2"/>
  <c r="M1523" i="2" s="1"/>
  <c r="J1507" i="2"/>
  <c r="M1507" i="2" s="1"/>
  <c r="J1491" i="2"/>
  <c r="M1491" i="2" s="1"/>
  <c r="J1475" i="2"/>
  <c r="M1475" i="2" s="1"/>
  <c r="J1459" i="2"/>
  <c r="M1459" i="2" s="1"/>
  <c r="J1443" i="2"/>
  <c r="M1443" i="2" s="1"/>
  <c r="J1427" i="2"/>
  <c r="M1427" i="2" s="1"/>
  <c r="J1411" i="2"/>
  <c r="M1411" i="2" s="1"/>
  <c r="J1395" i="2"/>
  <c r="M1395" i="2" s="1"/>
  <c r="J1379" i="2"/>
  <c r="M1379" i="2" s="1"/>
  <c r="J1363" i="2"/>
  <c r="M1363" i="2" s="1"/>
  <c r="J1343" i="2"/>
  <c r="M1343" i="2" s="1"/>
  <c r="J1320" i="2"/>
  <c r="M1320" i="2" s="1"/>
  <c r="J1296" i="2"/>
  <c r="M1296" i="2" s="1"/>
  <c r="J1273" i="2"/>
  <c r="M1273" i="2" s="1"/>
  <c r="J1249" i="2"/>
  <c r="M1249" i="2" s="1"/>
  <c r="J1227" i="2"/>
  <c r="M1227" i="2" s="1"/>
  <c r="J1202" i="2"/>
  <c r="M1202" i="2" s="1"/>
  <c r="J1180" i="2"/>
  <c r="M1180" i="2" s="1"/>
  <c r="J1156" i="2"/>
  <c r="M1156" i="2" s="1"/>
  <c r="J1134" i="2"/>
  <c r="M1134" i="2" s="1"/>
  <c r="J1111" i="2"/>
  <c r="M1111" i="2" s="1"/>
  <c r="J1087" i="2"/>
  <c r="M1087" i="2" s="1"/>
  <c r="J1064" i="2"/>
  <c r="M1064" i="2" s="1"/>
  <c r="J1040" i="2"/>
  <c r="M1040" i="2" s="1"/>
  <c r="J1015" i="2"/>
  <c r="M1015" i="2" s="1"/>
  <c r="J990" i="2"/>
  <c r="M990" i="2" s="1"/>
  <c r="J961" i="2"/>
  <c r="M961" i="2" s="1"/>
  <c r="J932" i="2"/>
  <c r="M932" i="2" s="1"/>
  <c r="J904" i="2"/>
  <c r="M904" i="2" s="1"/>
  <c r="J878" i="2"/>
  <c r="M878" i="2" s="1"/>
  <c r="J848" i="2"/>
  <c r="M848" i="2" s="1"/>
  <c r="J818" i="2"/>
  <c r="M818" i="2" s="1"/>
  <c r="J791" i="2"/>
  <c r="M791" i="2" s="1"/>
  <c r="J763" i="2"/>
  <c r="M763" i="2" s="1"/>
  <c r="J735" i="2"/>
  <c r="M735" i="2" s="1"/>
  <c r="J705" i="2"/>
  <c r="M705" i="2" s="1"/>
  <c r="J676" i="2"/>
  <c r="M676" i="2" s="1"/>
  <c r="J648" i="2"/>
  <c r="M648" i="2" s="1"/>
  <c r="J622" i="2"/>
  <c r="M622" i="2" s="1"/>
  <c r="J592" i="2"/>
  <c r="M592" i="2" s="1"/>
  <c r="J562" i="2"/>
  <c r="M562" i="2" s="1"/>
  <c r="J535" i="2"/>
  <c r="M535" i="2" s="1"/>
  <c r="J507" i="2"/>
  <c r="M507" i="2" s="1"/>
  <c r="J479" i="2"/>
  <c r="M479" i="2" s="1"/>
  <c r="J449" i="2"/>
  <c r="M449" i="2" s="1"/>
  <c r="J420" i="2"/>
  <c r="M420" i="2" s="1"/>
  <c r="J392" i="2"/>
  <c r="M392" i="2" s="1"/>
  <c r="J366" i="2"/>
  <c r="M366" i="2" s="1"/>
  <c r="J336" i="2"/>
  <c r="M336" i="2" s="1"/>
  <c r="J306" i="2"/>
  <c r="M306" i="2" s="1"/>
  <c r="J279" i="2"/>
  <c r="M279" i="2" s="1"/>
  <c r="J251" i="2"/>
  <c r="M251" i="2" s="1"/>
  <c r="J223" i="2"/>
  <c r="M223" i="2" s="1"/>
  <c r="J193" i="2"/>
  <c r="M193" i="2" s="1"/>
  <c r="J164" i="2"/>
  <c r="M164" i="2" s="1"/>
  <c r="J136" i="2"/>
  <c r="M136" i="2" s="1"/>
  <c r="J110" i="2"/>
  <c r="M110" i="2" s="1"/>
  <c r="J80" i="2"/>
  <c r="M80" i="2" s="1"/>
  <c r="J50" i="2"/>
  <c r="M50" i="2" s="1"/>
  <c r="J23" i="2"/>
  <c r="M23" i="2" s="1"/>
  <c r="J1922" i="2"/>
  <c r="M1922" i="2" s="1"/>
  <c r="J1906" i="2"/>
  <c r="M1906" i="2" s="1"/>
  <c r="J1890" i="2"/>
  <c r="M1890" i="2" s="1"/>
  <c r="J1874" i="2"/>
  <c r="M1874" i="2" s="1"/>
  <c r="J1858" i="2"/>
  <c r="M1858" i="2" s="1"/>
  <c r="J1842" i="2"/>
  <c r="M1842" i="2" s="1"/>
  <c r="J1826" i="2"/>
  <c r="M1826" i="2" s="1"/>
  <c r="J1810" i="2"/>
  <c r="M1810" i="2" s="1"/>
  <c r="J1794" i="2"/>
  <c r="M1794" i="2" s="1"/>
  <c r="J1778" i="2"/>
  <c r="M1778" i="2" s="1"/>
  <c r="J1762" i="2"/>
  <c r="M1762" i="2" s="1"/>
  <c r="J1746" i="2"/>
  <c r="M1746" i="2" s="1"/>
  <c r="J1730" i="2"/>
  <c r="M1730" i="2" s="1"/>
  <c r="J1714" i="2"/>
  <c r="M1714" i="2" s="1"/>
  <c r="J1698" i="2"/>
  <c r="M1698" i="2" s="1"/>
  <c r="J1682" i="2"/>
  <c r="M1682" i="2" s="1"/>
  <c r="J1666" i="2"/>
  <c r="M1666" i="2" s="1"/>
  <c r="J1650" i="2"/>
  <c r="M1650" i="2" s="1"/>
  <c r="J1634" i="2"/>
  <c r="M1634" i="2" s="1"/>
  <c r="J1618" i="2"/>
  <c r="M1618" i="2" s="1"/>
  <c r="J1602" i="2"/>
  <c r="M1602" i="2" s="1"/>
  <c r="J1586" i="2"/>
  <c r="M1586" i="2" s="1"/>
  <c r="J1570" i="2"/>
  <c r="M1570" i="2" s="1"/>
  <c r="J1554" i="2"/>
  <c r="M1554" i="2" s="1"/>
  <c r="J1538" i="2"/>
  <c r="M1538" i="2" s="1"/>
  <c r="J1522" i="2"/>
  <c r="M1522" i="2" s="1"/>
  <c r="J1506" i="2"/>
  <c r="M1506" i="2" s="1"/>
  <c r="J1490" i="2"/>
  <c r="M1490" i="2" s="1"/>
  <c r="J1474" i="2"/>
  <c r="M1474" i="2" s="1"/>
  <c r="J1458" i="2"/>
  <c r="M1458" i="2" s="1"/>
  <c r="J1442" i="2"/>
  <c r="M1442" i="2" s="1"/>
  <c r="J1426" i="2"/>
  <c r="M1426" i="2" s="1"/>
  <c r="J1410" i="2"/>
  <c r="M1410" i="2" s="1"/>
  <c r="J1394" i="2"/>
  <c r="M1394" i="2" s="1"/>
  <c r="J1378" i="2"/>
  <c r="M1378" i="2" s="1"/>
  <c r="J1362" i="2"/>
  <c r="M1362" i="2" s="1"/>
  <c r="J1342" i="2"/>
  <c r="M1342" i="2" s="1"/>
  <c r="J1319" i="2"/>
  <c r="M1319" i="2" s="1"/>
  <c r="J1295" i="2"/>
  <c r="M1295" i="2" s="1"/>
  <c r="J1272" i="2"/>
  <c r="M1272" i="2" s="1"/>
  <c r="J1248" i="2"/>
  <c r="M1248" i="2" s="1"/>
  <c r="J1225" i="2"/>
  <c r="M1225" i="2" s="1"/>
  <c r="J1201" i="2"/>
  <c r="M1201" i="2" s="1"/>
  <c r="J1179" i="2"/>
  <c r="M1179" i="2" s="1"/>
  <c r="J1154" i="2"/>
  <c r="M1154" i="2" s="1"/>
  <c r="J1132" i="2"/>
  <c r="M1132" i="2" s="1"/>
  <c r="J1108" i="2"/>
  <c r="M1108" i="2" s="1"/>
  <c r="J1086" i="2"/>
  <c r="M1086" i="2" s="1"/>
  <c r="J1063" i="2"/>
  <c r="M1063" i="2" s="1"/>
  <c r="J1039" i="2"/>
  <c r="M1039" i="2" s="1"/>
  <c r="J1012" i="2"/>
  <c r="M1012" i="2" s="1"/>
  <c r="J987" i="2"/>
  <c r="M987" i="2" s="1"/>
  <c r="J960" i="2"/>
  <c r="M960" i="2" s="1"/>
  <c r="J930" i="2"/>
  <c r="M930" i="2" s="1"/>
  <c r="J903" i="2"/>
  <c r="M903" i="2" s="1"/>
  <c r="J875" i="2"/>
  <c r="M875" i="2" s="1"/>
  <c r="J847" i="2"/>
  <c r="M847" i="2" s="1"/>
  <c r="J817" i="2"/>
  <c r="M817" i="2" s="1"/>
  <c r="J788" i="2"/>
  <c r="M788" i="2" s="1"/>
  <c r="J760" i="2"/>
  <c r="M760" i="2" s="1"/>
  <c r="J734" i="2"/>
  <c r="M734" i="2" s="1"/>
  <c r="J704" i="2"/>
  <c r="M704" i="2" s="1"/>
  <c r="J674" i="2"/>
  <c r="M674" i="2" s="1"/>
  <c r="J647" i="2"/>
  <c r="M647" i="2" s="1"/>
  <c r="J619" i="2"/>
  <c r="M619" i="2" s="1"/>
  <c r="J591" i="2"/>
  <c r="M591" i="2" s="1"/>
  <c r="J561" i="2"/>
  <c r="M561" i="2" s="1"/>
  <c r="J532" i="2"/>
  <c r="M532" i="2" s="1"/>
  <c r="J504" i="2"/>
  <c r="M504" i="2" s="1"/>
  <c r="J478" i="2"/>
  <c r="M478" i="2" s="1"/>
  <c r="J448" i="2"/>
  <c r="M448" i="2" s="1"/>
  <c r="J418" i="2"/>
  <c r="M418" i="2" s="1"/>
  <c r="J391" i="2"/>
  <c r="M391" i="2" s="1"/>
  <c r="J363" i="2"/>
  <c r="M363" i="2" s="1"/>
  <c r="J335" i="2"/>
  <c r="M335" i="2" s="1"/>
  <c r="J305" i="2"/>
  <c r="M305" i="2" s="1"/>
  <c r="J276" i="2"/>
  <c r="M276" i="2" s="1"/>
  <c r="J248" i="2"/>
  <c r="M248" i="2" s="1"/>
  <c r="J222" i="2"/>
  <c r="M222" i="2" s="1"/>
  <c r="J192" i="2"/>
  <c r="M192" i="2" s="1"/>
  <c r="J162" i="2"/>
  <c r="M162" i="2" s="1"/>
  <c r="J135" i="2"/>
  <c r="M135" i="2" s="1"/>
  <c r="J107" i="2"/>
  <c r="M107" i="2" s="1"/>
  <c r="J79" i="2"/>
  <c r="M79" i="2" s="1"/>
  <c r="J49" i="2"/>
  <c r="M49" i="2" s="1"/>
  <c r="J20" i="2"/>
  <c r="M20" i="2" s="1"/>
  <c r="J1905" i="2"/>
  <c r="M1905" i="2" s="1"/>
  <c r="J1889" i="2"/>
  <c r="M1889" i="2" s="1"/>
  <c r="J1873" i="2"/>
  <c r="M1873" i="2" s="1"/>
  <c r="J1857" i="2"/>
  <c r="M1857" i="2" s="1"/>
  <c r="J1841" i="2"/>
  <c r="M1841" i="2" s="1"/>
  <c r="J1825" i="2"/>
  <c r="M1825" i="2" s="1"/>
  <c r="J1809" i="2"/>
  <c r="M1809" i="2" s="1"/>
  <c r="J1793" i="2"/>
  <c r="M1793" i="2" s="1"/>
  <c r="J1777" i="2"/>
  <c r="M1777" i="2" s="1"/>
  <c r="J1761" i="2"/>
  <c r="M1761" i="2" s="1"/>
  <c r="J1745" i="2"/>
  <c r="M1745" i="2" s="1"/>
  <c r="J1729" i="2"/>
  <c r="M1729" i="2" s="1"/>
  <c r="J1713" i="2"/>
  <c r="M1713" i="2" s="1"/>
  <c r="J1697" i="2"/>
  <c r="M1697" i="2" s="1"/>
  <c r="J1681" i="2"/>
  <c r="M1681" i="2" s="1"/>
  <c r="J1665" i="2"/>
  <c r="M1665" i="2" s="1"/>
  <c r="J1649" i="2"/>
  <c r="M1649" i="2" s="1"/>
  <c r="J1633" i="2"/>
  <c r="M1633" i="2" s="1"/>
  <c r="J1617" i="2"/>
  <c r="M1617" i="2" s="1"/>
  <c r="J1601" i="2"/>
  <c r="M1601" i="2" s="1"/>
  <c r="J1585" i="2"/>
  <c r="M1585" i="2" s="1"/>
  <c r="J1569" i="2"/>
  <c r="M1569" i="2" s="1"/>
  <c r="J1553" i="2"/>
  <c r="M1553" i="2" s="1"/>
  <c r="J1537" i="2"/>
  <c r="M1537" i="2" s="1"/>
  <c r="J1521" i="2"/>
  <c r="M1521" i="2" s="1"/>
  <c r="J1505" i="2"/>
  <c r="M1505" i="2" s="1"/>
  <c r="J1489" i="2"/>
  <c r="M1489" i="2" s="1"/>
  <c r="J1473" i="2"/>
  <c r="M1473" i="2" s="1"/>
  <c r="J1457" i="2"/>
  <c r="M1457" i="2" s="1"/>
  <c r="J1441" i="2"/>
  <c r="M1441" i="2" s="1"/>
  <c r="J1425" i="2"/>
  <c r="M1425" i="2" s="1"/>
  <c r="J1409" i="2"/>
  <c r="M1409" i="2" s="1"/>
  <c r="J1393" i="2"/>
  <c r="M1393" i="2" s="1"/>
  <c r="J1377" i="2"/>
  <c r="M1377" i="2" s="1"/>
  <c r="J1361" i="2"/>
  <c r="M1361" i="2" s="1"/>
  <c r="J1340" i="2"/>
  <c r="M1340" i="2" s="1"/>
  <c r="J1316" i="2"/>
  <c r="M1316" i="2" s="1"/>
  <c r="J1294" i="2"/>
  <c r="M1294" i="2" s="1"/>
  <c r="J1271" i="2"/>
  <c r="M1271" i="2" s="1"/>
  <c r="J1247" i="2"/>
  <c r="M1247" i="2" s="1"/>
  <c r="J1224" i="2"/>
  <c r="M1224" i="2" s="1"/>
  <c r="J1200" i="2"/>
  <c r="M1200" i="2" s="1"/>
  <c r="J1177" i="2"/>
  <c r="M1177" i="2" s="1"/>
  <c r="J1153" i="2"/>
  <c r="M1153" i="2" s="1"/>
  <c r="J1131" i="2"/>
  <c r="M1131" i="2" s="1"/>
  <c r="J1106" i="2"/>
  <c r="M1106" i="2" s="1"/>
  <c r="J1084" i="2"/>
  <c r="M1084" i="2" s="1"/>
  <c r="J1060" i="2"/>
  <c r="M1060" i="2" s="1"/>
  <c r="J1038" i="2"/>
  <c r="M1038" i="2" s="1"/>
  <c r="J1010" i="2"/>
  <c r="M1010" i="2" s="1"/>
  <c r="J985" i="2"/>
  <c r="M985" i="2" s="1"/>
  <c r="J959" i="2"/>
  <c r="M959" i="2" s="1"/>
  <c r="J929" i="2"/>
  <c r="M929" i="2" s="1"/>
  <c r="J900" i="2"/>
  <c r="M900" i="2" s="1"/>
  <c r="J872" i="2"/>
  <c r="M872" i="2" s="1"/>
  <c r="J846" i="2"/>
  <c r="M846" i="2" s="1"/>
  <c r="J816" i="2"/>
  <c r="M816" i="2" s="1"/>
  <c r="J786" i="2"/>
  <c r="M786" i="2" s="1"/>
  <c r="J759" i="2"/>
  <c r="M759" i="2" s="1"/>
  <c r="J731" i="2"/>
  <c r="M731" i="2" s="1"/>
  <c r="J703" i="2"/>
  <c r="M703" i="2" s="1"/>
  <c r="J673" i="2"/>
  <c r="M673" i="2" s="1"/>
  <c r="J644" i="2"/>
  <c r="M644" i="2" s="1"/>
  <c r="J616" i="2"/>
  <c r="M616" i="2" s="1"/>
  <c r="J590" i="2"/>
  <c r="M590" i="2" s="1"/>
  <c r="J560" i="2"/>
  <c r="M560" i="2" s="1"/>
  <c r="J530" i="2"/>
  <c r="M530" i="2" s="1"/>
  <c r="J503" i="2"/>
  <c r="M503" i="2" s="1"/>
  <c r="J475" i="2"/>
  <c r="M475" i="2" s="1"/>
  <c r="J447" i="2"/>
  <c r="M447" i="2" s="1"/>
  <c r="J417" i="2"/>
  <c r="M417" i="2" s="1"/>
  <c r="J388" i="2"/>
  <c r="M388" i="2" s="1"/>
  <c r="J360" i="2"/>
  <c r="M360" i="2" s="1"/>
  <c r="J334" i="2"/>
  <c r="M334" i="2" s="1"/>
  <c r="J304" i="2"/>
  <c r="M304" i="2" s="1"/>
  <c r="J274" i="2"/>
  <c r="M274" i="2" s="1"/>
  <c r="J247" i="2"/>
  <c r="M247" i="2" s="1"/>
  <c r="J219" i="2"/>
  <c r="M219" i="2" s="1"/>
  <c r="J191" i="2"/>
  <c r="M191" i="2" s="1"/>
  <c r="J161" i="2"/>
  <c r="M161" i="2" s="1"/>
  <c r="J132" i="2"/>
  <c r="M132" i="2" s="1"/>
  <c r="J104" i="2"/>
  <c r="M104" i="2" s="1"/>
  <c r="J78" i="2"/>
  <c r="M78" i="2" s="1"/>
  <c r="J48" i="2"/>
  <c r="M48" i="2" s="1"/>
  <c r="J18" i="2"/>
  <c r="M18" i="2" s="1"/>
  <c r="J17" i="2"/>
  <c r="M17" i="2" s="1"/>
  <c r="J16" i="2"/>
  <c r="M16" i="2" s="1"/>
  <c r="J15" i="2"/>
  <c r="M15" i="2" s="1"/>
  <c r="J14" i="2"/>
  <c r="M14" i="2" s="1"/>
  <c r="J1341" i="2"/>
  <c r="M1341" i="2" s="1"/>
  <c r="J1325" i="2"/>
  <c r="M1325" i="2" s="1"/>
  <c r="J1309" i="2"/>
  <c r="M1309" i="2" s="1"/>
  <c r="J1293" i="2"/>
  <c r="M1293" i="2" s="1"/>
  <c r="J1277" i="2"/>
  <c r="M1277" i="2" s="1"/>
  <c r="J1261" i="2"/>
  <c r="M1261" i="2" s="1"/>
  <c r="J1245" i="2"/>
  <c r="M1245" i="2" s="1"/>
  <c r="J1229" i="2"/>
  <c r="M1229" i="2" s="1"/>
  <c r="J1213" i="2"/>
  <c r="M1213" i="2" s="1"/>
  <c r="J1197" i="2"/>
  <c r="M1197" i="2" s="1"/>
  <c r="J1181" i="2"/>
  <c r="M1181" i="2" s="1"/>
  <c r="J1165" i="2"/>
  <c r="M1165" i="2" s="1"/>
  <c r="J1149" i="2"/>
  <c r="M1149" i="2" s="1"/>
  <c r="J1133" i="2"/>
  <c r="M1133" i="2" s="1"/>
  <c r="J1117" i="2"/>
  <c r="M1117" i="2" s="1"/>
  <c r="J1101" i="2"/>
  <c r="M1101" i="2" s="1"/>
  <c r="J1085" i="2"/>
  <c r="M1085" i="2" s="1"/>
  <c r="J1069" i="2"/>
  <c r="M1069" i="2" s="1"/>
  <c r="J1053" i="2"/>
  <c r="M1053" i="2" s="1"/>
  <c r="J1037" i="2"/>
  <c r="M1037" i="2" s="1"/>
  <c r="J1021" i="2"/>
  <c r="M1021" i="2" s="1"/>
  <c r="J1005" i="2"/>
  <c r="M1005" i="2" s="1"/>
  <c r="J989" i="2"/>
  <c r="M989" i="2" s="1"/>
  <c r="J973" i="2"/>
  <c r="M973" i="2" s="1"/>
  <c r="J957" i="2"/>
  <c r="M957" i="2" s="1"/>
  <c r="J941" i="2"/>
  <c r="M941" i="2" s="1"/>
  <c r="J925" i="2"/>
  <c r="M925" i="2" s="1"/>
  <c r="J909" i="2"/>
  <c r="M909" i="2" s="1"/>
  <c r="J893" i="2"/>
  <c r="M893" i="2" s="1"/>
  <c r="J877" i="2"/>
  <c r="M877" i="2" s="1"/>
  <c r="J861" i="2"/>
  <c r="M861" i="2" s="1"/>
  <c r="J845" i="2"/>
  <c r="M845" i="2" s="1"/>
  <c r="J829" i="2"/>
  <c r="M829" i="2" s="1"/>
  <c r="J813" i="2"/>
  <c r="M813" i="2" s="1"/>
  <c r="J797" i="2"/>
  <c r="M797" i="2" s="1"/>
  <c r="J781" i="2"/>
  <c r="M781" i="2" s="1"/>
  <c r="J765" i="2"/>
  <c r="M765" i="2" s="1"/>
  <c r="J749" i="2"/>
  <c r="M749" i="2" s="1"/>
  <c r="J733" i="2"/>
  <c r="M733" i="2" s="1"/>
  <c r="J717" i="2"/>
  <c r="M717" i="2" s="1"/>
  <c r="J701" i="2"/>
  <c r="M701" i="2" s="1"/>
  <c r="J685" i="2"/>
  <c r="M685" i="2" s="1"/>
  <c r="J669" i="2"/>
  <c r="M669" i="2" s="1"/>
  <c r="J653" i="2"/>
  <c r="M653" i="2" s="1"/>
  <c r="J637" i="2"/>
  <c r="M637" i="2" s="1"/>
  <c r="J621" i="2"/>
  <c r="M621" i="2" s="1"/>
  <c r="J605" i="2"/>
  <c r="M605" i="2" s="1"/>
  <c r="J589" i="2"/>
  <c r="M589" i="2" s="1"/>
  <c r="J573" i="2"/>
  <c r="M573" i="2" s="1"/>
  <c r="J557" i="2"/>
  <c r="M557" i="2" s="1"/>
  <c r="J541" i="2"/>
  <c r="M541" i="2" s="1"/>
  <c r="J525" i="2"/>
  <c r="M525" i="2" s="1"/>
  <c r="J509" i="2"/>
  <c r="M509" i="2" s="1"/>
  <c r="J493" i="2"/>
  <c r="M493" i="2" s="1"/>
  <c r="J477" i="2"/>
  <c r="M477" i="2" s="1"/>
  <c r="J461" i="2"/>
  <c r="M461" i="2" s="1"/>
  <c r="J445" i="2"/>
  <c r="M445" i="2" s="1"/>
  <c r="J429" i="2"/>
  <c r="M429" i="2" s="1"/>
  <c r="J413" i="2"/>
  <c r="M413" i="2" s="1"/>
  <c r="J397" i="2"/>
  <c r="M397" i="2" s="1"/>
  <c r="J381" i="2"/>
  <c r="M381" i="2" s="1"/>
  <c r="J365" i="2"/>
  <c r="M365" i="2" s="1"/>
  <c r="J349" i="2"/>
  <c r="M349" i="2" s="1"/>
  <c r="J333" i="2"/>
  <c r="M333" i="2" s="1"/>
  <c r="J317" i="2"/>
  <c r="M317" i="2" s="1"/>
  <c r="J301" i="2"/>
  <c r="M301" i="2" s="1"/>
  <c r="J285" i="2"/>
  <c r="M285" i="2" s="1"/>
  <c r="J269" i="2"/>
  <c r="M269" i="2" s="1"/>
  <c r="J253" i="2"/>
  <c r="M253" i="2" s="1"/>
  <c r="J237" i="2"/>
  <c r="M237" i="2" s="1"/>
  <c r="J221" i="2"/>
  <c r="M221" i="2" s="1"/>
  <c r="J205" i="2"/>
  <c r="M205" i="2" s="1"/>
  <c r="J189" i="2"/>
  <c r="M189" i="2" s="1"/>
  <c r="J173" i="2"/>
  <c r="M173" i="2" s="1"/>
  <c r="J157" i="2"/>
  <c r="M157" i="2" s="1"/>
  <c r="J141" i="2"/>
  <c r="M141" i="2" s="1"/>
  <c r="J125" i="2"/>
  <c r="M125" i="2" s="1"/>
  <c r="J109" i="2"/>
  <c r="M109" i="2" s="1"/>
  <c r="J93" i="2"/>
  <c r="M93" i="2" s="1"/>
  <c r="J77" i="2"/>
  <c r="M77" i="2" s="1"/>
  <c r="J61" i="2"/>
  <c r="M61" i="2" s="1"/>
  <c r="J45" i="2"/>
  <c r="M45" i="2" s="1"/>
  <c r="J29" i="2"/>
  <c r="M29" i="2" s="1"/>
  <c r="J13" i="2"/>
  <c r="M13" i="2" s="1"/>
  <c r="J1036" i="2"/>
  <c r="M1036" i="2" s="1"/>
  <c r="J1020" i="2"/>
  <c r="M1020" i="2" s="1"/>
  <c r="J1004" i="2"/>
  <c r="M1004" i="2" s="1"/>
  <c r="J988" i="2"/>
  <c r="M988" i="2" s="1"/>
  <c r="J972" i="2"/>
  <c r="M972" i="2" s="1"/>
  <c r="J956" i="2"/>
  <c r="M956" i="2" s="1"/>
  <c r="J940" i="2"/>
  <c r="M940" i="2" s="1"/>
  <c r="J924" i="2"/>
  <c r="M924" i="2" s="1"/>
  <c r="J908" i="2"/>
  <c r="M908" i="2" s="1"/>
  <c r="J892" i="2"/>
  <c r="M892" i="2" s="1"/>
  <c r="J876" i="2"/>
  <c r="M876" i="2" s="1"/>
  <c r="J860" i="2"/>
  <c r="M860" i="2" s="1"/>
  <c r="J844" i="2"/>
  <c r="M844" i="2" s="1"/>
  <c r="J828" i="2"/>
  <c r="M828" i="2" s="1"/>
  <c r="J812" i="2"/>
  <c r="M812" i="2" s="1"/>
  <c r="J796" i="2"/>
  <c r="M796" i="2" s="1"/>
  <c r="J780" i="2"/>
  <c r="M780" i="2" s="1"/>
  <c r="J764" i="2"/>
  <c r="M764" i="2" s="1"/>
  <c r="J748" i="2"/>
  <c r="M748" i="2" s="1"/>
  <c r="J732" i="2"/>
  <c r="M732" i="2" s="1"/>
  <c r="J716" i="2"/>
  <c r="M716" i="2" s="1"/>
  <c r="J700" i="2"/>
  <c r="M700" i="2" s="1"/>
  <c r="J684" i="2"/>
  <c r="M684" i="2" s="1"/>
  <c r="J668" i="2"/>
  <c r="M668" i="2" s="1"/>
  <c r="J652" i="2"/>
  <c r="M652" i="2" s="1"/>
  <c r="J636" i="2"/>
  <c r="M636" i="2" s="1"/>
  <c r="J620" i="2"/>
  <c r="M620" i="2" s="1"/>
  <c r="J604" i="2"/>
  <c r="M604" i="2" s="1"/>
  <c r="J588" i="2"/>
  <c r="M588" i="2" s="1"/>
  <c r="J572" i="2"/>
  <c r="M572" i="2" s="1"/>
  <c r="J556" i="2"/>
  <c r="M556" i="2" s="1"/>
  <c r="J540" i="2"/>
  <c r="M540" i="2" s="1"/>
  <c r="J524" i="2"/>
  <c r="M524" i="2" s="1"/>
  <c r="J508" i="2"/>
  <c r="M508" i="2" s="1"/>
  <c r="J492" i="2"/>
  <c r="M492" i="2" s="1"/>
  <c r="J476" i="2"/>
  <c r="M476" i="2" s="1"/>
  <c r="J460" i="2"/>
  <c r="M460" i="2" s="1"/>
  <c r="J444" i="2"/>
  <c r="M444" i="2" s="1"/>
  <c r="J428" i="2"/>
  <c r="M428" i="2" s="1"/>
  <c r="J412" i="2"/>
  <c r="M412" i="2" s="1"/>
  <c r="J396" i="2"/>
  <c r="M396" i="2" s="1"/>
  <c r="J380" i="2"/>
  <c r="M380" i="2" s="1"/>
  <c r="J364" i="2"/>
  <c r="M364" i="2" s="1"/>
  <c r="J348" i="2"/>
  <c r="M348" i="2" s="1"/>
  <c r="J332" i="2"/>
  <c r="M332" i="2" s="1"/>
  <c r="J316" i="2"/>
  <c r="M316" i="2" s="1"/>
  <c r="J300" i="2"/>
  <c r="M300" i="2" s="1"/>
  <c r="J284" i="2"/>
  <c r="M284" i="2" s="1"/>
  <c r="J268" i="2"/>
  <c r="M268" i="2" s="1"/>
  <c r="J252" i="2"/>
  <c r="M252" i="2" s="1"/>
  <c r="J236" i="2"/>
  <c r="M236" i="2" s="1"/>
  <c r="J220" i="2"/>
  <c r="M220" i="2" s="1"/>
  <c r="J204" i="2"/>
  <c r="M204" i="2" s="1"/>
  <c r="J188" i="2"/>
  <c r="M188" i="2" s="1"/>
  <c r="J172" i="2"/>
  <c r="M172" i="2" s="1"/>
  <c r="J156" i="2"/>
  <c r="M156" i="2" s="1"/>
  <c r="J140" i="2"/>
  <c r="M140" i="2" s="1"/>
  <c r="J124" i="2"/>
  <c r="M124" i="2" s="1"/>
  <c r="J108" i="2"/>
  <c r="M108" i="2" s="1"/>
  <c r="J92" i="2"/>
  <c r="M92" i="2" s="1"/>
  <c r="J76" i="2"/>
  <c r="M76" i="2" s="1"/>
  <c r="J60" i="2"/>
  <c r="M60" i="2" s="1"/>
  <c r="J44" i="2"/>
  <c r="M44" i="2" s="1"/>
  <c r="J28" i="2"/>
  <c r="M28" i="2" s="1"/>
  <c r="J12" i="2"/>
  <c r="M12" i="2" s="1"/>
  <c r="J11" i="2"/>
  <c r="M11" i="2" s="1"/>
  <c r="J1354" i="2"/>
  <c r="M1354" i="2" s="1"/>
  <c r="J1338" i="2"/>
  <c r="M1338" i="2" s="1"/>
  <c r="J1322" i="2"/>
  <c r="M1322" i="2" s="1"/>
  <c r="J1306" i="2"/>
  <c r="M1306" i="2" s="1"/>
  <c r="J1290" i="2"/>
  <c r="M1290" i="2" s="1"/>
  <c r="J1274" i="2"/>
  <c r="M1274" i="2" s="1"/>
  <c r="J1258" i="2"/>
  <c r="M1258" i="2" s="1"/>
  <c r="J1242" i="2"/>
  <c r="M1242" i="2" s="1"/>
  <c r="J1226" i="2"/>
  <c r="M1226" i="2" s="1"/>
  <c r="J1210" i="2"/>
  <c r="M1210" i="2" s="1"/>
  <c r="J1194" i="2"/>
  <c r="M1194" i="2" s="1"/>
  <c r="J1178" i="2"/>
  <c r="M1178" i="2" s="1"/>
  <c r="J1162" i="2"/>
  <c r="M1162" i="2" s="1"/>
  <c r="J1146" i="2"/>
  <c r="M1146" i="2" s="1"/>
  <c r="J1130" i="2"/>
  <c r="M1130" i="2" s="1"/>
  <c r="J1114" i="2"/>
  <c r="M1114" i="2" s="1"/>
  <c r="J1098" i="2"/>
  <c r="M1098" i="2" s="1"/>
  <c r="J1082" i="2"/>
  <c r="M1082" i="2" s="1"/>
  <c r="J1066" i="2"/>
  <c r="M1066" i="2" s="1"/>
  <c r="J1050" i="2"/>
  <c r="M1050" i="2" s="1"/>
  <c r="J1034" i="2"/>
  <c r="M1034" i="2" s="1"/>
  <c r="J1018" i="2"/>
  <c r="M1018" i="2" s="1"/>
  <c r="J1002" i="2"/>
  <c r="M1002" i="2" s="1"/>
  <c r="J986" i="2"/>
  <c r="M986" i="2" s="1"/>
  <c r="J970" i="2"/>
  <c r="M970" i="2" s="1"/>
  <c r="J954" i="2"/>
  <c r="M954" i="2" s="1"/>
  <c r="J938" i="2"/>
  <c r="M938" i="2" s="1"/>
  <c r="J922" i="2"/>
  <c r="M922" i="2" s="1"/>
  <c r="J906" i="2"/>
  <c r="M906" i="2" s="1"/>
  <c r="J890" i="2"/>
  <c r="M890" i="2" s="1"/>
  <c r="J874" i="2"/>
  <c r="M874" i="2" s="1"/>
  <c r="J858" i="2"/>
  <c r="M858" i="2" s="1"/>
  <c r="J842" i="2"/>
  <c r="M842" i="2" s="1"/>
  <c r="J826" i="2"/>
  <c r="M826" i="2" s="1"/>
  <c r="J810" i="2"/>
  <c r="M810" i="2" s="1"/>
  <c r="J794" i="2"/>
  <c r="M794" i="2" s="1"/>
  <c r="J778" i="2"/>
  <c r="M778" i="2" s="1"/>
  <c r="J762" i="2"/>
  <c r="M762" i="2" s="1"/>
  <c r="J746" i="2"/>
  <c r="M746" i="2" s="1"/>
  <c r="J730" i="2"/>
  <c r="M730" i="2" s="1"/>
  <c r="J714" i="2"/>
  <c r="M714" i="2" s="1"/>
  <c r="J698" i="2"/>
  <c r="M698" i="2" s="1"/>
  <c r="J682" i="2"/>
  <c r="M682" i="2" s="1"/>
  <c r="J666" i="2"/>
  <c r="M666" i="2" s="1"/>
  <c r="J650" i="2"/>
  <c r="M650" i="2" s="1"/>
  <c r="J634" i="2"/>
  <c r="M634" i="2" s="1"/>
  <c r="J618" i="2"/>
  <c r="M618" i="2" s="1"/>
  <c r="J602" i="2"/>
  <c r="M602" i="2" s="1"/>
  <c r="J586" i="2"/>
  <c r="M586" i="2" s="1"/>
  <c r="J570" i="2"/>
  <c r="M570" i="2" s="1"/>
  <c r="J554" i="2"/>
  <c r="M554" i="2" s="1"/>
  <c r="J538" i="2"/>
  <c r="M538" i="2" s="1"/>
  <c r="J522" i="2"/>
  <c r="M522" i="2" s="1"/>
  <c r="J506" i="2"/>
  <c r="M506" i="2" s="1"/>
  <c r="J490" i="2"/>
  <c r="M490" i="2" s="1"/>
  <c r="J474" i="2"/>
  <c r="M474" i="2" s="1"/>
  <c r="J458" i="2"/>
  <c r="M458" i="2" s="1"/>
  <c r="J442" i="2"/>
  <c r="M442" i="2" s="1"/>
  <c r="J426" i="2"/>
  <c r="M426" i="2" s="1"/>
  <c r="J410" i="2"/>
  <c r="M410" i="2" s="1"/>
  <c r="J394" i="2"/>
  <c r="M394" i="2" s="1"/>
  <c r="J378" i="2"/>
  <c r="M378" i="2" s="1"/>
  <c r="J362" i="2"/>
  <c r="M362" i="2" s="1"/>
  <c r="J346" i="2"/>
  <c r="M346" i="2" s="1"/>
  <c r="J330" i="2"/>
  <c r="M330" i="2" s="1"/>
  <c r="J314" i="2"/>
  <c r="M314" i="2" s="1"/>
  <c r="J298" i="2"/>
  <c r="M298" i="2" s="1"/>
  <c r="J282" i="2"/>
  <c r="M282" i="2" s="1"/>
  <c r="J266" i="2"/>
  <c r="M266" i="2" s="1"/>
  <c r="J250" i="2"/>
  <c r="M250" i="2" s="1"/>
  <c r="J234" i="2"/>
  <c r="M234" i="2" s="1"/>
  <c r="J218" i="2"/>
  <c r="M218" i="2" s="1"/>
  <c r="J202" i="2"/>
  <c r="M202" i="2" s="1"/>
  <c r="J186" i="2"/>
  <c r="M186" i="2" s="1"/>
  <c r="J170" i="2"/>
  <c r="M170" i="2" s="1"/>
  <c r="J154" i="2"/>
  <c r="M154" i="2" s="1"/>
  <c r="J138" i="2"/>
  <c r="M138" i="2" s="1"/>
  <c r="J122" i="2"/>
  <c r="M122" i="2" s="1"/>
  <c r="J106" i="2"/>
  <c r="M106" i="2" s="1"/>
  <c r="J90" i="2"/>
  <c r="M90" i="2" s="1"/>
  <c r="J74" i="2"/>
  <c r="M74" i="2" s="1"/>
  <c r="J58" i="2"/>
  <c r="M58" i="2" s="1"/>
  <c r="J42" i="2"/>
  <c r="M42" i="2" s="1"/>
  <c r="J26" i="2"/>
  <c r="M26" i="2" s="1"/>
  <c r="J10" i="2"/>
  <c r="M10" i="2" s="1"/>
  <c r="J969" i="2"/>
  <c r="M969" i="2" s="1"/>
  <c r="J953" i="2"/>
  <c r="M953" i="2" s="1"/>
  <c r="J937" i="2"/>
  <c r="M937" i="2" s="1"/>
  <c r="J921" i="2"/>
  <c r="M921" i="2" s="1"/>
  <c r="J905" i="2"/>
  <c r="M905" i="2" s="1"/>
  <c r="J889" i="2"/>
  <c r="M889" i="2" s="1"/>
  <c r="J873" i="2"/>
  <c r="M873" i="2" s="1"/>
  <c r="J857" i="2"/>
  <c r="M857" i="2" s="1"/>
  <c r="J841" i="2"/>
  <c r="M841" i="2" s="1"/>
  <c r="J825" i="2"/>
  <c r="M825" i="2" s="1"/>
  <c r="J809" i="2"/>
  <c r="M809" i="2" s="1"/>
  <c r="J793" i="2"/>
  <c r="M793" i="2" s="1"/>
  <c r="J777" i="2"/>
  <c r="M777" i="2" s="1"/>
  <c r="J761" i="2"/>
  <c r="M761" i="2" s="1"/>
  <c r="J745" i="2"/>
  <c r="M745" i="2" s="1"/>
  <c r="J729" i="2"/>
  <c r="M729" i="2" s="1"/>
  <c r="J713" i="2"/>
  <c r="M713" i="2" s="1"/>
  <c r="J697" i="2"/>
  <c r="M697" i="2" s="1"/>
  <c r="J681" i="2"/>
  <c r="M681" i="2" s="1"/>
  <c r="J665" i="2"/>
  <c r="M665" i="2" s="1"/>
  <c r="J649" i="2"/>
  <c r="M649" i="2" s="1"/>
  <c r="J633" i="2"/>
  <c r="M633" i="2" s="1"/>
  <c r="J617" i="2"/>
  <c r="M617" i="2" s="1"/>
  <c r="J601" i="2"/>
  <c r="M601" i="2" s="1"/>
  <c r="J585" i="2"/>
  <c r="M585" i="2" s="1"/>
  <c r="J569" i="2"/>
  <c r="M569" i="2" s="1"/>
  <c r="J553" i="2"/>
  <c r="M553" i="2" s="1"/>
  <c r="J537" i="2"/>
  <c r="M537" i="2" s="1"/>
  <c r="J521" i="2"/>
  <c r="M521" i="2" s="1"/>
  <c r="J505" i="2"/>
  <c r="M505" i="2" s="1"/>
  <c r="J489" i="2"/>
  <c r="M489" i="2" s="1"/>
  <c r="J473" i="2"/>
  <c r="M473" i="2" s="1"/>
  <c r="J457" i="2"/>
  <c r="M457" i="2" s="1"/>
  <c r="J441" i="2"/>
  <c r="M441" i="2" s="1"/>
  <c r="J425" i="2"/>
  <c r="M425" i="2" s="1"/>
  <c r="J409" i="2"/>
  <c r="M409" i="2" s="1"/>
  <c r="J393" i="2"/>
  <c r="M393" i="2" s="1"/>
  <c r="J377" i="2"/>
  <c r="M377" i="2" s="1"/>
  <c r="J361" i="2"/>
  <c r="M361" i="2" s="1"/>
  <c r="J345" i="2"/>
  <c r="M345" i="2" s="1"/>
  <c r="J329" i="2"/>
  <c r="M329" i="2" s="1"/>
  <c r="J313" i="2"/>
  <c r="M313" i="2" s="1"/>
  <c r="J297" i="2"/>
  <c r="M297" i="2" s="1"/>
  <c r="J281" i="2"/>
  <c r="M281" i="2" s="1"/>
  <c r="J265" i="2"/>
  <c r="M265" i="2" s="1"/>
  <c r="J249" i="2"/>
  <c r="M249" i="2" s="1"/>
  <c r="J233" i="2"/>
  <c r="M233" i="2" s="1"/>
  <c r="J217" i="2"/>
  <c r="M217" i="2" s="1"/>
  <c r="J201" i="2"/>
  <c r="M201" i="2" s="1"/>
  <c r="J185" i="2"/>
  <c r="M185" i="2" s="1"/>
  <c r="J169" i="2"/>
  <c r="M169" i="2" s="1"/>
  <c r="J153" i="2"/>
  <c r="M153" i="2" s="1"/>
  <c r="J137" i="2"/>
  <c r="M137" i="2" s="1"/>
  <c r="J121" i="2"/>
  <c r="M121" i="2" s="1"/>
  <c r="J105" i="2"/>
  <c r="M105" i="2" s="1"/>
  <c r="J89" i="2"/>
  <c r="M89" i="2" s="1"/>
  <c r="J73" i="2"/>
  <c r="M73" i="2" s="1"/>
  <c r="J57" i="2"/>
  <c r="M57" i="2" s="1"/>
  <c r="J41" i="2"/>
  <c r="M41" i="2" s="1"/>
  <c r="J25" i="2"/>
  <c r="M25" i="2" s="1"/>
  <c r="J9" i="2"/>
  <c r="M9" i="2" s="1"/>
  <c r="J8" i="2"/>
  <c r="M8" i="2" s="1"/>
  <c r="J7" i="2"/>
  <c r="M7" i="2" s="1"/>
  <c r="J1350" i="2"/>
  <c r="M1350" i="2" s="1"/>
  <c r="J1334" i="2"/>
  <c r="M1334" i="2" s="1"/>
  <c r="J1318" i="2"/>
  <c r="M1318" i="2" s="1"/>
  <c r="J1302" i="2"/>
  <c r="M1302" i="2" s="1"/>
  <c r="J1286" i="2"/>
  <c r="M1286" i="2" s="1"/>
  <c r="J1270" i="2"/>
  <c r="M1270" i="2" s="1"/>
  <c r="J1254" i="2"/>
  <c r="M1254" i="2" s="1"/>
  <c r="J1238" i="2"/>
  <c r="M1238" i="2" s="1"/>
  <c r="J1222" i="2"/>
  <c r="M1222" i="2" s="1"/>
  <c r="J1206" i="2"/>
  <c r="M1206" i="2" s="1"/>
  <c r="J1190" i="2"/>
  <c r="M1190" i="2" s="1"/>
  <c r="J1174" i="2"/>
  <c r="M1174" i="2" s="1"/>
  <c r="J1158" i="2"/>
  <c r="M1158" i="2" s="1"/>
  <c r="J1142" i="2"/>
  <c r="M1142" i="2" s="1"/>
  <c r="J1126" i="2"/>
  <c r="M1126" i="2" s="1"/>
  <c r="J1110" i="2"/>
  <c r="M1110" i="2" s="1"/>
  <c r="J1094" i="2"/>
  <c r="M1094" i="2" s="1"/>
  <c r="J1078" i="2"/>
  <c r="M1078" i="2" s="1"/>
  <c r="J1062" i="2"/>
  <c r="M1062" i="2" s="1"/>
  <c r="J1046" i="2"/>
  <c r="M1046" i="2" s="1"/>
  <c r="J1030" i="2"/>
  <c r="M1030" i="2" s="1"/>
  <c r="J1014" i="2"/>
  <c r="M1014" i="2" s="1"/>
  <c r="J998" i="2"/>
  <c r="M998" i="2" s="1"/>
  <c r="J982" i="2"/>
  <c r="M982" i="2" s="1"/>
  <c r="J966" i="2"/>
  <c r="M966" i="2" s="1"/>
  <c r="J950" i="2"/>
  <c r="M950" i="2" s="1"/>
  <c r="J934" i="2"/>
  <c r="M934" i="2" s="1"/>
  <c r="J918" i="2"/>
  <c r="M918" i="2" s="1"/>
  <c r="J902" i="2"/>
  <c r="M902" i="2" s="1"/>
  <c r="J886" i="2"/>
  <c r="M886" i="2" s="1"/>
  <c r="J870" i="2"/>
  <c r="M870" i="2" s="1"/>
  <c r="J854" i="2"/>
  <c r="M854" i="2" s="1"/>
  <c r="J838" i="2"/>
  <c r="M838" i="2" s="1"/>
  <c r="J822" i="2"/>
  <c r="M822" i="2" s="1"/>
  <c r="J806" i="2"/>
  <c r="M806" i="2" s="1"/>
  <c r="J790" i="2"/>
  <c r="M790" i="2" s="1"/>
  <c r="J774" i="2"/>
  <c r="M774" i="2" s="1"/>
  <c r="J758" i="2"/>
  <c r="M758" i="2" s="1"/>
  <c r="J742" i="2"/>
  <c r="M742" i="2" s="1"/>
  <c r="J726" i="2"/>
  <c r="M726" i="2" s="1"/>
  <c r="J710" i="2"/>
  <c r="M710" i="2" s="1"/>
  <c r="J694" i="2"/>
  <c r="M694" i="2" s="1"/>
  <c r="J678" i="2"/>
  <c r="M678" i="2" s="1"/>
  <c r="J662" i="2"/>
  <c r="M662" i="2" s="1"/>
  <c r="J646" i="2"/>
  <c r="M646" i="2" s="1"/>
  <c r="J630" i="2"/>
  <c r="M630" i="2" s="1"/>
  <c r="J614" i="2"/>
  <c r="M614" i="2" s="1"/>
  <c r="J598" i="2"/>
  <c r="M598" i="2" s="1"/>
  <c r="J582" i="2"/>
  <c r="M582" i="2" s="1"/>
  <c r="J566" i="2"/>
  <c r="M566" i="2" s="1"/>
  <c r="J550" i="2"/>
  <c r="M550" i="2" s="1"/>
  <c r="J534" i="2"/>
  <c r="M534" i="2" s="1"/>
  <c r="J518" i="2"/>
  <c r="M518" i="2" s="1"/>
  <c r="J502" i="2"/>
  <c r="M502" i="2" s="1"/>
  <c r="J486" i="2"/>
  <c r="M486" i="2" s="1"/>
  <c r="J470" i="2"/>
  <c r="M470" i="2" s="1"/>
  <c r="J454" i="2"/>
  <c r="M454" i="2" s="1"/>
  <c r="J438" i="2"/>
  <c r="M438" i="2" s="1"/>
  <c r="J422" i="2"/>
  <c r="M422" i="2" s="1"/>
  <c r="J406" i="2"/>
  <c r="M406" i="2" s="1"/>
  <c r="J390" i="2"/>
  <c r="M390" i="2" s="1"/>
  <c r="J374" i="2"/>
  <c r="M374" i="2" s="1"/>
  <c r="J358" i="2"/>
  <c r="M358" i="2" s="1"/>
  <c r="J342" i="2"/>
  <c r="M342" i="2" s="1"/>
  <c r="J326" i="2"/>
  <c r="M326" i="2" s="1"/>
  <c r="J310" i="2"/>
  <c r="M310" i="2" s="1"/>
  <c r="J294" i="2"/>
  <c r="M294" i="2" s="1"/>
  <c r="J278" i="2"/>
  <c r="M278" i="2" s="1"/>
  <c r="J262" i="2"/>
  <c r="M262" i="2" s="1"/>
  <c r="J246" i="2"/>
  <c r="M246" i="2" s="1"/>
  <c r="J230" i="2"/>
  <c r="M230" i="2" s="1"/>
  <c r="J214" i="2"/>
  <c r="M214" i="2" s="1"/>
  <c r="J198" i="2"/>
  <c r="M198" i="2" s="1"/>
  <c r="J182" i="2"/>
  <c r="M182" i="2" s="1"/>
  <c r="J166" i="2"/>
  <c r="M166" i="2" s="1"/>
  <c r="J150" i="2"/>
  <c r="M150" i="2" s="1"/>
  <c r="J134" i="2"/>
  <c r="M134" i="2" s="1"/>
  <c r="J118" i="2"/>
  <c r="M118" i="2" s="1"/>
  <c r="J102" i="2"/>
  <c r="M102" i="2" s="1"/>
  <c r="J86" i="2"/>
  <c r="M86" i="2" s="1"/>
  <c r="J70" i="2"/>
  <c r="M70" i="2" s="1"/>
  <c r="J54" i="2"/>
  <c r="M54" i="2" s="1"/>
  <c r="J38" i="2"/>
  <c r="M38" i="2" s="1"/>
  <c r="J22" i="2"/>
  <c r="M22" i="2" s="1"/>
  <c r="J1349" i="2"/>
  <c r="M1349" i="2" s="1"/>
  <c r="J1333" i="2"/>
  <c r="M1333" i="2" s="1"/>
  <c r="J1317" i="2"/>
  <c r="M1317" i="2" s="1"/>
  <c r="J1301" i="2"/>
  <c r="M1301" i="2" s="1"/>
  <c r="J1285" i="2"/>
  <c r="M1285" i="2" s="1"/>
  <c r="J1269" i="2"/>
  <c r="M1269" i="2" s="1"/>
  <c r="J1253" i="2"/>
  <c r="M1253" i="2" s="1"/>
  <c r="J1237" i="2"/>
  <c r="M1237" i="2" s="1"/>
  <c r="J1221" i="2"/>
  <c r="M1221" i="2" s="1"/>
  <c r="J1205" i="2"/>
  <c r="M1205" i="2" s="1"/>
  <c r="J1189" i="2"/>
  <c r="M1189" i="2" s="1"/>
  <c r="J1173" i="2"/>
  <c r="M1173" i="2" s="1"/>
  <c r="J1157" i="2"/>
  <c r="M1157" i="2" s="1"/>
  <c r="J1141" i="2"/>
  <c r="M1141" i="2" s="1"/>
  <c r="J1125" i="2"/>
  <c r="M1125" i="2" s="1"/>
  <c r="J1109" i="2"/>
  <c r="M1109" i="2" s="1"/>
  <c r="J1093" i="2"/>
  <c r="M1093" i="2" s="1"/>
  <c r="J1077" i="2"/>
  <c r="M1077" i="2" s="1"/>
  <c r="J1061" i="2"/>
  <c r="M1061" i="2" s="1"/>
  <c r="J1045" i="2"/>
  <c r="M1045" i="2" s="1"/>
  <c r="J1029" i="2"/>
  <c r="M1029" i="2" s="1"/>
  <c r="J1013" i="2"/>
  <c r="M1013" i="2" s="1"/>
  <c r="J997" i="2"/>
  <c r="M997" i="2" s="1"/>
  <c r="J981" i="2"/>
  <c r="M981" i="2" s="1"/>
  <c r="J965" i="2"/>
  <c r="M965" i="2" s="1"/>
  <c r="J949" i="2"/>
  <c r="M949" i="2" s="1"/>
  <c r="J933" i="2"/>
  <c r="M933" i="2" s="1"/>
  <c r="J917" i="2"/>
  <c r="M917" i="2" s="1"/>
  <c r="J901" i="2"/>
  <c r="M901" i="2" s="1"/>
  <c r="J885" i="2"/>
  <c r="M885" i="2" s="1"/>
  <c r="J869" i="2"/>
  <c r="M869" i="2" s="1"/>
  <c r="J853" i="2"/>
  <c r="M853" i="2" s="1"/>
  <c r="J837" i="2"/>
  <c r="M837" i="2" s="1"/>
  <c r="J821" i="2"/>
  <c r="M821" i="2" s="1"/>
  <c r="J805" i="2"/>
  <c r="M805" i="2" s="1"/>
  <c r="J789" i="2"/>
  <c r="M789" i="2" s="1"/>
  <c r="J773" i="2"/>
  <c r="M773" i="2" s="1"/>
  <c r="J757" i="2"/>
  <c r="M757" i="2" s="1"/>
  <c r="J741" i="2"/>
  <c r="M741" i="2" s="1"/>
  <c r="J725" i="2"/>
  <c r="M725" i="2" s="1"/>
  <c r="J709" i="2"/>
  <c r="M709" i="2" s="1"/>
  <c r="J693" i="2"/>
  <c r="M693" i="2" s="1"/>
  <c r="J677" i="2"/>
  <c r="M677" i="2" s="1"/>
  <c r="J661" i="2"/>
  <c r="M661" i="2" s="1"/>
  <c r="J645" i="2"/>
  <c r="M645" i="2" s="1"/>
  <c r="J629" i="2"/>
  <c r="M629" i="2" s="1"/>
  <c r="J613" i="2"/>
  <c r="M613" i="2" s="1"/>
  <c r="J597" i="2"/>
  <c r="M597" i="2" s="1"/>
  <c r="J581" i="2"/>
  <c r="M581" i="2" s="1"/>
  <c r="J565" i="2"/>
  <c r="M565" i="2" s="1"/>
  <c r="J549" i="2"/>
  <c r="M549" i="2" s="1"/>
  <c r="J533" i="2"/>
  <c r="M533" i="2" s="1"/>
  <c r="J517" i="2"/>
  <c r="M517" i="2" s="1"/>
  <c r="J501" i="2"/>
  <c r="M501" i="2" s="1"/>
  <c r="J485" i="2"/>
  <c r="M485" i="2" s="1"/>
  <c r="J469" i="2"/>
  <c r="M469" i="2" s="1"/>
  <c r="J453" i="2"/>
  <c r="M453" i="2" s="1"/>
  <c r="J437" i="2"/>
  <c r="M437" i="2" s="1"/>
  <c r="J421" i="2"/>
  <c r="M421" i="2" s="1"/>
  <c r="J405" i="2"/>
  <c r="M405" i="2" s="1"/>
  <c r="J389" i="2"/>
  <c r="M389" i="2" s="1"/>
  <c r="J373" i="2"/>
  <c r="M373" i="2" s="1"/>
  <c r="J357" i="2"/>
  <c r="M357" i="2" s="1"/>
  <c r="J341" i="2"/>
  <c r="M341" i="2" s="1"/>
  <c r="J325" i="2"/>
  <c r="M325" i="2" s="1"/>
  <c r="J309" i="2"/>
  <c r="M309" i="2" s="1"/>
  <c r="J293" i="2"/>
  <c r="M293" i="2" s="1"/>
  <c r="J277" i="2"/>
  <c r="M277" i="2" s="1"/>
  <c r="J261" i="2"/>
  <c r="M261" i="2" s="1"/>
  <c r="J245" i="2"/>
  <c r="M245" i="2" s="1"/>
  <c r="J229" i="2"/>
  <c r="M229" i="2" s="1"/>
  <c r="J213" i="2"/>
  <c r="M213" i="2" s="1"/>
  <c r="J197" i="2"/>
  <c r="M197" i="2" s="1"/>
  <c r="J181" i="2"/>
  <c r="M181" i="2" s="1"/>
  <c r="J165" i="2"/>
  <c r="M165" i="2" s="1"/>
  <c r="J149" i="2"/>
  <c r="M149" i="2" s="1"/>
  <c r="J133" i="2"/>
  <c r="M133" i="2" s="1"/>
  <c r="J117" i="2"/>
  <c r="M117" i="2" s="1"/>
  <c r="J101" i="2"/>
  <c r="M101" i="2" s="1"/>
  <c r="J85" i="2"/>
  <c r="M85" i="2" s="1"/>
  <c r="J69" i="2"/>
  <c r="M69" i="2" s="1"/>
  <c r="J53" i="2"/>
  <c r="M53" i="2" s="1"/>
  <c r="J37" i="2"/>
  <c r="M37" i="2" s="1"/>
  <c r="J21" i="2"/>
  <c r="M21" i="2" s="1"/>
  <c r="J5" i="2"/>
  <c r="M5" i="2" s="1"/>
  <c r="J4" i="2"/>
  <c r="M4" i="2" s="1"/>
  <c r="J1347" i="2"/>
  <c r="M1347" i="2" s="1"/>
  <c r="J1331" i="2"/>
  <c r="M1331" i="2" s="1"/>
  <c r="J1315" i="2"/>
  <c r="M1315" i="2" s="1"/>
  <c r="J1299" i="2"/>
  <c r="M1299" i="2" s="1"/>
  <c r="J1283" i="2"/>
  <c r="M1283" i="2" s="1"/>
  <c r="J1267" i="2"/>
  <c r="M1267" i="2" s="1"/>
  <c r="J1251" i="2"/>
  <c r="M1251" i="2" s="1"/>
  <c r="J1235" i="2"/>
  <c r="M1235" i="2" s="1"/>
  <c r="J1219" i="2"/>
  <c r="M1219" i="2" s="1"/>
  <c r="J1203" i="2"/>
  <c r="M1203" i="2" s="1"/>
  <c r="J1187" i="2"/>
  <c r="M1187" i="2" s="1"/>
  <c r="J1171" i="2"/>
  <c r="M1171" i="2" s="1"/>
  <c r="J1155" i="2"/>
  <c r="M1155" i="2" s="1"/>
  <c r="J1139" i="2"/>
  <c r="M1139" i="2" s="1"/>
  <c r="J1123" i="2"/>
  <c r="M1123" i="2" s="1"/>
  <c r="J1107" i="2"/>
  <c r="M1107" i="2" s="1"/>
  <c r="J1091" i="2"/>
  <c r="M1091" i="2" s="1"/>
  <c r="J1075" i="2"/>
  <c r="M1075" i="2" s="1"/>
  <c r="J1059" i="2"/>
  <c r="M1059" i="2" s="1"/>
  <c r="J1043" i="2"/>
  <c r="M1043" i="2" s="1"/>
  <c r="J1027" i="2"/>
  <c r="M1027" i="2" s="1"/>
  <c r="J1011" i="2"/>
  <c r="M1011" i="2" s="1"/>
  <c r="J995" i="2"/>
  <c r="M995" i="2" s="1"/>
  <c r="J979" i="2"/>
  <c r="M979" i="2" s="1"/>
  <c r="J963" i="2"/>
  <c r="M963" i="2" s="1"/>
  <c r="J947" i="2"/>
  <c r="M947" i="2" s="1"/>
  <c r="J931" i="2"/>
  <c r="M931" i="2" s="1"/>
  <c r="J915" i="2"/>
  <c r="M915" i="2" s="1"/>
  <c r="J899" i="2"/>
  <c r="M899" i="2" s="1"/>
  <c r="J883" i="2"/>
  <c r="M883" i="2" s="1"/>
  <c r="J867" i="2"/>
  <c r="M867" i="2" s="1"/>
  <c r="J851" i="2"/>
  <c r="M851" i="2" s="1"/>
  <c r="J835" i="2"/>
  <c r="M835" i="2" s="1"/>
  <c r="J819" i="2"/>
  <c r="M819" i="2" s="1"/>
  <c r="J803" i="2"/>
  <c r="M803" i="2" s="1"/>
  <c r="J787" i="2"/>
  <c r="M787" i="2" s="1"/>
  <c r="J771" i="2"/>
  <c r="M771" i="2" s="1"/>
  <c r="J755" i="2"/>
  <c r="M755" i="2" s="1"/>
  <c r="J739" i="2"/>
  <c r="M739" i="2" s="1"/>
  <c r="J723" i="2"/>
  <c r="M723" i="2" s="1"/>
  <c r="J707" i="2"/>
  <c r="M707" i="2" s="1"/>
  <c r="J691" i="2"/>
  <c r="M691" i="2" s="1"/>
  <c r="J675" i="2"/>
  <c r="M675" i="2" s="1"/>
  <c r="J659" i="2"/>
  <c r="M659" i="2" s="1"/>
  <c r="J643" i="2"/>
  <c r="M643" i="2" s="1"/>
  <c r="J627" i="2"/>
  <c r="M627" i="2" s="1"/>
  <c r="J611" i="2"/>
  <c r="M611" i="2" s="1"/>
  <c r="J595" i="2"/>
  <c r="M595" i="2" s="1"/>
  <c r="J579" i="2"/>
  <c r="M579" i="2" s="1"/>
  <c r="J563" i="2"/>
  <c r="M563" i="2" s="1"/>
  <c r="J547" i="2"/>
  <c r="M547" i="2" s="1"/>
  <c r="J531" i="2"/>
  <c r="M531" i="2" s="1"/>
  <c r="J515" i="2"/>
  <c r="M515" i="2" s="1"/>
  <c r="J499" i="2"/>
  <c r="M499" i="2" s="1"/>
  <c r="J483" i="2"/>
  <c r="M483" i="2" s="1"/>
  <c r="J467" i="2"/>
  <c r="M467" i="2" s="1"/>
  <c r="J451" i="2"/>
  <c r="M451" i="2" s="1"/>
  <c r="J435" i="2"/>
  <c r="M435" i="2" s="1"/>
  <c r="J419" i="2"/>
  <c r="M419" i="2" s="1"/>
  <c r="J403" i="2"/>
  <c r="M403" i="2" s="1"/>
  <c r="J387" i="2"/>
  <c r="M387" i="2" s="1"/>
  <c r="J371" i="2"/>
  <c r="M371" i="2" s="1"/>
  <c r="J355" i="2"/>
  <c r="M355" i="2" s="1"/>
  <c r="J339" i="2"/>
  <c r="M339" i="2" s="1"/>
  <c r="J323" i="2"/>
  <c r="M323" i="2" s="1"/>
  <c r="J307" i="2"/>
  <c r="M307" i="2" s="1"/>
  <c r="J291" i="2"/>
  <c r="M291" i="2" s="1"/>
  <c r="J275" i="2"/>
  <c r="M275" i="2" s="1"/>
  <c r="J259" i="2"/>
  <c r="M259" i="2" s="1"/>
  <c r="J243" i="2"/>
  <c r="M243" i="2" s="1"/>
  <c r="J227" i="2"/>
  <c r="M227" i="2" s="1"/>
  <c r="J211" i="2"/>
  <c r="M211" i="2" s="1"/>
  <c r="J195" i="2"/>
  <c r="M195" i="2" s="1"/>
  <c r="J179" i="2"/>
  <c r="M179" i="2" s="1"/>
  <c r="J163" i="2"/>
  <c r="M163" i="2" s="1"/>
  <c r="J147" i="2"/>
  <c r="M147" i="2" s="1"/>
  <c r="J131" i="2"/>
  <c r="M131" i="2" s="1"/>
  <c r="J115" i="2"/>
  <c r="M115" i="2" s="1"/>
  <c r="J99" i="2"/>
  <c r="M99" i="2" s="1"/>
  <c r="J83" i="2"/>
  <c r="M83" i="2" s="1"/>
  <c r="J67" i="2"/>
  <c r="M67" i="2" s="1"/>
  <c r="J51" i="2"/>
  <c r="M51" i="2" s="1"/>
  <c r="J35" i="2"/>
  <c r="M35" i="2" s="1"/>
  <c r="J19" i="2"/>
  <c r="M19" i="2" s="1"/>
  <c r="J3" i="2"/>
  <c r="M3" i="2" s="1"/>
  <c r="J2" i="2"/>
  <c r="M2" i="2" s="1"/>
  <c r="J6" i="2"/>
  <c r="M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0E85DE-767A-4A51-A214-438D8DC5A8C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5FF1DE2-C4BF-47F3-95E9-E57FB35A0D0A}" name="WorksheetConnection_sale-customer (1)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customer1.xlsxTable11"/>
        </x15:connection>
      </ext>
    </extLst>
  </connection>
  <connection id="3" xr16:uid="{CD33A3DB-7433-43C7-BB5C-6717C4746C3A}" name="WorksheetConnection_sale-customer (1).xlsx!Table13" type="102" refreshedVersion="8" minRefreshableVersion="5">
    <extLst>
      <ext xmlns:x15="http://schemas.microsoft.com/office/spreadsheetml/2010/11/main" uri="{DE250136-89BD-433C-8126-D09CA5730AF9}">
        <x15:connection id="Table13">
          <x15:rangePr sourceName="_xlcn.WorksheetConnection_salecustomer1.xlsxTable131"/>
        </x15:connection>
      </ext>
    </extLst>
  </connection>
</connections>
</file>

<file path=xl/sharedStrings.xml><?xml version="1.0" encoding="utf-8"?>
<sst xmlns="http://schemas.openxmlformats.org/spreadsheetml/2006/main" count="48200" uniqueCount="12062">
  <si>
    <t>C100299</t>
  </si>
  <si>
    <t>C100322</t>
  </si>
  <si>
    <t>C100484</t>
  </si>
  <si>
    <t>C100507</t>
  </si>
  <si>
    <t>C100684</t>
  </si>
  <si>
    <t>C101074</t>
  </si>
  <si>
    <t>C101108</t>
  </si>
  <si>
    <t>C101196</t>
  </si>
  <si>
    <t>C101248</t>
  </si>
  <si>
    <t>C101261</t>
  </si>
  <si>
    <t>C101550</t>
  </si>
  <si>
    <t>C101897</t>
  </si>
  <si>
    <t>C102275</t>
  </si>
  <si>
    <t>C102301</t>
  </si>
  <si>
    <t>C102515</t>
  </si>
  <si>
    <t>C102560</t>
  </si>
  <si>
    <t>C102567</t>
  </si>
  <si>
    <t>C102607</t>
  </si>
  <si>
    <t>C102685</t>
  </si>
  <si>
    <t>C102849</t>
  </si>
  <si>
    <t>C102926</t>
  </si>
  <si>
    <t>C103073</t>
  </si>
  <si>
    <t>C103461</t>
  </si>
  <si>
    <t>C103577</t>
  </si>
  <si>
    <t>C103741</t>
  </si>
  <si>
    <t>C103824</t>
  </si>
  <si>
    <t>C103877</t>
  </si>
  <si>
    <t>C103888</t>
  </si>
  <si>
    <t>C103896</t>
  </si>
  <si>
    <t>C103944</t>
  </si>
  <si>
    <t>C104350</t>
  </si>
  <si>
    <t>C104690</t>
  </si>
  <si>
    <t>C104728</t>
  </si>
  <si>
    <t>C104963</t>
  </si>
  <si>
    <t>C104985</t>
  </si>
  <si>
    <t>C105060</t>
  </si>
  <si>
    <t>C105423</t>
  </si>
  <si>
    <t>C105429</t>
  </si>
  <si>
    <t>C105474</t>
  </si>
  <si>
    <t>C105743</t>
  </si>
  <si>
    <t>C105764</t>
  </si>
  <si>
    <t>C105862</t>
  </si>
  <si>
    <t>C106066</t>
  </si>
  <si>
    <t>C106311</t>
  </si>
  <si>
    <t>C106583</t>
  </si>
  <si>
    <t>C106775</t>
  </si>
  <si>
    <t>C107258</t>
  </si>
  <si>
    <t>C107261</t>
  </si>
  <si>
    <t>C107279</t>
  </si>
  <si>
    <t>C107399</t>
  </si>
  <si>
    <t>C107668</t>
  </si>
  <si>
    <t>C108007</t>
  </si>
  <si>
    <t>C108367</t>
  </si>
  <si>
    <t>C108465</t>
  </si>
  <si>
    <t>C108497</t>
  </si>
  <si>
    <t>C108756</t>
  </si>
  <si>
    <t>C108828</t>
  </si>
  <si>
    <t>C108986</t>
  </si>
  <si>
    <t>C109489</t>
  </si>
  <si>
    <t>C109491</t>
  </si>
  <si>
    <t>C109593</t>
  </si>
  <si>
    <t>C109758</t>
  </si>
  <si>
    <t>C109871</t>
  </si>
  <si>
    <t>C109885</t>
  </si>
  <si>
    <t>C110091</t>
  </si>
  <si>
    <t>C110267</t>
  </si>
  <si>
    <t>C110568</t>
  </si>
  <si>
    <t>C110711</t>
  </si>
  <si>
    <t>C111026</t>
  </si>
  <si>
    <t>C111056</t>
  </si>
  <si>
    <t>C111115</t>
  </si>
  <si>
    <t>C111244</t>
  </si>
  <si>
    <t>C111251</t>
  </si>
  <si>
    <t>C111342</t>
  </si>
  <si>
    <t>C111565</t>
  </si>
  <si>
    <t>C111611</t>
  </si>
  <si>
    <t>C111668</t>
  </si>
  <si>
    <t>C111679</t>
  </si>
  <si>
    <t>C111766</t>
  </si>
  <si>
    <t>C111827</t>
  </si>
  <si>
    <t>C111832</t>
  </si>
  <si>
    <t>C111981</t>
  </si>
  <si>
    <t>C112279</t>
  </si>
  <si>
    <t>C112446</t>
  </si>
  <si>
    <t>C112452</t>
  </si>
  <si>
    <t>C112544</t>
  </si>
  <si>
    <t>C112750</t>
  </si>
  <si>
    <t>C113451</t>
  </si>
  <si>
    <t>C113670</t>
  </si>
  <si>
    <t>C113739</t>
  </si>
  <si>
    <t>C113943</t>
  </si>
  <si>
    <t>C114347</t>
  </si>
  <si>
    <t>C114606</t>
  </si>
  <si>
    <t>C114713</t>
  </si>
  <si>
    <t>C114800</t>
  </si>
  <si>
    <t>C114902</t>
  </si>
  <si>
    <t>C115059</t>
  </si>
  <si>
    <t>C115148</t>
  </si>
  <si>
    <t>C115431</t>
  </si>
  <si>
    <t>C115898</t>
  </si>
  <si>
    <t>C116092</t>
  </si>
  <si>
    <t>C116531</t>
  </si>
  <si>
    <t>C116633</t>
  </si>
  <si>
    <t>C116921</t>
  </si>
  <si>
    <t>C117351</t>
  </si>
  <si>
    <t>C118349</t>
  </si>
  <si>
    <t>C118460</t>
  </si>
  <si>
    <t>C118571</t>
  </si>
  <si>
    <t>C118689</t>
  </si>
  <si>
    <t>C118742</t>
  </si>
  <si>
    <t>C119032</t>
  </si>
  <si>
    <t>C119068</t>
  </si>
  <si>
    <t>C119088</t>
  </si>
  <si>
    <t>C119157</t>
  </si>
  <si>
    <t>C119219</t>
  </si>
  <si>
    <t>C119297</t>
  </si>
  <si>
    <t>C119364</t>
  </si>
  <si>
    <t>C119440</t>
  </si>
  <si>
    <t>C119549</t>
  </si>
  <si>
    <t>C119723</t>
  </si>
  <si>
    <t>C119825</t>
  </si>
  <si>
    <t>C119894</t>
  </si>
  <si>
    <t>C120095</t>
  </si>
  <si>
    <t>C120118</t>
  </si>
  <si>
    <t>C120164</t>
  </si>
  <si>
    <t>C120404</t>
  </si>
  <si>
    <t>C120804</t>
  </si>
  <si>
    <t>C121156</t>
  </si>
  <si>
    <t>C121211</t>
  </si>
  <si>
    <t>C121299</t>
  </si>
  <si>
    <t>C121380</t>
  </si>
  <si>
    <t>C121400</t>
  </si>
  <si>
    <t>C121489</t>
  </si>
  <si>
    <t>C121510</t>
  </si>
  <si>
    <t>C121513</t>
  </si>
  <si>
    <t>C121551</t>
  </si>
  <si>
    <t>C121637</t>
  </si>
  <si>
    <t>C121707</t>
  </si>
  <si>
    <t>C121797</t>
  </si>
  <si>
    <t>C121976</t>
  </si>
  <si>
    <t>C122011</t>
  </si>
  <si>
    <t>C122094</t>
  </si>
  <si>
    <t>C122157</t>
  </si>
  <si>
    <t>C122254</t>
  </si>
  <si>
    <t>C122371</t>
  </si>
  <si>
    <t>C122712</t>
  </si>
  <si>
    <t>C122866</t>
  </si>
  <si>
    <t>C123201</t>
  </si>
  <si>
    <t>C123427</t>
  </si>
  <si>
    <t>C123445</t>
  </si>
  <si>
    <t>C123578</t>
  </si>
  <si>
    <t>C123581</t>
  </si>
  <si>
    <t>C123618</t>
  </si>
  <si>
    <t>C123711</t>
  </si>
  <si>
    <t>C123966</t>
  </si>
  <si>
    <t>C123988</t>
  </si>
  <si>
    <t>C124933</t>
  </si>
  <si>
    <t>C125209</t>
  </si>
  <si>
    <t>C125296</t>
  </si>
  <si>
    <t>C125304</t>
  </si>
  <si>
    <t>C125624</t>
  </si>
  <si>
    <t>C125696</t>
  </si>
  <si>
    <t>C125800</t>
  </si>
  <si>
    <t>C126100</t>
  </si>
  <si>
    <t>C126315</t>
  </si>
  <si>
    <t>C126392</t>
  </si>
  <si>
    <t>C126436</t>
  </si>
  <si>
    <t>C126571</t>
  </si>
  <si>
    <t>C126598</t>
  </si>
  <si>
    <t>C126647</t>
  </si>
  <si>
    <t>C126702</t>
  </si>
  <si>
    <t>C126883</t>
  </si>
  <si>
    <t>C126925</t>
  </si>
  <si>
    <t>C126956</t>
  </si>
  <si>
    <t>C127004</t>
  </si>
  <si>
    <t>C127041</t>
  </si>
  <si>
    <t>C127339</t>
  </si>
  <si>
    <t>C127551</t>
  </si>
  <si>
    <t>C127718</t>
  </si>
  <si>
    <t>C127819</t>
  </si>
  <si>
    <t>C127847</t>
  </si>
  <si>
    <t>C127945</t>
  </si>
  <si>
    <t>C128031</t>
  </si>
  <si>
    <t>C128277</t>
  </si>
  <si>
    <t>C128312</t>
  </si>
  <si>
    <t>C128618</t>
  </si>
  <si>
    <t>C128660</t>
  </si>
  <si>
    <t>C128834</t>
  </si>
  <si>
    <t>C128876</t>
  </si>
  <si>
    <t>C129039</t>
  </si>
  <si>
    <t>C129337</t>
  </si>
  <si>
    <t>C129409</t>
  </si>
  <si>
    <t>C129686</t>
  </si>
  <si>
    <t>C129846</t>
  </si>
  <si>
    <t>C129849</t>
  </si>
  <si>
    <t>C129976</t>
  </si>
  <si>
    <t>C130016</t>
  </si>
  <si>
    <t>C130273</t>
  </si>
  <si>
    <t>C130462</t>
  </si>
  <si>
    <t>C130479</t>
  </si>
  <si>
    <t>C130682</t>
  </si>
  <si>
    <t>C130720</t>
  </si>
  <si>
    <t>C130895</t>
  </si>
  <si>
    <t>C131221</t>
  </si>
  <si>
    <t>C131497</t>
  </si>
  <si>
    <t>C131599</t>
  </si>
  <si>
    <t>C131786</t>
  </si>
  <si>
    <t>C131819</t>
  </si>
  <si>
    <t>C131842</t>
  </si>
  <si>
    <t>C132002</t>
  </si>
  <si>
    <t>C132093</t>
  </si>
  <si>
    <t>C132150</t>
  </si>
  <si>
    <t>C132270</t>
  </si>
  <si>
    <t>C132340</t>
  </si>
  <si>
    <t>C132400</t>
  </si>
  <si>
    <t>C132495</t>
  </si>
  <si>
    <t>C132503</t>
  </si>
  <si>
    <t>C132867</t>
  </si>
  <si>
    <t>C132871</t>
  </si>
  <si>
    <t>C133134</t>
  </si>
  <si>
    <t>C133451</t>
  </si>
  <si>
    <t>C133559</t>
  </si>
  <si>
    <t>C133603</t>
  </si>
  <si>
    <t>C133687</t>
  </si>
  <si>
    <t>C133833</t>
  </si>
  <si>
    <t>C133974</t>
  </si>
  <si>
    <t>C134039</t>
  </si>
  <si>
    <t>C134069</t>
  </si>
  <si>
    <t>C134370</t>
  </si>
  <si>
    <t>C134449</t>
  </si>
  <si>
    <t>C134691</t>
  </si>
  <si>
    <t>C134708</t>
  </si>
  <si>
    <t>C135091</t>
  </si>
  <si>
    <t>C135196</t>
  </si>
  <si>
    <t>C135204</t>
  </si>
  <si>
    <t>C135301</t>
  </si>
  <si>
    <t>C135306</t>
  </si>
  <si>
    <t>C135555</t>
  </si>
  <si>
    <t>C135790</t>
  </si>
  <si>
    <t>C135897</t>
  </si>
  <si>
    <t>C136014</t>
  </si>
  <si>
    <t>C136051</t>
  </si>
  <si>
    <t>C136117</t>
  </si>
  <si>
    <t>C136395</t>
  </si>
  <si>
    <t>C136585</t>
  </si>
  <si>
    <t>C136682</t>
  </si>
  <si>
    <t>C136714</t>
  </si>
  <si>
    <t>C137134</t>
  </si>
  <si>
    <t>C137138</t>
  </si>
  <si>
    <t>C137153</t>
  </si>
  <si>
    <t>C137362</t>
  </si>
  <si>
    <t>C137689</t>
  </si>
  <si>
    <t>C137762</t>
  </si>
  <si>
    <t>C137912</t>
  </si>
  <si>
    <t>C138609</t>
  </si>
  <si>
    <t>C138755</t>
  </si>
  <si>
    <t>C138767</t>
  </si>
  <si>
    <t>C139077</t>
  </si>
  <si>
    <t>C139231</t>
  </si>
  <si>
    <t>C139568</t>
  </si>
  <si>
    <t>C140082</t>
  </si>
  <si>
    <t>C140290</t>
  </si>
  <si>
    <t>C140372</t>
  </si>
  <si>
    <t>C140413</t>
  </si>
  <si>
    <t>C140543</t>
  </si>
  <si>
    <t>C141093</t>
  </si>
  <si>
    <t>C141094</t>
  </si>
  <si>
    <t>C141285</t>
  </si>
  <si>
    <t>C141530</t>
  </si>
  <si>
    <t>C141657</t>
  </si>
  <si>
    <t>C141984</t>
  </si>
  <si>
    <t>C142061</t>
  </si>
  <si>
    <t>C142508</t>
  </si>
  <si>
    <t>C142672</t>
  </si>
  <si>
    <t>C142943</t>
  </si>
  <si>
    <t>C143091</t>
  </si>
  <si>
    <t>C143343</t>
  </si>
  <si>
    <t>C143430</t>
  </si>
  <si>
    <t>C143442</t>
  </si>
  <si>
    <t>C143471</t>
  </si>
  <si>
    <t>C143595</t>
  </si>
  <si>
    <t>C143646</t>
  </si>
  <si>
    <t>C143781</t>
  </si>
  <si>
    <t>C143944</t>
  </si>
  <si>
    <t>C144162</t>
  </si>
  <si>
    <t>C144276</t>
  </si>
  <si>
    <t>C144371</t>
  </si>
  <si>
    <t>C144442</t>
  </si>
  <si>
    <t>C144529</t>
  </si>
  <si>
    <t>C144584</t>
  </si>
  <si>
    <t>C144628</t>
  </si>
  <si>
    <t>C144709</t>
  </si>
  <si>
    <t>C144823</t>
  </si>
  <si>
    <t>C144894</t>
  </si>
  <si>
    <t>C145059</t>
  </si>
  <si>
    <t>C145650</t>
  </si>
  <si>
    <t>C145797</t>
  </si>
  <si>
    <t>C145982</t>
  </si>
  <si>
    <t>C146203</t>
  </si>
  <si>
    <t>C146582</t>
  </si>
  <si>
    <t>C146616</t>
  </si>
  <si>
    <t>C146738</t>
  </si>
  <si>
    <t>C146801</t>
  </si>
  <si>
    <t>C147456</t>
  </si>
  <si>
    <t>C148034</t>
  </si>
  <si>
    <t>C148047</t>
  </si>
  <si>
    <t>C148675</t>
  </si>
  <si>
    <t>C149082</t>
  </si>
  <si>
    <t>C149637</t>
  </si>
  <si>
    <t>C149849</t>
  </si>
  <si>
    <t>C150463</t>
  </si>
  <si>
    <t>C150500</t>
  </si>
  <si>
    <t>C150584</t>
  </si>
  <si>
    <t>C150594</t>
  </si>
  <si>
    <t>C150950</t>
  </si>
  <si>
    <t>C151197</t>
  </si>
  <si>
    <t>C151287</t>
  </si>
  <si>
    <t>C151464</t>
  </si>
  <si>
    <t>C151503</t>
  </si>
  <si>
    <t>C151752</t>
  </si>
  <si>
    <t>C151884</t>
  </si>
  <si>
    <t>C152098</t>
  </si>
  <si>
    <t>C152549</t>
  </si>
  <si>
    <t>C152590</t>
  </si>
  <si>
    <t>C152833</t>
  </si>
  <si>
    <t>C152904</t>
  </si>
  <si>
    <t>C152959</t>
  </si>
  <si>
    <t>C153137</t>
  </si>
  <si>
    <t>C153509</t>
  </si>
  <si>
    <t>C153958</t>
  </si>
  <si>
    <t>C154184</t>
  </si>
  <si>
    <t>C155059</t>
  </si>
  <si>
    <t>C155221</t>
  </si>
  <si>
    <t>C155238</t>
  </si>
  <si>
    <t>C155240</t>
  </si>
  <si>
    <t>C155256</t>
  </si>
  <si>
    <t>C155333</t>
  </si>
  <si>
    <t>C155335</t>
  </si>
  <si>
    <t>C155697</t>
  </si>
  <si>
    <t>C155763</t>
  </si>
  <si>
    <t>C156004</t>
  </si>
  <si>
    <t>C156154</t>
  </si>
  <si>
    <t>C156233</t>
  </si>
  <si>
    <t>C156273</t>
  </si>
  <si>
    <t>C156360</t>
  </si>
  <si>
    <t>C156443</t>
  </si>
  <si>
    <t>C156880</t>
  </si>
  <si>
    <t>C157064</t>
  </si>
  <si>
    <t>C157070</t>
  </si>
  <si>
    <t>C157128</t>
  </si>
  <si>
    <t>C157218</t>
  </si>
  <si>
    <t>C157534</t>
  </si>
  <si>
    <t>C157787</t>
  </si>
  <si>
    <t>C158114</t>
  </si>
  <si>
    <t>C158124</t>
  </si>
  <si>
    <t>C158160</t>
  </si>
  <si>
    <t>C158261</t>
  </si>
  <si>
    <t>C158270</t>
  </si>
  <si>
    <t>C158397</t>
  </si>
  <si>
    <t>C158616</t>
  </si>
  <si>
    <t>C158827</t>
  </si>
  <si>
    <t>C158837</t>
  </si>
  <si>
    <t>C158968</t>
  </si>
  <si>
    <t>C159164</t>
  </si>
  <si>
    <t>C159205</t>
  </si>
  <si>
    <t>C159246</t>
  </si>
  <si>
    <t>C159315</t>
  </si>
  <si>
    <t>C159632</t>
  </si>
  <si>
    <t>C159642</t>
  </si>
  <si>
    <t>C159771</t>
  </si>
  <si>
    <t>C159886</t>
  </si>
  <si>
    <t>C160005</t>
  </si>
  <si>
    <t>C160190</t>
  </si>
  <si>
    <t>C160201</t>
  </si>
  <si>
    <t>C160421</t>
  </si>
  <si>
    <t>C160452</t>
  </si>
  <si>
    <t>C160512</t>
  </si>
  <si>
    <t>C160596</t>
  </si>
  <si>
    <t>C160680</t>
  </si>
  <si>
    <t>C160706</t>
  </si>
  <si>
    <t>C161073</t>
  </si>
  <si>
    <t>C161285</t>
  </si>
  <si>
    <t>C162008</t>
  </si>
  <si>
    <t>C162162</t>
  </si>
  <si>
    <t>C162371</t>
  </si>
  <si>
    <t>C162397</t>
  </si>
  <si>
    <t>C162398</t>
  </si>
  <si>
    <t>C162574</t>
  </si>
  <si>
    <t>C162681</t>
  </si>
  <si>
    <t>C162841</t>
  </si>
  <si>
    <t>C162871</t>
  </si>
  <si>
    <t>C162965</t>
  </si>
  <si>
    <t>C162986</t>
  </si>
  <si>
    <t>C163011</t>
  </si>
  <si>
    <t>C163033</t>
  </si>
  <si>
    <t>C163190</t>
  </si>
  <si>
    <t>C163444</t>
  </si>
  <si>
    <t>C163532</t>
  </si>
  <si>
    <t>C164046</t>
  </si>
  <si>
    <t>C164068</t>
  </si>
  <si>
    <t>C164092</t>
  </si>
  <si>
    <t>C164577</t>
  </si>
  <si>
    <t>C164662</t>
  </si>
  <si>
    <t>C164916</t>
  </si>
  <si>
    <t>C164988</t>
  </si>
  <si>
    <t>C165331</t>
  </si>
  <si>
    <t>C165705</t>
  </si>
  <si>
    <t>C165812</t>
  </si>
  <si>
    <t>C166142</t>
  </si>
  <si>
    <t>C166181</t>
  </si>
  <si>
    <t>C166191</t>
  </si>
  <si>
    <t>C166635</t>
  </si>
  <si>
    <t>C166800</t>
  </si>
  <si>
    <t>C167158</t>
  </si>
  <si>
    <t>C167183</t>
  </si>
  <si>
    <t>C168310</t>
  </si>
  <si>
    <t>C168348</t>
  </si>
  <si>
    <t>C168491</t>
  </si>
  <si>
    <t>C168663</t>
  </si>
  <si>
    <t>C168912</t>
  </si>
  <si>
    <t>C168973</t>
  </si>
  <si>
    <t>C169406</t>
  </si>
  <si>
    <t>C169477</t>
  </si>
  <si>
    <t>C169650</t>
  </si>
  <si>
    <t>C169676</t>
  </si>
  <si>
    <t>C169749</t>
  </si>
  <si>
    <t>C170219</t>
  </si>
  <si>
    <t>C170508</t>
  </si>
  <si>
    <t>C170711</t>
  </si>
  <si>
    <t>C170925</t>
  </si>
  <si>
    <t>C170928</t>
  </si>
  <si>
    <t>C170934</t>
  </si>
  <si>
    <t>C170969</t>
  </si>
  <si>
    <t>C171015</t>
  </si>
  <si>
    <t>C171122</t>
  </si>
  <si>
    <t>C171154</t>
  </si>
  <si>
    <t>C171160</t>
  </si>
  <si>
    <t>C171377</t>
  </si>
  <si>
    <t>C171987</t>
  </si>
  <si>
    <t>C172185</t>
  </si>
  <si>
    <t>C172204</t>
  </si>
  <si>
    <t>C172351</t>
  </si>
  <si>
    <t>C172646</t>
  </si>
  <si>
    <t>C172691</t>
  </si>
  <si>
    <t>C172917</t>
  </si>
  <si>
    <t>C172966</t>
  </si>
  <si>
    <t>C173084</t>
  </si>
  <si>
    <t>C173388</t>
  </si>
  <si>
    <t>C173860</t>
  </si>
  <si>
    <t>C173979</t>
  </si>
  <si>
    <t>C174194</t>
  </si>
  <si>
    <t>C174330</t>
  </si>
  <si>
    <t>C174747</t>
  </si>
  <si>
    <t>C175449</t>
  </si>
  <si>
    <t>C175467</t>
  </si>
  <si>
    <t>C175732</t>
  </si>
  <si>
    <t>C175833</t>
  </si>
  <si>
    <t>C175946</t>
  </si>
  <si>
    <t>C176063</t>
  </si>
  <si>
    <t>C176086</t>
  </si>
  <si>
    <t>C176312</t>
  </si>
  <si>
    <t>C176572</t>
  </si>
  <si>
    <t>C176604</t>
  </si>
  <si>
    <t>C176686</t>
  </si>
  <si>
    <t>C176727</t>
  </si>
  <si>
    <t>C176802</t>
  </si>
  <si>
    <t>C176854</t>
  </si>
  <si>
    <t>C177280</t>
  </si>
  <si>
    <t>C177475</t>
  </si>
  <si>
    <t>C177500</t>
  </si>
  <si>
    <t>C177823</t>
  </si>
  <si>
    <t>C177975</t>
  </si>
  <si>
    <t>C178176</t>
  </si>
  <si>
    <t>C178487</t>
  </si>
  <si>
    <t>C178734</t>
  </si>
  <si>
    <t>C178845</t>
  </si>
  <si>
    <t>C179024</t>
  </si>
  <si>
    <t>C179057</t>
  </si>
  <si>
    <t>C179309</t>
  </si>
  <si>
    <t>C179590</t>
  </si>
  <si>
    <t>C179726</t>
  </si>
  <si>
    <t>C179915</t>
  </si>
  <si>
    <t>C180375</t>
  </si>
  <si>
    <t>C180485</t>
  </si>
  <si>
    <t>C180586</t>
  </si>
  <si>
    <t>C180589</t>
  </si>
  <si>
    <t>C180651</t>
  </si>
  <si>
    <t>C180719</t>
  </si>
  <si>
    <t>C181184</t>
  </si>
  <si>
    <t>C181284</t>
  </si>
  <si>
    <t>C181619</t>
  </si>
  <si>
    <t>C181912</t>
  </si>
  <si>
    <t>C181939</t>
  </si>
  <si>
    <t>C181972</t>
  </si>
  <si>
    <t>C182105</t>
  </si>
  <si>
    <t>C182162</t>
  </si>
  <si>
    <t>C182235</t>
  </si>
  <si>
    <t>C182302</t>
  </si>
  <si>
    <t>C182320</t>
  </si>
  <si>
    <t>C182595</t>
  </si>
  <si>
    <t>C182606</t>
  </si>
  <si>
    <t>C182693</t>
  </si>
  <si>
    <t>C182933</t>
  </si>
  <si>
    <t>C183011</t>
  </si>
  <si>
    <t>C183356</t>
  </si>
  <si>
    <t>C183404</t>
  </si>
  <si>
    <t>C183588</t>
  </si>
  <si>
    <t>C183611</t>
  </si>
  <si>
    <t>C183706</t>
  </si>
  <si>
    <t>C183846</t>
  </si>
  <si>
    <t>C183888</t>
  </si>
  <si>
    <t>C184052</t>
  </si>
  <si>
    <t>C184126</t>
  </si>
  <si>
    <t>C184300</t>
  </si>
  <si>
    <t>C184322</t>
  </si>
  <si>
    <t>C184428</t>
  </si>
  <si>
    <t>C184459</t>
  </si>
  <si>
    <t>C184727</t>
  </si>
  <si>
    <t>C184744</t>
  </si>
  <si>
    <t>C184882</t>
  </si>
  <si>
    <t>C184990</t>
  </si>
  <si>
    <t>C185049</t>
  </si>
  <si>
    <t>C185501</t>
  </si>
  <si>
    <t>C185502</t>
  </si>
  <si>
    <t>C185774</t>
  </si>
  <si>
    <t>C186023</t>
  </si>
  <si>
    <t>C186098</t>
  </si>
  <si>
    <t>C186861</t>
  </si>
  <si>
    <t>C187068</t>
  </si>
  <si>
    <t>C187110</t>
  </si>
  <si>
    <t>C187266</t>
  </si>
  <si>
    <t>C187422</t>
  </si>
  <si>
    <t>C187608</t>
  </si>
  <si>
    <t>C187813</t>
  </si>
  <si>
    <t>C188064</t>
  </si>
  <si>
    <t>C189027</t>
  </si>
  <si>
    <t>C189076</t>
  </si>
  <si>
    <t>C189364</t>
  </si>
  <si>
    <t>C189493</t>
  </si>
  <si>
    <t>C189528</t>
  </si>
  <si>
    <t>C189942</t>
  </si>
  <si>
    <t>C190072</t>
  </si>
  <si>
    <t>C190269</t>
  </si>
  <si>
    <t>C190313</t>
  </si>
  <si>
    <t>C190362</t>
  </si>
  <si>
    <t>C190639</t>
  </si>
  <si>
    <t>C190660</t>
  </si>
  <si>
    <t>C190709</t>
  </si>
  <si>
    <t>C190794</t>
  </si>
  <si>
    <t>C190917</t>
  </si>
  <si>
    <t>C190938</t>
  </si>
  <si>
    <t>C190939</t>
  </si>
  <si>
    <t>C191032</t>
  </si>
  <si>
    <t>C191057</t>
  </si>
  <si>
    <t>C191147</t>
  </si>
  <si>
    <t>C191174</t>
  </si>
  <si>
    <t>C191300</t>
  </si>
  <si>
    <t>C191458</t>
  </si>
  <si>
    <t>C191489</t>
  </si>
  <si>
    <t>C191673</t>
  </si>
  <si>
    <t>C191708</t>
  </si>
  <si>
    <t>C192344</t>
  </si>
  <si>
    <t>C192357</t>
  </si>
  <si>
    <t>C192403</t>
  </si>
  <si>
    <t>C192446</t>
  </si>
  <si>
    <t>C192474</t>
  </si>
  <si>
    <t>C192871</t>
  </si>
  <si>
    <t>C192978</t>
  </si>
  <si>
    <t>C192979</t>
  </si>
  <si>
    <t>C193264</t>
  </si>
  <si>
    <t>C193298</t>
  </si>
  <si>
    <t>C193441</t>
  </si>
  <si>
    <t>C193454</t>
  </si>
  <si>
    <t>C193510</t>
  </si>
  <si>
    <t>C193793</t>
  </si>
  <si>
    <t>C193813</t>
  </si>
  <si>
    <t>C193824</t>
  </si>
  <si>
    <t>C194063</t>
  </si>
  <si>
    <t>C194327</t>
  </si>
  <si>
    <t>C194330</t>
  </si>
  <si>
    <t>C194380</t>
  </si>
  <si>
    <t>C194451</t>
  </si>
  <si>
    <t>C194674</t>
  </si>
  <si>
    <t>C194974</t>
  </si>
  <si>
    <t>C195284</t>
  </si>
  <si>
    <t>C195342</t>
  </si>
  <si>
    <t>C195405</t>
  </si>
  <si>
    <t>C195413</t>
  </si>
  <si>
    <t>C195508</t>
  </si>
  <si>
    <t>C195626</t>
  </si>
  <si>
    <t>C195673</t>
  </si>
  <si>
    <t>C196044</t>
  </si>
  <si>
    <t>C196056</t>
  </si>
  <si>
    <t>C196296</t>
  </si>
  <si>
    <t>C196337</t>
  </si>
  <si>
    <t>C196813</t>
  </si>
  <si>
    <t>C196845</t>
  </si>
  <si>
    <t>C197019</t>
  </si>
  <si>
    <t>C197131</t>
  </si>
  <si>
    <t>C197308</t>
  </si>
  <si>
    <t>C197519</t>
  </si>
  <si>
    <t>C197522</t>
  </si>
  <si>
    <t>C197901</t>
  </si>
  <si>
    <t>C198030</t>
  </si>
  <si>
    <t>C198062</t>
  </si>
  <si>
    <t>C198086</t>
  </si>
  <si>
    <t>C198094</t>
  </si>
  <si>
    <t>C198161</t>
  </si>
  <si>
    <t>C198180</t>
  </si>
  <si>
    <t>C198219</t>
  </si>
  <si>
    <t>C198322</t>
  </si>
  <si>
    <t>C198568</t>
  </si>
  <si>
    <t>C198638</t>
  </si>
  <si>
    <t>C198868</t>
  </si>
  <si>
    <t>C199311</t>
  </si>
  <si>
    <t>C199509</t>
  </si>
  <si>
    <t>C199520</t>
  </si>
  <si>
    <t>C199664</t>
  </si>
  <si>
    <t>C199858</t>
  </si>
  <si>
    <t>C199864</t>
  </si>
  <si>
    <t>C199947</t>
  </si>
  <si>
    <t>C200317</t>
  </si>
  <si>
    <t>C200345</t>
  </si>
  <si>
    <t>C200576</t>
  </si>
  <si>
    <t>C200826</t>
  </si>
  <si>
    <t>C200881</t>
  </si>
  <si>
    <t>C201015</t>
  </si>
  <si>
    <t>C201036</t>
  </si>
  <si>
    <t>C201255</t>
  </si>
  <si>
    <t>C201574</t>
  </si>
  <si>
    <t>C202057</t>
  </si>
  <si>
    <t>C202286</t>
  </si>
  <si>
    <t>C202349</t>
  </si>
  <si>
    <t>C202633</t>
  </si>
  <si>
    <t>C202977</t>
  </si>
  <si>
    <t>C202988</t>
  </si>
  <si>
    <t>C203263</t>
  </si>
  <si>
    <t>C203598</t>
  </si>
  <si>
    <t>C203624</t>
  </si>
  <si>
    <t>C203955</t>
  </si>
  <si>
    <t>C204154</t>
  </si>
  <si>
    <t>C204164</t>
  </si>
  <si>
    <t>C204174</t>
  </si>
  <si>
    <t>C204279</t>
  </si>
  <si>
    <t>C204307</t>
  </si>
  <si>
    <t>C204553</t>
  </si>
  <si>
    <t>C204632</t>
  </si>
  <si>
    <t>C204724</t>
  </si>
  <si>
    <t>C204727</t>
  </si>
  <si>
    <t>C204741</t>
  </si>
  <si>
    <t>C204782</t>
  </si>
  <si>
    <t>C204867</t>
  </si>
  <si>
    <t>C204887</t>
  </si>
  <si>
    <t>C205165</t>
  </si>
  <si>
    <t>C205178</t>
  </si>
  <si>
    <t>C205202</t>
  </si>
  <si>
    <t>C205210</t>
  </si>
  <si>
    <t>C205376</t>
  </si>
  <si>
    <t>C205552</t>
  </si>
  <si>
    <t>C205731</t>
  </si>
  <si>
    <t>C205925</t>
  </si>
  <si>
    <t>C205984</t>
  </si>
  <si>
    <t>C206253</t>
  </si>
  <si>
    <t>C206443</t>
  </si>
  <si>
    <t>C206501</t>
  </si>
  <si>
    <t>C206713</t>
  </si>
  <si>
    <t>C206743</t>
  </si>
  <si>
    <t>C207215</t>
  </si>
  <si>
    <t>C207320</t>
  </si>
  <si>
    <t>C207391</t>
  </si>
  <si>
    <t>C207415</t>
  </si>
  <si>
    <t>C207443</t>
  </si>
  <si>
    <t>C207573</t>
  </si>
  <si>
    <t>C207753</t>
  </si>
  <si>
    <t>C207922</t>
  </si>
  <si>
    <t>C207954</t>
  </si>
  <si>
    <t>C208108</t>
  </si>
  <si>
    <t>C208545</t>
  </si>
  <si>
    <t>C208738</t>
  </si>
  <si>
    <t>C208765</t>
  </si>
  <si>
    <t>C208819</t>
  </si>
  <si>
    <t>C208844</t>
  </si>
  <si>
    <t>C208860</t>
  </si>
  <si>
    <t>C209122</t>
  </si>
  <si>
    <t>C209210</t>
  </si>
  <si>
    <t>C209245</t>
  </si>
  <si>
    <t>C209440</t>
  </si>
  <si>
    <t>C209722</t>
  </si>
  <si>
    <t>C209723</t>
  </si>
  <si>
    <t>C209761</t>
  </si>
  <si>
    <t>C210060</t>
  </si>
  <si>
    <t>C210236</t>
  </si>
  <si>
    <t>C210240</t>
  </si>
  <si>
    <t>C210393</t>
  </si>
  <si>
    <t>C210554</t>
  </si>
  <si>
    <t>C210589</t>
  </si>
  <si>
    <t>C210614</t>
  </si>
  <si>
    <t>C210635</t>
  </si>
  <si>
    <t>C210848</t>
  </si>
  <si>
    <t>C211245</t>
  </si>
  <si>
    <t>C211277</t>
  </si>
  <si>
    <t>C211354</t>
  </si>
  <si>
    <t>C211416</t>
  </si>
  <si>
    <t>C211494</t>
  </si>
  <si>
    <t>C211545</t>
  </si>
  <si>
    <t>C211626</t>
  </si>
  <si>
    <t>C211689</t>
  </si>
  <si>
    <t>C211763</t>
  </si>
  <si>
    <t>C211766</t>
  </si>
  <si>
    <t>C212128</t>
  </si>
  <si>
    <t>C212378</t>
  </si>
  <si>
    <t>C212400</t>
  </si>
  <si>
    <t>C212483</t>
  </si>
  <si>
    <t>C212643</t>
  </si>
  <si>
    <t>C213360</t>
  </si>
  <si>
    <t>C213718</t>
  </si>
  <si>
    <t>C213742</t>
  </si>
  <si>
    <t>C213844</t>
  </si>
  <si>
    <t>C213981</t>
  </si>
  <si>
    <t>C213995</t>
  </si>
  <si>
    <t>C214029</t>
  </si>
  <si>
    <t>C214164</t>
  </si>
  <si>
    <t>C214260</t>
  </si>
  <si>
    <t>C214463</t>
  </si>
  <si>
    <t>C214662</t>
  </si>
  <si>
    <t>C214831</t>
  </si>
  <si>
    <t>C215196</t>
  </si>
  <si>
    <t>C215210</t>
  </si>
  <si>
    <t>C215336</t>
  </si>
  <si>
    <t>C215384</t>
  </si>
  <si>
    <t>C215484</t>
  </si>
  <si>
    <t>C215627</t>
  </si>
  <si>
    <t>C216013</t>
  </si>
  <si>
    <t>C216025</t>
  </si>
  <si>
    <t>C216194</t>
  </si>
  <si>
    <t>C216257</t>
  </si>
  <si>
    <t>C216268</t>
  </si>
  <si>
    <t>C216369</t>
  </si>
  <si>
    <t>C216456</t>
  </si>
  <si>
    <t>C216619</t>
  </si>
  <si>
    <t>C217049</t>
  </si>
  <si>
    <t>C217716</t>
  </si>
  <si>
    <t>C217834</t>
  </si>
  <si>
    <t>C217919</t>
  </si>
  <si>
    <t>C217948</t>
  </si>
  <si>
    <t>C218079</t>
  </si>
  <si>
    <t>C218149</t>
  </si>
  <si>
    <t>C218289</t>
  </si>
  <si>
    <t>C218295</t>
  </si>
  <si>
    <t>C218383</t>
  </si>
  <si>
    <t>C218573</t>
  </si>
  <si>
    <t>C218706</t>
  </si>
  <si>
    <t>C218830</t>
  </si>
  <si>
    <t>C219299</t>
  </si>
  <si>
    <t>C219304</t>
  </si>
  <si>
    <t>C219393</t>
  </si>
  <si>
    <t>C219548</t>
  </si>
  <si>
    <t>C219791</t>
  </si>
  <si>
    <t>C219983</t>
  </si>
  <si>
    <t>C220098</t>
  </si>
  <si>
    <t>C220180</t>
  </si>
  <si>
    <t>C220281</t>
  </si>
  <si>
    <t>C220780</t>
  </si>
  <si>
    <t>C220859</t>
  </si>
  <si>
    <t>C221164</t>
  </si>
  <si>
    <t>C221193</t>
  </si>
  <si>
    <t>C221607</t>
  </si>
  <si>
    <t>C221830</t>
  </si>
  <si>
    <t>C221838</t>
  </si>
  <si>
    <t>C221934</t>
  </si>
  <si>
    <t>C221995</t>
  </si>
  <si>
    <t>C222040</t>
  </si>
  <si>
    <t>C222102</t>
  </si>
  <si>
    <t>C222159</t>
  </si>
  <si>
    <t>C222244</t>
  </si>
  <si>
    <t>C222250</t>
  </si>
  <si>
    <t>C222262</t>
  </si>
  <si>
    <t>C222728</t>
  </si>
  <si>
    <t>C222906</t>
  </si>
  <si>
    <t>C222949</t>
  </si>
  <si>
    <t>C223010</t>
  </si>
  <si>
    <t>C223291</t>
  </si>
  <si>
    <t>C223343</t>
  </si>
  <si>
    <t>C223465</t>
  </si>
  <si>
    <t>C223982</t>
  </si>
  <si>
    <t>C224073</t>
  </si>
  <si>
    <t>C224169</t>
  </si>
  <si>
    <t>C224223</t>
  </si>
  <si>
    <t>C224260</t>
  </si>
  <si>
    <t>C224743</t>
  </si>
  <si>
    <t>C224753</t>
  </si>
  <si>
    <t>C224857</t>
  </si>
  <si>
    <t>C224881</t>
  </si>
  <si>
    <t>C224991</t>
  </si>
  <si>
    <t>C225051</t>
  </si>
  <si>
    <t>C225105</t>
  </si>
  <si>
    <t>C225306</t>
  </si>
  <si>
    <t>C225330</t>
  </si>
  <si>
    <t>C225939</t>
  </si>
  <si>
    <t>C225949</t>
  </si>
  <si>
    <t>C226101</t>
  </si>
  <si>
    <t>C226218</t>
  </si>
  <si>
    <t>C226252</t>
  </si>
  <si>
    <t>C226519</t>
  </si>
  <si>
    <t>C226593</t>
  </si>
  <si>
    <t>C226996</t>
  </si>
  <si>
    <t>C227070</t>
  </si>
  <si>
    <t>C227232</t>
  </si>
  <si>
    <t>C227695</t>
  </si>
  <si>
    <t>C227728</t>
  </si>
  <si>
    <t>C227736</t>
  </si>
  <si>
    <t>C227945</t>
  </si>
  <si>
    <t>C228472</t>
  </si>
  <si>
    <t>C228532</t>
  </si>
  <si>
    <t>C228735</t>
  </si>
  <si>
    <t>C228922</t>
  </si>
  <si>
    <t>C229001</t>
  </si>
  <si>
    <t>C229051</t>
  </si>
  <si>
    <t>C229071</t>
  </si>
  <si>
    <t>C229387</t>
  </si>
  <si>
    <t>C229670</t>
  </si>
  <si>
    <t>C229733</t>
  </si>
  <si>
    <t>C230018</t>
  </si>
  <si>
    <t>C230120</t>
  </si>
  <si>
    <t>C230207</t>
  </si>
  <si>
    <t>C230270</t>
  </si>
  <si>
    <t>C230305</t>
  </si>
  <si>
    <t>C230543</t>
  </si>
  <si>
    <t>C230619</t>
  </si>
  <si>
    <t>C230641</t>
  </si>
  <si>
    <t>C230696</t>
  </si>
  <si>
    <t>C230766</t>
  </si>
  <si>
    <t>C231470</t>
  </si>
  <si>
    <t>C231964</t>
  </si>
  <si>
    <t>C232031</t>
  </si>
  <si>
    <t>C232103</t>
  </si>
  <si>
    <t>C232136</t>
  </si>
  <si>
    <t>C232330</t>
  </si>
  <si>
    <t>C232624</t>
  </si>
  <si>
    <t>C232859</t>
  </si>
  <si>
    <t>C233053</t>
  </si>
  <si>
    <t>C233561</t>
  </si>
  <si>
    <t>C233642</t>
  </si>
  <si>
    <t>C233646</t>
  </si>
  <si>
    <t>C233697</t>
  </si>
  <si>
    <t>C234140</t>
  </si>
  <si>
    <t>C234177</t>
  </si>
  <si>
    <t>C234534</t>
  </si>
  <si>
    <t>C235057</t>
  </si>
  <si>
    <t>C235178</t>
  </si>
  <si>
    <t>C235398</t>
  </si>
  <si>
    <t>C235482</t>
  </si>
  <si>
    <t>C235663</t>
  </si>
  <si>
    <t>C235773</t>
  </si>
  <si>
    <t>C235878</t>
  </si>
  <si>
    <t>C236084</t>
  </si>
  <si>
    <t>C236365</t>
  </si>
  <si>
    <t>C236397</t>
  </si>
  <si>
    <t>C236428</t>
  </si>
  <si>
    <t>C236711</t>
  </si>
  <si>
    <t>C236785</t>
  </si>
  <si>
    <t>C236859</t>
  </si>
  <si>
    <t>C236969</t>
  </si>
  <si>
    <t>C237063</t>
  </si>
  <si>
    <t>C237182</t>
  </si>
  <si>
    <t>C237330</t>
  </si>
  <si>
    <t>C237366</t>
  </si>
  <si>
    <t>C237664</t>
  </si>
  <si>
    <t>C237684</t>
  </si>
  <si>
    <t>C237757</t>
  </si>
  <si>
    <t>C238063</t>
  </si>
  <si>
    <t>C238083</t>
  </si>
  <si>
    <t>C238146</t>
  </si>
  <si>
    <t>C238668</t>
  </si>
  <si>
    <t>C238833</t>
  </si>
  <si>
    <t>C238961</t>
  </si>
  <si>
    <t>C239313</t>
  </si>
  <si>
    <t>C239532</t>
  </si>
  <si>
    <t>C239813</t>
  </si>
  <si>
    <t>C240135</t>
  </si>
  <si>
    <t>C240171</t>
  </si>
  <si>
    <t>C240286</t>
  </si>
  <si>
    <t>C240325</t>
  </si>
  <si>
    <t>C240389</t>
  </si>
  <si>
    <t>C240510</t>
  </si>
  <si>
    <t>C240688</t>
  </si>
  <si>
    <t>C240837</t>
  </si>
  <si>
    <t>C240902</t>
  </si>
  <si>
    <t>C240916</t>
  </si>
  <si>
    <t>C241204</t>
  </si>
  <si>
    <t>C241238</t>
  </si>
  <si>
    <t>C241260</t>
  </si>
  <si>
    <t>C241288</t>
  </si>
  <si>
    <t>C241442</t>
  </si>
  <si>
    <t>C241450</t>
  </si>
  <si>
    <t>C241523</t>
  </si>
  <si>
    <t>C241642</t>
  </si>
  <si>
    <t>C241751</t>
  </si>
  <si>
    <t>C242041</t>
  </si>
  <si>
    <t>C242182</t>
  </si>
  <si>
    <t>C242402</t>
  </si>
  <si>
    <t>C242616</t>
  </si>
  <si>
    <t>C242659</t>
  </si>
  <si>
    <t>C242748</t>
  </si>
  <si>
    <t>C242798</t>
  </si>
  <si>
    <t>C243037</t>
  </si>
  <si>
    <t>C243451</t>
  </si>
  <si>
    <t>C243515</t>
  </si>
  <si>
    <t>C244213</t>
  </si>
  <si>
    <t>C244291</t>
  </si>
  <si>
    <t>C244694</t>
  </si>
  <si>
    <t>C244780</t>
  </si>
  <si>
    <t>C244973</t>
  </si>
  <si>
    <t>C245349</t>
  </si>
  <si>
    <t>C245407</t>
  </si>
  <si>
    <t>C245456</t>
  </si>
  <si>
    <t>C245539</t>
  </si>
  <si>
    <t>C245572</t>
  </si>
  <si>
    <t>C245681</t>
  </si>
  <si>
    <t>C245715</t>
  </si>
  <si>
    <t>C245745</t>
  </si>
  <si>
    <t>C245894</t>
  </si>
  <si>
    <t>C246136</t>
  </si>
  <si>
    <t>C246364</t>
  </si>
  <si>
    <t>C246456</t>
  </si>
  <si>
    <t>C246484</t>
  </si>
  <si>
    <t>C246503</t>
  </si>
  <si>
    <t>C246602</t>
  </si>
  <si>
    <t>C246641</t>
  </si>
  <si>
    <t>C246654</t>
  </si>
  <si>
    <t>C246719</t>
  </si>
  <si>
    <t>C246847</t>
  </si>
  <si>
    <t>C246898</t>
  </si>
  <si>
    <t>C246959</t>
  </si>
  <si>
    <t>C247049</t>
  </si>
  <si>
    <t>C247547</t>
  </si>
  <si>
    <t>C247589</t>
  </si>
  <si>
    <t>C247694</t>
  </si>
  <si>
    <t>C247868</t>
  </si>
  <si>
    <t>C248510</t>
  </si>
  <si>
    <t>C248859</t>
  </si>
  <si>
    <t>C248884</t>
  </si>
  <si>
    <t>C248988</t>
  </si>
  <si>
    <t>C249092</t>
  </si>
  <si>
    <t>C249219</t>
  </si>
  <si>
    <t>C249401</t>
  </si>
  <si>
    <t>C249679</t>
  </si>
  <si>
    <t>C249725</t>
  </si>
  <si>
    <t>C249877</t>
  </si>
  <si>
    <t>C249906</t>
  </si>
  <si>
    <t>C249924</t>
  </si>
  <si>
    <t>C249974</t>
  </si>
  <si>
    <t>C249993</t>
  </si>
  <si>
    <t>C249994</t>
  </si>
  <si>
    <t>C250033</t>
  </si>
  <si>
    <t>C250065</t>
  </si>
  <si>
    <t>C250146</t>
  </si>
  <si>
    <t>C250395</t>
  </si>
  <si>
    <t>C250673</t>
  </si>
  <si>
    <t>C251005</t>
  </si>
  <si>
    <t>C251062</t>
  </si>
  <si>
    <t>C251203</t>
  </si>
  <si>
    <t>C251229</t>
  </si>
  <si>
    <t>C251281</t>
  </si>
  <si>
    <t>C251433</t>
  </si>
  <si>
    <t>C251446</t>
  </si>
  <si>
    <t>C251518</t>
  </si>
  <si>
    <t>C251786</t>
  </si>
  <si>
    <t>C251801</t>
  </si>
  <si>
    <t>C251866</t>
  </si>
  <si>
    <t>C251944</t>
  </si>
  <si>
    <t>C252021</t>
  </si>
  <si>
    <t>C252250</t>
  </si>
  <si>
    <t>C252265</t>
  </si>
  <si>
    <t>C252598</t>
  </si>
  <si>
    <t>C252600</t>
  </si>
  <si>
    <t>C252662</t>
  </si>
  <si>
    <t>C253248</t>
  </si>
  <si>
    <t>C253252</t>
  </si>
  <si>
    <t>C253346</t>
  </si>
  <si>
    <t>C253740</t>
  </si>
  <si>
    <t>C253905</t>
  </si>
  <si>
    <t>C253975</t>
  </si>
  <si>
    <t>C254007</t>
  </si>
  <si>
    <t>C254022</t>
  </si>
  <si>
    <t>C254306</t>
  </si>
  <si>
    <t>C254397</t>
  </si>
  <si>
    <t>C255058</t>
  </si>
  <si>
    <t>C255079</t>
  </si>
  <si>
    <t>C255639</t>
  </si>
  <si>
    <t>C255828</t>
  </si>
  <si>
    <t>C255835</t>
  </si>
  <si>
    <t>C255999</t>
  </si>
  <si>
    <t>C256730</t>
  </si>
  <si>
    <t>C256755</t>
  </si>
  <si>
    <t>C256845</t>
  </si>
  <si>
    <t>C257163</t>
  </si>
  <si>
    <t>C257213</t>
  </si>
  <si>
    <t>C257469</t>
  </si>
  <si>
    <t>C257559</t>
  </si>
  <si>
    <t>C257683</t>
  </si>
  <si>
    <t>C257990</t>
  </si>
  <si>
    <t>C258089</t>
  </si>
  <si>
    <t>C258404</t>
  </si>
  <si>
    <t>C258410</t>
  </si>
  <si>
    <t>C258995</t>
  </si>
  <si>
    <t>C259107</t>
  </si>
  <si>
    <t>C259229</t>
  </si>
  <si>
    <t>C259260</t>
  </si>
  <si>
    <t>C259342</t>
  </si>
  <si>
    <t>C259539</t>
  </si>
  <si>
    <t>C259606</t>
  </si>
  <si>
    <t>C259676</t>
  </si>
  <si>
    <t>C259706</t>
  </si>
  <si>
    <t>C259743</t>
  </si>
  <si>
    <t>C259798</t>
  </si>
  <si>
    <t>C259884</t>
  </si>
  <si>
    <t>C260060</t>
  </si>
  <si>
    <t>C260171</t>
  </si>
  <si>
    <t>C260213</t>
  </si>
  <si>
    <t>C260810</t>
  </si>
  <si>
    <t>C260889</t>
  </si>
  <si>
    <t>C261066</t>
  </si>
  <si>
    <t>C261165</t>
  </si>
  <si>
    <t>C261194</t>
  </si>
  <si>
    <t>C261237</t>
  </si>
  <si>
    <t>C261316</t>
  </si>
  <si>
    <t>C261344</t>
  </si>
  <si>
    <t>C261517</t>
  </si>
  <si>
    <t>C261635</t>
  </si>
  <si>
    <t>C261711</t>
  </si>
  <si>
    <t>C262366</t>
  </si>
  <si>
    <t>C262982</t>
  </si>
  <si>
    <t>C263812</t>
  </si>
  <si>
    <t>C263874</t>
  </si>
  <si>
    <t>C263908</t>
  </si>
  <si>
    <t>C264545</t>
  </si>
  <si>
    <t>C264585</t>
  </si>
  <si>
    <t>C264631</t>
  </si>
  <si>
    <t>C264659</t>
  </si>
  <si>
    <t>C264687</t>
  </si>
  <si>
    <t>C264767</t>
  </si>
  <si>
    <t>C264819</t>
  </si>
  <si>
    <t>C265568</t>
  </si>
  <si>
    <t>C265780</t>
  </si>
  <si>
    <t>C266021</t>
  </si>
  <si>
    <t>C266128</t>
  </si>
  <si>
    <t>C266175</t>
  </si>
  <si>
    <t>C266213</t>
  </si>
  <si>
    <t>C266377</t>
  </si>
  <si>
    <t>C266394</t>
  </si>
  <si>
    <t>C266462</t>
  </si>
  <si>
    <t>C266599</t>
  </si>
  <si>
    <t>C266724</t>
  </si>
  <si>
    <t>C266819</t>
  </si>
  <si>
    <t>C266961</t>
  </si>
  <si>
    <t>C267019</t>
  </si>
  <si>
    <t>C267120</t>
  </si>
  <si>
    <t>C267333</t>
  </si>
  <si>
    <t>C267617</t>
  </si>
  <si>
    <t>C267843</t>
  </si>
  <si>
    <t>C267852</t>
  </si>
  <si>
    <t>C267961</t>
  </si>
  <si>
    <t>C268054</t>
  </si>
  <si>
    <t>C268455</t>
  </si>
  <si>
    <t>C269338</t>
  </si>
  <si>
    <t>C269430</t>
  </si>
  <si>
    <t>C269497</t>
  </si>
  <si>
    <t>C269506</t>
  </si>
  <si>
    <t>C269623</t>
  </si>
  <si>
    <t>C269710</t>
  </si>
  <si>
    <t>C269751</t>
  </si>
  <si>
    <t>C269986</t>
  </si>
  <si>
    <t>C270129</t>
  </si>
  <si>
    <t>C270238</t>
  </si>
  <si>
    <t>C270340</t>
  </si>
  <si>
    <t>C270543</t>
  </si>
  <si>
    <t>C270638</t>
  </si>
  <si>
    <t>C270667</t>
  </si>
  <si>
    <t>C270726</t>
  </si>
  <si>
    <t>C270797</t>
  </si>
  <si>
    <t>C271029</t>
  </si>
  <si>
    <t>C271031</t>
  </si>
  <si>
    <t>C271255</t>
  </si>
  <si>
    <t>C271297</t>
  </si>
  <si>
    <t>C271349</t>
  </si>
  <si>
    <t>C271450</t>
  </si>
  <si>
    <t>C271571</t>
  </si>
  <si>
    <t>C271739</t>
  </si>
  <si>
    <t>C271799</t>
  </si>
  <si>
    <t>C271813</t>
  </si>
  <si>
    <t>C271866</t>
  </si>
  <si>
    <t>C271881</t>
  </si>
  <si>
    <t>C272133</t>
  </si>
  <si>
    <t>C272155</t>
  </si>
  <si>
    <t>C272419</t>
  </si>
  <si>
    <t>C272779</t>
  </si>
  <si>
    <t>C272792</t>
  </si>
  <si>
    <t>C272918</t>
  </si>
  <si>
    <t>C273323</t>
  </si>
  <si>
    <t>C273813</t>
  </si>
  <si>
    <t>C273853</t>
  </si>
  <si>
    <t>C273903</t>
  </si>
  <si>
    <t>C273931</t>
  </si>
  <si>
    <t>C274472</t>
  </si>
  <si>
    <t>C274501</t>
  </si>
  <si>
    <t>C274529</t>
  </si>
  <si>
    <t>C274690</t>
  </si>
  <si>
    <t>C274788</t>
  </si>
  <si>
    <t>C274870</t>
  </si>
  <si>
    <t>C274936</t>
  </si>
  <si>
    <t>C275199</t>
  </si>
  <si>
    <t>C275432</t>
  </si>
  <si>
    <t>C275631</t>
  </si>
  <si>
    <t>C275695</t>
  </si>
  <si>
    <t>C275887</t>
  </si>
  <si>
    <t>C275917</t>
  </si>
  <si>
    <t>C276008</t>
  </si>
  <si>
    <t>C276043</t>
  </si>
  <si>
    <t>C276111</t>
  </si>
  <si>
    <t>C276122</t>
  </si>
  <si>
    <t>C276263</t>
  </si>
  <si>
    <t>C276445</t>
  </si>
  <si>
    <t>C276518</t>
  </si>
  <si>
    <t>C276887</t>
  </si>
  <si>
    <t>C277384</t>
  </si>
  <si>
    <t>C277406</t>
  </si>
  <si>
    <t>C277603</t>
  </si>
  <si>
    <t>C277842</t>
  </si>
  <si>
    <t>C277924</t>
  </si>
  <si>
    <t>C278142</t>
  </si>
  <si>
    <t>C278169</t>
  </si>
  <si>
    <t>C278450</t>
  </si>
  <si>
    <t>C278483</t>
  </si>
  <si>
    <t>C278541</t>
  </si>
  <si>
    <t>C278554</t>
  </si>
  <si>
    <t>C278588</t>
  </si>
  <si>
    <t>C278721</t>
  </si>
  <si>
    <t>C278752</t>
  </si>
  <si>
    <t>C279370</t>
  </si>
  <si>
    <t>C279559</t>
  </si>
  <si>
    <t>C279747</t>
  </si>
  <si>
    <t>C279849</t>
  </si>
  <si>
    <t>C279904</t>
  </si>
  <si>
    <t>C280085</t>
  </si>
  <si>
    <t>C280123</t>
  </si>
  <si>
    <t>C280253</t>
  </si>
  <si>
    <t>C280596</t>
  </si>
  <si>
    <t>C280853</t>
  </si>
  <si>
    <t>C280866</t>
  </si>
  <si>
    <t>C280881</t>
  </si>
  <si>
    <t>C281091</t>
  </si>
  <si>
    <t>C281244</t>
  </si>
  <si>
    <t>C281268</t>
  </si>
  <si>
    <t>C281502</t>
  </si>
  <si>
    <t>C281864</t>
  </si>
  <si>
    <t>C282097</t>
  </si>
  <si>
    <t>C282107</t>
  </si>
  <si>
    <t>C282281</t>
  </si>
  <si>
    <t>C282395</t>
  </si>
  <si>
    <t>C282397</t>
  </si>
  <si>
    <t>C282520</t>
  </si>
  <si>
    <t>C282643</t>
  </si>
  <si>
    <t>C282894</t>
  </si>
  <si>
    <t>C282899</t>
  </si>
  <si>
    <t>C282968</t>
  </si>
  <si>
    <t>C282974</t>
  </si>
  <si>
    <t>C283221</t>
  </si>
  <si>
    <t>C283350</t>
  </si>
  <si>
    <t>C283361</t>
  </si>
  <si>
    <t>C283381</t>
  </si>
  <si>
    <t>C283849</t>
  </si>
  <si>
    <t>C283880</t>
  </si>
  <si>
    <t>C283898</t>
  </si>
  <si>
    <t>C283983</t>
  </si>
  <si>
    <t>C284031</t>
  </si>
  <si>
    <t>C284366</t>
  </si>
  <si>
    <t>C284405</t>
  </si>
  <si>
    <t>C284679</t>
  </si>
  <si>
    <t>C284961</t>
  </si>
  <si>
    <t>C285161</t>
  </si>
  <si>
    <t>C285261</t>
  </si>
  <si>
    <t>C285422</t>
  </si>
  <si>
    <t>C285587</t>
  </si>
  <si>
    <t>C285797</t>
  </si>
  <si>
    <t>C285884</t>
  </si>
  <si>
    <t>C286181</t>
  </si>
  <si>
    <t>C286466</t>
  </si>
  <si>
    <t>C286564</t>
  </si>
  <si>
    <t>C286611</t>
  </si>
  <si>
    <t>C286640</t>
  </si>
  <si>
    <t>C287355</t>
  </si>
  <si>
    <t>C287380</t>
  </si>
  <si>
    <t>C287409</t>
  </si>
  <si>
    <t>C287459</t>
  </si>
  <si>
    <t>C287764</t>
  </si>
  <si>
    <t>C287773</t>
  </si>
  <si>
    <t>C287787</t>
  </si>
  <si>
    <t>C287850</t>
  </si>
  <si>
    <t>C287934</t>
  </si>
  <si>
    <t>C287970</t>
  </si>
  <si>
    <t>C288298</t>
  </si>
  <si>
    <t>C288416</t>
  </si>
  <si>
    <t>C288544</t>
  </si>
  <si>
    <t>C288597</t>
  </si>
  <si>
    <t>C288863</t>
  </si>
  <si>
    <t>C289069</t>
  </si>
  <si>
    <t>C289260</t>
  </si>
  <si>
    <t>C289495</t>
  </si>
  <si>
    <t>C289573</t>
  </si>
  <si>
    <t>C289614</t>
  </si>
  <si>
    <t>C289625</t>
  </si>
  <si>
    <t>C289650</t>
  </si>
  <si>
    <t>C289802</t>
  </si>
  <si>
    <t>C289918</t>
  </si>
  <si>
    <t>C289933</t>
  </si>
  <si>
    <t>C289977</t>
  </si>
  <si>
    <t>C289993</t>
  </si>
  <si>
    <t>C290106</t>
  </si>
  <si>
    <t>C290158</t>
  </si>
  <si>
    <t>C290275</t>
  </si>
  <si>
    <t>C290280</t>
  </si>
  <si>
    <t>C290344</t>
  </si>
  <si>
    <t>C290363</t>
  </si>
  <si>
    <t>C290548</t>
  </si>
  <si>
    <t>C290609</t>
  </si>
  <si>
    <t>C290632</t>
  </si>
  <si>
    <t>C290760</t>
  </si>
  <si>
    <t>C290819</t>
  </si>
  <si>
    <t>C291291</t>
  </si>
  <si>
    <t>C291389</t>
  </si>
  <si>
    <t>C291641</t>
  </si>
  <si>
    <t>C291802</t>
  </si>
  <si>
    <t>C291860</t>
  </si>
  <si>
    <t>C291911</t>
  </si>
  <si>
    <t>C291962</t>
  </si>
  <si>
    <t>C291970</t>
  </si>
  <si>
    <t>C291989</t>
  </si>
  <si>
    <t>C292307</t>
  </si>
  <si>
    <t>C292356</t>
  </si>
  <si>
    <t>C292453</t>
  </si>
  <si>
    <t>C292604</t>
  </si>
  <si>
    <t>C292758</t>
  </si>
  <si>
    <t>C293191</t>
  </si>
  <si>
    <t>C293329</t>
  </si>
  <si>
    <t>C293605</t>
  </si>
  <si>
    <t>C293612</t>
  </si>
  <si>
    <t>C293936</t>
  </si>
  <si>
    <t>C294024</t>
  </si>
  <si>
    <t>C294370</t>
  </si>
  <si>
    <t>C294604</t>
  </si>
  <si>
    <t>C294623</t>
  </si>
  <si>
    <t>C294679</t>
  </si>
  <si>
    <t>C294773</t>
  </si>
  <si>
    <t>C294999</t>
  </si>
  <si>
    <t>C295069</t>
  </si>
  <si>
    <t>C295218</t>
  </si>
  <si>
    <t>C295466</t>
  </si>
  <si>
    <t>C295505</t>
  </si>
  <si>
    <t>C295864</t>
  </si>
  <si>
    <t>C295880</t>
  </si>
  <si>
    <t>C296318</t>
  </si>
  <si>
    <t>C296477</t>
  </si>
  <si>
    <t>C296534</t>
  </si>
  <si>
    <t>C296745</t>
  </si>
  <si>
    <t>C296768</t>
  </si>
  <si>
    <t>C296862</t>
  </si>
  <si>
    <t>C297118</t>
  </si>
  <si>
    <t>C297260</t>
  </si>
  <si>
    <t>C297404</t>
  </si>
  <si>
    <t>C297425</t>
  </si>
  <si>
    <t>C297610</t>
  </si>
  <si>
    <t>C297669</t>
  </si>
  <si>
    <t>C297711</t>
  </si>
  <si>
    <t>C297748</t>
  </si>
  <si>
    <t>C297801</t>
  </si>
  <si>
    <t>C298103</t>
  </si>
  <si>
    <t>C298229</t>
  </si>
  <si>
    <t>C298580</t>
  </si>
  <si>
    <t>C298828</t>
  </si>
  <si>
    <t>C298916</t>
  </si>
  <si>
    <t>C299172</t>
  </si>
  <si>
    <t>C299327</t>
  </si>
  <si>
    <t>C299443</t>
  </si>
  <si>
    <t>C299514</t>
  </si>
  <si>
    <t>C299567</t>
  </si>
  <si>
    <t>C299644</t>
  </si>
  <si>
    <t>C299779</t>
  </si>
  <si>
    <t>C299787</t>
  </si>
  <si>
    <t>C300786</t>
  </si>
  <si>
    <t>C300832</t>
  </si>
  <si>
    <t>C301099</t>
  </si>
  <si>
    <t>C301181</t>
  </si>
  <si>
    <t>C301271</t>
  </si>
  <si>
    <t>C301754</t>
  </si>
  <si>
    <t>C301894</t>
  </si>
  <si>
    <t>C302358</t>
  </si>
  <si>
    <t>C302667</t>
  </si>
  <si>
    <t>C302824</t>
  </si>
  <si>
    <t>C302831</t>
  </si>
  <si>
    <t>C303112</t>
  </si>
  <si>
    <t>C303302</t>
  </si>
  <si>
    <t>C303444</t>
  </si>
  <si>
    <t>C303493</t>
  </si>
  <si>
    <t>C303552</t>
  </si>
  <si>
    <t>C304326</t>
  </si>
  <si>
    <t>C304389</t>
  </si>
  <si>
    <t>C304549</t>
  </si>
  <si>
    <t>C304747</t>
  </si>
  <si>
    <t>C304748</t>
  </si>
  <si>
    <t>C304835</t>
  </si>
  <si>
    <t>C304866</t>
  </si>
  <si>
    <t>C304924</t>
  </si>
  <si>
    <t>C305398</t>
  </si>
  <si>
    <t>C305500</t>
  </si>
  <si>
    <t>C305544</t>
  </si>
  <si>
    <t>C305706</t>
  </si>
  <si>
    <t>C305734</t>
  </si>
  <si>
    <t>C305749</t>
  </si>
  <si>
    <t>C306078</t>
  </si>
  <si>
    <t>C306089</t>
  </si>
  <si>
    <t>C306266</t>
  </si>
  <si>
    <t>C306330</t>
  </si>
  <si>
    <t>C306346</t>
  </si>
  <si>
    <t>C306395</t>
  </si>
  <si>
    <t>C306662</t>
  </si>
  <si>
    <t>C306892</t>
  </si>
  <si>
    <t>C306908</t>
  </si>
  <si>
    <t>C307014</t>
  </si>
  <si>
    <t>C307477</t>
  </si>
  <si>
    <t>C307535</t>
  </si>
  <si>
    <t>C307592</t>
  </si>
  <si>
    <t>C307855</t>
  </si>
  <si>
    <t>C307870</t>
  </si>
  <si>
    <t>C307921</t>
  </si>
  <si>
    <t>C308584</t>
  </si>
  <si>
    <t>C308978</t>
  </si>
  <si>
    <t>C309079</t>
  </si>
  <si>
    <t>C309080</t>
  </si>
  <si>
    <t>C309082</t>
  </si>
  <si>
    <t>C309165</t>
  </si>
  <si>
    <t>C309367</t>
  </si>
  <si>
    <t>C309438</t>
  </si>
  <si>
    <t>C309515</t>
  </si>
  <si>
    <t>C309645</t>
  </si>
  <si>
    <t>C309926</t>
  </si>
  <si>
    <t>C310108</t>
  </si>
  <si>
    <t>C310188</t>
  </si>
  <si>
    <t>C310310</t>
  </si>
  <si>
    <t>C310413</t>
  </si>
  <si>
    <t>C310472</t>
  </si>
  <si>
    <t>C310595</t>
  </si>
  <si>
    <t>C310628</t>
  </si>
  <si>
    <t>C310642</t>
  </si>
  <si>
    <t>C310676</t>
  </si>
  <si>
    <t>C310712</t>
  </si>
  <si>
    <t>C310969</t>
  </si>
  <si>
    <t>C310975</t>
  </si>
  <si>
    <t>C311034</t>
  </si>
  <si>
    <t>C311195</t>
  </si>
  <si>
    <t>C311482</t>
  </si>
  <si>
    <t>C311661</t>
  </si>
  <si>
    <t>C311790</t>
  </si>
  <si>
    <t>C311887</t>
  </si>
  <si>
    <t>C312061</t>
  </si>
  <si>
    <t>C312155</t>
  </si>
  <si>
    <t>C312418</t>
  </si>
  <si>
    <t>C312568</t>
  </si>
  <si>
    <t>C312617</t>
  </si>
  <si>
    <t>C312861</t>
  </si>
  <si>
    <t>C313275</t>
  </si>
  <si>
    <t>C313348</t>
  </si>
  <si>
    <t>C313586</t>
  </si>
  <si>
    <t>C314173</t>
  </si>
  <si>
    <t>C314546</t>
  </si>
  <si>
    <t>C314705</t>
  </si>
  <si>
    <t>C314945</t>
  </si>
  <si>
    <t>C314993</t>
  </si>
  <si>
    <t>C315154</t>
  </si>
  <si>
    <t>C315209</t>
  </si>
  <si>
    <t>C315386</t>
  </si>
  <si>
    <t>C315399</t>
  </si>
  <si>
    <t>C315479</t>
  </si>
  <si>
    <t>C315726</t>
  </si>
  <si>
    <t>C315826</t>
  </si>
  <si>
    <t>C315888</t>
  </si>
  <si>
    <t>C315999</t>
  </si>
  <si>
    <t>C316015</t>
  </si>
  <si>
    <t>C316261</t>
  </si>
  <si>
    <t>C316343</t>
  </si>
  <si>
    <t>C316398</t>
  </si>
  <si>
    <t>C316806</t>
  </si>
  <si>
    <t>C317063</t>
  </si>
  <si>
    <t>C317223</t>
  </si>
  <si>
    <t>C317478</t>
  </si>
  <si>
    <t>C317818</t>
  </si>
  <si>
    <t>C317850</t>
  </si>
  <si>
    <t>C317897</t>
  </si>
  <si>
    <t>C317968</t>
  </si>
  <si>
    <t>C318000</t>
  </si>
  <si>
    <t>C318225</t>
  </si>
  <si>
    <t>C318391</t>
  </si>
  <si>
    <t>C318802</t>
  </si>
  <si>
    <t>C319231</t>
  </si>
  <si>
    <t>C319412</t>
  </si>
  <si>
    <t>C319624</t>
  </si>
  <si>
    <t>C319696</t>
  </si>
  <si>
    <t>C319806</t>
  </si>
  <si>
    <t>C319935</t>
  </si>
  <si>
    <t>C320229</t>
  </si>
  <si>
    <t>C320598</t>
  </si>
  <si>
    <t>C320610</t>
  </si>
  <si>
    <t>C320640</t>
  </si>
  <si>
    <t>C320928</t>
  </si>
  <si>
    <t>C321053</t>
  </si>
  <si>
    <t>C321209</t>
  </si>
  <si>
    <t>C321527</t>
  </si>
  <si>
    <t>C321609</t>
  </si>
  <si>
    <t>C321889</t>
  </si>
  <si>
    <t>C321914</t>
  </si>
  <si>
    <t>C321916</t>
  </si>
  <si>
    <t>C321931</t>
  </si>
  <si>
    <t>C321993</t>
  </si>
  <si>
    <t>C322195</t>
  </si>
  <si>
    <t>C322260</t>
  </si>
  <si>
    <t>C322402</t>
  </si>
  <si>
    <t>C322689</t>
  </si>
  <si>
    <t>C322924</t>
  </si>
  <si>
    <t>C322947</t>
  </si>
  <si>
    <t>C322994</t>
  </si>
  <si>
    <t>C323229</t>
  </si>
  <si>
    <t>C323307</t>
  </si>
  <si>
    <t>C323349</t>
  </si>
  <si>
    <t>C323464</t>
  </si>
  <si>
    <t>C323469</t>
  </si>
  <si>
    <t>C323574</t>
  </si>
  <si>
    <t>C323605</t>
  </si>
  <si>
    <t>C323659</t>
  </si>
  <si>
    <t>C323696</t>
  </si>
  <si>
    <t>C323917</t>
  </si>
  <si>
    <t>C324332</t>
  </si>
  <si>
    <t>C324512</t>
  </si>
  <si>
    <t>C324614</t>
  </si>
  <si>
    <t>C324683</t>
  </si>
  <si>
    <t>C324708</t>
  </si>
  <si>
    <t>C324783</t>
  </si>
  <si>
    <t>C325102</t>
  </si>
  <si>
    <t>C325158</t>
  </si>
  <si>
    <t>C325166</t>
  </si>
  <si>
    <t>C325203</t>
  </si>
  <si>
    <t>C325524</t>
  </si>
  <si>
    <t>C325548</t>
  </si>
  <si>
    <t>C325757</t>
  </si>
  <si>
    <t>C325906</t>
  </si>
  <si>
    <t>C326318</t>
  </si>
  <si>
    <t>C326699</t>
  </si>
  <si>
    <t>C326893</t>
  </si>
  <si>
    <t>C327001</t>
  </si>
  <si>
    <t>C327084</t>
  </si>
  <si>
    <t>C327098</t>
  </si>
  <si>
    <t>C327130</t>
  </si>
  <si>
    <t>C327137</t>
  </si>
  <si>
    <t>C327146</t>
  </si>
  <si>
    <t>C327399</t>
  </si>
  <si>
    <t>C327424</t>
  </si>
  <si>
    <t>C327796</t>
  </si>
  <si>
    <t>C327823</t>
  </si>
  <si>
    <t>C327954</t>
  </si>
  <si>
    <t>C328169</t>
  </si>
  <si>
    <t>C328195</t>
  </si>
  <si>
    <t>C328444</t>
  </si>
  <si>
    <t>C329000</t>
  </si>
  <si>
    <t>C329003</t>
  </si>
  <si>
    <t>C329153</t>
  </si>
  <si>
    <t>C329163</t>
  </si>
  <si>
    <t>C329432</t>
  </si>
  <si>
    <t>C329633</t>
  </si>
  <si>
    <t>C329954</t>
  </si>
  <si>
    <t>C330021</t>
  </si>
  <si>
    <t>C330141</t>
  </si>
  <si>
    <t>C330221</t>
  </si>
  <si>
    <t>C330282</t>
  </si>
  <si>
    <t>C330352</t>
  </si>
  <si>
    <t>C330413</t>
  </si>
  <si>
    <t>C330584</t>
  </si>
  <si>
    <t>C330667</t>
  </si>
  <si>
    <t>C330736</t>
  </si>
  <si>
    <t>C330779</t>
  </si>
  <si>
    <t>C330941</t>
  </si>
  <si>
    <t>C330949</t>
  </si>
  <si>
    <t>C331127</t>
  </si>
  <si>
    <t>C331182</t>
  </si>
  <si>
    <t>C331382</t>
  </si>
  <si>
    <t>C331387</t>
  </si>
  <si>
    <t>C331539</t>
  </si>
  <si>
    <t>C331761</t>
  </si>
  <si>
    <t>C331880</t>
  </si>
  <si>
    <t>C333065</t>
  </si>
  <si>
    <t>C333202</t>
  </si>
  <si>
    <t>C333988</t>
  </si>
  <si>
    <t>C334097</t>
  </si>
  <si>
    <t>C334281</t>
  </si>
  <si>
    <t>C334382</t>
  </si>
  <si>
    <t>C334518</t>
  </si>
  <si>
    <t>C334601</t>
  </si>
  <si>
    <t>C334686</t>
  </si>
  <si>
    <t>C335061</t>
  </si>
  <si>
    <t>C335107</t>
  </si>
  <si>
    <t>C335131</t>
  </si>
  <si>
    <t>C335595</t>
  </si>
  <si>
    <t>C335822</t>
  </si>
  <si>
    <t>C335904</t>
  </si>
  <si>
    <t>C336104</t>
  </si>
  <si>
    <t>C336156</t>
  </si>
  <si>
    <t>C336232</t>
  </si>
  <si>
    <t>C336350</t>
  </si>
  <si>
    <t>C336395</t>
  </si>
  <si>
    <t>C336400</t>
  </si>
  <si>
    <t>C336576</t>
  </si>
  <si>
    <t>C336653</t>
  </si>
  <si>
    <t>C336809</t>
  </si>
  <si>
    <t>C336846</t>
  </si>
  <si>
    <t>C336888</t>
  </si>
  <si>
    <t>C336940</t>
  </si>
  <si>
    <t>C337111</t>
  </si>
  <si>
    <t>C337177</t>
  </si>
  <si>
    <t>C337220</t>
  </si>
  <si>
    <t>C337644</t>
  </si>
  <si>
    <t>C337721</t>
  </si>
  <si>
    <t>C338552</t>
  </si>
  <si>
    <t>C338577</t>
  </si>
  <si>
    <t>C338671</t>
  </si>
  <si>
    <t>C338690</t>
  </si>
  <si>
    <t>C338765</t>
  </si>
  <si>
    <t>C339071</t>
  </si>
  <si>
    <t>C339085</t>
  </si>
  <si>
    <t>C339114</t>
  </si>
  <si>
    <t>C339202</t>
  </si>
  <si>
    <t>C339339</t>
  </si>
  <si>
    <t>C339385</t>
  </si>
  <si>
    <t>C339391</t>
  </si>
  <si>
    <t>C339508</t>
  </si>
  <si>
    <t>C339518</t>
  </si>
  <si>
    <t>C339565</t>
  </si>
  <si>
    <t>C339648</t>
  </si>
  <si>
    <t>C340063</t>
  </si>
  <si>
    <t>C340084</t>
  </si>
  <si>
    <t>C340089</t>
  </si>
  <si>
    <t>C340116</t>
  </si>
  <si>
    <t>C345828</t>
  </si>
  <si>
    <t>C352919</t>
  </si>
  <si>
    <t>C353540</t>
  </si>
  <si>
    <t>C354331</t>
  </si>
  <si>
    <t>C354398</t>
  </si>
  <si>
    <t>C358486</t>
  </si>
  <si>
    <t>C362288</t>
  </si>
  <si>
    <t>C363987</t>
  </si>
  <si>
    <t>C364009</t>
  </si>
  <si>
    <t>C369937</t>
  </si>
  <si>
    <t>C372643</t>
  </si>
  <si>
    <t>C373154</t>
  </si>
  <si>
    <t>C373731</t>
  </si>
  <si>
    <t>C375325</t>
  </si>
  <si>
    <t>C375422</t>
  </si>
  <si>
    <t>C376889</t>
  </si>
  <si>
    <t>C379931</t>
  </si>
  <si>
    <t>C382952</t>
  </si>
  <si>
    <t>C387164</t>
  </si>
  <si>
    <t>C387282</t>
  </si>
  <si>
    <t>C387559</t>
  </si>
  <si>
    <t>C388552</t>
  </si>
  <si>
    <t>C391248</t>
  </si>
  <si>
    <t>C391672</t>
  </si>
  <si>
    <t>C392081</t>
  </si>
  <si>
    <t>C398415</t>
  </si>
  <si>
    <t>C399332</t>
  </si>
  <si>
    <t>C399735</t>
  </si>
  <si>
    <t>C402433</t>
  </si>
  <si>
    <t>C403561</t>
  </si>
  <si>
    <t>C403983</t>
  </si>
  <si>
    <t>C405837</t>
  </si>
  <si>
    <t>C408592</t>
  </si>
  <si>
    <t>C412367</t>
  </si>
  <si>
    <t>C412543</t>
  </si>
  <si>
    <t>C414958</t>
  </si>
  <si>
    <t>C422499</t>
  </si>
  <si>
    <t>C423734</t>
  </si>
  <si>
    <t>C424443</t>
  </si>
  <si>
    <t>C425857</t>
  </si>
  <si>
    <t>C430623</t>
  </si>
  <si>
    <t>C430931</t>
  </si>
  <si>
    <t>C430942</t>
  </si>
  <si>
    <t>C431872</t>
  </si>
  <si>
    <t>C432132</t>
  </si>
  <si>
    <t>C432354</t>
  </si>
  <si>
    <t>C433234</t>
  </si>
  <si>
    <t>C433673</t>
  </si>
  <si>
    <t>C434171</t>
  </si>
  <si>
    <t>C434802</t>
  </si>
  <si>
    <t>C436520</t>
  </si>
  <si>
    <t>C437904</t>
  </si>
  <si>
    <t>C439382</t>
  </si>
  <si>
    <t>C439853</t>
  </si>
  <si>
    <t>C440342</t>
  </si>
  <si>
    <t>C442324</t>
  </si>
  <si>
    <t>C447138</t>
  </si>
  <si>
    <t>C448846</t>
  </si>
  <si>
    <t>C450287</t>
  </si>
  <si>
    <t>C452806</t>
  </si>
  <si>
    <t>C453635</t>
  </si>
  <si>
    <t>C455212</t>
  </si>
  <si>
    <t>C457598</t>
  </si>
  <si>
    <t>C461133</t>
  </si>
  <si>
    <t>C462011</t>
  </si>
  <si>
    <t>C462416</t>
  </si>
  <si>
    <t>C463587</t>
  </si>
  <si>
    <t>C465167</t>
  </si>
  <si>
    <t>C467287</t>
  </si>
  <si>
    <t>C469535</t>
  </si>
  <si>
    <t>C470346</t>
  </si>
  <si>
    <t>C474588</t>
  </si>
  <si>
    <t>C474896</t>
  </si>
  <si>
    <t>C475080</t>
  </si>
  <si>
    <t>C475169</t>
  </si>
  <si>
    <t>C475377</t>
  </si>
  <si>
    <t>C476125</t>
  </si>
  <si>
    <t>C476451</t>
  </si>
  <si>
    <t>C477489</t>
  </si>
  <si>
    <t>C478668</t>
  </si>
  <si>
    <t>C478733</t>
  </si>
  <si>
    <t>C478916</t>
  </si>
  <si>
    <t>C480735</t>
  </si>
  <si>
    <t>C480991</t>
  </si>
  <si>
    <t>C484681</t>
  </si>
  <si>
    <t>C485136</t>
  </si>
  <si>
    <t>C485257</t>
  </si>
  <si>
    <t>C485668</t>
  </si>
  <si>
    <t>C486241</t>
  </si>
  <si>
    <t>C488263</t>
  </si>
  <si>
    <t>C488994</t>
  </si>
  <si>
    <t>C492890</t>
  </si>
  <si>
    <t>C493252</t>
  </si>
  <si>
    <t>C493406</t>
  </si>
  <si>
    <t>C494615</t>
  </si>
  <si>
    <t>C496393</t>
  </si>
  <si>
    <t>C496516</t>
  </si>
  <si>
    <t>C501294</t>
  </si>
  <si>
    <t>C501563</t>
  </si>
  <si>
    <t>C501658</t>
  </si>
  <si>
    <t>C502572</t>
  </si>
  <si>
    <t>C506663</t>
  </si>
  <si>
    <t>C506887</t>
  </si>
  <si>
    <t>C506925</t>
  </si>
  <si>
    <t>C507408</t>
  </si>
  <si>
    <t>C507725</t>
  </si>
  <si>
    <t>C509924</t>
  </si>
  <si>
    <t>C510364</t>
  </si>
  <si>
    <t>C512698</t>
  </si>
  <si>
    <t>C512978</t>
  </si>
  <si>
    <t>C513561</t>
  </si>
  <si>
    <t>C519513</t>
  </si>
  <si>
    <t>C521028</t>
  </si>
  <si>
    <t>C521673</t>
  </si>
  <si>
    <t>C523660</t>
  </si>
  <si>
    <t>C524104</t>
  </si>
  <si>
    <t>C524469</t>
  </si>
  <si>
    <t>C524507</t>
  </si>
  <si>
    <t>C526385</t>
  </si>
  <si>
    <t>C526513</t>
  </si>
  <si>
    <t>C526660</t>
  </si>
  <si>
    <t>C528686</t>
  </si>
  <si>
    <t>C533520</t>
  </si>
  <si>
    <t>C535999</t>
  </si>
  <si>
    <t>C536552</t>
  </si>
  <si>
    <t>C537541</t>
  </si>
  <si>
    <t>C539840</t>
  </si>
  <si>
    <t>C539974</t>
  </si>
  <si>
    <t>C541498</t>
  </si>
  <si>
    <t>C541983</t>
  </si>
  <si>
    <t>C542025</t>
  </si>
  <si>
    <t>C545065</t>
  </si>
  <si>
    <t>C545317</t>
  </si>
  <si>
    <t>C545424</t>
  </si>
  <si>
    <t>C545894</t>
  </si>
  <si>
    <t>C548682</t>
  </si>
  <si>
    <t>C550185</t>
  </si>
  <si>
    <t>C551975</t>
  </si>
  <si>
    <t>C552345</t>
  </si>
  <si>
    <t>C554087</t>
  </si>
  <si>
    <t>C555040</t>
  </si>
  <si>
    <t>C555402</t>
  </si>
  <si>
    <t>C555827</t>
  </si>
  <si>
    <t>C556552</t>
  </si>
  <si>
    <t>C557245</t>
  </si>
  <si>
    <t>C558480</t>
  </si>
  <si>
    <t>C559217</t>
  </si>
  <si>
    <t>C559746</t>
  </si>
  <si>
    <t>C567274</t>
  </si>
  <si>
    <t>C567509</t>
  </si>
  <si>
    <t>C567813</t>
  </si>
  <si>
    <t>C572091</t>
  </si>
  <si>
    <t>C574590</t>
  </si>
  <si>
    <t>C576013</t>
  </si>
  <si>
    <t>C576719</t>
  </si>
  <si>
    <t>C578468</t>
  </si>
  <si>
    <t>C581116</t>
  </si>
  <si>
    <t>C581271</t>
  </si>
  <si>
    <t>C581947</t>
  </si>
  <si>
    <t>C582235</t>
  </si>
  <si>
    <t>C582623</t>
  </si>
  <si>
    <t>C582855</t>
  </si>
  <si>
    <t>C582997</t>
  </si>
  <si>
    <t>C584141</t>
  </si>
  <si>
    <t>C584700</t>
  </si>
  <si>
    <t>C587022</t>
  </si>
  <si>
    <t>C588455</t>
  </si>
  <si>
    <t>C592891</t>
  </si>
  <si>
    <t>C593370</t>
  </si>
  <si>
    <t>C596756</t>
  </si>
  <si>
    <t>C599109</t>
  </si>
  <si>
    <t>C604007</t>
  </si>
  <si>
    <t>C605200</t>
  </si>
  <si>
    <t>C606418</t>
  </si>
  <si>
    <t>C606472</t>
  </si>
  <si>
    <t>C606953</t>
  </si>
  <si>
    <t>C607615</t>
  </si>
  <si>
    <t>C611809</t>
  </si>
  <si>
    <t>C614595</t>
  </si>
  <si>
    <t>C615393</t>
  </si>
  <si>
    <t>C616106</t>
  </si>
  <si>
    <t>C617189</t>
  </si>
  <si>
    <t>C617356</t>
  </si>
  <si>
    <t>C617884</t>
  </si>
  <si>
    <t>C618494</t>
  </si>
  <si>
    <t>C618730</t>
  </si>
  <si>
    <t>C621747</t>
  </si>
  <si>
    <t>C621794</t>
  </si>
  <si>
    <t>C622329</t>
  </si>
  <si>
    <t>C622685</t>
  </si>
  <si>
    <t>C622748</t>
  </si>
  <si>
    <t>C623421</t>
  </si>
  <si>
    <t>C625736</t>
  </si>
  <si>
    <t>C626042</t>
  </si>
  <si>
    <t>C632239</t>
  </si>
  <si>
    <t>C632622</t>
  </si>
  <si>
    <t>C632826</t>
  </si>
  <si>
    <t>C633946</t>
  </si>
  <si>
    <t>C634747</t>
  </si>
  <si>
    <t>C635016</t>
  </si>
  <si>
    <t>C636874</t>
  </si>
  <si>
    <t>C644605</t>
  </si>
  <si>
    <t>C644712</t>
  </si>
  <si>
    <t>C646756</t>
  </si>
  <si>
    <t>C647656</t>
  </si>
  <si>
    <t>C649525</t>
  </si>
  <si>
    <t>C651699</t>
  </si>
  <si>
    <t>C653357</t>
  </si>
  <si>
    <t>C653385</t>
  </si>
  <si>
    <t>C657207</t>
  </si>
  <si>
    <t>C657758</t>
  </si>
  <si>
    <t>C658980</t>
  </si>
  <si>
    <t>C660491</t>
  </si>
  <si>
    <t>C661696</t>
  </si>
  <si>
    <t>C662958</t>
  </si>
  <si>
    <t>C663051</t>
  </si>
  <si>
    <t>C663463</t>
  </si>
  <si>
    <t>C665061</t>
  </si>
  <si>
    <t>C665777</t>
  </si>
  <si>
    <t>C666013</t>
  </si>
  <si>
    <t>C666466</t>
  </si>
  <si>
    <t>C667578</t>
  </si>
  <si>
    <t>C670293</t>
  </si>
  <si>
    <t>C670524</t>
  </si>
  <si>
    <t>C671866</t>
  </si>
  <si>
    <t>C675153</t>
  </si>
  <si>
    <t>C677850</t>
  </si>
  <si>
    <t>C678680</t>
  </si>
  <si>
    <t>C679476</t>
  </si>
  <si>
    <t>C680169</t>
  </si>
  <si>
    <t>C682023</t>
  </si>
  <si>
    <t>C682406</t>
  </si>
  <si>
    <t>C682985</t>
  </si>
  <si>
    <t>C690345</t>
  </si>
  <si>
    <t>C693789</t>
  </si>
  <si>
    <t>C697667</t>
  </si>
  <si>
    <t>C698742</t>
  </si>
  <si>
    <t>C699724</t>
  </si>
  <si>
    <t>C703073</t>
  </si>
  <si>
    <t>C708005</t>
  </si>
  <si>
    <t>C709370</t>
  </si>
  <si>
    <t>C709571</t>
  </si>
  <si>
    <t>C709743</t>
  </si>
  <si>
    <t>C709824</t>
  </si>
  <si>
    <t>C709983</t>
  </si>
  <si>
    <t>C710954</t>
  </si>
  <si>
    <t>C715684</t>
  </si>
  <si>
    <t>C716161</t>
  </si>
  <si>
    <t>C716629</t>
  </si>
  <si>
    <t>C716683</t>
  </si>
  <si>
    <t>C716788</t>
  </si>
  <si>
    <t>C716870</t>
  </si>
  <si>
    <t>C718508</t>
  </si>
  <si>
    <t>C719499</t>
  </si>
  <si>
    <t>C720198</t>
  </si>
  <si>
    <t>C720642</t>
  </si>
  <si>
    <t>C721239</t>
  </si>
  <si>
    <t>C722003</t>
  </si>
  <si>
    <t>C723990</t>
  </si>
  <si>
    <t>C724217</t>
  </si>
  <si>
    <t>C724391</t>
  </si>
  <si>
    <t>C726021</t>
  </si>
  <si>
    <t>C727904</t>
  </si>
  <si>
    <t>C729392</t>
  </si>
  <si>
    <t>C729802</t>
  </si>
  <si>
    <t>C730185</t>
  </si>
  <si>
    <t>C730395</t>
  </si>
  <si>
    <t>C732384</t>
  </si>
  <si>
    <t>C736428</t>
  </si>
  <si>
    <t>C737656</t>
  </si>
  <si>
    <t>C737782</t>
  </si>
  <si>
    <t>C738384</t>
  </si>
  <si>
    <t>C740518</t>
  </si>
  <si>
    <t>C741297</t>
  </si>
  <si>
    <t>C743273</t>
  </si>
  <si>
    <t>C744124</t>
  </si>
  <si>
    <t>C746891</t>
  </si>
  <si>
    <t>C747740</t>
  </si>
  <si>
    <t>C747837</t>
  </si>
  <si>
    <t>C748439</t>
  </si>
  <si>
    <t>C750093</t>
  </si>
  <si>
    <t>C751460</t>
  </si>
  <si>
    <t>C755148</t>
  </si>
  <si>
    <t>C758661</t>
  </si>
  <si>
    <t>C758807</t>
  </si>
  <si>
    <t>C760307</t>
  </si>
  <si>
    <t>C761041</t>
  </si>
  <si>
    <t>C765010</t>
  </si>
  <si>
    <t>C765432</t>
  </si>
  <si>
    <t>C765620</t>
  </si>
  <si>
    <t>C766767</t>
  </si>
  <si>
    <t>C767634</t>
  </si>
  <si>
    <t>C768043</t>
  </si>
  <si>
    <t>C769179</t>
  </si>
  <si>
    <t>C770626</t>
  </si>
  <si>
    <t>C771066</t>
  </si>
  <si>
    <t>C771924</t>
  </si>
  <si>
    <t>C772839</t>
  </si>
  <si>
    <t>C773134</t>
  </si>
  <si>
    <t>C773181</t>
  </si>
  <si>
    <t>C774214</t>
  </si>
  <si>
    <t>C781893</t>
  </si>
  <si>
    <t>C785507</t>
  </si>
  <si>
    <t>C787279</t>
  </si>
  <si>
    <t>C788630</t>
  </si>
  <si>
    <t>C790567</t>
  </si>
  <si>
    <t>C791362</t>
  </si>
  <si>
    <t>C794449</t>
  </si>
  <si>
    <t>C795627</t>
  </si>
  <si>
    <t>C799447</t>
  </si>
  <si>
    <t>C800785</t>
  </si>
  <si>
    <t>C803010</t>
  </si>
  <si>
    <t>C803666</t>
  </si>
  <si>
    <t>C804531</t>
  </si>
  <si>
    <t>C804869</t>
  </si>
  <si>
    <t>C805154</t>
  </si>
  <si>
    <t>C805412</t>
  </si>
  <si>
    <t>C805973</t>
  </si>
  <si>
    <t>C807389</t>
  </si>
  <si>
    <t>C807680</t>
  </si>
  <si>
    <t>C807718</t>
  </si>
  <si>
    <t>C807852</t>
  </si>
  <si>
    <t>C808112</t>
  </si>
  <si>
    <t>C809067</t>
  </si>
  <si>
    <t>C809281</t>
  </si>
  <si>
    <t>C809683</t>
  </si>
  <si>
    <t>C809737</t>
  </si>
  <si>
    <t>C811884</t>
  </si>
  <si>
    <t>C812053</t>
  </si>
  <si>
    <t>C812425</t>
  </si>
  <si>
    <t>C813874</t>
  </si>
  <si>
    <t>C816586</t>
  </si>
  <si>
    <t>C817202</t>
  </si>
  <si>
    <t>C820137</t>
  </si>
  <si>
    <t>C820515</t>
  </si>
  <si>
    <t>C822041</t>
  </si>
  <si>
    <t>C822515</t>
  </si>
  <si>
    <t>C822715</t>
  </si>
  <si>
    <t>C826270</t>
  </si>
  <si>
    <t>C826514</t>
  </si>
  <si>
    <t>C826744</t>
  </si>
  <si>
    <t>C828402</t>
  </si>
  <si>
    <t>C828471</t>
  </si>
  <si>
    <t>C829423</t>
  </si>
  <si>
    <t>C830576</t>
  </si>
  <si>
    <t>C830754</t>
  </si>
  <si>
    <t>C831048</t>
  </si>
  <si>
    <t>C832010</t>
  </si>
  <si>
    <t>C832397</t>
  </si>
  <si>
    <t>C832533</t>
  </si>
  <si>
    <t>C833582</t>
  </si>
  <si>
    <t>C833832</t>
  </si>
  <si>
    <t>C834257</t>
  </si>
  <si>
    <t>C836254</t>
  </si>
  <si>
    <t>C838257</t>
  </si>
  <si>
    <t>C838282</t>
  </si>
  <si>
    <t>C838623</t>
  </si>
  <si>
    <t>C841591</t>
  </si>
  <si>
    <t>C841663</t>
  </si>
  <si>
    <t>C842431</t>
  </si>
  <si>
    <t>C845711</t>
  </si>
  <si>
    <t>C846690</t>
  </si>
  <si>
    <t>C846730</t>
  </si>
  <si>
    <t>C847171</t>
  </si>
  <si>
    <t>C848969</t>
  </si>
  <si>
    <t>C850866</t>
  </si>
  <si>
    <t>C851508</t>
  </si>
  <si>
    <t>C852668</t>
  </si>
  <si>
    <t>C853154</t>
  </si>
  <si>
    <t>C855678</t>
  </si>
  <si>
    <t>C856138</t>
  </si>
  <si>
    <t>C858254</t>
  </si>
  <si>
    <t>C858536</t>
  </si>
  <si>
    <t>C863183</t>
  </si>
  <si>
    <t>C864800</t>
  </si>
  <si>
    <t>C866033</t>
  </si>
  <si>
    <t>C866676</t>
  </si>
  <si>
    <t>C870412</t>
  </si>
  <si>
    <t>C871318</t>
  </si>
  <si>
    <t>C876528</t>
  </si>
  <si>
    <t>C876858</t>
  </si>
  <si>
    <t>C878345</t>
  </si>
  <si>
    <t>C882059</t>
  </si>
  <si>
    <t>C882218</t>
  </si>
  <si>
    <t>C882358</t>
  </si>
  <si>
    <t>C884264</t>
  </si>
  <si>
    <t>C885344</t>
  </si>
  <si>
    <t>C885556</t>
  </si>
  <si>
    <t>C886153</t>
  </si>
  <si>
    <t>C891545</t>
  </si>
  <si>
    <t>C892096</t>
  </si>
  <si>
    <t>C892871</t>
  </si>
  <si>
    <t>C894269</t>
  </si>
  <si>
    <t>C895045</t>
  </si>
  <si>
    <t>C897202</t>
  </si>
  <si>
    <t>C898202</t>
  </si>
  <si>
    <t>C898405</t>
  </si>
  <si>
    <t>C899218</t>
  </si>
  <si>
    <t>C900938</t>
  </si>
  <si>
    <t>C901974</t>
  </si>
  <si>
    <t>C902190</t>
  </si>
  <si>
    <t>C907582</t>
  </si>
  <si>
    <t>C908169</t>
  </si>
  <si>
    <t>C911768</t>
  </si>
  <si>
    <t>C913425</t>
  </si>
  <si>
    <t>C919190</t>
  </si>
  <si>
    <t>C920331</t>
  </si>
  <si>
    <t>C921087</t>
  </si>
  <si>
    <t>C921649</t>
  </si>
  <si>
    <t>C925796</t>
  </si>
  <si>
    <t>C926896</t>
  </si>
  <si>
    <t>C932517</t>
  </si>
  <si>
    <t>C935162</t>
  </si>
  <si>
    <t>C937123</t>
  </si>
  <si>
    <t>C939175</t>
  </si>
  <si>
    <t>C940481</t>
  </si>
  <si>
    <t>C944366</t>
  </si>
  <si>
    <t>C945285</t>
  </si>
  <si>
    <t>C947114</t>
  </si>
  <si>
    <t>C947516</t>
  </si>
  <si>
    <t>C949760</t>
  </si>
  <si>
    <t>C949868</t>
  </si>
  <si>
    <t>C952467</t>
  </si>
  <si>
    <t>C954128</t>
  </si>
  <si>
    <t>C955218</t>
  </si>
  <si>
    <t>C955533</t>
  </si>
  <si>
    <t>C962515</t>
  </si>
  <si>
    <t>C963628</t>
  </si>
  <si>
    <t>C964548</t>
  </si>
  <si>
    <t>C968730</t>
  </si>
  <si>
    <t>C978718</t>
  </si>
  <si>
    <t>C979970</t>
  </si>
  <si>
    <t>C981925</t>
  </si>
  <si>
    <t>C986474</t>
  </si>
  <si>
    <t>C986860</t>
  </si>
  <si>
    <t>C986930</t>
  </si>
  <si>
    <t>C987230</t>
  </si>
  <si>
    <t>C987573</t>
  </si>
  <si>
    <t>C988172</t>
  </si>
  <si>
    <t>C989693</t>
  </si>
  <si>
    <t>C991037</t>
  </si>
  <si>
    <t>C992677</t>
  </si>
  <si>
    <t>C992695</t>
  </si>
  <si>
    <t>C992967</t>
  </si>
  <si>
    <t>C993675</t>
  </si>
  <si>
    <t>C993876</t>
  </si>
  <si>
    <t>C994327</t>
  </si>
  <si>
    <t>C995929</t>
  </si>
  <si>
    <t>C997380</t>
  </si>
  <si>
    <t>C997987</t>
  </si>
  <si>
    <t>C999586</t>
  </si>
  <si>
    <t>I198773</t>
  </si>
  <si>
    <t>Clothing</t>
  </si>
  <si>
    <t>Metrocity</t>
  </si>
  <si>
    <t>I268982</t>
  </si>
  <si>
    <t>Kanyon</t>
  </si>
  <si>
    <t>I280459</t>
  </si>
  <si>
    <t>Books</t>
  </si>
  <si>
    <t>I282953</t>
  </si>
  <si>
    <t>Food &amp; Beverage</t>
  </si>
  <si>
    <t>Cevahir AVM</t>
  </si>
  <si>
    <t>I302263</t>
  </si>
  <si>
    <t>Cosmetics</t>
  </si>
  <si>
    <t>Zorlu Center</t>
  </si>
  <si>
    <t>I128905</t>
  </si>
  <si>
    <t>I248655</t>
  </si>
  <si>
    <t>Shoes</t>
  </si>
  <si>
    <t>I281381</t>
  </si>
  <si>
    <t>Technology</t>
  </si>
  <si>
    <t>Viaport Outlet</t>
  </si>
  <si>
    <t>I429437</t>
  </si>
  <si>
    <t>Metropol AVM</t>
  </si>
  <si>
    <t>I785462</t>
  </si>
  <si>
    <t>I124999</t>
  </si>
  <si>
    <t>I155404</t>
  </si>
  <si>
    <t>Toys</t>
  </si>
  <si>
    <t>I332970</t>
  </si>
  <si>
    <t>I154490</t>
  </si>
  <si>
    <t>Mall of Istanbul</t>
  </si>
  <si>
    <t>I282707</t>
  </si>
  <si>
    <t>I338742</t>
  </si>
  <si>
    <t>I995773</t>
  </si>
  <si>
    <t>I118988</t>
  </si>
  <si>
    <t>I339688</t>
  </si>
  <si>
    <t>I499170</t>
  </si>
  <si>
    <t>I986090</t>
  </si>
  <si>
    <t>I123549</t>
  </si>
  <si>
    <t>I167097</t>
  </si>
  <si>
    <t>I222823</t>
  </si>
  <si>
    <t>I287929</t>
  </si>
  <si>
    <t>I314683</t>
  </si>
  <si>
    <t>I790600</t>
  </si>
  <si>
    <t>Forum Istanbul</t>
  </si>
  <si>
    <t>I112469</t>
  </si>
  <si>
    <t>I128518</t>
  </si>
  <si>
    <t>I254710</t>
  </si>
  <si>
    <t>I322684</t>
  </si>
  <si>
    <t>I152063</t>
  </si>
  <si>
    <t>I167850</t>
  </si>
  <si>
    <t>I225493</t>
  </si>
  <si>
    <t>I313426</t>
  </si>
  <si>
    <t>I122072</t>
  </si>
  <si>
    <t>I218197</t>
  </si>
  <si>
    <t>I298805</t>
  </si>
  <si>
    <t>I303406</t>
  </si>
  <si>
    <t>I336583</t>
  </si>
  <si>
    <t>I365350</t>
  </si>
  <si>
    <t>I238941</t>
  </si>
  <si>
    <t>Souvenir</t>
  </si>
  <si>
    <t>Emaar Square Mall</t>
  </si>
  <si>
    <t>I293572</t>
  </si>
  <si>
    <t>I321898</t>
  </si>
  <si>
    <t>I446307</t>
  </si>
  <si>
    <t>I526892</t>
  </si>
  <si>
    <t>I247747</t>
  </si>
  <si>
    <t>Istinye Park</t>
  </si>
  <si>
    <t>I666412</t>
  </si>
  <si>
    <t>I146590</t>
  </si>
  <si>
    <t>I185578</t>
  </si>
  <si>
    <t>I191314</t>
  </si>
  <si>
    <t>I205094</t>
  </si>
  <si>
    <t>I295908</t>
  </si>
  <si>
    <t>I594259</t>
  </si>
  <si>
    <t>I884009</t>
  </si>
  <si>
    <t>I160370</t>
  </si>
  <si>
    <t>I233021</t>
  </si>
  <si>
    <t>I272319</t>
  </si>
  <si>
    <t>I398885</t>
  </si>
  <si>
    <t>I184289</t>
  </si>
  <si>
    <t>I286335</t>
  </si>
  <si>
    <t>I484783</t>
  </si>
  <si>
    <t>I487794</t>
  </si>
  <si>
    <t>I114843</t>
  </si>
  <si>
    <t>I173884</t>
  </si>
  <si>
    <t>I360424</t>
  </si>
  <si>
    <t>I500927</t>
  </si>
  <si>
    <t>I538752</t>
  </si>
  <si>
    <t>I149473</t>
  </si>
  <si>
    <t>I229957</t>
  </si>
  <si>
    <t>I245213</t>
  </si>
  <si>
    <t>I284540</t>
  </si>
  <si>
    <t>I288283</t>
  </si>
  <si>
    <t>I320081</t>
  </si>
  <si>
    <t>I109188</t>
  </si>
  <si>
    <t>I174480</t>
  </si>
  <si>
    <t>I252056</t>
  </si>
  <si>
    <t>I323718</t>
  </si>
  <si>
    <t>I140362</t>
  </si>
  <si>
    <t>I207719</t>
  </si>
  <si>
    <t>I212122</t>
  </si>
  <si>
    <t>I234303</t>
  </si>
  <si>
    <t>I816706</t>
  </si>
  <si>
    <t>I133415</t>
  </si>
  <si>
    <t>I141970</t>
  </si>
  <si>
    <t>I624164</t>
  </si>
  <si>
    <t>I940472</t>
  </si>
  <si>
    <t>I231576</t>
  </si>
  <si>
    <t>I267608</t>
  </si>
  <si>
    <t>I777286</t>
  </si>
  <si>
    <t>I108589</t>
  </si>
  <si>
    <t>I216676</t>
  </si>
  <si>
    <t>I289973</t>
  </si>
  <si>
    <t>I447197</t>
  </si>
  <si>
    <t>I797290</t>
  </si>
  <si>
    <t>I812173</t>
  </si>
  <si>
    <t>I151889</t>
  </si>
  <si>
    <t>I167536</t>
  </si>
  <si>
    <t>I182618</t>
  </si>
  <si>
    <t>I199223</t>
  </si>
  <si>
    <t>I293208</t>
  </si>
  <si>
    <t>I298518</t>
  </si>
  <si>
    <t>I341800</t>
  </si>
  <si>
    <t>I205145</t>
  </si>
  <si>
    <t>I286313</t>
  </si>
  <si>
    <t>I526852</t>
  </si>
  <si>
    <t>I623959</t>
  </si>
  <si>
    <t>I166690</t>
  </si>
  <si>
    <t>I238603</t>
  </si>
  <si>
    <t>I262913</t>
  </si>
  <si>
    <t>I614600</t>
  </si>
  <si>
    <t>I151017</t>
  </si>
  <si>
    <t>I170920</t>
  </si>
  <si>
    <t>I205009</t>
  </si>
  <si>
    <t>I288644</t>
  </si>
  <si>
    <t>I311078</t>
  </si>
  <si>
    <t>I109572</t>
  </si>
  <si>
    <t>I156413</t>
  </si>
  <si>
    <t>I249212</t>
  </si>
  <si>
    <t>I268853</t>
  </si>
  <si>
    <t>I320224</t>
  </si>
  <si>
    <t>I325973</t>
  </si>
  <si>
    <t>I663300</t>
  </si>
  <si>
    <t>I743709</t>
  </si>
  <si>
    <t>I116064</t>
  </si>
  <si>
    <t>I220950</t>
  </si>
  <si>
    <t>I244829</t>
  </si>
  <si>
    <t>I415397</t>
  </si>
  <si>
    <t>I104074</t>
  </si>
  <si>
    <t>I170362</t>
  </si>
  <si>
    <t>I205797</t>
  </si>
  <si>
    <t>I125016</t>
  </si>
  <si>
    <t>I193600</t>
  </si>
  <si>
    <t>I250835</t>
  </si>
  <si>
    <t>I282620</t>
  </si>
  <si>
    <t>I314617</t>
  </si>
  <si>
    <t>I701549</t>
  </si>
  <si>
    <t>I130799</t>
  </si>
  <si>
    <t>I203515</t>
  </si>
  <si>
    <t>I291063</t>
  </si>
  <si>
    <t>I642298</t>
  </si>
  <si>
    <t>I680142</t>
  </si>
  <si>
    <t>I990189</t>
  </si>
  <si>
    <t>I158003</t>
  </si>
  <si>
    <t>I766080</t>
  </si>
  <si>
    <t>I120445</t>
  </si>
  <si>
    <t>I167678</t>
  </si>
  <si>
    <t>I244481</t>
  </si>
  <si>
    <t>I134826</t>
  </si>
  <si>
    <t>I140971</t>
  </si>
  <si>
    <t>I188993</t>
  </si>
  <si>
    <t>I275192</t>
  </si>
  <si>
    <t>I757754</t>
  </si>
  <si>
    <t>I843472</t>
  </si>
  <si>
    <t>I154445</t>
  </si>
  <si>
    <t>I159832</t>
  </si>
  <si>
    <t>I218931</t>
  </si>
  <si>
    <t>I250384</t>
  </si>
  <si>
    <t>I261248</t>
  </si>
  <si>
    <t>I159487</t>
  </si>
  <si>
    <t>I222398</t>
  </si>
  <si>
    <t>I335481</t>
  </si>
  <si>
    <t>I115941</t>
  </si>
  <si>
    <t>I169663</t>
  </si>
  <si>
    <t>I232871</t>
  </si>
  <si>
    <t>I277458</t>
  </si>
  <si>
    <t>I304006</t>
  </si>
  <si>
    <t>I846907</t>
  </si>
  <si>
    <t>I115932</t>
  </si>
  <si>
    <t>I165751</t>
  </si>
  <si>
    <t>I182667</t>
  </si>
  <si>
    <t>I226700</t>
  </si>
  <si>
    <t>I263967</t>
  </si>
  <si>
    <t>I478239</t>
  </si>
  <si>
    <t>I851939</t>
  </si>
  <si>
    <t>I885734</t>
  </si>
  <si>
    <t>I105292</t>
  </si>
  <si>
    <t>I109208</t>
  </si>
  <si>
    <t>I194035</t>
  </si>
  <si>
    <t>I246405</t>
  </si>
  <si>
    <t>I282166</t>
  </si>
  <si>
    <t>I369868</t>
  </si>
  <si>
    <t>I393818</t>
  </si>
  <si>
    <t>I125499</t>
  </si>
  <si>
    <t>I262240</t>
  </si>
  <si>
    <t>I293494</t>
  </si>
  <si>
    <t>I320998</t>
  </si>
  <si>
    <t>I217749</t>
  </si>
  <si>
    <t>I243966</t>
  </si>
  <si>
    <t>I273166</t>
  </si>
  <si>
    <t>I331108</t>
  </si>
  <si>
    <t>I792633</t>
  </si>
  <si>
    <t>I205175</t>
  </si>
  <si>
    <t>I274076</t>
  </si>
  <si>
    <t>I338406</t>
  </si>
  <si>
    <t>I868553</t>
  </si>
  <si>
    <t>I137236</t>
  </si>
  <si>
    <t>I137427</t>
  </si>
  <si>
    <t>I222687</t>
  </si>
  <si>
    <t>I292582</t>
  </si>
  <si>
    <t>I623179</t>
  </si>
  <si>
    <t>I984012</t>
  </si>
  <si>
    <t>I109766</t>
  </si>
  <si>
    <t>I173557</t>
  </si>
  <si>
    <t>I197681</t>
  </si>
  <si>
    <t>I253832</t>
  </si>
  <si>
    <t>I292658</t>
  </si>
  <si>
    <t>I373992</t>
  </si>
  <si>
    <t>I444369</t>
  </si>
  <si>
    <t>I115881</t>
  </si>
  <si>
    <t>I152047</t>
  </si>
  <si>
    <t>I165060</t>
  </si>
  <si>
    <t>I166536</t>
  </si>
  <si>
    <t>I235438</t>
  </si>
  <si>
    <t>I312872</t>
  </si>
  <si>
    <t>I446487</t>
  </si>
  <si>
    <t>I610469</t>
  </si>
  <si>
    <t>I118658</t>
  </si>
  <si>
    <t>I126224</t>
  </si>
  <si>
    <t>I127422</t>
  </si>
  <si>
    <t>I226802</t>
  </si>
  <si>
    <t>I301321</t>
  </si>
  <si>
    <t>I322111</t>
  </si>
  <si>
    <t>I338697</t>
  </si>
  <si>
    <t>I583758</t>
  </si>
  <si>
    <t>I878054</t>
  </si>
  <si>
    <t>I169262</t>
  </si>
  <si>
    <t>I335234</t>
  </si>
  <si>
    <t>I907658</t>
  </si>
  <si>
    <t>I128152</t>
  </si>
  <si>
    <t>I215231</t>
  </si>
  <si>
    <t>I264491</t>
  </si>
  <si>
    <t>I257199</t>
  </si>
  <si>
    <t>I284471</t>
  </si>
  <si>
    <t>I298307</t>
  </si>
  <si>
    <t>I323800</t>
  </si>
  <si>
    <t>I324086</t>
  </si>
  <si>
    <t>I272486</t>
  </si>
  <si>
    <t>I312739</t>
  </si>
  <si>
    <t>I315914</t>
  </si>
  <si>
    <t>I434983</t>
  </si>
  <si>
    <t>I594574</t>
  </si>
  <si>
    <t>I927469</t>
  </si>
  <si>
    <t>I120615</t>
  </si>
  <si>
    <t>I132244</t>
  </si>
  <si>
    <t>I196757</t>
  </si>
  <si>
    <t>I724822</t>
  </si>
  <si>
    <t>I939391</t>
  </si>
  <si>
    <t>I160484</t>
  </si>
  <si>
    <t>I178044</t>
  </si>
  <si>
    <t>I178412</t>
  </si>
  <si>
    <t>I970055</t>
  </si>
  <si>
    <t>I117193</t>
  </si>
  <si>
    <t>I221703</t>
  </si>
  <si>
    <t>I245715</t>
  </si>
  <si>
    <t>I255738</t>
  </si>
  <si>
    <t>I256090</t>
  </si>
  <si>
    <t>I147543</t>
  </si>
  <si>
    <t>I199980</t>
  </si>
  <si>
    <t>I303401</t>
  </si>
  <si>
    <t>I592896</t>
  </si>
  <si>
    <t>I742423</t>
  </si>
  <si>
    <t>I134195</t>
  </si>
  <si>
    <t>I253063</t>
  </si>
  <si>
    <t>I406983</t>
  </si>
  <si>
    <t>I966684</t>
  </si>
  <si>
    <t>I225904</t>
  </si>
  <si>
    <t>I228402</t>
  </si>
  <si>
    <t>I228814</t>
  </si>
  <si>
    <t>I246250</t>
  </si>
  <si>
    <t>I253072</t>
  </si>
  <si>
    <t>I282011</t>
  </si>
  <si>
    <t>I312108</t>
  </si>
  <si>
    <t>I313957</t>
  </si>
  <si>
    <t>I323141</t>
  </si>
  <si>
    <t>I330895</t>
  </si>
  <si>
    <t>I334498</t>
  </si>
  <si>
    <t>I496063</t>
  </si>
  <si>
    <t>I894502</t>
  </si>
  <si>
    <t>I190799</t>
  </si>
  <si>
    <t>I238874</t>
  </si>
  <si>
    <t>I272591</t>
  </si>
  <si>
    <t>I287103</t>
  </si>
  <si>
    <t>I331806</t>
  </si>
  <si>
    <t>I218960</t>
  </si>
  <si>
    <t>I259412</t>
  </si>
  <si>
    <t>I299227</t>
  </si>
  <si>
    <t>I652694</t>
  </si>
  <si>
    <t>I132626</t>
  </si>
  <si>
    <t>I154619</t>
  </si>
  <si>
    <t>I188625</t>
  </si>
  <si>
    <t>I239703</t>
  </si>
  <si>
    <t>I279166</t>
  </si>
  <si>
    <t>I123968</t>
  </si>
  <si>
    <t>I187160</t>
  </si>
  <si>
    <t>I197419</t>
  </si>
  <si>
    <t>I333717</t>
  </si>
  <si>
    <t>I286269</t>
  </si>
  <si>
    <t>I338210</t>
  </si>
  <si>
    <t>I423124</t>
  </si>
  <si>
    <t>I166067</t>
  </si>
  <si>
    <t>I224469</t>
  </si>
  <si>
    <t>I264473</t>
  </si>
  <si>
    <t>I293115</t>
  </si>
  <si>
    <t>I314907</t>
  </si>
  <si>
    <t>I315857</t>
  </si>
  <si>
    <t>I154566</t>
  </si>
  <si>
    <t>I292239</t>
  </si>
  <si>
    <t>I132751</t>
  </si>
  <si>
    <t>I148146</t>
  </si>
  <si>
    <t>I222179</t>
  </si>
  <si>
    <t>I266960</t>
  </si>
  <si>
    <t>I317865</t>
  </si>
  <si>
    <t>I464182</t>
  </si>
  <si>
    <t>I485370</t>
  </si>
  <si>
    <t>I136005</t>
  </si>
  <si>
    <t>I161811</t>
  </si>
  <si>
    <t>I255950</t>
  </si>
  <si>
    <t>I284036</t>
  </si>
  <si>
    <t>I850954</t>
  </si>
  <si>
    <t>I214736</t>
  </si>
  <si>
    <t>I314252</t>
  </si>
  <si>
    <t>I316370</t>
  </si>
  <si>
    <t>I321637</t>
  </si>
  <si>
    <t>I323282</t>
  </si>
  <si>
    <t>I587552</t>
  </si>
  <si>
    <t>I118858</t>
  </si>
  <si>
    <t>I151425</t>
  </si>
  <si>
    <t>I174837</t>
  </si>
  <si>
    <t>I181026</t>
  </si>
  <si>
    <t>I242006</t>
  </si>
  <si>
    <t>I283037</t>
  </si>
  <si>
    <t>I297686</t>
  </si>
  <si>
    <t>I328025</t>
  </si>
  <si>
    <t>I352192</t>
  </si>
  <si>
    <t>I197845</t>
  </si>
  <si>
    <t>I283099</t>
  </si>
  <si>
    <t>I386714</t>
  </si>
  <si>
    <t>I822172</t>
  </si>
  <si>
    <t>I987120</t>
  </si>
  <si>
    <t>I113652</t>
  </si>
  <si>
    <t>I140421</t>
  </si>
  <si>
    <t>I236668</t>
  </si>
  <si>
    <t>I320334</t>
  </si>
  <si>
    <t>I356966</t>
  </si>
  <si>
    <t>I700673</t>
  </si>
  <si>
    <t>I845199</t>
  </si>
  <si>
    <t>I896749</t>
  </si>
  <si>
    <t>I262952</t>
  </si>
  <si>
    <t>I298857</t>
  </si>
  <si>
    <t>I299547</t>
  </si>
  <si>
    <t>I304665</t>
  </si>
  <si>
    <t>I519641</t>
  </si>
  <si>
    <t>I104404</t>
  </si>
  <si>
    <t>I243814</t>
  </si>
  <si>
    <t>I115489</t>
  </si>
  <si>
    <t>I155866</t>
  </si>
  <si>
    <t>I214598</t>
  </si>
  <si>
    <t>I244859</t>
  </si>
  <si>
    <t>I413623</t>
  </si>
  <si>
    <t>I482255</t>
  </si>
  <si>
    <t>I610479</t>
  </si>
  <si>
    <t>I110699</t>
  </si>
  <si>
    <t>I181683</t>
  </si>
  <si>
    <t>I188369</t>
  </si>
  <si>
    <t>I263687</t>
  </si>
  <si>
    <t>I302532</t>
  </si>
  <si>
    <t>I168758</t>
  </si>
  <si>
    <t>I828906</t>
  </si>
  <si>
    <t>I185018</t>
  </si>
  <si>
    <t>I238618</t>
  </si>
  <si>
    <t>I267166</t>
  </si>
  <si>
    <t>I317333</t>
  </si>
  <si>
    <t>I100723</t>
  </si>
  <si>
    <t>I102314</t>
  </si>
  <si>
    <t>I138135</t>
  </si>
  <si>
    <t>I229494</t>
  </si>
  <si>
    <t>I236675</t>
  </si>
  <si>
    <t>I280091</t>
  </si>
  <si>
    <t>I285825</t>
  </si>
  <si>
    <t>I309552</t>
  </si>
  <si>
    <t>I580058</t>
  </si>
  <si>
    <t>I167023</t>
  </si>
  <si>
    <t>I189007</t>
  </si>
  <si>
    <t>I213167</t>
  </si>
  <si>
    <t>I277652</t>
  </si>
  <si>
    <t>I283160</t>
  </si>
  <si>
    <t>I290311</t>
  </si>
  <si>
    <t>I599090</t>
  </si>
  <si>
    <t>I114739</t>
  </si>
  <si>
    <t>I119829</t>
  </si>
  <si>
    <t>I174527</t>
  </si>
  <si>
    <t>I464077</t>
  </si>
  <si>
    <t>I490327</t>
  </si>
  <si>
    <t>I589674</t>
  </si>
  <si>
    <t>I604212</t>
  </si>
  <si>
    <t>I758868</t>
  </si>
  <si>
    <t>I883022</t>
  </si>
  <si>
    <t>I158384</t>
  </si>
  <si>
    <t>I164597</t>
  </si>
  <si>
    <t>I250842</t>
  </si>
  <si>
    <t>I319084</t>
  </si>
  <si>
    <t>I460500</t>
  </si>
  <si>
    <t>I112629</t>
  </si>
  <si>
    <t>I121497</t>
  </si>
  <si>
    <t>I193447</t>
  </si>
  <si>
    <t>I195337</t>
  </si>
  <si>
    <t>I212223</t>
  </si>
  <si>
    <t>I214545</t>
  </si>
  <si>
    <t>I243449</t>
  </si>
  <si>
    <t>I252698</t>
  </si>
  <si>
    <t>I283176</t>
  </si>
  <si>
    <t>I441644</t>
  </si>
  <si>
    <t>I651307</t>
  </si>
  <si>
    <t>I685763</t>
  </si>
  <si>
    <t>I796162</t>
  </si>
  <si>
    <t>I822053</t>
  </si>
  <si>
    <t>I136183</t>
  </si>
  <si>
    <t>I158914</t>
  </si>
  <si>
    <t>I262485</t>
  </si>
  <si>
    <t>I272150</t>
  </si>
  <si>
    <t>I431780</t>
  </si>
  <si>
    <t>I158472</t>
  </si>
  <si>
    <t>I263803</t>
  </si>
  <si>
    <t>I293229</t>
  </si>
  <si>
    <t>I301088</t>
  </si>
  <si>
    <t>I330987</t>
  </si>
  <si>
    <t>I627373</t>
  </si>
  <si>
    <t>I181621</t>
  </si>
  <si>
    <t>I296824</t>
  </si>
  <si>
    <t>I302753</t>
  </si>
  <si>
    <t>I371788</t>
  </si>
  <si>
    <t>I810842</t>
  </si>
  <si>
    <t>I165916</t>
  </si>
  <si>
    <t>I202644</t>
  </si>
  <si>
    <t>I265980</t>
  </si>
  <si>
    <t>I296461</t>
  </si>
  <si>
    <t>I207763</t>
  </si>
  <si>
    <t>I222347</t>
  </si>
  <si>
    <t>I237324</t>
  </si>
  <si>
    <t>I134452</t>
  </si>
  <si>
    <t>I134786</t>
  </si>
  <si>
    <t>I142111</t>
  </si>
  <si>
    <t>I142464</t>
  </si>
  <si>
    <t>I204044</t>
  </si>
  <si>
    <t>I209069</t>
  </si>
  <si>
    <t>I228566</t>
  </si>
  <si>
    <t>I944263</t>
  </si>
  <si>
    <t>I180535</t>
  </si>
  <si>
    <t>I212625</t>
  </si>
  <si>
    <t>I233915</t>
  </si>
  <si>
    <t>I332690</t>
  </si>
  <si>
    <t>I336535</t>
  </si>
  <si>
    <t>I763903</t>
  </si>
  <si>
    <t>I187255</t>
  </si>
  <si>
    <t>I312002</t>
  </si>
  <si>
    <t>I461541</t>
  </si>
  <si>
    <t>I108648</t>
  </si>
  <si>
    <t>I190356</t>
  </si>
  <si>
    <t>I231029</t>
  </si>
  <si>
    <t>I298580</t>
  </si>
  <si>
    <t>I151677</t>
  </si>
  <si>
    <t>I271467</t>
  </si>
  <si>
    <t>I323055</t>
  </si>
  <si>
    <t>I338605</t>
  </si>
  <si>
    <t>I154285</t>
  </si>
  <si>
    <t>I204003</t>
  </si>
  <si>
    <t>I239787</t>
  </si>
  <si>
    <t>I254886</t>
  </si>
  <si>
    <t>I261435</t>
  </si>
  <si>
    <t>I728670</t>
  </si>
  <si>
    <t>I797502</t>
  </si>
  <si>
    <t>I158310</t>
  </si>
  <si>
    <t>I267904</t>
  </si>
  <si>
    <t>I308303</t>
  </si>
  <si>
    <t>I337570</t>
  </si>
  <si>
    <t>I929854</t>
  </si>
  <si>
    <t>I290524</t>
  </si>
  <si>
    <t>I580142</t>
  </si>
  <si>
    <t>I988233</t>
  </si>
  <si>
    <t>I118839</t>
  </si>
  <si>
    <t>I121196</t>
  </si>
  <si>
    <t>I148428</t>
  </si>
  <si>
    <t>I245580</t>
  </si>
  <si>
    <t>I245809</t>
  </si>
  <si>
    <t>I248831</t>
  </si>
  <si>
    <t>I264035</t>
  </si>
  <si>
    <t>I422934</t>
  </si>
  <si>
    <t>I713230</t>
  </si>
  <si>
    <t>I116380</t>
  </si>
  <si>
    <t>I123407</t>
  </si>
  <si>
    <t>I179183</t>
  </si>
  <si>
    <t>I277655</t>
  </si>
  <si>
    <t>I113167</t>
  </si>
  <si>
    <t>I127988</t>
  </si>
  <si>
    <t>I154073</t>
  </si>
  <si>
    <t>I159057</t>
  </si>
  <si>
    <t>I298951</t>
  </si>
  <si>
    <t>I308474</t>
  </si>
  <si>
    <t>I568785</t>
  </si>
  <si>
    <t>I878464</t>
  </si>
  <si>
    <t>I133422</t>
  </si>
  <si>
    <t>I200525</t>
  </si>
  <si>
    <t>I237018</t>
  </si>
  <si>
    <t>I282097</t>
  </si>
  <si>
    <t>I795324</t>
  </si>
  <si>
    <t>I340253</t>
  </si>
  <si>
    <t>I442923</t>
  </si>
  <si>
    <t>I561238</t>
  </si>
  <si>
    <t>I785442</t>
  </si>
  <si>
    <t>I857171</t>
  </si>
  <si>
    <t>I110985</t>
  </si>
  <si>
    <t>I205335</t>
  </si>
  <si>
    <t>I265543</t>
  </si>
  <si>
    <t>I302280</t>
  </si>
  <si>
    <t>I319321</t>
  </si>
  <si>
    <t>I606125</t>
  </si>
  <si>
    <t>I677200</t>
  </si>
  <si>
    <t>I924035</t>
  </si>
  <si>
    <t>I117593</t>
  </si>
  <si>
    <t>I182260</t>
  </si>
  <si>
    <t>I233579</t>
  </si>
  <si>
    <t>I292911</t>
  </si>
  <si>
    <t>I137946</t>
  </si>
  <si>
    <t>I139213</t>
  </si>
  <si>
    <t>I192171</t>
  </si>
  <si>
    <t>I199887</t>
  </si>
  <si>
    <t>I238201</t>
  </si>
  <si>
    <t>I291958</t>
  </si>
  <si>
    <t>I300799</t>
  </si>
  <si>
    <t>I303347</t>
  </si>
  <si>
    <t>I329152</t>
  </si>
  <si>
    <t>I659463</t>
  </si>
  <si>
    <t>I134020</t>
  </si>
  <si>
    <t>I217437</t>
  </si>
  <si>
    <t>I256830</t>
  </si>
  <si>
    <t>I262452</t>
  </si>
  <si>
    <t>I265444</t>
  </si>
  <si>
    <t>I968259</t>
  </si>
  <si>
    <t>I113129</t>
  </si>
  <si>
    <t>I139745</t>
  </si>
  <si>
    <t>I151987</t>
  </si>
  <si>
    <t>I174939</t>
  </si>
  <si>
    <t>I177198</t>
  </si>
  <si>
    <t>I190396</t>
  </si>
  <si>
    <t>I205745</t>
  </si>
  <si>
    <t>I233379</t>
  </si>
  <si>
    <t>I324249</t>
  </si>
  <si>
    <t>I527911</t>
  </si>
  <si>
    <t>I159122</t>
  </si>
  <si>
    <t>I205562</t>
  </si>
  <si>
    <t>I266160</t>
  </si>
  <si>
    <t>I323561</t>
  </si>
  <si>
    <t>I105963</t>
  </si>
  <si>
    <t>I108821</t>
  </si>
  <si>
    <t>I141294</t>
  </si>
  <si>
    <t>I274131</t>
  </si>
  <si>
    <t>I321716</t>
  </si>
  <si>
    <t>I489901</t>
  </si>
  <si>
    <t>I129139</t>
  </si>
  <si>
    <t>I167458</t>
  </si>
  <si>
    <t>I263829</t>
  </si>
  <si>
    <t>I332521</t>
  </si>
  <si>
    <t>I125122</t>
  </si>
  <si>
    <t>I182541</t>
  </si>
  <si>
    <t>I210025</t>
  </si>
  <si>
    <t>I253358</t>
  </si>
  <si>
    <t>I831281</t>
  </si>
  <si>
    <t>I146305</t>
  </si>
  <si>
    <t>I253567</t>
  </si>
  <si>
    <t>I288402</t>
  </si>
  <si>
    <t>I116469</t>
  </si>
  <si>
    <t>I185772</t>
  </si>
  <si>
    <t>I288819</t>
  </si>
  <si>
    <t>I313021</t>
  </si>
  <si>
    <t>I809166</t>
  </si>
  <si>
    <t>I949844</t>
  </si>
  <si>
    <t>I122697</t>
  </si>
  <si>
    <t>I141268</t>
  </si>
  <si>
    <t>I156845</t>
  </si>
  <si>
    <t>I202921</t>
  </si>
  <si>
    <t>I261533</t>
  </si>
  <si>
    <t>I272370</t>
  </si>
  <si>
    <t>I322576</t>
  </si>
  <si>
    <t>I110405</t>
  </si>
  <si>
    <t>I188351</t>
  </si>
  <si>
    <t>I221851</t>
  </si>
  <si>
    <t>I282396</t>
  </si>
  <si>
    <t>I298953</t>
  </si>
  <si>
    <t>I144011</t>
  </si>
  <si>
    <t>I177287</t>
  </si>
  <si>
    <t>I189845</t>
  </si>
  <si>
    <t>I813378</t>
  </si>
  <si>
    <t>I301174</t>
  </si>
  <si>
    <t>I347544</t>
  </si>
  <si>
    <t>I122666</t>
  </si>
  <si>
    <t>I158587</t>
  </si>
  <si>
    <t>I187342</t>
  </si>
  <si>
    <t>I328077</t>
  </si>
  <si>
    <t>I577727</t>
  </si>
  <si>
    <t>I119054</t>
  </si>
  <si>
    <t>I230301</t>
  </si>
  <si>
    <t>I296876</t>
  </si>
  <si>
    <t>I316677</t>
  </si>
  <si>
    <t>I382281</t>
  </si>
  <si>
    <t>I170880</t>
  </si>
  <si>
    <t>I199745</t>
  </si>
  <si>
    <t>I214007</t>
  </si>
  <si>
    <t>I181109</t>
  </si>
  <si>
    <t>I182761</t>
  </si>
  <si>
    <t>I211684</t>
  </si>
  <si>
    <t>I441837</t>
  </si>
  <si>
    <t>I930404</t>
  </si>
  <si>
    <t>I143112</t>
  </si>
  <si>
    <t>I202461</t>
  </si>
  <si>
    <t>I246599</t>
  </si>
  <si>
    <t>I250095</t>
  </si>
  <si>
    <t>I282582</t>
  </si>
  <si>
    <t>I284378</t>
  </si>
  <si>
    <t>I291757</t>
  </si>
  <si>
    <t>I120756</t>
  </si>
  <si>
    <t>I180980</t>
  </si>
  <si>
    <t>I385370</t>
  </si>
  <si>
    <t>I133896</t>
  </si>
  <si>
    <t>I322307</t>
  </si>
  <si>
    <t>I925790</t>
  </si>
  <si>
    <t>I148225</t>
  </si>
  <si>
    <t>I337935</t>
  </si>
  <si>
    <t>I882794</t>
  </si>
  <si>
    <t>I106128</t>
  </si>
  <si>
    <t>I151222</t>
  </si>
  <si>
    <t>I333601</t>
  </si>
  <si>
    <t>I980023</t>
  </si>
  <si>
    <t>I101393</t>
  </si>
  <si>
    <t>I163127</t>
  </si>
  <si>
    <t>I171237</t>
  </si>
  <si>
    <t>I277800</t>
  </si>
  <si>
    <t>I296025</t>
  </si>
  <si>
    <t>I551572</t>
  </si>
  <si>
    <t>I184490</t>
  </si>
  <si>
    <t>I296659</t>
  </si>
  <si>
    <t>I626519</t>
  </si>
  <si>
    <t>I184362</t>
  </si>
  <si>
    <t>I200005</t>
  </si>
  <si>
    <t>I208896</t>
  </si>
  <si>
    <t>I242339</t>
  </si>
  <si>
    <t>I123864</t>
  </si>
  <si>
    <t>I222822</t>
  </si>
  <si>
    <t>I310700</t>
  </si>
  <si>
    <t>I322041</t>
  </si>
  <si>
    <t>I109158</t>
  </si>
  <si>
    <t>I147656</t>
  </si>
  <si>
    <t>I159515</t>
  </si>
  <si>
    <t>I199817</t>
  </si>
  <si>
    <t>I292384</t>
  </si>
  <si>
    <t>I329481</t>
  </si>
  <si>
    <t>I333979</t>
  </si>
  <si>
    <t>I449724</t>
  </si>
  <si>
    <t>I532584</t>
  </si>
  <si>
    <t>I114880</t>
  </si>
  <si>
    <t>I165753</t>
  </si>
  <si>
    <t>I179171</t>
  </si>
  <si>
    <t>I200532</t>
  </si>
  <si>
    <t>I287899</t>
  </si>
  <si>
    <t>I331958</t>
  </si>
  <si>
    <t>I337737</t>
  </si>
  <si>
    <t>I216756</t>
  </si>
  <si>
    <t>I234327</t>
  </si>
  <si>
    <t>I290793</t>
  </si>
  <si>
    <t>I290921</t>
  </si>
  <si>
    <t>I333269</t>
  </si>
  <si>
    <t>I530105</t>
  </si>
  <si>
    <t>I146487</t>
  </si>
  <si>
    <t>I301942</t>
  </si>
  <si>
    <t>I318091</t>
  </si>
  <si>
    <t>I619269</t>
  </si>
  <si>
    <t>I701568</t>
  </si>
  <si>
    <t>I725198</t>
  </si>
  <si>
    <t>I932546</t>
  </si>
  <si>
    <t>I193672</t>
  </si>
  <si>
    <t>I230411</t>
  </si>
  <si>
    <t>I994214</t>
  </si>
  <si>
    <t>I114473</t>
  </si>
  <si>
    <t>I254724</t>
  </si>
  <si>
    <t>I309956</t>
  </si>
  <si>
    <t>I318282</t>
  </si>
  <si>
    <t>I335366</t>
  </si>
  <si>
    <t>I500834</t>
  </si>
  <si>
    <t>I540588</t>
  </si>
  <si>
    <t>I724118</t>
  </si>
  <si>
    <t>I954706</t>
  </si>
  <si>
    <t>I167360</t>
  </si>
  <si>
    <t>I206040</t>
  </si>
  <si>
    <t>I260988</t>
  </si>
  <si>
    <t>I651687</t>
  </si>
  <si>
    <t>I919485</t>
  </si>
  <si>
    <t>I939645</t>
  </si>
  <si>
    <t>I147553</t>
  </si>
  <si>
    <t>I223552</t>
  </si>
  <si>
    <t>I232395</t>
  </si>
  <si>
    <t>I311777</t>
  </si>
  <si>
    <t>I317268</t>
  </si>
  <si>
    <t>I402704</t>
  </si>
  <si>
    <t>I158989</t>
  </si>
  <si>
    <t>I220111</t>
  </si>
  <si>
    <t>I267562</t>
  </si>
  <si>
    <t>I324199</t>
  </si>
  <si>
    <t>I326900</t>
  </si>
  <si>
    <t>I631562</t>
  </si>
  <si>
    <t>I825857</t>
  </si>
  <si>
    <t>I117079</t>
  </si>
  <si>
    <t>I150400</t>
  </si>
  <si>
    <t>I203215</t>
  </si>
  <si>
    <t>I248724</t>
  </si>
  <si>
    <t>I295337</t>
  </si>
  <si>
    <t>I329982</t>
  </si>
  <si>
    <t>I807370</t>
  </si>
  <si>
    <t>I167581</t>
  </si>
  <si>
    <t>I227560</t>
  </si>
  <si>
    <t>I229294</t>
  </si>
  <si>
    <t>I235081</t>
  </si>
  <si>
    <t>I250906</t>
  </si>
  <si>
    <t>I219349</t>
  </si>
  <si>
    <t>I221791</t>
  </si>
  <si>
    <t>I258560</t>
  </si>
  <si>
    <t>I956543</t>
  </si>
  <si>
    <t>I469490</t>
  </si>
  <si>
    <t>I738666</t>
  </si>
  <si>
    <t>I105919</t>
  </si>
  <si>
    <t>I164873</t>
  </si>
  <si>
    <t>I191843</t>
  </si>
  <si>
    <t>I111116</t>
  </si>
  <si>
    <t>I175365</t>
  </si>
  <si>
    <t>I234118</t>
  </si>
  <si>
    <t>I254078</t>
  </si>
  <si>
    <t>I862648</t>
  </si>
  <si>
    <t>I873098</t>
  </si>
  <si>
    <t>I124947</t>
  </si>
  <si>
    <t>I155196</t>
  </si>
  <si>
    <t>I309384</t>
  </si>
  <si>
    <t>I337132</t>
  </si>
  <si>
    <t>I511640</t>
  </si>
  <si>
    <t>I587597</t>
  </si>
  <si>
    <t>I732053</t>
  </si>
  <si>
    <t>I180272</t>
  </si>
  <si>
    <t>I209822</t>
  </si>
  <si>
    <t>I216889</t>
  </si>
  <si>
    <t>I291422</t>
  </si>
  <si>
    <t>I320040</t>
  </si>
  <si>
    <t>I408973</t>
  </si>
  <si>
    <t>I919536</t>
  </si>
  <si>
    <t>I100041</t>
  </si>
  <si>
    <t>I128092</t>
  </si>
  <si>
    <t>I134721</t>
  </si>
  <si>
    <t>I179994</t>
  </si>
  <si>
    <t>I185069</t>
  </si>
  <si>
    <t>I243594</t>
  </si>
  <si>
    <t>I283249</t>
  </si>
  <si>
    <t>I304591</t>
  </si>
  <si>
    <t>I317685</t>
  </si>
  <si>
    <t>I114981</t>
  </si>
  <si>
    <t>I128723</t>
  </si>
  <si>
    <t>I128885</t>
  </si>
  <si>
    <t>I128181</t>
  </si>
  <si>
    <t>I157898</t>
  </si>
  <si>
    <t>I232361</t>
  </si>
  <si>
    <t>I242852</t>
  </si>
  <si>
    <t>I338302</t>
  </si>
  <si>
    <t>I578087</t>
  </si>
  <si>
    <t>I157285</t>
  </si>
  <si>
    <t>I313427</t>
  </si>
  <si>
    <t>I549273</t>
  </si>
  <si>
    <t>I660138</t>
  </si>
  <si>
    <t>I163618</t>
  </si>
  <si>
    <t>I187279</t>
  </si>
  <si>
    <t>I293142</t>
  </si>
  <si>
    <t>I405793</t>
  </si>
  <si>
    <t>I144548</t>
  </si>
  <si>
    <t>I147233</t>
  </si>
  <si>
    <t>I214204</t>
  </si>
  <si>
    <t>I284203</t>
  </si>
  <si>
    <t>I334373</t>
  </si>
  <si>
    <t>I236914</t>
  </si>
  <si>
    <t>I286136</t>
  </si>
  <si>
    <t>I419513</t>
  </si>
  <si>
    <t>I270441</t>
  </si>
  <si>
    <t>I272594</t>
  </si>
  <si>
    <t>I288143</t>
  </si>
  <si>
    <t>I445817</t>
  </si>
  <si>
    <t>I725554</t>
  </si>
  <si>
    <t>I122485</t>
  </si>
  <si>
    <t>I263059</t>
  </si>
  <si>
    <t>I105235</t>
  </si>
  <si>
    <t>I110239</t>
  </si>
  <si>
    <t>I116542</t>
  </si>
  <si>
    <t>I251711</t>
  </si>
  <si>
    <t>I296724</t>
  </si>
  <si>
    <t>I544427</t>
  </si>
  <si>
    <t>I143505</t>
  </si>
  <si>
    <t>I169226</t>
  </si>
  <si>
    <t>I191997</t>
  </si>
  <si>
    <t>I204349</t>
  </si>
  <si>
    <t>I236981</t>
  </si>
  <si>
    <t>I326066</t>
  </si>
  <si>
    <t>I676953</t>
  </si>
  <si>
    <t>I193831</t>
  </si>
  <si>
    <t>I213483</t>
  </si>
  <si>
    <t>I323275</t>
  </si>
  <si>
    <t>I381853</t>
  </si>
  <si>
    <t>I110804</t>
  </si>
  <si>
    <t>I112301</t>
  </si>
  <si>
    <t>I139556</t>
  </si>
  <si>
    <t>I166815</t>
  </si>
  <si>
    <t>I245250</t>
  </si>
  <si>
    <t>I298309</t>
  </si>
  <si>
    <t>I101731</t>
  </si>
  <si>
    <t>I157588</t>
  </si>
  <si>
    <t>I175055</t>
  </si>
  <si>
    <t>I110328</t>
  </si>
  <si>
    <t>I171490</t>
  </si>
  <si>
    <t>I197067</t>
  </si>
  <si>
    <t>I306290</t>
  </si>
  <si>
    <t>I153137</t>
  </si>
  <si>
    <t>I167513</t>
  </si>
  <si>
    <t>I202171</t>
  </si>
  <si>
    <t>I213496</t>
  </si>
  <si>
    <t>I215708</t>
  </si>
  <si>
    <t>I680280</t>
  </si>
  <si>
    <t>I135199</t>
  </si>
  <si>
    <t>I294201</t>
  </si>
  <si>
    <t>I412481</t>
  </si>
  <si>
    <t>I667573</t>
  </si>
  <si>
    <t>I979156</t>
  </si>
  <si>
    <t>I117841</t>
  </si>
  <si>
    <t>I171630</t>
  </si>
  <si>
    <t>I221924</t>
  </si>
  <si>
    <t>I261766</t>
  </si>
  <si>
    <t>I284344</t>
  </si>
  <si>
    <t>I375406</t>
  </si>
  <si>
    <t>I156932</t>
  </si>
  <si>
    <t>I202646</t>
  </si>
  <si>
    <t>I206755</t>
  </si>
  <si>
    <t>I234674</t>
  </si>
  <si>
    <t>I246125</t>
  </si>
  <si>
    <t>I269122</t>
  </si>
  <si>
    <t>I329613</t>
  </si>
  <si>
    <t>I404143</t>
  </si>
  <si>
    <t>I996187</t>
  </si>
  <si>
    <t>I106862</t>
  </si>
  <si>
    <t>I139992</t>
  </si>
  <si>
    <t>I295363</t>
  </si>
  <si>
    <t>I548921</t>
  </si>
  <si>
    <t>I158650</t>
  </si>
  <si>
    <t>I192478</t>
  </si>
  <si>
    <t>I196380</t>
  </si>
  <si>
    <t>I252678</t>
  </si>
  <si>
    <t>I254861</t>
  </si>
  <si>
    <t>I119612</t>
  </si>
  <si>
    <t>I129515</t>
  </si>
  <si>
    <t>I162233</t>
  </si>
  <si>
    <t>I177577</t>
  </si>
  <si>
    <t>I229252</t>
  </si>
  <si>
    <t>I260098</t>
  </si>
  <si>
    <t>I269690</t>
  </si>
  <si>
    <t>I462569</t>
  </si>
  <si>
    <t>I112087</t>
  </si>
  <si>
    <t>I158683</t>
  </si>
  <si>
    <t>I183088</t>
  </si>
  <si>
    <t>I312341</t>
  </si>
  <si>
    <t>I313080</t>
  </si>
  <si>
    <t>I107329</t>
  </si>
  <si>
    <t>I217921</t>
  </si>
  <si>
    <t>I760012</t>
  </si>
  <si>
    <t>I945983</t>
  </si>
  <si>
    <t>I151310</t>
  </si>
  <si>
    <t>I165976</t>
  </si>
  <si>
    <t>I255446</t>
  </si>
  <si>
    <t>I787197</t>
  </si>
  <si>
    <t>I991674</t>
  </si>
  <si>
    <t>I166406</t>
  </si>
  <si>
    <t>I170966</t>
  </si>
  <si>
    <t>I238484</t>
  </si>
  <si>
    <t>I114005</t>
  </si>
  <si>
    <t>I191365</t>
  </si>
  <si>
    <t>I204941</t>
  </si>
  <si>
    <t>I284474</t>
  </si>
  <si>
    <t>I852696</t>
  </si>
  <si>
    <t>I985551</t>
  </si>
  <si>
    <t>I238278</t>
  </si>
  <si>
    <t>I273316</t>
  </si>
  <si>
    <t>I836482</t>
  </si>
  <si>
    <t>I115146</t>
  </si>
  <si>
    <t>I164685</t>
  </si>
  <si>
    <t>I170159</t>
  </si>
  <si>
    <t>I207576</t>
  </si>
  <si>
    <t>I252715</t>
  </si>
  <si>
    <t>I336688</t>
  </si>
  <si>
    <t>I717577</t>
  </si>
  <si>
    <t>I112574</t>
  </si>
  <si>
    <t>I175470</t>
  </si>
  <si>
    <t>I186886</t>
  </si>
  <si>
    <t>I253195</t>
  </si>
  <si>
    <t>I289841</t>
  </si>
  <si>
    <t>I346588</t>
  </si>
  <si>
    <t>I424695</t>
  </si>
  <si>
    <t>I107883</t>
  </si>
  <si>
    <t>I145881</t>
  </si>
  <si>
    <t>I197048</t>
  </si>
  <si>
    <t>I253250</t>
  </si>
  <si>
    <t>I534692</t>
  </si>
  <si>
    <t>I633599</t>
  </si>
  <si>
    <t>I104399</t>
  </si>
  <si>
    <t>I284262</t>
  </si>
  <si>
    <t>I103764</t>
  </si>
  <si>
    <t>I166443</t>
  </si>
  <si>
    <t>I303176</t>
  </si>
  <si>
    <t>I317066</t>
  </si>
  <si>
    <t>I367763</t>
  </si>
  <si>
    <t>I172774</t>
  </si>
  <si>
    <t>I246515</t>
  </si>
  <si>
    <t>I275766</t>
  </si>
  <si>
    <t>I339508</t>
  </si>
  <si>
    <t>I186218</t>
  </si>
  <si>
    <t>I233261</t>
  </si>
  <si>
    <t>I294291</t>
  </si>
  <si>
    <t>I670822</t>
  </si>
  <si>
    <t>I123565</t>
  </si>
  <si>
    <t>I141833</t>
  </si>
  <si>
    <t>I192246</t>
  </si>
  <si>
    <t>I234484</t>
  </si>
  <si>
    <t>I308137</t>
  </si>
  <si>
    <t>I989969</t>
  </si>
  <si>
    <t>I128235</t>
  </si>
  <si>
    <t>I143617</t>
  </si>
  <si>
    <t>I153278</t>
  </si>
  <si>
    <t>I261686</t>
  </si>
  <si>
    <t>I265839</t>
  </si>
  <si>
    <t>I281647</t>
  </si>
  <si>
    <t>I332021</t>
  </si>
  <si>
    <t>I599432</t>
  </si>
  <si>
    <t>I842352</t>
  </si>
  <si>
    <t>I979153</t>
  </si>
  <si>
    <t>I264134</t>
  </si>
  <si>
    <t>I302045</t>
  </si>
  <si>
    <t>I891663</t>
  </si>
  <si>
    <t>I992899</t>
  </si>
  <si>
    <t>I227979</t>
  </si>
  <si>
    <t>I269048</t>
  </si>
  <si>
    <t>I323316</t>
  </si>
  <si>
    <t>I863565</t>
  </si>
  <si>
    <t>I117807</t>
  </si>
  <si>
    <t>I154114</t>
  </si>
  <si>
    <t>I194268</t>
  </si>
  <si>
    <t>I206680</t>
  </si>
  <si>
    <t>I221229</t>
  </si>
  <si>
    <t>I321021</t>
  </si>
  <si>
    <t>I117785</t>
  </si>
  <si>
    <t>I189563</t>
  </si>
  <si>
    <t>I200383</t>
  </si>
  <si>
    <t>I228840</t>
  </si>
  <si>
    <t>I540623</t>
  </si>
  <si>
    <t>I962126</t>
  </si>
  <si>
    <t>I127889</t>
  </si>
  <si>
    <t>I146281</t>
  </si>
  <si>
    <t>I258926</t>
  </si>
  <si>
    <t>I581511</t>
  </si>
  <si>
    <t>I200755</t>
  </si>
  <si>
    <t>I264273</t>
  </si>
  <si>
    <t>I294051</t>
  </si>
  <si>
    <t>I387354</t>
  </si>
  <si>
    <t>I996782</t>
  </si>
  <si>
    <t>I113047</t>
  </si>
  <si>
    <t>I120408</t>
  </si>
  <si>
    <t>I174219</t>
  </si>
  <si>
    <t>I226368</t>
  </si>
  <si>
    <t>I254123</t>
  </si>
  <si>
    <t>I282654</t>
  </si>
  <si>
    <t>I294064</t>
  </si>
  <si>
    <t>I826044</t>
  </si>
  <si>
    <t>I149930</t>
  </si>
  <si>
    <t>I154606</t>
  </si>
  <si>
    <t>I168974</t>
  </si>
  <si>
    <t>I297384</t>
  </si>
  <si>
    <t>I321236</t>
  </si>
  <si>
    <t>I163433</t>
  </si>
  <si>
    <t>I212777</t>
  </si>
  <si>
    <t>I218487</t>
  </si>
  <si>
    <t>I240208</t>
  </si>
  <si>
    <t>I251854</t>
  </si>
  <si>
    <t>I307152</t>
  </si>
  <si>
    <t>I322785</t>
  </si>
  <si>
    <t>I215582</t>
  </si>
  <si>
    <t>I328070</t>
  </si>
  <si>
    <t>I105482</t>
  </si>
  <si>
    <t>I298273</t>
  </si>
  <si>
    <t>I114034</t>
  </si>
  <si>
    <t>I165625</t>
  </si>
  <si>
    <t>I186876</t>
  </si>
  <si>
    <t>I200042</t>
  </si>
  <si>
    <t>I237536</t>
  </si>
  <si>
    <t>I239802</t>
  </si>
  <si>
    <t>I301455</t>
  </si>
  <si>
    <t>I323391</t>
  </si>
  <si>
    <t>I547153</t>
  </si>
  <si>
    <t>I766054</t>
  </si>
  <si>
    <t>I197311</t>
  </si>
  <si>
    <t>I278519</t>
  </si>
  <si>
    <t>I304566</t>
  </si>
  <si>
    <t>I329134</t>
  </si>
  <si>
    <t>I135134</t>
  </si>
  <si>
    <t>I207070</t>
  </si>
  <si>
    <t>I251427</t>
  </si>
  <si>
    <t>I279851</t>
  </si>
  <si>
    <t>I337374</t>
  </si>
  <si>
    <t>I245243</t>
  </si>
  <si>
    <t>I374152</t>
  </si>
  <si>
    <t>I528396</t>
  </si>
  <si>
    <t>I145550</t>
  </si>
  <si>
    <t>I172404</t>
  </si>
  <si>
    <t>I187159</t>
  </si>
  <si>
    <t>I810612</t>
  </si>
  <si>
    <t>I117803</t>
  </si>
  <si>
    <t>I136218</t>
  </si>
  <si>
    <t>I153041</t>
  </si>
  <si>
    <t>I206925</t>
  </si>
  <si>
    <t>I281274</t>
  </si>
  <si>
    <t>I334300</t>
  </si>
  <si>
    <t>I996695</t>
  </si>
  <si>
    <t>I175726</t>
  </si>
  <si>
    <t>I186756</t>
  </si>
  <si>
    <t>I223152</t>
  </si>
  <si>
    <t>I274020</t>
  </si>
  <si>
    <t>I617872</t>
  </si>
  <si>
    <t>I141940</t>
  </si>
  <si>
    <t>I156757</t>
  </si>
  <si>
    <t>I181616</t>
  </si>
  <si>
    <t>I252554</t>
  </si>
  <si>
    <t>I270540</t>
  </si>
  <si>
    <t>I270809</t>
  </si>
  <si>
    <t>I271769</t>
  </si>
  <si>
    <t>I603047</t>
  </si>
  <si>
    <t>I837452</t>
  </si>
  <si>
    <t>I121083</t>
  </si>
  <si>
    <t>I244995</t>
  </si>
  <si>
    <t>I249828</t>
  </si>
  <si>
    <t>I270920</t>
  </si>
  <si>
    <t>I375865</t>
  </si>
  <si>
    <t>I146154</t>
  </si>
  <si>
    <t>I161146</t>
  </si>
  <si>
    <t>I528108</t>
  </si>
  <si>
    <t>I142468</t>
  </si>
  <si>
    <t>I184056</t>
  </si>
  <si>
    <t>I217485</t>
  </si>
  <si>
    <t>I220863</t>
  </si>
  <si>
    <t>I226733</t>
  </si>
  <si>
    <t>I230679</t>
  </si>
  <si>
    <t>I569760</t>
  </si>
  <si>
    <t>I651877</t>
  </si>
  <si>
    <t>I771921</t>
  </si>
  <si>
    <t>I999023</t>
  </si>
  <si>
    <t>I118851</t>
  </si>
  <si>
    <t>I164167</t>
  </si>
  <si>
    <t>I287998</t>
  </si>
  <si>
    <t>I144690</t>
  </si>
  <si>
    <t>I217110</t>
  </si>
  <si>
    <t>I217301</t>
  </si>
  <si>
    <t>I283930</t>
  </si>
  <si>
    <t>I323788</t>
  </si>
  <si>
    <t>I105654</t>
  </si>
  <si>
    <t>I202422</t>
  </si>
  <si>
    <t>I749173</t>
  </si>
  <si>
    <t>I865232</t>
  </si>
  <si>
    <t>I133527</t>
  </si>
  <si>
    <t>I166503</t>
  </si>
  <si>
    <t>I202846</t>
  </si>
  <si>
    <t>I948804</t>
  </si>
  <si>
    <t>I146983</t>
  </si>
  <si>
    <t>I178937</t>
  </si>
  <si>
    <t>I180843</t>
  </si>
  <si>
    <t>I222983</t>
  </si>
  <si>
    <t>I379956</t>
  </si>
  <si>
    <t>I130819</t>
  </si>
  <si>
    <t>I141126</t>
  </si>
  <si>
    <t>I172113</t>
  </si>
  <si>
    <t>I235853</t>
  </si>
  <si>
    <t>I129269</t>
  </si>
  <si>
    <t>I142947</t>
  </si>
  <si>
    <t>I239523</t>
  </si>
  <si>
    <t>I244472</t>
  </si>
  <si>
    <t>I252733</t>
  </si>
  <si>
    <t>I921349</t>
  </si>
  <si>
    <t>I217840</t>
  </si>
  <si>
    <t>I260114</t>
  </si>
  <si>
    <t>I631073</t>
  </si>
  <si>
    <t>I762885</t>
  </si>
  <si>
    <t>I901164</t>
  </si>
  <si>
    <t>I212591</t>
  </si>
  <si>
    <t>I255255</t>
  </si>
  <si>
    <t>I266425</t>
  </si>
  <si>
    <t>I276837</t>
  </si>
  <si>
    <t>I312559</t>
  </si>
  <si>
    <t>I313624</t>
  </si>
  <si>
    <t>I657827</t>
  </si>
  <si>
    <t>I688180</t>
  </si>
  <si>
    <t>I112669</t>
  </si>
  <si>
    <t>I179119</t>
  </si>
  <si>
    <t>I203910</t>
  </si>
  <si>
    <t>I272468</t>
  </si>
  <si>
    <t>I332425</t>
  </si>
  <si>
    <t>I928630</t>
  </si>
  <si>
    <t>I103926</t>
  </si>
  <si>
    <t>I191796</t>
  </si>
  <si>
    <t>I228173</t>
  </si>
  <si>
    <t>I729385</t>
  </si>
  <si>
    <t>I148207</t>
  </si>
  <si>
    <t>I274561</t>
  </si>
  <si>
    <t>I288268</t>
  </si>
  <si>
    <t>I301251</t>
  </si>
  <si>
    <t>I549840</t>
  </si>
  <si>
    <t>I736246</t>
  </si>
  <si>
    <t>I985952</t>
  </si>
  <si>
    <t>I138809</t>
  </si>
  <si>
    <t>I148903</t>
  </si>
  <si>
    <t>I154304</t>
  </si>
  <si>
    <t>I207545</t>
  </si>
  <si>
    <t>I278414</t>
  </si>
  <si>
    <t>I278742</t>
  </si>
  <si>
    <t>I678416</t>
  </si>
  <si>
    <t>I930275</t>
  </si>
  <si>
    <t>I157758</t>
  </si>
  <si>
    <t>I193565</t>
  </si>
  <si>
    <t>I219442</t>
  </si>
  <si>
    <t>I295906</t>
  </si>
  <si>
    <t>I790693</t>
  </si>
  <si>
    <t>I843584</t>
  </si>
  <si>
    <t>I141984</t>
  </si>
  <si>
    <t>I150731</t>
  </si>
  <si>
    <t>I156920</t>
  </si>
  <si>
    <t>I192041</t>
  </si>
  <si>
    <t>I856342</t>
  </si>
  <si>
    <t>I225623</t>
  </si>
  <si>
    <t>I282257</t>
  </si>
  <si>
    <t>I308897</t>
  </si>
  <si>
    <t>I829259</t>
  </si>
  <si>
    <t>I198405</t>
  </si>
  <si>
    <t>I245370</t>
  </si>
  <si>
    <t>I260871</t>
  </si>
  <si>
    <t>I264953</t>
  </si>
  <si>
    <t>I370107</t>
  </si>
  <si>
    <t>I156003</t>
  </si>
  <si>
    <t>I205581</t>
  </si>
  <si>
    <t>I206949</t>
  </si>
  <si>
    <t>I268393</t>
  </si>
  <si>
    <t>I117485</t>
  </si>
  <si>
    <t>I137794</t>
  </si>
  <si>
    <t>I222560</t>
  </si>
  <si>
    <t>I224651</t>
  </si>
  <si>
    <t>I290399</t>
  </si>
  <si>
    <t>I310655</t>
  </si>
  <si>
    <t>I139455</t>
  </si>
  <si>
    <t>I185607</t>
  </si>
  <si>
    <t>I233316</t>
  </si>
  <si>
    <t>I313537</t>
  </si>
  <si>
    <t>I158204</t>
  </si>
  <si>
    <t>I168421</t>
  </si>
  <si>
    <t>I188003</t>
  </si>
  <si>
    <t>I217616</t>
  </si>
  <si>
    <t>I230822</t>
  </si>
  <si>
    <t>I236010</t>
  </si>
  <si>
    <t>I114858</t>
  </si>
  <si>
    <t>I150364</t>
  </si>
  <si>
    <t>I245374</t>
  </si>
  <si>
    <t>I324598</t>
  </si>
  <si>
    <t>I133255</t>
  </si>
  <si>
    <t>I138310</t>
  </si>
  <si>
    <t>I273261</t>
  </si>
  <si>
    <t>I317628</t>
  </si>
  <si>
    <t>I610501</t>
  </si>
  <si>
    <t>I879426</t>
  </si>
  <si>
    <t>I120569</t>
  </si>
  <si>
    <t>I196153</t>
  </si>
  <si>
    <t>I246548</t>
  </si>
  <si>
    <t>I300972</t>
  </si>
  <si>
    <t>I767758</t>
  </si>
  <si>
    <t>I117291</t>
  </si>
  <si>
    <t>I134825</t>
  </si>
  <si>
    <t>I187782</t>
  </si>
  <si>
    <t>I205452</t>
  </si>
  <si>
    <t>I113030</t>
  </si>
  <si>
    <t>I210669</t>
  </si>
  <si>
    <t>I262174</t>
  </si>
  <si>
    <t>I651177</t>
  </si>
  <si>
    <t>I846943</t>
  </si>
  <si>
    <t>I122393</t>
  </si>
  <si>
    <t>I148074</t>
  </si>
  <si>
    <t>I204622</t>
  </si>
  <si>
    <t>I249325</t>
  </si>
  <si>
    <t>I295669</t>
  </si>
  <si>
    <t>I324469</t>
  </si>
  <si>
    <t>I282122</t>
  </si>
  <si>
    <t>I289493</t>
  </si>
  <si>
    <t>I105488</t>
  </si>
  <si>
    <t>I111144</t>
  </si>
  <si>
    <t>I147920</t>
  </si>
  <si>
    <t>I247464</t>
  </si>
  <si>
    <t>I306661</t>
  </si>
  <si>
    <t>I331023</t>
  </si>
  <si>
    <t>I557864</t>
  </si>
  <si>
    <t>I163625</t>
  </si>
  <si>
    <t>I189131</t>
  </si>
  <si>
    <t>I210736</t>
  </si>
  <si>
    <t>I214220</t>
  </si>
  <si>
    <t>I242106</t>
  </si>
  <si>
    <t>I419122</t>
  </si>
  <si>
    <t>I150212</t>
  </si>
  <si>
    <t>I189839</t>
  </si>
  <si>
    <t>I254169</t>
  </si>
  <si>
    <t>I304695</t>
  </si>
  <si>
    <t>I887140</t>
  </si>
  <si>
    <t>I134212</t>
  </si>
  <si>
    <t>I277150</t>
  </si>
  <si>
    <t>I566056</t>
  </si>
  <si>
    <t>I888434</t>
  </si>
  <si>
    <t>I190566</t>
  </si>
  <si>
    <t>I210193</t>
  </si>
  <si>
    <t>I271357</t>
  </si>
  <si>
    <t>I280408</t>
  </si>
  <si>
    <t>I335747</t>
  </si>
  <si>
    <t>I873471</t>
  </si>
  <si>
    <t>I102218</t>
  </si>
  <si>
    <t>I115870</t>
  </si>
  <si>
    <t>I179044</t>
  </si>
  <si>
    <t>I283013</t>
  </si>
  <si>
    <t>I329472</t>
  </si>
  <si>
    <t>I333697</t>
  </si>
  <si>
    <t>I471026</t>
  </si>
  <si>
    <t>I259885</t>
  </si>
  <si>
    <t>I683539</t>
  </si>
  <si>
    <t>I700893</t>
  </si>
  <si>
    <t>I280717</t>
  </si>
  <si>
    <t>I288796</t>
  </si>
  <si>
    <t>I311169</t>
  </si>
  <si>
    <t>I334629</t>
  </si>
  <si>
    <t>I842308</t>
  </si>
  <si>
    <t>I148747</t>
  </si>
  <si>
    <t>I255495</t>
  </si>
  <si>
    <t>I265103</t>
  </si>
  <si>
    <t>I317443</t>
  </si>
  <si>
    <t>I579325</t>
  </si>
  <si>
    <t>I122852</t>
  </si>
  <si>
    <t>I127775</t>
  </si>
  <si>
    <t>I175320</t>
  </si>
  <si>
    <t>I269184</t>
  </si>
  <si>
    <t>I276526</t>
  </si>
  <si>
    <t>I295205</t>
  </si>
  <si>
    <t>I324136</t>
  </si>
  <si>
    <t>I952163</t>
  </si>
  <si>
    <t>I131784</t>
  </si>
  <si>
    <t>I168925</t>
  </si>
  <si>
    <t>I315426</t>
  </si>
  <si>
    <t>I389708</t>
  </si>
  <si>
    <t>I446590</t>
  </si>
  <si>
    <t>I108083</t>
  </si>
  <si>
    <t>I182890</t>
  </si>
  <si>
    <t>I199775</t>
  </si>
  <si>
    <t>I218234</t>
  </si>
  <si>
    <t>I277787</t>
  </si>
  <si>
    <t>I328737</t>
  </si>
  <si>
    <t>I771212</t>
  </si>
  <si>
    <t>I108779</t>
  </si>
  <si>
    <t>I156765</t>
  </si>
  <si>
    <t>I198035</t>
  </si>
  <si>
    <t>I213268</t>
  </si>
  <si>
    <t>I271166</t>
  </si>
  <si>
    <t>I101435</t>
  </si>
  <si>
    <t>I111221</t>
  </si>
  <si>
    <t>I144231</t>
  </si>
  <si>
    <t>I170670</t>
  </si>
  <si>
    <t>I333921</t>
  </si>
  <si>
    <t>I854599</t>
  </si>
  <si>
    <t>I107697</t>
  </si>
  <si>
    <t>I108804</t>
  </si>
  <si>
    <t>I109064</t>
  </si>
  <si>
    <t>I154961</t>
  </si>
  <si>
    <t>I242038</t>
  </si>
  <si>
    <t>I279029</t>
  </si>
  <si>
    <t>I252507</t>
  </si>
  <si>
    <t>I264722</t>
  </si>
  <si>
    <t>I299720</t>
  </si>
  <si>
    <t>I690857</t>
  </si>
  <si>
    <t>I805312</t>
  </si>
  <si>
    <t>I138046</t>
  </si>
  <si>
    <t>I166485</t>
  </si>
  <si>
    <t>I210522</t>
  </si>
  <si>
    <t>I271914</t>
  </si>
  <si>
    <t>I470368</t>
  </si>
  <si>
    <t>I793081</t>
  </si>
  <si>
    <t>I901487</t>
  </si>
  <si>
    <t>I152572</t>
  </si>
  <si>
    <t>I189841</t>
  </si>
  <si>
    <t>I289040</t>
  </si>
  <si>
    <t>I332118</t>
  </si>
  <si>
    <t>I705185</t>
  </si>
  <si>
    <t>I833963</t>
  </si>
  <si>
    <t>I205715</t>
  </si>
  <si>
    <t>I208874</t>
  </si>
  <si>
    <t>I297693</t>
  </si>
  <si>
    <t>I337611</t>
  </si>
  <si>
    <t>I150517</t>
  </si>
  <si>
    <t>I176033</t>
  </si>
  <si>
    <t>I328430</t>
  </si>
  <si>
    <t>I151031</t>
  </si>
  <si>
    <t>I180923</t>
  </si>
  <si>
    <t>I275142</t>
  </si>
  <si>
    <t>I282768</t>
  </si>
  <si>
    <t>I290100</t>
  </si>
  <si>
    <t>I322409</t>
  </si>
  <si>
    <t>I175272</t>
  </si>
  <si>
    <t>I193882</t>
  </si>
  <si>
    <t>I268511</t>
  </si>
  <si>
    <t>I290044</t>
  </si>
  <si>
    <t>I341437</t>
  </si>
  <si>
    <t>I177008</t>
  </si>
  <si>
    <t>I186896</t>
  </si>
  <si>
    <t>I600222</t>
  </si>
  <si>
    <t>I107640</t>
  </si>
  <si>
    <t>I151477</t>
  </si>
  <si>
    <t>I269050</t>
  </si>
  <si>
    <t>I277606</t>
  </si>
  <si>
    <t>I289828</t>
  </si>
  <si>
    <t>I831834</t>
  </si>
  <si>
    <t>I177478</t>
  </si>
  <si>
    <t>I229909</t>
  </si>
  <si>
    <t>I254718</t>
  </si>
  <si>
    <t>I320722</t>
  </si>
  <si>
    <t>I338596</t>
  </si>
  <si>
    <t>I339515</t>
  </si>
  <si>
    <t>I107778</t>
  </si>
  <si>
    <t>I175591</t>
  </si>
  <si>
    <t>I185892</t>
  </si>
  <si>
    <t>I218790</t>
  </si>
  <si>
    <t>I232026</t>
  </si>
  <si>
    <t>I292746</t>
  </si>
  <si>
    <t>I312021</t>
  </si>
  <si>
    <t>I159599</t>
  </si>
  <si>
    <t>I228088</t>
  </si>
  <si>
    <t>I265494</t>
  </si>
  <si>
    <t>I284337</t>
  </si>
  <si>
    <t>I285349</t>
  </si>
  <si>
    <t>I318831</t>
  </si>
  <si>
    <t>I332834</t>
  </si>
  <si>
    <t>I371638</t>
  </si>
  <si>
    <t>I723571</t>
  </si>
  <si>
    <t>I727911</t>
  </si>
  <si>
    <t>I142757</t>
  </si>
  <si>
    <t>I317331</t>
  </si>
  <si>
    <t>I570709</t>
  </si>
  <si>
    <t>I730397</t>
  </si>
  <si>
    <t>I101541</t>
  </si>
  <si>
    <t>I195270</t>
  </si>
  <si>
    <t>I206350</t>
  </si>
  <si>
    <t>I705586</t>
  </si>
  <si>
    <t>I961322</t>
  </si>
  <si>
    <t>I282572</t>
  </si>
  <si>
    <t>I307584</t>
  </si>
  <si>
    <t>I112607</t>
  </si>
  <si>
    <t>I180008</t>
  </si>
  <si>
    <t>I279088</t>
  </si>
  <si>
    <t>I321852</t>
  </si>
  <si>
    <t>I410605</t>
  </si>
  <si>
    <t>I490823</t>
  </si>
  <si>
    <t>I108662</t>
  </si>
  <si>
    <t>I149857</t>
  </si>
  <si>
    <t>I165270</t>
  </si>
  <si>
    <t>I172850</t>
  </si>
  <si>
    <t>I250040</t>
  </si>
  <si>
    <t>I277830</t>
  </si>
  <si>
    <t>I141224</t>
  </si>
  <si>
    <t>I228150</t>
  </si>
  <si>
    <t>I329428</t>
  </si>
  <si>
    <t>I544382</t>
  </si>
  <si>
    <t>I102256</t>
  </si>
  <si>
    <t>I322175</t>
  </si>
  <si>
    <t>I352991</t>
  </si>
  <si>
    <t>I756144</t>
  </si>
  <si>
    <t>I144151</t>
  </si>
  <si>
    <t>I150515</t>
  </si>
  <si>
    <t>I268142</t>
  </si>
  <si>
    <t>I252515</t>
  </si>
  <si>
    <t>I943432</t>
  </si>
  <si>
    <t>I159307</t>
  </si>
  <si>
    <t>I301975</t>
  </si>
  <si>
    <t>I437948</t>
  </si>
  <si>
    <t>I910012</t>
  </si>
  <si>
    <t>I102404</t>
  </si>
  <si>
    <t>I166385</t>
  </si>
  <si>
    <t>I187469</t>
  </si>
  <si>
    <t>I200408</t>
  </si>
  <si>
    <t>I218112</t>
  </si>
  <si>
    <t>I220728</t>
  </si>
  <si>
    <t>I268692</t>
  </si>
  <si>
    <t>I136326</t>
  </si>
  <si>
    <t>I159355</t>
  </si>
  <si>
    <t>I165022</t>
  </si>
  <si>
    <t>I189143</t>
  </si>
  <si>
    <t>I222290</t>
  </si>
  <si>
    <t>I291124</t>
  </si>
  <si>
    <t>I300998</t>
  </si>
  <si>
    <t>I320720</t>
  </si>
  <si>
    <t>I127766</t>
  </si>
  <si>
    <t>I240747</t>
  </si>
  <si>
    <t>I317330</t>
  </si>
  <si>
    <t>I421561</t>
  </si>
  <si>
    <t>I128599</t>
  </si>
  <si>
    <t>I183536</t>
  </si>
  <si>
    <t>I317354</t>
  </si>
  <si>
    <t>I128997</t>
  </si>
  <si>
    <t>I187703</t>
  </si>
  <si>
    <t>I619187</t>
  </si>
  <si>
    <t>I737951</t>
  </si>
  <si>
    <t>I948145</t>
  </si>
  <si>
    <t>I953897</t>
  </si>
  <si>
    <t>I114515</t>
  </si>
  <si>
    <t>I171552</t>
  </si>
  <si>
    <t>I194132</t>
  </si>
  <si>
    <t>I302355</t>
  </si>
  <si>
    <t>I362306</t>
  </si>
  <si>
    <t>I115006</t>
  </si>
  <si>
    <t>I140977</t>
  </si>
  <si>
    <t>I254673</t>
  </si>
  <si>
    <t>I255297</t>
  </si>
  <si>
    <t>I308318</t>
  </si>
  <si>
    <t>I134467</t>
  </si>
  <si>
    <t>I141241</t>
  </si>
  <si>
    <t>I179698</t>
  </si>
  <si>
    <t>I293771</t>
  </si>
  <si>
    <t>I294186</t>
  </si>
  <si>
    <t>I320828</t>
  </si>
  <si>
    <t>I335152</t>
  </si>
  <si>
    <t>I339388</t>
  </si>
  <si>
    <t>I400888</t>
  </si>
  <si>
    <t>I631363</t>
  </si>
  <si>
    <t>I158880</t>
  </si>
  <si>
    <t>I249552</t>
  </si>
  <si>
    <t>I333293</t>
  </si>
  <si>
    <t>I426858</t>
  </si>
  <si>
    <t>I449958</t>
  </si>
  <si>
    <t>I115753</t>
  </si>
  <si>
    <t>I177188</t>
  </si>
  <si>
    <t>I247336</t>
  </si>
  <si>
    <t>I292470</t>
  </si>
  <si>
    <t>I614836</t>
  </si>
  <si>
    <t>I143573</t>
  </si>
  <si>
    <t>I230774</t>
  </si>
  <si>
    <t>I264725</t>
  </si>
  <si>
    <t>I267858</t>
  </si>
  <si>
    <t>I275086</t>
  </si>
  <si>
    <t>I343187</t>
  </si>
  <si>
    <t>I855156</t>
  </si>
  <si>
    <t>I128526</t>
  </si>
  <si>
    <t>I160481</t>
  </si>
  <si>
    <t>I220737</t>
  </si>
  <si>
    <t>I285705</t>
  </si>
  <si>
    <t>I332330</t>
  </si>
  <si>
    <t>I820465</t>
  </si>
  <si>
    <t>I210230</t>
  </si>
  <si>
    <t>I212073</t>
  </si>
  <si>
    <t>I213101</t>
  </si>
  <si>
    <t>I227159</t>
  </si>
  <si>
    <t>I460840</t>
  </si>
  <si>
    <t>I470040</t>
  </si>
  <si>
    <t>I668694</t>
  </si>
  <si>
    <t>I105445</t>
  </si>
  <si>
    <t>I112989</t>
  </si>
  <si>
    <t>I136231</t>
  </si>
  <si>
    <t>I150311</t>
  </si>
  <si>
    <t>I216374</t>
  </si>
  <si>
    <t>I339346</t>
  </si>
  <si>
    <t>I179651</t>
  </si>
  <si>
    <t>I219334</t>
  </si>
  <si>
    <t>I252163</t>
  </si>
  <si>
    <t>I257616</t>
  </si>
  <si>
    <t>I468561</t>
  </si>
  <si>
    <t>I135969</t>
  </si>
  <si>
    <t>I319283</t>
  </si>
  <si>
    <t>I332044</t>
  </si>
  <si>
    <t>I488111</t>
  </si>
  <si>
    <t>I192798</t>
  </si>
  <si>
    <t>I214951</t>
  </si>
  <si>
    <t>I273873</t>
  </si>
  <si>
    <t>I344841</t>
  </si>
  <si>
    <t>I664233</t>
  </si>
  <si>
    <t>I968642</t>
  </si>
  <si>
    <t>I253873</t>
  </si>
  <si>
    <t>I291964</t>
  </si>
  <si>
    <t>I659761</t>
  </si>
  <si>
    <t>I313529</t>
  </si>
  <si>
    <t>I325491</t>
  </si>
  <si>
    <t>I932505</t>
  </si>
  <si>
    <t>I103829</t>
  </si>
  <si>
    <t>I120509</t>
  </si>
  <si>
    <t>I168451</t>
  </si>
  <si>
    <t>I267362</t>
  </si>
  <si>
    <t>I295473</t>
  </si>
  <si>
    <t>I301937</t>
  </si>
  <si>
    <t>I315896</t>
  </si>
  <si>
    <t>I321619</t>
  </si>
  <si>
    <t>I140825</t>
  </si>
  <si>
    <t>I299230</t>
  </si>
  <si>
    <t>I325869</t>
  </si>
  <si>
    <t>I373164</t>
  </si>
  <si>
    <t>I118453</t>
  </si>
  <si>
    <t>I132071</t>
  </si>
  <si>
    <t>I306930</t>
  </si>
  <si>
    <t>I737161</t>
  </si>
  <si>
    <t>I859488</t>
  </si>
  <si>
    <t>I250629</t>
  </si>
  <si>
    <t>I396685</t>
  </si>
  <si>
    <t>I761759</t>
  </si>
  <si>
    <t>I128088</t>
  </si>
  <si>
    <t>I134817</t>
  </si>
  <si>
    <t>I154901</t>
  </si>
  <si>
    <t>I165741</t>
  </si>
  <si>
    <t>I186496</t>
  </si>
  <si>
    <t>I232105</t>
  </si>
  <si>
    <t>I249116</t>
  </si>
  <si>
    <t>I304401</t>
  </si>
  <si>
    <t>I323598</t>
  </si>
  <si>
    <t>I251311</t>
  </si>
  <si>
    <t>I303035</t>
  </si>
  <si>
    <t>I141454</t>
  </si>
  <si>
    <t>I190439</t>
  </si>
  <si>
    <t>I230599</t>
  </si>
  <si>
    <t>I256370</t>
  </si>
  <si>
    <t>I260553</t>
  </si>
  <si>
    <t>I283373</t>
  </si>
  <si>
    <t>I300627</t>
  </si>
  <si>
    <t>I328006</t>
  </si>
  <si>
    <t>I295181</t>
  </si>
  <si>
    <t>I277227</t>
  </si>
  <si>
    <t>I432861</t>
  </si>
  <si>
    <t>I716822</t>
  </si>
  <si>
    <t>I903259</t>
  </si>
  <si>
    <t>I104570</t>
  </si>
  <si>
    <t>I128255</t>
  </si>
  <si>
    <t>I139947</t>
  </si>
  <si>
    <t>I174886</t>
  </si>
  <si>
    <t>I201496</t>
  </si>
  <si>
    <t>I311897</t>
  </si>
  <si>
    <t>I570285</t>
  </si>
  <si>
    <t>I102761</t>
  </si>
  <si>
    <t>I144157</t>
  </si>
  <si>
    <t>I297542</t>
  </si>
  <si>
    <t>I305511</t>
  </si>
  <si>
    <t>I312137</t>
  </si>
  <si>
    <t>I332341</t>
  </si>
  <si>
    <t>I125592</t>
  </si>
  <si>
    <t>I140408</t>
  </si>
  <si>
    <t>I189542</t>
  </si>
  <si>
    <t>I227368</t>
  </si>
  <si>
    <t>I258816</t>
  </si>
  <si>
    <t>I491810</t>
  </si>
  <si>
    <t>I168776</t>
  </si>
  <si>
    <t>I196211</t>
  </si>
  <si>
    <t>I204288</t>
  </si>
  <si>
    <t>I227152</t>
  </si>
  <si>
    <t>I273054</t>
  </si>
  <si>
    <t>I281785</t>
  </si>
  <si>
    <t>I340187</t>
  </si>
  <si>
    <t>I562073</t>
  </si>
  <si>
    <t>I830538</t>
  </si>
  <si>
    <t>I130989</t>
  </si>
  <si>
    <t>I140135</t>
  </si>
  <si>
    <t>I142472</t>
  </si>
  <si>
    <t>I164433</t>
  </si>
  <si>
    <t>I166250</t>
  </si>
  <si>
    <t>I206500</t>
  </si>
  <si>
    <t>I275749</t>
  </si>
  <si>
    <t>I316471</t>
  </si>
  <si>
    <t>I115102</t>
  </si>
  <si>
    <t>I121072</t>
  </si>
  <si>
    <t>I155691</t>
  </si>
  <si>
    <t>I273250</t>
  </si>
  <si>
    <t>I282947</t>
  </si>
  <si>
    <t>I283116</t>
  </si>
  <si>
    <t>I300260</t>
  </si>
  <si>
    <t>I309865</t>
  </si>
  <si>
    <t>I678783</t>
  </si>
  <si>
    <t>I150216</t>
  </si>
  <si>
    <t>I183991</t>
  </si>
  <si>
    <t>I202780</t>
  </si>
  <si>
    <t>I322103</t>
  </si>
  <si>
    <t>I322287</t>
  </si>
  <si>
    <t>I671317</t>
  </si>
  <si>
    <t>I980811</t>
  </si>
  <si>
    <t>I157831</t>
  </si>
  <si>
    <t>I198156</t>
  </si>
  <si>
    <t>I243692</t>
  </si>
  <si>
    <t>I258718</t>
  </si>
  <si>
    <t>I317551</t>
  </si>
  <si>
    <t>I471551</t>
  </si>
  <si>
    <t>I508578</t>
  </si>
  <si>
    <t>I222799</t>
  </si>
  <si>
    <t>I254055</t>
  </si>
  <si>
    <t>I257579</t>
  </si>
  <si>
    <t>I334994</t>
  </si>
  <si>
    <t>I127025</t>
  </si>
  <si>
    <t>I175037</t>
  </si>
  <si>
    <t>I204796</t>
  </si>
  <si>
    <t>I214625</t>
  </si>
  <si>
    <t>I240003</t>
  </si>
  <si>
    <t>I311264</t>
  </si>
  <si>
    <t>I676291</t>
  </si>
  <si>
    <t>I122083</t>
  </si>
  <si>
    <t>I132664</t>
  </si>
  <si>
    <t>I164177</t>
  </si>
  <si>
    <t>I231674</t>
  </si>
  <si>
    <t>I257596</t>
  </si>
  <si>
    <t>I307225</t>
  </si>
  <si>
    <t>I330017</t>
  </si>
  <si>
    <t>I139614</t>
  </si>
  <si>
    <t>I187305</t>
  </si>
  <si>
    <t>I106691</t>
  </si>
  <si>
    <t>I334865</t>
  </si>
  <si>
    <t>I517258</t>
  </si>
  <si>
    <t>I128890</t>
  </si>
  <si>
    <t>I243784</t>
  </si>
  <si>
    <t>I248332</t>
  </si>
  <si>
    <t>I273831</t>
  </si>
  <si>
    <t>I320369</t>
  </si>
  <si>
    <t>I120643</t>
  </si>
  <si>
    <t>I121056</t>
  </si>
  <si>
    <t>I240626</t>
  </si>
  <si>
    <t>I276824</t>
  </si>
  <si>
    <t>I367365</t>
  </si>
  <si>
    <t>I127679</t>
  </si>
  <si>
    <t>I132250</t>
  </si>
  <si>
    <t>I132511</t>
  </si>
  <si>
    <t>I145709</t>
  </si>
  <si>
    <t>I171907</t>
  </si>
  <si>
    <t>I272691</t>
  </si>
  <si>
    <t>I302297</t>
  </si>
  <si>
    <t>I265549</t>
  </si>
  <si>
    <t>I288025</t>
  </si>
  <si>
    <t>I292315</t>
  </si>
  <si>
    <t>I170990</t>
  </si>
  <si>
    <t>I245988</t>
  </si>
  <si>
    <t>I283625</t>
  </si>
  <si>
    <t>I554701</t>
  </si>
  <si>
    <t>I732911</t>
  </si>
  <si>
    <t>I108780</t>
  </si>
  <si>
    <t>I110630</t>
  </si>
  <si>
    <t>I122453</t>
  </si>
  <si>
    <t>I169319</t>
  </si>
  <si>
    <t>I182384</t>
  </si>
  <si>
    <t>I190692</t>
  </si>
  <si>
    <t>I227000</t>
  </si>
  <si>
    <t>I917072</t>
  </si>
  <si>
    <t>I153262</t>
  </si>
  <si>
    <t>I223652</t>
  </si>
  <si>
    <t>I228498</t>
  </si>
  <si>
    <t>I242774</t>
  </si>
  <si>
    <t>I255845</t>
  </si>
  <si>
    <t>I280360</t>
  </si>
  <si>
    <t>I308369</t>
  </si>
  <si>
    <t>I327566</t>
  </si>
  <si>
    <t>I478114</t>
  </si>
  <si>
    <t>I119890</t>
  </si>
  <si>
    <t>I131665</t>
  </si>
  <si>
    <t>I169324</t>
  </si>
  <si>
    <t>I256298</t>
  </si>
  <si>
    <t>I315281</t>
  </si>
  <si>
    <t>I108433</t>
  </si>
  <si>
    <t>I240128</t>
  </si>
  <si>
    <t>I245564</t>
  </si>
  <si>
    <t>I256691</t>
  </si>
  <si>
    <t>I603741</t>
  </si>
  <si>
    <t>I760747</t>
  </si>
  <si>
    <t>I886618</t>
  </si>
  <si>
    <t>I161891</t>
  </si>
  <si>
    <t>I220971</t>
  </si>
  <si>
    <t>I257286</t>
  </si>
  <si>
    <t>I263412</t>
  </si>
  <si>
    <t>I285583</t>
  </si>
  <si>
    <t>I110391</t>
  </si>
  <si>
    <t>I178637</t>
  </si>
  <si>
    <t>I194320</t>
  </si>
  <si>
    <t>I267634</t>
  </si>
  <si>
    <t>I307121</t>
  </si>
  <si>
    <t>I467163</t>
  </si>
  <si>
    <t>I227595</t>
  </si>
  <si>
    <t>I291032</t>
  </si>
  <si>
    <t>I299354</t>
  </si>
  <si>
    <t>I301422</t>
  </si>
  <si>
    <t>I303944</t>
  </si>
  <si>
    <t>I561353</t>
  </si>
  <si>
    <t>I162696</t>
  </si>
  <si>
    <t>I167547</t>
  </si>
  <si>
    <t>I292866</t>
  </si>
  <si>
    <t>I653897</t>
  </si>
  <si>
    <t>I920609</t>
  </si>
  <si>
    <t>I139026</t>
  </si>
  <si>
    <t>I276834</t>
  </si>
  <si>
    <t>I280973</t>
  </si>
  <si>
    <t>I469098</t>
  </si>
  <si>
    <t>I172000</t>
  </si>
  <si>
    <t>I251982</t>
  </si>
  <si>
    <t>I259335</t>
  </si>
  <si>
    <t>I215436</t>
  </si>
  <si>
    <t>I306918</t>
  </si>
  <si>
    <t>I323436</t>
  </si>
  <si>
    <t>I117526</t>
  </si>
  <si>
    <t>I162970</t>
  </si>
  <si>
    <t>I265476</t>
  </si>
  <si>
    <t>I652534</t>
  </si>
  <si>
    <t>I137827</t>
  </si>
  <si>
    <t>I138674</t>
  </si>
  <si>
    <t>I108380</t>
  </si>
  <si>
    <t>I110467</t>
  </si>
  <si>
    <t>I267769</t>
  </si>
  <si>
    <t>I302989</t>
  </si>
  <si>
    <t>I491746</t>
  </si>
  <si>
    <t>I651209</t>
  </si>
  <si>
    <t>I122528</t>
  </si>
  <si>
    <t>I141122</t>
  </si>
  <si>
    <t>I187927</t>
  </si>
  <si>
    <t>I141719</t>
  </si>
  <si>
    <t>I153569</t>
  </si>
  <si>
    <t>I213270</t>
  </si>
  <si>
    <t>I229701</t>
  </si>
  <si>
    <t>I261961</t>
  </si>
  <si>
    <t>I538788</t>
  </si>
  <si>
    <t>I176063</t>
  </si>
  <si>
    <t>I253609</t>
  </si>
  <si>
    <t>I257671</t>
  </si>
  <si>
    <t>I292522</t>
  </si>
  <si>
    <t>I315463</t>
  </si>
  <si>
    <t>I131352</t>
  </si>
  <si>
    <t>I253398</t>
  </si>
  <si>
    <t>I269076</t>
  </si>
  <si>
    <t>I323050</t>
  </si>
  <si>
    <t>I102879</t>
  </si>
  <si>
    <t>I111807</t>
  </si>
  <si>
    <t>I112303</t>
  </si>
  <si>
    <t>I132297</t>
  </si>
  <si>
    <t>I135417</t>
  </si>
  <si>
    <t>I139696</t>
  </si>
  <si>
    <t>I151404</t>
  </si>
  <si>
    <t>I171015</t>
  </si>
  <si>
    <t>I218569</t>
  </si>
  <si>
    <t>I239285</t>
  </si>
  <si>
    <t>I264685</t>
  </si>
  <si>
    <t>I311067</t>
  </si>
  <si>
    <t>I109074</t>
  </si>
  <si>
    <t>I120851</t>
  </si>
  <si>
    <t>I212671</t>
  </si>
  <si>
    <t>I673195</t>
  </si>
  <si>
    <t>I167371</t>
  </si>
  <si>
    <t>I200646</t>
  </si>
  <si>
    <t>I480800</t>
  </si>
  <si>
    <t>I183964</t>
  </si>
  <si>
    <t>I195585</t>
  </si>
  <si>
    <t>I208867</t>
  </si>
  <si>
    <t>I229874</t>
  </si>
  <si>
    <t>I246910</t>
  </si>
  <si>
    <t>I264862</t>
  </si>
  <si>
    <t>I292607</t>
  </si>
  <si>
    <t>I315873</t>
  </si>
  <si>
    <t>I353622</t>
  </si>
  <si>
    <t>I789553</t>
  </si>
  <si>
    <t>I202829</t>
  </si>
  <si>
    <t>I246278</t>
  </si>
  <si>
    <t>I251242</t>
  </si>
  <si>
    <t>I401204</t>
  </si>
  <si>
    <t>I901399</t>
  </si>
  <si>
    <t>I183037</t>
  </si>
  <si>
    <t>I215019</t>
  </si>
  <si>
    <t>I229534</t>
  </si>
  <si>
    <t>I270175</t>
  </si>
  <si>
    <t>I223340</t>
  </si>
  <si>
    <t>I229895</t>
  </si>
  <si>
    <t>I250296</t>
  </si>
  <si>
    <t>I265757</t>
  </si>
  <si>
    <t>I783130</t>
  </si>
  <si>
    <t>I146440</t>
  </si>
  <si>
    <t>I220122</t>
  </si>
  <si>
    <t>I221024</t>
  </si>
  <si>
    <t>I226598</t>
  </si>
  <si>
    <t>I243186</t>
  </si>
  <si>
    <t>I261092</t>
  </si>
  <si>
    <t>I280250</t>
  </si>
  <si>
    <t>I289746</t>
  </si>
  <si>
    <t>I327088</t>
  </si>
  <si>
    <t>I649554</t>
  </si>
  <si>
    <t>I130735</t>
  </si>
  <si>
    <t>I170757</t>
  </si>
  <si>
    <t>I246704</t>
  </si>
  <si>
    <t>I277561</t>
  </si>
  <si>
    <t>I786055</t>
  </si>
  <si>
    <t>I205421</t>
  </si>
  <si>
    <t>I286768</t>
  </si>
  <si>
    <t>I298037</t>
  </si>
  <si>
    <t>I453526</t>
  </si>
  <si>
    <t>I531648</t>
  </si>
  <si>
    <t>I597591</t>
  </si>
  <si>
    <t>I115528</t>
  </si>
  <si>
    <t>I179118</t>
  </si>
  <si>
    <t>I309115</t>
  </si>
  <si>
    <t>I448426</t>
  </si>
  <si>
    <t>I103865</t>
  </si>
  <si>
    <t>I180909</t>
  </si>
  <si>
    <t>I224228</t>
  </si>
  <si>
    <t>I722319</t>
  </si>
  <si>
    <t>I236975</t>
  </si>
  <si>
    <t>I255212</t>
  </si>
  <si>
    <t>I334516</t>
  </si>
  <si>
    <t>I491239</t>
  </si>
  <si>
    <t>I749462</t>
  </si>
  <si>
    <t>I107124</t>
  </si>
  <si>
    <t>I194187</t>
  </si>
  <si>
    <t>I213354</t>
  </si>
  <si>
    <t>I236488</t>
  </si>
  <si>
    <t>I301864</t>
  </si>
  <si>
    <t>I324790</t>
  </si>
  <si>
    <t>I513401</t>
  </si>
  <si>
    <t>I814775</t>
  </si>
  <si>
    <t>I113609</t>
  </si>
  <si>
    <t>I143892</t>
  </si>
  <si>
    <t>I198420</t>
  </si>
  <si>
    <t>I293847</t>
  </si>
  <si>
    <t>I836992</t>
  </si>
  <si>
    <t>I176013</t>
  </si>
  <si>
    <t>I221234</t>
  </si>
  <si>
    <t>I228535</t>
  </si>
  <si>
    <t>I308440</t>
  </si>
  <si>
    <t>I317017</t>
  </si>
  <si>
    <t>I328185</t>
  </si>
  <si>
    <t>I335926</t>
  </si>
  <si>
    <t>I133324</t>
  </si>
  <si>
    <t>I135714</t>
  </si>
  <si>
    <t>I182031</t>
  </si>
  <si>
    <t>I311366</t>
  </si>
  <si>
    <t>I321237</t>
  </si>
  <si>
    <t>I328733</t>
  </si>
  <si>
    <t>I959282</t>
  </si>
  <si>
    <t>I146662</t>
  </si>
  <si>
    <t>I198291</t>
  </si>
  <si>
    <t>I325631</t>
  </si>
  <si>
    <t>I332620</t>
  </si>
  <si>
    <t>I342725</t>
  </si>
  <si>
    <t>I758454</t>
  </si>
  <si>
    <t>I167092</t>
  </si>
  <si>
    <t>I249424</t>
  </si>
  <si>
    <t>I253375</t>
  </si>
  <si>
    <t>I784128</t>
  </si>
  <si>
    <t>I139172</t>
  </si>
  <si>
    <t>I152507</t>
  </si>
  <si>
    <t>I156434</t>
  </si>
  <si>
    <t>I264126</t>
  </si>
  <si>
    <t>I143618</t>
  </si>
  <si>
    <t>I148642</t>
  </si>
  <si>
    <t>I198227</t>
  </si>
  <si>
    <t>I230812</t>
  </si>
  <si>
    <t>I245008</t>
  </si>
  <si>
    <t>I270762</t>
  </si>
  <si>
    <t>I325594</t>
  </si>
  <si>
    <t>I444572</t>
  </si>
  <si>
    <t>I130929</t>
  </si>
  <si>
    <t>I292793</t>
  </si>
  <si>
    <t>I315830</t>
  </si>
  <si>
    <t>I191439</t>
  </si>
  <si>
    <t>I200231</t>
  </si>
  <si>
    <t>I217857</t>
  </si>
  <si>
    <t>I278595</t>
  </si>
  <si>
    <t>I170264</t>
  </si>
  <si>
    <t>I180273</t>
  </si>
  <si>
    <t>I231273</t>
  </si>
  <si>
    <t>I282229</t>
  </si>
  <si>
    <t>I306370</t>
  </si>
  <si>
    <t>I310075</t>
  </si>
  <si>
    <t>I106781</t>
  </si>
  <si>
    <t>I134418</t>
  </si>
  <si>
    <t>I150012</t>
  </si>
  <si>
    <t>I190310</t>
  </si>
  <si>
    <t>I261283</t>
  </si>
  <si>
    <t>I302104</t>
  </si>
  <si>
    <t>I335713</t>
  </si>
  <si>
    <t>I338712</t>
  </si>
  <si>
    <t>I401856</t>
  </si>
  <si>
    <t>I588414</t>
  </si>
  <si>
    <t>I124407</t>
  </si>
  <si>
    <t>I180433</t>
  </si>
  <si>
    <t>I230575</t>
  </si>
  <si>
    <t>I256639</t>
  </si>
  <si>
    <t>I262031</t>
  </si>
  <si>
    <t>I502659</t>
  </si>
  <si>
    <t>I106200</t>
  </si>
  <si>
    <t>I137063</t>
  </si>
  <si>
    <t>I161949</t>
  </si>
  <si>
    <t>I186995</t>
  </si>
  <si>
    <t>I228024</t>
  </si>
  <si>
    <t>I754738</t>
  </si>
  <si>
    <t>I154146</t>
  </si>
  <si>
    <t>I186360</t>
  </si>
  <si>
    <t>I275382</t>
  </si>
  <si>
    <t>I295513</t>
  </si>
  <si>
    <t>I489051</t>
  </si>
  <si>
    <t>I568614</t>
  </si>
  <si>
    <t>I630852</t>
  </si>
  <si>
    <t>I134839</t>
  </si>
  <si>
    <t>I209933</t>
  </si>
  <si>
    <t>I271880</t>
  </si>
  <si>
    <t>I272736</t>
  </si>
  <si>
    <t>I285526</t>
  </si>
  <si>
    <t>I538784</t>
  </si>
  <si>
    <t>I708039</t>
  </si>
  <si>
    <t>I217948</t>
  </si>
  <si>
    <t>I219698</t>
  </si>
  <si>
    <t>I238246</t>
  </si>
  <si>
    <t>I249003</t>
  </si>
  <si>
    <t>I543879</t>
  </si>
  <si>
    <t>I124098</t>
  </si>
  <si>
    <t>I168139</t>
  </si>
  <si>
    <t>I200489</t>
  </si>
  <si>
    <t>I217038</t>
  </si>
  <si>
    <t>I732112</t>
  </si>
  <si>
    <t>I123154</t>
  </si>
  <si>
    <t>I198938</t>
  </si>
  <si>
    <t>I203833</t>
  </si>
  <si>
    <t>I263332</t>
  </si>
  <si>
    <t>I293455</t>
  </si>
  <si>
    <t>I308519</t>
  </si>
  <si>
    <t>I167881</t>
  </si>
  <si>
    <t>I199386</t>
  </si>
  <si>
    <t>I202901</t>
  </si>
  <si>
    <t>I322738</t>
  </si>
  <si>
    <t>I324650</t>
  </si>
  <si>
    <t>I337027</t>
  </si>
  <si>
    <t>I370998</t>
  </si>
  <si>
    <t>I816088</t>
  </si>
  <si>
    <t>I157035</t>
  </si>
  <si>
    <t>I213873</t>
  </si>
  <si>
    <t>I228667</t>
  </si>
  <si>
    <t>I246889</t>
  </si>
  <si>
    <t>I324424</t>
  </si>
  <si>
    <t>I576932</t>
  </si>
  <si>
    <t>I155847</t>
  </si>
  <si>
    <t>I289905</t>
  </si>
  <si>
    <t>I326193</t>
  </si>
  <si>
    <t>I346321</t>
  </si>
  <si>
    <t>I890257</t>
  </si>
  <si>
    <t>I169204</t>
  </si>
  <si>
    <t>I295198</t>
  </si>
  <si>
    <t>I310170</t>
  </si>
  <si>
    <t>I322338</t>
  </si>
  <si>
    <t>I327583</t>
  </si>
  <si>
    <t>I163278</t>
  </si>
  <si>
    <t>I166759</t>
  </si>
  <si>
    <t>I302463</t>
  </si>
  <si>
    <t>I351510</t>
  </si>
  <si>
    <t>I168897</t>
  </si>
  <si>
    <t>I223532</t>
  </si>
  <si>
    <t>I259847</t>
  </si>
  <si>
    <t>I273541</t>
  </si>
  <si>
    <t>I118587</t>
  </si>
  <si>
    <t>I121437</t>
  </si>
  <si>
    <t>I178854</t>
  </si>
  <si>
    <t>I224625</t>
  </si>
  <si>
    <t>I235729</t>
  </si>
  <si>
    <t>I311793</t>
  </si>
  <si>
    <t>I386875</t>
  </si>
  <si>
    <t>I960964</t>
  </si>
  <si>
    <t>I115204</t>
  </si>
  <si>
    <t>I140081</t>
  </si>
  <si>
    <t>I166522</t>
  </si>
  <si>
    <t>I191026</t>
  </si>
  <si>
    <t>I212047</t>
  </si>
  <si>
    <t>I265604</t>
  </si>
  <si>
    <t>I302923</t>
  </si>
  <si>
    <t>I672240</t>
  </si>
  <si>
    <t>I813046</t>
  </si>
  <si>
    <t>I951089</t>
  </si>
  <si>
    <t>I131457</t>
  </si>
  <si>
    <t>I179216</t>
  </si>
  <si>
    <t>I241354</t>
  </si>
  <si>
    <t>I281208</t>
  </si>
  <si>
    <t>I608563</t>
  </si>
  <si>
    <t>I174055</t>
  </si>
  <si>
    <t>I259328</t>
  </si>
  <si>
    <t>I311797</t>
  </si>
  <si>
    <t>I732537</t>
  </si>
  <si>
    <t>I113304</t>
  </si>
  <si>
    <t>I128752</t>
  </si>
  <si>
    <t>I184036</t>
  </si>
  <si>
    <t>I677787</t>
  </si>
  <si>
    <t>I194394</t>
  </si>
  <si>
    <t>I269662</t>
  </si>
  <si>
    <t>I285766</t>
  </si>
  <si>
    <t>I335716</t>
  </si>
  <si>
    <t>I155954</t>
  </si>
  <si>
    <t>I156233</t>
  </si>
  <si>
    <t>I327961</t>
  </si>
  <si>
    <t>I141974</t>
  </si>
  <si>
    <t>I160819</t>
  </si>
  <si>
    <t>I278920</t>
  </si>
  <si>
    <t>I574151</t>
  </si>
  <si>
    <t>I184579</t>
  </si>
  <si>
    <t>I364470</t>
  </si>
  <si>
    <t>I564449</t>
  </si>
  <si>
    <t>I939220</t>
  </si>
  <si>
    <t>I110133</t>
  </si>
  <si>
    <t>I125930</t>
  </si>
  <si>
    <t>I265252</t>
  </si>
  <si>
    <t>I278401</t>
  </si>
  <si>
    <t>I280739</t>
  </si>
  <si>
    <t>I305296</t>
  </si>
  <si>
    <t>I556045</t>
  </si>
  <si>
    <t>I847727</t>
  </si>
  <si>
    <t>I219338</t>
  </si>
  <si>
    <t>I236697</t>
  </si>
  <si>
    <t>I252581</t>
  </si>
  <si>
    <t>I279182</t>
  </si>
  <si>
    <t>I304851</t>
  </si>
  <si>
    <t>I128638</t>
  </si>
  <si>
    <t>I136471</t>
  </si>
  <si>
    <t>I200018</t>
  </si>
  <si>
    <t>I301225</t>
  </si>
  <si>
    <t>I306925</t>
  </si>
  <si>
    <t>I101902</t>
  </si>
  <si>
    <t>I104769</t>
  </si>
  <si>
    <t>I155865</t>
  </si>
  <si>
    <t>I167926</t>
  </si>
  <si>
    <t>I187720</t>
  </si>
  <si>
    <t>I229628</t>
  </si>
  <si>
    <t>I263473</t>
  </si>
  <si>
    <t>I273845</t>
  </si>
  <si>
    <t>I335469</t>
  </si>
  <si>
    <t>I161179</t>
  </si>
  <si>
    <t>I197153</t>
  </si>
  <si>
    <t>I275001</t>
  </si>
  <si>
    <t>I984793</t>
  </si>
  <si>
    <t>I138110</t>
  </si>
  <si>
    <t>I228164</t>
  </si>
  <si>
    <t>I264690</t>
  </si>
  <si>
    <t>I300250</t>
  </si>
  <si>
    <t>I924814</t>
  </si>
  <si>
    <t>I220285</t>
  </si>
  <si>
    <t>I234008</t>
  </si>
  <si>
    <t>I291921</t>
  </si>
  <si>
    <t>I143075</t>
  </si>
  <si>
    <t>I148832</t>
  </si>
  <si>
    <t>I331268</t>
  </si>
  <si>
    <t>I487727</t>
  </si>
  <si>
    <t>I590625</t>
  </si>
  <si>
    <t>I630114</t>
  </si>
  <si>
    <t>I219176</t>
  </si>
  <si>
    <t>I293954</t>
  </si>
  <si>
    <t>I303914</t>
  </si>
  <si>
    <t>I325555</t>
  </si>
  <si>
    <t>I808751</t>
  </si>
  <si>
    <t>I166650</t>
  </si>
  <si>
    <t>I212471</t>
  </si>
  <si>
    <t>I450963</t>
  </si>
  <si>
    <t>I147727</t>
  </si>
  <si>
    <t>I103881</t>
  </si>
  <si>
    <t>I112096</t>
  </si>
  <si>
    <t>I149356</t>
  </si>
  <si>
    <t>I192278</t>
  </si>
  <si>
    <t>I334902</t>
  </si>
  <si>
    <t>I195208</t>
  </si>
  <si>
    <t>I213392</t>
  </si>
  <si>
    <t>I230075</t>
  </si>
  <si>
    <t>I246390</t>
  </si>
  <si>
    <t>I376114</t>
  </si>
  <si>
    <t>I603143</t>
  </si>
  <si>
    <t>I325655</t>
  </si>
  <si>
    <t>I177439</t>
  </si>
  <si>
    <t>I233465</t>
  </si>
  <si>
    <t>I259435</t>
  </si>
  <si>
    <t>I315929</t>
  </si>
  <si>
    <t>I647346</t>
  </si>
  <si>
    <t>I780940</t>
  </si>
  <si>
    <t>I157128</t>
  </si>
  <si>
    <t>I235041</t>
  </si>
  <si>
    <t>I256045</t>
  </si>
  <si>
    <t>I151840</t>
  </si>
  <si>
    <t>I167211</t>
  </si>
  <si>
    <t>I245669</t>
  </si>
  <si>
    <t>I258961</t>
  </si>
  <si>
    <t>I408969</t>
  </si>
  <si>
    <t>I311659</t>
  </si>
  <si>
    <t>I154122</t>
  </si>
  <si>
    <t>I113173</t>
  </si>
  <si>
    <t>I156107</t>
  </si>
  <si>
    <t>I327475</t>
  </si>
  <si>
    <t>I914004</t>
  </si>
  <si>
    <t>I154745</t>
  </si>
  <si>
    <t>I182523</t>
  </si>
  <si>
    <t>I232062</t>
  </si>
  <si>
    <t>I394071</t>
  </si>
  <si>
    <t>I130166</t>
  </si>
  <si>
    <t>I138038</t>
  </si>
  <si>
    <t>I155920</t>
  </si>
  <si>
    <t>I180696</t>
  </si>
  <si>
    <t>I321920</t>
  </si>
  <si>
    <t>I116736</t>
  </si>
  <si>
    <t>I169894</t>
  </si>
  <si>
    <t>I200385</t>
  </si>
  <si>
    <t>I320428</t>
  </si>
  <si>
    <t>I797307</t>
  </si>
  <si>
    <t>I191373</t>
  </si>
  <si>
    <t>I240970</t>
  </si>
  <si>
    <t>I257391</t>
  </si>
  <si>
    <t>I329798</t>
  </si>
  <si>
    <t>I766238</t>
  </si>
  <si>
    <t>I163045</t>
  </si>
  <si>
    <t>I171556</t>
  </si>
  <si>
    <t>I251504</t>
  </si>
  <si>
    <t>I289975</t>
  </si>
  <si>
    <t>I319032</t>
  </si>
  <si>
    <t>I686681</t>
  </si>
  <si>
    <t>I118879</t>
  </si>
  <si>
    <t>I245611</t>
  </si>
  <si>
    <t>I273597</t>
  </si>
  <si>
    <t>I295784</t>
  </si>
  <si>
    <t>I312019</t>
  </si>
  <si>
    <t>I224714</t>
  </si>
  <si>
    <t>I236204</t>
  </si>
  <si>
    <t>I263541</t>
  </si>
  <si>
    <t>I286877</t>
  </si>
  <si>
    <t>I293215</t>
  </si>
  <si>
    <t>I373362</t>
  </si>
  <si>
    <t>I113366</t>
  </si>
  <si>
    <t>I123942</t>
  </si>
  <si>
    <t>I159395</t>
  </si>
  <si>
    <t>I188476</t>
  </si>
  <si>
    <t>I192450</t>
  </si>
  <si>
    <t>I256969</t>
  </si>
  <si>
    <t>I469019</t>
  </si>
  <si>
    <t>I614497</t>
  </si>
  <si>
    <t>I122691</t>
  </si>
  <si>
    <t>I299480</t>
  </si>
  <si>
    <t>I258204</t>
  </si>
  <si>
    <t>I409107</t>
  </si>
  <si>
    <t>I205100</t>
  </si>
  <si>
    <t>I235481</t>
  </si>
  <si>
    <t>I257208</t>
  </si>
  <si>
    <t>I136074</t>
  </si>
  <si>
    <t>I149521</t>
  </si>
  <si>
    <t>I177033</t>
  </si>
  <si>
    <t>I257267</t>
  </si>
  <si>
    <t>I151332</t>
  </si>
  <si>
    <t>I312801</t>
  </si>
  <si>
    <t>I313811</t>
  </si>
  <si>
    <t>I876948</t>
  </si>
  <si>
    <t>I187171</t>
  </si>
  <si>
    <t>I231832</t>
  </si>
  <si>
    <t>I293709</t>
  </si>
  <si>
    <t>I434859</t>
  </si>
  <si>
    <t>I758806</t>
  </si>
  <si>
    <t>I269825</t>
  </si>
  <si>
    <t>I212761</t>
  </si>
  <si>
    <t>I234748</t>
  </si>
  <si>
    <t>I268629</t>
  </si>
  <si>
    <t>I270112</t>
  </si>
  <si>
    <t>I282711</t>
  </si>
  <si>
    <t>I145372</t>
  </si>
  <si>
    <t>I183437</t>
  </si>
  <si>
    <t>I236230</t>
  </si>
  <si>
    <t>I591356</t>
  </si>
  <si>
    <t>I772184</t>
  </si>
  <si>
    <t>I118277</t>
  </si>
  <si>
    <t>I188382</t>
  </si>
  <si>
    <t>I246718</t>
  </si>
  <si>
    <t>I290505</t>
  </si>
  <si>
    <t>I312028</t>
  </si>
  <si>
    <t>I150781</t>
  </si>
  <si>
    <t>I175788</t>
  </si>
  <si>
    <t>I249317</t>
  </si>
  <si>
    <t>I340014</t>
  </si>
  <si>
    <t>I765275</t>
  </si>
  <si>
    <t>I231475</t>
  </si>
  <si>
    <t>I309235</t>
  </si>
  <si>
    <t>I325205</t>
  </si>
  <si>
    <t>I351965</t>
  </si>
  <si>
    <t>I903691</t>
  </si>
  <si>
    <t>I983860</t>
  </si>
  <si>
    <t>I332394</t>
  </si>
  <si>
    <t>I870944</t>
  </si>
  <si>
    <t>I264720</t>
  </si>
  <si>
    <t>I294849</t>
  </si>
  <si>
    <t>I497958</t>
  </si>
  <si>
    <t>I628372</t>
  </si>
  <si>
    <t>I133893</t>
  </si>
  <si>
    <t>I135796</t>
  </si>
  <si>
    <t>I284251</t>
  </si>
  <si>
    <t>I309651</t>
  </si>
  <si>
    <t>I183522</t>
  </si>
  <si>
    <t>I214481</t>
  </si>
  <si>
    <t>I222883</t>
  </si>
  <si>
    <t>I228349</t>
  </si>
  <si>
    <t>I334233</t>
  </si>
  <si>
    <t>I420393</t>
  </si>
  <si>
    <t>I151138</t>
  </si>
  <si>
    <t>I311770</t>
  </si>
  <si>
    <t>I326488</t>
  </si>
  <si>
    <t>I128722</t>
  </si>
  <si>
    <t>I162068</t>
  </si>
  <si>
    <t>I210603</t>
  </si>
  <si>
    <t>I899550</t>
  </si>
  <si>
    <t>I112057</t>
  </si>
  <si>
    <t>I189121</t>
  </si>
  <si>
    <t>I209549</t>
  </si>
  <si>
    <t>I242447</t>
  </si>
  <si>
    <t>I280147</t>
  </si>
  <si>
    <t>I103072</t>
  </si>
  <si>
    <t>I108060</t>
  </si>
  <si>
    <t>I110084</t>
  </si>
  <si>
    <t>I156257</t>
  </si>
  <si>
    <t>I926244</t>
  </si>
  <si>
    <t>I107535</t>
  </si>
  <si>
    <t>I139323</t>
  </si>
  <si>
    <t>I307858</t>
  </si>
  <si>
    <t>I825194</t>
  </si>
  <si>
    <t>I112443</t>
  </si>
  <si>
    <t>I135149</t>
  </si>
  <si>
    <t>I135567</t>
  </si>
  <si>
    <t>I180262</t>
  </si>
  <si>
    <t>I229212</t>
  </si>
  <si>
    <t>I319596</t>
  </si>
  <si>
    <t>I741309</t>
  </si>
  <si>
    <t>I159095</t>
  </si>
  <si>
    <t>I178419</t>
  </si>
  <si>
    <t>I184800</t>
  </si>
  <si>
    <t>I226172</t>
  </si>
  <si>
    <t>I252404</t>
  </si>
  <si>
    <t>I324609</t>
  </si>
  <si>
    <t>I840591</t>
  </si>
  <si>
    <t>I145649</t>
  </si>
  <si>
    <t>I178874</t>
  </si>
  <si>
    <t>I179278</t>
  </si>
  <si>
    <t>I193677</t>
  </si>
  <si>
    <t>I229419</t>
  </si>
  <si>
    <t>I241694</t>
  </si>
  <si>
    <t>I287965</t>
  </si>
  <si>
    <t>I117117</t>
  </si>
  <si>
    <t>I261996</t>
  </si>
  <si>
    <t>I286351</t>
  </si>
  <si>
    <t>I960037</t>
  </si>
  <si>
    <t>I230108</t>
  </si>
  <si>
    <t>I282789</t>
  </si>
  <si>
    <t>I290902</t>
  </si>
  <si>
    <t>I318533</t>
  </si>
  <si>
    <t>I331578</t>
  </si>
  <si>
    <t>I333138</t>
  </si>
  <si>
    <t>I241341</t>
  </si>
  <si>
    <t>I259063</t>
  </si>
  <si>
    <t>I320021</t>
  </si>
  <si>
    <t>I580834</t>
  </si>
  <si>
    <t>I907765</t>
  </si>
  <si>
    <t>I141658</t>
  </si>
  <si>
    <t>I268811</t>
  </si>
  <si>
    <t>I273029</t>
  </si>
  <si>
    <t>I745890</t>
  </si>
  <si>
    <t>I228415</t>
  </si>
  <si>
    <t>I249891</t>
  </si>
  <si>
    <t>I255137</t>
  </si>
  <si>
    <t>I271320</t>
  </si>
  <si>
    <t>I583185</t>
  </si>
  <si>
    <t>I153981</t>
  </si>
  <si>
    <t>I202227</t>
  </si>
  <si>
    <t>I253364</t>
  </si>
  <si>
    <t>I279951</t>
  </si>
  <si>
    <t>I842347</t>
  </si>
  <si>
    <t>I132459</t>
  </si>
  <si>
    <t>I255381</t>
  </si>
  <si>
    <t>I330119</t>
  </si>
  <si>
    <t>I181145</t>
  </si>
  <si>
    <t>I204979</t>
  </si>
  <si>
    <t>I355236</t>
  </si>
  <si>
    <t>I232489</t>
  </si>
  <si>
    <t>I274878</t>
  </si>
  <si>
    <t>I122009</t>
  </si>
  <si>
    <t>I173286</t>
  </si>
  <si>
    <t>I218225</t>
  </si>
  <si>
    <t>I220586</t>
  </si>
  <si>
    <t>I230898</t>
  </si>
  <si>
    <t>I239889</t>
  </si>
  <si>
    <t>I245882</t>
  </si>
  <si>
    <t>I114253</t>
  </si>
  <si>
    <t>I227132</t>
  </si>
  <si>
    <t>I245602</t>
  </si>
  <si>
    <t>I324526</t>
  </si>
  <si>
    <t>I186838</t>
  </si>
  <si>
    <t>I222501</t>
  </si>
  <si>
    <t>I270712</t>
  </si>
  <si>
    <t>I290579</t>
  </si>
  <si>
    <t>I750563</t>
  </si>
  <si>
    <t>I114287</t>
  </si>
  <si>
    <t>I134764</t>
  </si>
  <si>
    <t>I144506</t>
  </si>
  <si>
    <t>I178537</t>
  </si>
  <si>
    <t>I330674</t>
  </si>
  <si>
    <t>I796767</t>
  </si>
  <si>
    <t>I113134</t>
  </si>
  <si>
    <t>I208420</t>
  </si>
  <si>
    <t>I307328</t>
  </si>
  <si>
    <t>I324204</t>
  </si>
  <si>
    <t>I329034</t>
  </si>
  <si>
    <t>I371358</t>
  </si>
  <si>
    <t>I458495</t>
  </si>
  <si>
    <t>I846414</t>
  </si>
  <si>
    <t>I150629</t>
  </si>
  <si>
    <t>I177813</t>
  </si>
  <si>
    <t>I277974</t>
  </si>
  <si>
    <t>I172676</t>
  </si>
  <si>
    <t>I177239</t>
  </si>
  <si>
    <t>I220613</t>
  </si>
  <si>
    <t>I275274</t>
  </si>
  <si>
    <t>I297912</t>
  </si>
  <si>
    <t>I325256</t>
  </si>
  <si>
    <t>I689926</t>
  </si>
  <si>
    <t>I175416</t>
  </si>
  <si>
    <t>I185724</t>
  </si>
  <si>
    <t>I221987</t>
  </si>
  <si>
    <t>I223440</t>
  </si>
  <si>
    <t>I260748</t>
  </si>
  <si>
    <t>I515200</t>
  </si>
  <si>
    <t>I211547</t>
  </si>
  <si>
    <t>I234887</t>
  </si>
  <si>
    <t>I246976</t>
  </si>
  <si>
    <t>I691313</t>
  </si>
  <si>
    <t>I891465</t>
  </si>
  <si>
    <t>I961275</t>
  </si>
  <si>
    <t>I157544</t>
  </si>
  <si>
    <t>I160647</t>
  </si>
  <si>
    <t>I184307</t>
  </si>
  <si>
    <t>I245026</t>
  </si>
  <si>
    <t>I250049</t>
  </si>
  <si>
    <t>I279761</t>
  </si>
  <si>
    <t>I297188</t>
  </si>
  <si>
    <t>I329083</t>
  </si>
  <si>
    <t>I384203</t>
  </si>
  <si>
    <t>I809104</t>
  </si>
  <si>
    <t>I220929</t>
  </si>
  <si>
    <t>I246003</t>
  </si>
  <si>
    <t>I428525</t>
  </si>
  <si>
    <t>I146549</t>
  </si>
  <si>
    <t>I293112</t>
  </si>
  <si>
    <t>I442443</t>
  </si>
  <si>
    <t>I534706</t>
  </si>
  <si>
    <t>I105289</t>
  </si>
  <si>
    <t>I170036</t>
  </si>
  <si>
    <t>I224248</t>
  </si>
  <si>
    <t>I232002</t>
  </si>
  <si>
    <t>I285161</t>
  </si>
  <si>
    <t>I500902</t>
  </si>
  <si>
    <t>I690433</t>
  </si>
  <si>
    <t>I919016</t>
  </si>
  <si>
    <t>I944501</t>
  </si>
  <si>
    <t>I107188</t>
  </si>
  <si>
    <t>I135990</t>
  </si>
  <si>
    <t>I166541</t>
  </si>
  <si>
    <t>I231618</t>
  </si>
  <si>
    <t>I283937</t>
  </si>
  <si>
    <t>I235009</t>
  </si>
  <si>
    <t>I618686</t>
  </si>
  <si>
    <t>I978050</t>
  </si>
  <si>
    <t>I219372</t>
  </si>
  <si>
    <t>I226752</t>
  </si>
  <si>
    <t>I241656</t>
  </si>
  <si>
    <t>I263063</t>
  </si>
  <si>
    <t>I307289</t>
  </si>
  <si>
    <t>I557417</t>
  </si>
  <si>
    <t>I768348</t>
  </si>
  <si>
    <t>I111112</t>
  </si>
  <si>
    <t>I164217</t>
  </si>
  <si>
    <t>I230744</t>
  </si>
  <si>
    <t>I275120</t>
  </si>
  <si>
    <t>I332905</t>
  </si>
  <si>
    <t>I473606</t>
  </si>
  <si>
    <t>I194869</t>
  </si>
  <si>
    <t>I232626</t>
  </si>
  <si>
    <t>I239495</t>
  </si>
  <si>
    <t>I296448</t>
  </si>
  <si>
    <t>I326892</t>
  </si>
  <si>
    <t>I864398</t>
  </si>
  <si>
    <t>I121477</t>
  </si>
  <si>
    <t>I165685</t>
  </si>
  <si>
    <t>I264643</t>
  </si>
  <si>
    <t>I309668</t>
  </si>
  <si>
    <t>I314354</t>
  </si>
  <si>
    <t>I796512</t>
  </si>
  <si>
    <t>I144476</t>
  </si>
  <si>
    <t>I152931</t>
  </si>
  <si>
    <t>I165880</t>
  </si>
  <si>
    <t>I180895</t>
  </si>
  <si>
    <t>I230738</t>
  </si>
  <si>
    <t>I334652</t>
  </si>
  <si>
    <t>I468874</t>
  </si>
  <si>
    <t>I813784</t>
  </si>
  <si>
    <t>I170988</t>
  </si>
  <si>
    <t>I260086</t>
  </si>
  <si>
    <t>I285082</t>
  </si>
  <si>
    <t>I128694</t>
  </si>
  <si>
    <t>I217427</t>
  </si>
  <si>
    <t>I248778</t>
  </si>
  <si>
    <t>I264104</t>
  </si>
  <si>
    <t>I286608</t>
  </si>
  <si>
    <t>I310241</t>
  </si>
  <si>
    <t>I409116</t>
  </si>
  <si>
    <t>I171245</t>
  </si>
  <si>
    <t>I317105</t>
  </si>
  <si>
    <t>I436543</t>
  </si>
  <si>
    <t>I546691</t>
  </si>
  <si>
    <t>I271727</t>
  </si>
  <si>
    <t>I285970</t>
  </si>
  <si>
    <t>I724379</t>
  </si>
  <si>
    <t>I105218</t>
  </si>
  <si>
    <t>I219045</t>
  </si>
  <si>
    <t>I311849</t>
  </si>
  <si>
    <t>I318848</t>
  </si>
  <si>
    <t>I395976</t>
  </si>
  <si>
    <t>I103596</t>
  </si>
  <si>
    <t>I259061</t>
  </si>
  <si>
    <t>I289392</t>
  </si>
  <si>
    <t>I973744</t>
  </si>
  <si>
    <t>I148614</t>
  </si>
  <si>
    <t>I150505</t>
  </si>
  <si>
    <t>I176246</t>
  </si>
  <si>
    <t>I261637</t>
  </si>
  <si>
    <t>I266072</t>
  </si>
  <si>
    <t>I283992</t>
  </si>
  <si>
    <t>I160266</t>
  </si>
  <si>
    <t>I253706</t>
  </si>
  <si>
    <t>I810843</t>
  </si>
  <si>
    <t>I134148</t>
  </si>
  <si>
    <t>I229383</t>
  </si>
  <si>
    <t>I266583</t>
  </si>
  <si>
    <t>I280514</t>
  </si>
  <si>
    <t>I287182</t>
  </si>
  <si>
    <t>I316056</t>
  </si>
  <si>
    <t>I128626</t>
  </si>
  <si>
    <t>I157931</t>
  </si>
  <si>
    <t>I176370</t>
  </si>
  <si>
    <t>I199844</t>
  </si>
  <si>
    <t>I253145</t>
  </si>
  <si>
    <t>I932052</t>
  </si>
  <si>
    <t>I176514</t>
  </si>
  <si>
    <t>I228819</t>
  </si>
  <si>
    <t>I317220</t>
  </si>
  <si>
    <t>I990653</t>
  </si>
  <si>
    <t>I123198</t>
  </si>
  <si>
    <t>I127616</t>
  </si>
  <si>
    <t>I170686</t>
  </si>
  <si>
    <t>I201484</t>
  </si>
  <si>
    <t>I276300</t>
  </si>
  <si>
    <t>I537563</t>
  </si>
  <si>
    <t>I913613</t>
  </si>
  <si>
    <t>I110136</t>
  </si>
  <si>
    <t>I177444</t>
  </si>
  <si>
    <t>I286061</t>
  </si>
  <si>
    <t>I319361</t>
  </si>
  <si>
    <t>I330315</t>
  </si>
  <si>
    <t>I155640</t>
  </si>
  <si>
    <t>I182479</t>
  </si>
  <si>
    <t>I237259</t>
  </si>
  <si>
    <t>I239685</t>
  </si>
  <si>
    <t>I244711</t>
  </si>
  <si>
    <t>I252950</t>
  </si>
  <si>
    <t>I291725</t>
  </si>
  <si>
    <t>I363662</t>
  </si>
  <si>
    <t>I121846</t>
  </si>
  <si>
    <t>I178338</t>
  </si>
  <si>
    <t>I192040</t>
  </si>
  <si>
    <t>I253866</t>
  </si>
  <si>
    <t>I259039</t>
  </si>
  <si>
    <t>I292883</t>
  </si>
  <si>
    <t>I139747</t>
  </si>
  <si>
    <t>I250786</t>
  </si>
  <si>
    <t>I251024</t>
  </si>
  <si>
    <t>I307338</t>
  </si>
  <si>
    <t>I765344</t>
  </si>
  <si>
    <t>I184246</t>
  </si>
  <si>
    <t>I233432</t>
  </si>
  <si>
    <t>I235851</t>
  </si>
  <si>
    <t>I236188</t>
  </si>
  <si>
    <t>I248785</t>
  </si>
  <si>
    <t>I287445</t>
  </si>
  <si>
    <t>I318422</t>
  </si>
  <si>
    <t>I504317</t>
  </si>
  <si>
    <t>I123998</t>
  </si>
  <si>
    <t>I279890</t>
  </si>
  <si>
    <t>I292369</t>
  </si>
  <si>
    <t>I526600</t>
  </si>
  <si>
    <t>I115862</t>
  </si>
  <si>
    <t>I117539</t>
  </si>
  <si>
    <t>I139059</t>
  </si>
  <si>
    <t>I176554</t>
  </si>
  <si>
    <t>I207429</t>
  </si>
  <si>
    <t>I232081</t>
  </si>
  <si>
    <t>I339979</t>
  </si>
  <si>
    <t>I380378</t>
  </si>
  <si>
    <t>I126670</t>
  </si>
  <si>
    <t>I143916</t>
  </si>
  <si>
    <t>I211007</t>
  </si>
  <si>
    <t>I220633</t>
  </si>
  <si>
    <t>I244525</t>
  </si>
  <si>
    <t>I260280</t>
  </si>
  <si>
    <t>I288639</t>
  </si>
  <si>
    <t>I933623</t>
  </si>
  <si>
    <t>I103264</t>
  </si>
  <si>
    <t>I125124</t>
  </si>
  <si>
    <t>I136036</t>
  </si>
  <si>
    <t>I167986</t>
  </si>
  <si>
    <t>I285409</t>
  </si>
  <si>
    <t>I299366</t>
  </si>
  <si>
    <t>I665287</t>
  </si>
  <si>
    <t>I795251</t>
  </si>
  <si>
    <t>I247986</t>
  </si>
  <si>
    <t>I260728</t>
  </si>
  <si>
    <t>I221041</t>
  </si>
  <si>
    <t>I295712</t>
  </si>
  <si>
    <t>I299815</t>
  </si>
  <si>
    <t>I811790</t>
  </si>
  <si>
    <t>I103715</t>
  </si>
  <si>
    <t>I282624</t>
  </si>
  <si>
    <t>I297243</t>
  </si>
  <si>
    <t>I307302</t>
  </si>
  <si>
    <t>I328263</t>
  </si>
  <si>
    <t>I399923</t>
  </si>
  <si>
    <t>I869144</t>
  </si>
  <si>
    <t>I155448</t>
  </si>
  <si>
    <t>I291821</t>
  </si>
  <si>
    <t>I304505</t>
  </si>
  <si>
    <t>I253707</t>
  </si>
  <si>
    <t>I289972</t>
  </si>
  <si>
    <t>I223410</t>
  </si>
  <si>
    <t>I239303</t>
  </si>
  <si>
    <t>I284663</t>
  </si>
  <si>
    <t>I310764</t>
  </si>
  <si>
    <t>I984094</t>
  </si>
  <si>
    <t>I329309</t>
  </si>
  <si>
    <t>I414748</t>
  </si>
  <si>
    <t>I504418</t>
  </si>
  <si>
    <t>I140941</t>
  </si>
  <si>
    <t>I145950</t>
  </si>
  <si>
    <t>I331255</t>
  </si>
  <si>
    <t>I635863</t>
  </si>
  <si>
    <t>I110863</t>
  </si>
  <si>
    <t>I156396</t>
  </si>
  <si>
    <t>I195139</t>
  </si>
  <si>
    <t>I197485</t>
  </si>
  <si>
    <t>I111885</t>
  </si>
  <si>
    <t>I176751</t>
  </si>
  <si>
    <t>I275229</t>
  </si>
  <si>
    <t>I537776</t>
  </si>
  <si>
    <t>I612951</t>
  </si>
  <si>
    <t>I107561</t>
  </si>
  <si>
    <t>I141156</t>
  </si>
  <si>
    <t>I144789</t>
  </si>
  <si>
    <t>I162742</t>
  </si>
  <si>
    <t>I165835</t>
  </si>
  <si>
    <t>I175718</t>
  </si>
  <si>
    <t>I236755</t>
  </si>
  <si>
    <t>I761305</t>
  </si>
  <si>
    <t>I117234</t>
  </si>
  <si>
    <t>I122887</t>
  </si>
  <si>
    <t>I136612</t>
  </si>
  <si>
    <t>I227270</t>
  </si>
  <si>
    <t>I302744</t>
  </si>
  <si>
    <t>I664547</t>
  </si>
  <si>
    <t>I200856</t>
  </si>
  <si>
    <t>I235037</t>
  </si>
  <si>
    <t>I257504</t>
  </si>
  <si>
    <t>I293412</t>
  </si>
  <si>
    <t>I297270</t>
  </si>
  <si>
    <t>I989622</t>
  </si>
  <si>
    <t>I125533</t>
  </si>
  <si>
    <t>I160194</t>
  </si>
  <si>
    <t>I325619</t>
  </si>
  <si>
    <t>I249807</t>
  </si>
  <si>
    <t>I437134</t>
  </si>
  <si>
    <t>I771414</t>
  </si>
  <si>
    <t>I288385</t>
  </si>
  <si>
    <t>I319795</t>
  </si>
  <si>
    <t>I328774</t>
  </si>
  <si>
    <t>I546886</t>
  </si>
  <si>
    <t>I656537</t>
  </si>
  <si>
    <t>I907754</t>
  </si>
  <si>
    <t>I974106</t>
  </si>
  <si>
    <t>I109824</t>
  </si>
  <si>
    <t>I106915</t>
  </si>
  <si>
    <t>I119262</t>
  </si>
  <si>
    <t>I147734</t>
  </si>
  <si>
    <t>I190889</t>
  </si>
  <si>
    <t>I198746</t>
  </si>
  <si>
    <t>I231062</t>
  </si>
  <si>
    <t>I244445</t>
  </si>
  <si>
    <t>I306740</t>
  </si>
  <si>
    <t>I310429</t>
  </si>
  <si>
    <t>I395632</t>
  </si>
  <si>
    <t>I278299</t>
  </si>
  <si>
    <t>I619128</t>
  </si>
  <si>
    <t>I712882</t>
  </si>
  <si>
    <t>I120515</t>
  </si>
  <si>
    <t>I138654</t>
  </si>
  <si>
    <t>I229027</t>
  </si>
  <si>
    <t>I249682</t>
  </si>
  <si>
    <t>I256485</t>
  </si>
  <si>
    <t>I172349</t>
  </si>
  <si>
    <t>I203880</t>
  </si>
  <si>
    <t>I238403</t>
  </si>
  <si>
    <t>I795590</t>
  </si>
  <si>
    <t>I134279</t>
  </si>
  <si>
    <t>I173033</t>
  </si>
  <si>
    <t>I184632</t>
  </si>
  <si>
    <t>I204946</t>
  </si>
  <si>
    <t>I322748</t>
  </si>
  <si>
    <t>I338359</t>
  </si>
  <si>
    <t>I964173</t>
  </si>
  <si>
    <t>I153481</t>
  </si>
  <si>
    <t>I155958</t>
  </si>
  <si>
    <t>I207089</t>
  </si>
  <si>
    <t>I627174</t>
  </si>
  <si>
    <t>I181742</t>
  </si>
  <si>
    <t>I215044</t>
  </si>
  <si>
    <t>I239753</t>
  </si>
  <si>
    <t>I788501</t>
  </si>
  <si>
    <t>I856190</t>
  </si>
  <si>
    <t>I134879</t>
  </si>
  <si>
    <t>I145533</t>
  </si>
  <si>
    <t>I147591</t>
  </si>
  <si>
    <t>I309393</t>
  </si>
  <si>
    <t>I180250</t>
  </si>
  <si>
    <t>I250414</t>
  </si>
  <si>
    <t>I284957</t>
  </si>
  <si>
    <t>I330396</t>
  </si>
  <si>
    <t>I197262</t>
  </si>
  <si>
    <t>I291779</t>
  </si>
  <si>
    <t>I328599</t>
  </si>
  <si>
    <t>I145668</t>
  </si>
  <si>
    <t>I228873</t>
  </si>
  <si>
    <t>I234591</t>
  </si>
  <si>
    <t>I243311</t>
  </si>
  <si>
    <t>I301107</t>
  </si>
  <si>
    <t>I328466</t>
  </si>
  <si>
    <t>I789424</t>
  </si>
  <si>
    <t>I152217</t>
  </si>
  <si>
    <t>I196493</t>
  </si>
  <si>
    <t>I218554</t>
  </si>
  <si>
    <t>I279621</t>
  </si>
  <si>
    <t>I315920</t>
  </si>
  <si>
    <t>I125078</t>
  </si>
  <si>
    <t>I139837</t>
  </si>
  <si>
    <t>I142348</t>
  </si>
  <si>
    <t>I168562</t>
  </si>
  <si>
    <t>I274795</t>
  </si>
  <si>
    <t>I613345</t>
  </si>
  <si>
    <t>I743449</t>
  </si>
  <si>
    <t>I896994</t>
  </si>
  <si>
    <t>I136069</t>
  </si>
  <si>
    <t>I174058</t>
  </si>
  <si>
    <t>I248154</t>
  </si>
  <si>
    <t>I264460</t>
  </si>
  <si>
    <t>I283132</t>
  </si>
  <si>
    <t>I105737</t>
  </si>
  <si>
    <t>I958799</t>
  </si>
  <si>
    <t>I155073</t>
  </si>
  <si>
    <t>I172381</t>
  </si>
  <si>
    <t>I312730</t>
  </si>
  <si>
    <t>I339525</t>
  </si>
  <si>
    <t>I477382</t>
  </si>
  <si>
    <t>I266070</t>
  </si>
  <si>
    <t>I348930</t>
  </si>
  <si>
    <t>I833379</t>
  </si>
  <si>
    <t>I236726</t>
  </si>
  <si>
    <t>I789374</t>
  </si>
  <si>
    <t>I865912</t>
  </si>
  <si>
    <t>I100793</t>
  </si>
  <si>
    <t>I182849</t>
  </si>
  <si>
    <t>I526958</t>
  </si>
  <si>
    <t>I742907</t>
  </si>
  <si>
    <t>I767878</t>
  </si>
  <si>
    <t>I802719</t>
  </si>
  <si>
    <t>I986488</t>
  </si>
  <si>
    <t>I168101</t>
  </si>
  <si>
    <t>I247908</t>
  </si>
  <si>
    <t>I359881</t>
  </si>
  <si>
    <t>I219678</t>
  </si>
  <si>
    <t>I308961</t>
  </si>
  <si>
    <t>I330454</t>
  </si>
  <si>
    <t>I334774</t>
  </si>
  <si>
    <t>I132711</t>
  </si>
  <si>
    <t>I137685</t>
  </si>
  <si>
    <t>I221737</t>
  </si>
  <si>
    <t>I223205</t>
  </si>
  <si>
    <t>I227528</t>
  </si>
  <si>
    <t>I259713</t>
  </si>
  <si>
    <t>I305743</t>
  </si>
  <si>
    <t>I914583</t>
  </si>
  <si>
    <t>I177782</t>
  </si>
  <si>
    <t>I202051</t>
  </si>
  <si>
    <t>I221715</t>
  </si>
  <si>
    <t>I281903</t>
  </si>
  <si>
    <t>I392591</t>
  </si>
  <si>
    <t>I128667</t>
  </si>
  <si>
    <t>I157930</t>
  </si>
  <si>
    <t>I190262</t>
  </si>
  <si>
    <t>I753083</t>
  </si>
  <si>
    <t>I830912</t>
  </si>
  <si>
    <t>I131391</t>
  </si>
  <si>
    <t>I206043</t>
  </si>
  <si>
    <t>I213514</t>
  </si>
  <si>
    <t>I256231</t>
  </si>
  <si>
    <t>I109684</t>
  </si>
  <si>
    <t>I111440</t>
  </si>
  <si>
    <t>I286030</t>
  </si>
  <si>
    <t>I114000</t>
  </si>
  <si>
    <t>I249223</t>
  </si>
  <si>
    <t>I267453</t>
  </si>
  <si>
    <t>I105200</t>
  </si>
  <si>
    <t>I154008</t>
  </si>
  <si>
    <t>I337046</t>
  </si>
  <si>
    <t>I227743</t>
  </si>
  <si>
    <t>I286656</t>
  </si>
  <si>
    <t>I323277</t>
  </si>
  <si>
    <t>I331753</t>
  </si>
  <si>
    <t>I623121</t>
  </si>
  <si>
    <t>I713320</t>
  </si>
  <si>
    <t>I142340</t>
  </si>
  <si>
    <t>I158028</t>
  </si>
  <si>
    <t>I172298</t>
  </si>
  <si>
    <t>I215669</t>
  </si>
  <si>
    <t>I247883</t>
  </si>
  <si>
    <t>I283443</t>
  </si>
  <si>
    <t>I323948</t>
  </si>
  <si>
    <t>I880555</t>
  </si>
  <si>
    <t>I162737</t>
  </si>
  <si>
    <t>I198579</t>
  </si>
  <si>
    <t>I174681</t>
  </si>
  <si>
    <t>I175188</t>
  </si>
  <si>
    <t>I180106</t>
  </si>
  <si>
    <t>I192819</t>
  </si>
  <si>
    <t>I218263</t>
  </si>
  <si>
    <t>I266640</t>
  </si>
  <si>
    <t>I292698</t>
  </si>
  <si>
    <t>I500621</t>
  </si>
  <si>
    <t>I644610</t>
  </si>
  <si>
    <t>I907229</t>
  </si>
  <si>
    <t>I139191</t>
  </si>
  <si>
    <t>I145734</t>
  </si>
  <si>
    <t>I159376</t>
  </si>
  <si>
    <t>I208859</t>
  </si>
  <si>
    <t>I159844</t>
  </si>
  <si>
    <t>I162107</t>
  </si>
  <si>
    <t>I199547</t>
  </si>
  <si>
    <t>I230370</t>
  </si>
  <si>
    <t>I249962</t>
  </si>
  <si>
    <t>I106860</t>
  </si>
  <si>
    <t>I163528</t>
  </si>
  <si>
    <t>I231792</t>
  </si>
  <si>
    <t>I132264</t>
  </si>
  <si>
    <t>I205542</t>
  </si>
  <si>
    <t>I222791</t>
  </si>
  <si>
    <t>I264668</t>
  </si>
  <si>
    <t>I280387</t>
  </si>
  <si>
    <t>I300373</t>
  </si>
  <si>
    <t>I453767</t>
  </si>
  <si>
    <t>I140282</t>
  </si>
  <si>
    <t>I183747</t>
  </si>
  <si>
    <t>I263871</t>
  </si>
  <si>
    <t>I330371</t>
  </si>
  <si>
    <t>I103368</t>
  </si>
  <si>
    <t>I161715</t>
  </si>
  <si>
    <t>I166626</t>
  </si>
  <si>
    <t>I220277</t>
  </si>
  <si>
    <t>I306408</t>
  </si>
  <si>
    <t>I227454</t>
  </si>
  <si>
    <t>I283591</t>
  </si>
  <si>
    <t>I990095</t>
  </si>
  <si>
    <t>I109938</t>
  </si>
  <si>
    <t>I225327</t>
  </si>
  <si>
    <t>I247534</t>
  </si>
  <si>
    <t>I303719</t>
  </si>
  <si>
    <t>I207643</t>
  </si>
  <si>
    <t>I318377</t>
  </si>
  <si>
    <t>I105770</t>
  </si>
  <si>
    <t>I121110</t>
  </si>
  <si>
    <t>I143233</t>
  </si>
  <si>
    <t>I245998</t>
  </si>
  <si>
    <t>I262474</t>
  </si>
  <si>
    <t>I268013</t>
  </si>
  <si>
    <t>I276206</t>
  </si>
  <si>
    <t>I133116</t>
  </si>
  <si>
    <t>I173875</t>
  </si>
  <si>
    <t>I192281</t>
  </si>
  <si>
    <t>I212720</t>
  </si>
  <si>
    <t>I169342</t>
  </si>
  <si>
    <t>I257460</t>
  </si>
  <si>
    <t>I266757</t>
  </si>
  <si>
    <t>I284445</t>
  </si>
  <si>
    <t>I299654</t>
  </si>
  <si>
    <t>I335956</t>
  </si>
  <si>
    <t>I868512</t>
  </si>
  <si>
    <t>I117673</t>
  </si>
  <si>
    <t>I132371</t>
  </si>
  <si>
    <t>I178380</t>
  </si>
  <si>
    <t>I198546</t>
  </si>
  <si>
    <t>I302199</t>
  </si>
  <si>
    <t>I776367</t>
  </si>
  <si>
    <t>I148030</t>
  </si>
  <si>
    <t>I174999</t>
  </si>
  <si>
    <t>I195795</t>
  </si>
  <si>
    <t>I226485</t>
  </si>
  <si>
    <t>I231266</t>
  </si>
  <si>
    <t>I315422</t>
  </si>
  <si>
    <t>I110965</t>
  </si>
  <si>
    <t>I517431</t>
  </si>
  <si>
    <t>I546394</t>
  </si>
  <si>
    <t>I617812</t>
  </si>
  <si>
    <t>I177200</t>
  </si>
  <si>
    <t>I199302</t>
  </si>
  <si>
    <t>I239492</t>
  </si>
  <si>
    <t>I247504</t>
  </si>
  <si>
    <t>I259399</t>
  </si>
  <si>
    <t>I265426</t>
  </si>
  <si>
    <t>I725938</t>
  </si>
  <si>
    <t>I888427</t>
  </si>
  <si>
    <t>I101152</t>
  </si>
  <si>
    <t>I320477</t>
  </si>
  <si>
    <t>I335616</t>
  </si>
  <si>
    <t>I688566</t>
  </si>
  <si>
    <t>I191633</t>
  </si>
  <si>
    <t>I254330</t>
  </si>
  <si>
    <t>I308951</t>
  </si>
  <si>
    <t>I360069</t>
  </si>
  <si>
    <t>I192436</t>
  </si>
  <si>
    <t>I207690</t>
  </si>
  <si>
    <t>I309846</t>
  </si>
  <si>
    <t>I449060</t>
  </si>
  <si>
    <t>I127282</t>
  </si>
  <si>
    <t>I139207</t>
  </si>
  <si>
    <t>I144366</t>
  </si>
  <si>
    <t>I255425</t>
  </si>
  <si>
    <t>I256151</t>
  </si>
  <si>
    <t>I482432</t>
  </si>
  <si>
    <t>I217053</t>
  </si>
  <si>
    <t>I277078</t>
  </si>
  <si>
    <t>I290772</t>
  </si>
  <si>
    <t>I497262</t>
  </si>
  <si>
    <t>I502816</t>
  </si>
  <si>
    <t>I141178</t>
  </si>
  <si>
    <t>I156483</t>
  </si>
  <si>
    <t>I222910</t>
  </si>
  <si>
    <t>I224038</t>
  </si>
  <si>
    <t>I236683</t>
  </si>
  <si>
    <t>I276926</t>
  </si>
  <si>
    <t>I367525</t>
  </si>
  <si>
    <t>I481063</t>
  </si>
  <si>
    <t>I654750</t>
  </si>
  <si>
    <t>I147428</t>
  </si>
  <si>
    <t>I288084</t>
  </si>
  <si>
    <t>I182240</t>
  </si>
  <si>
    <t>I197827</t>
  </si>
  <si>
    <t>I247471</t>
  </si>
  <si>
    <t>I108180</t>
  </si>
  <si>
    <t>I134675</t>
  </si>
  <si>
    <t>I141055</t>
  </si>
  <si>
    <t>I192835</t>
  </si>
  <si>
    <t>I225017</t>
  </si>
  <si>
    <t>I179759</t>
  </si>
  <si>
    <t>I773952</t>
  </si>
  <si>
    <t>I103917</t>
  </si>
  <si>
    <t>I132170</t>
  </si>
  <si>
    <t>I132893</t>
  </si>
  <si>
    <t>I229355</t>
  </si>
  <si>
    <t>I479937</t>
  </si>
  <si>
    <t>I510694</t>
  </si>
  <si>
    <t>I109024</t>
  </si>
  <si>
    <t>I119466</t>
  </si>
  <si>
    <t>I163206</t>
  </si>
  <si>
    <t>I184175</t>
  </si>
  <si>
    <t>I315978</t>
  </si>
  <si>
    <t>I144375</t>
  </si>
  <si>
    <t>I147688</t>
  </si>
  <si>
    <t>I329561</t>
  </si>
  <si>
    <t>I115338</t>
  </si>
  <si>
    <t>I214284</t>
  </si>
  <si>
    <t>I254379</t>
  </si>
  <si>
    <t>I262542</t>
  </si>
  <si>
    <t>I321968</t>
  </si>
  <si>
    <t>I758949</t>
  </si>
  <si>
    <t>I106997</t>
  </si>
  <si>
    <t>I335631</t>
  </si>
  <si>
    <t>I133667</t>
  </si>
  <si>
    <t>I300878</t>
  </si>
  <si>
    <t>I892880</t>
  </si>
  <si>
    <t>I132661</t>
  </si>
  <si>
    <t>I336363</t>
  </si>
  <si>
    <t>I202697</t>
  </si>
  <si>
    <t>I208213</t>
  </si>
  <si>
    <t>I304272</t>
  </si>
  <si>
    <t>I304483</t>
  </si>
  <si>
    <t>I859051</t>
  </si>
  <si>
    <t>I998839</t>
  </si>
  <si>
    <t>I141877</t>
  </si>
  <si>
    <t>I143754</t>
  </si>
  <si>
    <t>I199562</t>
  </si>
  <si>
    <t>I207950</t>
  </si>
  <si>
    <t>I230886</t>
  </si>
  <si>
    <t>I288980</t>
  </si>
  <si>
    <t>I297697</t>
  </si>
  <si>
    <t>I329049</t>
  </si>
  <si>
    <t>I637277</t>
  </si>
  <si>
    <t>I109229</t>
  </si>
  <si>
    <t>I128121</t>
  </si>
  <si>
    <t>I302654</t>
  </si>
  <si>
    <t>I332242</t>
  </si>
  <si>
    <t>I112705</t>
  </si>
  <si>
    <t>I254977</t>
  </si>
  <si>
    <t>I315400</t>
  </si>
  <si>
    <t>I371992</t>
  </si>
  <si>
    <t>I535226</t>
  </si>
  <si>
    <t>I831550</t>
  </si>
  <si>
    <t>I846225</t>
  </si>
  <si>
    <t>I143441</t>
  </si>
  <si>
    <t>I313384</t>
  </si>
  <si>
    <t>I754891</t>
  </si>
  <si>
    <t>I904168</t>
  </si>
  <si>
    <t>I109352</t>
  </si>
  <si>
    <t>I228263</t>
  </si>
  <si>
    <t>I637675</t>
  </si>
  <si>
    <t>I757911</t>
  </si>
  <si>
    <t>I815372</t>
  </si>
  <si>
    <t>I170466</t>
  </si>
  <si>
    <t>I285454</t>
  </si>
  <si>
    <t>I463821</t>
  </si>
  <si>
    <t>I208631</t>
  </si>
  <si>
    <t>I278329</t>
  </si>
  <si>
    <t>I200302</t>
  </si>
  <si>
    <t>I276581</t>
  </si>
  <si>
    <t>I280218</t>
  </si>
  <si>
    <t>I588887</t>
  </si>
  <si>
    <t>I909616</t>
  </si>
  <si>
    <t>I962867</t>
  </si>
  <si>
    <t>I173532</t>
  </si>
  <si>
    <t>I230405</t>
  </si>
  <si>
    <t>I270546</t>
  </si>
  <si>
    <t>I280654</t>
  </si>
  <si>
    <t>I313110</t>
  </si>
  <si>
    <t>I352678</t>
  </si>
  <si>
    <t>I393459</t>
  </si>
  <si>
    <t>I656535</t>
  </si>
  <si>
    <t>I121818</t>
  </si>
  <si>
    <t>I140109</t>
  </si>
  <si>
    <t>I193336</t>
  </si>
  <si>
    <t>I207706</t>
  </si>
  <si>
    <t>I249964</t>
  </si>
  <si>
    <t>I433335</t>
  </si>
  <si>
    <t>I122973</t>
  </si>
  <si>
    <t>I139682</t>
  </si>
  <si>
    <t>I232968</t>
  </si>
  <si>
    <t>I296251</t>
  </si>
  <si>
    <t>I885979</t>
  </si>
  <si>
    <t>I290172</t>
  </si>
  <si>
    <t>I327095</t>
  </si>
  <si>
    <t>I128387</t>
  </si>
  <si>
    <t>I257625</t>
  </si>
  <si>
    <t>I268477</t>
  </si>
  <si>
    <t>I763131</t>
  </si>
  <si>
    <t>I127144</t>
  </si>
  <si>
    <t>I262510</t>
  </si>
  <si>
    <t>I333167</t>
  </si>
  <si>
    <t>I436005</t>
  </si>
  <si>
    <t>I137657</t>
  </si>
  <si>
    <t>I153499</t>
  </si>
  <si>
    <t>I155076</t>
  </si>
  <si>
    <t>I269324</t>
  </si>
  <si>
    <t>I315095</t>
  </si>
  <si>
    <t>I190493</t>
  </si>
  <si>
    <t>I225004</t>
  </si>
  <si>
    <t>I533529</t>
  </si>
  <si>
    <t>I140537</t>
  </si>
  <si>
    <t>I144146</t>
  </si>
  <si>
    <t>I236941</t>
  </si>
  <si>
    <t>I259093</t>
  </si>
  <si>
    <t>I273219</t>
  </si>
  <si>
    <t>I281772</t>
  </si>
  <si>
    <t>I285089</t>
  </si>
  <si>
    <t>I323427</t>
  </si>
  <si>
    <t>I767583</t>
  </si>
  <si>
    <t>I109014</t>
  </si>
  <si>
    <t>I275519</t>
  </si>
  <si>
    <t>I293529</t>
  </si>
  <si>
    <t>I529969</t>
  </si>
  <si>
    <t>I683611</t>
  </si>
  <si>
    <t>I841597</t>
  </si>
  <si>
    <t>I180332</t>
  </si>
  <si>
    <t>I180666</t>
  </si>
  <si>
    <t>I302951</t>
  </si>
  <si>
    <t>I307317</t>
  </si>
  <si>
    <t>I474661</t>
  </si>
  <si>
    <t>I102100</t>
  </si>
  <si>
    <t>I135368</t>
  </si>
  <si>
    <t>I163422</t>
  </si>
  <si>
    <t>I249926</t>
  </si>
  <si>
    <t>I287209</t>
  </si>
  <si>
    <t>I294123</t>
  </si>
  <si>
    <t>I313454</t>
  </si>
  <si>
    <t>I390879</t>
  </si>
  <si>
    <t>I118248</t>
  </si>
  <si>
    <t>I162411</t>
  </si>
  <si>
    <t>I184884</t>
  </si>
  <si>
    <t>I207413</t>
  </si>
  <si>
    <t>I246166</t>
  </si>
  <si>
    <t>I572568</t>
  </si>
  <si>
    <t>I819275</t>
  </si>
  <si>
    <t>I133365</t>
  </si>
  <si>
    <t>I179438</t>
  </si>
  <si>
    <t>I238464</t>
  </si>
  <si>
    <t>I588534</t>
  </si>
  <si>
    <t>I675065</t>
  </si>
  <si>
    <t>I992454</t>
  </si>
  <si>
    <t>I135286</t>
  </si>
  <si>
    <t>I166306</t>
  </si>
  <si>
    <t>I281217</t>
  </si>
  <si>
    <t>I333383</t>
  </si>
  <si>
    <t>I451225</t>
  </si>
  <si>
    <t>I823672</t>
  </si>
  <si>
    <t>I112083</t>
  </si>
  <si>
    <t>I126095</t>
  </si>
  <si>
    <t>I141190</t>
  </si>
  <si>
    <t>I213283</t>
  </si>
  <si>
    <t>I255980</t>
  </si>
  <si>
    <t>I335659</t>
  </si>
  <si>
    <t>I149766</t>
  </si>
  <si>
    <t>I150282</t>
  </si>
  <si>
    <t>I192025</t>
  </si>
  <si>
    <t>I201864</t>
  </si>
  <si>
    <t>I256543</t>
  </si>
  <si>
    <t>I335541</t>
  </si>
  <si>
    <t>I745019</t>
  </si>
  <si>
    <t>I121631</t>
  </si>
  <si>
    <t>I205330</t>
  </si>
  <si>
    <t>I426757</t>
  </si>
  <si>
    <t>I449374</t>
  </si>
  <si>
    <t>I163721</t>
  </si>
  <si>
    <t>I233231</t>
  </si>
  <si>
    <t>I289344</t>
  </si>
  <si>
    <t>I323969</t>
  </si>
  <si>
    <t>I613315</t>
  </si>
  <si>
    <t>I176112</t>
  </si>
  <si>
    <t>I197676</t>
  </si>
  <si>
    <t>I215573</t>
  </si>
  <si>
    <t>I263390</t>
  </si>
  <si>
    <t>I293800</t>
  </si>
  <si>
    <t>I349832</t>
  </si>
  <si>
    <t>I457448</t>
  </si>
  <si>
    <t>I241422</t>
  </si>
  <si>
    <t>I248042</t>
  </si>
  <si>
    <t>I251930</t>
  </si>
  <si>
    <t>I121868</t>
  </si>
  <si>
    <t>I233245</t>
  </si>
  <si>
    <t>I569333</t>
  </si>
  <si>
    <t>I983925</t>
  </si>
  <si>
    <t>I107644</t>
  </si>
  <si>
    <t>I165509</t>
  </si>
  <si>
    <t>I232447</t>
  </si>
  <si>
    <t>I299645</t>
  </si>
  <si>
    <t>I326054</t>
  </si>
  <si>
    <t>I806416</t>
  </si>
  <si>
    <t>I112960</t>
  </si>
  <si>
    <t>I180746</t>
  </si>
  <si>
    <t>I187578</t>
  </si>
  <si>
    <t>I243941</t>
  </si>
  <si>
    <t>I268040</t>
  </si>
  <si>
    <t>I328192</t>
  </si>
  <si>
    <t>I759716</t>
  </si>
  <si>
    <t>I956680</t>
  </si>
  <si>
    <t>I148061</t>
  </si>
  <si>
    <t>I159071</t>
  </si>
  <si>
    <t>I260784</t>
  </si>
  <si>
    <t>I279033</t>
  </si>
  <si>
    <t>I329009</t>
  </si>
  <si>
    <t>I333997</t>
  </si>
  <si>
    <t>I148194</t>
  </si>
  <si>
    <t>I257437</t>
  </si>
  <si>
    <t>I260545</t>
  </si>
  <si>
    <t>I401746</t>
  </si>
  <si>
    <t>I403397</t>
  </si>
  <si>
    <t>I733066</t>
  </si>
  <si>
    <t>I741972</t>
  </si>
  <si>
    <t>I102610</t>
  </si>
  <si>
    <t>I126102</t>
  </si>
  <si>
    <t>I291610</t>
  </si>
  <si>
    <t>I465087</t>
  </si>
  <si>
    <t>I610232</t>
  </si>
  <si>
    <t>I946492</t>
  </si>
  <si>
    <t>I164727</t>
  </si>
  <si>
    <t>I225402</t>
  </si>
  <si>
    <t>I251452</t>
  </si>
  <si>
    <t>I260047</t>
  </si>
  <si>
    <t>I265689</t>
  </si>
  <si>
    <t>I143372</t>
  </si>
  <si>
    <t>I191664</t>
  </si>
  <si>
    <t>I199878</t>
  </si>
  <si>
    <t>I266121</t>
  </si>
  <si>
    <t>I118213</t>
  </si>
  <si>
    <t>I126489</t>
  </si>
  <si>
    <t>I184992</t>
  </si>
  <si>
    <t>I193049</t>
  </si>
  <si>
    <t>I225296</t>
  </si>
  <si>
    <t>I281070</t>
  </si>
  <si>
    <t>I715444</t>
  </si>
  <si>
    <t>I114077</t>
  </si>
  <si>
    <t>I132001</t>
  </si>
  <si>
    <t>I135183</t>
  </si>
  <si>
    <t>I335087</t>
  </si>
  <si>
    <t>I703816</t>
  </si>
  <si>
    <t>I838599</t>
  </si>
  <si>
    <t>I111917</t>
  </si>
  <si>
    <t>I118402</t>
  </si>
  <si>
    <t>I140460</t>
  </si>
  <si>
    <t>I161945</t>
  </si>
  <si>
    <t>I353272</t>
  </si>
  <si>
    <t>I401939</t>
  </si>
  <si>
    <t>I992506</t>
  </si>
  <si>
    <t>I252815</t>
  </si>
  <si>
    <t>I294156</t>
  </si>
  <si>
    <t>I789368</t>
  </si>
  <si>
    <t>I942927</t>
  </si>
  <si>
    <t>I151701</t>
  </si>
  <si>
    <t>I182803</t>
  </si>
  <si>
    <t>I210526</t>
  </si>
  <si>
    <t>I215184</t>
  </si>
  <si>
    <t>I237508</t>
  </si>
  <si>
    <t>I353294</t>
  </si>
  <si>
    <t>I725048</t>
  </si>
  <si>
    <t>I116601</t>
  </si>
  <si>
    <t>I261811</t>
  </si>
  <si>
    <t>I288981</t>
  </si>
  <si>
    <t>I317983</t>
  </si>
  <si>
    <t>I333444</t>
  </si>
  <si>
    <t>I486233</t>
  </si>
  <si>
    <t>I123490</t>
  </si>
  <si>
    <t>I141384</t>
  </si>
  <si>
    <t>I272974</t>
  </si>
  <si>
    <t>I285498</t>
  </si>
  <si>
    <t>I309213</t>
  </si>
  <si>
    <t>I543510</t>
  </si>
  <si>
    <t>I617738</t>
  </si>
  <si>
    <t>I142939</t>
  </si>
  <si>
    <t>I143267</t>
  </si>
  <si>
    <t>I195815</t>
  </si>
  <si>
    <t>I201923</t>
  </si>
  <si>
    <t>I301962</t>
  </si>
  <si>
    <t>I738149</t>
  </si>
  <si>
    <t>I740676</t>
  </si>
  <si>
    <t>I146518</t>
  </si>
  <si>
    <t>I153578</t>
  </si>
  <si>
    <t>I183240</t>
  </si>
  <si>
    <t>I236439</t>
  </si>
  <si>
    <t>I291704</t>
  </si>
  <si>
    <t>I315203</t>
  </si>
  <si>
    <t>I316775</t>
  </si>
  <si>
    <t>I739573</t>
  </si>
  <si>
    <t>I174942</t>
  </si>
  <si>
    <t>I338153</t>
  </si>
  <si>
    <t>I631189</t>
  </si>
  <si>
    <t>I953834</t>
  </si>
  <si>
    <t>I292157</t>
  </si>
  <si>
    <t>I293171</t>
  </si>
  <si>
    <t>I447913</t>
  </si>
  <si>
    <t>I473341</t>
  </si>
  <si>
    <t>I621864</t>
  </si>
  <si>
    <t>I788763</t>
  </si>
  <si>
    <t>I846632</t>
  </si>
  <si>
    <t>I127024</t>
  </si>
  <si>
    <t>I163620</t>
  </si>
  <si>
    <t>I192587</t>
  </si>
  <si>
    <t>I204229</t>
  </si>
  <si>
    <t>I282574</t>
  </si>
  <si>
    <t>I927649</t>
  </si>
  <si>
    <t>I157056</t>
  </si>
  <si>
    <t>I340006</t>
  </si>
  <si>
    <t>I158873</t>
  </si>
  <si>
    <t>I251648</t>
  </si>
  <si>
    <t>I601645</t>
  </si>
  <si>
    <t>I941707</t>
  </si>
  <si>
    <t>I131648</t>
  </si>
  <si>
    <t>I174574</t>
  </si>
  <si>
    <t>I183229</t>
  </si>
  <si>
    <t>I229333</t>
  </si>
  <si>
    <t>I193884</t>
  </si>
  <si>
    <t>I228443</t>
  </si>
  <si>
    <t>I270491</t>
  </si>
  <si>
    <t>I438142</t>
  </si>
  <si>
    <t>I133545</t>
  </si>
  <si>
    <t>I183583</t>
  </si>
  <si>
    <t>I187125</t>
  </si>
  <si>
    <t>I268075</t>
  </si>
  <si>
    <t>I268616</t>
  </si>
  <si>
    <t>I924055</t>
  </si>
  <si>
    <t>I109901</t>
  </si>
  <si>
    <t>I223461</t>
  </si>
  <si>
    <t>I240951</t>
  </si>
  <si>
    <t>I265066</t>
  </si>
  <si>
    <t>I339216</t>
  </si>
  <si>
    <t>I144218</t>
  </si>
  <si>
    <t>I193684</t>
  </si>
  <si>
    <t>I194823</t>
  </si>
  <si>
    <t>I319220</t>
  </si>
  <si>
    <t>I842493</t>
  </si>
  <si>
    <t>I141382</t>
  </si>
  <si>
    <t>I142568</t>
  </si>
  <si>
    <t>I233406</t>
  </si>
  <si>
    <t>I278368</t>
  </si>
  <si>
    <t>I515485</t>
  </si>
  <si>
    <t>I769140</t>
  </si>
  <si>
    <t>I103248</t>
  </si>
  <si>
    <t>I113079</t>
  </si>
  <si>
    <t>I126431</t>
  </si>
  <si>
    <t>I166617</t>
  </si>
  <si>
    <t>I906841</t>
  </si>
  <si>
    <t>I104473</t>
  </si>
  <si>
    <t>I155911</t>
  </si>
  <si>
    <t>I191945</t>
  </si>
  <si>
    <t>I327849</t>
  </si>
  <si>
    <t>I179102</t>
  </si>
  <si>
    <t>I291470</t>
  </si>
  <si>
    <t>I299925</t>
  </si>
  <si>
    <t>I733060</t>
  </si>
  <si>
    <t>I137934</t>
  </si>
  <si>
    <t>I223051</t>
  </si>
  <si>
    <t>I227538</t>
  </si>
  <si>
    <t>I309510</t>
  </si>
  <si>
    <t>I338238</t>
  </si>
  <si>
    <t>I339450</t>
  </si>
  <si>
    <t>I472275</t>
  </si>
  <si>
    <t>I704328</t>
  </si>
  <si>
    <t>I100466</t>
  </si>
  <si>
    <t>I170928</t>
  </si>
  <si>
    <t>I260507</t>
  </si>
  <si>
    <t>I278935</t>
  </si>
  <si>
    <t>I293078</t>
  </si>
  <si>
    <t>I885570</t>
  </si>
  <si>
    <t>I112064</t>
  </si>
  <si>
    <t>I184399</t>
  </si>
  <si>
    <t>I178585</t>
  </si>
  <si>
    <t>I213589</t>
  </si>
  <si>
    <t>I145501</t>
  </si>
  <si>
    <t>I154516</t>
  </si>
  <si>
    <t>I162186</t>
  </si>
  <si>
    <t>I283957</t>
  </si>
  <si>
    <t>I916921</t>
  </si>
  <si>
    <t>I261374</t>
  </si>
  <si>
    <t>I299788</t>
  </si>
  <si>
    <t>I680856</t>
  </si>
  <si>
    <t>I828106</t>
  </si>
  <si>
    <t>I115416</t>
  </si>
  <si>
    <t>I224371</t>
  </si>
  <si>
    <t>I307645</t>
  </si>
  <si>
    <t>I337563</t>
  </si>
  <si>
    <t>I559295</t>
  </si>
  <si>
    <t>I106674</t>
  </si>
  <si>
    <t>I145520</t>
  </si>
  <si>
    <t>I260137</t>
  </si>
  <si>
    <t>I279030</t>
  </si>
  <si>
    <t>I293442</t>
  </si>
  <si>
    <t>I306735</t>
  </si>
  <si>
    <t>I759120</t>
  </si>
  <si>
    <t>I102521</t>
  </si>
  <si>
    <t>I120850</t>
  </si>
  <si>
    <t>I147044</t>
  </si>
  <si>
    <t>I156934</t>
  </si>
  <si>
    <t>I162813</t>
  </si>
  <si>
    <t>I215907</t>
  </si>
  <si>
    <t>I221242</t>
  </si>
  <si>
    <t>I276670</t>
  </si>
  <si>
    <t>I337678</t>
  </si>
  <si>
    <t>I342850</t>
  </si>
  <si>
    <t>I609583</t>
  </si>
  <si>
    <t>I145216</t>
  </si>
  <si>
    <t>I174250</t>
  </si>
  <si>
    <t>I184156</t>
  </si>
  <si>
    <t>I278554</t>
  </si>
  <si>
    <t>I295552</t>
  </si>
  <si>
    <t>I147716</t>
  </si>
  <si>
    <t>I818298</t>
  </si>
  <si>
    <t>I876463</t>
  </si>
  <si>
    <t>I117926</t>
  </si>
  <si>
    <t>I118678</t>
  </si>
  <si>
    <t>I961655</t>
  </si>
  <si>
    <t>I101658</t>
  </si>
  <si>
    <t>I119979</t>
  </si>
  <si>
    <t>I139848</t>
  </si>
  <si>
    <t>I221217</t>
  </si>
  <si>
    <t>I244311</t>
  </si>
  <si>
    <t>I308263</t>
  </si>
  <si>
    <t>I748092</t>
  </si>
  <si>
    <t>I769746</t>
  </si>
  <si>
    <t>I146110</t>
  </si>
  <si>
    <t>I246845</t>
  </si>
  <si>
    <t>I258993</t>
  </si>
  <si>
    <t>I316629</t>
  </si>
  <si>
    <t>I829630</t>
  </si>
  <si>
    <t>I952079</t>
  </si>
  <si>
    <t>I138016</t>
  </si>
  <si>
    <t>I228933</t>
  </si>
  <si>
    <t>I236042</t>
  </si>
  <si>
    <t>I239037</t>
  </si>
  <si>
    <t>I269415</t>
  </si>
  <si>
    <t>I291579</t>
  </si>
  <si>
    <t>I518691</t>
  </si>
  <si>
    <t>I120030</t>
  </si>
  <si>
    <t>I192193</t>
  </si>
  <si>
    <t>I271897</t>
  </si>
  <si>
    <t>I316344</t>
  </si>
  <si>
    <t>I973848</t>
  </si>
  <si>
    <t>I108125</t>
  </si>
  <si>
    <t>I221992</t>
  </si>
  <si>
    <t>I236380</t>
  </si>
  <si>
    <t>I510579</t>
  </si>
  <si>
    <t>I189963</t>
  </si>
  <si>
    <t>I248896</t>
  </si>
  <si>
    <t>I256048</t>
  </si>
  <si>
    <t>I317937</t>
  </si>
  <si>
    <t>I320916</t>
  </si>
  <si>
    <t>I539167</t>
  </si>
  <si>
    <t>I670680</t>
  </si>
  <si>
    <t>I146548</t>
  </si>
  <si>
    <t>I152888</t>
  </si>
  <si>
    <t>I269524</t>
  </si>
  <si>
    <t>I713758</t>
  </si>
  <si>
    <t>I806397</t>
  </si>
  <si>
    <t>I921064</t>
  </si>
  <si>
    <t>I155577</t>
  </si>
  <si>
    <t>I223449</t>
  </si>
  <si>
    <t>I354486</t>
  </si>
  <si>
    <t>I433905</t>
  </si>
  <si>
    <t>I256494</t>
  </si>
  <si>
    <t>I297517</t>
  </si>
  <si>
    <t>I321015</t>
  </si>
  <si>
    <t>I572573</t>
  </si>
  <si>
    <t>I182326</t>
  </si>
  <si>
    <t>I237136</t>
  </si>
  <si>
    <t>I539829</t>
  </si>
  <si>
    <t>I162679</t>
  </si>
  <si>
    <t>I230511</t>
  </si>
  <si>
    <t>I134374</t>
  </si>
  <si>
    <t>I137332</t>
  </si>
  <si>
    <t>I140097</t>
  </si>
  <si>
    <t>I147035</t>
  </si>
  <si>
    <t>I320267</t>
  </si>
  <si>
    <t>I414032</t>
  </si>
  <si>
    <t>I102776</t>
  </si>
  <si>
    <t>I230980</t>
  </si>
  <si>
    <t>I291375</t>
  </si>
  <si>
    <t>I302650</t>
  </si>
  <si>
    <t>I309503</t>
  </si>
  <si>
    <t>I318292</t>
  </si>
  <si>
    <t>I166156</t>
  </si>
  <si>
    <t>I208192</t>
  </si>
  <si>
    <t>I215752</t>
  </si>
  <si>
    <t>I253061</t>
  </si>
  <si>
    <t>I284169</t>
  </si>
  <si>
    <t>I156332</t>
  </si>
  <si>
    <t>I171065</t>
  </si>
  <si>
    <t>I184483</t>
  </si>
  <si>
    <t>I242050</t>
  </si>
  <si>
    <t>I260807</t>
  </si>
  <si>
    <t>I305973</t>
  </si>
  <si>
    <t>I358942</t>
  </si>
  <si>
    <t>I695490</t>
  </si>
  <si>
    <t>I758084</t>
  </si>
  <si>
    <t>I124922</t>
  </si>
  <si>
    <t>I146384</t>
  </si>
  <si>
    <t>I159121</t>
  </si>
  <si>
    <t>I237041</t>
  </si>
  <si>
    <t>I340662</t>
  </si>
  <si>
    <t>I149659</t>
  </si>
  <si>
    <t>I165687</t>
  </si>
  <si>
    <t>I189789</t>
  </si>
  <si>
    <t>I275036</t>
  </si>
  <si>
    <t>I334956</t>
  </si>
  <si>
    <t>I335519</t>
  </si>
  <si>
    <t>I472551</t>
  </si>
  <si>
    <t>I235944</t>
  </si>
  <si>
    <t>I376269</t>
  </si>
  <si>
    <t>I424872</t>
  </si>
  <si>
    <t>I722991</t>
  </si>
  <si>
    <t>I212744</t>
  </si>
  <si>
    <t>I240256</t>
  </si>
  <si>
    <t>I250922</t>
  </si>
  <si>
    <t>I768380</t>
  </si>
  <si>
    <t>I157335</t>
  </si>
  <si>
    <t>I174249</t>
  </si>
  <si>
    <t>I383351</t>
  </si>
  <si>
    <t>I104033</t>
  </si>
  <si>
    <t>I202345</t>
  </si>
  <si>
    <t>I206495</t>
  </si>
  <si>
    <t>I266379</t>
  </si>
  <si>
    <t>I299382</t>
  </si>
  <si>
    <t>I339725</t>
  </si>
  <si>
    <t>I558827</t>
  </si>
  <si>
    <t>I821672</t>
  </si>
  <si>
    <t>I966297</t>
  </si>
  <si>
    <t>I153766</t>
  </si>
  <si>
    <t>I210424</t>
  </si>
  <si>
    <t>I309566</t>
  </si>
  <si>
    <t>I533014</t>
  </si>
  <si>
    <t>I109605</t>
  </si>
  <si>
    <t>I114573</t>
  </si>
  <si>
    <t>I185923</t>
  </si>
  <si>
    <t>I214148</t>
  </si>
  <si>
    <t>I241785</t>
  </si>
  <si>
    <t>I946289</t>
  </si>
  <si>
    <t>I161875</t>
  </si>
  <si>
    <t>I229768</t>
  </si>
  <si>
    <t>I255698</t>
  </si>
  <si>
    <t>I291415</t>
  </si>
  <si>
    <t>I317100</t>
  </si>
  <si>
    <t>I327085</t>
  </si>
  <si>
    <t>I109097</t>
  </si>
  <si>
    <t>I277401</t>
  </si>
  <si>
    <t>I300065</t>
  </si>
  <si>
    <t>I300487</t>
  </si>
  <si>
    <t>I360075</t>
  </si>
  <si>
    <t>I453737</t>
  </si>
  <si>
    <t>I959566</t>
  </si>
  <si>
    <t>I257160</t>
  </si>
  <si>
    <t>I265597</t>
  </si>
  <si>
    <t>I300557</t>
  </si>
  <si>
    <t>I321262</t>
  </si>
  <si>
    <t>I450748</t>
  </si>
  <si>
    <t>I632385</t>
  </si>
  <si>
    <t>I110254</t>
  </si>
  <si>
    <t>I198486</t>
  </si>
  <si>
    <t>I210426</t>
  </si>
  <si>
    <t>I244506</t>
  </si>
  <si>
    <t>I317544</t>
  </si>
  <si>
    <t>I194563</t>
  </si>
  <si>
    <t>I205490</t>
  </si>
  <si>
    <t>I250410</t>
  </si>
  <si>
    <t>I277194</t>
  </si>
  <si>
    <t>I292633</t>
  </si>
  <si>
    <t>I327863</t>
  </si>
  <si>
    <t>I144052</t>
  </si>
  <si>
    <t>I210904</t>
  </si>
  <si>
    <t>I214045</t>
  </si>
  <si>
    <t>I260028</t>
  </si>
  <si>
    <t>I736678</t>
  </si>
  <si>
    <t>I778619</t>
  </si>
  <si>
    <t>I828940</t>
  </si>
  <si>
    <t>I571614</t>
  </si>
  <si>
    <t>I125652</t>
  </si>
  <si>
    <t>I142738</t>
  </si>
  <si>
    <t>I635603</t>
  </si>
  <si>
    <t>I248912</t>
  </si>
  <si>
    <t>I279073</t>
  </si>
  <si>
    <t>I533062</t>
  </si>
  <si>
    <t>I191815</t>
  </si>
  <si>
    <t>I236741</t>
  </si>
  <si>
    <t>I273975</t>
  </si>
  <si>
    <t>I144681</t>
  </si>
  <si>
    <t>I539150</t>
  </si>
  <si>
    <t>I940475</t>
  </si>
  <si>
    <t>I101433</t>
  </si>
  <si>
    <t>I129026</t>
  </si>
  <si>
    <t>I135059</t>
  </si>
  <si>
    <t>I136452</t>
  </si>
  <si>
    <t>I153391</t>
  </si>
  <si>
    <t>I200317</t>
  </si>
  <si>
    <t>I256148</t>
  </si>
  <si>
    <t>I534709</t>
  </si>
  <si>
    <t>I111017</t>
  </si>
  <si>
    <t>I253181</t>
  </si>
  <si>
    <t>I291062</t>
  </si>
  <si>
    <t>I675999</t>
  </si>
  <si>
    <t>I156562</t>
  </si>
  <si>
    <t>I159717</t>
  </si>
  <si>
    <t>I197604</t>
  </si>
  <si>
    <t>I210712</t>
  </si>
  <si>
    <t>I142039</t>
  </si>
  <si>
    <t>I301432</t>
  </si>
  <si>
    <t>I318374</t>
  </si>
  <si>
    <t>I335039</t>
  </si>
  <si>
    <t>I150911</t>
  </si>
  <si>
    <t>I160380</t>
  </si>
  <si>
    <t>I187058</t>
  </si>
  <si>
    <t>I268044</t>
  </si>
  <si>
    <t>I294101</t>
  </si>
  <si>
    <t>I295482</t>
  </si>
  <si>
    <t>I425988</t>
  </si>
  <si>
    <t>I114943</t>
  </si>
  <si>
    <t>I137223</t>
  </si>
  <si>
    <t>I216616</t>
  </si>
  <si>
    <t>I248840</t>
  </si>
  <si>
    <t>I282013</t>
  </si>
  <si>
    <t>I323614</t>
  </si>
  <si>
    <t>I604337</t>
  </si>
  <si>
    <t>I124087</t>
  </si>
  <si>
    <t>I137131</t>
  </si>
  <si>
    <t>I184190</t>
  </si>
  <si>
    <t>I193404</t>
  </si>
  <si>
    <t>I208560</t>
  </si>
  <si>
    <t>I236157</t>
  </si>
  <si>
    <t>I269598</t>
  </si>
  <si>
    <t>I106088</t>
  </si>
  <si>
    <t>I279688</t>
  </si>
  <si>
    <t>I300222</t>
  </si>
  <si>
    <t>I319827</t>
  </si>
  <si>
    <t>I331099</t>
  </si>
  <si>
    <t>I416450</t>
  </si>
  <si>
    <t>I710533</t>
  </si>
  <si>
    <t>I771861</t>
  </si>
  <si>
    <t>I488609</t>
  </si>
  <si>
    <t>I742540</t>
  </si>
  <si>
    <t>I113403</t>
  </si>
  <si>
    <t>I180570</t>
  </si>
  <si>
    <t>I206554</t>
  </si>
  <si>
    <t>I477622</t>
  </si>
  <si>
    <t>I108939</t>
  </si>
  <si>
    <t>I201709</t>
  </si>
  <si>
    <t>I230611</t>
  </si>
  <si>
    <t>I256688</t>
  </si>
  <si>
    <t>I436061</t>
  </si>
  <si>
    <t>I930775</t>
  </si>
  <si>
    <t>I250489</t>
  </si>
  <si>
    <t>I745357</t>
  </si>
  <si>
    <t>I784337</t>
  </si>
  <si>
    <t>I898132</t>
  </si>
  <si>
    <t>I232052</t>
  </si>
  <si>
    <t>I254609</t>
  </si>
  <si>
    <t>I287018</t>
  </si>
  <si>
    <t>I412880</t>
  </si>
  <si>
    <t>I133741</t>
  </si>
  <si>
    <t>I144046</t>
  </si>
  <si>
    <t>I157037</t>
  </si>
  <si>
    <t>I186298</t>
  </si>
  <si>
    <t>I232389</t>
  </si>
  <si>
    <t>I314213</t>
  </si>
  <si>
    <t>I471569</t>
  </si>
  <si>
    <t>I532224</t>
  </si>
  <si>
    <t>I278640</t>
  </si>
  <si>
    <t>I283774</t>
  </si>
  <si>
    <t>I163760</t>
  </si>
  <si>
    <t>I350517</t>
  </si>
  <si>
    <t>I444314</t>
  </si>
  <si>
    <t>I606143</t>
  </si>
  <si>
    <t>I105974</t>
  </si>
  <si>
    <t>I137571</t>
  </si>
  <si>
    <t>I305940</t>
  </si>
  <si>
    <t>I683165</t>
  </si>
  <si>
    <t>I219544</t>
  </si>
  <si>
    <t>I222699</t>
  </si>
  <si>
    <t>I251313</t>
  </si>
  <si>
    <t>I280017</t>
  </si>
  <si>
    <t>I290158</t>
  </si>
  <si>
    <t>I292401</t>
  </si>
  <si>
    <t>I557352</t>
  </si>
  <si>
    <t>I586051</t>
  </si>
  <si>
    <t>I843249</t>
  </si>
  <si>
    <t>I120407</t>
  </si>
  <si>
    <t>I246053</t>
  </si>
  <si>
    <t>I742965</t>
  </si>
  <si>
    <t>I957640</t>
  </si>
  <si>
    <t>I107255</t>
  </si>
  <si>
    <t>I161020</t>
  </si>
  <si>
    <t>I197797</t>
  </si>
  <si>
    <t>I200500</t>
  </si>
  <si>
    <t>I273192</t>
  </si>
  <si>
    <t>I329270</t>
  </si>
  <si>
    <t>I336924</t>
  </si>
  <si>
    <t>I247576</t>
  </si>
  <si>
    <t>I254075</t>
  </si>
  <si>
    <t>I336379</t>
  </si>
  <si>
    <t>I147387</t>
  </si>
  <si>
    <t>I336937</t>
  </si>
  <si>
    <t>I136610</t>
  </si>
  <si>
    <t>I207711</t>
  </si>
  <si>
    <t>I227511</t>
  </si>
  <si>
    <t>I252034</t>
  </si>
  <si>
    <t>I256870</t>
  </si>
  <si>
    <t>I274434</t>
  </si>
  <si>
    <t>I749809</t>
  </si>
  <si>
    <t>I773075</t>
  </si>
  <si>
    <t>I135803</t>
  </si>
  <si>
    <t>I170558</t>
  </si>
  <si>
    <t>I965366</t>
  </si>
  <si>
    <t>I104663</t>
  </si>
  <si>
    <t>I119685</t>
  </si>
  <si>
    <t>I152340</t>
  </si>
  <si>
    <t>I162588</t>
  </si>
  <si>
    <t>I247265</t>
  </si>
  <si>
    <t>I269344</t>
  </si>
  <si>
    <t>I275501</t>
  </si>
  <si>
    <t>I320639</t>
  </si>
  <si>
    <t>I830007</t>
  </si>
  <si>
    <t>I102408</t>
  </si>
  <si>
    <t>I264291</t>
  </si>
  <si>
    <t>I275051</t>
  </si>
  <si>
    <t>I752293</t>
  </si>
  <si>
    <t>I104737</t>
  </si>
  <si>
    <t>I182300</t>
  </si>
  <si>
    <t>I186443</t>
  </si>
  <si>
    <t>I201969</t>
  </si>
  <si>
    <t>I691767</t>
  </si>
  <si>
    <t>I319942</t>
  </si>
  <si>
    <t>I403579</t>
  </si>
  <si>
    <t>I841419</t>
  </si>
  <si>
    <t>I101193</t>
  </si>
  <si>
    <t>I148824</t>
  </si>
  <si>
    <t>I185055</t>
  </si>
  <si>
    <t>I212305</t>
  </si>
  <si>
    <t>I255471</t>
  </si>
  <si>
    <t>I290546</t>
  </si>
  <si>
    <t>I306015</t>
  </si>
  <si>
    <t>I978388</t>
  </si>
  <si>
    <t>I159994</t>
  </si>
  <si>
    <t>I254142</t>
  </si>
  <si>
    <t>I330920</t>
  </si>
  <si>
    <t>I620781</t>
  </si>
  <si>
    <t>I193724</t>
  </si>
  <si>
    <t>I227550</t>
  </si>
  <si>
    <t>I243732</t>
  </si>
  <si>
    <t>I248784</t>
  </si>
  <si>
    <t>I292201</t>
  </si>
  <si>
    <t>I303277</t>
  </si>
  <si>
    <t>I386563</t>
  </si>
  <si>
    <t>I954071</t>
  </si>
  <si>
    <t>I273212</t>
  </si>
  <si>
    <t>I286233</t>
  </si>
  <si>
    <t>I920171</t>
  </si>
  <si>
    <t>I100487</t>
  </si>
  <si>
    <t>I163225</t>
  </si>
  <si>
    <t>I722915</t>
  </si>
  <si>
    <t>I175653</t>
  </si>
  <si>
    <t>I740038</t>
  </si>
  <si>
    <t>I194540</t>
  </si>
  <si>
    <t>I209837</t>
  </si>
  <si>
    <t>I258195</t>
  </si>
  <si>
    <t>I259165</t>
  </si>
  <si>
    <t>I103488</t>
  </si>
  <si>
    <t>I313995</t>
  </si>
  <si>
    <t>I568015</t>
  </si>
  <si>
    <t>I842920</t>
  </si>
  <si>
    <t>I125033</t>
  </si>
  <si>
    <t>I160651</t>
  </si>
  <si>
    <t>I176773</t>
  </si>
  <si>
    <t>I213801</t>
  </si>
  <si>
    <t>I702847</t>
  </si>
  <si>
    <t>I200255</t>
  </si>
  <si>
    <t>I273164</t>
  </si>
  <si>
    <t>I300947</t>
  </si>
  <si>
    <t>I123728</t>
  </si>
  <si>
    <t>I154195</t>
  </si>
  <si>
    <t>I200702</t>
  </si>
  <si>
    <t>I227160</t>
  </si>
  <si>
    <t>I266123</t>
  </si>
  <si>
    <t>I267411</t>
  </si>
  <si>
    <t>I328770</t>
  </si>
  <si>
    <t>I125627</t>
  </si>
  <si>
    <t>I155993</t>
  </si>
  <si>
    <t>I183356</t>
  </si>
  <si>
    <t>I211362</t>
  </si>
  <si>
    <t>I222933</t>
  </si>
  <si>
    <t>I337110</t>
  </si>
  <si>
    <t>I537062</t>
  </si>
  <si>
    <t>I912888</t>
  </si>
  <si>
    <t>I110317</t>
  </si>
  <si>
    <t>I121625</t>
  </si>
  <si>
    <t>I167759</t>
  </si>
  <si>
    <t>I254446</t>
  </si>
  <si>
    <t>I280155</t>
  </si>
  <si>
    <t>I291530</t>
  </si>
  <si>
    <t>I394801</t>
  </si>
  <si>
    <t>I148439</t>
  </si>
  <si>
    <t>I163719</t>
  </si>
  <si>
    <t>I180632</t>
  </si>
  <si>
    <t>I186732</t>
  </si>
  <si>
    <t>I284345</t>
  </si>
  <si>
    <t>I286992</t>
  </si>
  <si>
    <t>I463177</t>
  </si>
  <si>
    <t>I131814</t>
  </si>
  <si>
    <t>I145324</t>
  </si>
  <si>
    <t>I210070</t>
  </si>
  <si>
    <t>I241671</t>
  </si>
  <si>
    <t>I289953</t>
  </si>
  <si>
    <t>I292651</t>
  </si>
  <si>
    <t>I312173</t>
  </si>
  <si>
    <t>I319058</t>
  </si>
  <si>
    <t>I396897</t>
  </si>
  <si>
    <t>I457421</t>
  </si>
  <si>
    <t>I149873</t>
  </si>
  <si>
    <t>I183578</t>
  </si>
  <si>
    <t>I217504</t>
  </si>
  <si>
    <t>I264369</t>
  </si>
  <si>
    <t>I437827</t>
  </si>
  <si>
    <t>I880901</t>
  </si>
  <si>
    <t>I185259</t>
  </si>
  <si>
    <t>I204158</t>
  </si>
  <si>
    <t>I240455</t>
  </si>
  <si>
    <t>I262105</t>
  </si>
  <si>
    <t>I567976</t>
  </si>
  <si>
    <t>I290073</t>
  </si>
  <si>
    <t>I298054</t>
  </si>
  <si>
    <t>I315324</t>
  </si>
  <si>
    <t>I321706</t>
  </si>
  <si>
    <t>I831916</t>
  </si>
  <si>
    <t>I110911</t>
  </si>
  <si>
    <t>I124666</t>
  </si>
  <si>
    <t>I176872</t>
  </si>
  <si>
    <t>I251990</t>
  </si>
  <si>
    <t>I295440</t>
  </si>
  <si>
    <t>I337809</t>
  </si>
  <si>
    <t>I695392</t>
  </si>
  <si>
    <t>I134568</t>
  </si>
  <si>
    <t>I188753</t>
  </si>
  <si>
    <t>I259196</t>
  </si>
  <si>
    <t>I142574</t>
  </si>
  <si>
    <t>I189042</t>
  </si>
  <si>
    <t>I226154</t>
  </si>
  <si>
    <t>I184280</t>
  </si>
  <si>
    <t>I188687</t>
  </si>
  <si>
    <t>I218416</t>
  </si>
  <si>
    <t>I276210</t>
  </si>
  <si>
    <t>I140531</t>
  </si>
  <si>
    <t>I199956</t>
  </si>
  <si>
    <t>I128257</t>
  </si>
  <si>
    <t>I153556</t>
  </si>
  <si>
    <t>I215724</t>
  </si>
  <si>
    <t>I239421</t>
  </si>
  <si>
    <t>I274883</t>
  </si>
  <si>
    <t>I284869</t>
  </si>
  <si>
    <t>I101472</t>
  </si>
  <si>
    <t>I139083</t>
  </si>
  <si>
    <t>I183379</t>
  </si>
  <si>
    <t>I241793</t>
  </si>
  <si>
    <t>I242997</t>
  </si>
  <si>
    <t>I826511</t>
  </si>
  <si>
    <t>I130124</t>
  </si>
  <si>
    <t>I101525</t>
  </si>
  <si>
    <t>I195320</t>
  </si>
  <si>
    <t>I305164</t>
  </si>
  <si>
    <t>I656719</t>
  </si>
  <si>
    <t>I241877</t>
  </si>
  <si>
    <t>I252159</t>
  </si>
  <si>
    <t>I263088</t>
  </si>
  <si>
    <t>I300372</t>
  </si>
  <si>
    <t>I311751</t>
  </si>
  <si>
    <t>I753100</t>
  </si>
  <si>
    <t>I884545</t>
  </si>
  <si>
    <t>I104144</t>
  </si>
  <si>
    <t>I116479</t>
  </si>
  <si>
    <t>I133633</t>
  </si>
  <si>
    <t>I216426</t>
  </si>
  <si>
    <t>I267937</t>
  </si>
  <si>
    <t>I323478</t>
  </si>
  <si>
    <t>I109155</t>
  </si>
  <si>
    <t>I216148</t>
  </si>
  <si>
    <t>I289550</t>
  </si>
  <si>
    <t>I329514</t>
  </si>
  <si>
    <t>I508712</t>
  </si>
  <si>
    <t>I943576</t>
  </si>
  <si>
    <t>I206688</t>
  </si>
  <si>
    <t>I207870</t>
  </si>
  <si>
    <t>I260437</t>
  </si>
  <si>
    <t>I306230</t>
  </si>
  <si>
    <t>I319997</t>
  </si>
  <si>
    <t>I426763</t>
  </si>
  <si>
    <t>I133928</t>
  </si>
  <si>
    <t>I268032</t>
  </si>
  <si>
    <t>I566804</t>
  </si>
  <si>
    <t>I135278</t>
  </si>
  <si>
    <t>I154954</t>
  </si>
  <si>
    <t>I178721</t>
  </si>
  <si>
    <t>I205906</t>
  </si>
  <si>
    <t>I220119</t>
  </si>
  <si>
    <t>I229635</t>
  </si>
  <si>
    <t>I246274</t>
  </si>
  <si>
    <t>I313885</t>
  </si>
  <si>
    <t>I217342</t>
  </si>
  <si>
    <t>I232339</t>
  </si>
  <si>
    <t>I330964</t>
  </si>
  <si>
    <t>I145091</t>
  </si>
  <si>
    <t>I158453</t>
  </si>
  <si>
    <t>I167849</t>
  </si>
  <si>
    <t>I182066</t>
  </si>
  <si>
    <t>I195001</t>
  </si>
  <si>
    <t>I209706</t>
  </si>
  <si>
    <t>I214331</t>
  </si>
  <si>
    <t>I243264</t>
  </si>
  <si>
    <t>I261177</t>
  </si>
  <si>
    <t>I445705</t>
  </si>
  <si>
    <t>I542451</t>
  </si>
  <si>
    <t>I152436</t>
  </si>
  <si>
    <t>I276799</t>
  </si>
  <si>
    <t>I102559</t>
  </si>
  <si>
    <t>I126925</t>
  </si>
  <si>
    <t>I140909</t>
  </si>
  <si>
    <t>I182116</t>
  </si>
  <si>
    <t>I201980</t>
  </si>
  <si>
    <t>I236908</t>
  </si>
  <si>
    <t>I274650</t>
  </si>
  <si>
    <t>I311331</t>
  </si>
  <si>
    <t>I459807</t>
  </si>
  <si>
    <t>I993048</t>
  </si>
  <si>
    <t>I129391</t>
  </si>
  <si>
    <t>I212054</t>
  </si>
  <si>
    <t>I285599</t>
  </si>
  <si>
    <t>I648743</t>
  </si>
  <si>
    <t>I140663</t>
  </si>
  <si>
    <t>I186428</t>
  </si>
  <si>
    <t>I196659</t>
  </si>
  <si>
    <t>I243110</t>
  </si>
  <si>
    <t>I252747</t>
  </si>
  <si>
    <t>I271886</t>
  </si>
  <si>
    <t>I712438</t>
  </si>
  <si>
    <t>I112038</t>
  </si>
  <si>
    <t>I196915</t>
  </si>
  <si>
    <t>I207276</t>
  </si>
  <si>
    <t>I283016</t>
  </si>
  <si>
    <t>I444015</t>
  </si>
  <si>
    <t>I527111</t>
  </si>
  <si>
    <t>I107984</t>
  </si>
  <si>
    <t>I158815</t>
  </si>
  <si>
    <t>I307391</t>
  </si>
  <si>
    <t>I312304</t>
  </si>
  <si>
    <t>I118234</t>
  </si>
  <si>
    <t>I236721</t>
  </si>
  <si>
    <t>I315532</t>
  </si>
  <si>
    <t>I678904</t>
  </si>
  <si>
    <t>I726807</t>
  </si>
  <si>
    <t>I244429</t>
  </si>
  <si>
    <t>I337119</t>
  </si>
  <si>
    <t>I971862</t>
  </si>
  <si>
    <t>I200558</t>
  </si>
  <si>
    <t>I703740</t>
  </si>
  <si>
    <t>I875334</t>
  </si>
  <si>
    <t>I156510</t>
  </si>
  <si>
    <t>I170540</t>
  </si>
  <si>
    <t>I173201</t>
  </si>
  <si>
    <t>I336070</t>
  </si>
  <si>
    <t>I429412</t>
  </si>
  <si>
    <t>I145366</t>
  </si>
  <si>
    <t>I159228</t>
  </si>
  <si>
    <t>I193060</t>
  </si>
  <si>
    <t>I314468</t>
  </si>
  <si>
    <t>I715947</t>
  </si>
  <si>
    <t>I231894</t>
  </si>
  <si>
    <t>I340326</t>
  </si>
  <si>
    <t>I472508</t>
  </si>
  <si>
    <t>I713258</t>
  </si>
  <si>
    <t>I166110</t>
  </si>
  <si>
    <t>I189373</t>
  </si>
  <si>
    <t>I225038</t>
  </si>
  <si>
    <t>I229152</t>
  </si>
  <si>
    <t>I283779</t>
  </si>
  <si>
    <t>I101865</t>
  </si>
  <si>
    <t>I183746</t>
  </si>
  <si>
    <t>I242091</t>
  </si>
  <si>
    <t>I246989</t>
  </si>
  <si>
    <t>I260439</t>
  </si>
  <si>
    <t>I115757</t>
  </si>
  <si>
    <t>I157079</t>
  </si>
  <si>
    <t>I258322</t>
  </si>
  <si>
    <t>I281349</t>
  </si>
  <si>
    <t>I322692</t>
  </si>
  <si>
    <t>I110341</t>
  </si>
  <si>
    <t>I140043</t>
  </si>
  <si>
    <t>I208412</t>
  </si>
  <si>
    <t>I255952</t>
  </si>
  <si>
    <t>I262324</t>
  </si>
  <si>
    <t>I293034</t>
  </si>
  <si>
    <t>I300689</t>
  </si>
  <si>
    <t>I328428</t>
  </si>
  <si>
    <t>I874028</t>
  </si>
  <si>
    <t>I220157</t>
  </si>
  <si>
    <t>I226345</t>
  </si>
  <si>
    <t>I317873</t>
  </si>
  <si>
    <t>I507743</t>
  </si>
  <si>
    <t>I533184</t>
  </si>
  <si>
    <t>I566701</t>
  </si>
  <si>
    <t>I135483</t>
  </si>
  <si>
    <t>I208609</t>
  </si>
  <si>
    <t>I289287</t>
  </si>
  <si>
    <t>I971792</t>
  </si>
  <si>
    <t>I111460</t>
  </si>
  <si>
    <t>I184695</t>
  </si>
  <si>
    <t>I267024</t>
  </si>
  <si>
    <t>I269942</t>
  </si>
  <si>
    <t>I305212</t>
  </si>
  <si>
    <t>I480105</t>
  </si>
  <si>
    <t>I687382</t>
  </si>
  <si>
    <t>I139541</t>
  </si>
  <si>
    <t>I194729</t>
  </si>
  <si>
    <t>I224813</t>
  </si>
  <si>
    <t>I334469</t>
  </si>
  <si>
    <t>I162119</t>
  </si>
  <si>
    <t>I283492</t>
  </si>
  <si>
    <t>I321180</t>
  </si>
  <si>
    <t>I337072</t>
  </si>
  <si>
    <t>I517380</t>
  </si>
  <si>
    <t>I544365</t>
  </si>
  <si>
    <t>I733224</t>
  </si>
  <si>
    <t>I178021</t>
  </si>
  <si>
    <t>I191148</t>
  </si>
  <si>
    <t>I223855</t>
  </si>
  <si>
    <t>I244993</t>
  </si>
  <si>
    <t>I310819</t>
  </si>
  <si>
    <t>I205970</t>
  </si>
  <si>
    <t>I224428</t>
  </si>
  <si>
    <t>I236787</t>
  </si>
  <si>
    <t>I252084</t>
  </si>
  <si>
    <t>I261603</t>
  </si>
  <si>
    <t>I278295</t>
  </si>
  <si>
    <t>I599893</t>
  </si>
  <si>
    <t>I795164</t>
  </si>
  <si>
    <t>I155338</t>
  </si>
  <si>
    <t>I158657</t>
  </si>
  <si>
    <t>I161668</t>
  </si>
  <si>
    <t>I187189</t>
  </si>
  <si>
    <t>I229530</t>
  </si>
  <si>
    <t>I328229</t>
  </si>
  <si>
    <t>I502744</t>
  </si>
  <si>
    <t>I787879</t>
  </si>
  <si>
    <t>I131433</t>
  </si>
  <si>
    <t>I192394</t>
  </si>
  <si>
    <t>I236520</t>
  </si>
  <si>
    <t>I316963</t>
  </si>
  <si>
    <t>I580242</t>
  </si>
  <si>
    <t>I598012</t>
  </si>
  <si>
    <t>I132097</t>
  </si>
  <si>
    <t>I133111</t>
  </si>
  <si>
    <t>I153908</t>
  </si>
  <si>
    <t>I199660</t>
  </si>
  <si>
    <t>I217191</t>
  </si>
  <si>
    <t>I322768</t>
  </si>
  <si>
    <t>I335613</t>
  </si>
  <si>
    <t>I340111</t>
  </si>
  <si>
    <t>I492903</t>
  </si>
  <si>
    <t>I913436</t>
  </si>
  <si>
    <t>I114871</t>
  </si>
  <si>
    <t>I125877</t>
  </si>
  <si>
    <t>I158270</t>
  </si>
  <si>
    <t>I159901</t>
  </si>
  <si>
    <t>I210509</t>
  </si>
  <si>
    <t>I292465</t>
  </si>
  <si>
    <t>I598832</t>
  </si>
  <si>
    <t>I212186</t>
  </si>
  <si>
    <t>I271309</t>
  </si>
  <si>
    <t>I271539</t>
  </si>
  <si>
    <t>I292396</t>
  </si>
  <si>
    <t>I325809</t>
  </si>
  <si>
    <t>I456351</t>
  </si>
  <si>
    <t>I143709</t>
  </si>
  <si>
    <t>I240824</t>
  </si>
  <si>
    <t>I262505</t>
  </si>
  <si>
    <t>I262788</t>
  </si>
  <si>
    <t>I324752</t>
  </si>
  <si>
    <t>I209362</t>
  </si>
  <si>
    <t>I213789</t>
  </si>
  <si>
    <t>I338183</t>
  </si>
  <si>
    <t>I435727</t>
  </si>
  <si>
    <t>I289611</t>
  </si>
  <si>
    <t>I294343</t>
  </si>
  <si>
    <t>I112259</t>
  </si>
  <si>
    <t>I147079</t>
  </si>
  <si>
    <t>I193038</t>
  </si>
  <si>
    <t>I238119</t>
  </si>
  <si>
    <t>I281848</t>
  </si>
  <si>
    <t>I738948</t>
  </si>
  <si>
    <t>I101351</t>
  </si>
  <si>
    <t>I117980</t>
  </si>
  <si>
    <t>I172725</t>
  </si>
  <si>
    <t>I187632</t>
  </si>
  <si>
    <t>I259878</t>
  </si>
  <si>
    <t>I911945</t>
  </si>
  <si>
    <t>I167327</t>
  </si>
  <si>
    <t>I172235</t>
  </si>
  <si>
    <t>I288431</t>
  </si>
  <si>
    <t>I289203</t>
  </si>
  <si>
    <t>I312946</t>
  </si>
  <si>
    <t>I316308</t>
  </si>
  <si>
    <t>I497489</t>
  </si>
  <si>
    <t>I175669</t>
  </si>
  <si>
    <t>I215279</t>
  </si>
  <si>
    <t>I272406</t>
  </si>
  <si>
    <t>I305520</t>
  </si>
  <si>
    <t>I328623</t>
  </si>
  <si>
    <t>I568599</t>
  </si>
  <si>
    <t>I950992</t>
  </si>
  <si>
    <t>I128742</t>
  </si>
  <si>
    <t>I148062</t>
  </si>
  <si>
    <t>I872774</t>
  </si>
  <si>
    <t>I120957</t>
  </si>
  <si>
    <t>I135614</t>
  </si>
  <si>
    <t>I176706</t>
  </si>
  <si>
    <t>I229176</t>
  </si>
  <si>
    <t>I231192</t>
  </si>
  <si>
    <t>I645260</t>
  </si>
  <si>
    <t>I135204</t>
  </si>
  <si>
    <t>I173895</t>
  </si>
  <si>
    <t>I179951</t>
  </si>
  <si>
    <t>I182847</t>
  </si>
  <si>
    <t>I211075</t>
  </si>
  <si>
    <t>I247538</t>
  </si>
  <si>
    <t>I299367</t>
  </si>
  <si>
    <t>I163397</t>
  </si>
  <si>
    <t>I157441</t>
  </si>
  <si>
    <t>I221195</t>
  </si>
  <si>
    <t>I271749</t>
  </si>
  <si>
    <t>I334250</t>
  </si>
  <si>
    <t>I994416</t>
  </si>
  <si>
    <t>I176351</t>
  </si>
  <si>
    <t>I228293</t>
  </si>
  <si>
    <t>I243146</t>
  </si>
  <si>
    <t>I291495</t>
  </si>
  <si>
    <t>I160257</t>
  </si>
  <si>
    <t>I218590</t>
  </si>
  <si>
    <t>I251509</t>
  </si>
  <si>
    <t>I323407</t>
  </si>
  <si>
    <t>I100357</t>
  </si>
  <si>
    <t>I116997</t>
  </si>
  <si>
    <t>I224300</t>
  </si>
  <si>
    <t>I243503</t>
  </si>
  <si>
    <t>I262363</t>
  </si>
  <si>
    <t>I269267</t>
  </si>
  <si>
    <t>I141939</t>
  </si>
  <si>
    <t>I240844</t>
  </si>
  <si>
    <t>I542569</t>
  </si>
  <si>
    <t>I989294</t>
  </si>
  <si>
    <t>I151233</t>
  </si>
  <si>
    <t>I194672</t>
  </si>
  <si>
    <t>I199432</t>
  </si>
  <si>
    <t>I517785</t>
  </si>
  <si>
    <t>I811288</t>
  </si>
  <si>
    <t>I881027</t>
  </si>
  <si>
    <t>I935474</t>
  </si>
  <si>
    <t>I161637</t>
  </si>
  <si>
    <t>I252595</t>
  </si>
  <si>
    <t>I283775</t>
  </si>
  <si>
    <t>I290379</t>
  </si>
  <si>
    <t>I340068</t>
  </si>
  <si>
    <t>I495331</t>
  </si>
  <si>
    <t>I512937</t>
  </si>
  <si>
    <t>I108615</t>
  </si>
  <si>
    <t>I429281</t>
  </si>
  <si>
    <t>I723062</t>
  </si>
  <si>
    <t>I206026</t>
  </si>
  <si>
    <t>I561923</t>
  </si>
  <si>
    <t>I189159</t>
  </si>
  <si>
    <t>I228583</t>
  </si>
  <si>
    <t>I265452</t>
  </si>
  <si>
    <t>I309952</t>
  </si>
  <si>
    <t>I113453</t>
  </si>
  <si>
    <t>I182152</t>
  </si>
  <si>
    <t>I185216</t>
  </si>
  <si>
    <t>I243399</t>
  </si>
  <si>
    <t>I269022</t>
  </si>
  <si>
    <t>I347417</t>
  </si>
  <si>
    <t>I525485</t>
  </si>
  <si>
    <t>I640508</t>
  </si>
  <si>
    <t>I222105</t>
  </si>
  <si>
    <t>I555520</t>
  </si>
  <si>
    <t>I139028</t>
  </si>
  <si>
    <t>I163013</t>
  </si>
  <si>
    <t>I240702</t>
  </si>
  <si>
    <t>I267027</t>
  </si>
  <si>
    <t>I797149</t>
  </si>
  <si>
    <t>I121928</t>
  </si>
  <si>
    <t>I321278</t>
  </si>
  <si>
    <t>I579651</t>
  </si>
  <si>
    <t>I992148</t>
  </si>
  <si>
    <t>I102730</t>
  </si>
  <si>
    <t>I123560</t>
  </si>
  <si>
    <t>I164358</t>
  </si>
  <si>
    <t>I184743</t>
  </si>
  <si>
    <t>I301504</t>
  </si>
  <si>
    <t>I317012</t>
  </si>
  <si>
    <t>I384332</t>
  </si>
  <si>
    <t>I162598</t>
  </si>
  <si>
    <t>I169684</t>
  </si>
  <si>
    <t>I228261</t>
  </si>
  <si>
    <t>I240463</t>
  </si>
  <si>
    <t>I675073</t>
  </si>
  <si>
    <t>I107973</t>
  </si>
  <si>
    <t>I198906</t>
  </si>
  <si>
    <t>I258456</t>
  </si>
  <si>
    <t>I308532</t>
  </si>
  <si>
    <t>I313187</t>
  </si>
  <si>
    <t>I683077</t>
  </si>
  <si>
    <t>I683509</t>
  </si>
  <si>
    <t>I829179</t>
  </si>
  <si>
    <t>I156674</t>
  </si>
  <si>
    <t>I235337</t>
  </si>
  <si>
    <t>I241813</t>
  </si>
  <si>
    <t>I244117</t>
  </si>
  <si>
    <t>I252035</t>
  </si>
  <si>
    <t>I513478</t>
  </si>
  <si>
    <t>I618224</t>
  </si>
  <si>
    <t>I907490</t>
  </si>
  <si>
    <t>I326712</t>
  </si>
  <si>
    <t>I491443</t>
  </si>
  <si>
    <t>I909061</t>
  </si>
  <si>
    <t>I101555</t>
  </si>
  <si>
    <t>I104527</t>
  </si>
  <si>
    <t>I246562</t>
  </si>
  <si>
    <t>I278286</t>
  </si>
  <si>
    <t>I197896</t>
  </si>
  <si>
    <t>I909905</t>
  </si>
  <si>
    <t>I157748</t>
  </si>
  <si>
    <t>I230039</t>
  </si>
  <si>
    <t>I315180</t>
  </si>
  <si>
    <t>I462436</t>
  </si>
  <si>
    <t>I470990</t>
  </si>
  <si>
    <t>I723638</t>
  </si>
  <si>
    <t>I908041</t>
  </si>
  <si>
    <t>I133518</t>
  </si>
  <si>
    <t>I211015</t>
  </si>
  <si>
    <t>I211845</t>
  </si>
  <si>
    <t>I219690</t>
  </si>
  <si>
    <t>I263340</t>
  </si>
  <si>
    <t>I353551</t>
  </si>
  <si>
    <t>I733046</t>
  </si>
  <si>
    <t>I957885</t>
  </si>
  <si>
    <t>I185190</t>
  </si>
  <si>
    <t>I218288</t>
  </si>
  <si>
    <t>I228379</t>
  </si>
  <si>
    <t>I827306</t>
  </si>
  <si>
    <t>I260973</t>
  </si>
  <si>
    <t>I509979</t>
  </si>
  <si>
    <t>I914346</t>
  </si>
  <si>
    <t>I120038</t>
  </si>
  <si>
    <t>I634354</t>
  </si>
  <si>
    <t>I101624</t>
  </si>
  <si>
    <t>I150306</t>
  </si>
  <si>
    <t>I185316</t>
  </si>
  <si>
    <t>I238508</t>
  </si>
  <si>
    <t>I507491</t>
  </si>
  <si>
    <t>I801414</t>
  </si>
  <si>
    <t>I141761</t>
  </si>
  <si>
    <t>I211751</t>
  </si>
  <si>
    <t>I229187</t>
  </si>
  <si>
    <t>I248752</t>
  </si>
  <si>
    <t>I262617</t>
  </si>
  <si>
    <t>I292020</t>
  </si>
  <si>
    <t>I334897</t>
  </si>
  <si>
    <t>I634948</t>
  </si>
  <si>
    <t>I128275</t>
  </si>
  <si>
    <t>I146069</t>
  </si>
  <si>
    <t>I241966</t>
  </si>
  <si>
    <t>I315882</t>
  </si>
  <si>
    <t>I940367</t>
  </si>
  <si>
    <t>I111118</t>
  </si>
  <si>
    <t>I139920</t>
  </si>
  <si>
    <t>I212489</t>
  </si>
  <si>
    <t>I223924</t>
  </si>
  <si>
    <t>I340101</t>
  </si>
  <si>
    <t>I862534</t>
  </si>
  <si>
    <t>I105255</t>
  </si>
  <si>
    <t>I113396</t>
  </si>
  <si>
    <t>I276696</t>
  </si>
  <si>
    <t>I297614</t>
  </si>
  <si>
    <t>I307728</t>
  </si>
  <si>
    <t>I489671</t>
  </si>
  <si>
    <t>I682927</t>
  </si>
  <si>
    <t>I901575</t>
  </si>
  <si>
    <t>I219336</t>
  </si>
  <si>
    <t>I273712</t>
  </si>
  <si>
    <t>I777931</t>
  </si>
  <si>
    <t>I156176</t>
  </si>
  <si>
    <t>I213045</t>
  </si>
  <si>
    <t>I327287</t>
  </si>
  <si>
    <t>I334459</t>
  </si>
  <si>
    <t>I128465</t>
  </si>
  <si>
    <t>I285597</t>
  </si>
  <si>
    <t>I338384</t>
  </si>
  <si>
    <t>I936118</t>
  </si>
  <si>
    <t>I165529</t>
  </si>
  <si>
    <t>I239362</t>
  </si>
  <si>
    <t>I292049</t>
  </si>
  <si>
    <t>I293167</t>
  </si>
  <si>
    <t>I311403</t>
  </si>
  <si>
    <t>I312524</t>
  </si>
  <si>
    <t>I638444</t>
  </si>
  <si>
    <t>I112826</t>
  </si>
  <si>
    <t>I123315</t>
  </si>
  <si>
    <t>I157087</t>
  </si>
  <si>
    <t>I174740</t>
  </si>
  <si>
    <t>I230936</t>
  </si>
  <si>
    <t>I302905</t>
  </si>
  <si>
    <t>I304512</t>
  </si>
  <si>
    <t>I309989</t>
  </si>
  <si>
    <t>I114891</t>
  </si>
  <si>
    <t>I116626</t>
  </si>
  <si>
    <t>I190006</t>
  </si>
  <si>
    <t>I190848</t>
  </si>
  <si>
    <t>I285618</t>
  </si>
  <si>
    <t>I352350</t>
  </si>
  <si>
    <t>I155860</t>
  </si>
  <si>
    <t>I204862</t>
  </si>
  <si>
    <t>I210564</t>
  </si>
  <si>
    <t>I219428</t>
  </si>
  <si>
    <t>I243235</t>
  </si>
  <si>
    <t>I597660</t>
  </si>
  <si>
    <t>I141069</t>
  </si>
  <si>
    <t>I202842</t>
  </si>
  <si>
    <t>I210581</t>
  </si>
  <si>
    <t>I236117</t>
  </si>
  <si>
    <t>I446481</t>
  </si>
  <si>
    <t>I565725</t>
  </si>
  <si>
    <t>I673892</t>
  </si>
  <si>
    <t>I105206</t>
  </si>
  <si>
    <t>I135566</t>
  </si>
  <si>
    <t>I212059</t>
  </si>
  <si>
    <t>I260671</t>
  </si>
  <si>
    <t>I264261</t>
  </si>
  <si>
    <t>I298605</t>
  </si>
  <si>
    <t>I381818</t>
  </si>
  <si>
    <t>I480974</t>
  </si>
  <si>
    <t>I800106</t>
  </si>
  <si>
    <t>I117284</t>
  </si>
  <si>
    <t>I217008</t>
  </si>
  <si>
    <t>I268823</t>
  </si>
  <si>
    <t>I279124</t>
  </si>
  <si>
    <t>I280426</t>
  </si>
  <si>
    <t>I317719</t>
  </si>
  <si>
    <t>I338248</t>
  </si>
  <si>
    <t>I169030</t>
  </si>
  <si>
    <t>I231403</t>
  </si>
  <si>
    <t>I247933</t>
  </si>
  <si>
    <t>I253992</t>
  </si>
  <si>
    <t>I114499</t>
  </si>
  <si>
    <t>I273292</t>
  </si>
  <si>
    <t>I275907</t>
  </si>
  <si>
    <t>I316205</t>
  </si>
  <si>
    <t>I328822</t>
  </si>
  <si>
    <t>I713680</t>
  </si>
  <si>
    <t>I241525</t>
  </si>
  <si>
    <t>I264927</t>
  </si>
  <si>
    <t>I284796</t>
  </si>
  <si>
    <t>I895460</t>
  </si>
  <si>
    <t>I109964</t>
  </si>
  <si>
    <t>I120923</t>
  </si>
  <si>
    <t>I123554</t>
  </si>
  <si>
    <t>I154006</t>
  </si>
  <si>
    <t>I165461</t>
  </si>
  <si>
    <t>I165959</t>
  </si>
  <si>
    <t>I220604</t>
  </si>
  <si>
    <t>I587311</t>
  </si>
  <si>
    <t>I226732</t>
  </si>
  <si>
    <t>I277232</t>
  </si>
  <si>
    <t>I321891</t>
  </si>
  <si>
    <t>I103389</t>
  </si>
  <si>
    <t>I294463</t>
  </si>
  <si>
    <t>I662663</t>
  </si>
  <si>
    <t>I114131</t>
  </si>
  <si>
    <t>I160298</t>
  </si>
  <si>
    <t>I180791</t>
  </si>
  <si>
    <t>I284083</t>
  </si>
  <si>
    <t>I964266</t>
  </si>
  <si>
    <t>I970588</t>
  </si>
  <si>
    <t>I276138</t>
  </si>
  <si>
    <t>I301404</t>
  </si>
  <si>
    <t>I162242</t>
  </si>
  <si>
    <t>I171114</t>
  </si>
  <si>
    <t>I179596</t>
  </si>
  <si>
    <t>I205540</t>
  </si>
  <si>
    <t>I294302</t>
  </si>
  <si>
    <t>I325668</t>
  </si>
  <si>
    <t>I286054</t>
  </si>
  <si>
    <t>I676997</t>
  </si>
  <si>
    <t>I745257</t>
  </si>
  <si>
    <t>I943403</t>
  </si>
  <si>
    <t>I109053</t>
  </si>
  <si>
    <t>I118535</t>
  </si>
  <si>
    <t>I303863</t>
  </si>
  <si>
    <t>I324094</t>
  </si>
  <si>
    <t>I160932</t>
  </si>
  <si>
    <t>I203033</t>
  </si>
  <si>
    <t>I264182</t>
  </si>
  <si>
    <t>I233367</t>
  </si>
  <si>
    <t>I333566</t>
  </si>
  <si>
    <t>I954741</t>
  </si>
  <si>
    <t>I142893</t>
  </si>
  <si>
    <t>I182570</t>
  </si>
  <si>
    <t>I265048</t>
  </si>
  <si>
    <t>I339994</t>
  </si>
  <si>
    <t>I148544</t>
  </si>
  <si>
    <t>I186487</t>
  </si>
  <si>
    <t>I247187</t>
  </si>
  <si>
    <t>I334389</t>
  </si>
  <si>
    <t>I543223</t>
  </si>
  <si>
    <t>I866270</t>
  </si>
  <si>
    <t>I122429</t>
  </si>
  <si>
    <t>I133952</t>
  </si>
  <si>
    <t>I237236</t>
  </si>
  <si>
    <t>I260987</t>
  </si>
  <si>
    <t>I287024</t>
  </si>
  <si>
    <t>I340252</t>
  </si>
  <si>
    <t>I987661</t>
  </si>
  <si>
    <t>I171104</t>
  </si>
  <si>
    <t>I177664</t>
  </si>
  <si>
    <t>I181277</t>
  </si>
  <si>
    <t>I222491</t>
  </si>
  <si>
    <t>I298515</t>
  </si>
  <si>
    <t>I103765</t>
  </si>
  <si>
    <t>I146425</t>
  </si>
  <si>
    <t>I256981</t>
  </si>
  <si>
    <t>I476430</t>
  </si>
  <si>
    <t>I516081</t>
  </si>
  <si>
    <t>I104152</t>
  </si>
  <si>
    <t>I118330</t>
  </si>
  <si>
    <t>I119469</t>
  </si>
  <si>
    <t>I224978</t>
  </si>
  <si>
    <t>I271043</t>
  </si>
  <si>
    <t>I153092</t>
  </si>
  <si>
    <t>I171758</t>
  </si>
  <si>
    <t>I180748</t>
  </si>
  <si>
    <t>I188658</t>
  </si>
  <si>
    <t>I225753</t>
  </si>
  <si>
    <t>I316955</t>
  </si>
  <si>
    <t>I329914</t>
  </si>
  <si>
    <t>I129602</t>
  </si>
  <si>
    <t>I219193</t>
  </si>
  <si>
    <t>I329011</t>
  </si>
  <si>
    <t>I785275</t>
  </si>
  <si>
    <t>I921232</t>
  </si>
  <si>
    <t>I114178</t>
  </si>
  <si>
    <t>I256731</t>
  </si>
  <si>
    <t>I274448</t>
  </si>
  <si>
    <t>I306362</t>
  </si>
  <si>
    <t>I333045</t>
  </si>
  <si>
    <t>I547257</t>
  </si>
  <si>
    <t>I775499</t>
  </si>
  <si>
    <t>I230830</t>
  </si>
  <si>
    <t>I267824</t>
  </si>
  <si>
    <t>I909164</t>
  </si>
  <si>
    <t>I124614</t>
  </si>
  <si>
    <t>I132490</t>
  </si>
  <si>
    <t>I165583</t>
  </si>
  <si>
    <t>I191110</t>
  </si>
  <si>
    <t>I276261</t>
  </si>
  <si>
    <t>I937305</t>
  </si>
  <si>
    <t>I147075</t>
  </si>
  <si>
    <t>I179672</t>
  </si>
  <si>
    <t>I226750</t>
  </si>
  <si>
    <t>I248487</t>
  </si>
  <si>
    <t>I257283</t>
  </si>
  <si>
    <t>I263671</t>
  </si>
  <si>
    <t>I302850</t>
  </si>
  <si>
    <t>I339024</t>
  </si>
  <si>
    <t>I189663</t>
  </si>
  <si>
    <t>I300350</t>
  </si>
  <si>
    <t>I569878</t>
  </si>
  <si>
    <t>I762293</t>
  </si>
  <si>
    <t>I142204</t>
  </si>
  <si>
    <t>I192500</t>
  </si>
  <si>
    <t>I609226</t>
  </si>
  <si>
    <t>I100541</t>
  </si>
  <si>
    <t>I218472</t>
  </si>
  <si>
    <t>I255292</t>
  </si>
  <si>
    <t>I303250</t>
  </si>
  <si>
    <t>I635383</t>
  </si>
  <si>
    <t>I184371</t>
  </si>
  <si>
    <t>I246375</t>
  </si>
  <si>
    <t>I217650</t>
  </si>
  <si>
    <t>I226656</t>
  </si>
  <si>
    <t>I224122</t>
  </si>
  <si>
    <t>I281122</t>
  </si>
  <si>
    <t>I311224</t>
  </si>
  <si>
    <t>I544933</t>
  </si>
  <si>
    <t>I897591</t>
  </si>
  <si>
    <t>I161564</t>
  </si>
  <si>
    <t>I234239</t>
  </si>
  <si>
    <t>I574864</t>
  </si>
  <si>
    <t>I689076</t>
  </si>
  <si>
    <t>I723155</t>
  </si>
  <si>
    <t>I233994</t>
  </si>
  <si>
    <t>I256959</t>
  </si>
  <si>
    <t>I314573</t>
  </si>
  <si>
    <t>I575449</t>
  </si>
  <si>
    <t>I918115</t>
  </si>
  <si>
    <t>I226955</t>
  </si>
  <si>
    <t>I247839</t>
  </si>
  <si>
    <t>I269574</t>
  </si>
  <si>
    <t>I445521</t>
  </si>
  <si>
    <t>I496998</t>
  </si>
  <si>
    <t>I883721</t>
  </si>
  <si>
    <t>I153790</t>
  </si>
  <si>
    <t>I267553</t>
  </si>
  <si>
    <t>I297249</t>
  </si>
  <si>
    <t>I307157</t>
  </si>
  <si>
    <t>I622113</t>
  </si>
  <si>
    <t>I100364</t>
  </si>
  <si>
    <t>I301972</t>
  </si>
  <si>
    <t>I314713</t>
  </si>
  <si>
    <t>I321373</t>
  </si>
  <si>
    <t>I127961</t>
  </si>
  <si>
    <t>I223697</t>
  </si>
  <si>
    <t>I281908</t>
  </si>
  <si>
    <t>I325201</t>
  </si>
  <si>
    <t>I330792</t>
  </si>
  <si>
    <t>I351888</t>
  </si>
  <si>
    <t>I556661</t>
  </si>
  <si>
    <t>I841663</t>
  </si>
  <si>
    <t>I255939</t>
  </si>
  <si>
    <t>I291230</t>
  </si>
  <si>
    <t>I664787</t>
  </si>
  <si>
    <t>I768883</t>
  </si>
  <si>
    <t>I145647</t>
  </si>
  <si>
    <t>I147157</t>
  </si>
  <si>
    <t>I275767</t>
  </si>
  <si>
    <t>I297395</t>
  </si>
  <si>
    <t>I302895</t>
  </si>
  <si>
    <t>I305330</t>
  </si>
  <si>
    <t>I314226</t>
  </si>
  <si>
    <t>I643316</t>
  </si>
  <si>
    <t>I187874</t>
  </si>
  <si>
    <t>I310772</t>
  </si>
  <si>
    <t>I328955</t>
  </si>
  <si>
    <t>I567798</t>
  </si>
  <si>
    <t>I127540</t>
  </si>
  <si>
    <t>I135899</t>
  </si>
  <si>
    <t>I553936</t>
  </si>
  <si>
    <t>I682173</t>
  </si>
  <si>
    <t>I100313</t>
  </si>
  <si>
    <t>I124597</t>
  </si>
  <si>
    <t>I133215</t>
  </si>
  <si>
    <t>I165932</t>
  </si>
  <si>
    <t>I285633</t>
  </si>
  <si>
    <t>I908200</t>
  </si>
  <si>
    <t>I165991</t>
  </si>
  <si>
    <t>I182578</t>
  </si>
  <si>
    <t>I195635</t>
  </si>
  <si>
    <t>I260538</t>
  </si>
  <si>
    <t>I807175</t>
  </si>
  <si>
    <t>I123656</t>
  </si>
  <si>
    <t>I302688</t>
  </si>
  <si>
    <t>I437431</t>
  </si>
  <si>
    <t>I824769</t>
  </si>
  <si>
    <t>I836701</t>
  </si>
  <si>
    <t>I852985</t>
  </si>
  <si>
    <t>I192662</t>
  </si>
  <si>
    <t>I400801</t>
  </si>
  <si>
    <t>I161686</t>
  </si>
  <si>
    <t>I213042</t>
  </si>
  <si>
    <t>I254815</t>
  </si>
  <si>
    <t>I286934</t>
  </si>
  <si>
    <t>I113342</t>
  </si>
  <si>
    <t>I184153</t>
  </si>
  <si>
    <t>I198895</t>
  </si>
  <si>
    <t>I298946</t>
  </si>
  <si>
    <t>I342816</t>
  </si>
  <si>
    <t>I628166</t>
  </si>
  <si>
    <t>I109012</t>
  </si>
  <si>
    <t>I240617</t>
  </si>
  <si>
    <t>I246170</t>
  </si>
  <si>
    <t>I318268</t>
  </si>
  <si>
    <t>I118806</t>
  </si>
  <si>
    <t>I176043</t>
  </si>
  <si>
    <t>I314695</t>
  </si>
  <si>
    <t>I319624</t>
  </si>
  <si>
    <t>I158291</t>
  </si>
  <si>
    <t>I172940</t>
  </si>
  <si>
    <t>I178373</t>
  </si>
  <si>
    <t>I279714</t>
  </si>
  <si>
    <t>I567137</t>
  </si>
  <si>
    <t>I654306</t>
  </si>
  <si>
    <t>I116624</t>
  </si>
  <si>
    <t>I156229</t>
  </si>
  <si>
    <t>I168022</t>
  </si>
  <si>
    <t>I178072</t>
  </si>
  <si>
    <t>I205408</t>
  </si>
  <si>
    <t>I281802</t>
  </si>
  <si>
    <t>I298664</t>
  </si>
  <si>
    <t>I304830</t>
  </si>
  <si>
    <t>I208490</t>
  </si>
  <si>
    <t>I492262</t>
  </si>
  <si>
    <t>I678176</t>
  </si>
  <si>
    <t>I891311</t>
  </si>
  <si>
    <t>I178746</t>
  </si>
  <si>
    <t>I211775</t>
  </si>
  <si>
    <t>I306368</t>
  </si>
  <si>
    <t>I941280</t>
  </si>
  <si>
    <t>I310846</t>
  </si>
  <si>
    <t>I325796</t>
  </si>
  <si>
    <t>I737451</t>
  </si>
  <si>
    <t>I194375</t>
  </si>
  <si>
    <t>I225178</t>
  </si>
  <si>
    <t>I251307</t>
  </si>
  <si>
    <t>I254324</t>
  </si>
  <si>
    <t>I470317</t>
  </si>
  <si>
    <t>I854052</t>
  </si>
  <si>
    <t>I972825</t>
  </si>
  <si>
    <t>I100593</t>
  </si>
  <si>
    <t>I253083</t>
  </si>
  <si>
    <t>I263519</t>
  </si>
  <si>
    <t>I318757</t>
  </si>
  <si>
    <t>I141434</t>
  </si>
  <si>
    <t>I182110</t>
  </si>
  <si>
    <t>I230127</t>
  </si>
  <si>
    <t>I275585</t>
  </si>
  <si>
    <t>I279882</t>
  </si>
  <si>
    <t>I442054</t>
  </si>
  <si>
    <t>I114550</t>
  </si>
  <si>
    <t>I115449</t>
  </si>
  <si>
    <t>I157644</t>
  </si>
  <si>
    <t>I202056</t>
  </si>
  <si>
    <t>I223435</t>
  </si>
  <si>
    <t>I935961</t>
  </si>
  <si>
    <t>I166473</t>
  </si>
  <si>
    <t>I167575</t>
  </si>
  <si>
    <t>I174015</t>
  </si>
  <si>
    <t>I305513</t>
  </si>
  <si>
    <t>I121803</t>
  </si>
  <si>
    <t>I147006</t>
  </si>
  <si>
    <t>I255433</t>
  </si>
  <si>
    <t>I286371</t>
  </si>
  <si>
    <t>I315848</t>
  </si>
  <si>
    <t>I328941</t>
  </si>
  <si>
    <t>I340149</t>
  </si>
  <si>
    <t>I875030</t>
  </si>
  <si>
    <t>I189306</t>
  </si>
  <si>
    <t>I254938</t>
  </si>
  <si>
    <t>I293887</t>
  </si>
  <si>
    <t>I534258</t>
  </si>
  <si>
    <t>I602106</t>
  </si>
  <si>
    <t>I679206</t>
  </si>
  <si>
    <t>I714091</t>
  </si>
  <si>
    <t>I212437</t>
  </si>
  <si>
    <t>I138884</t>
  </si>
  <si>
    <t>I170112</t>
  </si>
  <si>
    <t>I240500</t>
  </si>
  <si>
    <t>I289704</t>
  </si>
  <si>
    <t>I277739</t>
  </si>
  <si>
    <t>I397250</t>
  </si>
  <si>
    <t>I907952</t>
  </si>
  <si>
    <t>I147284</t>
  </si>
  <si>
    <t>I162794</t>
  </si>
  <si>
    <t>I266448</t>
  </si>
  <si>
    <t>I326582</t>
  </si>
  <si>
    <t>I117765</t>
  </si>
  <si>
    <t>I159574</t>
  </si>
  <si>
    <t>I168483</t>
  </si>
  <si>
    <t>I959992</t>
  </si>
  <si>
    <t>I111719</t>
  </si>
  <si>
    <t>I151540</t>
  </si>
  <si>
    <t>I152043</t>
  </si>
  <si>
    <t>I205366</t>
  </si>
  <si>
    <t>I228785</t>
  </si>
  <si>
    <t>I291389</t>
  </si>
  <si>
    <t>I333606</t>
  </si>
  <si>
    <t>I888458</t>
  </si>
  <si>
    <t>I264819</t>
  </si>
  <si>
    <t>I439223</t>
  </si>
  <si>
    <t>I806714</t>
  </si>
  <si>
    <t>I118757</t>
  </si>
  <si>
    <t>I125704</t>
  </si>
  <si>
    <t>I132135</t>
  </si>
  <si>
    <t>I179417</t>
  </si>
  <si>
    <t>I192063</t>
  </si>
  <si>
    <t>I264186</t>
  </si>
  <si>
    <t>I165771</t>
  </si>
  <si>
    <t>I167148</t>
  </si>
  <si>
    <t>I197932</t>
  </si>
  <si>
    <t>I295721</t>
  </si>
  <si>
    <t>I324423</t>
  </si>
  <si>
    <t>I834928</t>
  </si>
  <si>
    <t>I138426</t>
  </si>
  <si>
    <t>I196941</t>
  </si>
  <si>
    <t>I509314</t>
  </si>
  <si>
    <t>I249320</t>
  </si>
  <si>
    <t>I306394</t>
  </si>
  <si>
    <t>I334188</t>
  </si>
  <si>
    <t>I591945</t>
  </si>
  <si>
    <t>I840535</t>
  </si>
  <si>
    <t>I920924</t>
  </si>
  <si>
    <t>I112067</t>
  </si>
  <si>
    <t>I177680</t>
  </si>
  <si>
    <t>I242004</t>
  </si>
  <si>
    <t>I242823</t>
  </si>
  <si>
    <t>I354638</t>
  </si>
  <si>
    <t>I102075</t>
  </si>
  <si>
    <t>I106687</t>
  </si>
  <si>
    <t>I113767</t>
  </si>
  <si>
    <t>I148329</t>
  </si>
  <si>
    <t>I193271</t>
  </si>
  <si>
    <t>I331084</t>
  </si>
  <si>
    <t>I162734</t>
  </si>
  <si>
    <t>I234636</t>
  </si>
  <si>
    <t>I252806</t>
  </si>
  <si>
    <t>I266499</t>
  </si>
  <si>
    <t>I323465</t>
  </si>
  <si>
    <t>I329721</t>
  </si>
  <si>
    <t>I122185</t>
  </si>
  <si>
    <t>I224355</t>
  </si>
  <si>
    <t>I823227</t>
  </si>
  <si>
    <t>I127148</t>
  </si>
  <si>
    <t>I140404</t>
  </si>
  <si>
    <t>I174781</t>
  </si>
  <si>
    <t>I222463</t>
  </si>
  <si>
    <t>I260704</t>
  </si>
  <si>
    <t>I261166</t>
  </si>
  <si>
    <t>I279551</t>
  </si>
  <si>
    <t>I304302</t>
  </si>
  <si>
    <t>I140651</t>
  </si>
  <si>
    <t>I288481</t>
  </si>
  <si>
    <t>I325154</t>
  </si>
  <si>
    <t>I762381</t>
  </si>
  <si>
    <t>I787365</t>
  </si>
  <si>
    <t>I153382</t>
  </si>
  <si>
    <t>I167879</t>
  </si>
  <si>
    <t>I170160</t>
  </si>
  <si>
    <t>I186045</t>
  </si>
  <si>
    <t>I197190</t>
  </si>
  <si>
    <t>I198910</t>
  </si>
  <si>
    <t>I109774</t>
  </si>
  <si>
    <t>I142003</t>
  </si>
  <si>
    <t>I143353</t>
  </si>
  <si>
    <t>I152228</t>
  </si>
  <si>
    <t>I179001</t>
  </si>
  <si>
    <t>I219809</t>
  </si>
  <si>
    <t>I316612</t>
  </si>
  <si>
    <t>I378032</t>
  </si>
  <si>
    <t>I631901</t>
  </si>
  <si>
    <t>I854893</t>
  </si>
  <si>
    <t>I164470</t>
  </si>
  <si>
    <t>I174489</t>
  </si>
  <si>
    <t>I273207</t>
  </si>
  <si>
    <t>I796389</t>
  </si>
  <si>
    <t>I112270</t>
  </si>
  <si>
    <t>I125700</t>
  </si>
  <si>
    <t>I165654</t>
  </si>
  <si>
    <t>I750875</t>
  </si>
  <si>
    <t>I107705</t>
  </si>
  <si>
    <t>I109770</t>
  </si>
  <si>
    <t>I160545</t>
  </si>
  <si>
    <t>I205500</t>
  </si>
  <si>
    <t>I234673</t>
  </si>
  <si>
    <t>I245989</t>
  </si>
  <si>
    <t>I255881</t>
  </si>
  <si>
    <t>I325366</t>
  </si>
  <si>
    <t>I144806</t>
  </si>
  <si>
    <t>I147305</t>
  </si>
  <si>
    <t>I225893</t>
  </si>
  <si>
    <t>I228011</t>
  </si>
  <si>
    <t>I263686</t>
  </si>
  <si>
    <t>I339810</t>
  </si>
  <si>
    <t>I141278</t>
  </si>
  <si>
    <t>I147062</t>
  </si>
  <si>
    <t>I224742</t>
  </si>
  <si>
    <t>I293170</t>
  </si>
  <si>
    <t>I127088</t>
  </si>
  <si>
    <t>I145987</t>
  </si>
  <si>
    <t>I182101</t>
  </si>
  <si>
    <t>I189797</t>
  </si>
  <si>
    <t>I249823</t>
  </si>
  <si>
    <t>I300541</t>
  </si>
  <si>
    <t>I468361</t>
  </si>
  <si>
    <t>I121828</t>
  </si>
  <si>
    <t>I168146</t>
  </si>
  <si>
    <t>I321071</t>
  </si>
  <si>
    <t>I470450</t>
  </si>
  <si>
    <t>I114437</t>
  </si>
  <si>
    <t>I227931</t>
  </si>
  <si>
    <t>I229457</t>
  </si>
  <si>
    <t>I260326</t>
  </si>
  <si>
    <t>I335650</t>
  </si>
  <si>
    <t>I338249</t>
  </si>
  <si>
    <t>I381519</t>
  </si>
  <si>
    <t>I731911</t>
  </si>
  <si>
    <t>I144150</t>
  </si>
  <si>
    <t>I147481</t>
  </si>
  <si>
    <t>I169143</t>
  </si>
  <si>
    <t>I240382</t>
  </si>
  <si>
    <t>I268882</t>
  </si>
  <si>
    <t>I321103</t>
  </si>
  <si>
    <t>I158553</t>
  </si>
  <si>
    <t>I169427</t>
  </si>
  <si>
    <t>I107355</t>
  </si>
  <si>
    <t>I131688</t>
  </si>
  <si>
    <t>I218763</t>
  </si>
  <si>
    <t>I273366</t>
  </si>
  <si>
    <t>I940151</t>
  </si>
  <si>
    <t>I953811</t>
  </si>
  <si>
    <t>I113728</t>
  </si>
  <si>
    <t>I175312</t>
  </si>
  <si>
    <t>I508173</t>
  </si>
  <si>
    <t>I108695</t>
  </si>
  <si>
    <t>I229318</t>
  </si>
  <si>
    <t>I279474</t>
  </si>
  <si>
    <t>I279968</t>
  </si>
  <si>
    <t>I305859</t>
  </si>
  <si>
    <t>I448498</t>
  </si>
  <si>
    <t>I268666</t>
  </si>
  <si>
    <t>I275965</t>
  </si>
  <si>
    <t>I310227</t>
  </si>
  <si>
    <t>I316249</t>
  </si>
  <si>
    <t>I434161</t>
  </si>
  <si>
    <t>I504429</t>
  </si>
  <si>
    <t>I884261</t>
  </si>
  <si>
    <t>I117192</t>
  </si>
  <si>
    <t>I167528</t>
  </si>
  <si>
    <t>I224689</t>
  </si>
  <si>
    <t>I239751</t>
  </si>
  <si>
    <t>I283910</t>
  </si>
  <si>
    <t>I289789</t>
  </si>
  <si>
    <t>I573734</t>
  </si>
  <si>
    <t>I907971</t>
  </si>
  <si>
    <t>I129302</t>
  </si>
  <si>
    <t>I282685</t>
  </si>
  <si>
    <t>I327129</t>
  </si>
  <si>
    <t>I344433</t>
  </si>
  <si>
    <t>I563052</t>
  </si>
  <si>
    <t>I102737</t>
  </si>
  <si>
    <t>I116287</t>
  </si>
  <si>
    <t>I118539</t>
  </si>
  <si>
    <t>I122060</t>
  </si>
  <si>
    <t>I130995</t>
  </si>
  <si>
    <t>I138828</t>
  </si>
  <si>
    <t>I145018</t>
  </si>
  <si>
    <t>I258356</t>
  </si>
  <si>
    <t>I338366</t>
  </si>
  <si>
    <t>I412259</t>
  </si>
  <si>
    <t>I229018</t>
  </si>
  <si>
    <t>I233105</t>
  </si>
  <si>
    <t>I538953</t>
  </si>
  <si>
    <t>I183840</t>
  </si>
  <si>
    <t>I246402</t>
  </si>
  <si>
    <t>I248538</t>
  </si>
  <si>
    <t>I299869</t>
  </si>
  <si>
    <t>I308034</t>
  </si>
  <si>
    <t>I953720</t>
  </si>
  <si>
    <t>I273156</t>
  </si>
  <si>
    <t>I310415</t>
  </si>
  <si>
    <t>I613571</t>
  </si>
  <si>
    <t>I942584</t>
  </si>
  <si>
    <t>I106866</t>
  </si>
  <si>
    <t>I153656</t>
  </si>
  <si>
    <t>I189942</t>
  </si>
  <si>
    <t>I106330</t>
  </si>
  <si>
    <t>I229390</t>
  </si>
  <si>
    <t>I176625</t>
  </si>
  <si>
    <t>I283971</t>
  </si>
  <si>
    <t>I355386</t>
  </si>
  <si>
    <t>I105081</t>
  </si>
  <si>
    <t>I137646</t>
  </si>
  <si>
    <t>I149601</t>
  </si>
  <si>
    <t>I333100</t>
  </si>
  <si>
    <t>I115585</t>
  </si>
  <si>
    <t>I170015</t>
  </si>
  <si>
    <t>I171186</t>
  </si>
  <si>
    <t>I201818</t>
  </si>
  <si>
    <t>I310514</t>
  </si>
  <si>
    <t>I326733</t>
  </si>
  <si>
    <t>I854147</t>
  </si>
  <si>
    <t>I148039</t>
  </si>
  <si>
    <t>I202854</t>
  </si>
  <si>
    <t>I209629</t>
  </si>
  <si>
    <t>I237083</t>
  </si>
  <si>
    <t>I275670</t>
  </si>
  <si>
    <t>I333791</t>
  </si>
  <si>
    <t>I126737</t>
  </si>
  <si>
    <t>I133661</t>
  </si>
  <si>
    <t>I151488</t>
  </si>
  <si>
    <t>I265860</t>
  </si>
  <si>
    <t>I283789</t>
  </si>
  <si>
    <t>I241369</t>
  </si>
  <si>
    <t>I295424</t>
  </si>
  <si>
    <t>I576277</t>
  </si>
  <si>
    <t>I807536</t>
  </si>
  <si>
    <t>I925190</t>
  </si>
  <si>
    <t>I110183</t>
  </si>
  <si>
    <t>I222938</t>
  </si>
  <si>
    <t>I255774</t>
  </si>
  <si>
    <t>I263358</t>
  </si>
  <si>
    <t>I339430</t>
  </si>
  <si>
    <t>I190092</t>
  </si>
  <si>
    <t>I197401</t>
  </si>
  <si>
    <t>I231445</t>
  </si>
  <si>
    <t>I245614</t>
  </si>
  <si>
    <t>I304380</t>
  </si>
  <si>
    <t>I440546</t>
  </si>
  <si>
    <t>I726482</t>
  </si>
  <si>
    <t>I777810</t>
  </si>
  <si>
    <t>I950429</t>
  </si>
  <si>
    <t>I114177</t>
  </si>
  <si>
    <t>I116614</t>
  </si>
  <si>
    <t>I251763</t>
  </si>
  <si>
    <t>I846963</t>
  </si>
  <si>
    <t>I926542</t>
  </si>
  <si>
    <t>I133496</t>
  </si>
  <si>
    <t>I197620</t>
  </si>
  <si>
    <t>I210074</t>
  </si>
  <si>
    <t>I329784</t>
  </si>
  <si>
    <t>I599128</t>
  </si>
  <si>
    <t>I741054</t>
  </si>
  <si>
    <t>I128927</t>
  </si>
  <si>
    <t>I288760</t>
  </si>
  <si>
    <t>I343920</t>
  </si>
  <si>
    <t>I465045</t>
  </si>
  <si>
    <t>I223568</t>
  </si>
  <si>
    <t>I168116</t>
  </si>
  <si>
    <t>I222357</t>
  </si>
  <si>
    <t>I289270</t>
  </si>
  <si>
    <t>I439294</t>
  </si>
  <si>
    <t>I682596</t>
  </si>
  <si>
    <t>I824854</t>
  </si>
  <si>
    <t>I129773</t>
  </si>
  <si>
    <t>I190686</t>
  </si>
  <si>
    <t>I211711</t>
  </si>
  <si>
    <t>I226026</t>
  </si>
  <si>
    <t>I275623</t>
  </si>
  <si>
    <t>I335632</t>
  </si>
  <si>
    <t>I788206</t>
  </si>
  <si>
    <t>I200289</t>
  </si>
  <si>
    <t>I216844</t>
  </si>
  <si>
    <t>I304506</t>
  </si>
  <si>
    <t>I307334</t>
  </si>
  <si>
    <t>I651154</t>
  </si>
  <si>
    <t>I707253</t>
  </si>
  <si>
    <t>I745394</t>
  </si>
  <si>
    <t>I205041</t>
  </si>
  <si>
    <t>I316501</t>
  </si>
  <si>
    <t>I173395</t>
  </si>
  <si>
    <t>I242727</t>
  </si>
  <si>
    <t>I285735</t>
  </si>
  <si>
    <t>I135338</t>
  </si>
  <si>
    <t>I142134</t>
  </si>
  <si>
    <t>I177050</t>
  </si>
  <si>
    <t>I280133</t>
  </si>
  <si>
    <t>I300597</t>
  </si>
  <si>
    <t>I581832</t>
  </si>
  <si>
    <t>I179434</t>
  </si>
  <si>
    <t>I228636</t>
  </si>
  <si>
    <t>I254105</t>
  </si>
  <si>
    <t>I294211</t>
  </si>
  <si>
    <t>I170927</t>
  </si>
  <si>
    <t>I271032</t>
  </si>
  <si>
    <t>I540823</t>
  </si>
  <si>
    <t>I853355</t>
  </si>
  <si>
    <t>I883811</t>
  </si>
  <si>
    <t>I904046</t>
  </si>
  <si>
    <t>I144171</t>
  </si>
  <si>
    <t>I191678</t>
  </si>
  <si>
    <t>I325667</t>
  </si>
  <si>
    <t>I337488</t>
  </si>
  <si>
    <t>I338286</t>
  </si>
  <si>
    <t>I970794</t>
  </si>
  <si>
    <t>I187954</t>
  </si>
  <si>
    <t>I307208</t>
  </si>
  <si>
    <t>I915945</t>
  </si>
  <si>
    <t>I111544</t>
  </si>
  <si>
    <t>I133821</t>
  </si>
  <si>
    <t>I267545</t>
  </si>
  <si>
    <t>I102886</t>
  </si>
  <si>
    <t>I151099</t>
  </si>
  <si>
    <t>I163827</t>
  </si>
  <si>
    <t>I232704</t>
  </si>
  <si>
    <t>I259928</t>
  </si>
  <si>
    <t>I132877</t>
  </si>
  <si>
    <t>I149158</t>
  </si>
  <si>
    <t>I205271</t>
  </si>
  <si>
    <t>I296800</t>
  </si>
  <si>
    <t>I399563</t>
  </si>
  <si>
    <t>I545654</t>
  </si>
  <si>
    <t>I271973</t>
  </si>
  <si>
    <t>I491489</t>
  </si>
  <si>
    <t>I316054</t>
  </si>
  <si>
    <t>I351506</t>
  </si>
  <si>
    <t>I392220</t>
  </si>
  <si>
    <t>I170200</t>
  </si>
  <si>
    <t>I320096</t>
  </si>
  <si>
    <t>I139342</t>
  </si>
  <si>
    <t>I157750</t>
  </si>
  <si>
    <t>I172641</t>
  </si>
  <si>
    <t>I209744</t>
  </si>
  <si>
    <t>I121795</t>
  </si>
  <si>
    <t>I206307</t>
  </si>
  <si>
    <t>I289891</t>
  </si>
  <si>
    <t>I313742</t>
  </si>
  <si>
    <t>I189976</t>
  </si>
  <si>
    <t>I202792</t>
  </si>
  <si>
    <t>I251794</t>
  </si>
  <si>
    <t>I258186</t>
  </si>
  <si>
    <t>I152483</t>
  </si>
  <si>
    <t>I197295</t>
  </si>
  <si>
    <t>I211035</t>
  </si>
  <si>
    <t>I240050</t>
  </si>
  <si>
    <t>I310814</t>
  </si>
  <si>
    <t>I320229</t>
  </si>
  <si>
    <t>I479228</t>
  </si>
  <si>
    <t>I739067</t>
  </si>
  <si>
    <t>I220444</t>
  </si>
  <si>
    <t>I454912</t>
  </si>
  <si>
    <t>I110844</t>
  </si>
  <si>
    <t>I163005</t>
  </si>
  <si>
    <t>I214984</t>
  </si>
  <si>
    <t>I304157</t>
  </si>
  <si>
    <t>I430525</t>
  </si>
  <si>
    <t>I652436</t>
  </si>
  <si>
    <t>I979197</t>
  </si>
  <si>
    <t>I134524</t>
  </si>
  <si>
    <t>I148800</t>
  </si>
  <si>
    <t>I204684</t>
  </si>
  <si>
    <t>I604905</t>
  </si>
  <si>
    <t>I786441</t>
  </si>
  <si>
    <t>I229690</t>
  </si>
  <si>
    <t>I235786</t>
  </si>
  <si>
    <t>I272016</t>
  </si>
  <si>
    <t>I305844</t>
  </si>
  <si>
    <t>I493539</t>
  </si>
  <si>
    <t>I938538</t>
  </si>
  <si>
    <t>I965361</t>
  </si>
  <si>
    <t>I168429</t>
  </si>
  <si>
    <t>I227452</t>
  </si>
  <si>
    <t>I231784</t>
  </si>
  <si>
    <t>I240857</t>
  </si>
  <si>
    <t>I289161</t>
  </si>
  <si>
    <t>I147750</t>
  </si>
  <si>
    <t>I204147</t>
  </si>
  <si>
    <t>I211489</t>
  </si>
  <si>
    <t>I256916</t>
  </si>
  <si>
    <t>I144887</t>
  </si>
  <si>
    <t>I177479</t>
  </si>
  <si>
    <t>I252340</t>
  </si>
  <si>
    <t>I323286</t>
  </si>
  <si>
    <t>I323635</t>
  </si>
  <si>
    <t>I827766</t>
  </si>
  <si>
    <t>I284094</t>
  </si>
  <si>
    <t>I328455</t>
  </si>
  <si>
    <t>I872574</t>
  </si>
  <si>
    <t>I112931</t>
  </si>
  <si>
    <t>I224712</t>
  </si>
  <si>
    <t>I244714</t>
  </si>
  <si>
    <t>I261290</t>
  </si>
  <si>
    <t>I478385</t>
  </si>
  <si>
    <t>I139308</t>
  </si>
  <si>
    <t>I246348</t>
  </si>
  <si>
    <t>I261029</t>
  </si>
  <si>
    <t>I292313</t>
  </si>
  <si>
    <t>I103308</t>
  </si>
  <si>
    <t>I279942</t>
  </si>
  <si>
    <t>I307376</t>
  </si>
  <si>
    <t>I324851</t>
  </si>
  <si>
    <t>I159912</t>
  </si>
  <si>
    <t>I791906</t>
  </si>
  <si>
    <t>I799294</t>
  </si>
  <si>
    <t>I894668</t>
  </si>
  <si>
    <t>I138961</t>
  </si>
  <si>
    <t>I185484</t>
  </si>
  <si>
    <t>I210700</t>
  </si>
  <si>
    <t>I212970</t>
  </si>
  <si>
    <t>I214165</t>
  </si>
  <si>
    <t>I231156</t>
  </si>
  <si>
    <t>I276989</t>
  </si>
  <si>
    <t>I623946</t>
  </si>
  <si>
    <t>I160539</t>
  </si>
  <si>
    <t>I171656</t>
  </si>
  <si>
    <t>I180839</t>
  </si>
  <si>
    <t>I274755</t>
  </si>
  <si>
    <t>I338518</t>
  </si>
  <si>
    <t>I108359</t>
  </si>
  <si>
    <t>I284879</t>
  </si>
  <si>
    <t>I210221</t>
  </si>
  <si>
    <t>I242512</t>
  </si>
  <si>
    <t>I267683</t>
  </si>
  <si>
    <t>I287643</t>
  </si>
  <si>
    <t>I635168</t>
  </si>
  <si>
    <t>I202868</t>
  </si>
  <si>
    <t>I138888</t>
  </si>
  <si>
    <t>I151560</t>
  </si>
  <si>
    <t>I258931</t>
  </si>
  <si>
    <t>I329045</t>
  </si>
  <si>
    <t>I505078</t>
  </si>
  <si>
    <t>I988477</t>
  </si>
  <si>
    <t>I228276</t>
  </si>
  <si>
    <t>I769237</t>
  </si>
  <si>
    <t>I184493</t>
  </si>
  <si>
    <t>I252366</t>
  </si>
  <si>
    <t>I317820</t>
  </si>
  <si>
    <t>I336053</t>
  </si>
  <si>
    <t>I466322</t>
  </si>
  <si>
    <t>I164665</t>
  </si>
  <si>
    <t>I172175</t>
  </si>
  <si>
    <t>I221655</t>
  </si>
  <si>
    <t>I275256</t>
  </si>
  <si>
    <t>I129050</t>
  </si>
  <si>
    <t>I319110</t>
  </si>
  <si>
    <t>I331409</t>
  </si>
  <si>
    <t>I153004</t>
  </si>
  <si>
    <t>I154160</t>
  </si>
  <si>
    <t>I200440</t>
  </si>
  <si>
    <t>I337710</t>
  </si>
  <si>
    <t>I157207</t>
  </si>
  <si>
    <t>I191853</t>
  </si>
  <si>
    <t>I251865</t>
  </si>
  <si>
    <t>I332108</t>
  </si>
  <si>
    <t>I207792</t>
  </si>
  <si>
    <t>I574237</t>
  </si>
  <si>
    <t>I206167</t>
  </si>
  <si>
    <t>I825155</t>
  </si>
  <si>
    <t>I172517</t>
  </si>
  <si>
    <t>I202398</t>
  </si>
  <si>
    <t>I306422</t>
  </si>
  <si>
    <t>I735112</t>
  </si>
  <si>
    <t>I869543</t>
  </si>
  <si>
    <t>I134258</t>
  </si>
  <si>
    <t>I204623</t>
  </si>
  <si>
    <t>I228911</t>
  </si>
  <si>
    <t>I176192</t>
  </si>
  <si>
    <t>I261639</t>
  </si>
  <si>
    <t>I306150</t>
  </si>
  <si>
    <t>I312520</t>
  </si>
  <si>
    <t>I330904</t>
  </si>
  <si>
    <t>I536684</t>
  </si>
  <si>
    <t>I572503</t>
  </si>
  <si>
    <t>I123522</t>
  </si>
  <si>
    <t>I431112</t>
  </si>
  <si>
    <t>I731511</t>
  </si>
  <si>
    <t>I133396</t>
  </si>
  <si>
    <t>I183631</t>
  </si>
  <si>
    <t>I267167</t>
  </si>
  <si>
    <t>I642158</t>
  </si>
  <si>
    <t>I120644</t>
  </si>
  <si>
    <t>I123471</t>
  </si>
  <si>
    <t>I278750</t>
  </si>
  <si>
    <t>I312466</t>
  </si>
  <si>
    <t>I317850</t>
  </si>
  <si>
    <t>I784429</t>
  </si>
  <si>
    <t>I838073</t>
  </si>
  <si>
    <t>I998832</t>
  </si>
  <si>
    <t>I195981</t>
  </si>
  <si>
    <t>I235098</t>
  </si>
  <si>
    <t>I322854</t>
  </si>
  <si>
    <t>I406748</t>
  </si>
  <si>
    <t>I778549</t>
  </si>
  <si>
    <t>I131054</t>
  </si>
  <si>
    <t>I333263</t>
  </si>
  <si>
    <t>I454239</t>
  </si>
  <si>
    <t>I580278</t>
  </si>
  <si>
    <t>I146743</t>
  </si>
  <si>
    <t>I194798</t>
  </si>
  <si>
    <t>I215014</t>
  </si>
  <si>
    <t>I237550</t>
  </si>
  <si>
    <t>I168251</t>
  </si>
  <si>
    <t>I176989</t>
  </si>
  <si>
    <t>I260525</t>
  </si>
  <si>
    <t>I308594</t>
  </si>
  <si>
    <t>I322988</t>
  </si>
  <si>
    <t>I102371</t>
  </si>
  <si>
    <t>I118000</t>
  </si>
  <si>
    <t>I174678</t>
  </si>
  <si>
    <t>I191116</t>
  </si>
  <si>
    <t>I191403</t>
  </si>
  <si>
    <t>I226957</t>
  </si>
  <si>
    <t>I243729</t>
  </si>
  <si>
    <t>I251855</t>
  </si>
  <si>
    <t>I304020</t>
  </si>
  <si>
    <t>I266017</t>
  </si>
  <si>
    <t>I490952</t>
  </si>
  <si>
    <t>I694304</t>
  </si>
  <si>
    <t>I105769</t>
  </si>
  <si>
    <t>I262830</t>
  </si>
  <si>
    <t>I492848</t>
  </si>
  <si>
    <t>I172756</t>
  </si>
  <si>
    <t>I175688</t>
  </si>
  <si>
    <t>I185510</t>
  </si>
  <si>
    <t>I211911</t>
  </si>
  <si>
    <t>I286523</t>
  </si>
  <si>
    <t>I311309</t>
  </si>
  <si>
    <t>I779382</t>
  </si>
  <si>
    <t>I180984</t>
  </si>
  <si>
    <t>I189899</t>
  </si>
  <si>
    <t>I226548</t>
  </si>
  <si>
    <t>I299894</t>
  </si>
  <si>
    <t>I312120</t>
  </si>
  <si>
    <t>I323323</t>
  </si>
  <si>
    <t>I995914</t>
  </si>
  <si>
    <t>I103594</t>
  </si>
  <si>
    <t>I209920</t>
  </si>
  <si>
    <t>I221555</t>
  </si>
  <si>
    <t>I257890</t>
  </si>
  <si>
    <t>I301884</t>
  </si>
  <si>
    <t>I359519</t>
  </si>
  <si>
    <t>I163830</t>
  </si>
  <si>
    <t>I195610</t>
  </si>
  <si>
    <t>I246470</t>
  </si>
  <si>
    <t>I263555</t>
  </si>
  <si>
    <t>I527648</t>
  </si>
  <si>
    <t>I908600</t>
  </si>
  <si>
    <t>I163771</t>
  </si>
  <si>
    <t>I167157</t>
  </si>
  <si>
    <t>I338169</t>
  </si>
  <si>
    <t>I404306</t>
  </si>
  <si>
    <t>I747491</t>
  </si>
  <si>
    <t>I902662</t>
  </si>
  <si>
    <t>I199791</t>
  </si>
  <si>
    <t>I221631</t>
  </si>
  <si>
    <t>I227112</t>
  </si>
  <si>
    <t>I844366</t>
  </si>
  <si>
    <t>I193113</t>
  </si>
  <si>
    <t>I223446</t>
  </si>
  <si>
    <t>I229172</t>
  </si>
  <si>
    <t>I232938</t>
  </si>
  <si>
    <t>I124576</t>
  </si>
  <si>
    <t>I244653</t>
  </si>
  <si>
    <t>I936915</t>
  </si>
  <si>
    <t>I995407</t>
  </si>
  <si>
    <t>I137526</t>
  </si>
  <si>
    <t>I197354</t>
  </si>
  <si>
    <t>I322457</t>
  </si>
  <si>
    <t>I860717</t>
  </si>
  <si>
    <t>I124751</t>
  </si>
  <si>
    <t>I251184</t>
  </si>
  <si>
    <t>I257168</t>
  </si>
  <si>
    <t>I269923</t>
  </si>
  <si>
    <t>I271175</t>
  </si>
  <si>
    <t>I294226</t>
  </si>
  <si>
    <t>I295281</t>
  </si>
  <si>
    <t>I317462</t>
  </si>
  <si>
    <t>I457241</t>
  </si>
  <si>
    <t>I140001</t>
  </si>
  <si>
    <t>I186666</t>
  </si>
  <si>
    <t>I774205</t>
  </si>
  <si>
    <t>I119281</t>
  </si>
  <si>
    <t>I173120</t>
  </si>
  <si>
    <t>I186611</t>
  </si>
  <si>
    <t>I301451</t>
  </si>
  <si>
    <t>I328590</t>
  </si>
  <si>
    <t>I563988</t>
  </si>
  <si>
    <t>I100735</t>
  </si>
  <si>
    <t>I119613</t>
  </si>
  <si>
    <t>I151181</t>
  </si>
  <si>
    <t>I236815</t>
  </si>
  <si>
    <t>I167153</t>
  </si>
  <si>
    <t>I167642</t>
  </si>
  <si>
    <t>I221501</t>
  </si>
  <si>
    <t>I332582</t>
  </si>
  <si>
    <t>I814282</t>
  </si>
  <si>
    <t>I105807</t>
  </si>
  <si>
    <t>I129260</t>
  </si>
  <si>
    <t>I132182</t>
  </si>
  <si>
    <t>I199384</t>
  </si>
  <si>
    <t>I294925</t>
  </si>
  <si>
    <t>I632219</t>
  </si>
  <si>
    <t>I116237</t>
  </si>
  <si>
    <t>I253080</t>
  </si>
  <si>
    <t>I158638</t>
  </si>
  <si>
    <t>I909072</t>
  </si>
  <si>
    <t>I101832</t>
  </si>
  <si>
    <t>I295964</t>
  </si>
  <si>
    <t>I135205</t>
  </si>
  <si>
    <t>I498026</t>
  </si>
  <si>
    <t>I707819</t>
  </si>
  <si>
    <t>I144412</t>
  </si>
  <si>
    <t>I147013</t>
  </si>
  <si>
    <t>I198402</t>
  </si>
  <si>
    <t>I215362</t>
  </si>
  <si>
    <t>I266784</t>
  </si>
  <si>
    <t>I912324</t>
  </si>
  <si>
    <t>I164695</t>
  </si>
  <si>
    <t>I221374</t>
  </si>
  <si>
    <t>I704384</t>
  </si>
  <si>
    <t>I705401</t>
  </si>
  <si>
    <t>I100614</t>
  </si>
  <si>
    <t>I461943</t>
  </si>
  <si>
    <t>I228888</t>
  </si>
  <si>
    <t>I245312</t>
  </si>
  <si>
    <t>I335244</t>
  </si>
  <si>
    <t>I167718</t>
  </si>
  <si>
    <t>I198802</t>
  </si>
  <si>
    <t>I268073</t>
  </si>
  <si>
    <t>I323259</t>
  </si>
  <si>
    <t>I133403</t>
  </si>
  <si>
    <t>I252777</t>
  </si>
  <si>
    <t>I114664</t>
  </si>
  <si>
    <t>I133637</t>
  </si>
  <si>
    <t>I177104</t>
  </si>
  <si>
    <t>I213763</t>
  </si>
  <si>
    <t>I850294</t>
  </si>
  <si>
    <t>I106271</t>
  </si>
  <si>
    <t>I112478</t>
  </si>
  <si>
    <t>I278655</t>
  </si>
  <si>
    <t>I305509</t>
  </si>
  <si>
    <t>I335001</t>
  </si>
  <si>
    <t>I336434</t>
  </si>
  <si>
    <t>I184484</t>
  </si>
  <si>
    <t>I215654</t>
  </si>
  <si>
    <t>I264838</t>
  </si>
  <si>
    <t>I304531</t>
  </si>
  <si>
    <t>I208751</t>
  </si>
  <si>
    <t>I209231</t>
  </si>
  <si>
    <t>I304944</t>
  </si>
  <si>
    <t>I488800</t>
  </si>
  <si>
    <t>I160463</t>
  </si>
  <si>
    <t>I222358</t>
  </si>
  <si>
    <t>I248898</t>
  </si>
  <si>
    <t>I304108</t>
  </si>
  <si>
    <t>I115242</t>
  </si>
  <si>
    <t>I133464</t>
  </si>
  <si>
    <t>I217383</t>
  </si>
  <si>
    <t>I272195</t>
  </si>
  <si>
    <t>I298130</t>
  </si>
  <si>
    <t>I142196</t>
  </si>
  <si>
    <t>I177082</t>
  </si>
  <si>
    <t>I338569</t>
  </si>
  <si>
    <t>I433688</t>
  </si>
  <si>
    <t>I828217</t>
  </si>
  <si>
    <t>I233553</t>
  </si>
  <si>
    <t>I236615</t>
  </si>
  <si>
    <t>I162399</t>
  </si>
  <si>
    <t>I173288</t>
  </si>
  <si>
    <t>I174241</t>
  </si>
  <si>
    <t>I177868</t>
  </si>
  <si>
    <t>I177918</t>
  </si>
  <si>
    <t>I264939</t>
  </si>
  <si>
    <t>I884668</t>
  </si>
  <si>
    <t>I202687</t>
  </si>
  <si>
    <t>I256253</t>
  </si>
  <si>
    <t>I702817</t>
  </si>
  <si>
    <t>I115640</t>
  </si>
  <si>
    <t>I118084</t>
  </si>
  <si>
    <t>I205964</t>
  </si>
  <si>
    <t>I245646</t>
  </si>
  <si>
    <t>I771180</t>
  </si>
  <si>
    <t>I167014</t>
  </si>
  <si>
    <t>I309813</t>
  </si>
  <si>
    <t>I309920</t>
  </si>
  <si>
    <t>I314064</t>
  </si>
  <si>
    <t>I987243</t>
  </si>
  <si>
    <t>I105585</t>
  </si>
  <si>
    <t>I190845</t>
  </si>
  <si>
    <t>I272322</t>
  </si>
  <si>
    <t>I509775</t>
  </si>
  <si>
    <t>I960185</t>
  </si>
  <si>
    <t>I174723</t>
  </si>
  <si>
    <t>I210034</t>
  </si>
  <si>
    <t>I266997</t>
  </si>
  <si>
    <t>I319572</t>
  </si>
  <si>
    <t>I632642</t>
  </si>
  <si>
    <t>I769845</t>
  </si>
  <si>
    <t>I909928</t>
  </si>
  <si>
    <t>I138200</t>
  </si>
  <si>
    <t>I294891</t>
  </si>
  <si>
    <t>I362416</t>
  </si>
  <si>
    <t>I112108</t>
  </si>
  <si>
    <t>I123432</t>
  </si>
  <si>
    <t>I149132</t>
  </si>
  <si>
    <t>I178089</t>
  </si>
  <si>
    <t>I203099</t>
  </si>
  <si>
    <t>I211723</t>
  </si>
  <si>
    <t>I294353</t>
  </si>
  <si>
    <t>I313413</t>
  </si>
  <si>
    <t>I710720</t>
  </si>
  <si>
    <t>I122368</t>
  </si>
  <si>
    <t>I323413</t>
  </si>
  <si>
    <t>I153466</t>
  </si>
  <si>
    <t>I233133</t>
  </si>
  <si>
    <t>I262566</t>
  </si>
  <si>
    <t>I282695</t>
  </si>
  <si>
    <t>I487178</t>
  </si>
  <si>
    <t>I113808</t>
  </si>
  <si>
    <t>I246114</t>
  </si>
  <si>
    <t>I324532</t>
  </si>
  <si>
    <t>I346029</t>
  </si>
  <si>
    <t>I115679</t>
  </si>
  <si>
    <t>I192856</t>
  </si>
  <si>
    <t>I224840</t>
  </si>
  <si>
    <t>I225758</t>
  </si>
  <si>
    <t>I366168</t>
  </si>
  <si>
    <t>I478428</t>
  </si>
  <si>
    <t>I833827</t>
  </si>
  <si>
    <t>I127801</t>
  </si>
  <si>
    <t>I204088</t>
  </si>
  <si>
    <t>I482762</t>
  </si>
  <si>
    <t>I102284</t>
  </si>
  <si>
    <t>I210726</t>
  </si>
  <si>
    <t>I237433</t>
  </si>
  <si>
    <t>I277348</t>
  </si>
  <si>
    <t>I313739</t>
  </si>
  <si>
    <t>I331559</t>
  </si>
  <si>
    <t>I191967</t>
  </si>
  <si>
    <t>I263279</t>
  </si>
  <si>
    <t>I129963</t>
  </si>
  <si>
    <t>I150521</t>
  </si>
  <si>
    <t>I219555</t>
  </si>
  <si>
    <t>I296899</t>
  </si>
  <si>
    <t>I688460</t>
  </si>
  <si>
    <t>I122274</t>
  </si>
  <si>
    <t>I225155</t>
  </si>
  <si>
    <t>I237482</t>
  </si>
  <si>
    <t>I180914</t>
  </si>
  <si>
    <t>I276020</t>
  </si>
  <si>
    <t>I310539</t>
  </si>
  <si>
    <t>I315416</t>
  </si>
  <si>
    <t>I942018</t>
  </si>
  <si>
    <t>I948837</t>
  </si>
  <si>
    <t>I133579</t>
  </si>
  <si>
    <t>I186700</t>
  </si>
  <si>
    <t>I235828</t>
  </si>
  <si>
    <t>I281474</t>
  </si>
  <si>
    <t>I299537</t>
  </si>
  <si>
    <t>I107963</t>
  </si>
  <si>
    <t>I155250</t>
  </si>
  <si>
    <t>I196870</t>
  </si>
  <si>
    <t>I264760</t>
  </si>
  <si>
    <t>I299483</t>
  </si>
  <si>
    <t>I988120</t>
  </si>
  <si>
    <t>I113500</t>
  </si>
  <si>
    <t>I131869</t>
  </si>
  <si>
    <t>I300807</t>
  </si>
  <si>
    <t>I753009</t>
  </si>
  <si>
    <t>I147871</t>
  </si>
  <si>
    <t>I211758</t>
  </si>
  <si>
    <t>I752673</t>
  </si>
  <si>
    <t>I129769</t>
  </si>
  <si>
    <t>I247847</t>
  </si>
  <si>
    <t>I756748</t>
  </si>
  <si>
    <t>I940840</t>
  </si>
  <si>
    <t>I166657</t>
  </si>
  <si>
    <t>I203178</t>
  </si>
  <si>
    <t>I220336</t>
  </si>
  <si>
    <t>I237669</t>
  </si>
  <si>
    <t>I257349</t>
  </si>
  <si>
    <t>I283610</t>
  </si>
  <si>
    <t>I408750</t>
  </si>
  <si>
    <t>I760220</t>
  </si>
  <si>
    <t>I103559</t>
  </si>
  <si>
    <t>I154220</t>
  </si>
  <si>
    <t>I180457</t>
  </si>
  <si>
    <t>I283507</t>
  </si>
  <si>
    <t>I101185</t>
  </si>
  <si>
    <t>I218828</t>
  </si>
  <si>
    <t>I288878</t>
  </si>
  <si>
    <t>I331046</t>
  </si>
  <si>
    <t>I426443</t>
  </si>
  <si>
    <t>I556390</t>
  </si>
  <si>
    <t>I640051</t>
  </si>
  <si>
    <t>I233609</t>
  </si>
  <si>
    <t>I593416</t>
  </si>
  <si>
    <t>I868386</t>
  </si>
  <si>
    <t>I110135</t>
  </si>
  <si>
    <t>I175764</t>
  </si>
  <si>
    <t>I296672</t>
  </si>
  <si>
    <t>I462596</t>
  </si>
  <si>
    <t>I690350</t>
  </si>
  <si>
    <t>I172592</t>
  </si>
  <si>
    <t>I314938</t>
  </si>
  <si>
    <t>I657367</t>
  </si>
  <si>
    <t>I218398</t>
  </si>
  <si>
    <t>I288152</t>
  </si>
  <si>
    <t>I337848</t>
  </si>
  <si>
    <t>I164233</t>
  </si>
  <si>
    <t>I209250</t>
  </si>
  <si>
    <t>I284965</t>
  </si>
  <si>
    <t>I293153</t>
  </si>
  <si>
    <t>I294793</t>
  </si>
  <si>
    <t>I330798</t>
  </si>
  <si>
    <t>I519010</t>
  </si>
  <si>
    <t>I148769</t>
  </si>
  <si>
    <t>I148980</t>
  </si>
  <si>
    <t>I216982</t>
  </si>
  <si>
    <t>I206503</t>
  </si>
  <si>
    <t>I217824</t>
  </si>
  <si>
    <t>I242648</t>
  </si>
  <si>
    <t>I261172</t>
  </si>
  <si>
    <t>I326604</t>
  </si>
  <si>
    <t>I876334</t>
  </si>
  <si>
    <t>I101953</t>
  </si>
  <si>
    <t>I179048</t>
  </si>
  <si>
    <t>I255143</t>
  </si>
  <si>
    <t>I311902</t>
  </si>
  <si>
    <t>I176550</t>
  </si>
  <si>
    <t>I184976</t>
  </si>
  <si>
    <t>I299356</t>
  </si>
  <si>
    <t>I318626</t>
  </si>
  <si>
    <t>I200413</t>
  </si>
  <si>
    <t>I224349</t>
  </si>
  <si>
    <t>I241690</t>
  </si>
  <si>
    <t>I311467</t>
  </si>
  <si>
    <t>I325313</t>
  </si>
  <si>
    <t>I653552</t>
  </si>
  <si>
    <t>I126150</t>
  </si>
  <si>
    <t>I167622</t>
  </si>
  <si>
    <t>I210745</t>
  </si>
  <si>
    <t>I211823</t>
  </si>
  <si>
    <t>I265477</t>
  </si>
  <si>
    <t>I745047</t>
  </si>
  <si>
    <t>I896013</t>
  </si>
  <si>
    <t>I973505</t>
  </si>
  <si>
    <t>I151977</t>
  </si>
  <si>
    <t>I205893</t>
  </si>
  <si>
    <t>I494165</t>
  </si>
  <si>
    <t>I664068</t>
  </si>
  <si>
    <t>I707747</t>
  </si>
  <si>
    <t>I157494</t>
  </si>
  <si>
    <t>I244118</t>
  </si>
  <si>
    <t>I252115</t>
  </si>
  <si>
    <t>I294018</t>
  </si>
  <si>
    <t>I295193</t>
  </si>
  <si>
    <t>I867460</t>
  </si>
  <si>
    <t>I985808</t>
  </si>
  <si>
    <t>I115131</t>
  </si>
  <si>
    <t>I115301</t>
  </si>
  <si>
    <t>I132694</t>
  </si>
  <si>
    <t>I189660</t>
  </si>
  <si>
    <t>I193254</t>
  </si>
  <si>
    <t>I211225</t>
  </si>
  <si>
    <t>I283199</t>
  </si>
  <si>
    <t>I111242</t>
  </si>
  <si>
    <t>I122320</t>
  </si>
  <si>
    <t>I184463</t>
  </si>
  <si>
    <t>I214040</t>
  </si>
  <si>
    <t>I223863</t>
  </si>
  <si>
    <t>I166996</t>
  </si>
  <si>
    <t>I328321</t>
  </si>
  <si>
    <t>I137334</t>
  </si>
  <si>
    <t>I168438</t>
  </si>
  <si>
    <t>I190713</t>
  </si>
  <si>
    <t>I202248</t>
  </si>
  <si>
    <t>I203772</t>
  </si>
  <si>
    <t>I359051</t>
  </si>
  <si>
    <t>I249025</t>
  </si>
  <si>
    <t>I253679</t>
  </si>
  <si>
    <t>I307102</t>
  </si>
  <si>
    <t>I328925</t>
  </si>
  <si>
    <t>I937750</t>
  </si>
  <si>
    <t>I199851</t>
  </si>
  <si>
    <t>I225986</t>
  </si>
  <si>
    <t>I271715</t>
  </si>
  <si>
    <t>I300709</t>
  </si>
  <si>
    <t>I324047</t>
  </si>
  <si>
    <t>I228474</t>
  </si>
  <si>
    <t>I275218</t>
  </si>
  <si>
    <t>I378817</t>
  </si>
  <si>
    <t>I153451</t>
  </si>
  <si>
    <t>I198312</t>
  </si>
  <si>
    <t>I257612</t>
  </si>
  <si>
    <t>I742558</t>
  </si>
  <si>
    <t>I163948</t>
  </si>
  <si>
    <t>I180372</t>
  </si>
  <si>
    <t>I240532</t>
  </si>
  <si>
    <t>I294644</t>
  </si>
  <si>
    <t>I393839</t>
  </si>
  <si>
    <t>I122632</t>
  </si>
  <si>
    <t>I173175</t>
  </si>
  <si>
    <t>I177797</t>
  </si>
  <si>
    <t>I186578</t>
  </si>
  <si>
    <t>I208260</t>
  </si>
  <si>
    <t>I222861</t>
  </si>
  <si>
    <t>I266220</t>
  </si>
  <si>
    <t>I312185</t>
  </si>
  <si>
    <t>I133387</t>
  </si>
  <si>
    <t>I324785</t>
  </si>
  <si>
    <t>I367825</t>
  </si>
  <si>
    <t>I111840</t>
  </si>
  <si>
    <t>I194113</t>
  </si>
  <si>
    <t>I212421</t>
  </si>
  <si>
    <t>I232233</t>
  </si>
  <si>
    <t>I269052</t>
  </si>
  <si>
    <t>I109848</t>
  </si>
  <si>
    <t>I133449</t>
  </si>
  <si>
    <t>I142263</t>
  </si>
  <si>
    <t>I172841</t>
  </si>
  <si>
    <t>I241970</t>
  </si>
  <si>
    <t>I304143</t>
  </si>
  <si>
    <t>I550392</t>
  </si>
  <si>
    <t>I780362</t>
  </si>
  <si>
    <t>I166223</t>
  </si>
  <si>
    <t>I275139</t>
  </si>
  <si>
    <t>I325396</t>
  </si>
  <si>
    <t>I373839</t>
  </si>
  <si>
    <t>I133393</t>
  </si>
  <si>
    <t>I287543</t>
  </si>
  <si>
    <t>I292701</t>
  </si>
  <si>
    <t>I308730</t>
  </si>
  <si>
    <t>I724358</t>
  </si>
  <si>
    <t>I149026</t>
  </si>
  <si>
    <t>I166482</t>
  </si>
  <si>
    <t>I235877</t>
  </si>
  <si>
    <t>I297587</t>
  </si>
  <si>
    <t>I346405</t>
  </si>
  <si>
    <t>I101512</t>
  </si>
  <si>
    <t>I108038</t>
  </si>
  <si>
    <t>I145917</t>
  </si>
  <si>
    <t>I328624</t>
  </si>
  <si>
    <t>I181354</t>
  </si>
  <si>
    <t>I221797</t>
  </si>
  <si>
    <t>I236808</t>
  </si>
  <si>
    <t>I321147</t>
  </si>
  <si>
    <t>I323146</t>
  </si>
  <si>
    <t>I333651</t>
  </si>
  <si>
    <t>I860907</t>
  </si>
  <si>
    <t>I184859</t>
  </si>
  <si>
    <t>I196516</t>
  </si>
  <si>
    <t>I237255</t>
  </si>
  <si>
    <t>I449465</t>
  </si>
  <si>
    <t>I120550</t>
  </si>
  <si>
    <t>I172701</t>
  </si>
  <si>
    <t>I263821</t>
  </si>
  <si>
    <t>I321740</t>
  </si>
  <si>
    <t>I329493</t>
  </si>
  <si>
    <t>I379474</t>
  </si>
  <si>
    <t>I857861</t>
  </si>
  <si>
    <t>I147551</t>
  </si>
  <si>
    <t>I225445</t>
  </si>
  <si>
    <t>I267759</t>
  </si>
  <si>
    <t>I440986</t>
  </si>
  <si>
    <t>I788577</t>
  </si>
  <si>
    <t>I109086</t>
  </si>
  <si>
    <t>I124955</t>
  </si>
  <si>
    <t>I144791</t>
  </si>
  <si>
    <t>I239342</t>
  </si>
  <si>
    <t>I239902</t>
  </si>
  <si>
    <t>I295357</t>
  </si>
  <si>
    <t>I296235</t>
  </si>
  <si>
    <t>I137613</t>
  </si>
  <si>
    <t>I175347</t>
  </si>
  <si>
    <t>I221225</t>
  </si>
  <si>
    <t>I227236</t>
  </si>
  <si>
    <t>I335389</t>
  </si>
  <si>
    <t>I140188</t>
  </si>
  <si>
    <t>I168337</t>
  </si>
  <si>
    <t>I188298</t>
  </si>
  <si>
    <t>I228635</t>
  </si>
  <si>
    <t>I242650</t>
  </si>
  <si>
    <t>I325531</t>
  </si>
  <si>
    <t>I777011</t>
  </si>
  <si>
    <t>I101083</t>
  </si>
  <si>
    <t>I117661</t>
  </si>
  <si>
    <t>I136578</t>
  </si>
  <si>
    <t>I139202</t>
  </si>
  <si>
    <t>I212519</t>
  </si>
  <si>
    <t>I213642</t>
  </si>
  <si>
    <t>I130815</t>
  </si>
  <si>
    <t>I161359</t>
  </si>
  <si>
    <t>I166487</t>
  </si>
  <si>
    <t>I247145</t>
  </si>
  <si>
    <t>I290882</t>
  </si>
  <si>
    <t>I300273</t>
  </si>
  <si>
    <t>I330526</t>
  </si>
  <si>
    <t>I121239</t>
  </si>
  <si>
    <t>I151666</t>
  </si>
  <si>
    <t>I241999</t>
  </si>
  <si>
    <t>I421560</t>
  </si>
  <si>
    <t>I117253</t>
  </si>
  <si>
    <t>I131692</t>
  </si>
  <si>
    <t>I188190</t>
  </si>
  <si>
    <t>I197010</t>
  </si>
  <si>
    <t>I683663</t>
  </si>
  <si>
    <t>I776107</t>
  </si>
  <si>
    <t>I827069</t>
  </si>
  <si>
    <t>I119234</t>
  </si>
  <si>
    <t>I120979</t>
  </si>
  <si>
    <t>I221408</t>
  </si>
  <si>
    <t>I248729</t>
  </si>
  <si>
    <t>I560517</t>
  </si>
  <si>
    <t>I879795</t>
  </si>
  <si>
    <t>I222703</t>
  </si>
  <si>
    <t>I261720</t>
  </si>
  <si>
    <t>I377607</t>
  </si>
  <si>
    <t>I511722</t>
  </si>
  <si>
    <t>I905691</t>
  </si>
  <si>
    <t>I216883</t>
  </si>
  <si>
    <t>I220018</t>
  </si>
  <si>
    <t>I235510</t>
  </si>
  <si>
    <t>I312606</t>
  </si>
  <si>
    <t>I320846</t>
  </si>
  <si>
    <t>I528868</t>
  </si>
  <si>
    <t>I232113</t>
  </si>
  <si>
    <t>I336817</t>
  </si>
  <si>
    <t>I880893</t>
  </si>
  <si>
    <t>I884632</t>
  </si>
  <si>
    <t>I986399</t>
  </si>
  <si>
    <t>I270765</t>
  </si>
  <si>
    <t>I285961</t>
  </si>
  <si>
    <t>I339504</t>
  </si>
  <si>
    <t>I919567</t>
  </si>
  <si>
    <t>I935028</t>
  </si>
  <si>
    <t>I170434</t>
  </si>
  <si>
    <t>I266367</t>
  </si>
  <si>
    <t>I324887</t>
  </si>
  <si>
    <t>I425845</t>
  </si>
  <si>
    <t>I669473</t>
  </si>
  <si>
    <t>I220857</t>
  </si>
  <si>
    <t>I224918</t>
  </si>
  <si>
    <t>I312703</t>
  </si>
  <si>
    <t>I314209</t>
  </si>
  <si>
    <t>I502321</t>
  </si>
  <si>
    <t>I661663</t>
  </si>
  <si>
    <t>I708493</t>
  </si>
  <si>
    <t>I193430</t>
  </si>
  <si>
    <t>I256067</t>
  </si>
  <si>
    <t>I328713</t>
  </si>
  <si>
    <t>I988981</t>
  </si>
  <si>
    <t>I113727</t>
  </si>
  <si>
    <t>I122061</t>
  </si>
  <si>
    <t>I145957</t>
  </si>
  <si>
    <t>I161549</t>
  </si>
  <si>
    <t>I184677</t>
  </si>
  <si>
    <t>I281448</t>
  </si>
  <si>
    <t>I677693</t>
  </si>
  <si>
    <t>I678477</t>
  </si>
  <si>
    <t>I132429</t>
  </si>
  <si>
    <t>I202088</t>
  </si>
  <si>
    <t>I293755</t>
  </si>
  <si>
    <t>I317179</t>
  </si>
  <si>
    <t>I888064</t>
  </si>
  <si>
    <t>I159865</t>
  </si>
  <si>
    <t>I183595</t>
  </si>
  <si>
    <t>I202332</t>
  </si>
  <si>
    <t>I231914</t>
  </si>
  <si>
    <t>I629274</t>
  </si>
  <si>
    <t>I149688</t>
  </si>
  <si>
    <t>I122118</t>
  </si>
  <si>
    <t>I146482</t>
  </si>
  <si>
    <t>I225366</t>
  </si>
  <si>
    <t>I528977</t>
  </si>
  <si>
    <t>I130493</t>
  </si>
  <si>
    <t>I142782</t>
  </si>
  <si>
    <t>I320120</t>
  </si>
  <si>
    <t>I441957</t>
  </si>
  <si>
    <t>I166177</t>
  </si>
  <si>
    <t>I174452</t>
  </si>
  <si>
    <t>I178192</t>
  </si>
  <si>
    <t>I211556</t>
  </si>
  <si>
    <t>I249497</t>
  </si>
  <si>
    <t>I262341</t>
  </si>
  <si>
    <t>I287011</t>
  </si>
  <si>
    <t>I326715</t>
  </si>
  <si>
    <t>I336981</t>
  </si>
  <si>
    <t>I505336</t>
  </si>
  <si>
    <t>I538498</t>
  </si>
  <si>
    <t>I102721</t>
  </si>
  <si>
    <t>I180090</t>
  </si>
  <si>
    <t>I212316</t>
  </si>
  <si>
    <t>I235220</t>
  </si>
  <si>
    <t>I246139</t>
  </si>
  <si>
    <t>I252894</t>
  </si>
  <si>
    <t>I253638</t>
  </si>
  <si>
    <t>I264710</t>
  </si>
  <si>
    <t>I116937</t>
  </si>
  <si>
    <t>I236314</t>
  </si>
  <si>
    <t>I242907</t>
  </si>
  <si>
    <t>I245870</t>
  </si>
  <si>
    <t>I275348</t>
  </si>
  <si>
    <t>I304948</t>
  </si>
  <si>
    <t>I357532</t>
  </si>
  <si>
    <t>I162524</t>
  </si>
  <si>
    <t>I337634</t>
  </si>
  <si>
    <t>I339732</t>
  </si>
  <si>
    <t>I711904</t>
  </si>
  <si>
    <t>I770501</t>
  </si>
  <si>
    <t>I127183</t>
  </si>
  <si>
    <t>I237134</t>
  </si>
  <si>
    <t>I259692</t>
  </si>
  <si>
    <t>I315309</t>
  </si>
  <si>
    <t>I351200</t>
  </si>
  <si>
    <t>I592836</t>
  </si>
  <si>
    <t>I688997</t>
  </si>
  <si>
    <t>I853141</t>
  </si>
  <si>
    <t>I100617</t>
  </si>
  <si>
    <t>I193124</t>
  </si>
  <si>
    <t>I226781</t>
  </si>
  <si>
    <t>I308026</t>
  </si>
  <si>
    <t>I337932</t>
  </si>
  <si>
    <t>I889442</t>
  </si>
  <si>
    <t>I893324</t>
  </si>
  <si>
    <t>I212793</t>
  </si>
  <si>
    <t>I219513</t>
  </si>
  <si>
    <t>I275836</t>
  </si>
  <si>
    <t>I172458</t>
  </si>
  <si>
    <t>I238266</t>
  </si>
  <si>
    <t>I126878</t>
  </si>
  <si>
    <t>I297539</t>
  </si>
  <si>
    <t>I311058</t>
  </si>
  <si>
    <t>I313630</t>
  </si>
  <si>
    <t>I315209</t>
  </si>
  <si>
    <t>I209939</t>
  </si>
  <si>
    <t>I227154</t>
  </si>
  <si>
    <t>I233720</t>
  </si>
  <si>
    <t>I312671</t>
  </si>
  <si>
    <t>I318435</t>
  </si>
  <si>
    <t>I879456</t>
  </si>
  <si>
    <t>I119332</t>
  </si>
  <si>
    <t>I160431</t>
  </si>
  <si>
    <t>I236175</t>
  </si>
  <si>
    <t>I312947</t>
  </si>
  <si>
    <t>I383714</t>
  </si>
  <si>
    <t>I879463</t>
  </si>
  <si>
    <t>I157883</t>
  </si>
  <si>
    <t>I203426</t>
  </si>
  <si>
    <t>I153970</t>
  </si>
  <si>
    <t>I269024</t>
  </si>
  <si>
    <t>I759056</t>
  </si>
  <si>
    <t>I773549</t>
  </si>
  <si>
    <t>I305557</t>
  </si>
  <si>
    <t>I328883</t>
  </si>
  <si>
    <t>I251780</t>
  </si>
  <si>
    <t>I110327</t>
  </si>
  <si>
    <t>I119142</t>
  </si>
  <si>
    <t>I158521</t>
  </si>
  <si>
    <t>I219272</t>
  </si>
  <si>
    <t>I247431</t>
  </si>
  <si>
    <t>I389375</t>
  </si>
  <si>
    <t>I100033</t>
  </si>
  <si>
    <t>I306017</t>
  </si>
  <si>
    <t>I430588</t>
  </si>
  <si>
    <t>I161599</t>
  </si>
  <si>
    <t>I271125</t>
  </si>
  <si>
    <t>I338622</t>
  </si>
  <si>
    <t>I854848</t>
  </si>
  <si>
    <t>I182607</t>
  </si>
  <si>
    <t>I215998</t>
  </si>
  <si>
    <t>I261133</t>
  </si>
  <si>
    <t>I268522</t>
  </si>
  <si>
    <t>I269090</t>
  </si>
  <si>
    <t>I310140</t>
  </si>
  <si>
    <t>I220388</t>
  </si>
  <si>
    <t>I245103</t>
  </si>
  <si>
    <t>I272181</t>
  </si>
  <si>
    <t>I238677</t>
  </si>
  <si>
    <t>I305024</t>
  </si>
  <si>
    <t>I578548</t>
  </si>
  <si>
    <t>I101442</t>
  </si>
  <si>
    <t>I172473</t>
  </si>
  <si>
    <t>I171740</t>
  </si>
  <si>
    <t>I183740</t>
  </si>
  <si>
    <t>I231247</t>
  </si>
  <si>
    <t>I327305</t>
  </si>
  <si>
    <t>I328691</t>
  </si>
  <si>
    <t>I711107</t>
  </si>
  <si>
    <t>I119195</t>
  </si>
  <si>
    <t>I191366</t>
  </si>
  <si>
    <t>I214107</t>
  </si>
  <si>
    <t>I265212</t>
  </si>
  <si>
    <t>I120635</t>
  </si>
  <si>
    <t>I132006</t>
  </si>
  <si>
    <t>I168977</t>
  </si>
  <si>
    <t>I289004</t>
  </si>
  <si>
    <t>I289516</t>
  </si>
  <si>
    <t>I316228</t>
  </si>
  <si>
    <t>I132262</t>
  </si>
  <si>
    <t>I155714</t>
  </si>
  <si>
    <t>I223795</t>
  </si>
  <si>
    <t>I103907</t>
  </si>
  <si>
    <t>I165801</t>
  </si>
  <si>
    <t>I269145</t>
  </si>
  <si>
    <t>I128418</t>
  </si>
  <si>
    <t>I163500</t>
  </si>
  <si>
    <t>I210186</t>
  </si>
  <si>
    <t>I232291</t>
  </si>
  <si>
    <t>I252641</t>
  </si>
  <si>
    <t>I308627</t>
  </si>
  <si>
    <t>I333201</t>
  </si>
  <si>
    <t>I164383</t>
  </si>
  <si>
    <t>I165904</t>
  </si>
  <si>
    <t>I182752</t>
  </si>
  <si>
    <t>I186663</t>
  </si>
  <si>
    <t>I193971</t>
  </si>
  <si>
    <t>I269190</t>
  </si>
  <si>
    <t>I329868</t>
  </si>
  <si>
    <t>I154061</t>
  </si>
  <si>
    <t>I228729</t>
  </si>
  <si>
    <t>I255461</t>
  </si>
  <si>
    <t>I286110</t>
  </si>
  <si>
    <t>I296059</t>
  </si>
  <si>
    <t>I305903</t>
  </si>
  <si>
    <t>I906092</t>
  </si>
  <si>
    <t>I137795</t>
  </si>
  <si>
    <t>I160211</t>
  </si>
  <si>
    <t>I162170</t>
  </si>
  <si>
    <t>I198698</t>
  </si>
  <si>
    <t>I233773</t>
  </si>
  <si>
    <t>I267749</t>
  </si>
  <si>
    <t>I927315</t>
  </si>
  <si>
    <t>I114257</t>
  </si>
  <si>
    <t>I196478</t>
  </si>
  <si>
    <t>I228653</t>
  </si>
  <si>
    <t>I240224</t>
  </si>
  <si>
    <t>I255639</t>
  </si>
  <si>
    <t>I274832</t>
  </si>
  <si>
    <t>I330838</t>
  </si>
  <si>
    <t>I102162</t>
  </si>
  <si>
    <t>I124869</t>
  </si>
  <si>
    <t>I156491</t>
  </si>
  <si>
    <t>I187881</t>
  </si>
  <si>
    <t>I238512</t>
  </si>
  <si>
    <t>I301538</t>
  </si>
  <si>
    <t>I303177</t>
  </si>
  <si>
    <t>I591559</t>
  </si>
  <si>
    <t>I117068</t>
  </si>
  <si>
    <t>I139704</t>
  </si>
  <si>
    <t>I182701</t>
  </si>
  <si>
    <t>I273435</t>
  </si>
  <si>
    <t>I282293</t>
  </si>
  <si>
    <t>I117380</t>
  </si>
  <si>
    <t>I254146</t>
  </si>
  <si>
    <t>I300520</t>
  </si>
  <si>
    <t>I332043</t>
  </si>
  <si>
    <t>I630899</t>
  </si>
  <si>
    <t>I860599</t>
  </si>
  <si>
    <t>I989155</t>
  </si>
  <si>
    <t>I140863</t>
  </si>
  <si>
    <t>I276368</t>
  </si>
  <si>
    <t>I295653</t>
  </si>
  <si>
    <t>I429820</t>
  </si>
  <si>
    <t>I121640</t>
  </si>
  <si>
    <t>I299533</t>
  </si>
  <si>
    <t>I308341</t>
  </si>
  <si>
    <t>I309493</t>
  </si>
  <si>
    <t>I207257</t>
  </si>
  <si>
    <t>I254721</t>
  </si>
  <si>
    <t>I327301</t>
  </si>
  <si>
    <t>I109649</t>
  </si>
  <si>
    <t>I128726</t>
  </si>
  <si>
    <t>I165562</t>
  </si>
  <si>
    <t>I125739</t>
  </si>
  <si>
    <t>I221748</t>
  </si>
  <si>
    <t>I235846</t>
  </si>
  <si>
    <t>I306069</t>
  </si>
  <si>
    <t>I320883</t>
  </si>
  <si>
    <t>I650708</t>
  </si>
  <si>
    <t>I947202</t>
  </si>
  <si>
    <t>I133262</t>
  </si>
  <si>
    <t>I234223</t>
  </si>
  <si>
    <t>I357955</t>
  </si>
  <si>
    <t>I653178</t>
  </si>
  <si>
    <t>I542618</t>
  </si>
  <si>
    <t>I198515</t>
  </si>
  <si>
    <t>I282854</t>
  </si>
  <si>
    <t>I302961</t>
  </si>
  <si>
    <t>I687305</t>
  </si>
  <si>
    <t>I886211</t>
  </si>
  <si>
    <t>I301356</t>
  </si>
  <si>
    <t>I406982</t>
  </si>
  <si>
    <t>I124096</t>
  </si>
  <si>
    <t>I129937</t>
  </si>
  <si>
    <t>I136588</t>
  </si>
  <si>
    <t>I157192</t>
  </si>
  <si>
    <t>I188812</t>
  </si>
  <si>
    <t>I206248</t>
  </si>
  <si>
    <t>I287377</t>
  </si>
  <si>
    <t>I829013</t>
  </si>
  <si>
    <t>I190345</t>
  </si>
  <si>
    <t>I271993</t>
  </si>
  <si>
    <t>I316862</t>
  </si>
  <si>
    <t>I326945</t>
  </si>
  <si>
    <t>I729844</t>
  </si>
  <si>
    <t>I756271</t>
  </si>
  <si>
    <t>I885357</t>
  </si>
  <si>
    <t>I172509</t>
  </si>
  <si>
    <t>I172702</t>
  </si>
  <si>
    <t>I177054</t>
  </si>
  <si>
    <t>I188962</t>
  </si>
  <si>
    <t>I334307</t>
  </si>
  <si>
    <t>I122346</t>
  </si>
  <si>
    <t>I132723</t>
  </si>
  <si>
    <t>I229606</t>
  </si>
  <si>
    <t>I315673</t>
  </si>
  <si>
    <t>I329769</t>
  </si>
  <si>
    <t>I682922</t>
  </si>
  <si>
    <t>I258460</t>
  </si>
  <si>
    <t>I259359</t>
  </si>
  <si>
    <t>I987279</t>
  </si>
  <si>
    <t>I131914</t>
  </si>
  <si>
    <t>I215883</t>
  </si>
  <si>
    <t>I216922</t>
  </si>
  <si>
    <t>I218647</t>
  </si>
  <si>
    <t>I316950</t>
  </si>
  <si>
    <t>I321841</t>
  </si>
  <si>
    <t>I129573</t>
  </si>
  <si>
    <t>I136276</t>
  </si>
  <si>
    <t>I186437</t>
  </si>
  <si>
    <t>I235118</t>
  </si>
  <si>
    <t>I238814</t>
  </si>
  <si>
    <t>I154234</t>
  </si>
  <si>
    <t>I168206</t>
  </si>
  <si>
    <t>I267685</t>
  </si>
  <si>
    <t>I579540</t>
  </si>
  <si>
    <t>I721903</t>
  </si>
  <si>
    <t>I884796</t>
  </si>
  <si>
    <t>I196110</t>
  </si>
  <si>
    <t>I301763</t>
  </si>
  <si>
    <t>I374693</t>
  </si>
  <si>
    <t>I552846</t>
  </si>
  <si>
    <t>I242666</t>
  </si>
  <si>
    <t>I293905</t>
  </si>
  <si>
    <t>I333609</t>
  </si>
  <si>
    <t>I732287</t>
  </si>
  <si>
    <t>I250502</t>
  </si>
  <si>
    <t>I267713</t>
  </si>
  <si>
    <t>I306231</t>
  </si>
  <si>
    <t>I320496</t>
  </si>
  <si>
    <t>I393160</t>
  </si>
  <si>
    <t>I218125</t>
  </si>
  <si>
    <t>I236486</t>
  </si>
  <si>
    <t>I244607</t>
  </si>
  <si>
    <t>I312735</t>
  </si>
  <si>
    <t>I680517</t>
  </si>
  <si>
    <t>I697021</t>
  </si>
  <si>
    <t>I107703</t>
  </si>
  <si>
    <t>I162535</t>
  </si>
  <si>
    <t>I164970</t>
  </si>
  <si>
    <t>I170017</t>
  </si>
  <si>
    <t>I185390</t>
  </si>
  <si>
    <t>I195396</t>
  </si>
  <si>
    <t>I195962</t>
  </si>
  <si>
    <t>I258527</t>
  </si>
  <si>
    <t>I263594</t>
  </si>
  <si>
    <t>I164048</t>
  </si>
  <si>
    <t>I249598</t>
  </si>
  <si>
    <t>I271714</t>
  </si>
  <si>
    <t>I333840</t>
  </si>
  <si>
    <t>I662690</t>
  </si>
  <si>
    <t>I862462</t>
  </si>
  <si>
    <t>I115916</t>
  </si>
  <si>
    <t>I163641</t>
  </si>
  <si>
    <t>I223996</t>
  </si>
  <si>
    <t>I331030</t>
  </si>
  <si>
    <t>I337657</t>
  </si>
  <si>
    <t>I735039</t>
  </si>
  <si>
    <t>I336140</t>
  </si>
  <si>
    <t>I605119</t>
  </si>
  <si>
    <t>I613381</t>
  </si>
  <si>
    <t>I734924</t>
  </si>
  <si>
    <t>I137973</t>
  </si>
  <si>
    <t>I281414</t>
  </si>
  <si>
    <t>I286575</t>
  </si>
  <si>
    <t>I291281</t>
  </si>
  <si>
    <t>I566314</t>
  </si>
  <si>
    <t>I262005</t>
  </si>
  <si>
    <t>I317215</t>
  </si>
  <si>
    <t>I330031</t>
  </si>
  <si>
    <t>I399156</t>
  </si>
  <si>
    <t>I187793</t>
  </si>
  <si>
    <t>I221751</t>
  </si>
  <si>
    <t>I221752</t>
  </si>
  <si>
    <t>I226850</t>
  </si>
  <si>
    <t>I429519</t>
  </si>
  <si>
    <t>I591015</t>
  </si>
  <si>
    <t>I712125</t>
  </si>
  <si>
    <t>I737066</t>
  </si>
  <si>
    <t>I157847</t>
  </si>
  <si>
    <t>I165891</t>
  </si>
  <si>
    <t>I175389</t>
  </si>
  <si>
    <t>I280282</t>
  </si>
  <si>
    <t>I339496</t>
  </si>
  <si>
    <t>I472201</t>
  </si>
  <si>
    <t>I171351</t>
  </si>
  <si>
    <t>I699764</t>
  </si>
  <si>
    <t>I113380</t>
  </si>
  <si>
    <t>I122470</t>
  </si>
  <si>
    <t>I157024</t>
  </si>
  <si>
    <t>I284371</t>
  </si>
  <si>
    <t>I284819</t>
  </si>
  <si>
    <t>I308674</t>
  </si>
  <si>
    <t>I315341</t>
  </si>
  <si>
    <t>I126337</t>
  </si>
  <si>
    <t>I140846</t>
  </si>
  <si>
    <t>I147152</t>
  </si>
  <si>
    <t>I269818</t>
  </si>
  <si>
    <t>I336944</t>
  </si>
  <si>
    <t>I150215</t>
  </si>
  <si>
    <t>I153705</t>
  </si>
  <si>
    <t>I178572</t>
  </si>
  <si>
    <t>I235246</t>
  </si>
  <si>
    <t>I459827</t>
  </si>
  <si>
    <t>I613437</t>
  </si>
  <si>
    <t>I856284</t>
  </si>
  <si>
    <t>I182900</t>
  </si>
  <si>
    <t>I185137</t>
  </si>
  <si>
    <t>I216555</t>
  </si>
  <si>
    <t>I252637</t>
  </si>
  <si>
    <t>I288415</t>
  </si>
  <si>
    <t>I301997</t>
  </si>
  <si>
    <t>I964061</t>
  </si>
  <si>
    <t>I219904</t>
  </si>
  <si>
    <t>I246151</t>
  </si>
  <si>
    <t>I295819</t>
  </si>
  <si>
    <t>I727960</t>
  </si>
  <si>
    <t>I103203</t>
  </si>
  <si>
    <t>I113054</t>
  </si>
  <si>
    <t>I113122</t>
  </si>
  <si>
    <t>I124849</t>
  </si>
  <si>
    <t>I187818</t>
  </si>
  <si>
    <t>I195735</t>
  </si>
  <si>
    <t>I816564</t>
  </si>
  <si>
    <t>I146187</t>
  </si>
  <si>
    <t>I177364</t>
  </si>
  <si>
    <t>I301136</t>
  </si>
  <si>
    <t>I447293</t>
  </si>
  <si>
    <t>I469658</t>
  </si>
  <si>
    <t>I165074</t>
  </si>
  <si>
    <t>I223615</t>
  </si>
  <si>
    <t>I247165</t>
  </si>
  <si>
    <t>I252748</t>
  </si>
  <si>
    <t>I100138</t>
  </si>
  <si>
    <t>I230221</t>
  </si>
  <si>
    <t>I275967</t>
  </si>
  <si>
    <t>I295769</t>
  </si>
  <si>
    <t>I585196</t>
  </si>
  <si>
    <t>I746340</t>
  </si>
  <si>
    <t>I969507</t>
  </si>
  <si>
    <t>I160697</t>
  </si>
  <si>
    <t>I186312</t>
  </si>
  <si>
    <t>I794410</t>
  </si>
  <si>
    <t>I985258</t>
  </si>
  <si>
    <t>I196500</t>
  </si>
  <si>
    <t>I199027</t>
  </si>
  <si>
    <t>I239810</t>
  </si>
  <si>
    <t>I149861</t>
  </si>
  <si>
    <t>I556308</t>
  </si>
  <si>
    <t>I123297</t>
  </si>
  <si>
    <t>I136666</t>
  </si>
  <si>
    <t>I160997</t>
  </si>
  <si>
    <t>I233634</t>
  </si>
  <si>
    <t>I237155</t>
  </si>
  <si>
    <t>I274211</t>
  </si>
  <si>
    <t>I314442</t>
  </si>
  <si>
    <t>I608247</t>
  </si>
  <si>
    <t>I836481</t>
  </si>
  <si>
    <t>I127562</t>
  </si>
  <si>
    <t>I174107</t>
  </si>
  <si>
    <t>I183692</t>
  </si>
  <si>
    <t>I275189</t>
  </si>
  <si>
    <t>I407437</t>
  </si>
  <si>
    <t>I959479</t>
  </si>
  <si>
    <t>I110354</t>
  </si>
  <si>
    <t>I135095</t>
  </si>
  <si>
    <t>I214685</t>
  </si>
  <si>
    <t>I235594</t>
  </si>
  <si>
    <t>I288189</t>
  </si>
  <si>
    <t>I693146</t>
  </si>
  <si>
    <t>I263169</t>
  </si>
  <si>
    <t>I313265</t>
  </si>
  <si>
    <t>I122881</t>
  </si>
  <si>
    <t>I224751</t>
  </si>
  <si>
    <t>I387435</t>
  </si>
  <si>
    <t>I836390</t>
  </si>
  <si>
    <t>I883324</t>
  </si>
  <si>
    <t>I124521</t>
  </si>
  <si>
    <t>I168549</t>
  </si>
  <si>
    <t>I206642</t>
  </si>
  <si>
    <t>I303788</t>
  </si>
  <si>
    <t>I307925</t>
  </si>
  <si>
    <t>I753362</t>
  </si>
  <si>
    <t>I143588</t>
  </si>
  <si>
    <t>I209660</t>
  </si>
  <si>
    <t>I260268</t>
  </si>
  <si>
    <t>I270497</t>
  </si>
  <si>
    <t>I280969</t>
  </si>
  <si>
    <t>I318455</t>
  </si>
  <si>
    <t>I322886</t>
  </si>
  <si>
    <t>I828294</t>
  </si>
  <si>
    <t>I211985</t>
  </si>
  <si>
    <t>I224933</t>
  </si>
  <si>
    <t>I533981</t>
  </si>
  <si>
    <t>I810190</t>
  </si>
  <si>
    <t>I193429</t>
  </si>
  <si>
    <t>I312618</t>
  </si>
  <si>
    <t>I701994</t>
  </si>
  <si>
    <t>I147737</t>
  </si>
  <si>
    <t>I196704</t>
  </si>
  <si>
    <t>I277058</t>
  </si>
  <si>
    <t>I730718</t>
  </si>
  <si>
    <t>I133114</t>
  </si>
  <si>
    <t>I165675</t>
  </si>
  <si>
    <t>I174237</t>
  </si>
  <si>
    <t>I225492</t>
  </si>
  <si>
    <t>I255476</t>
  </si>
  <si>
    <t>I293681</t>
  </si>
  <si>
    <t>I308299</t>
  </si>
  <si>
    <t>I624089</t>
  </si>
  <si>
    <t>I165636</t>
  </si>
  <si>
    <t>I263119</t>
  </si>
  <si>
    <t>I286328</t>
  </si>
  <si>
    <t>I838650</t>
  </si>
  <si>
    <t>I873382</t>
  </si>
  <si>
    <t>I135673</t>
  </si>
  <si>
    <t>I161581</t>
  </si>
  <si>
    <t>I190672</t>
  </si>
  <si>
    <t>I215119</t>
  </si>
  <si>
    <t>I215190</t>
  </si>
  <si>
    <t>I253633</t>
  </si>
  <si>
    <t>I258930</t>
  </si>
  <si>
    <t>I333684</t>
  </si>
  <si>
    <t>I354029</t>
  </si>
  <si>
    <t>I659990</t>
  </si>
  <si>
    <t>I124729</t>
  </si>
  <si>
    <t>I146954</t>
  </si>
  <si>
    <t>I151185</t>
  </si>
  <si>
    <t>I179329</t>
  </si>
  <si>
    <t>I206422</t>
  </si>
  <si>
    <t>I225621</t>
  </si>
  <si>
    <t>I279785</t>
  </si>
  <si>
    <t>I304419</t>
  </si>
  <si>
    <t>I307159</t>
  </si>
  <si>
    <t>I322526</t>
  </si>
  <si>
    <t>I236804</t>
  </si>
  <si>
    <t>I311320</t>
  </si>
  <si>
    <t>I322051</t>
  </si>
  <si>
    <t>I732402</t>
  </si>
  <si>
    <t>I983066</t>
  </si>
  <si>
    <t>I149631</t>
  </si>
  <si>
    <t>I196712</t>
  </si>
  <si>
    <t>I201807</t>
  </si>
  <si>
    <t>I248440</t>
  </si>
  <si>
    <t>I533515</t>
  </si>
  <si>
    <t>I124796</t>
  </si>
  <si>
    <t>I128993</t>
  </si>
  <si>
    <t>I141166</t>
  </si>
  <si>
    <t>I145848</t>
  </si>
  <si>
    <t>I156197</t>
  </si>
  <si>
    <t>I192998</t>
  </si>
  <si>
    <t>I200329</t>
  </si>
  <si>
    <t>I333568</t>
  </si>
  <si>
    <t>I614933</t>
  </si>
  <si>
    <t>I838107</t>
  </si>
  <si>
    <t>I272485</t>
  </si>
  <si>
    <t>I273800</t>
  </si>
  <si>
    <t>I305653</t>
  </si>
  <si>
    <t>I324578</t>
  </si>
  <si>
    <t>I184913</t>
  </si>
  <si>
    <t>I279919</t>
  </si>
  <si>
    <t>I290014</t>
  </si>
  <si>
    <t>I302357</t>
  </si>
  <si>
    <t>I302999</t>
  </si>
  <si>
    <t>I197494</t>
  </si>
  <si>
    <t>I218385</t>
  </si>
  <si>
    <t>I227173</t>
  </si>
  <si>
    <t>I234713</t>
  </si>
  <si>
    <t>I243417</t>
  </si>
  <si>
    <t>I251118</t>
  </si>
  <si>
    <t>I285171</t>
  </si>
  <si>
    <t>I299125</t>
  </si>
  <si>
    <t>I318154</t>
  </si>
  <si>
    <t>I829450</t>
  </si>
  <si>
    <t>I955575</t>
  </si>
  <si>
    <t>I107622</t>
  </si>
  <si>
    <t>I130612</t>
  </si>
  <si>
    <t>I193095</t>
  </si>
  <si>
    <t>I201021</t>
  </si>
  <si>
    <t>I217868</t>
  </si>
  <si>
    <t>I282606</t>
  </si>
  <si>
    <t>I329132</t>
  </si>
  <si>
    <t>I332867</t>
  </si>
  <si>
    <t>I896603</t>
  </si>
  <si>
    <t>I225348</t>
  </si>
  <si>
    <t>I250778</t>
  </si>
  <si>
    <t>I278596</t>
  </si>
  <si>
    <t>I287301</t>
  </si>
  <si>
    <t>I337739</t>
  </si>
  <si>
    <t>I629119</t>
  </si>
  <si>
    <t>I993488</t>
  </si>
  <si>
    <t>I114680</t>
  </si>
  <si>
    <t>I170168</t>
  </si>
  <si>
    <t>I325023</t>
  </si>
  <si>
    <t>I341685</t>
  </si>
  <si>
    <t>I949483</t>
  </si>
  <si>
    <t>I161797</t>
  </si>
  <si>
    <t>I193690</t>
  </si>
  <si>
    <t>I205815</t>
  </si>
  <si>
    <t>I288216</t>
  </si>
  <si>
    <t>I315253</t>
  </si>
  <si>
    <t>I136509</t>
  </si>
  <si>
    <t>I193528</t>
  </si>
  <si>
    <t>I221915</t>
  </si>
  <si>
    <t>I192802</t>
  </si>
  <si>
    <t>I266406</t>
  </si>
  <si>
    <t>I843445</t>
  </si>
  <si>
    <t>I140955</t>
  </si>
  <si>
    <t>I270095</t>
  </si>
  <si>
    <t>I112841</t>
  </si>
  <si>
    <t>I317349</t>
  </si>
  <si>
    <t>I418927</t>
  </si>
  <si>
    <t>I568210</t>
  </si>
  <si>
    <t>I823207</t>
  </si>
  <si>
    <t>I107991</t>
  </si>
  <si>
    <t>I136608</t>
  </si>
  <si>
    <t>I140596</t>
  </si>
  <si>
    <t>I187759</t>
  </si>
  <si>
    <t>I188318</t>
  </si>
  <si>
    <t>I197388</t>
  </si>
  <si>
    <t>I252978</t>
  </si>
  <si>
    <t>I303153</t>
  </si>
  <si>
    <t>I326812</t>
  </si>
  <si>
    <t>I952267</t>
  </si>
  <si>
    <t>I130494</t>
  </si>
  <si>
    <t>I210298</t>
  </si>
  <si>
    <t>I287344</t>
  </si>
  <si>
    <t>I287456</t>
  </si>
  <si>
    <t>I223651</t>
  </si>
  <si>
    <t>I288328</t>
  </si>
  <si>
    <t>I312066</t>
  </si>
  <si>
    <t>I197671</t>
  </si>
  <si>
    <t>I219724</t>
  </si>
  <si>
    <t>I247146</t>
  </si>
  <si>
    <t>I302293</t>
  </si>
  <si>
    <t>I337033</t>
  </si>
  <si>
    <t>I338218</t>
  </si>
  <si>
    <t>I595458</t>
  </si>
  <si>
    <t>I941223</t>
  </si>
  <si>
    <t>I105285</t>
  </si>
  <si>
    <t>I193654</t>
  </si>
  <si>
    <t>I274719</t>
  </si>
  <si>
    <t>I382843</t>
  </si>
  <si>
    <t>I671331</t>
  </si>
  <si>
    <t>I120560</t>
  </si>
  <si>
    <t>I147796</t>
  </si>
  <si>
    <t>I158987</t>
  </si>
  <si>
    <t>I264508</t>
  </si>
  <si>
    <t>I321322</t>
  </si>
  <si>
    <t>I764488</t>
  </si>
  <si>
    <t>I168234</t>
  </si>
  <si>
    <t>I179608</t>
  </si>
  <si>
    <t>I220900</t>
  </si>
  <si>
    <t>I232549</t>
  </si>
  <si>
    <t>I286645</t>
  </si>
  <si>
    <t>I825270</t>
  </si>
  <si>
    <t>I119008</t>
  </si>
  <si>
    <t>I274292</t>
  </si>
  <si>
    <t>I301054</t>
  </si>
  <si>
    <t>I325373</t>
  </si>
  <si>
    <t>I627211</t>
  </si>
  <si>
    <t>I199678</t>
  </si>
  <si>
    <t>I202386</t>
  </si>
  <si>
    <t>I244608</t>
  </si>
  <si>
    <t>I310973</t>
  </si>
  <si>
    <t>I324738</t>
  </si>
  <si>
    <t>I417106</t>
  </si>
  <si>
    <t>I598960</t>
  </si>
  <si>
    <t>I699421</t>
  </si>
  <si>
    <t>I140289</t>
  </si>
  <si>
    <t>I142342</t>
  </si>
  <si>
    <t>I556536</t>
  </si>
  <si>
    <t>I122151</t>
  </si>
  <si>
    <t>I130937</t>
  </si>
  <si>
    <t>I144724</t>
  </si>
  <si>
    <t>I157119</t>
  </si>
  <si>
    <t>I230558</t>
  </si>
  <si>
    <t>I271500</t>
  </si>
  <si>
    <t>I453056</t>
  </si>
  <si>
    <t>I117277</t>
  </si>
  <si>
    <t>I250646</t>
  </si>
  <si>
    <t>I305576</t>
  </si>
  <si>
    <t>I326176</t>
  </si>
  <si>
    <t>I370184</t>
  </si>
  <si>
    <t>I653762</t>
  </si>
  <si>
    <t>I310335</t>
  </si>
  <si>
    <t>I469329</t>
  </si>
  <si>
    <t>I126622</t>
  </si>
  <si>
    <t>I258001</t>
  </si>
  <si>
    <t>I292211</t>
  </si>
  <si>
    <t>I106470</t>
  </si>
  <si>
    <t>I120729</t>
  </si>
  <si>
    <t>I168257</t>
  </si>
  <si>
    <t>I187370</t>
  </si>
  <si>
    <t>I304882</t>
  </si>
  <si>
    <t>I139922</t>
  </si>
  <si>
    <t>I145120</t>
  </si>
  <si>
    <t>I157681</t>
  </si>
  <si>
    <t>I245648</t>
  </si>
  <si>
    <t>I245965</t>
  </si>
  <si>
    <t>I102268</t>
  </si>
  <si>
    <t>I116541</t>
  </si>
  <si>
    <t>I119285</t>
  </si>
  <si>
    <t>I142487</t>
  </si>
  <si>
    <t>I247842</t>
  </si>
  <si>
    <t>I182236</t>
  </si>
  <si>
    <t>I254653</t>
  </si>
  <si>
    <t>I265794</t>
  </si>
  <si>
    <t>I297547</t>
  </si>
  <si>
    <t>I320007</t>
  </si>
  <si>
    <t>I554324</t>
  </si>
  <si>
    <t>I708222</t>
  </si>
  <si>
    <t>I118984</t>
  </si>
  <si>
    <t>I144029</t>
  </si>
  <si>
    <t>I207404</t>
  </si>
  <si>
    <t>I239562</t>
  </si>
  <si>
    <t>I246481</t>
  </si>
  <si>
    <t>I282422</t>
  </si>
  <si>
    <t>I287630</t>
  </si>
  <si>
    <t>I320027</t>
  </si>
  <si>
    <t>I252583</t>
  </si>
  <si>
    <t>I277939</t>
  </si>
  <si>
    <t>I278339</t>
  </si>
  <si>
    <t>I296369</t>
  </si>
  <si>
    <t>I313988</t>
  </si>
  <si>
    <t>I125013</t>
  </si>
  <si>
    <t>I168315</t>
  </si>
  <si>
    <t>I225263</t>
  </si>
  <si>
    <t>I758571</t>
  </si>
  <si>
    <t>I938973</t>
  </si>
  <si>
    <t>I216518</t>
  </si>
  <si>
    <t>I238200</t>
  </si>
  <si>
    <t>I251667</t>
  </si>
  <si>
    <t>I317229</t>
  </si>
  <si>
    <t>I467269</t>
  </si>
  <si>
    <t>I679052</t>
  </si>
  <si>
    <t>I207003</t>
  </si>
  <si>
    <t>I212182</t>
  </si>
  <si>
    <t>I226193</t>
  </si>
  <si>
    <t>I478540</t>
  </si>
  <si>
    <t>I117529</t>
  </si>
  <si>
    <t>I163475</t>
  </si>
  <si>
    <t>I237015</t>
  </si>
  <si>
    <t>I242864</t>
  </si>
  <si>
    <t>I271594</t>
  </si>
  <si>
    <t>I291126</t>
  </si>
  <si>
    <t>I297665</t>
  </si>
  <si>
    <t>I334817</t>
  </si>
  <si>
    <t>I941039</t>
  </si>
  <si>
    <t>I125147</t>
  </si>
  <si>
    <t>I214861</t>
  </si>
  <si>
    <t>I277887</t>
  </si>
  <si>
    <t>I280887</t>
  </si>
  <si>
    <t>I312054</t>
  </si>
  <si>
    <t>I336180</t>
  </si>
  <si>
    <t>I642537</t>
  </si>
  <si>
    <t>I198400</t>
  </si>
  <si>
    <t>I207390</t>
  </si>
  <si>
    <t>I214895</t>
  </si>
  <si>
    <t>I218901</t>
  </si>
  <si>
    <t>I221692</t>
  </si>
  <si>
    <t>I271146</t>
  </si>
  <si>
    <t>I331647</t>
  </si>
  <si>
    <t>I117306</t>
  </si>
  <si>
    <t>I253043</t>
  </si>
  <si>
    <t>I340342</t>
  </si>
  <si>
    <t>I490846</t>
  </si>
  <si>
    <t>I186736</t>
  </si>
  <si>
    <t>I276807</t>
  </si>
  <si>
    <t>I291726</t>
  </si>
  <si>
    <t>I333013</t>
  </si>
  <si>
    <t>I112048</t>
  </si>
  <si>
    <t>I166975</t>
  </si>
  <si>
    <t>I270133</t>
  </si>
  <si>
    <t>I325587</t>
  </si>
  <si>
    <t>I722060</t>
  </si>
  <si>
    <t>I637087</t>
  </si>
  <si>
    <t>I149862</t>
  </si>
  <si>
    <t>I195618</t>
  </si>
  <si>
    <t>I305077</t>
  </si>
  <si>
    <t>I317840</t>
  </si>
  <si>
    <t>I271318</t>
  </si>
  <si>
    <t>I274315</t>
  </si>
  <si>
    <t>I315382</t>
  </si>
  <si>
    <t>I321529</t>
  </si>
  <si>
    <t>I332361</t>
  </si>
  <si>
    <t>I843469</t>
  </si>
  <si>
    <t>I109457</t>
  </si>
  <si>
    <t>I142300</t>
  </si>
  <si>
    <t>I197836</t>
  </si>
  <si>
    <t>I200720</t>
  </si>
  <si>
    <t>I284829</t>
  </si>
  <si>
    <t>I797383</t>
  </si>
  <si>
    <t>I205115</t>
  </si>
  <si>
    <t>I207465</t>
  </si>
  <si>
    <t>I208998</t>
  </si>
  <si>
    <t>I108528</t>
  </si>
  <si>
    <t>I140633</t>
  </si>
  <si>
    <t>I150967</t>
  </si>
  <si>
    <t>I222324</t>
  </si>
  <si>
    <t>I245081</t>
  </si>
  <si>
    <t>I880614</t>
  </si>
  <si>
    <t>I215906</t>
  </si>
  <si>
    <t>I260037</t>
  </si>
  <si>
    <t>I110363</t>
  </si>
  <si>
    <t>I115129</t>
  </si>
  <si>
    <t>I144259</t>
  </si>
  <si>
    <t>I151040</t>
  </si>
  <si>
    <t>I200469</t>
  </si>
  <si>
    <t>I260475</t>
  </si>
  <si>
    <t>I268329</t>
  </si>
  <si>
    <t>I274215</t>
  </si>
  <si>
    <t>I305862</t>
  </si>
  <si>
    <t>I205801</t>
  </si>
  <si>
    <t>I207449</t>
  </si>
  <si>
    <t>I237866</t>
  </si>
  <si>
    <t>I306095</t>
  </si>
  <si>
    <t>I342740</t>
  </si>
  <si>
    <t>I534688</t>
  </si>
  <si>
    <t>I536679</t>
  </si>
  <si>
    <t>I173337</t>
  </si>
  <si>
    <t>I245446</t>
  </si>
  <si>
    <t>I267714</t>
  </si>
  <si>
    <t>I237375</t>
  </si>
  <si>
    <t>I155282</t>
  </si>
  <si>
    <t>I189627</t>
  </si>
  <si>
    <t>I193148</t>
  </si>
  <si>
    <t>I201357</t>
  </si>
  <si>
    <t>I331348</t>
  </si>
  <si>
    <t>I523511</t>
  </si>
  <si>
    <t>I141104</t>
  </si>
  <si>
    <t>I163935</t>
  </si>
  <si>
    <t>I167226</t>
  </si>
  <si>
    <t>I324135</t>
  </si>
  <si>
    <t>I198672</t>
  </si>
  <si>
    <t>I219863</t>
  </si>
  <si>
    <t>I242990</t>
  </si>
  <si>
    <t>I245099</t>
  </si>
  <si>
    <t>I275695</t>
  </si>
  <si>
    <t>I112176</t>
  </si>
  <si>
    <t>I127914</t>
  </si>
  <si>
    <t>I150266</t>
  </si>
  <si>
    <t>I191448</t>
  </si>
  <si>
    <t>I234807</t>
  </si>
  <si>
    <t>I444241</t>
  </si>
  <si>
    <t>I180799</t>
  </si>
  <si>
    <t>I273838</t>
  </si>
  <si>
    <t>I278211</t>
  </si>
  <si>
    <t>I299123</t>
  </si>
  <si>
    <t>I941176</t>
  </si>
  <si>
    <t>I221110</t>
  </si>
  <si>
    <t>I236103</t>
  </si>
  <si>
    <t>I241016</t>
  </si>
  <si>
    <t>I297231</t>
  </si>
  <si>
    <t>I302795</t>
  </si>
  <si>
    <t>I329781</t>
  </si>
  <si>
    <t>I807995</t>
  </si>
  <si>
    <t>I160585</t>
  </si>
  <si>
    <t>I202787</t>
  </si>
  <si>
    <t>I425493</t>
  </si>
  <si>
    <t>I691716</t>
  </si>
  <si>
    <t>I785859</t>
  </si>
  <si>
    <t>I839584</t>
  </si>
  <si>
    <t>I215469</t>
  </si>
  <si>
    <t>I247843</t>
  </si>
  <si>
    <t>I263207</t>
  </si>
  <si>
    <t>I296279</t>
  </si>
  <si>
    <t>I149830</t>
  </si>
  <si>
    <t>I242496</t>
  </si>
  <si>
    <t>I313395</t>
  </si>
  <si>
    <t>I163738</t>
  </si>
  <si>
    <t>I192285</t>
  </si>
  <si>
    <t>I208808</t>
  </si>
  <si>
    <t>I212622</t>
  </si>
  <si>
    <t>I127315</t>
  </si>
  <si>
    <t>I182711</t>
  </si>
  <si>
    <t>I205099</t>
  </si>
  <si>
    <t>I208491</t>
  </si>
  <si>
    <t>I218003</t>
  </si>
  <si>
    <t>I409667</t>
  </si>
  <si>
    <t>I848407</t>
  </si>
  <si>
    <t>I238472</t>
  </si>
  <si>
    <t>I284498</t>
  </si>
  <si>
    <t>I210408</t>
  </si>
  <si>
    <t>I227991</t>
  </si>
  <si>
    <t>I281376</t>
  </si>
  <si>
    <t>I427761</t>
  </si>
  <si>
    <t>I647418</t>
  </si>
  <si>
    <t>I856793</t>
  </si>
  <si>
    <t>I106120</t>
  </si>
  <si>
    <t>I112238</t>
  </si>
  <si>
    <t>I123112</t>
  </si>
  <si>
    <t>I145354</t>
  </si>
  <si>
    <t>I164033</t>
  </si>
  <si>
    <t>I211512</t>
  </si>
  <si>
    <t>I215198</t>
  </si>
  <si>
    <t>I289738</t>
  </si>
  <si>
    <t>I305141</t>
  </si>
  <si>
    <t>I676136</t>
  </si>
  <si>
    <t>I169998</t>
  </si>
  <si>
    <t>I187271</t>
  </si>
  <si>
    <t>I230034</t>
  </si>
  <si>
    <t>I277625</t>
  </si>
  <si>
    <t>I323454</t>
  </si>
  <si>
    <t>I339998</t>
  </si>
  <si>
    <t>I111886</t>
  </si>
  <si>
    <t>I227065</t>
  </si>
  <si>
    <t>I247605</t>
  </si>
  <si>
    <t>I299416</t>
  </si>
  <si>
    <t>I332016</t>
  </si>
  <si>
    <t>I443008</t>
  </si>
  <si>
    <t>I704692</t>
  </si>
  <si>
    <t>I474019</t>
  </si>
  <si>
    <t>I144365</t>
  </si>
  <si>
    <t>I264181</t>
  </si>
  <si>
    <t>I322227</t>
  </si>
  <si>
    <t>I328692</t>
  </si>
  <si>
    <t>I332003</t>
  </si>
  <si>
    <t>I333984</t>
  </si>
  <si>
    <t>I136997</t>
  </si>
  <si>
    <t>I232015</t>
  </si>
  <si>
    <t>I283188</t>
  </si>
  <si>
    <t>I290741</t>
  </si>
  <si>
    <t>I294687</t>
  </si>
  <si>
    <t>I327790</t>
  </si>
  <si>
    <t>I326326</t>
  </si>
  <si>
    <t>I339493</t>
  </si>
  <si>
    <t>I397909</t>
  </si>
  <si>
    <t>I910927</t>
  </si>
  <si>
    <t>I174597</t>
  </si>
  <si>
    <t>I237567</t>
  </si>
  <si>
    <t>I301205</t>
  </si>
  <si>
    <t>I312797</t>
  </si>
  <si>
    <t>I326773</t>
  </si>
  <si>
    <t>I332029</t>
  </si>
  <si>
    <t>I578182</t>
  </si>
  <si>
    <t>I101888</t>
  </si>
  <si>
    <t>I115531</t>
  </si>
  <si>
    <t>I133278</t>
  </si>
  <si>
    <t>I173082</t>
  </si>
  <si>
    <t>I210212</t>
  </si>
  <si>
    <t>I260932</t>
  </si>
  <si>
    <t>I301966</t>
  </si>
  <si>
    <t>I226888</t>
  </si>
  <si>
    <t>I256619</t>
  </si>
  <si>
    <t>I748622</t>
  </si>
  <si>
    <t>I797528</t>
  </si>
  <si>
    <t>I188682</t>
  </si>
  <si>
    <t>I202675</t>
  </si>
  <si>
    <t>I227463</t>
  </si>
  <si>
    <t>I273732</t>
  </si>
  <si>
    <t>I317091</t>
  </si>
  <si>
    <t>I317648</t>
  </si>
  <si>
    <t>I133800</t>
  </si>
  <si>
    <t>I174750</t>
  </si>
  <si>
    <t>I178079</t>
  </si>
  <si>
    <t>I217906</t>
  </si>
  <si>
    <t>I219229</t>
  </si>
  <si>
    <t>I293163</t>
  </si>
  <si>
    <t>I691975</t>
  </si>
  <si>
    <t>I173514</t>
  </si>
  <si>
    <t>I285149</t>
  </si>
  <si>
    <t>I327180</t>
  </si>
  <si>
    <t>I415786</t>
  </si>
  <si>
    <t>I507944</t>
  </si>
  <si>
    <t>I139036</t>
  </si>
  <si>
    <t>I203134</t>
  </si>
  <si>
    <t>I334723</t>
  </si>
  <si>
    <t>I469616</t>
  </si>
  <si>
    <t>I127982</t>
  </si>
  <si>
    <t>I144286</t>
  </si>
  <si>
    <t>I186255</t>
  </si>
  <si>
    <t>I248299</t>
  </si>
  <si>
    <t>I108934</t>
  </si>
  <si>
    <t>I233250</t>
  </si>
  <si>
    <t>I236723</t>
  </si>
  <si>
    <t>I313868</t>
  </si>
  <si>
    <t>I750777</t>
  </si>
  <si>
    <t>I829331</t>
  </si>
  <si>
    <t>I159226</t>
  </si>
  <si>
    <t>I299444</t>
  </si>
  <si>
    <t>I316656</t>
  </si>
  <si>
    <t>I317507</t>
  </si>
  <si>
    <t>I600774</t>
  </si>
  <si>
    <t>I125576</t>
  </si>
  <si>
    <t>I208121</t>
  </si>
  <si>
    <t>I466698</t>
  </si>
  <si>
    <t>I677872</t>
  </si>
  <si>
    <t>I167993</t>
  </si>
  <si>
    <t>I533670</t>
  </si>
  <si>
    <t>I681382</t>
  </si>
  <si>
    <t>I151932</t>
  </si>
  <si>
    <t>I183425</t>
  </si>
  <si>
    <t>I209413</t>
  </si>
  <si>
    <t>I238494</t>
  </si>
  <si>
    <t>I293058</t>
  </si>
  <si>
    <t>I338369</t>
  </si>
  <si>
    <t>I127402</t>
  </si>
  <si>
    <t>I339947</t>
  </si>
  <si>
    <t>I414814</t>
  </si>
  <si>
    <t>I562016</t>
  </si>
  <si>
    <t>I730781</t>
  </si>
  <si>
    <t>I807922</t>
  </si>
  <si>
    <t>I119819</t>
  </si>
  <si>
    <t>I138254</t>
  </si>
  <si>
    <t>I259652</t>
  </si>
  <si>
    <t>I294055</t>
  </si>
  <si>
    <t>I493472</t>
  </si>
  <si>
    <t>I744509</t>
  </si>
  <si>
    <t>I113271</t>
  </si>
  <si>
    <t>I120130</t>
  </si>
  <si>
    <t>I154635</t>
  </si>
  <si>
    <t>I240675</t>
  </si>
  <si>
    <t>I328570</t>
  </si>
  <si>
    <t>I179734</t>
  </si>
  <si>
    <t>I200763</t>
  </si>
  <si>
    <t>I258286</t>
  </si>
  <si>
    <t>I316799</t>
  </si>
  <si>
    <t>I733733</t>
  </si>
  <si>
    <t>I167551</t>
  </si>
  <si>
    <t>I175742</t>
  </si>
  <si>
    <t>I264791</t>
  </si>
  <si>
    <t>I319681</t>
  </si>
  <si>
    <t>I115517</t>
  </si>
  <si>
    <t>I138748</t>
  </si>
  <si>
    <t>I160591</t>
  </si>
  <si>
    <t>I190796</t>
  </si>
  <si>
    <t>I271171</t>
  </si>
  <si>
    <t>I884439</t>
  </si>
  <si>
    <t>I150603</t>
  </si>
  <si>
    <t>I175150</t>
  </si>
  <si>
    <t>I330145</t>
  </si>
  <si>
    <t>I954824</t>
  </si>
  <si>
    <t>I152216</t>
  </si>
  <si>
    <t>I622329</t>
  </si>
  <si>
    <t>I212643</t>
  </si>
  <si>
    <t>I238456</t>
  </si>
  <si>
    <t>I241024</t>
  </si>
  <si>
    <t>I263187</t>
  </si>
  <si>
    <t>I125178</t>
  </si>
  <si>
    <t>I179763</t>
  </si>
  <si>
    <t>I180823</t>
  </si>
  <si>
    <t>I201971</t>
  </si>
  <si>
    <t>I266552</t>
  </si>
  <si>
    <t>I299110</t>
  </si>
  <si>
    <t>I335534</t>
  </si>
  <si>
    <t>I281545</t>
  </si>
  <si>
    <t>I325592</t>
  </si>
  <si>
    <t>I409830</t>
  </si>
  <si>
    <t>I810580</t>
  </si>
  <si>
    <t>I133347</t>
  </si>
  <si>
    <t>I186346</t>
  </si>
  <si>
    <t>I298287</t>
  </si>
  <si>
    <t>I298502</t>
  </si>
  <si>
    <t>I312415</t>
  </si>
  <si>
    <t>I318556</t>
  </si>
  <si>
    <t>I565451</t>
  </si>
  <si>
    <t>I211919</t>
  </si>
  <si>
    <t>I222401</t>
  </si>
  <si>
    <t>I289284</t>
  </si>
  <si>
    <t>I312772</t>
  </si>
  <si>
    <t>I217568</t>
  </si>
  <si>
    <t>I236201</t>
  </si>
  <si>
    <t>I805046</t>
  </si>
  <si>
    <t>I217213</t>
  </si>
  <si>
    <t>I217901</t>
  </si>
  <si>
    <t>I255301</t>
  </si>
  <si>
    <t>I295430</t>
  </si>
  <si>
    <t>I492378</t>
  </si>
  <si>
    <t>I107983</t>
  </si>
  <si>
    <t>I133584</t>
  </si>
  <si>
    <t>I138872</t>
  </si>
  <si>
    <t>I181926</t>
  </si>
  <si>
    <t>I205309</t>
  </si>
  <si>
    <t>I338093</t>
  </si>
  <si>
    <t>I162229</t>
  </si>
  <si>
    <t>I179719</t>
  </si>
  <si>
    <t>I295836</t>
  </si>
  <si>
    <t>I532956</t>
  </si>
  <si>
    <t>I315726</t>
  </si>
  <si>
    <t>I322245</t>
  </si>
  <si>
    <t>I147334</t>
  </si>
  <si>
    <t>I246103</t>
  </si>
  <si>
    <t>I118285</t>
  </si>
  <si>
    <t>I168425</t>
  </si>
  <si>
    <t>I291886</t>
  </si>
  <si>
    <t>I752693</t>
  </si>
  <si>
    <t>I167641</t>
  </si>
  <si>
    <t>I245503</t>
  </si>
  <si>
    <t>I585560</t>
  </si>
  <si>
    <t>I902816</t>
  </si>
  <si>
    <t>I105641</t>
  </si>
  <si>
    <t>I160638</t>
  </si>
  <si>
    <t>I207618</t>
  </si>
  <si>
    <t>I230080</t>
  </si>
  <si>
    <t>I277331</t>
  </si>
  <si>
    <t>I585768</t>
  </si>
  <si>
    <t>I101606</t>
  </si>
  <si>
    <t>I132739</t>
  </si>
  <si>
    <t>I186290</t>
  </si>
  <si>
    <t>I248527</t>
  </si>
  <si>
    <t>I258021</t>
  </si>
  <si>
    <t>I273835</t>
  </si>
  <si>
    <t>I287372</t>
  </si>
  <si>
    <t>I426459</t>
  </si>
  <si>
    <t>I117448</t>
  </si>
  <si>
    <t>I216035</t>
  </si>
  <si>
    <t>I241386</t>
  </si>
  <si>
    <t>I642106</t>
  </si>
  <si>
    <t>I124164</t>
  </si>
  <si>
    <t>I166198</t>
  </si>
  <si>
    <t>I208041</t>
  </si>
  <si>
    <t>I273165</t>
  </si>
  <si>
    <t>I606511</t>
  </si>
  <si>
    <t>I119576</t>
  </si>
  <si>
    <t>I169548</t>
  </si>
  <si>
    <t>I248145</t>
  </si>
  <si>
    <t>I119011</t>
  </si>
  <si>
    <t>I330380</t>
  </si>
  <si>
    <t>I331878</t>
  </si>
  <si>
    <t>I350049</t>
  </si>
  <si>
    <t>I682326</t>
  </si>
  <si>
    <t>I858783</t>
  </si>
  <si>
    <t>I200392</t>
  </si>
  <si>
    <t>I253028</t>
  </si>
  <si>
    <t>I263098</t>
  </si>
  <si>
    <t>I607634</t>
  </si>
  <si>
    <t>I618767</t>
  </si>
  <si>
    <t>I707730</t>
  </si>
  <si>
    <t>I130454</t>
  </si>
  <si>
    <t>I159652</t>
  </si>
  <si>
    <t>I249401</t>
  </si>
  <si>
    <t>I265313</t>
  </si>
  <si>
    <t>I283293</t>
  </si>
  <si>
    <t>I293722</t>
  </si>
  <si>
    <t>I317225</t>
  </si>
  <si>
    <t>I403818</t>
  </si>
  <si>
    <t>I481095</t>
  </si>
  <si>
    <t>I977999</t>
  </si>
  <si>
    <t>I185019</t>
  </si>
  <si>
    <t>I284431</t>
  </si>
  <si>
    <t>I295490</t>
  </si>
  <si>
    <t>I315218</t>
  </si>
  <si>
    <t>I174518</t>
  </si>
  <si>
    <t>I203044</t>
  </si>
  <si>
    <t>I214129</t>
  </si>
  <si>
    <t>I247070</t>
  </si>
  <si>
    <t>I314326</t>
  </si>
  <si>
    <t>I753687</t>
  </si>
  <si>
    <t>I909187</t>
  </si>
  <si>
    <t>I107823</t>
  </si>
  <si>
    <t>I154432</t>
  </si>
  <si>
    <t>I159983</t>
  </si>
  <si>
    <t>I169228</t>
  </si>
  <si>
    <t>I260233</t>
  </si>
  <si>
    <t>I278872</t>
  </si>
  <si>
    <t>I304032</t>
  </si>
  <si>
    <t>I310829</t>
  </si>
  <si>
    <t>I315393</t>
  </si>
  <si>
    <t>I499273</t>
  </si>
  <si>
    <t>I809975</t>
  </si>
  <si>
    <t>I216061</t>
  </si>
  <si>
    <t>I233253</t>
  </si>
  <si>
    <t>I225830</t>
  </si>
  <si>
    <t>I234536</t>
  </si>
  <si>
    <t>I937841</t>
  </si>
  <si>
    <t>I148485</t>
  </si>
  <si>
    <t>I168093</t>
  </si>
  <si>
    <t>I328581</t>
  </si>
  <si>
    <t>I185286</t>
  </si>
  <si>
    <t>I253242</t>
  </si>
  <si>
    <t>I262309</t>
  </si>
  <si>
    <t>I280072</t>
  </si>
  <si>
    <t>I338421</t>
  </si>
  <si>
    <t>I119593</t>
  </si>
  <si>
    <t>I230897</t>
  </si>
  <si>
    <t>I425665</t>
  </si>
  <si>
    <t>I498728</t>
  </si>
  <si>
    <t>I152751</t>
  </si>
  <si>
    <t>I177201</t>
  </si>
  <si>
    <t>I187459</t>
  </si>
  <si>
    <t>I244370</t>
  </si>
  <si>
    <t>I255670</t>
  </si>
  <si>
    <t>I895068</t>
  </si>
  <si>
    <t>I173004</t>
  </si>
  <si>
    <t>I213959</t>
  </si>
  <si>
    <t>I221417</t>
  </si>
  <si>
    <t>I254940</t>
  </si>
  <si>
    <t>I315221</t>
  </si>
  <si>
    <t>I402376</t>
  </si>
  <si>
    <t>I446183</t>
  </si>
  <si>
    <t>I135898</t>
  </si>
  <si>
    <t>I144060</t>
  </si>
  <si>
    <t>I182617</t>
  </si>
  <si>
    <t>I193229</t>
  </si>
  <si>
    <t>I208277</t>
  </si>
  <si>
    <t>I264122</t>
  </si>
  <si>
    <t>I285428</t>
  </si>
  <si>
    <t>I294217</t>
  </si>
  <si>
    <t>I306663</t>
  </si>
  <si>
    <t>I340028</t>
  </si>
  <si>
    <t>I938672</t>
  </si>
  <si>
    <t>I189686</t>
  </si>
  <si>
    <t>I196861</t>
  </si>
  <si>
    <t>I228613</t>
  </si>
  <si>
    <t>I249351</t>
  </si>
  <si>
    <t>I309061</t>
  </si>
  <si>
    <t>I428874</t>
  </si>
  <si>
    <t>I147443</t>
  </si>
  <si>
    <t>I150683</t>
  </si>
  <si>
    <t>I297768</t>
  </si>
  <si>
    <t>I735829</t>
  </si>
  <si>
    <t>I134089</t>
  </si>
  <si>
    <t>I173671</t>
  </si>
  <si>
    <t>I513017</t>
  </si>
  <si>
    <t>I890999</t>
  </si>
  <si>
    <t>I218602</t>
  </si>
  <si>
    <t>I245398</t>
  </si>
  <si>
    <t>I329957</t>
  </si>
  <si>
    <t>I673032</t>
  </si>
  <si>
    <t>I733806</t>
  </si>
  <si>
    <t>I117413</t>
  </si>
  <si>
    <t>I125306</t>
  </si>
  <si>
    <t>I152944</t>
  </si>
  <si>
    <t>I116672</t>
  </si>
  <si>
    <t>I215373</t>
  </si>
  <si>
    <t>I361327</t>
  </si>
  <si>
    <t>I151588</t>
  </si>
  <si>
    <t>I174905</t>
  </si>
  <si>
    <t>I231063</t>
  </si>
  <si>
    <t>I297915</t>
  </si>
  <si>
    <t>I318856</t>
  </si>
  <si>
    <t>I733245</t>
  </si>
  <si>
    <t>I245816</t>
  </si>
  <si>
    <t>I247678</t>
  </si>
  <si>
    <t>I179482</t>
  </si>
  <si>
    <t>I237267</t>
  </si>
  <si>
    <t>I265466</t>
  </si>
  <si>
    <t>I289510</t>
  </si>
  <si>
    <t>I122326</t>
  </si>
  <si>
    <t>I125321</t>
  </si>
  <si>
    <t>I166331</t>
  </si>
  <si>
    <t>I191380</t>
  </si>
  <si>
    <t>I198280</t>
  </si>
  <si>
    <t>I205645</t>
  </si>
  <si>
    <t>I882940</t>
  </si>
  <si>
    <t>I153684</t>
  </si>
  <si>
    <t>I269945</t>
  </si>
  <si>
    <t>I566654</t>
  </si>
  <si>
    <t>I745824</t>
  </si>
  <si>
    <t>I173326</t>
  </si>
  <si>
    <t>I253065</t>
  </si>
  <si>
    <t>I257498</t>
  </si>
  <si>
    <t>I258067</t>
  </si>
  <si>
    <t>I334246</t>
  </si>
  <si>
    <t>I433134</t>
  </si>
  <si>
    <t>I110460</t>
  </si>
  <si>
    <t>I129791</t>
  </si>
  <si>
    <t>I155156</t>
  </si>
  <si>
    <t>I171620</t>
  </si>
  <si>
    <t>I184181</t>
  </si>
  <si>
    <t>I187539</t>
  </si>
  <si>
    <t>I211868</t>
  </si>
  <si>
    <t>I231070</t>
  </si>
  <si>
    <t>I242886</t>
  </si>
  <si>
    <t>I267431</t>
  </si>
  <si>
    <t>I283120</t>
  </si>
  <si>
    <t>I912885</t>
  </si>
  <si>
    <t>I122614</t>
  </si>
  <si>
    <t>I205487</t>
  </si>
  <si>
    <t>I300868</t>
  </si>
  <si>
    <t>I126694</t>
  </si>
  <si>
    <t>I312241</t>
  </si>
  <si>
    <t>I436894</t>
  </si>
  <si>
    <t>I112416</t>
  </si>
  <si>
    <t>I155589</t>
  </si>
  <si>
    <t>I268383</t>
  </si>
  <si>
    <t>I187442</t>
  </si>
  <si>
    <t>I297633</t>
  </si>
  <si>
    <t>I569110</t>
  </si>
  <si>
    <t>I884495</t>
  </si>
  <si>
    <t>I110632</t>
  </si>
  <si>
    <t>I165664</t>
  </si>
  <si>
    <t>I174611</t>
  </si>
  <si>
    <t>I212323</t>
  </si>
  <si>
    <t>I298663</t>
  </si>
  <si>
    <t>I369014</t>
  </si>
  <si>
    <t>I784209</t>
  </si>
  <si>
    <t>I293086</t>
  </si>
  <si>
    <t>I640634</t>
  </si>
  <si>
    <t>I190933</t>
  </si>
  <si>
    <t>I281621</t>
  </si>
  <si>
    <t>I800663</t>
  </si>
  <si>
    <t>I995362</t>
  </si>
  <si>
    <t>I102525</t>
  </si>
  <si>
    <t>I248400</t>
  </si>
  <si>
    <t>I250385</t>
  </si>
  <si>
    <t>I884102</t>
  </si>
  <si>
    <t>I108742</t>
  </si>
  <si>
    <t>I185035</t>
  </si>
  <si>
    <t>I318473</t>
  </si>
  <si>
    <t>I709149</t>
  </si>
  <si>
    <t>I179802</t>
  </si>
  <si>
    <t>I241416</t>
  </si>
  <si>
    <t>I304280</t>
  </si>
  <si>
    <t>I106483</t>
  </si>
  <si>
    <t>I132312</t>
  </si>
  <si>
    <t>I155228</t>
  </si>
  <si>
    <t>I314238</t>
  </si>
  <si>
    <t>I109293</t>
  </si>
  <si>
    <t>I125822</t>
  </si>
  <si>
    <t>I132608</t>
  </si>
  <si>
    <t>I163650</t>
  </si>
  <si>
    <t>I252275</t>
  </si>
  <si>
    <t>I354816</t>
  </si>
  <si>
    <t>I610353</t>
  </si>
  <si>
    <t>I625052</t>
  </si>
  <si>
    <t>I111228</t>
  </si>
  <si>
    <t>I178780</t>
  </si>
  <si>
    <t>I254588</t>
  </si>
  <si>
    <t>I316876</t>
  </si>
  <si>
    <t>I426700</t>
  </si>
  <si>
    <t>I515685</t>
  </si>
  <si>
    <t>I815551</t>
  </si>
  <si>
    <t>I104880</t>
  </si>
  <si>
    <t>I122498</t>
  </si>
  <si>
    <t>I215934</t>
  </si>
  <si>
    <t>I242532</t>
  </si>
  <si>
    <t>I312499</t>
  </si>
  <si>
    <t>I731258</t>
  </si>
  <si>
    <t>I122111</t>
  </si>
  <si>
    <t>I195394</t>
  </si>
  <si>
    <t>I312175</t>
  </si>
  <si>
    <t>I106812</t>
  </si>
  <si>
    <t>I195641</t>
  </si>
  <si>
    <t>I249812</t>
  </si>
  <si>
    <t>I302151</t>
  </si>
  <si>
    <t>I119178</t>
  </si>
  <si>
    <t>I197701</t>
  </si>
  <si>
    <t>I219079</t>
  </si>
  <si>
    <t>I260930</t>
  </si>
  <si>
    <t>I265565</t>
  </si>
  <si>
    <t>I582909</t>
  </si>
  <si>
    <t>I686459</t>
  </si>
  <si>
    <t>I101901</t>
  </si>
  <si>
    <t>I193110</t>
  </si>
  <si>
    <t>I218059</t>
  </si>
  <si>
    <t>I221786</t>
  </si>
  <si>
    <t>I588546</t>
  </si>
  <si>
    <t>I813160</t>
  </si>
  <si>
    <t>I122649</t>
  </si>
  <si>
    <t>I174726</t>
  </si>
  <si>
    <t>I314129</t>
  </si>
  <si>
    <t>I321918</t>
  </si>
  <si>
    <t>I328226</t>
  </si>
  <si>
    <t>I934104</t>
  </si>
  <si>
    <t>I119826</t>
  </si>
  <si>
    <t>I156991</t>
  </si>
  <si>
    <t>I165943</t>
  </si>
  <si>
    <t>I232482</t>
  </si>
  <si>
    <t>I279045</t>
  </si>
  <si>
    <t>I337706</t>
  </si>
  <si>
    <t>I813398</t>
  </si>
  <si>
    <t>I115322</t>
  </si>
  <si>
    <t>I176870</t>
  </si>
  <si>
    <t>I195903</t>
  </si>
  <si>
    <t>I201787</t>
  </si>
  <si>
    <t>I264408</t>
  </si>
  <si>
    <t>I870059</t>
  </si>
  <si>
    <t>I113912</t>
  </si>
  <si>
    <t>I124924</t>
  </si>
  <si>
    <t>I910145</t>
  </si>
  <si>
    <t>I100837</t>
  </si>
  <si>
    <t>I121135</t>
  </si>
  <si>
    <t>I125339</t>
  </si>
  <si>
    <t>I165090</t>
  </si>
  <si>
    <t>I179339</t>
  </si>
  <si>
    <t>I307733</t>
  </si>
  <si>
    <t>I326309</t>
  </si>
  <si>
    <t>I699009</t>
  </si>
  <si>
    <t>I208306</t>
  </si>
  <si>
    <t>I226665</t>
  </si>
  <si>
    <t>I268306</t>
  </si>
  <si>
    <t>I302318</t>
  </si>
  <si>
    <t>I317787</t>
  </si>
  <si>
    <t>I807712</t>
  </si>
  <si>
    <t>I163173</t>
  </si>
  <si>
    <t>I212235</t>
  </si>
  <si>
    <t>I269274</t>
  </si>
  <si>
    <t>I276710</t>
  </si>
  <si>
    <t>I169832</t>
  </si>
  <si>
    <t>I216045</t>
  </si>
  <si>
    <t>I267365</t>
  </si>
  <si>
    <t>I136489</t>
  </si>
  <si>
    <t>I141788</t>
  </si>
  <si>
    <t>I102990</t>
  </si>
  <si>
    <t>I138370</t>
  </si>
  <si>
    <t>I206570</t>
  </si>
  <si>
    <t>I217878</t>
  </si>
  <si>
    <t>I221504</t>
  </si>
  <si>
    <t>I247178</t>
  </si>
  <si>
    <t>I259858</t>
  </si>
  <si>
    <t>I262142</t>
  </si>
  <si>
    <t>I265696</t>
  </si>
  <si>
    <t>I441569</t>
  </si>
  <si>
    <t>I171357</t>
  </si>
  <si>
    <t>I210738</t>
  </si>
  <si>
    <t>I263185</t>
  </si>
  <si>
    <t>I857393</t>
  </si>
  <si>
    <t>I141637</t>
  </si>
  <si>
    <t>I265350</t>
  </si>
  <si>
    <t>I267679</t>
  </si>
  <si>
    <t>I310220</t>
  </si>
  <si>
    <t>I960014</t>
  </si>
  <si>
    <t>I139520</t>
  </si>
  <si>
    <t>I202144</t>
  </si>
  <si>
    <t>I229055</t>
  </si>
  <si>
    <t>I251845</t>
  </si>
  <si>
    <t>I438869</t>
  </si>
  <si>
    <t>I890885</t>
  </si>
  <si>
    <t>I118233</t>
  </si>
  <si>
    <t>I155983</t>
  </si>
  <si>
    <t>I174699</t>
  </si>
  <si>
    <t>I182495</t>
  </si>
  <si>
    <t>I241885</t>
  </si>
  <si>
    <t>I304606</t>
  </si>
  <si>
    <t>I748082</t>
  </si>
  <si>
    <t>I974495</t>
  </si>
  <si>
    <t>I222827</t>
  </si>
  <si>
    <t>I987858</t>
  </si>
  <si>
    <t>I137289</t>
  </si>
  <si>
    <t>I289228</t>
  </si>
  <si>
    <t>I419999</t>
  </si>
  <si>
    <t>I605718</t>
  </si>
  <si>
    <t>I101140</t>
  </si>
  <si>
    <t>I170394</t>
  </si>
  <si>
    <t>I175066</t>
  </si>
  <si>
    <t>I202367</t>
  </si>
  <si>
    <t>I214783</t>
  </si>
  <si>
    <t>I243370</t>
  </si>
  <si>
    <t>I328532</t>
  </si>
  <si>
    <t>I675538</t>
  </si>
  <si>
    <t>I748273</t>
  </si>
  <si>
    <t>I851592</t>
  </si>
  <si>
    <t>I175832</t>
  </si>
  <si>
    <t>I267193</t>
  </si>
  <si>
    <t>I317971</t>
  </si>
  <si>
    <t>I620947</t>
  </si>
  <si>
    <t>I200775</t>
  </si>
  <si>
    <t>I274190</t>
  </si>
  <si>
    <t>I304567</t>
  </si>
  <si>
    <t>I400866</t>
  </si>
  <si>
    <t>I474090</t>
  </si>
  <si>
    <t>I117653</t>
  </si>
  <si>
    <t>I125746</t>
  </si>
  <si>
    <t>I154674</t>
  </si>
  <si>
    <t>I161602</t>
  </si>
  <si>
    <t>I190304</t>
  </si>
  <si>
    <t>I226279</t>
  </si>
  <si>
    <t>I105721</t>
  </si>
  <si>
    <t>I131679</t>
  </si>
  <si>
    <t>I163839</t>
  </si>
  <si>
    <t>I713938</t>
  </si>
  <si>
    <t>I134272</t>
  </si>
  <si>
    <t>I150382</t>
  </si>
  <si>
    <t>I217977</t>
  </si>
  <si>
    <t>I290218</t>
  </si>
  <si>
    <t>I320503</t>
  </si>
  <si>
    <t>I339593</t>
  </si>
  <si>
    <t>I455205</t>
  </si>
  <si>
    <t>I721574</t>
  </si>
  <si>
    <t>I105122</t>
  </si>
  <si>
    <t>I166214</t>
  </si>
  <si>
    <t>I278283</t>
  </si>
  <si>
    <t>I182889</t>
  </si>
  <si>
    <t>I184445</t>
  </si>
  <si>
    <t>I253944</t>
  </si>
  <si>
    <t>I275654</t>
  </si>
  <si>
    <t>I160221</t>
  </si>
  <si>
    <t>I216527</t>
  </si>
  <si>
    <t>I466399</t>
  </si>
  <si>
    <t>I135383</t>
  </si>
  <si>
    <t>I149796</t>
  </si>
  <si>
    <t>I226394</t>
  </si>
  <si>
    <t>I235704</t>
  </si>
  <si>
    <t>I308509</t>
  </si>
  <si>
    <t>I313558</t>
  </si>
  <si>
    <t>I585456</t>
  </si>
  <si>
    <t>I103120</t>
  </si>
  <si>
    <t>I117651</t>
  </si>
  <si>
    <t>I164527</t>
  </si>
  <si>
    <t>I182543</t>
  </si>
  <si>
    <t>I226460</t>
  </si>
  <si>
    <t>I300204</t>
  </si>
  <si>
    <t>I174371</t>
  </si>
  <si>
    <t>I234104</t>
  </si>
  <si>
    <t>I254683</t>
  </si>
  <si>
    <t>I380423</t>
  </si>
  <si>
    <t>I211071</t>
  </si>
  <si>
    <t>I227297</t>
  </si>
  <si>
    <t>I283451</t>
  </si>
  <si>
    <t>I289097</t>
  </si>
  <si>
    <t>I434025</t>
  </si>
  <si>
    <t>I467455</t>
  </si>
  <si>
    <t>I955069</t>
  </si>
  <si>
    <t>I134042</t>
  </si>
  <si>
    <t>I250498</t>
  </si>
  <si>
    <t>I318625</t>
  </si>
  <si>
    <t>I110493</t>
  </si>
  <si>
    <t>I168850</t>
  </si>
  <si>
    <t>I304204</t>
  </si>
  <si>
    <t>I312503</t>
  </si>
  <si>
    <t>I176385</t>
  </si>
  <si>
    <t>I180612</t>
  </si>
  <si>
    <t>I221646</t>
  </si>
  <si>
    <t>I277193</t>
  </si>
  <si>
    <t>I295985</t>
  </si>
  <si>
    <t>I298636</t>
  </si>
  <si>
    <t>I329479</t>
  </si>
  <si>
    <t>I352477</t>
  </si>
  <si>
    <t>I111196</t>
  </si>
  <si>
    <t>I266158</t>
  </si>
  <si>
    <t>I333384</t>
  </si>
  <si>
    <t>I589196</t>
  </si>
  <si>
    <t>I189827</t>
  </si>
  <si>
    <t>I215511</t>
  </si>
  <si>
    <t>I337719</t>
  </si>
  <si>
    <t>I338407</t>
  </si>
  <si>
    <t>I109218</t>
  </si>
  <si>
    <t>I116146</t>
  </si>
  <si>
    <t>I379565</t>
  </si>
  <si>
    <t>I483991</t>
  </si>
  <si>
    <t>I714753</t>
  </si>
  <si>
    <t>I751200</t>
  </si>
  <si>
    <t>I998874</t>
  </si>
  <si>
    <t>I109453</t>
  </si>
  <si>
    <t>I165160</t>
  </si>
  <si>
    <t>I228331</t>
  </si>
  <si>
    <t>I229818</t>
  </si>
  <si>
    <t>I235763</t>
  </si>
  <si>
    <t>I238555</t>
  </si>
  <si>
    <t>I315077</t>
  </si>
  <si>
    <t>I503078</t>
  </si>
  <si>
    <t>I645281</t>
  </si>
  <si>
    <t>I129007</t>
  </si>
  <si>
    <t>I171167</t>
  </si>
  <si>
    <t>I224565</t>
  </si>
  <si>
    <t>I604996</t>
  </si>
  <si>
    <t>I112481</t>
  </si>
  <si>
    <t>I112748</t>
  </si>
  <si>
    <t>I149233</t>
  </si>
  <si>
    <t>I201566</t>
  </si>
  <si>
    <t>I316043</t>
  </si>
  <si>
    <t>I521445</t>
  </si>
  <si>
    <t>I904914</t>
  </si>
  <si>
    <t>I119809</t>
  </si>
  <si>
    <t>I204213</t>
  </si>
  <si>
    <t>I208346</t>
  </si>
  <si>
    <t>I236491</t>
  </si>
  <si>
    <t>I261187</t>
  </si>
  <si>
    <t>I632760</t>
  </si>
  <si>
    <t>I136751</t>
  </si>
  <si>
    <t>I169439</t>
  </si>
  <si>
    <t>I308383</t>
  </si>
  <si>
    <t>I131684</t>
  </si>
  <si>
    <t>I170471</t>
  </si>
  <si>
    <t>I274775</t>
  </si>
  <si>
    <t>I306971</t>
  </si>
  <si>
    <t>I309632</t>
  </si>
  <si>
    <t>I310687</t>
  </si>
  <si>
    <t>I325460</t>
  </si>
  <si>
    <t>I325747</t>
  </si>
  <si>
    <t>I428100</t>
  </si>
  <si>
    <t>I151346</t>
  </si>
  <si>
    <t>I152252</t>
  </si>
  <si>
    <t>I159105</t>
  </si>
  <si>
    <t>I246000</t>
  </si>
  <si>
    <t>I611428</t>
  </si>
  <si>
    <t>I190715</t>
  </si>
  <si>
    <t>I230983</t>
  </si>
  <si>
    <t>I285747</t>
  </si>
  <si>
    <t>I730492</t>
  </si>
  <si>
    <t>I100663</t>
  </si>
  <si>
    <t>I101819</t>
  </si>
  <si>
    <t>I307337</t>
  </si>
  <si>
    <t>I327416</t>
  </si>
  <si>
    <t>I732168</t>
  </si>
  <si>
    <t>I141343</t>
  </si>
  <si>
    <t>I183558</t>
  </si>
  <si>
    <t>I294181</t>
  </si>
  <si>
    <t>I498608</t>
  </si>
  <si>
    <t>I612777</t>
  </si>
  <si>
    <t>I944472</t>
  </si>
  <si>
    <t>I178645</t>
  </si>
  <si>
    <t>I183304</t>
  </si>
  <si>
    <t>I245938</t>
  </si>
  <si>
    <t>I310097</t>
  </si>
  <si>
    <t>I610847</t>
  </si>
  <si>
    <t>I135098</t>
  </si>
  <si>
    <t>I159928</t>
  </si>
  <si>
    <t>I178406</t>
  </si>
  <si>
    <t>I263900</t>
  </si>
  <si>
    <t>I478102</t>
  </si>
  <si>
    <t>I510730</t>
  </si>
  <si>
    <t>I567782</t>
  </si>
  <si>
    <t>I984369</t>
  </si>
  <si>
    <t>I127184</t>
  </si>
  <si>
    <t>I186059</t>
  </si>
  <si>
    <t>I235991</t>
  </si>
  <si>
    <t>I237285</t>
  </si>
  <si>
    <t>I253697</t>
  </si>
  <si>
    <t>I265761</t>
  </si>
  <si>
    <t>I630533</t>
  </si>
  <si>
    <t>I823067</t>
  </si>
  <si>
    <t>I919153</t>
  </si>
  <si>
    <t>I117134</t>
  </si>
  <si>
    <t>I120222</t>
  </si>
  <si>
    <t>I286193</t>
  </si>
  <si>
    <t>I955408</t>
  </si>
  <si>
    <t>I220045</t>
  </si>
  <si>
    <t>I234915</t>
  </si>
  <si>
    <t>I275271</t>
  </si>
  <si>
    <t>I288293</t>
  </si>
  <si>
    <t>I292443</t>
  </si>
  <si>
    <t>I301796</t>
  </si>
  <si>
    <t>I335436</t>
  </si>
  <si>
    <t>I498892</t>
  </si>
  <si>
    <t>I697934</t>
  </si>
  <si>
    <t>I855195</t>
  </si>
  <si>
    <t>I112845</t>
  </si>
  <si>
    <t>I164574</t>
  </si>
  <si>
    <t>I175584</t>
  </si>
  <si>
    <t>I198081</t>
  </si>
  <si>
    <t>I513890</t>
  </si>
  <si>
    <t>I128008</t>
  </si>
  <si>
    <t>I293998</t>
  </si>
  <si>
    <t>I263787</t>
  </si>
  <si>
    <t>I463814</t>
  </si>
  <si>
    <t>I111633</t>
  </si>
  <si>
    <t>I300522</t>
  </si>
  <si>
    <t>I423150</t>
  </si>
  <si>
    <t>I295496</t>
  </si>
  <si>
    <t>I308185</t>
  </si>
  <si>
    <t>I819684</t>
  </si>
  <si>
    <t>I200557</t>
  </si>
  <si>
    <t>I248443</t>
  </si>
  <si>
    <t>I722730</t>
  </si>
  <si>
    <t>I602566</t>
  </si>
  <si>
    <t>I616042</t>
  </si>
  <si>
    <t>I759933</t>
  </si>
  <si>
    <t>I999448</t>
  </si>
  <si>
    <t>I101444</t>
  </si>
  <si>
    <t>I262897</t>
  </si>
  <si>
    <t>I275629</t>
  </si>
  <si>
    <t>I557757</t>
  </si>
  <si>
    <t>I806340</t>
  </si>
  <si>
    <t>I131184</t>
  </si>
  <si>
    <t>I190832</t>
  </si>
  <si>
    <t>I230848</t>
  </si>
  <si>
    <t>I259556</t>
  </si>
  <si>
    <t>I114758</t>
  </si>
  <si>
    <t>I312040</t>
  </si>
  <si>
    <t>I327028</t>
  </si>
  <si>
    <t>I114281</t>
  </si>
  <si>
    <t>I139561</t>
  </si>
  <si>
    <t>I216610</t>
  </si>
  <si>
    <t>I532304</t>
  </si>
  <si>
    <t>I725839</t>
  </si>
  <si>
    <t>I111765</t>
  </si>
  <si>
    <t>I175749</t>
  </si>
  <si>
    <t>I229246</t>
  </si>
  <si>
    <t>I284806</t>
  </si>
  <si>
    <t>I731414</t>
  </si>
  <si>
    <t>I175978</t>
  </si>
  <si>
    <t>I288379</t>
  </si>
  <si>
    <t>I323071</t>
  </si>
  <si>
    <t>I816971</t>
  </si>
  <si>
    <t>I985478</t>
  </si>
  <si>
    <t>I113616</t>
  </si>
  <si>
    <t>I223780</t>
  </si>
  <si>
    <t>I224078</t>
  </si>
  <si>
    <t>I235372</t>
  </si>
  <si>
    <t>I296816</t>
  </si>
  <si>
    <t>I312639</t>
  </si>
  <si>
    <t>I338832</t>
  </si>
  <si>
    <t>I135807</t>
  </si>
  <si>
    <t>I306136</t>
  </si>
  <si>
    <t>I460930</t>
  </si>
  <si>
    <t>I121999</t>
  </si>
  <si>
    <t>I183816</t>
  </si>
  <si>
    <t>I272642</t>
  </si>
  <si>
    <t>I277426</t>
  </si>
  <si>
    <t>I869428</t>
  </si>
  <si>
    <t>I115451</t>
  </si>
  <si>
    <t>I208028</t>
  </si>
  <si>
    <t>I249237</t>
  </si>
  <si>
    <t>I465481</t>
  </si>
  <si>
    <t>I759554</t>
  </si>
  <si>
    <t>I112080</t>
  </si>
  <si>
    <t>I182480</t>
  </si>
  <si>
    <t>I952410</t>
  </si>
  <si>
    <t>I127143</t>
  </si>
  <si>
    <t>I163607</t>
  </si>
  <si>
    <t>I182412</t>
  </si>
  <si>
    <t>I233048</t>
  </si>
  <si>
    <t>I236679</t>
  </si>
  <si>
    <t>I268314</t>
  </si>
  <si>
    <t>I514556</t>
  </si>
  <si>
    <t>I116015</t>
  </si>
  <si>
    <t>I306769</t>
  </si>
  <si>
    <t>I317456</t>
  </si>
  <si>
    <t>I101634</t>
  </si>
  <si>
    <t>I136352</t>
  </si>
  <si>
    <t>I175748</t>
  </si>
  <si>
    <t>I225840</t>
  </si>
  <si>
    <t>I226491</t>
  </si>
  <si>
    <t>I389101</t>
  </si>
  <si>
    <t>I160317</t>
  </si>
  <si>
    <t>I196063</t>
  </si>
  <si>
    <t>I233758</t>
  </si>
  <si>
    <t>I252397</t>
  </si>
  <si>
    <t>I252801</t>
  </si>
  <si>
    <t>I740145</t>
  </si>
  <si>
    <t>I130195</t>
  </si>
  <si>
    <t>I151536</t>
  </si>
  <si>
    <t>I174966</t>
  </si>
  <si>
    <t>I228747</t>
  </si>
  <si>
    <t>I290455</t>
  </si>
  <si>
    <t>I516452</t>
  </si>
  <si>
    <t>I795476</t>
  </si>
  <si>
    <t>I115856</t>
  </si>
  <si>
    <t>I100015</t>
  </si>
  <si>
    <t>I301307</t>
  </si>
  <si>
    <t>I393405</t>
  </si>
  <si>
    <t>I542339</t>
  </si>
  <si>
    <t>I126396</t>
  </si>
  <si>
    <t>I187393</t>
  </si>
  <si>
    <t>I232150</t>
  </si>
  <si>
    <t>I247363</t>
  </si>
  <si>
    <t>I317140</t>
  </si>
  <si>
    <t>I319999</t>
  </si>
  <si>
    <t>I381979</t>
  </si>
  <si>
    <t>I160687</t>
  </si>
  <si>
    <t>I181438</t>
  </si>
  <si>
    <t>I214826</t>
  </si>
  <si>
    <t>I267526</t>
  </si>
  <si>
    <t>I278548</t>
  </si>
  <si>
    <t>I122023</t>
  </si>
  <si>
    <t>I165964</t>
  </si>
  <si>
    <t>I188384</t>
  </si>
  <si>
    <t>I216204</t>
  </si>
  <si>
    <t>I244775</t>
  </si>
  <si>
    <t>I248280</t>
  </si>
  <si>
    <t>I332915</t>
  </si>
  <si>
    <t>I602699</t>
  </si>
  <si>
    <t>I111670</t>
  </si>
  <si>
    <t>I193775</t>
  </si>
  <si>
    <t>I218375</t>
  </si>
  <si>
    <t>I143821</t>
  </si>
  <si>
    <t>I227177</t>
  </si>
  <si>
    <t>I264666</t>
  </si>
  <si>
    <t>I138917</t>
  </si>
  <si>
    <t>I160989</t>
  </si>
  <si>
    <t>I231140</t>
  </si>
  <si>
    <t>I259843</t>
  </si>
  <si>
    <t>I260419</t>
  </si>
  <si>
    <t>I271922</t>
  </si>
  <si>
    <t>I328197</t>
  </si>
  <si>
    <t>I340004</t>
  </si>
  <si>
    <t>I609080</t>
  </si>
  <si>
    <t>I790021</t>
  </si>
  <si>
    <t>I120169</t>
  </si>
  <si>
    <t>I124799</t>
  </si>
  <si>
    <t>I125352</t>
  </si>
  <si>
    <t>I219753</t>
  </si>
  <si>
    <t>I614132</t>
  </si>
  <si>
    <t>I128426</t>
  </si>
  <si>
    <t>I161045</t>
  </si>
  <si>
    <t>I248893</t>
  </si>
  <si>
    <t>I131896</t>
  </si>
  <si>
    <t>I156009</t>
  </si>
  <si>
    <t>I279659</t>
  </si>
  <si>
    <t>I301939</t>
  </si>
  <si>
    <t>I850683</t>
  </si>
  <si>
    <t>I150897</t>
  </si>
  <si>
    <t>I295604</t>
  </si>
  <si>
    <t>I331526</t>
  </si>
  <si>
    <t>I227852</t>
  </si>
  <si>
    <t>I269257</t>
  </si>
  <si>
    <t>I329288</t>
  </si>
  <si>
    <t>I287793</t>
  </si>
  <si>
    <t>I109018</t>
  </si>
  <si>
    <t>I109582</t>
  </si>
  <si>
    <t>I130221</t>
  </si>
  <si>
    <t>I141799</t>
  </si>
  <si>
    <t>I167873</t>
  </si>
  <si>
    <t>I179540</t>
  </si>
  <si>
    <t>I185250</t>
  </si>
  <si>
    <t>I209907</t>
  </si>
  <si>
    <t>I482488</t>
  </si>
  <si>
    <t>I131587</t>
  </si>
  <si>
    <t>I234396</t>
  </si>
  <si>
    <t>I304042</t>
  </si>
  <si>
    <t>I323928</t>
  </si>
  <si>
    <t>I847315</t>
  </si>
  <si>
    <t>I184194</t>
  </si>
  <si>
    <t>I209258</t>
  </si>
  <si>
    <t>I222748</t>
  </si>
  <si>
    <t>I318753</t>
  </si>
  <si>
    <t>I323802</t>
  </si>
  <si>
    <t>I397490</t>
  </si>
  <si>
    <t>I104198</t>
  </si>
  <si>
    <t>I110297</t>
  </si>
  <si>
    <t>I157026</t>
  </si>
  <si>
    <t>I926025</t>
  </si>
  <si>
    <t>I118433</t>
  </si>
  <si>
    <t>I130443</t>
  </si>
  <si>
    <t>I201429</t>
  </si>
  <si>
    <t>I276634</t>
  </si>
  <si>
    <t>I294120</t>
  </si>
  <si>
    <t>I323594</t>
  </si>
  <si>
    <t>I463005</t>
  </si>
  <si>
    <t>I163797</t>
  </si>
  <si>
    <t>I164488</t>
  </si>
  <si>
    <t>I292557</t>
  </si>
  <si>
    <t>I300847</t>
  </si>
  <si>
    <t>I315560</t>
  </si>
  <si>
    <t>I108263</t>
  </si>
  <si>
    <t>I139823</t>
  </si>
  <si>
    <t>I157312</t>
  </si>
  <si>
    <t>I227707</t>
  </si>
  <si>
    <t>I454864</t>
  </si>
  <si>
    <t>I167565</t>
  </si>
  <si>
    <t>I204418</t>
  </si>
  <si>
    <t>I238899</t>
  </si>
  <si>
    <t>I259993</t>
  </si>
  <si>
    <t>I339615</t>
  </si>
  <si>
    <t>I697133</t>
  </si>
  <si>
    <t>I117736</t>
  </si>
  <si>
    <t>I155192</t>
  </si>
  <si>
    <t>I178019</t>
  </si>
  <si>
    <t>I248153</t>
  </si>
  <si>
    <t>I353452</t>
  </si>
  <si>
    <t>I204651</t>
  </si>
  <si>
    <t>I498086</t>
  </si>
  <si>
    <t>I108543</t>
  </si>
  <si>
    <t>I168493</t>
  </si>
  <si>
    <t>I299435</t>
  </si>
  <si>
    <t>I320300</t>
  </si>
  <si>
    <t>I334490</t>
  </si>
  <si>
    <t>I200330</t>
  </si>
  <si>
    <t>I205601</t>
  </si>
  <si>
    <t>I331702</t>
  </si>
  <si>
    <t>I643231</t>
  </si>
  <si>
    <t>I733440</t>
  </si>
  <si>
    <t>I135928</t>
  </si>
  <si>
    <t>I168727</t>
  </si>
  <si>
    <t>I202850</t>
  </si>
  <si>
    <t>I236100</t>
  </si>
  <si>
    <t>I276631</t>
  </si>
  <si>
    <t>I286188</t>
  </si>
  <si>
    <t>I515486</t>
  </si>
  <si>
    <t>I165853</t>
  </si>
  <si>
    <t>I257855</t>
  </si>
  <si>
    <t>I945095</t>
  </si>
  <si>
    <t>I112164</t>
  </si>
  <si>
    <t>I215094</t>
  </si>
  <si>
    <t>I279737</t>
  </si>
  <si>
    <t>I292800</t>
  </si>
  <si>
    <t>I309833</t>
  </si>
  <si>
    <t>I338333</t>
  </si>
  <si>
    <t>I133922</t>
  </si>
  <si>
    <t>I152008</t>
  </si>
  <si>
    <t>I173140</t>
  </si>
  <si>
    <t>I521328</t>
  </si>
  <si>
    <t>I148476</t>
  </si>
  <si>
    <t>I276626</t>
  </si>
  <si>
    <t>I277947</t>
  </si>
  <si>
    <t>I289114</t>
  </si>
  <si>
    <t>I312299</t>
  </si>
  <si>
    <t>I510667</t>
  </si>
  <si>
    <t>I146989</t>
  </si>
  <si>
    <t>I157039</t>
  </si>
  <si>
    <t>I177993</t>
  </si>
  <si>
    <t>I195744</t>
  </si>
  <si>
    <t>I251526</t>
  </si>
  <si>
    <t>I685758</t>
  </si>
  <si>
    <t>I882022</t>
  </si>
  <si>
    <t>I106027</t>
  </si>
  <si>
    <t>I133368</t>
  </si>
  <si>
    <t>I136949</t>
  </si>
  <si>
    <t>I185461</t>
  </si>
  <si>
    <t>I305320</t>
  </si>
  <si>
    <t>I318619</t>
  </si>
  <si>
    <t>I133197</t>
  </si>
  <si>
    <t>I305162</t>
  </si>
  <si>
    <t>I313091</t>
  </si>
  <si>
    <t>I161953</t>
  </si>
  <si>
    <t>I226728</t>
  </si>
  <si>
    <t>I251702</t>
  </si>
  <si>
    <t>I280708</t>
  </si>
  <si>
    <t>I281916</t>
  </si>
  <si>
    <t>I297292</t>
  </si>
  <si>
    <t>I312712</t>
  </si>
  <si>
    <t>I332149</t>
  </si>
  <si>
    <t>I676809</t>
  </si>
  <si>
    <t>I124650</t>
  </si>
  <si>
    <t>I673540</t>
  </si>
  <si>
    <t>I882442</t>
  </si>
  <si>
    <t>I177647</t>
  </si>
  <si>
    <t>I205336</t>
  </si>
  <si>
    <t>I374550</t>
  </si>
  <si>
    <t>I168686</t>
  </si>
  <si>
    <t>I261867</t>
  </si>
  <si>
    <t>I301887</t>
  </si>
  <si>
    <t>I110141</t>
  </si>
  <si>
    <t>I113813</t>
  </si>
  <si>
    <t>I212833</t>
  </si>
  <si>
    <t>I301910</t>
  </si>
  <si>
    <t>I327594</t>
  </si>
  <si>
    <t>I576966</t>
  </si>
  <si>
    <t>I939947</t>
  </si>
  <si>
    <t>I145411</t>
  </si>
  <si>
    <t>I159530</t>
  </si>
  <si>
    <t>I226142</t>
  </si>
  <si>
    <t>I232885</t>
  </si>
  <si>
    <t>I236411</t>
  </si>
  <si>
    <t>I241303</t>
  </si>
  <si>
    <t>I273595</t>
  </si>
  <si>
    <t>I314355</t>
  </si>
  <si>
    <t>I443138</t>
  </si>
  <si>
    <t>I122954</t>
  </si>
  <si>
    <t>I194094</t>
  </si>
  <si>
    <t>I210069</t>
  </si>
  <si>
    <t>I266391</t>
  </si>
  <si>
    <t>I306989</t>
  </si>
  <si>
    <t>I340002</t>
  </si>
  <si>
    <t>I751651</t>
  </si>
  <si>
    <t>I782112</t>
  </si>
  <si>
    <t>I876508</t>
  </si>
  <si>
    <t>I131278</t>
  </si>
  <si>
    <t>I157775</t>
  </si>
  <si>
    <t>I217976</t>
  </si>
  <si>
    <t>I565921</t>
  </si>
  <si>
    <t>I603978</t>
  </si>
  <si>
    <t>I177317</t>
  </si>
  <si>
    <t>I250140</t>
  </si>
  <si>
    <t>I268506</t>
  </si>
  <si>
    <t>I330201</t>
  </si>
  <si>
    <t>I413038</t>
  </si>
  <si>
    <t>I835872</t>
  </si>
  <si>
    <t>I879038</t>
  </si>
  <si>
    <t>I175427</t>
  </si>
  <si>
    <t>I252528</t>
  </si>
  <si>
    <t>I951023</t>
  </si>
  <si>
    <t>I161868</t>
  </si>
  <si>
    <t>I172043</t>
  </si>
  <si>
    <t>I260603</t>
  </si>
  <si>
    <t>I233507</t>
  </si>
  <si>
    <t>I581146</t>
  </si>
  <si>
    <t>I902069</t>
  </si>
  <si>
    <t>I106464</t>
  </si>
  <si>
    <t>I215909</t>
  </si>
  <si>
    <t>I229719</t>
  </si>
  <si>
    <t>I833189</t>
  </si>
  <si>
    <t>I187716</t>
  </si>
  <si>
    <t>I420592</t>
  </si>
  <si>
    <t>I620914</t>
  </si>
  <si>
    <t>I114009</t>
  </si>
  <si>
    <t>I217972</t>
  </si>
  <si>
    <t>I244879</t>
  </si>
  <si>
    <t>I327196</t>
  </si>
  <si>
    <t>I807123</t>
  </si>
  <si>
    <t>I848763</t>
  </si>
  <si>
    <t>I966471</t>
  </si>
  <si>
    <t>I110823</t>
  </si>
  <si>
    <t>I117733</t>
  </si>
  <si>
    <t>I177128</t>
  </si>
  <si>
    <t>I121287</t>
  </si>
  <si>
    <t>I133290</t>
  </si>
  <si>
    <t>I181681</t>
  </si>
  <si>
    <t>I306668</t>
  </si>
  <si>
    <t>I522926</t>
  </si>
  <si>
    <t>I113884</t>
  </si>
  <si>
    <t>I161882</t>
  </si>
  <si>
    <t>I185731</t>
  </si>
  <si>
    <t>I221908</t>
  </si>
  <si>
    <t>I227910</t>
  </si>
  <si>
    <t>I236473</t>
  </si>
  <si>
    <t>I555072</t>
  </si>
  <si>
    <t>I203525</t>
  </si>
  <si>
    <t>I250728</t>
  </si>
  <si>
    <t>I272367</t>
  </si>
  <si>
    <t>I293537</t>
  </si>
  <si>
    <t>I300170</t>
  </si>
  <si>
    <t>I306742</t>
  </si>
  <si>
    <t>I314811</t>
  </si>
  <si>
    <t>I789573</t>
  </si>
  <si>
    <t>I164219</t>
  </si>
  <si>
    <t>I200887</t>
  </si>
  <si>
    <t>I202043</t>
  </si>
  <si>
    <t>I216346</t>
  </si>
  <si>
    <t>I301161</t>
  </si>
  <si>
    <t>I640431</t>
  </si>
  <si>
    <t>I161773</t>
  </si>
  <si>
    <t>I263572</t>
  </si>
  <si>
    <t>I318189</t>
  </si>
  <si>
    <t>I337976</t>
  </si>
  <si>
    <t>I290124</t>
  </si>
  <si>
    <t>I295364</t>
  </si>
  <si>
    <t>I225956</t>
  </si>
  <si>
    <t>I233356</t>
  </si>
  <si>
    <t>I678313</t>
  </si>
  <si>
    <t>I759783</t>
  </si>
  <si>
    <t>I178136</t>
  </si>
  <si>
    <t>I204978</t>
  </si>
  <si>
    <t>I255891</t>
  </si>
  <si>
    <t>I333814</t>
  </si>
  <si>
    <t>I390777</t>
  </si>
  <si>
    <t>I155918</t>
  </si>
  <si>
    <t>I234363</t>
  </si>
  <si>
    <t>I296071</t>
  </si>
  <si>
    <t>I298339</t>
  </si>
  <si>
    <t>I430899</t>
  </si>
  <si>
    <t>I827801</t>
  </si>
  <si>
    <t>I102261</t>
  </si>
  <si>
    <t>I232117</t>
  </si>
  <si>
    <t>I243188</t>
  </si>
  <si>
    <t>I245920</t>
  </si>
  <si>
    <t>I264403</t>
  </si>
  <si>
    <t>I162081</t>
  </si>
  <si>
    <t>I174160</t>
  </si>
  <si>
    <t>I177031</t>
  </si>
  <si>
    <t>I263818</t>
  </si>
  <si>
    <t>I275659</t>
  </si>
  <si>
    <t>I302932</t>
  </si>
  <si>
    <t>I320792</t>
  </si>
  <si>
    <t>I120355</t>
  </si>
  <si>
    <t>I250395</t>
  </si>
  <si>
    <t>I438713</t>
  </si>
  <si>
    <t>I477101</t>
  </si>
  <si>
    <t>I984781</t>
  </si>
  <si>
    <t>I156867</t>
  </si>
  <si>
    <t>I282615</t>
  </si>
  <si>
    <t>I116766</t>
  </si>
  <si>
    <t>I149071</t>
  </si>
  <si>
    <t>I250337</t>
  </si>
  <si>
    <t>I339776</t>
  </si>
  <si>
    <t>I461020</t>
  </si>
  <si>
    <t>I808238</t>
  </si>
  <si>
    <t>I103663</t>
  </si>
  <si>
    <t>I133061</t>
  </si>
  <si>
    <t>I265801</t>
  </si>
  <si>
    <t>I580043</t>
  </si>
  <si>
    <t>I159872</t>
  </si>
  <si>
    <t>I188307</t>
  </si>
  <si>
    <t>I300117</t>
  </si>
  <si>
    <t>I982544</t>
  </si>
  <si>
    <t>I123918</t>
  </si>
  <si>
    <t>I142286</t>
  </si>
  <si>
    <t>I151401</t>
  </si>
  <si>
    <t>I188105</t>
  </si>
  <si>
    <t>I223993</t>
  </si>
  <si>
    <t>I231763</t>
  </si>
  <si>
    <t>I240177</t>
  </si>
  <si>
    <t>I293694</t>
  </si>
  <si>
    <t>I439007</t>
  </si>
  <si>
    <t>I217653</t>
  </si>
  <si>
    <t>I248086</t>
  </si>
  <si>
    <t>I325247</t>
  </si>
  <si>
    <t>I335770</t>
  </si>
  <si>
    <t>I123396</t>
  </si>
  <si>
    <t>I129150</t>
  </si>
  <si>
    <t>I266074</t>
  </si>
  <si>
    <t>I279538</t>
  </si>
  <si>
    <t>I612102</t>
  </si>
  <si>
    <t>I252732</t>
  </si>
  <si>
    <t>I271406</t>
  </si>
  <si>
    <t>I170887</t>
  </si>
  <si>
    <t>I181373</t>
  </si>
  <si>
    <t>I203747</t>
  </si>
  <si>
    <t>I210691</t>
  </si>
  <si>
    <t>I245465</t>
  </si>
  <si>
    <t>I336831</t>
  </si>
  <si>
    <t>I177292</t>
  </si>
  <si>
    <t>I210361</t>
  </si>
  <si>
    <t>I324203</t>
  </si>
  <si>
    <t>I373911</t>
  </si>
  <si>
    <t>I647207</t>
  </si>
  <si>
    <t>I146746</t>
  </si>
  <si>
    <t>I150959</t>
  </si>
  <si>
    <t>I173297</t>
  </si>
  <si>
    <t>I312041</t>
  </si>
  <si>
    <t>I720875</t>
  </si>
  <si>
    <t>I108644</t>
  </si>
  <si>
    <t>I213491</t>
  </si>
  <si>
    <t>I291830</t>
  </si>
  <si>
    <t>I335847</t>
  </si>
  <si>
    <t>I722917</t>
  </si>
  <si>
    <t>I139097</t>
  </si>
  <si>
    <t>I153941</t>
  </si>
  <si>
    <t>I161481</t>
  </si>
  <si>
    <t>I195631</t>
  </si>
  <si>
    <t>I328538</t>
  </si>
  <si>
    <t>I610683</t>
  </si>
  <si>
    <t>I107609</t>
  </si>
  <si>
    <t>I237151</t>
  </si>
  <si>
    <t>I138219</t>
  </si>
  <si>
    <t>I153634</t>
  </si>
  <si>
    <t>I211261</t>
  </si>
  <si>
    <t>I267855</t>
  </si>
  <si>
    <t>I314445</t>
  </si>
  <si>
    <t>I329980</t>
  </si>
  <si>
    <t>I285823</t>
  </si>
  <si>
    <t>I288063</t>
  </si>
  <si>
    <t>I301092</t>
  </si>
  <si>
    <t>I337324</t>
  </si>
  <si>
    <t>I726283</t>
  </si>
  <si>
    <t>I864169</t>
  </si>
  <si>
    <t>I104444</t>
  </si>
  <si>
    <t>I267368</t>
  </si>
  <si>
    <t>I289886</t>
  </si>
  <si>
    <t>I510363</t>
  </si>
  <si>
    <t>I953752</t>
  </si>
  <si>
    <t>I214499</t>
  </si>
  <si>
    <t>I219127</t>
  </si>
  <si>
    <t>I121659</t>
  </si>
  <si>
    <t>I268807</t>
  </si>
  <si>
    <t>I297754</t>
  </si>
  <si>
    <t>I302629</t>
  </si>
  <si>
    <t>I332990</t>
  </si>
  <si>
    <t>I267647</t>
  </si>
  <si>
    <t>I299140</t>
  </si>
  <si>
    <t>I328594</t>
  </si>
  <si>
    <t>I113399</t>
  </si>
  <si>
    <t>I127688</t>
  </si>
  <si>
    <t>I179077</t>
  </si>
  <si>
    <t>I220091</t>
  </si>
  <si>
    <t>I221636</t>
  </si>
  <si>
    <t>I252778</t>
  </si>
  <si>
    <t>I273875</t>
  </si>
  <si>
    <t>I294348</t>
  </si>
  <si>
    <t>I305431</t>
  </si>
  <si>
    <t>I129999</t>
  </si>
  <si>
    <t>I192211</t>
  </si>
  <si>
    <t>I230701</t>
  </si>
  <si>
    <t>I377077</t>
  </si>
  <si>
    <t>I256586</t>
  </si>
  <si>
    <t>I822406</t>
  </si>
  <si>
    <t>I135057</t>
  </si>
  <si>
    <t>I141519</t>
  </si>
  <si>
    <t>I164439</t>
  </si>
  <si>
    <t>I189166</t>
  </si>
  <si>
    <t>I190414</t>
  </si>
  <si>
    <t>I232017</t>
  </si>
  <si>
    <t>I236062</t>
  </si>
  <si>
    <t>I170158</t>
  </si>
  <si>
    <t>I209913</t>
  </si>
  <si>
    <t>I214591</t>
  </si>
  <si>
    <t>I253476</t>
  </si>
  <si>
    <t>I155560</t>
  </si>
  <si>
    <t>I183571</t>
  </si>
  <si>
    <t>I196787</t>
  </si>
  <si>
    <t>I240627</t>
  </si>
  <si>
    <t>I251357</t>
  </si>
  <si>
    <t>I290459</t>
  </si>
  <si>
    <t>I313832</t>
  </si>
  <si>
    <t>I330686</t>
  </si>
  <si>
    <t>I349230</t>
  </si>
  <si>
    <t>I790520</t>
  </si>
  <si>
    <t>I956682</t>
  </si>
  <si>
    <t>I183128</t>
  </si>
  <si>
    <t>I192659</t>
  </si>
  <si>
    <t>I224648</t>
  </si>
  <si>
    <t>I254528</t>
  </si>
  <si>
    <t>I257128</t>
  </si>
  <si>
    <t>I273335</t>
  </si>
  <si>
    <t>I292056</t>
  </si>
  <si>
    <t>I318281</t>
  </si>
  <si>
    <t>I336751</t>
  </si>
  <si>
    <t>I668414</t>
  </si>
  <si>
    <t>I999141</t>
  </si>
  <si>
    <t>I147907</t>
  </si>
  <si>
    <t>I219590</t>
  </si>
  <si>
    <t>I260183</t>
  </si>
  <si>
    <t>I273820</t>
  </si>
  <si>
    <t>I147203</t>
  </si>
  <si>
    <t>I160549</t>
  </si>
  <si>
    <t>I178200</t>
  </si>
  <si>
    <t>I713117</t>
  </si>
  <si>
    <t>I221804</t>
  </si>
  <si>
    <t>I268114</t>
  </si>
  <si>
    <t>I818342</t>
  </si>
  <si>
    <t>I120948</t>
  </si>
  <si>
    <t>I162230</t>
  </si>
  <si>
    <t>I322152</t>
  </si>
  <si>
    <t>I129730</t>
  </si>
  <si>
    <t>I201704</t>
  </si>
  <si>
    <t>I332700</t>
  </si>
  <si>
    <t>I336017</t>
  </si>
  <si>
    <t>I173148</t>
  </si>
  <si>
    <t>I196306</t>
  </si>
  <si>
    <t>I262448</t>
  </si>
  <si>
    <t>I322609</t>
  </si>
  <si>
    <t>I882432</t>
  </si>
  <si>
    <t>I101862</t>
  </si>
  <si>
    <t>I176010</t>
  </si>
  <si>
    <t>I299582</t>
  </si>
  <si>
    <t>I825913</t>
  </si>
  <si>
    <t>I183983</t>
  </si>
  <si>
    <t>I185792</t>
  </si>
  <si>
    <t>I205329</t>
  </si>
  <si>
    <t>I337227</t>
  </si>
  <si>
    <t>I875529</t>
  </si>
  <si>
    <t>I895371</t>
  </si>
  <si>
    <t>I157403</t>
  </si>
  <si>
    <t>I170098</t>
  </si>
  <si>
    <t>I204541</t>
  </si>
  <si>
    <t>I148573</t>
  </si>
  <si>
    <t>I157000</t>
  </si>
  <si>
    <t>I171111</t>
  </si>
  <si>
    <t>I246220</t>
  </si>
  <si>
    <t>I318521</t>
  </si>
  <si>
    <t>I394989</t>
  </si>
  <si>
    <t>I790187</t>
  </si>
  <si>
    <t>I210062</t>
  </si>
  <si>
    <t>I270675</t>
  </si>
  <si>
    <t>I943072</t>
  </si>
  <si>
    <t>I125368</t>
  </si>
  <si>
    <t>I202662</t>
  </si>
  <si>
    <t>I233892</t>
  </si>
  <si>
    <t>I286001</t>
  </si>
  <si>
    <t>I303007</t>
  </si>
  <si>
    <t>I326451</t>
  </si>
  <si>
    <t>I688768</t>
  </si>
  <si>
    <t>I201131</t>
  </si>
  <si>
    <t>I300202</t>
  </si>
  <si>
    <t>I327495</t>
  </si>
  <si>
    <t>I549888</t>
  </si>
  <si>
    <t>I860924</t>
  </si>
  <si>
    <t>I107122</t>
  </si>
  <si>
    <t>I205988</t>
  </si>
  <si>
    <t>I583553</t>
  </si>
  <si>
    <t>I158508</t>
  </si>
  <si>
    <t>I401426</t>
  </si>
  <si>
    <t>I189759</t>
  </si>
  <si>
    <t>I189809</t>
  </si>
  <si>
    <t>I219113</t>
  </si>
  <si>
    <t>I226058</t>
  </si>
  <si>
    <t>I402983</t>
  </si>
  <si>
    <t>I455730</t>
  </si>
  <si>
    <t>I821053</t>
  </si>
  <si>
    <t>I177982</t>
  </si>
  <si>
    <t>I279131</t>
  </si>
  <si>
    <t>I285370</t>
  </si>
  <si>
    <t>I299776</t>
  </si>
  <si>
    <t>I335969</t>
  </si>
  <si>
    <t>I504058</t>
  </si>
  <si>
    <t>I712121</t>
  </si>
  <si>
    <t>I125535</t>
  </si>
  <si>
    <t>I136569</t>
  </si>
  <si>
    <t>I416352</t>
  </si>
  <si>
    <t>I107246</t>
  </si>
  <si>
    <t>I227639</t>
  </si>
  <si>
    <t>I551237</t>
  </si>
  <si>
    <t>I652354</t>
  </si>
  <si>
    <t>I302879</t>
  </si>
  <si>
    <t>I402966</t>
  </si>
  <si>
    <t>I950912</t>
  </si>
  <si>
    <t>I103382</t>
  </si>
  <si>
    <t>I105009</t>
  </si>
  <si>
    <t>I121934</t>
  </si>
  <si>
    <t>I230347</t>
  </si>
  <si>
    <t>I242047</t>
  </si>
  <si>
    <t>I330341</t>
  </si>
  <si>
    <t>I335339</t>
  </si>
  <si>
    <t>I673552</t>
  </si>
  <si>
    <t>I162614</t>
  </si>
  <si>
    <t>I234582</t>
  </si>
  <si>
    <t>I342255</t>
  </si>
  <si>
    <t>I421240</t>
  </si>
  <si>
    <t>I235112</t>
  </si>
  <si>
    <t>I249520</t>
  </si>
  <si>
    <t>I280403</t>
  </si>
  <si>
    <t>I302188</t>
  </si>
  <si>
    <t>I337613</t>
  </si>
  <si>
    <t>I636447</t>
  </si>
  <si>
    <t>I946433</t>
  </si>
  <si>
    <t>I143001</t>
  </si>
  <si>
    <t>I243559</t>
  </si>
  <si>
    <t>I332514</t>
  </si>
  <si>
    <t>I332971</t>
  </si>
  <si>
    <t>I365745</t>
  </si>
  <si>
    <t>I417236</t>
  </si>
  <si>
    <t>I781551</t>
  </si>
  <si>
    <t>I195497</t>
  </si>
  <si>
    <t>I227732</t>
  </si>
  <si>
    <t>I251177</t>
  </si>
  <si>
    <t>I609968</t>
  </si>
  <si>
    <t>I800762</t>
  </si>
  <si>
    <t>I165544</t>
  </si>
  <si>
    <t>I206752</t>
  </si>
  <si>
    <t>I332055</t>
  </si>
  <si>
    <t>I393737</t>
  </si>
  <si>
    <t>I711019</t>
  </si>
  <si>
    <t>I818950</t>
  </si>
  <si>
    <t>I157074</t>
  </si>
  <si>
    <t>I216047</t>
  </si>
  <si>
    <t>I327484</t>
  </si>
  <si>
    <t>I779338</t>
  </si>
  <si>
    <t>I103121</t>
  </si>
  <si>
    <t>I258510</t>
  </si>
  <si>
    <t>I268731</t>
  </si>
  <si>
    <t>I274610</t>
  </si>
  <si>
    <t>I165750</t>
  </si>
  <si>
    <t>I214988</t>
  </si>
  <si>
    <t>I257335</t>
  </si>
  <si>
    <t>I307701</t>
  </si>
  <si>
    <t>I145285</t>
  </si>
  <si>
    <t>I303159</t>
  </si>
  <si>
    <t>I321337</t>
  </si>
  <si>
    <t>I237248</t>
  </si>
  <si>
    <t>I289748</t>
  </si>
  <si>
    <t>I838895</t>
  </si>
  <si>
    <t>I129119</t>
  </si>
  <si>
    <t>I201157</t>
  </si>
  <si>
    <t>I237045</t>
  </si>
  <si>
    <t>I243117</t>
  </si>
  <si>
    <t>I288674</t>
  </si>
  <si>
    <t>I313796</t>
  </si>
  <si>
    <t>I447060</t>
  </si>
  <si>
    <t>I162719</t>
  </si>
  <si>
    <t>I198456</t>
  </si>
  <si>
    <t>I233079</t>
  </si>
  <si>
    <t>I673113</t>
  </si>
  <si>
    <t>I158498</t>
  </si>
  <si>
    <t>I242323</t>
  </si>
  <si>
    <t>I368924</t>
  </si>
  <si>
    <t>I629649</t>
  </si>
  <si>
    <t>I131076</t>
  </si>
  <si>
    <t>I189270</t>
  </si>
  <si>
    <t>I219377</t>
  </si>
  <si>
    <t>I334012</t>
  </si>
  <si>
    <t>I593158</t>
  </si>
  <si>
    <t>I133261</t>
  </si>
  <si>
    <t>I162929</t>
  </si>
  <si>
    <t>I206416</t>
  </si>
  <si>
    <t>I328664</t>
  </si>
  <si>
    <t>I786653</t>
  </si>
  <si>
    <t>I132843</t>
  </si>
  <si>
    <t>I191156</t>
  </si>
  <si>
    <t>I195995</t>
  </si>
  <si>
    <t>I204457</t>
  </si>
  <si>
    <t>I284750</t>
  </si>
  <si>
    <t>I330239</t>
  </si>
  <si>
    <t>I108718</t>
  </si>
  <si>
    <t>I118080</t>
  </si>
  <si>
    <t>I146049</t>
  </si>
  <si>
    <t>I165693</t>
  </si>
  <si>
    <t>I172007</t>
  </si>
  <si>
    <t>I238017</t>
  </si>
  <si>
    <t>I258210</t>
  </si>
  <si>
    <t>I587545</t>
  </si>
  <si>
    <t>I233358</t>
  </si>
  <si>
    <t>I236109</t>
  </si>
  <si>
    <t>I260979</t>
  </si>
  <si>
    <t>I480312</t>
  </si>
  <si>
    <t>I598369</t>
  </si>
  <si>
    <t>I148931</t>
  </si>
  <si>
    <t>I181599</t>
  </si>
  <si>
    <t>I186418</t>
  </si>
  <si>
    <t>I192361</t>
  </si>
  <si>
    <t>I231514</t>
  </si>
  <si>
    <t>I144648</t>
  </si>
  <si>
    <t>I173444</t>
  </si>
  <si>
    <t>I210871</t>
  </si>
  <si>
    <t>I215850</t>
  </si>
  <si>
    <t>I289041</t>
  </si>
  <si>
    <t>I330079</t>
  </si>
  <si>
    <t>I333703</t>
  </si>
  <si>
    <t>I998114</t>
  </si>
  <si>
    <t>I179619</t>
  </si>
  <si>
    <t>I268186</t>
  </si>
  <si>
    <t>I329454</t>
  </si>
  <si>
    <t>I386325</t>
  </si>
  <si>
    <t>I952906</t>
  </si>
  <si>
    <t>I146509</t>
  </si>
  <si>
    <t>I156614</t>
  </si>
  <si>
    <t>I285013</t>
  </si>
  <si>
    <t>I548500</t>
  </si>
  <si>
    <t>I115808</t>
  </si>
  <si>
    <t>I162398</t>
  </si>
  <si>
    <t>I179626</t>
  </si>
  <si>
    <t>I240992</t>
  </si>
  <si>
    <t>I297571</t>
  </si>
  <si>
    <t>I319684</t>
  </si>
  <si>
    <t>I324537</t>
  </si>
  <si>
    <t>I906644</t>
  </si>
  <si>
    <t>I106348</t>
  </si>
  <si>
    <t>I186508</t>
  </si>
  <si>
    <t>I214172</t>
  </si>
  <si>
    <t>I266211</t>
  </si>
  <si>
    <t>I315837</t>
  </si>
  <si>
    <t>I320839</t>
  </si>
  <si>
    <t>I337111</t>
  </si>
  <si>
    <t>I782749</t>
  </si>
  <si>
    <t>I155694</t>
  </si>
  <si>
    <t>I155185</t>
  </si>
  <si>
    <t>I204558</t>
  </si>
  <si>
    <t>I205315</t>
  </si>
  <si>
    <t>I238579</t>
  </si>
  <si>
    <t>I291068</t>
  </si>
  <si>
    <t>I191596</t>
  </si>
  <si>
    <t>I202145</t>
  </si>
  <si>
    <t>I218515</t>
  </si>
  <si>
    <t>I280767</t>
  </si>
  <si>
    <t>I957100</t>
  </si>
  <si>
    <t>I166330</t>
  </si>
  <si>
    <t>I301361</t>
  </si>
  <si>
    <t>I303072</t>
  </si>
  <si>
    <t>I730771</t>
  </si>
  <si>
    <t>I115564</t>
  </si>
  <si>
    <t>I161152</t>
  </si>
  <si>
    <t>I212454</t>
  </si>
  <si>
    <t>I231382</t>
  </si>
  <si>
    <t>I233787</t>
  </si>
  <si>
    <t>I326870</t>
  </si>
  <si>
    <t>I446775</t>
  </si>
  <si>
    <t>I132964</t>
  </si>
  <si>
    <t>I227030</t>
  </si>
  <si>
    <t>I298674</t>
  </si>
  <si>
    <t>I382100</t>
  </si>
  <si>
    <t>I638151</t>
  </si>
  <si>
    <t>I187324</t>
  </si>
  <si>
    <t>I205112</t>
  </si>
  <si>
    <t>I240053</t>
  </si>
  <si>
    <t>I104135</t>
  </si>
  <si>
    <t>I119218</t>
  </si>
  <si>
    <t>I154721</t>
  </si>
  <si>
    <t>I262083</t>
  </si>
  <si>
    <t>I307534</t>
  </si>
  <si>
    <t>I313795</t>
  </si>
  <si>
    <t>I732648</t>
  </si>
  <si>
    <t>I284202</t>
  </si>
  <si>
    <t>I557804</t>
  </si>
  <si>
    <t>I969458</t>
  </si>
  <si>
    <t>I201499</t>
  </si>
  <si>
    <t>I211571</t>
  </si>
  <si>
    <t>I252776</t>
  </si>
  <si>
    <t>I267437</t>
  </si>
  <si>
    <t>I277000</t>
  </si>
  <si>
    <t>I384873</t>
  </si>
  <si>
    <t>I166493</t>
  </si>
  <si>
    <t>I870519</t>
  </si>
  <si>
    <t>I198287</t>
  </si>
  <si>
    <t>I209289</t>
  </si>
  <si>
    <t>I549259</t>
  </si>
  <si>
    <t>I665330</t>
  </si>
  <si>
    <t>I121489</t>
  </si>
  <si>
    <t>I197089</t>
  </si>
  <si>
    <t>I329869</t>
  </si>
  <si>
    <t>I698669</t>
  </si>
  <si>
    <t>I720616</t>
  </si>
  <si>
    <t>I735905</t>
  </si>
  <si>
    <t>I127628</t>
  </si>
  <si>
    <t>I176961</t>
  </si>
  <si>
    <t>I203526</t>
  </si>
  <si>
    <t>I227384</t>
  </si>
  <si>
    <t>I680241</t>
  </si>
  <si>
    <t>I195905</t>
  </si>
  <si>
    <t>I752413</t>
  </si>
  <si>
    <t>I150437</t>
  </si>
  <si>
    <t>I221594</t>
  </si>
  <si>
    <t>I495637</t>
  </si>
  <si>
    <t>I655874</t>
  </si>
  <si>
    <t>I111305</t>
  </si>
  <si>
    <t>I229689</t>
  </si>
  <si>
    <t>I258776</t>
  </si>
  <si>
    <t>I122823</t>
  </si>
  <si>
    <t>I156806</t>
  </si>
  <si>
    <t>I181474</t>
  </si>
  <si>
    <t>I184812</t>
  </si>
  <si>
    <t>I187519</t>
  </si>
  <si>
    <t>I256273</t>
  </si>
  <si>
    <t>I320763</t>
  </si>
  <si>
    <t>I473411</t>
  </si>
  <si>
    <t>I118793</t>
  </si>
  <si>
    <t>I229482</t>
  </si>
  <si>
    <t>I308956</t>
  </si>
  <si>
    <t>I309692</t>
  </si>
  <si>
    <t>I594735</t>
  </si>
  <si>
    <t>I615452</t>
  </si>
  <si>
    <t>I778661</t>
  </si>
  <si>
    <t>I117778</t>
  </si>
  <si>
    <t>I183098</t>
  </si>
  <si>
    <t>I240691</t>
  </si>
  <si>
    <t>I292155</t>
  </si>
  <si>
    <t>I950727</t>
  </si>
  <si>
    <t>I186856</t>
  </si>
  <si>
    <t>I287041</t>
  </si>
  <si>
    <t>I319817</t>
  </si>
  <si>
    <t>I331908</t>
  </si>
  <si>
    <t>I806733</t>
  </si>
  <si>
    <t>I169264</t>
  </si>
  <si>
    <t>I310832</t>
  </si>
  <si>
    <t>I321318</t>
  </si>
  <si>
    <t>I324237</t>
  </si>
  <si>
    <t>I361816</t>
  </si>
  <si>
    <t>I435093</t>
  </si>
  <si>
    <t>I661172</t>
  </si>
  <si>
    <t>I104058</t>
  </si>
  <si>
    <t>I182036</t>
  </si>
  <si>
    <t>I194017</t>
  </si>
  <si>
    <t>I176867</t>
  </si>
  <si>
    <t>I259569</t>
  </si>
  <si>
    <t>I290089</t>
  </si>
  <si>
    <t>I314205</t>
  </si>
  <si>
    <t>I332122</t>
  </si>
  <si>
    <t>I333030</t>
  </si>
  <si>
    <t>I109962</t>
  </si>
  <si>
    <t>I113812</t>
  </si>
  <si>
    <t>I153677</t>
  </si>
  <si>
    <t>I289172</t>
  </si>
  <si>
    <t>I338382</t>
  </si>
  <si>
    <t>I610563</t>
  </si>
  <si>
    <t>I211335</t>
  </si>
  <si>
    <t>I247306</t>
  </si>
  <si>
    <t>I258976</t>
  </si>
  <si>
    <t>I320044</t>
  </si>
  <si>
    <t>I904415</t>
  </si>
  <si>
    <t>I107596</t>
  </si>
  <si>
    <t>I125423</t>
  </si>
  <si>
    <t>I140019</t>
  </si>
  <si>
    <t>I141822</t>
  </si>
  <si>
    <t>I206223</t>
  </si>
  <si>
    <t>I224820</t>
  </si>
  <si>
    <t>I267707</t>
  </si>
  <si>
    <t>I332809</t>
  </si>
  <si>
    <t>I942284</t>
  </si>
  <si>
    <t>I103131</t>
  </si>
  <si>
    <t>I153467</t>
  </si>
  <si>
    <t>I199912</t>
  </si>
  <si>
    <t>I213132</t>
  </si>
  <si>
    <t>I311125</t>
  </si>
  <si>
    <t>I549884</t>
  </si>
  <si>
    <t>I764781</t>
  </si>
  <si>
    <t>I111055</t>
  </si>
  <si>
    <t>I306990</t>
  </si>
  <si>
    <t>I567428</t>
  </si>
  <si>
    <t>I245557</t>
  </si>
  <si>
    <t>I262199</t>
  </si>
  <si>
    <t>I288329</t>
  </si>
  <si>
    <t>I485162</t>
  </si>
  <si>
    <t>I799795</t>
  </si>
  <si>
    <t>I117875</t>
  </si>
  <si>
    <t>I185044</t>
  </si>
  <si>
    <t>I200326</t>
  </si>
  <si>
    <t>I262529</t>
  </si>
  <si>
    <t>I270613</t>
  </si>
  <si>
    <t>I168159</t>
  </si>
  <si>
    <t>I187920</t>
  </si>
  <si>
    <t>I292774</t>
  </si>
  <si>
    <t>I306191</t>
  </si>
  <si>
    <t>I107540</t>
  </si>
  <si>
    <t>I221547</t>
  </si>
  <si>
    <t>I494794</t>
  </si>
  <si>
    <t>I580188</t>
  </si>
  <si>
    <t>I152659</t>
  </si>
  <si>
    <t>I155567</t>
  </si>
  <si>
    <t>I188480</t>
  </si>
  <si>
    <t>I228195</t>
  </si>
  <si>
    <t>I391615</t>
  </si>
  <si>
    <t>I549350</t>
  </si>
  <si>
    <t>I815821</t>
  </si>
  <si>
    <t>I824264</t>
  </si>
  <si>
    <t>I109418</t>
  </si>
  <si>
    <t>I130053</t>
  </si>
  <si>
    <t>I130192</t>
  </si>
  <si>
    <t>I143873</t>
  </si>
  <si>
    <t>I158210</t>
  </si>
  <si>
    <t>I212598</t>
  </si>
  <si>
    <t>I213852</t>
  </si>
  <si>
    <t>I225939</t>
  </si>
  <si>
    <t>I256868</t>
  </si>
  <si>
    <t>I276780</t>
  </si>
  <si>
    <t>I435037</t>
  </si>
  <si>
    <t>I650004</t>
  </si>
  <si>
    <t>I851352</t>
  </si>
  <si>
    <t>I107805</t>
  </si>
  <si>
    <t>I171352</t>
  </si>
  <si>
    <t>I179977</t>
  </si>
  <si>
    <t>I313025</t>
  </si>
  <si>
    <t>I122783</t>
  </si>
  <si>
    <t>I132734</t>
  </si>
  <si>
    <t>I156252</t>
  </si>
  <si>
    <t>I270968</t>
  </si>
  <si>
    <t>I286041</t>
  </si>
  <si>
    <t>I273194</t>
  </si>
  <si>
    <t>I282887</t>
  </si>
  <si>
    <t>I179058</t>
  </si>
  <si>
    <t>I202932</t>
  </si>
  <si>
    <t>I219281</t>
  </si>
  <si>
    <t>I339366</t>
  </si>
  <si>
    <t>I353662</t>
  </si>
  <si>
    <t>I143495</t>
  </si>
  <si>
    <t>I235653</t>
  </si>
  <si>
    <t>I443994</t>
  </si>
  <si>
    <t>I586725</t>
  </si>
  <si>
    <t>I944302</t>
  </si>
  <si>
    <t>I305003</t>
  </si>
  <si>
    <t>I350619</t>
  </si>
  <si>
    <t>I380830</t>
  </si>
  <si>
    <t>I483830</t>
  </si>
  <si>
    <t>I170677</t>
  </si>
  <si>
    <t>I174053</t>
  </si>
  <si>
    <t>I217473</t>
  </si>
  <si>
    <t>I271038</t>
  </si>
  <si>
    <t>I285670</t>
  </si>
  <si>
    <t>I295488</t>
  </si>
  <si>
    <t>I312633</t>
  </si>
  <si>
    <t>I919664</t>
  </si>
  <si>
    <t>I135513</t>
  </si>
  <si>
    <t>I139930</t>
  </si>
  <si>
    <t>I182652</t>
  </si>
  <si>
    <t>I249797</t>
  </si>
  <si>
    <t>I357584</t>
  </si>
  <si>
    <t>I169599</t>
  </si>
  <si>
    <t>I182483</t>
  </si>
  <si>
    <t>I126551</t>
  </si>
  <si>
    <t>I317585</t>
  </si>
  <si>
    <t>I330278</t>
  </si>
  <si>
    <t>I436935</t>
  </si>
  <si>
    <t>I108567</t>
  </si>
  <si>
    <t>I250562</t>
  </si>
  <si>
    <t>I251885</t>
  </si>
  <si>
    <t>I327541</t>
  </si>
  <si>
    <t>I310547</t>
  </si>
  <si>
    <t>I805520</t>
  </si>
  <si>
    <t>I862051</t>
  </si>
  <si>
    <t>I215038</t>
  </si>
  <si>
    <t>I436240</t>
  </si>
  <si>
    <t>I951988</t>
  </si>
  <si>
    <t>I251356</t>
  </si>
  <si>
    <t>I258266</t>
  </si>
  <si>
    <t>I318655</t>
  </si>
  <si>
    <t>I109161</t>
  </si>
  <si>
    <t>I157671</t>
  </si>
  <si>
    <t>I171864</t>
  </si>
  <si>
    <t>I223875</t>
  </si>
  <si>
    <t>I124249</t>
  </si>
  <si>
    <t>I140666</t>
  </si>
  <si>
    <t>I162283</t>
  </si>
  <si>
    <t>I232019</t>
  </si>
  <si>
    <t>I247944</t>
  </si>
  <si>
    <t>I260295</t>
  </si>
  <si>
    <t>I260459</t>
  </si>
  <si>
    <t>I291868</t>
  </si>
  <si>
    <t>I308925</t>
  </si>
  <si>
    <t>I317948</t>
  </si>
  <si>
    <t>I336794</t>
  </si>
  <si>
    <t>I237841</t>
  </si>
  <si>
    <t>I249022</t>
  </si>
  <si>
    <t>I259576</t>
  </si>
  <si>
    <t>I270089</t>
  </si>
  <si>
    <t>I339134</t>
  </si>
  <si>
    <t>I355649</t>
  </si>
  <si>
    <t>I522797</t>
  </si>
  <si>
    <t>I927409</t>
  </si>
  <si>
    <t>I192213</t>
  </si>
  <si>
    <t>I440435</t>
  </si>
  <si>
    <t>I103324</t>
  </si>
  <si>
    <t>I111219</t>
  </si>
  <si>
    <t>I133257</t>
  </si>
  <si>
    <t>I246061</t>
  </si>
  <si>
    <t>I543579</t>
  </si>
  <si>
    <t>I107226</t>
  </si>
  <si>
    <t>I123654</t>
  </si>
  <si>
    <t>I167253</t>
  </si>
  <si>
    <t>I192012</t>
  </si>
  <si>
    <t>I206504</t>
  </si>
  <si>
    <t>I323785</t>
  </si>
  <si>
    <t>I893857</t>
  </si>
  <si>
    <t>I175593</t>
  </si>
  <si>
    <t>I331891</t>
  </si>
  <si>
    <t>I657000</t>
  </si>
  <si>
    <t>I128486</t>
  </si>
  <si>
    <t>I162663</t>
  </si>
  <si>
    <t>I220787</t>
  </si>
  <si>
    <t>I237671</t>
  </si>
  <si>
    <t>I324420</t>
  </si>
  <si>
    <t>I170396</t>
  </si>
  <si>
    <t>I191531</t>
  </si>
  <si>
    <t>I259857</t>
  </si>
  <si>
    <t>I110309</t>
  </si>
  <si>
    <t>I206246</t>
  </si>
  <si>
    <t>I256703</t>
  </si>
  <si>
    <t>I826922</t>
  </si>
  <si>
    <t>I118970</t>
  </si>
  <si>
    <t>I119678</t>
  </si>
  <si>
    <t>I196930</t>
  </si>
  <si>
    <t>I315612</t>
  </si>
  <si>
    <t>I899320</t>
  </si>
  <si>
    <t>I100312</t>
  </si>
  <si>
    <t>I118533</t>
  </si>
  <si>
    <t>I179301</t>
  </si>
  <si>
    <t>I329400</t>
  </si>
  <si>
    <t>I668401</t>
  </si>
  <si>
    <t>I712241</t>
  </si>
  <si>
    <t>I132817</t>
  </si>
  <si>
    <t>I229276</t>
  </si>
  <si>
    <t>I241446</t>
  </si>
  <si>
    <t>I321233</t>
  </si>
  <si>
    <t>I333994</t>
  </si>
  <si>
    <t>I975873</t>
  </si>
  <si>
    <t>I153842</t>
  </si>
  <si>
    <t>I158352</t>
  </si>
  <si>
    <t>I270866</t>
  </si>
  <si>
    <t>I519596</t>
  </si>
  <si>
    <t>I238285</t>
  </si>
  <si>
    <t>I115302</t>
  </si>
  <si>
    <t>I188845</t>
  </si>
  <si>
    <t>I217717</t>
  </si>
  <si>
    <t>I241628</t>
  </si>
  <si>
    <t>I319825</t>
  </si>
  <si>
    <t>I268558</t>
  </si>
  <si>
    <t>I292336</t>
  </si>
  <si>
    <t>I119676</t>
  </si>
  <si>
    <t>I144622</t>
  </si>
  <si>
    <t>I161777</t>
  </si>
  <si>
    <t>I172488</t>
  </si>
  <si>
    <t>I248285</t>
  </si>
  <si>
    <t>I283387</t>
  </si>
  <si>
    <t>I409288</t>
  </si>
  <si>
    <t>I101806</t>
  </si>
  <si>
    <t>I115913</t>
  </si>
  <si>
    <t>I156131</t>
  </si>
  <si>
    <t>I253999</t>
  </si>
  <si>
    <t>I271709</t>
  </si>
  <si>
    <t>I647398</t>
  </si>
  <si>
    <t>I741593</t>
  </si>
  <si>
    <t>I774221</t>
  </si>
  <si>
    <t>I147365</t>
  </si>
  <si>
    <t>I189376</t>
  </si>
  <si>
    <t>I317106</t>
  </si>
  <si>
    <t>I102481</t>
  </si>
  <si>
    <t>I140127</t>
  </si>
  <si>
    <t>I181684</t>
  </si>
  <si>
    <t>I233664</t>
  </si>
  <si>
    <t>I261818</t>
  </si>
  <si>
    <t>I276169</t>
  </si>
  <si>
    <t>I303780</t>
  </si>
  <si>
    <t>I307447</t>
  </si>
  <si>
    <t>I223232</t>
  </si>
  <si>
    <t>I288753</t>
  </si>
  <si>
    <t>I208602</t>
  </si>
  <si>
    <t>I287513</t>
  </si>
  <si>
    <t>I172733</t>
  </si>
  <si>
    <t>I233412</t>
  </si>
  <si>
    <t>I339038</t>
  </si>
  <si>
    <t>I128975</t>
  </si>
  <si>
    <t>I171350</t>
  </si>
  <si>
    <t>I182663</t>
  </si>
  <si>
    <t>I208105</t>
  </si>
  <si>
    <t>I243843</t>
  </si>
  <si>
    <t>I262087</t>
  </si>
  <si>
    <t>I293705</t>
  </si>
  <si>
    <t>I309139</t>
  </si>
  <si>
    <t>I316195</t>
  </si>
  <si>
    <t>I328315</t>
  </si>
  <si>
    <t>I878944</t>
  </si>
  <si>
    <t>I115684</t>
  </si>
  <si>
    <t>I171398</t>
  </si>
  <si>
    <t>I210399</t>
  </si>
  <si>
    <t>I328635</t>
  </si>
  <si>
    <t>I166361</t>
  </si>
  <si>
    <t>I339014</t>
  </si>
  <si>
    <t>I344455</t>
  </si>
  <si>
    <t>I577429</t>
  </si>
  <si>
    <t>I110639</t>
  </si>
  <si>
    <t>I164148</t>
  </si>
  <si>
    <t>I267414</t>
  </si>
  <si>
    <t>I289860</t>
  </si>
  <si>
    <t>I530401</t>
  </si>
  <si>
    <t>I111508</t>
  </si>
  <si>
    <t>I140201</t>
  </si>
  <si>
    <t>I195587</t>
  </si>
  <si>
    <t>I247723</t>
  </si>
  <si>
    <t>I289127</t>
  </si>
  <si>
    <t>I290672</t>
  </si>
  <si>
    <t>I294582</t>
  </si>
  <si>
    <t>I179338</t>
  </si>
  <si>
    <t>I191597</t>
  </si>
  <si>
    <t>I259700</t>
  </si>
  <si>
    <t>I313046</t>
  </si>
  <si>
    <t>I331280</t>
  </si>
  <si>
    <t>I694059</t>
  </si>
  <si>
    <t>I762506</t>
  </si>
  <si>
    <t>I115273</t>
  </si>
  <si>
    <t>I280909</t>
  </si>
  <si>
    <t>I580474</t>
  </si>
  <si>
    <t>I798350</t>
  </si>
  <si>
    <t>I156748</t>
  </si>
  <si>
    <t>I172806</t>
  </si>
  <si>
    <t>I212959</t>
  </si>
  <si>
    <t>I787252</t>
  </si>
  <si>
    <t>I122358</t>
  </si>
  <si>
    <t>I198776</t>
  </si>
  <si>
    <t>I215428</t>
  </si>
  <si>
    <t>I332005</t>
  </si>
  <si>
    <t>I698178</t>
  </si>
  <si>
    <t>I125236</t>
  </si>
  <si>
    <t>I167015</t>
  </si>
  <si>
    <t>I214442</t>
  </si>
  <si>
    <t>I312314</t>
  </si>
  <si>
    <t>I136844</t>
  </si>
  <si>
    <t>I162093</t>
  </si>
  <si>
    <t>I250197</t>
  </si>
  <si>
    <t>I254293</t>
  </si>
  <si>
    <t>I275741</t>
  </si>
  <si>
    <t>I292262</t>
  </si>
  <si>
    <t>I831438</t>
  </si>
  <si>
    <t>I155885</t>
  </si>
  <si>
    <t>I208383</t>
  </si>
  <si>
    <t>I300808</t>
  </si>
  <si>
    <t>I305607</t>
  </si>
  <si>
    <t>I140693</t>
  </si>
  <si>
    <t>I204170</t>
  </si>
  <si>
    <t>I262655</t>
  </si>
  <si>
    <t>I328464</t>
  </si>
  <si>
    <t>I408190</t>
  </si>
  <si>
    <t>I104598</t>
  </si>
  <si>
    <t>I170836</t>
  </si>
  <si>
    <t>I314125</t>
  </si>
  <si>
    <t>I321683</t>
  </si>
  <si>
    <t>I333209</t>
  </si>
  <si>
    <t>I121332</t>
  </si>
  <si>
    <t>I179423</t>
  </si>
  <si>
    <t>I207469</t>
  </si>
  <si>
    <t>I217565</t>
  </si>
  <si>
    <t>I232338</t>
  </si>
  <si>
    <t>I243055</t>
  </si>
  <si>
    <t>I267744</t>
  </si>
  <si>
    <t>I267787</t>
  </si>
  <si>
    <t>I914792</t>
  </si>
  <si>
    <t>I298561</t>
  </si>
  <si>
    <t>I305746</t>
  </si>
  <si>
    <t>I321558</t>
  </si>
  <si>
    <t>I327663</t>
  </si>
  <si>
    <t>I547402</t>
  </si>
  <si>
    <t>I640550</t>
  </si>
  <si>
    <t>I938379</t>
  </si>
  <si>
    <t>I232809</t>
  </si>
  <si>
    <t>I321229</t>
  </si>
  <si>
    <t>I329147</t>
  </si>
  <si>
    <t>I371873</t>
  </si>
  <si>
    <t>I570421</t>
  </si>
  <si>
    <t>I117154</t>
  </si>
  <si>
    <t>I117370</t>
  </si>
  <si>
    <t>I178787</t>
  </si>
  <si>
    <t>I193066</t>
  </si>
  <si>
    <t>I221699</t>
  </si>
  <si>
    <t>I344589</t>
  </si>
  <si>
    <t>I939386</t>
  </si>
  <si>
    <t>I197344</t>
  </si>
  <si>
    <t>I239588</t>
  </si>
  <si>
    <t>I242403</t>
  </si>
  <si>
    <t>I260499</t>
  </si>
  <si>
    <t>I100464</t>
  </si>
  <si>
    <t>I118894</t>
  </si>
  <si>
    <t>I160076</t>
  </si>
  <si>
    <t>I185402</t>
  </si>
  <si>
    <t>I234812</t>
  </si>
  <si>
    <t>I248258</t>
  </si>
  <si>
    <t>I324366</t>
  </si>
  <si>
    <t>I116190</t>
  </si>
  <si>
    <t>I152370</t>
  </si>
  <si>
    <t>I224157</t>
  </si>
  <si>
    <t>I299768</t>
  </si>
  <si>
    <t>I668520</t>
  </si>
  <si>
    <t>I986103</t>
  </si>
  <si>
    <t>I227716</t>
  </si>
  <si>
    <t>I318344</t>
  </si>
  <si>
    <t>I854901</t>
  </si>
  <si>
    <t>I101537</t>
  </si>
  <si>
    <t>I258945</t>
  </si>
  <si>
    <t>I326146</t>
  </si>
  <si>
    <t>I327035</t>
  </si>
  <si>
    <t>I862601</t>
  </si>
  <si>
    <t>I173679</t>
  </si>
  <si>
    <t>I313718</t>
  </si>
  <si>
    <t>I322660</t>
  </si>
  <si>
    <t>I573701</t>
  </si>
  <si>
    <t>I166429</t>
  </si>
  <si>
    <t>I216059</t>
  </si>
  <si>
    <t>I321836</t>
  </si>
  <si>
    <t>I336189</t>
  </si>
  <si>
    <t>I136586</t>
  </si>
  <si>
    <t>I222109</t>
  </si>
  <si>
    <t>I251779</t>
  </si>
  <si>
    <t>I274465</t>
  </si>
  <si>
    <t>I294468</t>
  </si>
  <si>
    <t>I101133</t>
  </si>
  <si>
    <t>I251408</t>
  </si>
  <si>
    <t>I252712</t>
  </si>
  <si>
    <t>I298724</t>
  </si>
  <si>
    <t>I305323</t>
  </si>
  <si>
    <t>I311052</t>
  </si>
  <si>
    <t>I126377</t>
  </si>
  <si>
    <t>I258117</t>
  </si>
  <si>
    <t>I291540</t>
  </si>
  <si>
    <t>I325501</t>
  </si>
  <si>
    <t>I346547</t>
  </si>
  <si>
    <t>I535919</t>
  </si>
  <si>
    <t>I128829</t>
  </si>
  <si>
    <t>I140851</t>
  </si>
  <si>
    <t>I155158</t>
  </si>
  <si>
    <t>I177052</t>
  </si>
  <si>
    <t>I241042</t>
  </si>
  <si>
    <t>I255018</t>
  </si>
  <si>
    <t>I273050</t>
  </si>
  <si>
    <t>I279301</t>
  </si>
  <si>
    <t>I288215</t>
  </si>
  <si>
    <t>I303371</t>
  </si>
  <si>
    <t>I331693</t>
  </si>
  <si>
    <t>I389784</t>
  </si>
  <si>
    <t>I504141</t>
  </si>
  <si>
    <t>I101879</t>
  </si>
  <si>
    <t>I185351</t>
  </si>
  <si>
    <t>I192320</t>
  </si>
  <si>
    <t>I235242</t>
  </si>
  <si>
    <t>I291710</t>
  </si>
  <si>
    <t>I327469</t>
  </si>
  <si>
    <t>I813748</t>
  </si>
  <si>
    <t>I262808</t>
  </si>
  <si>
    <t>I312109</t>
  </si>
  <si>
    <t>I836360</t>
  </si>
  <si>
    <t>I175212</t>
  </si>
  <si>
    <t>I218805</t>
  </si>
  <si>
    <t>I225851</t>
  </si>
  <si>
    <t>I250203</t>
  </si>
  <si>
    <t>I885508</t>
  </si>
  <si>
    <t>I128080</t>
  </si>
  <si>
    <t>I204700</t>
  </si>
  <si>
    <t>I230987</t>
  </si>
  <si>
    <t>I337094</t>
  </si>
  <si>
    <t>I796504</t>
  </si>
  <si>
    <t>I813548</t>
  </si>
  <si>
    <t>I153930</t>
  </si>
  <si>
    <t>I229668</t>
  </si>
  <si>
    <t>I234384</t>
  </si>
  <si>
    <t>I317426</t>
  </si>
  <si>
    <t>I329646</t>
  </si>
  <si>
    <t>I106195</t>
  </si>
  <si>
    <t>I139530</t>
  </si>
  <si>
    <t>I147821</t>
  </si>
  <si>
    <t>I150398</t>
  </si>
  <si>
    <t>I306746</t>
  </si>
  <si>
    <t>I100223</t>
  </si>
  <si>
    <t>I101022</t>
  </si>
  <si>
    <t>I107888</t>
  </si>
  <si>
    <t>I257508</t>
  </si>
  <si>
    <t>I121064</t>
  </si>
  <si>
    <t>I849357</t>
  </si>
  <si>
    <t>I111867</t>
  </si>
  <si>
    <t>I127930</t>
  </si>
  <si>
    <t>I128834</t>
  </si>
  <si>
    <t>I133926</t>
  </si>
  <si>
    <t>I217891</t>
  </si>
  <si>
    <t>I324853</t>
  </si>
  <si>
    <t>I333966</t>
  </si>
  <si>
    <t>I425068</t>
  </si>
  <si>
    <t>I645871</t>
  </si>
  <si>
    <t>I805202</t>
  </si>
  <si>
    <t>I816678</t>
  </si>
  <si>
    <t>I247936</t>
  </si>
  <si>
    <t>I131683</t>
  </si>
  <si>
    <t>I198933</t>
  </si>
  <si>
    <t>I224642</t>
  </si>
  <si>
    <t>I267406</t>
  </si>
  <si>
    <t>I624742</t>
  </si>
  <si>
    <t>I243617</t>
  </si>
  <si>
    <t>I271849</t>
  </si>
  <si>
    <t>I525798</t>
  </si>
  <si>
    <t>I289729</t>
  </si>
  <si>
    <t>I328845</t>
  </si>
  <si>
    <t>I926252</t>
  </si>
  <si>
    <t>I112471</t>
  </si>
  <si>
    <t>I143427</t>
  </si>
  <si>
    <t>I192192</t>
  </si>
  <si>
    <t>I195162</t>
  </si>
  <si>
    <t>I256481</t>
  </si>
  <si>
    <t>I284414</t>
  </si>
  <si>
    <t>I322972</t>
  </si>
  <si>
    <t>I114827</t>
  </si>
  <si>
    <t>I130526</t>
  </si>
  <si>
    <t>I189881</t>
  </si>
  <si>
    <t>I316383</t>
  </si>
  <si>
    <t>I583670</t>
  </si>
  <si>
    <t>I148353</t>
  </si>
  <si>
    <t>I187643</t>
  </si>
  <si>
    <t>I207227</t>
  </si>
  <si>
    <t>I214882</t>
  </si>
  <si>
    <t>I258827</t>
  </si>
  <si>
    <t>I765914</t>
  </si>
  <si>
    <t>I829370</t>
  </si>
  <si>
    <t>I888966</t>
  </si>
  <si>
    <t>I125572</t>
  </si>
  <si>
    <t>I175835</t>
  </si>
  <si>
    <t>I198233</t>
  </si>
  <si>
    <t>I158469</t>
  </si>
  <si>
    <t>I288683</t>
  </si>
  <si>
    <t>I289643</t>
  </si>
  <si>
    <t>I320127</t>
  </si>
  <si>
    <t>I335178</t>
  </si>
  <si>
    <t>I583242</t>
  </si>
  <si>
    <t>I108407</t>
  </si>
  <si>
    <t>I170712</t>
  </si>
  <si>
    <t>I551504</t>
  </si>
  <si>
    <t>I731863</t>
  </si>
  <si>
    <t>I108762</t>
  </si>
  <si>
    <t>I155861</t>
  </si>
  <si>
    <t>I247264</t>
  </si>
  <si>
    <t>I253619</t>
  </si>
  <si>
    <t>I324620</t>
  </si>
  <si>
    <t>I163001</t>
  </si>
  <si>
    <t>I215031</t>
  </si>
  <si>
    <t>I219827</t>
  </si>
  <si>
    <t>I650642</t>
  </si>
  <si>
    <t>I163770</t>
  </si>
  <si>
    <t>I177064</t>
  </si>
  <si>
    <t>I180472</t>
  </si>
  <si>
    <t>I229492</t>
  </si>
  <si>
    <t>I238290</t>
  </si>
  <si>
    <t>I338987</t>
  </si>
  <si>
    <t>I143566</t>
  </si>
  <si>
    <t>I187364</t>
  </si>
  <si>
    <t>I220125</t>
  </si>
  <si>
    <t>I274783</t>
  </si>
  <si>
    <t>I140473</t>
  </si>
  <si>
    <t>I338395</t>
  </si>
  <si>
    <t>I416544</t>
  </si>
  <si>
    <t>I730806</t>
  </si>
  <si>
    <t>I219175</t>
  </si>
  <si>
    <t>I780560</t>
  </si>
  <si>
    <t>I287505</t>
  </si>
  <si>
    <t>I306845</t>
  </si>
  <si>
    <t>I307099</t>
  </si>
  <si>
    <t>I190444</t>
  </si>
  <si>
    <t>I273743</t>
  </si>
  <si>
    <t>I289595</t>
  </si>
  <si>
    <t>I296663</t>
  </si>
  <si>
    <t>I203663</t>
  </si>
  <si>
    <t>I242563</t>
  </si>
  <si>
    <t>I310552</t>
  </si>
  <si>
    <t>I369631</t>
  </si>
  <si>
    <t>I151885</t>
  </si>
  <si>
    <t>I184006</t>
  </si>
  <si>
    <t>I478092</t>
  </si>
  <si>
    <t>I729679</t>
  </si>
  <si>
    <t>I855683</t>
  </si>
  <si>
    <t>I111981</t>
  </si>
  <si>
    <t>I214860</t>
  </si>
  <si>
    <t>I258534</t>
  </si>
  <si>
    <t>I267665</t>
  </si>
  <si>
    <t>I826174</t>
  </si>
  <si>
    <t>I137430</t>
  </si>
  <si>
    <t>I184738</t>
  </si>
  <si>
    <t>I198308</t>
  </si>
  <si>
    <t>I246030</t>
  </si>
  <si>
    <t>I329435</t>
  </si>
  <si>
    <t>I148169</t>
  </si>
  <si>
    <t>I202249</t>
  </si>
  <si>
    <t>I114537</t>
  </si>
  <si>
    <t>I116606</t>
  </si>
  <si>
    <t>I225087</t>
  </si>
  <si>
    <t>I264264</t>
  </si>
  <si>
    <t>I284964</t>
  </si>
  <si>
    <t>I286730</t>
  </si>
  <si>
    <t>I305810</t>
  </si>
  <si>
    <t>I312030</t>
  </si>
  <si>
    <t>I139491</t>
  </si>
  <si>
    <t>I148276</t>
  </si>
  <si>
    <t>I143244</t>
  </si>
  <si>
    <t>I165202</t>
  </si>
  <si>
    <t>I205194</t>
  </si>
  <si>
    <t>I222934</t>
  </si>
  <si>
    <t>I284557</t>
  </si>
  <si>
    <t>I225453</t>
  </si>
  <si>
    <t>I339425</t>
  </si>
  <si>
    <t>I891558</t>
  </si>
  <si>
    <t>I907293</t>
  </si>
  <si>
    <t>I243930</t>
  </si>
  <si>
    <t>I390297</t>
  </si>
  <si>
    <t>I178513</t>
  </si>
  <si>
    <t>I238537</t>
  </si>
  <si>
    <t>I275004</t>
  </si>
  <si>
    <t>I338408</t>
  </si>
  <si>
    <t>I858594</t>
  </si>
  <si>
    <t>I211565</t>
  </si>
  <si>
    <t>I312437</t>
  </si>
  <si>
    <t>I428988</t>
  </si>
  <si>
    <t>I129344</t>
  </si>
  <si>
    <t>I143755</t>
  </si>
  <si>
    <t>I198006</t>
  </si>
  <si>
    <t>I216917</t>
  </si>
  <si>
    <t>I267309</t>
  </si>
  <si>
    <t>I316071</t>
  </si>
  <si>
    <t>I753404</t>
  </si>
  <si>
    <t>I111907</t>
  </si>
  <si>
    <t>I243441</t>
  </si>
  <si>
    <t>I335633</t>
  </si>
  <si>
    <t>I577926</t>
  </si>
  <si>
    <t>I108479</t>
  </si>
  <si>
    <t>I152207</t>
  </si>
  <si>
    <t>I303695</t>
  </si>
  <si>
    <t>I482361</t>
  </si>
  <si>
    <t>I827488</t>
  </si>
  <si>
    <t>I133413</t>
  </si>
  <si>
    <t>I179430</t>
  </si>
  <si>
    <t>I219862</t>
  </si>
  <si>
    <t>I301094</t>
  </si>
  <si>
    <t>I327173</t>
  </si>
  <si>
    <t>I404845</t>
  </si>
  <si>
    <t>I204056</t>
  </si>
  <si>
    <t>I204712</t>
  </si>
  <si>
    <t>I331119</t>
  </si>
  <si>
    <t>I476741</t>
  </si>
  <si>
    <t>I129765</t>
  </si>
  <si>
    <t>I139408</t>
  </si>
  <si>
    <t>I187946</t>
  </si>
  <si>
    <t>I223404</t>
  </si>
  <si>
    <t>I276149</t>
  </si>
  <si>
    <t>I306957</t>
  </si>
  <si>
    <t>I126571</t>
  </si>
  <si>
    <t>I185809</t>
  </si>
  <si>
    <t>I240580</t>
  </si>
  <si>
    <t>I310901</t>
  </si>
  <si>
    <t>I160777</t>
  </si>
  <si>
    <t>I186074</t>
  </si>
  <si>
    <t>I186943</t>
  </si>
  <si>
    <t>I229097</t>
  </si>
  <si>
    <t>I250556</t>
  </si>
  <si>
    <t>I275614</t>
  </si>
  <si>
    <t>I346323</t>
  </si>
  <si>
    <t>I478709</t>
  </si>
  <si>
    <t>I790545</t>
  </si>
  <si>
    <t>I915683</t>
  </si>
  <si>
    <t>I188063</t>
  </si>
  <si>
    <t>I196537</t>
  </si>
  <si>
    <t>I204323</t>
  </si>
  <si>
    <t>I102734</t>
  </si>
  <si>
    <t>I106826</t>
  </si>
  <si>
    <t>I139883</t>
  </si>
  <si>
    <t>I212850</t>
  </si>
  <si>
    <t>I229072</t>
  </si>
  <si>
    <t>I241873</t>
  </si>
  <si>
    <t>I257456</t>
  </si>
  <si>
    <t>I305131</t>
  </si>
  <si>
    <t>I166823</t>
  </si>
  <si>
    <t>I191336</t>
  </si>
  <si>
    <t>I234569</t>
  </si>
  <si>
    <t>I270709</t>
  </si>
  <si>
    <t>I323356</t>
  </si>
  <si>
    <t>I334787</t>
  </si>
  <si>
    <t>I104142</t>
  </si>
  <si>
    <t>I142741</t>
  </si>
  <si>
    <t>I154096</t>
  </si>
  <si>
    <t>I192701</t>
  </si>
  <si>
    <t>I236841</t>
  </si>
  <si>
    <t>I249436</t>
  </si>
  <si>
    <t>I268628</t>
  </si>
  <si>
    <t>I814638</t>
  </si>
  <si>
    <t>I918446</t>
  </si>
  <si>
    <t>I236127</t>
  </si>
  <si>
    <t>I313728</t>
  </si>
  <si>
    <t>I759063</t>
  </si>
  <si>
    <t>I102024</t>
  </si>
  <si>
    <t>I129692</t>
  </si>
  <si>
    <t>I239027</t>
  </si>
  <si>
    <t>I353329</t>
  </si>
  <si>
    <t>I136455</t>
  </si>
  <si>
    <t>I148083</t>
  </si>
  <si>
    <t>I214711</t>
  </si>
  <si>
    <t>I675407</t>
  </si>
  <si>
    <t>I138615</t>
  </si>
  <si>
    <t>I149358</t>
  </si>
  <si>
    <t>I226364</t>
  </si>
  <si>
    <t>I310521</t>
  </si>
  <si>
    <t>I777276</t>
  </si>
  <si>
    <t>I292286</t>
  </si>
  <si>
    <t>I299202</t>
  </si>
  <si>
    <t>I466017</t>
  </si>
  <si>
    <t>I129189</t>
  </si>
  <si>
    <t>I198346</t>
  </si>
  <si>
    <t>I200214</t>
  </si>
  <si>
    <t>I248770</t>
  </si>
  <si>
    <t>I738438</t>
  </si>
  <si>
    <t>I130750</t>
  </si>
  <si>
    <t>I145305</t>
  </si>
  <si>
    <t>I212987</t>
  </si>
  <si>
    <t>I213393</t>
  </si>
  <si>
    <t>I235015</t>
  </si>
  <si>
    <t>I312448</t>
  </si>
  <si>
    <t>I361028</t>
  </si>
  <si>
    <t>I128645</t>
  </si>
  <si>
    <t>I154825</t>
  </si>
  <si>
    <t>I201268</t>
  </si>
  <si>
    <t>I246926</t>
  </si>
  <si>
    <t>I265160</t>
  </si>
  <si>
    <t>I334494</t>
  </si>
  <si>
    <t>I686127</t>
  </si>
  <si>
    <t>I846931</t>
  </si>
  <si>
    <t>I190797</t>
  </si>
  <si>
    <t>I194512</t>
  </si>
  <si>
    <t>I284096</t>
  </si>
  <si>
    <t>I293524</t>
  </si>
  <si>
    <t>I657069</t>
  </si>
  <si>
    <t>I177957</t>
  </si>
  <si>
    <t>I207604</t>
  </si>
  <si>
    <t>I330510</t>
  </si>
  <si>
    <t>I433430</t>
  </si>
  <si>
    <t>I297993</t>
  </si>
  <si>
    <t>I304265</t>
  </si>
  <si>
    <t>I973333</t>
  </si>
  <si>
    <t>I164286</t>
  </si>
  <si>
    <t>I187101</t>
  </si>
  <si>
    <t>I191521</t>
  </si>
  <si>
    <t>I196168</t>
  </si>
  <si>
    <t>I250931</t>
  </si>
  <si>
    <t>I266781</t>
  </si>
  <si>
    <t>I319891</t>
  </si>
  <si>
    <t>I320617</t>
  </si>
  <si>
    <t>I136107</t>
  </si>
  <si>
    <t>I151036</t>
  </si>
  <si>
    <t>I169221</t>
  </si>
  <si>
    <t>I227836</t>
  </si>
  <si>
    <t>I233655</t>
  </si>
  <si>
    <t>I278332</t>
  </si>
  <si>
    <t>I313697</t>
  </si>
  <si>
    <t>I326791</t>
  </si>
  <si>
    <t>I689264</t>
  </si>
  <si>
    <t>I125963</t>
  </si>
  <si>
    <t>I177135</t>
  </si>
  <si>
    <t>I219780</t>
  </si>
  <si>
    <t>I272650</t>
  </si>
  <si>
    <t>I292434</t>
  </si>
  <si>
    <t>I471896</t>
  </si>
  <si>
    <t>I108621</t>
  </si>
  <si>
    <t>I255923</t>
  </si>
  <si>
    <t>I270096</t>
  </si>
  <si>
    <t>I409629</t>
  </si>
  <si>
    <t>I112526</t>
  </si>
  <si>
    <t>I134446</t>
  </si>
  <si>
    <t>I152586</t>
  </si>
  <si>
    <t>I195226</t>
  </si>
  <si>
    <t>I333054</t>
  </si>
  <si>
    <t>I160799</t>
  </si>
  <si>
    <t>I247695</t>
  </si>
  <si>
    <t>I275869</t>
  </si>
  <si>
    <t>I295895</t>
  </si>
  <si>
    <t>I719056</t>
  </si>
  <si>
    <t>I798213</t>
  </si>
  <si>
    <t>I897883</t>
  </si>
  <si>
    <t>I114445</t>
  </si>
  <si>
    <t>I214239</t>
  </si>
  <si>
    <t>I225454</t>
  </si>
  <si>
    <t>I258245</t>
  </si>
  <si>
    <t>I532109</t>
  </si>
  <si>
    <t>I991090</t>
  </si>
  <si>
    <t>I152100</t>
  </si>
  <si>
    <t>I215478</t>
  </si>
  <si>
    <t>I239292</t>
  </si>
  <si>
    <t>I252070</t>
  </si>
  <si>
    <t>I314982</t>
  </si>
  <si>
    <t>I762439</t>
  </si>
  <si>
    <t>I136262</t>
  </si>
  <si>
    <t>I182988</t>
  </si>
  <si>
    <t>I260132</t>
  </si>
  <si>
    <t>I855056</t>
  </si>
  <si>
    <t>I124100</t>
  </si>
  <si>
    <t>I127733</t>
  </si>
  <si>
    <t>I195078</t>
  </si>
  <si>
    <t>I320847</t>
  </si>
  <si>
    <t>I240751</t>
  </si>
  <si>
    <t>I284850</t>
  </si>
  <si>
    <t>I415140</t>
  </si>
  <si>
    <t>I632702</t>
  </si>
  <si>
    <t>I877397</t>
  </si>
  <si>
    <t>I169755</t>
  </si>
  <si>
    <t>I282516</t>
  </si>
  <si>
    <t>I323577</t>
  </si>
  <si>
    <t>I327199</t>
  </si>
  <si>
    <t>I115607</t>
  </si>
  <si>
    <t>I178265</t>
  </si>
  <si>
    <t>I323783</t>
  </si>
  <si>
    <t>I420763</t>
  </si>
  <si>
    <t>I165087</t>
  </si>
  <si>
    <t>I232308</t>
  </si>
  <si>
    <t>I242660</t>
  </si>
  <si>
    <t>I299866</t>
  </si>
  <si>
    <t>I601974</t>
  </si>
  <si>
    <t>I140741</t>
  </si>
  <si>
    <t>I172004</t>
  </si>
  <si>
    <t>I245683</t>
  </si>
  <si>
    <t>I976566</t>
  </si>
  <si>
    <t>I151764</t>
  </si>
  <si>
    <t>I183898</t>
  </si>
  <si>
    <t>I185098</t>
  </si>
  <si>
    <t>I247990</t>
  </si>
  <si>
    <t>I524058</t>
  </si>
  <si>
    <t>I866304</t>
  </si>
  <si>
    <t>I144914</t>
  </si>
  <si>
    <t>I167048</t>
  </si>
  <si>
    <t>I173571</t>
  </si>
  <si>
    <t>I302546</t>
  </si>
  <si>
    <t>I112223</t>
  </si>
  <si>
    <t>I126770</t>
  </si>
  <si>
    <t>I251423</t>
  </si>
  <si>
    <t>I255537</t>
  </si>
  <si>
    <t>I773945</t>
  </si>
  <si>
    <t>I115042</t>
  </si>
  <si>
    <t>I302268</t>
  </si>
  <si>
    <t>I334885</t>
  </si>
  <si>
    <t>I339115</t>
  </si>
  <si>
    <t>I759869</t>
  </si>
  <si>
    <t>I100193</t>
  </si>
  <si>
    <t>I172754</t>
  </si>
  <si>
    <t>I241333</t>
  </si>
  <si>
    <t>I287972</t>
  </si>
  <si>
    <t>I306076</t>
  </si>
  <si>
    <t>I101148</t>
  </si>
  <si>
    <t>I167285</t>
  </si>
  <si>
    <t>I179179</t>
  </si>
  <si>
    <t>I239707</t>
  </si>
  <si>
    <t>I281394</t>
  </si>
  <si>
    <t>I299001</t>
  </si>
  <si>
    <t>I317199</t>
  </si>
  <si>
    <t>I968148</t>
  </si>
  <si>
    <t>I134632</t>
  </si>
  <si>
    <t>I154569</t>
  </si>
  <si>
    <t>I182012</t>
  </si>
  <si>
    <t>I225045</t>
  </si>
  <si>
    <t>I258991</t>
  </si>
  <si>
    <t>I286651</t>
  </si>
  <si>
    <t>I621093</t>
  </si>
  <si>
    <t>I184417</t>
  </si>
  <si>
    <t>I231897</t>
  </si>
  <si>
    <t>I330593</t>
  </si>
  <si>
    <t>I711373</t>
  </si>
  <si>
    <t>I130485</t>
  </si>
  <si>
    <t>I136890</t>
  </si>
  <si>
    <t>I200143</t>
  </si>
  <si>
    <t>I240017</t>
  </si>
  <si>
    <t>I627117</t>
  </si>
  <si>
    <t>I639644</t>
  </si>
  <si>
    <t>I187453</t>
  </si>
  <si>
    <t>I225304</t>
  </si>
  <si>
    <t>I259816</t>
  </si>
  <si>
    <t>I274432</t>
  </si>
  <si>
    <t>I474169</t>
  </si>
  <si>
    <t>I176638</t>
  </si>
  <si>
    <t>I192173</t>
  </si>
  <si>
    <t>I229066</t>
  </si>
  <si>
    <t>I242835</t>
  </si>
  <si>
    <t>I319234</t>
  </si>
  <si>
    <t>I601026</t>
  </si>
  <si>
    <t>I850308</t>
  </si>
  <si>
    <t>I204929</t>
  </si>
  <si>
    <t>I301433</t>
  </si>
  <si>
    <t>I312282</t>
  </si>
  <si>
    <t>I957939</t>
  </si>
  <si>
    <t>I104505</t>
  </si>
  <si>
    <t>I107116</t>
  </si>
  <si>
    <t>I200141</t>
  </si>
  <si>
    <t>I241779</t>
  </si>
  <si>
    <t>I183315</t>
  </si>
  <si>
    <t>I183994</t>
  </si>
  <si>
    <t>I234383</t>
  </si>
  <si>
    <t>I298256</t>
  </si>
  <si>
    <t>I305702</t>
  </si>
  <si>
    <t>I569071</t>
  </si>
  <si>
    <t>I760290</t>
  </si>
  <si>
    <t>I876594</t>
  </si>
  <si>
    <t>I248976</t>
  </si>
  <si>
    <t>I254341</t>
  </si>
  <si>
    <t>I304306</t>
  </si>
  <si>
    <t>I483331</t>
  </si>
  <si>
    <t>I617062</t>
  </si>
  <si>
    <t>I140026</t>
  </si>
  <si>
    <t>I183623</t>
  </si>
  <si>
    <t>I195754</t>
  </si>
  <si>
    <t>I202865</t>
  </si>
  <si>
    <t>I877413</t>
  </si>
  <si>
    <t>I277462</t>
  </si>
  <si>
    <t>I598182</t>
  </si>
  <si>
    <t>I638751</t>
  </si>
  <si>
    <t>I105189</t>
  </si>
  <si>
    <t>I108854</t>
  </si>
  <si>
    <t>I126080</t>
  </si>
  <si>
    <t>I176115</t>
  </si>
  <si>
    <t>I249303</t>
  </si>
  <si>
    <t>I545896</t>
  </si>
  <si>
    <t>I114768</t>
  </si>
  <si>
    <t>I120437</t>
  </si>
  <si>
    <t>I141399</t>
  </si>
  <si>
    <t>I160254</t>
  </si>
  <si>
    <t>I222072</t>
  </si>
  <si>
    <t>I265979</t>
  </si>
  <si>
    <t>I862119</t>
  </si>
  <si>
    <t>I145770</t>
  </si>
  <si>
    <t>I187434</t>
  </si>
  <si>
    <t>I210732</t>
  </si>
  <si>
    <t>I304711</t>
  </si>
  <si>
    <t>I123592</t>
  </si>
  <si>
    <t>I779427</t>
  </si>
  <si>
    <t>I187777</t>
  </si>
  <si>
    <t>I248622</t>
  </si>
  <si>
    <t>I293161</t>
  </si>
  <si>
    <t>I206607</t>
  </si>
  <si>
    <t>I218666</t>
  </si>
  <si>
    <t>I264238</t>
  </si>
  <si>
    <t>I281054</t>
  </si>
  <si>
    <t>I304472</t>
  </si>
  <si>
    <t>I332936</t>
  </si>
  <si>
    <t>I850178</t>
  </si>
  <si>
    <t>I180153</t>
  </si>
  <si>
    <t>I191855</t>
  </si>
  <si>
    <t>I207205</t>
  </si>
  <si>
    <t>I337844</t>
  </si>
  <si>
    <t>I352031</t>
  </si>
  <si>
    <t>I359969</t>
  </si>
  <si>
    <t>I580806</t>
  </si>
  <si>
    <t>I791338</t>
  </si>
  <si>
    <t>I129187</t>
  </si>
  <si>
    <t>I202518</t>
  </si>
  <si>
    <t>I224499</t>
  </si>
  <si>
    <t>I266672</t>
  </si>
  <si>
    <t>I314619</t>
  </si>
  <si>
    <t>I332121</t>
  </si>
  <si>
    <t>I309383</t>
  </si>
  <si>
    <t>I150030</t>
  </si>
  <si>
    <t>I157859</t>
  </si>
  <si>
    <t>I203708</t>
  </si>
  <si>
    <t>I227944</t>
  </si>
  <si>
    <t>I244354</t>
  </si>
  <si>
    <t>I246550</t>
  </si>
  <si>
    <t>I307717</t>
  </si>
  <si>
    <t>I133005</t>
  </si>
  <si>
    <t>I236889</t>
  </si>
  <si>
    <t>I261575</t>
  </si>
  <si>
    <t>I278791</t>
  </si>
  <si>
    <t>I318056</t>
  </si>
  <si>
    <t>I328982</t>
  </si>
  <si>
    <t>I383070</t>
  </si>
  <si>
    <t>I676075</t>
  </si>
  <si>
    <t>I970915</t>
  </si>
  <si>
    <t>I129429</t>
  </si>
  <si>
    <t>I225853</t>
  </si>
  <si>
    <t>I239542</t>
  </si>
  <si>
    <t>I285686</t>
  </si>
  <si>
    <t>I327032</t>
  </si>
  <si>
    <t>I663376</t>
  </si>
  <si>
    <t>I400039</t>
  </si>
  <si>
    <t>I852722</t>
  </si>
  <si>
    <t>I884829</t>
  </si>
  <si>
    <t>I143457</t>
  </si>
  <si>
    <t>I277961</t>
  </si>
  <si>
    <t>I402236</t>
  </si>
  <si>
    <t>I699353</t>
  </si>
  <si>
    <t>I282321</t>
  </si>
  <si>
    <t>I326095</t>
  </si>
  <si>
    <t>I668689</t>
  </si>
  <si>
    <t>I217694</t>
  </si>
  <si>
    <t>I282799</t>
  </si>
  <si>
    <t>I320692</t>
  </si>
  <si>
    <t>I337587</t>
  </si>
  <si>
    <t>I832317</t>
  </si>
  <si>
    <t>I119784</t>
  </si>
  <si>
    <t>I126279</t>
  </si>
  <si>
    <t>I127620</t>
  </si>
  <si>
    <t>I193976</t>
  </si>
  <si>
    <t>I392829</t>
  </si>
  <si>
    <t>I106126</t>
  </si>
  <si>
    <t>I107109</t>
  </si>
  <si>
    <t>I145220</t>
  </si>
  <si>
    <t>I230515</t>
  </si>
  <si>
    <t>I264652</t>
  </si>
  <si>
    <t>I324896</t>
  </si>
  <si>
    <t>I179419</t>
  </si>
  <si>
    <t>I184787</t>
  </si>
  <si>
    <t>I221816</t>
  </si>
  <si>
    <t>I335368</t>
  </si>
  <si>
    <t>I467431</t>
  </si>
  <si>
    <t>I166220</t>
  </si>
  <si>
    <t>I198050</t>
  </si>
  <si>
    <t>I226742</t>
  </si>
  <si>
    <t>I263887</t>
  </si>
  <si>
    <t>I336170</t>
  </si>
  <si>
    <t>I757763</t>
  </si>
  <si>
    <t>I144638</t>
  </si>
  <si>
    <t>I169015</t>
  </si>
  <si>
    <t>I171475</t>
  </si>
  <si>
    <t>I214874</t>
  </si>
  <si>
    <t>I138802</t>
  </si>
  <si>
    <t>I187546</t>
  </si>
  <si>
    <t>I224224</t>
  </si>
  <si>
    <t>I241328</t>
  </si>
  <si>
    <t>I277753</t>
  </si>
  <si>
    <t>I118191</t>
  </si>
  <si>
    <t>I121484</t>
  </si>
  <si>
    <t>I270003</t>
  </si>
  <si>
    <t>I708279</t>
  </si>
  <si>
    <t>I953082</t>
  </si>
  <si>
    <t>I131492</t>
  </si>
  <si>
    <t>I276974</t>
  </si>
  <si>
    <t>I336238</t>
  </si>
  <si>
    <t>I475155</t>
  </si>
  <si>
    <t>I238607</t>
  </si>
  <si>
    <t>I254395</t>
  </si>
  <si>
    <t>I285671</t>
  </si>
  <si>
    <t>I334883</t>
  </si>
  <si>
    <t>I723837</t>
  </si>
  <si>
    <t>I106587</t>
  </si>
  <si>
    <t>I240383</t>
  </si>
  <si>
    <t>I262465</t>
  </si>
  <si>
    <t>I297985</t>
  </si>
  <si>
    <t>I720017</t>
  </si>
  <si>
    <t>I126253</t>
  </si>
  <si>
    <t>I160222</t>
  </si>
  <si>
    <t>I184498</t>
  </si>
  <si>
    <t>I231607</t>
  </si>
  <si>
    <t>I137065</t>
  </si>
  <si>
    <t>I157510</t>
  </si>
  <si>
    <t>I158547</t>
  </si>
  <si>
    <t>I160107</t>
  </si>
  <si>
    <t>I161622</t>
  </si>
  <si>
    <t>I367748</t>
  </si>
  <si>
    <t>I936222</t>
  </si>
  <si>
    <t>I108009</t>
  </si>
  <si>
    <t>I139341</t>
  </si>
  <si>
    <t>I173012</t>
  </si>
  <si>
    <t>I175773</t>
  </si>
  <si>
    <t>I184239</t>
  </si>
  <si>
    <t>I318269</t>
  </si>
  <si>
    <t>I320668</t>
  </si>
  <si>
    <t>I117045</t>
  </si>
  <si>
    <t>I126100</t>
  </si>
  <si>
    <t>I142874</t>
  </si>
  <si>
    <t>I203735</t>
  </si>
  <si>
    <t>I240021</t>
  </si>
  <si>
    <t>I446752</t>
  </si>
  <si>
    <t>I454983</t>
  </si>
  <si>
    <t>I139454</t>
  </si>
  <si>
    <t>I151272</t>
  </si>
  <si>
    <t>I183538</t>
  </si>
  <si>
    <t>I248578</t>
  </si>
  <si>
    <t>I284561</t>
  </si>
  <si>
    <t>I207734</t>
  </si>
  <si>
    <t>I236096</t>
  </si>
  <si>
    <t>I967976</t>
  </si>
  <si>
    <t>I197375</t>
  </si>
  <si>
    <t>I247218</t>
  </si>
  <si>
    <t>I322773</t>
  </si>
  <si>
    <t>I742010</t>
  </si>
  <si>
    <t>I106688</t>
  </si>
  <si>
    <t>I190479</t>
  </si>
  <si>
    <t>I234774</t>
  </si>
  <si>
    <t>I255404</t>
  </si>
  <si>
    <t>I270606</t>
  </si>
  <si>
    <t>I411189</t>
  </si>
  <si>
    <t>I641320</t>
  </si>
  <si>
    <t>I832553</t>
  </si>
  <si>
    <t>I152967</t>
  </si>
  <si>
    <t>I188855</t>
  </si>
  <si>
    <t>I320851</t>
  </si>
  <si>
    <t>I102199</t>
  </si>
  <si>
    <t>I130056</t>
  </si>
  <si>
    <t>I188049</t>
  </si>
  <si>
    <t>I199890</t>
  </si>
  <si>
    <t>I280483</t>
  </si>
  <si>
    <t>I289433</t>
  </si>
  <si>
    <t>I299434</t>
  </si>
  <si>
    <t>I309681</t>
  </si>
  <si>
    <t>I100897</t>
  </si>
  <si>
    <t>I110843</t>
  </si>
  <si>
    <t>I141691</t>
  </si>
  <si>
    <t>I158957</t>
  </si>
  <si>
    <t>I212156</t>
  </si>
  <si>
    <t>I305102</t>
  </si>
  <si>
    <t>I312496</t>
  </si>
  <si>
    <t>I714982</t>
  </si>
  <si>
    <t>I170003</t>
  </si>
  <si>
    <t>I236696</t>
  </si>
  <si>
    <t>I239501</t>
  </si>
  <si>
    <t>I818734</t>
  </si>
  <si>
    <t>I111110</t>
  </si>
  <si>
    <t>I185765</t>
  </si>
  <si>
    <t>I203031</t>
  </si>
  <si>
    <t>I230361</t>
  </si>
  <si>
    <t>I301530</t>
  </si>
  <si>
    <t>I126336</t>
  </si>
  <si>
    <t>I126731</t>
  </si>
  <si>
    <t>I296120</t>
  </si>
  <si>
    <t>I103577</t>
  </si>
  <si>
    <t>I131266</t>
  </si>
  <si>
    <t>I280712</t>
  </si>
  <si>
    <t>I162565</t>
  </si>
  <si>
    <t>I255853</t>
  </si>
  <si>
    <t>I318132</t>
  </si>
  <si>
    <t>I194574</t>
  </si>
  <si>
    <t>I194762</t>
  </si>
  <si>
    <t>I256652</t>
  </si>
  <si>
    <t>I912553</t>
  </si>
  <si>
    <t>I136504</t>
  </si>
  <si>
    <t>I191846</t>
  </si>
  <si>
    <t>I747228</t>
  </si>
  <si>
    <t>I188801</t>
  </si>
  <si>
    <t>I333489</t>
  </si>
  <si>
    <t>I836239</t>
  </si>
  <si>
    <t>I146964</t>
  </si>
  <si>
    <t>I202691</t>
  </si>
  <si>
    <t>I238630</t>
  </si>
  <si>
    <t>I118405</t>
  </si>
  <si>
    <t>I259657</t>
  </si>
  <si>
    <t>I286000</t>
  </si>
  <si>
    <t>I301266</t>
  </si>
  <si>
    <t>I316429</t>
  </si>
  <si>
    <t>I320504</t>
  </si>
  <si>
    <t>I325435</t>
  </si>
  <si>
    <t>I783835</t>
  </si>
  <si>
    <t>I109432</t>
  </si>
  <si>
    <t>I150992</t>
  </si>
  <si>
    <t>I229035</t>
  </si>
  <si>
    <t>I382367</t>
  </si>
  <si>
    <t>I737389</t>
  </si>
  <si>
    <t>I812874</t>
  </si>
  <si>
    <t>I276763</t>
  </si>
  <si>
    <t>I279692</t>
  </si>
  <si>
    <t>I950702</t>
  </si>
  <si>
    <t>I108736</t>
  </si>
  <si>
    <t>I169002</t>
  </si>
  <si>
    <t>I186033</t>
  </si>
  <si>
    <t>I245148</t>
  </si>
  <si>
    <t>I330536</t>
  </si>
  <si>
    <t>I593716</t>
  </si>
  <si>
    <t>I119280</t>
  </si>
  <si>
    <t>I182732</t>
  </si>
  <si>
    <t>I194209</t>
  </si>
  <si>
    <t>I299362</t>
  </si>
  <si>
    <t>I423782</t>
  </si>
  <si>
    <t>I730973</t>
  </si>
  <si>
    <t>I273623</t>
  </si>
  <si>
    <t>I402286</t>
  </si>
  <si>
    <t>I136804</t>
  </si>
  <si>
    <t>I165977</t>
  </si>
  <si>
    <t>I257102</t>
  </si>
  <si>
    <t>I328625</t>
  </si>
  <si>
    <t>I332144</t>
  </si>
  <si>
    <t>I197447</t>
  </si>
  <si>
    <t>I278949</t>
  </si>
  <si>
    <t>I288549</t>
  </si>
  <si>
    <t>I435868</t>
  </si>
  <si>
    <t>I111638</t>
  </si>
  <si>
    <t>I138225</t>
  </si>
  <si>
    <t>I166881</t>
  </si>
  <si>
    <t>I182338</t>
  </si>
  <si>
    <t>I783231</t>
  </si>
  <si>
    <t>I157477</t>
  </si>
  <si>
    <t>I179141</t>
  </si>
  <si>
    <t>I267637</t>
  </si>
  <si>
    <t>I469111</t>
  </si>
  <si>
    <t>I168077</t>
  </si>
  <si>
    <t>I171193</t>
  </si>
  <si>
    <t>I305917</t>
  </si>
  <si>
    <t>I331405</t>
  </si>
  <si>
    <t>I107367</t>
  </si>
  <si>
    <t>I163274</t>
  </si>
  <si>
    <t>I221492</t>
  </si>
  <si>
    <t>I272477</t>
  </si>
  <si>
    <t>I141017</t>
  </si>
  <si>
    <t>I238432</t>
  </si>
  <si>
    <t>I245211</t>
  </si>
  <si>
    <t>I251543</t>
  </si>
  <si>
    <t>I258797</t>
  </si>
  <si>
    <t>I327337</t>
  </si>
  <si>
    <t>I770343</t>
  </si>
  <si>
    <t>I782498</t>
  </si>
  <si>
    <t>I187144</t>
  </si>
  <si>
    <t>I191054</t>
  </si>
  <si>
    <t>I233772</t>
  </si>
  <si>
    <t>I747082</t>
  </si>
  <si>
    <t>I134517</t>
  </si>
  <si>
    <t>I210803</t>
  </si>
  <si>
    <t>I228335</t>
  </si>
  <si>
    <t>I336755</t>
  </si>
  <si>
    <t>I339095</t>
  </si>
  <si>
    <t>I827398</t>
  </si>
  <si>
    <t>I135195</t>
  </si>
  <si>
    <t>I138693</t>
  </si>
  <si>
    <t>I142245</t>
  </si>
  <si>
    <t>I148120</t>
  </si>
  <si>
    <t>I218954</t>
  </si>
  <si>
    <t>I332711</t>
  </si>
  <si>
    <t>I280022</t>
  </si>
  <si>
    <t>I161764</t>
  </si>
  <si>
    <t>I272533</t>
  </si>
  <si>
    <t>I308427</t>
  </si>
  <si>
    <t>I433700</t>
  </si>
  <si>
    <t>I586154</t>
  </si>
  <si>
    <t>I209313</t>
  </si>
  <si>
    <t>I228882</t>
  </si>
  <si>
    <t>I278351</t>
  </si>
  <si>
    <t>I339004</t>
  </si>
  <si>
    <t>I106060</t>
  </si>
  <si>
    <t>I206387</t>
  </si>
  <si>
    <t>I259581</t>
  </si>
  <si>
    <t>I265715</t>
  </si>
  <si>
    <t>I683780</t>
  </si>
  <si>
    <t>I130954</t>
  </si>
  <si>
    <t>I188735</t>
  </si>
  <si>
    <t>I260572</t>
  </si>
  <si>
    <t>I283927</t>
  </si>
  <si>
    <t>I331845</t>
  </si>
  <si>
    <t>I907323</t>
  </si>
  <si>
    <t>I259780</t>
  </si>
  <si>
    <t>I137813</t>
  </si>
  <si>
    <t>I139437</t>
  </si>
  <si>
    <t>I245787</t>
  </si>
  <si>
    <t>I100760</t>
  </si>
  <si>
    <t>I173141</t>
  </si>
  <si>
    <t>I200916</t>
  </si>
  <si>
    <t>I125103</t>
  </si>
  <si>
    <t>I149647</t>
  </si>
  <si>
    <t>I178847</t>
  </si>
  <si>
    <t>I181898</t>
  </si>
  <si>
    <t>I103006</t>
  </si>
  <si>
    <t>I152090</t>
  </si>
  <si>
    <t>I157537</t>
  </si>
  <si>
    <t>I233687</t>
  </si>
  <si>
    <t>I240299</t>
  </si>
  <si>
    <t>I241028</t>
  </si>
  <si>
    <t>I303976</t>
  </si>
  <si>
    <t>I904535</t>
  </si>
  <si>
    <t>I294326</t>
  </si>
  <si>
    <t>I296685</t>
  </si>
  <si>
    <t>I332714</t>
  </si>
  <si>
    <t>I337040</t>
  </si>
  <si>
    <t>I405220</t>
  </si>
  <si>
    <t>I584641</t>
  </si>
  <si>
    <t>I991897</t>
  </si>
  <si>
    <t>I128427</t>
  </si>
  <si>
    <t>I129272</t>
  </si>
  <si>
    <t>I157454</t>
  </si>
  <si>
    <t>I225873</t>
  </si>
  <si>
    <t>I331013</t>
  </si>
  <si>
    <t>I520629</t>
  </si>
  <si>
    <t>I168181</t>
  </si>
  <si>
    <t>I229099</t>
  </si>
  <si>
    <t>I296197</t>
  </si>
  <si>
    <t>I303963</t>
  </si>
  <si>
    <t>I861190</t>
  </si>
  <si>
    <t>I311153</t>
  </si>
  <si>
    <t>I211272</t>
  </si>
  <si>
    <t>I221142</t>
  </si>
  <si>
    <t>I242848</t>
  </si>
  <si>
    <t>I245496</t>
  </si>
  <si>
    <t>I154469</t>
  </si>
  <si>
    <t>I159123</t>
  </si>
  <si>
    <t>I519408</t>
  </si>
  <si>
    <t>I162777</t>
  </si>
  <si>
    <t>I164354</t>
  </si>
  <si>
    <t>I219841</t>
  </si>
  <si>
    <t>I235328</t>
  </si>
  <si>
    <t>I243262</t>
  </si>
  <si>
    <t>I270032</t>
  </si>
  <si>
    <t>I335300</t>
  </si>
  <si>
    <t>I129845</t>
  </si>
  <si>
    <t>I146445</t>
  </si>
  <si>
    <t>I239448</t>
  </si>
  <si>
    <t>I319561</t>
  </si>
  <si>
    <t>I139836</t>
  </si>
  <si>
    <t>I161791</t>
  </si>
  <si>
    <t>I214852</t>
  </si>
  <si>
    <t>I257032</t>
  </si>
  <si>
    <t>I280823</t>
  </si>
  <si>
    <t>I476456</t>
  </si>
  <si>
    <t>I150787</t>
  </si>
  <si>
    <t>I186465</t>
  </si>
  <si>
    <t>I247115</t>
  </si>
  <si>
    <t>I265216</t>
  </si>
  <si>
    <t>I316937</t>
  </si>
  <si>
    <t>I317083</t>
  </si>
  <si>
    <t>I617893</t>
  </si>
  <si>
    <t>I251728</t>
  </si>
  <si>
    <t>I303861</t>
  </si>
  <si>
    <t>I398554</t>
  </si>
  <si>
    <t>I431183</t>
  </si>
  <si>
    <t>I472987</t>
  </si>
  <si>
    <t>I326489</t>
  </si>
  <si>
    <t>I638275</t>
  </si>
  <si>
    <t>I775415</t>
  </si>
  <si>
    <t>I132394</t>
  </si>
  <si>
    <t>I149740</t>
  </si>
  <si>
    <t>I994913</t>
  </si>
  <si>
    <t>I136331</t>
  </si>
  <si>
    <t>I316468</t>
  </si>
  <si>
    <t>I450781</t>
  </si>
  <si>
    <t>I502412</t>
  </si>
  <si>
    <t>I111579</t>
  </si>
  <si>
    <t>I169292</t>
  </si>
  <si>
    <t>I178408</t>
  </si>
  <si>
    <t>I677367</t>
  </si>
  <si>
    <t>I160636</t>
  </si>
  <si>
    <t>I161496</t>
  </si>
  <si>
    <t>I199693</t>
  </si>
  <si>
    <t>I259248</t>
  </si>
  <si>
    <t>I276727</t>
  </si>
  <si>
    <t>I321417</t>
  </si>
  <si>
    <t>I157236</t>
  </si>
  <si>
    <t>I211460</t>
  </si>
  <si>
    <t>I240283</t>
  </si>
  <si>
    <t>I265706</t>
  </si>
  <si>
    <t>I352528</t>
  </si>
  <si>
    <t>I479247</t>
  </si>
  <si>
    <t>I153468</t>
  </si>
  <si>
    <t>I258358</t>
  </si>
  <si>
    <t>I266127</t>
  </si>
  <si>
    <t>I284828</t>
  </si>
  <si>
    <t>I321242</t>
  </si>
  <si>
    <t>I324202</t>
  </si>
  <si>
    <t>I514285</t>
  </si>
  <si>
    <t>I759283</t>
  </si>
  <si>
    <t>I108378</t>
  </si>
  <si>
    <t>I168037</t>
  </si>
  <si>
    <t>I541215</t>
  </si>
  <si>
    <t>I250253</t>
  </si>
  <si>
    <t>I153928</t>
  </si>
  <si>
    <t>I237899</t>
  </si>
  <si>
    <t>I161865</t>
  </si>
  <si>
    <t>I274148</t>
  </si>
  <si>
    <t>I299820</t>
  </si>
  <si>
    <t>I299945</t>
  </si>
  <si>
    <t>I323790</t>
  </si>
  <si>
    <t>I179204</t>
  </si>
  <si>
    <t>I188932</t>
  </si>
  <si>
    <t>I203631</t>
  </si>
  <si>
    <t>I254508</t>
  </si>
  <si>
    <t>I193571</t>
  </si>
  <si>
    <t>I203460</t>
  </si>
  <si>
    <t>I277523</t>
  </si>
  <si>
    <t>I284282</t>
  </si>
  <si>
    <t>I100215</t>
  </si>
  <si>
    <t>I211213</t>
  </si>
  <si>
    <t>I229929</t>
  </si>
  <si>
    <t>I233823</t>
  </si>
  <si>
    <t>I335299</t>
  </si>
  <si>
    <t>I381863</t>
  </si>
  <si>
    <t>I713466</t>
  </si>
  <si>
    <t>I100251</t>
  </si>
  <si>
    <t>I104160</t>
  </si>
  <si>
    <t>I146932</t>
  </si>
  <si>
    <t>I202574</t>
  </si>
  <si>
    <t>I203386</t>
  </si>
  <si>
    <t>I235821</t>
  </si>
  <si>
    <t>I977587</t>
  </si>
  <si>
    <t>I110599</t>
  </si>
  <si>
    <t>I189261</t>
  </si>
  <si>
    <t>I215141</t>
  </si>
  <si>
    <t>I275685</t>
  </si>
  <si>
    <t>I282718</t>
  </si>
  <si>
    <t>I656672</t>
  </si>
  <si>
    <t>I694501</t>
  </si>
  <si>
    <t>I180528</t>
  </si>
  <si>
    <t>I180908</t>
  </si>
  <si>
    <t>I243483</t>
  </si>
  <si>
    <t>I428118</t>
  </si>
  <si>
    <t>I487603</t>
  </si>
  <si>
    <t>I511790</t>
  </si>
  <si>
    <t>I797319</t>
  </si>
  <si>
    <t>I158181</t>
  </si>
  <si>
    <t>I177331</t>
  </si>
  <si>
    <t>I201201</t>
  </si>
  <si>
    <t>I256466</t>
  </si>
  <si>
    <t>I298023</t>
  </si>
  <si>
    <t>I963325</t>
  </si>
  <si>
    <t>I990833</t>
  </si>
  <si>
    <t>I192619</t>
  </si>
  <si>
    <t>I194759</t>
  </si>
  <si>
    <t>I240079</t>
  </si>
  <si>
    <t>I252825</t>
  </si>
  <si>
    <t>I331339</t>
  </si>
  <si>
    <t>I126873</t>
  </si>
  <si>
    <t>I203272</t>
  </si>
  <si>
    <t>I255066</t>
  </si>
  <si>
    <t>I261954</t>
  </si>
  <si>
    <t>I285872</t>
  </si>
  <si>
    <t>I297717</t>
  </si>
  <si>
    <t>I300962</t>
  </si>
  <si>
    <t>I559463</t>
  </si>
  <si>
    <t>I118772</t>
  </si>
  <si>
    <t>I215721</t>
  </si>
  <si>
    <t>I307057</t>
  </si>
  <si>
    <t>I869107</t>
  </si>
  <si>
    <t>I158977</t>
  </si>
  <si>
    <t>I231295</t>
  </si>
  <si>
    <t>I270947</t>
  </si>
  <si>
    <t>I292395</t>
  </si>
  <si>
    <t>I312608</t>
  </si>
  <si>
    <t>I316611</t>
  </si>
  <si>
    <t>I325218</t>
  </si>
  <si>
    <t>I101171</t>
  </si>
  <si>
    <t>I321342</t>
  </si>
  <si>
    <t>I411184</t>
  </si>
  <si>
    <t>I117872</t>
  </si>
  <si>
    <t>I123287</t>
  </si>
  <si>
    <t>I249846</t>
  </si>
  <si>
    <t>I115471</t>
  </si>
  <si>
    <t>I154426</t>
  </si>
  <si>
    <t>I161336</t>
  </si>
  <si>
    <t>I167895</t>
  </si>
  <si>
    <t>I213299</t>
  </si>
  <si>
    <t>I214405</t>
  </si>
  <si>
    <t>I300240</t>
  </si>
  <si>
    <t>I315600</t>
  </si>
  <si>
    <t>I417930</t>
  </si>
  <si>
    <t>I685727</t>
  </si>
  <si>
    <t>I109183</t>
  </si>
  <si>
    <t>I113242</t>
  </si>
  <si>
    <t>I191732</t>
  </si>
  <si>
    <t>I239721</t>
  </si>
  <si>
    <t>I246032</t>
  </si>
  <si>
    <t>I255113</t>
  </si>
  <si>
    <t>I298271</t>
  </si>
  <si>
    <t>I321323</t>
  </si>
  <si>
    <t>I113566</t>
  </si>
  <si>
    <t>I124551</t>
  </si>
  <si>
    <t>I170468</t>
  </si>
  <si>
    <t>I174207</t>
  </si>
  <si>
    <t>I195723</t>
  </si>
  <si>
    <t>I320282</t>
  </si>
  <si>
    <t>I475108</t>
  </si>
  <si>
    <t>I581076</t>
  </si>
  <si>
    <t>I262220</t>
  </si>
  <si>
    <t>I512570</t>
  </si>
  <si>
    <t>I163202</t>
  </si>
  <si>
    <t>I223001</t>
  </si>
  <si>
    <t>I807792</t>
  </si>
  <si>
    <t>I225839</t>
  </si>
  <si>
    <t>I879408</t>
  </si>
  <si>
    <t>I114727</t>
  </si>
  <si>
    <t>I189399</t>
  </si>
  <si>
    <t>I196819</t>
  </si>
  <si>
    <t>I221278</t>
  </si>
  <si>
    <t>I238586</t>
  </si>
  <si>
    <t>I328943</t>
  </si>
  <si>
    <t>I526683</t>
  </si>
  <si>
    <t>I893043</t>
  </si>
  <si>
    <t>I175130</t>
  </si>
  <si>
    <t>I216249</t>
  </si>
  <si>
    <t>I232025</t>
  </si>
  <si>
    <t>I295401</t>
  </si>
  <si>
    <t>I953657</t>
  </si>
  <si>
    <t>I153869</t>
  </si>
  <si>
    <t>I161871</t>
  </si>
  <si>
    <t>I173014</t>
  </si>
  <si>
    <t>I209580</t>
  </si>
  <si>
    <t>I239388</t>
  </si>
  <si>
    <t>I314977</t>
  </si>
  <si>
    <t>I460213</t>
  </si>
  <si>
    <t>I526871</t>
  </si>
  <si>
    <t>I134241</t>
  </si>
  <si>
    <t>I148377</t>
  </si>
  <si>
    <t>I205903</t>
  </si>
  <si>
    <t>I298782</t>
  </si>
  <si>
    <t>I847530</t>
  </si>
  <si>
    <t>I245514</t>
  </si>
  <si>
    <t>I472142</t>
  </si>
  <si>
    <t>I161165</t>
  </si>
  <si>
    <t>I193657</t>
  </si>
  <si>
    <t>I194098</t>
  </si>
  <si>
    <t>I317125</t>
  </si>
  <si>
    <t>I330975</t>
  </si>
  <si>
    <t>I756230</t>
  </si>
  <si>
    <t>I116694</t>
  </si>
  <si>
    <t>I129886</t>
  </si>
  <si>
    <t>I230958</t>
  </si>
  <si>
    <t>I297592</t>
  </si>
  <si>
    <t>I329342</t>
  </si>
  <si>
    <t>I385064</t>
  </si>
  <si>
    <t>I505432</t>
  </si>
  <si>
    <t>I134126</t>
  </si>
  <si>
    <t>I208592</t>
  </si>
  <si>
    <t>I273471</t>
  </si>
  <si>
    <t>I293590</t>
  </si>
  <si>
    <t>I737630</t>
  </si>
  <si>
    <t>I192290</t>
  </si>
  <si>
    <t>I327472</t>
  </si>
  <si>
    <t>I132365</t>
  </si>
  <si>
    <t>I251743</t>
  </si>
  <si>
    <t>I623367</t>
  </si>
  <si>
    <t>I106776</t>
  </si>
  <si>
    <t>I149251</t>
  </si>
  <si>
    <t>I221056</t>
  </si>
  <si>
    <t>I522612</t>
  </si>
  <si>
    <t>I157325</t>
  </si>
  <si>
    <t>I226372</t>
  </si>
  <si>
    <t>I309770</t>
  </si>
  <si>
    <t>I883163</t>
  </si>
  <si>
    <t>I132621</t>
  </si>
  <si>
    <t>I203706</t>
  </si>
  <si>
    <t>I421053</t>
  </si>
  <si>
    <t>I423941</t>
  </si>
  <si>
    <t>I842391</t>
  </si>
  <si>
    <t>I871521</t>
  </si>
  <si>
    <t>I928847</t>
  </si>
  <si>
    <t>I128697</t>
  </si>
  <si>
    <t>I204520</t>
  </si>
  <si>
    <t>I268975</t>
  </si>
  <si>
    <t>I290993</t>
  </si>
  <si>
    <t>I300857</t>
  </si>
  <si>
    <t>I433328</t>
  </si>
  <si>
    <t>I747114</t>
  </si>
  <si>
    <t>I120242</t>
  </si>
  <si>
    <t>I160204</t>
  </si>
  <si>
    <t>I274965</t>
  </si>
  <si>
    <t>I336420</t>
  </si>
  <si>
    <t>I602716</t>
  </si>
  <si>
    <t>I893687</t>
  </si>
  <si>
    <t>I111426</t>
  </si>
  <si>
    <t>I112973</t>
  </si>
  <si>
    <t>I119657</t>
  </si>
  <si>
    <t>I146978</t>
  </si>
  <si>
    <t>I158486</t>
  </si>
  <si>
    <t>I299958</t>
  </si>
  <si>
    <t>I323985</t>
  </si>
  <si>
    <t>I338863</t>
  </si>
  <si>
    <t>I645506</t>
  </si>
  <si>
    <t>I135321</t>
  </si>
  <si>
    <t>I171870</t>
  </si>
  <si>
    <t>I260737</t>
  </si>
  <si>
    <t>I284009</t>
  </si>
  <si>
    <t>I946274</t>
  </si>
  <si>
    <t>I106014</t>
  </si>
  <si>
    <t>I272403</t>
  </si>
  <si>
    <t>I331938</t>
  </si>
  <si>
    <t>I702237</t>
  </si>
  <si>
    <t>I160116</t>
  </si>
  <si>
    <t>I215578</t>
  </si>
  <si>
    <t>I236128</t>
  </si>
  <si>
    <t>I254885</t>
  </si>
  <si>
    <t>I278709</t>
  </si>
  <si>
    <t>I289889</t>
  </si>
  <si>
    <t>I322119</t>
  </si>
  <si>
    <t>I112089</t>
  </si>
  <si>
    <t>I160332</t>
  </si>
  <si>
    <t>I267506</t>
  </si>
  <si>
    <t>I320437</t>
  </si>
  <si>
    <t>I853787</t>
  </si>
  <si>
    <t>I111896</t>
  </si>
  <si>
    <t>I120105</t>
  </si>
  <si>
    <t>I199379</t>
  </si>
  <si>
    <t>I846448</t>
  </si>
  <si>
    <t>I106639</t>
  </si>
  <si>
    <t>I243395</t>
  </si>
  <si>
    <t>I255149</t>
  </si>
  <si>
    <t>I256046</t>
  </si>
  <si>
    <t>I494256</t>
  </si>
  <si>
    <t>I121611</t>
  </si>
  <si>
    <t>I176469</t>
  </si>
  <si>
    <t>I252614</t>
  </si>
  <si>
    <t>I262125</t>
  </si>
  <si>
    <t>I286319</t>
  </si>
  <si>
    <t>I698377</t>
  </si>
  <si>
    <t>I116887</t>
  </si>
  <si>
    <t>I153511</t>
  </si>
  <si>
    <t>I201067</t>
  </si>
  <si>
    <t>I225058</t>
  </si>
  <si>
    <t>I121628</t>
  </si>
  <si>
    <t>I224917</t>
  </si>
  <si>
    <t>I239500</t>
  </si>
  <si>
    <t>I241129</t>
  </si>
  <si>
    <t>I261689</t>
  </si>
  <si>
    <t>I279695</t>
  </si>
  <si>
    <t>I310692</t>
  </si>
  <si>
    <t>I663124</t>
  </si>
  <si>
    <t>I132610</t>
  </si>
  <si>
    <t>I136983</t>
  </si>
  <si>
    <t>I192573</t>
  </si>
  <si>
    <t>I223193</t>
  </si>
  <si>
    <t>I996056</t>
  </si>
  <si>
    <t>I105642</t>
  </si>
  <si>
    <t>I106028</t>
  </si>
  <si>
    <t>I181481</t>
  </si>
  <si>
    <t>I230057</t>
  </si>
  <si>
    <t>I297486</t>
  </si>
  <si>
    <t>I506215</t>
  </si>
  <si>
    <t>I877775</t>
  </si>
  <si>
    <t>I139536</t>
  </si>
  <si>
    <t>I158058</t>
  </si>
  <si>
    <t>I250281</t>
  </si>
  <si>
    <t>I265671</t>
  </si>
  <si>
    <t>I368815</t>
  </si>
  <si>
    <t>I158425</t>
  </si>
  <si>
    <t>I338411</t>
  </si>
  <si>
    <t>I863812</t>
  </si>
  <si>
    <t>I970966</t>
  </si>
  <si>
    <t>I189850</t>
  </si>
  <si>
    <t>I194240</t>
  </si>
  <si>
    <t>I278121</t>
  </si>
  <si>
    <t>I463928</t>
  </si>
  <si>
    <t>I116014</t>
  </si>
  <si>
    <t>I147297</t>
  </si>
  <si>
    <t>I290137</t>
  </si>
  <si>
    <t>I959386</t>
  </si>
  <si>
    <t>I177371</t>
  </si>
  <si>
    <t>I276929</t>
  </si>
  <si>
    <t>I307267</t>
  </si>
  <si>
    <t>I537242</t>
  </si>
  <si>
    <t>I844405</t>
  </si>
  <si>
    <t>I864685</t>
  </si>
  <si>
    <t>I116516</t>
  </si>
  <si>
    <t>I128309</t>
  </si>
  <si>
    <t>I154538</t>
  </si>
  <si>
    <t>I181035</t>
  </si>
  <si>
    <t>I238275</t>
  </si>
  <si>
    <t>I251730</t>
  </si>
  <si>
    <t>I273890</t>
  </si>
  <si>
    <t>I151101</t>
  </si>
  <si>
    <t>I167019</t>
  </si>
  <si>
    <t>I247300</t>
  </si>
  <si>
    <t>I289402</t>
  </si>
  <si>
    <t>I392560</t>
  </si>
  <si>
    <t>I777006</t>
  </si>
  <si>
    <t>I119114</t>
  </si>
  <si>
    <t>I193314</t>
  </si>
  <si>
    <t>I313516</t>
  </si>
  <si>
    <t>I805507</t>
  </si>
  <si>
    <t>I122256</t>
  </si>
  <si>
    <t>I210650</t>
  </si>
  <si>
    <t>I324339</t>
  </si>
  <si>
    <t>I444838</t>
  </si>
  <si>
    <t>I572990</t>
  </si>
  <si>
    <t>I716275</t>
  </si>
  <si>
    <t>I137081</t>
  </si>
  <si>
    <t>I263892</t>
  </si>
  <si>
    <t>I313541</t>
  </si>
  <si>
    <t>I345856</t>
  </si>
  <si>
    <t>I385587</t>
  </si>
  <si>
    <t>I939160</t>
  </si>
  <si>
    <t>I247751</t>
  </si>
  <si>
    <t>I261634</t>
  </si>
  <si>
    <t>I124379</t>
  </si>
  <si>
    <t>I207457</t>
  </si>
  <si>
    <t>I216861</t>
  </si>
  <si>
    <t>I752106</t>
  </si>
  <si>
    <t>I112291</t>
  </si>
  <si>
    <t>I120780</t>
  </si>
  <si>
    <t>I171643</t>
  </si>
  <si>
    <t>I229522</t>
  </si>
  <si>
    <t>I231982</t>
  </si>
  <si>
    <t>I232402</t>
  </si>
  <si>
    <t>I243907</t>
  </si>
  <si>
    <t>I264584</t>
  </si>
  <si>
    <t>I300649</t>
  </si>
  <si>
    <t>I334418</t>
  </si>
  <si>
    <t>I512436</t>
  </si>
  <si>
    <t>I120023</t>
  </si>
  <si>
    <t>I202470</t>
  </si>
  <si>
    <t>I244499</t>
  </si>
  <si>
    <t>I358791</t>
  </si>
  <si>
    <t>I124941</t>
  </si>
  <si>
    <t>I247040</t>
  </si>
  <si>
    <t>I272569</t>
  </si>
  <si>
    <t>I273172</t>
  </si>
  <si>
    <t>I156402</t>
  </si>
  <si>
    <t>I159210</t>
  </si>
  <si>
    <t>I212128</t>
  </si>
  <si>
    <t>I227594</t>
  </si>
  <si>
    <t>I253829</t>
  </si>
  <si>
    <t>I338615</t>
  </si>
  <si>
    <t>I907805</t>
  </si>
  <si>
    <t>I108085</t>
  </si>
  <si>
    <t>I108514</t>
  </si>
  <si>
    <t>I249148</t>
  </si>
  <si>
    <t>I358397</t>
  </si>
  <si>
    <t>I163294</t>
  </si>
  <si>
    <t>I180391</t>
  </si>
  <si>
    <t>I185556</t>
  </si>
  <si>
    <t>I196042</t>
  </si>
  <si>
    <t>I338966</t>
  </si>
  <si>
    <t>I786008</t>
  </si>
  <si>
    <t>I135708</t>
  </si>
  <si>
    <t>I229755</t>
  </si>
  <si>
    <t>I236880</t>
  </si>
  <si>
    <t>I330018</t>
  </si>
  <si>
    <t>I882032</t>
  </si>
  <si>
    <t>I244241</t>
  </si>
  <si>
    <t>I339965</t>
  </si>
  <si>
    <t>I146236</t>
  </si>
  <si>
    <t>I168913</t>
  </si>
  <si>
    <t>I175461</t>
  </si>
  <si>
    <t>I309676</t>
  </si>
  <si>
    <t>I666179</t>
  </si>
  <si>
    <t>I834992</t>
  </si>
  <si>
    <t>I968519</t>
  </si>
  <si>
    <t>I114236</t>
  </si>
  <si>
    <t>I252612</t>
  </si>
  <si>
    <t>I289438</t>
  </si>
  <si>
    <t>I677806</t>
  </si>
  <si>
    <t>I977597</t>
  </si>
  <si>
    <t>I107322</t>
  </si>
  <si>
    <t>I117504</t>
  </si>
  <si>
    <t>I153139</t>
  </si>
  <si>
    <t>I184696</t>
  </si>
  <si>
    <t>I190751</t>
  </si>
  <si>
    <t>I380300</t>
  </si>
  <si>
    <t>I121919</t>
  </si>
  <si>
    <t>I153775</t>
  </si>
  <si>
    <t>I178134</t>
  </si>
  <si>
    <t>I301032</t>
  </si>
  <si>
    <t>I306777</t>
  </si>
  <si>
    <t>I571169</t>
  </si>
  <si>
    <t>I867619</t>
  </si>
  <si>
    <t>I915147</t>
  </si>
  <si>
    <t>I180994</t>
  </si>
  <si>
    <t>I310984</t>
  </si>
  <si>
    <t>I338817</t>
  </si>
  <si>
    <t>I932061</t>
  </si>
  <si>
    <t>I123765</t>
  </si>
  <si>
    <t>I240230</t>
  </si>
  <si>
    <t>I288681</t>
  </si>
  <si>
    <t>I292012</t>
  </si>
  <si>
    <t>I156154</t>
  </si>
  <si>
    <t>I259898</t>
  </si>
  <si>
    <t>I294869</t>
  </si>
  <si>
    <t>I297050</t>
  </si>
  <si>
    <t>I343140</t>
  </si>
  <si>
    <t>I114403</t>
  </si>
  <si>
    <t>I264140</t>
  </si>
  <si>
    <t>I267247</t>
  </si>
  <si>
    <t>I280961</t>
  </si>
  <si>
    <t>I299019</t>
  </si>
  <si>
    <t>I610881</t>
  </si>
  <si>
    <t>I966712</t>
  </si>
  <si>
    <t>I147692</t>
  </si>
  <si>
    <t>I234436</t>
  </si>
  <si>
    <t>I290204</t>
  </si>
  <si>
    <t>I304932</t>
  </si>
  <si>
    <t>I198142</t>
  </si>
  <si>
    <t>I241425</t>
  </si>
  <si>
    <t>I651105</t>
  </si>
  <si>
    <t>I806254</t>
  </si>
  <si>
    <t>I848648</t>
  </si>
  <si>
    <t>I101456</t>
  </si>
  <si>
    <t>I137243</t>
  </si>
  <si>
    <t>I179764</t>
  </si>
  <si>
    <t>I659960</t>
  </si>
  <si>
    <t>I129022</t>
  </si>
  <si>
    <t>I143340</t>
  </si>
  <si>
    <t>I179848</t>
  </si>
  <si>
    <t>I243175</t>
  </si>
  <si>
    <t>I281611</t>
  </si>
  <si>
    <t>I323352</t>
  </si>
  <si>
    <t>I541493</t>
  </si>
  <si>
    <t>I104790</t>
  </si>
  <si>
    <t>I144524</t>
  </si>
  <si>
    <t>I217386</t>
  </si>
  <si>
    <t>I241998</t>
  </si>
  <si>
    <t>I249154</t>
  </si>
  <si>
    <t>I628942</t>
  </si>
  <si>
    <t>I681499</t>
  </si>
  <si>
    <t>I737965</t>
  </si>
  <si>
    <t>I101896</t>
  </si>
  <si>
    <t>I131340</t>
  </si>
  <si>
    <t>I217159</t>
  </si>
  <si>
    <t>I468954</t>
  </si>
  <si>
    <t>I878662</t>
  </si>
  <si>
    <t>I207389</t>
  </si>
  <si>
    <t>I439434</t>
  </si>
  <si>
    <t>I187771</t>
  </si>
  <si>
    <t>I204421</t>
  </si>
  <si>
    <t>I270394</t>
  </si>
  <si>
    <t>I399559</t>
  </si>
  <si>
    <t>I120468</t>
  </si>
  <si>
    <t>I154905</t>
  </si>
  <si>
    <t>I203924</t>
  </si>
  <si>
    <t>I308105</t>
  </si>
  <si>
    <t>I616254</t>
  </si>
  <si>
    <t>I285115</t>
  </si>
  <si>
    <t>I937134</t>
  </si>
  <si>
    <t>I143416</t>
  </si>
  <si>
    <t>I148577</t>
  </si>
  <si>
    <t>I195025</t>
  </si>
  <si>
    <t>I270544</t>
  </si>
  <si>
    <t>I402202</t>
  </si>
  <si>
    <t>I665541</t>
  </si>
  <si>
    <t>I130822</t>
  </si>
  <si>
    <t>I158845</t>
  </si>
  <si>
    <t>I173467</t>
  </si>
  <si>
    <t>I253258</t>
  </si>
  <si>
    <t>I338099</t>
  </si>
  <si>
    <t>I199670</t>
  </si>
  <si>
    <t>I219999</t>
  </si>
  <si>
    <t>I230790</t>
  </si>
  <si>
    <t>I261543</t>
  </si>
  <si>
    <t>I845108</t>
  </si>
  <si>
    <t>I136919</t>
  </si>
  <si>
    <t>I144565</t>
  </si>
  <si>
    <t>I334600</t>
  </si>
  <si>
    <t>I448589</t>
  </si>
  <si>
    <t>I638509</t>
  </si>
  <si>
    <t>I120712</t>
  </si>
  <si>
    <t>I185164</t>
  </si>
  <si>
    <t>I273464</t>
  </si>
  <si>
    <t>I300213</t>
  </si>
  <si>
    <t>I233400</t>
  </si>
  <si>
    <t>I338543</t>
  </si>
  <si>
    <t>I979453</t>
  </si>
  <si>
    <t>I229717</t>
  </si>
  <si>
    <t>I666635</t>
  </si>
  <si>
    <t>I726460</t>
  </si>
  <si>
    <t>I210882</t>
  </si>
  <si>
    <t>I265038</t>
  </si>
  <si>
    <t>I288985</t>
  </si>
  <si>
    <t>I454682</t>
  </si>
  <si>
    <t>I919290</t>
  </si>
  <si>
    <t>I177013</t>
  </si>
  <si>
    <t>I222086</t>
  </si>
  <si>
    <t>I307325</t>
  </si>
  <si>
    <t>I358449</t>
  </si>
  <si>
    <t>I562222</t>
  </si>
  <si>
    <t>I136519</t>
  </si>
  <si>
    <t>I212426</t>
  </si>
  <si>
    <t>I230210</t>
  </si>
  <si>
    <t>I232977</t>
  </si>
  <si>
    <t>I261968</t>
  </si>
  <si>
    <t>I296312</t>
  </si>
  <si>
    <t>I725007</t>
  </si>
  <si>
    <t>I189285</t>
  </si>
  <si>
    <t>I255430</t>
  </si>
  <si>
    <t>I246455</t>
  </si>
  <si>
    <t>I266102</t>
  </si>
  <si>
    <t>I268043</t>
  </si>
  <si>
    <t>I305181</t>
  </si>
  <si>
    <t>I845388</t>
  </si>
  <si>
    <t>I264076</t>
  </si>
  <si>
    <t>I305432</t>
  </si>
  <si>
    <t>I329991</t>
  </si>
  <si>
    <t>I604957</t>
  </si>
  <si>
    <t>I185879</t>
  </si>
  <si>
    <t>I332398</t>
  </si>
  <si>
    <t>I125636</t>
  </si>
  <si>
    <t>I216450</t>
  </si>
  <si>
    <t>I278095</t>
  </si>
  <si>
    <t>I410482</t>
  </si>
  <si>
    <t>I541028</t>
  </si>
  <si>
    <t>I793619</t>
  </si>
  <si>
    <t>I118954</t>
  </si>
  <si>
    <t>I233226</t>
  </si>
  <si>
    <t>I234437</t>
  </si>
  <si>
    <t>I281576</t>
  </si>
  <si>
    <t>I298471</t>
  </si>
  <si>
    <t>I338432</t>
  </si>
  <si>
    <t>I500524</t>
  </si>
  <si>
    <t>I524692</t>
  </si>
  <si>
    <t>I821146</t>
  </si>
  <si>
    <t>I125995</t>
  </si>
  <si>
    <t>I158248</t>
  </si>
  <si>
    <t>I172374</t>
  </si>
  <si>
    <t>I173702</t>
  </si>
  <si>
    <t>I283631</t>
  </si>
  <si>
    <t>I317825</t>
  </si>
  <si>
    <t>I122655</t>
  </si>
  <si>
    <t>I170743</t>
  </si>
  <si>
    <t>I190011</t>
  </si>
  <si>
    <t>I248983</t>
  </si>
  <si>
    <t>I263074</t>
  </si>
  <si>
    <t>I326466</t>
  </si>
  <si>
    <t>I948767</t>
  </si>
  <si>
    <t>I119951</t>
  </si>
  <si>
    <t>I147310</t>
  </si>
  <si>
    <t>I283725</t>
  </si>
  <si>
    <t>I284185</t>
  </si>
  <si>
    <t>I347738</t>
  </si>
  <si>
    <t>I839927</t>
  </si>
  <si>
    <t>I153503</t>
  </si>
  <si>
    <t>I195567</t>
  </si>
  <si>
    <t>I155987</t>
  </si>
  <si>
    <t>I271577</t>
  </si>
  <si>
    <t>I334155</t>
  </si>
  <si>
    <t>I184750</t>
  </si>
  <si>
    <t>I188073</t>
  </si>
  <si>
    <t>I197185</t>
  </si>
  <si>
    <t>I222662</t>
  </si>
  <si>
    <t>I326925</t>
  </si>
  <si>
    <t>I328760</t>
  </si>
  <si>
    <t>I157698</t>
  </si>
  <si>
    <t>I164675</t>
  </si>
  <si>
    <t>I275774</t>
  </si>
  <si>
    <t>I288734</t>
  </si>
  <si>
    <t>I326599</t>
  </si>
  <si>
    <t>I559391</t>
  </si>
  <si>
    <t>I116128</t>
  </si>
  <si>
    <t>I202425</t>
  </si>
  <si>
    <t>I239155</t>
  </si>
  <si>
    <t>I263217</t>
  </si>
  <si>
    <t>I337030</t>
  </si>
  <si>
    <t>I106077</t>
  </si>
  <si>
    <t>I328046</t>
  </si>
  <si>
    <t>I338607</t>
  </si>
  <si>
    <t>I460965</t>
  </si>
  <si>
    <t>I788145</t>
  </si>
  <si>
    <t>I959803</t>
  </si>
  <si>
    <t>I142331</t>
  </si>
  <si>
    <t>I219251</t>
  </si>
  <si>
    <t>I296765</t>
  </si>
  <si>
    <t>I194688</t>
  </si>
  <si>
    <t>I204897</t>
  </si>
  <si>
    <t>I258738</t>
  </si>
  <si>
    <t>I286200</t>
  </si>
  <si>
    <t>I295303</t>
  </si>
  <si>
    <t>I298482</t>
  </si>
  <si>
    <t>I477158</t>
  </si>
  <si>
    <t>I796744</t>
  </si>
  <si>
    <t>I133240</t>
  </si>
  <si>
    <t>I225124</t>
  </si>
  <si>
    <t>I243841</t>
  </si>
  <si>
    <t>I259277</t>
  </si>
  <si>
    <t>I267640</t>
  </si>
  <si>
    <t>I276352</t>
  </si>
  <si>
    <t>I577375</t>
  </si>
  <si>
    <t>invoice_no</t>
  </si>
  <si>
    <t>customer_id</t>
  </si>
  <si>
    <t>category</t>
  </si>
  <si>
    <t>quantity</t>
  </si>
  <si>
    <t>price</t>
  </si>
  <si>
    <t>invoice_date</t>
  </si>
  <si>
    <t>shopping_mall</t>
  </si>
  <si>
    <t>customer_satisfaction_score</t>
  </si>
  <si>
    <t>Purchase_history</t>
  </si>
  <si>
    <t>gender</t>
  </si>
  <si>
    <t>age</t>
  </si>
  <si>
    <t>payment_method</t>
  </si>
  <si>
    <t>number_of_purchases</t>
  </si>
  <si>
    <t>purchase_history</t>
  </si>
  <si>
    <t>First_Day</t>
  </si>
  <si>
    <t>Last_Day</t>
  </si>
  <si>
    <t>customer_total_years</t>
  </si>
  <si>
    <t>avg_number_of_purchases</t>
  </si>
  <si>
    <t>avg_purchase_value</t>
  </si>
  <si>
    <t>expected_lifespan</t>
  </si>
  <si>
    <t>customer_lifetime_value</t>
  </si>
  <si>
    <t>referral_channel</t>
  </si>
  <si>
    <t>Female</t>
  </si>
  <si>
    <t>Credit Card</t>
  </si>
  <si>
    <t>Referral</t>
  </si>
  <si>
    <t>Cash</t>
  </si>
  <si>
    <t>In-Store</t>
  </si>
  <si>
    <t>Male</t>
  </si>
  <si>
    <t>Digital Ads</t>
  </si>
  <si>
    <t>Email Marketing</t>
  </si>
  <si>
    <t>Social Medias</t>
  </si>
  <si>
    <t>Debit Card</t>
  </si>
  <si>
    <t>Kỳ</t>
  </si>
  <si>
    <t>Số KH mất đi</t>
  </si>
  <si>
    <t>Tổng số KH</t>
  </si>
  <si>
    <t>Churn Rate</t>
  </si>
  <si>
    <t>Số KH đầu kỳ (S)</t>
  </si>
  <si>
    <t>Số KH cuối kỳ (E)</t>
  </si>
  <si>
    <t>Số KH mới có trong kỳ (N)</t>
  </si>
  <si>
    <t>Retention rate</t>
  </si>
  <si>
    <t xml:space="preserve"> </t>
  </si>
  <si>
    <t>Churn rate</t>
  </si>
  <si>
    <t>Retention Rate</t>
  </si>
  <si>
    <t>Emmar Square 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</si>
</sst>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[$$-409]* #,##0.00_);_([$$-409]* \(#,##0.00\);_([$$-409]* &quot;-&quot;??_);_(@_)"/>
    <numFmt numFmtId="167" formatCode="[$-1010000]d/m/yyyy;@"/>
    <numFmt numFmtId="168" formatCode="0.0%"/>
    <numFmt numFmtId="169" formatCode="0.0"/>
  </numFmts>
  <fonts count="21" x14ac:knownFonts="1">
    <font>
      <sz val="11"/>
      <color theme="1"/>
      <name val="Aptos Narrow"/>
      <family val="2"/>
      <charset val="163"/>
      <scheme val="minor"/>
    </font>
    <font>
      <sz val="11"/>
      <color theme="1"/>
      <name val="Aptos Narrow"/>
      <family val="2"/>
      <charset val="163"/>
      <scheme val="minor"/>
    </font>
    <font>
      <sz val="18"/>
      <color theme="3"/>
      <name val="Aptos Display"/>
      <family val="2"/>
      <charset val="163"/>
      <scheme val="major"/>
    </font>
    <font>
      <b/>
      <sz val="15"/>
      <color theme="3"/>
      <name val="Aptos Narrow"/>
      <family val="2"/>
      <charset val="163"/>
      <scheme val="minor"/>
    </font>
    <font>
      <b/>
      <sz val="13"/>
      <color theme="3"/>
      <name val="Aptos Narrow"/>
      <family val="2"/>
      <charset val="163"/>
      <scheme val="minor"/>
    </font>
    <font>
      <b/>
      <sz val="11"/>
      <color theme="3"/>
      <name val="Aptos Narrow"/>
      <family val="2"/>
      <charset val="163"/>
      <scheme val="minor"/>
    </font>
    <font>
      <sz val="11"/>
      <color rgb="FF006100"/>
      <name val="Aptos Narrow"/>
      <family val="2"/>
      <charset val="163"/>
      <scheme val="minor"/>
    </font>
    <font>
      <sz val="11"/>
      <color rgb="FF9C0006"/>
      <name val="Aptos Narrow"/>
      <family val="2"/>
      <charset val="163"/>
      <scheme val="minor"/>
    </font>
    <font>
      <sz val="11"/>
      <color rgb="FF9C5700"/>
      <name val="Aptos Narrow"/>
      <family val="2"/>
      <charset val="163"/>
      <scheme val="minor"/>
    </font>
    <font>
      <sz val="11"/>
      <color rgb="FF3F3F76"/>
      <name val="Aptos Narrow"/>
      <family val="2"/>
      <charset val="163"/>
      <scheme val="minor"/>
    </font>
    <font>
      <b/>
      <sz val="11"/>
      <color rgb="FF3F3F3F"/>
      <name val="Aptos Narrow"/>
      <family val="2"/>
      <charset val="163"/>
      <scheme val="minor"/>
    </font>
    <font>
      <b/>
      <sz val="11"/>
      <color rgb="FFFA7D00"/>
      <name val="Aptos Narrow"/>
      <family val="2"/>
      <charset val="163"/>
      <scheme val="minor"/>
    </font>
    <font>
      <sz val="11"/>
      <color rgb="FFFA7D00"/>
      <name val="Aptos Narrow"/>
      <family val="2"/>
      <charset val="163"/>
      <scheme val="minor"/>
    </font>
    <font>
      <b/>
      <sz val="11"/>
      <color theme="0"/>
      <name val="Aptos Narrow"/>
      <family val="2"/>
      <charset val="163"/>
      <scheme val="minor"/>
    </font>
    <font>
      <sz val="11"/>
      <color rgb="FFFF0000"/>
      <name val="Aptos Narrow"/>
      <family val="2"/>
      <charset val="163"/>
      <scheme val="minor"/>
    </font>
    <font>
      <i/>
      <sz val="11"/>
      <color rgb="FF7F7F7F"/>
      <name val="Aptos Narrow"/>
      <family val="2"/>
      <charset val="163"/>
      <scheme val="minor"/>
    </font>
    <font>
      <b/>
      <sz val="11"/>
      <color theme="1"/>
      <name val="Aptos Narrow"/>
      <family val="2"/>
      <charset val="163"/>
      <scheme val="minor"/>
    </font>
    <font>
      <sz val="11"/>
      <color theme="0"/>
      <name val="Aptos Narrow"/>
      <family val="2"/>
      <charset val="163"/>
      <scheme val="minor"/>
    </font>
    <font>
      <sz val="8"/>
      <name val="Aptos Narrow"/>
      <family val="2"/>
      <charset val="163"/>
      <scheme val="minor"/>
    </font>
    <font>
      <b/>
      <sz val="11"/>
      <color theme="1"/>
      <name val="Aptos Narrow"/>
      <family val="2"/>
      <scheme val="minor"/>
    </font>
    <font>
      <sz val="13"/>
      <color rgb="FF000000"/>
      <name val="Times New Roman"/>
      <family val="1"/>
      <charset val="163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0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65" fontId="0" fillId="0" borderId="0" xfId="42" applyNumberFormat="1" applyFont="1"/>
    <xf numFmtId="165" fontId="0" fillId="0" borderId="10" xfId="42" applyNumberFormat="1" applyFont="1" applyBorder="1"/>
    <xf numFmtId="165" fontId="0" fillId="0" borderId="10" xfId="0" applyNumberFormat="1" applyBorder="1"/>
    <xf numFmtId="2" fontId="0" fillId="0" borderId="10" xfId="0" applyNumberFormat="1" applyBorder="1"/>
    <xf numFmtId="164" fontId="0" fillId="0" borderId="0" xfId="0" applyNumberFormat="1"/>
    <xf numFmtId="166" fontId="0" fillId="0" borderId="0" xfId="42" applyNumberFormat="1" applyFont="1" applyAlignment="1"/>
    <xf numFmtId="0" fontId="0" fillId="0" borderId="0" xfId="0" applyAlignment="1">
      <alignment horizontal="center"/>
    </xf>
    <xf numFmtId="167" fontId="0" fillId="0" borderId="10" xfId="0" applyNumberFormat="1" applyBorder="1"/>
    <xf numFmtId="167" fontId="0" fillId="0" borderId="10" xfId="42" applyNumberFormat="1" applyFont="1" applyBorder="1"/>
    <xf numFmtId="167" fontId="0" fillId="0" borderId="0" xfId="0" applyNumberFormat="1"/>
    <xf numFmtId="0" fontId="19" fillId="0" borderId="20" xfId="0" applyFont="1" applyBorder="1" applyAlignment="1">
      <alignment horizontal="center"/>
    </xf>
    <xf numFmtId="0" fontId="0" fillId="33" borderId="20" xfId="0" applyFill="1" applyBorder="1" applyAlignment="1">
      <alignment horizontal="center"/>
    </xf>
    <xf numFmtId="168" fontId="0" fillId="33" borderId="20" xfId="43" applyNumberFormat="1" applyFont="1" applyFill="1" applyBorder="1" applyAlignment="1">
      <alignment horizontal="center"/>
    </xf>
    <xf numFmtId="0" fontId="0" fillId="34" borderId="20" xfId="0" applyFill="1" applyBorder="1" applyAlignment="1">
      <alignment horizontal="center"/>
    </xf>
    <xf numFmtId="168" fontId="0" fillId="34" borderId="20" xfId="43" applyNumberFormat="1" applyFont="1" applyFill="1" applyBorder="1" applyAlignment="1">
      <alignment horizontal="center"/>
    </xf>
    <xf numFmtId="0" fontId="0" fillId="35" borderId="20" xfId="0" applyFill="1" applyBorder="1" applyAlignment="1">
      <alignment horizontal="center"/>
    </xf>
    <xf numFmtId="0" fontId="0" fillId="0" borderId="20" xfId="0" applyBorder="1"/>
    <xf numFmtId="0" fontId="19" fillId="0" borderId="2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20" xfId="0" applyFill="1" applyBorder="1" applyAlignment="1">
      <alignment horizontal="center" vertical="center"/>
    </xf>
    <xf numFmtId="0" fontId="0" fillId="33" borderId="20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/>
    </xf>
    <xf numFmtId="0" fontId="0" fillId="38" borderId="20" xfId="0" applyFill="1" applyBorder="1" applyAlignment="1">
      <alignment horizontal="center" vertical="center"/>
    </xf>
    <xf numFmtId="168" fontId="0" fillId="38" borderId="20" xfId="43" applyNumberFormat="1" applyFont="1" applyFill="1" applyBorder="1" applyAlignment="1">
      <alignment horizontal="center"/>
    </xf>
    <xf numFmtId="0" fontId="0" fillId="34" borderId="2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40" borderId="20" xfId="0" applyFill="1" applyBorder="1" applyAlignment="1">
      <alignment horizontal="center"/>
    </xf>
    <xf numFmtId="0" fontId="0" fillId="40" borderId="20" xfId="0" applyFill="1" applyBorder="1" applyAlignment="1">
      <alignment horizontal="center" vertical="center"/>
    </xf>
    <xf numFmtId="10" fontId="0" fillId="40" borderId="20" xfId="0" applyNumberForma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10" fontId="0" fillId="35" borderId="20" xfId="0" applyNumberFormat="1" applyFill="1" applyBorder="1" applyAlignment="1">
      <alignment horizontal="center" vertical="center"/>
    </xf>
    <xf numFmtId="0" fontId="0" fillId="36" borderId="20" xfId="0" applyFill="1" applyBorder="1" applyAlignment="1">
      <alignment horizontal="center"/>
    </xf>
    <xf numFmtId="10" fontId="0" fillId="36" borderId="20" xfId="0" applyNumberFormat="1" applyFill="1" applyBorder="1" applyAlignment="1">
      <alignment horizontal="center" vertical="center"/>
    </xf>
    <xf numFmtId="17" fontId="0" fillId="40" borderId="20" xfId="0" applyNumberFormat="1" applyFill="1" applyBorder="1" applyAlignment="1">
      <alignment horizontal="center"/>
    </xf>
    <xf numFmtId="17" fontId="0" fillId="35" borderId="20" xfId="0" applyNumberFormat="1" applyFill="1" applyBorder="1" applyAlignment="1">
      <alignment horizontal="center"/>
    </xf>
    <xf numFmtId="17" fontId="0" fillId="36" borderId="20" xfId="0" applyNumberFormat="1" applyFill="1" applyBorder="1" applyAlignment="1">
      <alignment horizontal="center"/>
    </xf>
    <xf numFmtId="17" fontId="0" fillId="33" borderId="20" xfId="0" applyNumberFormat="1" applyFill="1" applyBorder="1" applyAlignment="1">
      <alignment horizontal="center"/>
    </xf>
    <xf numFmtId="17" fontId="0" fillId="38" borderId="20" xfId="0" applyNumberFormat="1" applyFill="1" applyBorder="1" applyAlignment="1">
      <alignment horizontal="center"/>
    </xf>
    <xf numFmtId="17" fontId="0" fillId="34" borderId="20" xfId="0" applyNumberFormat="1" applyFill="1" applyBorder="1" applyAlignment="1">
      <alignment horizontal="center"/>
    </xf>
    <xf numFmtId="10" fontId="0" fillId="41" borderId="20" xfId="0" applyNumberFormat="1" applyFill="1" applyBorder="1" applyAlignment="1">
      <alignment horizontal="center" vertical="center"/>
    </xf>
    <xf numFmtId="0" fontId="19" fillId="42" borderId="20" xfId="0" applyFont="1" applyFill="1" applyBorder="1"/>
    <xf numFmtId="0" fontId="0" fillId="40" borderId="20" xfId="0" applyFill="1" applyBorder="1"/>
    <xf numFmtId="10" fontId="0" fillId="0" borderId="0" xfId="0" applyNumberFormat="1" applyAlignment="1">
      <alignment horizontal="center" vertical="center"/>
    </xf>
    <xf numFmtId="10" fontId="0" fillId="40" borderId="20" xfId="43" applyNumberFormat="1" applyFont="1" applyFill="1" applyBorder="1"/>
    <xf numFmtId="0" fontId="0" fillId="42" borderId="20" xfId="0" applyFill="1" applyBorder="1"/>
    <xf numFmtId="0" fontId="20" fillId="0" borderId="0" xfId="0" applyFont="1"/>
    <xf numFmtId="10" fontId="20" fillId="0" borderId="0" xfId="43" applyNumberFormat="1" applyFont="1"/>
    <xf numFmtId="169" fontId="0" fillId="0" borderId="10" xfId="0" applyNumberFormat="1" applyBorder="1"/>
    <xf numFmtId="0" fontId="0" fillId="39" borderId="20" xfId="0" applyFill="1" applyBorder="1" applyAlignment="1">
      <alignment horizontal="center" vertical="center"/>
    </xf>
    <xf numFmtId="0" fontId="0" fillId="36" borderId="23" xfId="0" applyFill="1" applyBorder="1" applyAlignment="1">
      <alignment horizontal="center" vertical="center"/>
    </xf>
    <xf numFmtId="0" fontId="0" fillId="36" borderId="24" xfId="0" applyFill="1" applyBorder="1" applyAlignment="1">
      <alignment horizontal="center" vertical="center"/>
    </xf>
    <xf numFmtId="0" fontId="0" fillId="36" borderId="25" xfId="0" applyFill="1" applyBorder="1" applyAlignment="1">
      <alignment horizontal="center" vertical="center"/>
    </xf>
    <xf numFmtId="0" fontId="0" fillId="37" borderId="22" xfId="0" applyFill="1" applyBorder="1" applyAlignment="1">
      <alignment horizontal="center" vertical="center"/>
    </xf>
    <xf numFmtId="0" fontId="0" fillId="37" borderId="21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border outline="0">
        <left style="thin">
          <color rgb="FF000000"/>
        </left>
      </border>
    </dxf>
    <dxf>
      <numFmt numFmtId="2" formatCode="0.00"/>
    </dxf>
    <dxf>
      <numFmt numFmtId="0" formatCode="General"/>
      <border>
        <left style="thin">
          <color rgb="FF000000"/>
        </left>
        <right style="thin">
          <color rgb="FF000000"/>
        </right>
      </border>
    </dxf>
    <dxf>
      <numFmt numFmtId="165" formatCode="_(&quot;$&quot;* #,##0_);_(&quot;$&quot;* \(#,##0\);_(&quot;$&quot;* &quot;-&quot;??_);_(@_)"/>
    </dxf>
    <dxf>
      <numFmt numFmtId="169" formatCode="0.0"/>
      <border outline="0">
        <left style="thin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3"/>
        <scheme val="minor"/>
      </font>
      <numFmt numFmtId="2" formatCode="0.0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67" formatCode="[$-1010000]d/m/yyyy;@"/>
      <border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63"/>
        <scheme val="minor"/>
      </font>
      <numFmt numFmtId="167" formatCode="[$-1010000]d/m/yyyy;@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165" formatCode="_(&quot;$&quot;* #,##0_);_(&quot;$&quot;* \(#,##0\);_(&quot;$&quot;* &quot;-&quot;??_);_(@_)"/>
    </dxf>
    <dxf>
      <numFmt numFmtId="0" formatCode="General"/>
      <border>
        <right style="thin">
          <color rgb="FF000000"/>
        </right>
      </border>
    </dxf>
    <dxf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numFmt numFmtId="165" formatCode="_(&quot;$&quot;* #,##0_);_(&quot;$&quot;* \(#,##0\);_(&quot;$&quot;* &quot;-&quot;??_);_(@_)"/>
    </dxf>
    <dxf>
      <numFmt numFmtId="170" formatCode="[$-F800]dddd\,\ mmmm\ dd\,\ yyyy"/>
    </dxf>
    <dxf>
      <numFmt numFmtId="2" formatCode="0.00"/>
      <alignment horizontal="general"/>
    </dxf>
  </dxfs>
  <tableStyles count="0" defaultTableStyle="TableStyleMedium2" defaultPivotStyle="PivotStyleLight16"/>
  <colors>
    <mruColors>
      <color rgb="FFFF9999"/>
      <color rgb="FFFFFFCC"/>
      <color rgb="FFF1F1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openxmlformats.org/officeDocument/2006/relationships/powerPivotData" Target="model/item.data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60.84693310185" createdVersion="8" refreshedVersion="8" minRefreshableVersion="3" recordCount="10000" xr:uid="{E3B08BA4-0808-44AB-8733-D6EE7DD9611D}">
  <cacheSource type="worksheet">
    <worksheetSource name="Table1"/>
  </cacheSource>
  <cacheFields count="15">
    <cacheField name="invoice_no" numFmtId="0">
      <sharedItems count="10000">
        <s v="I268982"/>
        <s v="I198773"/>
        <s v="I302263"/>
        <s v="I282953"/>
        <s v="I280459"/>
        <s v="I429437"/>
        <s v="I785462"/>
        <s v="I281381"/>
        <s v="I128905"/>
        <s v="I248655"/>
        <s v="I332970"/>
        <s v="I155404"/>
        <s v="I124999"/>
        <s v="I282707"/>
        <s v="I995773"/>
        <s v="I338742"/>
        <s v="I154490"/>
        <s v="I118988"/>
        <s v="I499170"/>
        <s v="I339688"/>
        <s v="I986090"/>
        <s v="I287929"/>
        <s v="I167097"/>
        <s v="I222823"/>
        <s v="I790600"/>
        <s v="I123549"/>
        <s v="I314683"/>
        <s v="I322684"/>
        <s v="I128518"/>
        <s v="I254710"/>
        <s v="I112469"/>
        <s v="I152063"/>
        <s v="I225493"/>
        <s v="I313426"/>
        <s v="I167850"/>
        <s v="I303406"/>
        <s v="I298805"/>
        <s v="I336583"/>
        <s v="I218197"/>
        <s v="I122072"/>
        <s v="I365350"/>
        <s v="I446307"/>
        <s v="I293572"/>
        <s v="I238941"/>
        <s v="I526892"/>
        <s v="I321898"/>
        <s v="I666412"/>
        <s v="I247747"/>
        <s v="I205094"/>
        <s v="I146590"/>
        <s v="I884009"/>
        <s v="I185578"/>
        <s v="I594259"/>
        <s v="I191314"/>
        <s v="I295908"/>
        <s v="I160370"/>
        <s v="I233021"/>
        <s v="I398885"/>
        <s v="I272319"/>
        <s v="I487794"/>
        <s v="I484783"/>
        <s v="I286335"/>
        <s v="I184289"/>
        <s v="I500927"/>
        <s v="I114843"/>
        <s v="I360424"/>
        <s v="I173884"/>
        <s v="I538752"/>
        <s v="I288283"/>
        <s v="I284540"/>
        <s v="I149473"/>
        <s v="I320081"/>
        <s v="I245213"/>
        <s v="I229957"/>
        <s v="I174480"/>
        <s v="I323718"/>
        <s v="I109188"/>
        <s v="I252056"/>
        <s v="I816706"/>
        <s v="I207719"/>
        <s v="I140362"/>
        <s v="I234303"/>
        <s v="I212122"/>
        <s v="I141970"/>
        <s v="I940472"/>
        <s v="I624164"/>
        <s v="I133415"/>
        <s v="I777286"/>
        <s v="I267608"/>
        <s v="I231576"/>
        <s v="I447197"/>
        <s v="I108589"/>
        <s v="I797290"/>
        <s v="I812173"/>
        <s v="I289973"/>
        <s v="I216676"/>
        <s v="I199223"/>
        <s v="I167536"/>
        <s v="I182618"/>
        <s v="I151889"/>
        <s v="I293208"/>
        <s v="I341800"/>
        <s v="I298518"/>
        <s v="I623959"/>
        <s v="I205145"/>
        <s v="I526852"/>
        <s v="I286313"/>
        <s v="I614600"/>
        <s v="I262913"/>
        <s v="I238603"/>
        <s v="I166690"/>
        <s v="I311078"/>
        <s v="I151017"/>
        <s v="I288644"/>
        <s v="I170920"/>
        <s v="I205009"/>
        <s v="I249212"/>
        <s v="I268853"/>
        <s v="I325973"/>
        <s v="I320224"/>
        <s v="I663300"/>
        <s v="I156413"/>
        <s v="I109572"/>
        <s v="I743709"/>
        <s v="I116064"/>
        <s v="I220950"/>
        <s v="I415397"/>
        <s v="I244829"/>
        <s v="I205797"/>
        <s v="I104074"/>
        <s v="I170362"/>
        <s v="I314617"/>
        <s v="I250835"/>
        <s v="I193600"/>
        <s v="I125016"/>
        <s v="I282620"/>
        <s v="I701549"/>
        <s v="I642298"/>
        <s v="I680142"/>
        <s v="I130799"/>
        <s v="I291063"/>
        <s v="I990189"/>
        <s v="I203515"/>
        <s v="I158003"/>
        <s v="I766080"/>
        <s v="I167678"/>
        <s v="I244481"/>
        <s v="I120445"/>
        <s v="I188993"/>
        <s v="I275192"/>
        <s v="I757754"/>
        <s v="I134826"/>
        <s v="I843472"/>
        <s v="I140971"/>
        <s v="I261248"/>
        <s v="I250384"/>
        <s v="I218931"/>
        <s v="I154445"/>
        <s v="I159832"/>
        <s v="I159487"/>
        <s v="I335481"/>
        <s v="I222398"/>
        <s v="I115941"/>
        <s v="I277458"/>
        <s v="I169663"/>
        <s v="I232871"/>
        <s v="I304006"/>
        <s v="I846907"/>
        <s v="I885734"/>
        <s v="I115932"/>
        <s v="I263967"/>
        <s v="I851939"/>
        <s v="I165751"/>
        <s v="I226700"/>
        <s v="I182667"/>
        <s v="I478239"/>
        <s v="I369868"/>
        <s v="I282166"/>
        <s v="I246405"/>
        <s v="I194035"/>
        <s v="I105292"/>
        <s v="I393818"/>
        <s v="I109208"/>
        <s v="I320998"/>
        <s v="I293494"/>
        <s v="I125499"/>
        <s v="I262240"/>
        <s v="I273166"/>
        <s v="I792633"/>
        <s v="I331108"/>
        <s v="I217749"/>
        <s v="I243966"/>
        <s v="I338406"/>
        <s v="I274076"/>
        <s v="I205175"/>
        <s v="I868553"/>
        <s v="I222687"/>
        <s v="I137236"/>
        <s v="I137427"/>
        <s v="I292582"/>
        <s v="I984012"/>
        <s v="I623179"/>
        <s v="I109766"/>
        <s v="I253832"/>
        <s v="I173557"/>
        <s v="I197681"/>
        <s v="I444369"/>
        <s v="I373992"/>
        <s v="I292658"/>
        <s v="I446487"/>
        <s v="I235438"/>
        <s v="I165060"/>
        <s v="I610469"/>
        <s v="I115881"/>
        <s v="I312872"/>
        <s v="I166536"/>
        <s v="I152047"/>
        <s v="I583758"/>
        <s v="I322111"/>
        <s v="I127422"/>
        <s v="I126224"/>
        <s v="I118658"/>
        <s v="I301321"/>
        <s v="I226802"/>
        <s v="I338697"/>
        <s v="I878054"/>
        <s v="I335234"/>
        <s v="I907658"/>
        <s v="I169262"/>
        <s v="I215231"/>
        <s v="I128152"/>
        <s v="I264491"/>
        <s v="I324086"/>
        <s v="I298307"/>
        <s v="I257199"/>
        <s v="I284471"/>
        <s v="I323800"/>
        <s v="I434983"/>
        <s v="I312739"/>
        <s v="I927469"/>
        <s v="I594574"/>
        <s v="I272486"/>
        <s v="I315914"/>
        <s v="I724822"/>
        <s v="I120615"/>
        <s v="I939391"/>
        <s v="I196757"/>
        <s v="I132244"/>
        <s v="I178044"/>
        <s v="I160484"/>
        <s v="I970055"/>
        <s v="I178412"/>
        <s v="I245715"/>
        <s v="I256090"/>
        <s v="I117193"/>
        <s v="I255738"/>
        <s v="I221703"/>
        <s v="I303401"/>
        <s v="I592896"/>
        <s v="I147543"/>
        <s v="I199980"/>
        <s v="I742423"/>
        <s v="I406983"/>
        <s v="I253063"/>
        <s v="I966684"/>
        <s v="I134195"/>
        <s v="I312108"/>
        <s v="I894502"/>
        <s v="I253072"/>
        <s v="I330895"/>
        <s v="I225904"/>
        <s v="I282011"/>
        <s v="I228814"/>
        <s v="I228402"/>
        <s v="I246250"/>
        <s v="I313957"/>
        <s v="I323141"/>
        <s v="I496063"/>
        <s v="I334498"/>
        <s v="I287103"/>
        <s v="I190799"/>
        <s v="I238874"/>
        <s v="I331806"/>
        <s v="I272591"/>
        <s v="I299227"/>
        <s v="I259412"/>
        <s v="I218960"/>
        <s v="I652694"/>
        <s v="I154619"/>
        <s v="I188625"/>
        <s v="I132626"/>
        <s v="I239703"/>
        <s v="I279166"/>
        <s v="I123968"/>
        <s v="I333717"/>
        <s v="I197419"/>
        <s v="I187160"/>
        <s v="I286269"/>
        <s v="I338210"/>
        <s v="I423124"/>
        <s v="I315857"/>
        <s v="I224469"/>
        <s v="I293115"/>
        <s v="I314907"/>
        <s v="I264473"/>
        <s v="I166067"/>
        <s v="I292239"/>
        <s v="I154566"/>
        <s v="I317865"/>
        <s v="I132751"/>
        <s v="I148146"/>
        <s v="I222179"/>
        <s v="I266960"/>
        <s v="I464182"/>
        <s v="I485370"/>
        <s v="I850954"/>
        <s v="I284036"/>
        <s v="I161811"/>
        <s v="I136005"/>
        <s v="I255950"/>
        <s v="I323282"/>
        <s v="I214736"/>
        <s v="I314252"/>
        <s v="I587552"/>
        <s v="I316370"/>
        <s v="I321637"/>
        <s v="I181026"/>
        <s v="I283037"/>
        <s v="I328025"/>
        <s v="I118858"/>
        <s v="I151425"/>
        <s v="I297686"/>
        <s v="I242006"/>
        <s v="I174837"/>
        <s v="I352192"/>
        <s v="I987120"/>
        <s v="I197845"/>
        <s v="I283099"/>
        <s v="I386714"/>
        <s v="I822172"/>
        <s v="I236668"/>
        <s v="I113652"/>
        <s v="I896749"/>
        <s v="I845199"/>
        <s v="I320334"/>
        <s v="I356966"/>
        <s v="I140421"/>
        <s v="I700673"/>
        <s v="I298857"/>
        <s v="I304665"/>
        <s v="I519641"/>
        <s v="I299547"/>
        <s v="I262952"/>
        <s v="I104404"/>
        <s v="I243814"/>
        <s v="I214598"/>
        <s v="I413623"/>
        <s v="I482255"/>
        <s v="I115489"/>
        <s v="I244859"/>
        <s v="I610479"/>
        <s v="I155866"/>
        <s v="I263687"/>
        <s v="I181683"/>
        <s v="I302532"/>
        <s v="I110699"/>
        <s v="I188369"/>
        <s v="I168758"/>
        <s v="I828906"/>
        <s v="I267166"/>
        <s v="I317333"/>
        <s v="I185018"/>
        <s v="I238618"/>
        <s v="I100723"/>
        <s v="I580058"/>
        <s v="I229494"/>
        <s v="I236675"/>
        <s v="I309552"/>
        <s v="I102314"/>
        <s v="I138135"/>
        <s v="I285825"/>
        <s v="I280091"/>
        <s v="I290311"/>
        <s v="I283160"/>
        <s v="I213167"/>
        <s v="I599090"/>
        <s v="I167023"/>
        <s v="I277652"/>
        <s v="I189007"/>
        <s v="I119829"/>
        <s v="I490327"/>
        <s v="I758868"/>
        <s v="I114739"/>
        <s v="I589674"/>
        <s v="I604212"/>
        <s v="I883022"/>
        <s v="I464077"/>
        <s v="I174527"/>
        <s v="I164597"/>
        <s v="I158384"/>
        <s v="I460500"/>
        <s v="I250842"/>
        <s v="I319084"/>
        <s v="I243449"/>
        <s v="I283176"/>
        <s v="I252698"/>
        <s v="I685763"/>
        <s v="I212223"/>
        <s v="I195337"/>
        <s v="I214545"/>
        <s v="I112629"/>
        <s v="I121497"/>
        <s v="I193447"/>
        <s v="I441644"/>
        <s v="I651307"/>
        <s v="I822053"/>
        <s v="I796162"/>
        <s v="I262485"/>
        <s v="I431780"/>
        <s v="I272150"/>
        <s v="I158914"/>
        <s v="I136183"/>
        <s v="I330987"/>
        <s v="I627373"/>
        <s v="I263803"/>
        <s v="I301088"/>
        <s v="I158472"/>
        <s v="I293229"/>
        <s v="I302753"/>
        <s v="I810842"/>
        <s v="I181621"/>
        <s v="I296824"/>
        <s v="I371788"/>
        <s v="I296461"/>
        <s v="I165916"/>
        <s v="I265980"/>
        <s v="I202644"/>
        <s v="I237324"/>
        <s v="I207763"/>
        <s v="I222347"/>
        <s v="I209069"/>
        <s v="I204044"/>
        <s v="I142464"/>
        <s v="I134786"/>
        <s v="I228566"/>
        <s v="I944263"/>
        <s v="I142111"/>
        <s v="I134452"/>
        <s v="I180535"/>
        <s v="I212625"/>
        <s v="I763903"/>
        <s v="I233915"/>
        <s v="I336535"/>
        <s v="I332690"/>
        <s v="I461541"/>
        <s v="I312002"/>
        <s v="I187255"/>
        <s v="I298580"/>
        <s v="I108648"/>
        <s v="I190356"/>
        <s v="I231029"/>
        <s v="I338605"/>
        <s v="I271467"/>
        <s v="I151677"/>
        <s v="I323055"/>
        <s v="I797502"/>
        <s v="I254886"/>
        <s v="I154285"/>
        <s v="I728670"/>
        <s v="I239787"/>
        <s v="I261435"/>
        <s v="I204003"/>
        <s v="I267904"/>
        <s v="I158310"/>
        <s v="I337570"/>
        <s v="I308303"/>
        <s v="I929854"/>
        <s v="I988233"/>
        <s v="I290524"/>
        <s v="I580142"/>
        <s v="I148428"/>
        <s v="I245809"/>
        <s v="I118839"/>
        <s v="I245580"/>
        <s v="I121196"/>
        <s v="I248831"/>
        <s v="I713230"/>
        <s v="I264035"/>
        <s v="I422934"/>
        <s v="I277655"/>
        <s v="I123407"/>
        <s v="I116380"/>
        <s v="I179183"/>
        <s v="I159057"/>
        <s v="I127988"/>
        <s v="I568785"/>
        <s v="I878464"/>
        <s v="I298951"/>
        <s v="I308474"/>
        <s v="I154073"/>
        <s v="I113167"/>
        <s v="I133422"/>
        <s v="I282097"/>
        <s v="I200525"/>
        <s v="I795324"/>
        <s v="I237018"/>
        <s v="I561238"/>
        <s v="I785442"/>
        <s v="I442923"/>
        <s v="I340253"/>
        <s v="I857171"/>
        <s v="I205335"/>
        <s v="I110985"/>
        <s v="I606125"/>
        <s v="I677200"/>
        <s v="I924035"/>
        <s v="I302280"/>
        <s v="I265543"/>
        <s v="I319321"/>
        <s v="I182260"/>
        <s v="I117593"/>
        <s v="I233579"/>
        <s v="I292911"/>
        <s v="I192171"/>
        <s v="I137946"/>
        <s v="I199887"/>
        <s v="I300799"/>
        <s v="I659463"/>
        <s v="I303347"/>
        <s v="I291958"/>
        <s v="I139213"/>
        <s v="I238201"/>
        <s v="I329152"/>
        <s v="I265444"/>
        <s v="I262452"/>
        <s v="I134020"/>
        <s v="I968259"/>
        <s v="I217437"/>
        <s v="I256830"/>
        <s v="I151987"/>
        <s v="I190396"/>
        <s v="I177198"/>
        <s v="I113129"/>
        <s v="I174939"/>
        <s v="I205745"/>
        <s v="I324249"/>
        <s v="I233379"/>
        <s v="I527911"/>
        <s v="I139745"/>
        <s v="I266160"/>
        <s v="I205562"/>
        <s v="I323561"/>
        <s v="I159122"/>
        <s v="I274131"/>
        <s v="I321716"/>
        <s v="I105963"/>
        <s v="I489901"/>
        <s v="I141294"/>
        <s v="I108821"/>
        <s v="I167458"/>
        <s v="I129139"/>
        <s v="I263829"/>
        <s v="I332521"/>
        <s v="I253358"/>
        <s v="I210025"/>
        <s v="I125122"/>
        <s v="I831281"/>
        <s v="I182541"/>
        <s v="I146305"/>
        <s v="I253567"/>
        <s v="I288402"/>
        <s v="I116469"/>
        <s v="I809166"/>
        <s v="I185772"/>
        <s v="I288819"/>
        <s v="I313021"/>
        <s v="I949844"/>
        <s v="I156845"/>
        <s v="I141268"/>
        <s v="I272370"/>
        <s v="I261533"/>
        <s v="I122697"/>
        <s v="I322576"/>
        <s v="I202921"/>
        <s v="I188351"/>
        <s v="I110405"/>
        <s v="I221851"/>
        <s v="I298953"/>
        <s v="I282396"/>
        <s v="I177287"/>
        <s v="I144011"/>
        <s v="I813378"/>
        <s v="I189845"/>
        <s v="I347544"/>
        <s v="I301174"/>
        <s v="I122666"/>
        <s v="I158587"/>
        <s v="I187342"/>
        <s v="I577727"/>
        <s v="I328077"/>
        <s v="I230301"/>
        <s v="I382281"/>
        <s v="I119054"/>
        <s v="I316677"/>
        <s v="I296876"/>
        <s v="I170880"/>
        <s v="I214007"/>
        <s v="I199745"/>
        <s v="I930404"/>
        <s v="I182761"/>
        <s v="I211684"/>
        <s v="I441837"/>
        <s v="I181109"/>
        <s v="I282582"/>
        <s v="I284378"/>
        <s v="I291757"/>
        <s v="I246599"/>
        <s v="I143112"/>
        <s v="I202461"/>
        <s v="I250095"/>
        <s v="I180980"/>
        <s v="I385370"/>
        <s v="I120756"/>
        <s v="I925790"/>
        <s v="I133896"/>
        <s v="I322307"/>
        <s v="I148225"/>
        <s v="I882794"/>
        <s v="I337935"/>
        <s v="I151222"/>
        <s v="I106128"/>
        <s v="I980023"/>
        <s v="I333601"/>
        <s v="I171237"/>
        <s v="I296025"/>
        <s v="I101393"/>
        <s v="I277800"/>
        <s v="I163127"/>
        <s v="I551572"/>
        <s v="I296659"/>
        <s v="I184490"/>
        <s v="I626519"/>
        <s v="I184362"/>
        <s v="I200005"/>
        <s v="I208896"/>
        <s v="I242339"/>
        <s v="I322041"/>
        <s v="I222822"/>
        <s v="I123864"/>
        <s v="I310700"/>
        <s v="I449724"/>
        <s v="I532584"/>
        <s v="I292384"/>
        <s v="I109158"/>
        <s v="I333979"/>
        <s v="I199817"/>
        <s v="I329481"/>
        <s v="I147656"/>
        <s v="I159515"/>
        <s v="I331958"/>
        <s v="I179171"/>
        <s v="I114880"/>
        <s v="I165753"/>
        <s v="I287899"/>
        <s v="I200532"/>
        <s v="I337737"/>
        <s v="I216756"/>
        <s v="I290793"/>
        <s v="I333269"/>
        <s v="I290921"/>
        <s v="I234327"/>
        <s v="I530105"/>
        <s v="I725198"/>
        <s v="I301942"/>
        <s v="I146487"/>
        <s v="I318091"/>
        <s v="I701568"/>
        <s v="I932546"/>
        <s v="I619269"/>
        <s v="I230411"/>
        <s v="I193672"/>
        <s v="I994214"/>
        <s v="I318282"/>
        <s v="I954706"/>
        <s v="I309956"/>
        <s v="I335366"/>
        <s v="I540588"/>
        <s v="I724118"/>
        <s v="I254724"/>
        <s v="I500834"/>
        <s v="I114473"/>
        <s v="I206040"/>
        <s v="I919485"/>
        <s v="I260988"/>
        <s v="I167360"/>
        <s v="I651687"/>
        <s v="I939645"/>
        <s v="I402704"/>
        <s v="I232395"/>
        <s v="I311777"/>
        <s v="I317268"/>
        <s v="I223552"/>
        <s v="I147553"/>
        <s v="I267562"/>
        <s v="I825857"/>
        <s v="I631562"/>
        <s v="I220111"/>
        <s v="I326900"/>
        <s v="I324199"/>
        <s v="I158989"/>
        <s v="I248724"/>
        <s v="I203215"/>
        <s v="I295337"/>
        <s v="I329982"/>
        <s v="I807370"/>
        <s v="I150400"/>
        <s v="I117079"/>
        <s v="I229294"/>
        <s v="I235081"/>
        <s v="I167581"/>
        <s v="I227560"/>
        <s v="I250906"/>
        <s v="I258560"/>
        <s v="I956543"/>
        <s v="I221791"/>
        <s v="I219349"/>
        <s v="I469490"/>
        <s v="I738666"/>
        <s v="I191843"/>
        <s v="I105919"/>
        <s v="I164873"/>
        <s v="I111116"/>
        <s v="I254078"/>
        <s v="I873098"/>
        <s v="I175365"/>
        <s v="I862648"/>
        <s v="I234118"/>
        <s v="I511640"/>
        <s v="I587597"/>
        <s v="I337132"/>
        <s v="I155196"/>
        <s v="I124947"/>
        <s v="I309384"/>
        <s v="I732053"/>
        <s v="I209822"/>
        <s v="I919536"/>
        <s v="I408973"/>
        <s v="I291422"/>
        <s v="I216889"/>
        <s v="I320040"/>
        <s v="I180272"/>
        <s v="I134721"/>
        <s v="I179994"/>
        <s v="I304591"/>
        <s v="I185069"/>
        <s v="I243594"/>
        <s v="I317685"/>
        <s v="I283249"/>
        <s v="I100041"/>
        <s v="I128092"/>
        <s v="I114981"/>
        <s v="I128885"/>
        <s v="I128723"/>
        <s v="I578087"/>
        <s v="I242852"/>
        <s v="I338302"/>
        <s v="I232361"/>
        <s v="I128181"/>
        <s v="I157898"/>
        <s v="I313427"/>
        <s v="I549273"/>
        <s v="I157285"/>
        <s v="I660138"/>
        <s v="I293142"/>
        <s v="I187279"/>
        <s v="I163618"/>
        <s v="I405793"/>
        <s v="I147233"/>
        <s v="I284203"/>
        <s v="I334373"/>
        <s v="I144548"/>
        <s v="I214204"/>
        <s v="I236914"/>
        <s v="I419513"/>
        <s v="I286136"/>
        <s v="I272594"/>
        <s v="I288143"/>
        <s v="I725554"/>
        <s v="I270441"/>
        <s v="I445817"/>
        <s v="I122485"/>
        <s v="I263059"/>
        <s v="I110239"/>
        <s v="I105235"/>
        <s v="I296724"/>
        <s v="I116542"/>
        <s v="I251711"/>
        <s v="I544427"/>
        <s v="I676953"/>
        <s v="I143505"/>
        <s v="I326066"/>
        <s v="I191997"/>
        <s v="I204349"/>
        <s v="I169226"/>
        <s v="I236981"/>
        <s v="I213483"/>
        <s v="I381853"/>
        <s v="I193831"/>
        <s v="I323275"/>
        <s v="I112301"/>
        <s v="I298309"/>
        <s v="I245250"/>
        <s v="I166815"/>
        <s v="I139556"/>
        <s v="I110804"/>
        <s v="I157588"/>
        <s v="I175055"/>
        <s v="I101731"/>
        <s v="I197067"/>
        <s v="I306290"/>
        <s v="I171490"/>
        <s v="I110328"/>
        <s v="I153137"/>
        <s v="I202171"/>
        <s v="I215708"/>
        <s v="I680280"/>
        <s v="I213496"/>
        <s v="I167513"/>
        <s v="I412481"/>
        <s v="I135199"/>
        <s v="I294201"/>
        <s v="I979156"/>
        <s v="I667573"/>
        <s v="I171630"/>
        <s v="I375406"/>
        <s v="I221924"/>
        <s v="I117841"/>
        <s v="I261766"/>
        <s v="I284344"/>
        <s v="I246125"/>
        <s v="I404143"/>
        <s v="I202646"/>
        <s v="I329613"/>
        <s v="I234674"/>
        <s v="I206755"/>
        <s v="I269122"/>
        <s v="I996187"/>
        <s v="I156932"/>
        <s v="I106862"/>
        <s v="I139992"/>
        <s v="I295363"/>
        <s v="I548921"/>
        <s v="I158650"/>
        <s v="I252678"/>
        <s v="I192478"/>
        <s v="I196380"/>
        <s v="I254861"/>
        <s v="I260098"/>
        <s v="I229252"/>
        <s v="I462569"/>
        <s v="I269690"/>
        <s v="I129515"/>
        <s v="I177577"/>
        <s v="I119612"/>
        <s v="I162233"/>
        <s v="I183088"/>
        <s v="I312341"/>
        <s v="I158683"/>
        <s v="I313080"/>
        <s v="I112087"/>
        <s v="I945983"/>
        <s v="I107329"/>
        <s v="I217921"/>
        <s v="I760012"/>
        <s v="I255446"/>
        <s v="I165976"/>
        <s v="I991674"/>
        <s v="I787197"/>
        <s v="I151310"/>
        <s v="I166406"/>
        <s v="I170966"/>
        <s v="I238484"/>
        <s v="I204941"/>
        <s v="I191365"/>
        <s v="I284474"/>
        <s v="I114005"/>
        <s v="I852696"/>
        <s v="I985551"/>
        <s v="I238278"/>
        <s v="I836482"/>
        <s v="I273316"/>
        <s v="I717577"/>
        <s v="I207576"/>
        <s v="I170159"/>
        <s v="I115146"/>
        <s v="I164685"/>
        <s v="I336688"/>
        <s v="I252715"/>
        <s v="I186886"/>
        <s v="I289841"/>
        <s v="I175470"/>
        <s v="I253195"/>
        <s v="I424695"/>
        <s v="I112574"/>
        <s v="I346588"/>
        <s v="I253250"/>
        <s v="I107883"/>
        <s v="I145881"/>
        <s v="I633599"/>
        <s v="I197048"/>
        <s v="I534692"/>
        <s v="I284262"/>
        <s v="I104399"/>
        <s v="I166443"/>
        <s v="I103764"/>
        <s v="I367763"/>
        <s v="I303176"/>
        <s v="I317066"/>
        <s v="I275766"/>
        <s v="I172774"/>
        <s v="I246515"/>
        <s v="I339508"/>
        <s v="I233261"/>
        <s v="I186218"/>
        <s v="I670822"/>
        <s v="I294291"/>
        <s v="I234484"/>
        <s v="I141833"/>
        <s v="I123565"/>
        <s v="I989969"/>
        <s v="I192246"/>
        <s v="I308137"/>
        <s v="I128235"/>
        <s v="I153278"/>
        <s v="I143617"/>
        <s v="I281647"/>
        <s v="I332021"/>
        <s v="I842352"/>
        <s v="I265839"/>
        <s v="I979153"/>
        <s v="I261686"/>
        <s v="I599432"/>
        <s v="I264134"/>
        <s v="I302045"/>
        <s v="I992899"/>
        <s v="I891663"/>
        <s v="I863565"/>
        <s v="I269048"/>
        <s v="I227979"/>
        <s v="I323316"/>
        <s v="I221229"/>
        <s v="I321021"/>
        <s v="I117807"/>
        <s v="I206680"/>
        <s v="I154114"/>
        <s v="I194268"/>
        <s v="I117785"/>
        <s v="I189563"/>
        <s v="I540623"/>
        <s v="I962126"/>
        <s v="I200383"/>
        <s v="I228840"/>
        <s v="I258926"/>
        <s v="I581511"/>
        <s v="I127889"/>
        <s v="I146281"/>
        <s v="I387354"/>
        <s v="I996782"/>
        <s v="I200755"/>
        <s v="I264273"/>
        <s v="I294051"/>
        <s v="I226368"/>
        <s v="I120408"/>
        <s v="I113047"/>
        <s v="I826044"/>
        <s v="I282654"/>
        <s v="I174219"/>
        <s v="I254123"/>
        <s v="I294064"/>
        <s v="I154606"/>
        <s v="I297384"/>
        <s v="I149930"/>
        <s v="I168974"/>
        <s v="I321236"/>
        <s v="I240208"/>
        <s v="I163433"/>
        <s v="I322785"/>
        <s v="I212777"/>
        <s v="I251854"/>
        <s v="I307152"/>
        <s v="I218487"/>
        <s v="I215582"/>
        <s v="I328070"/>
        <s v="I105482"/>
        <s v="I298273"/>
        <s v="I323391"/>
        <s v="I239802"/>
        <s v="I766054"/>
        <s v="I547153"/>
        <s v="I200042"/>
        <s v="I114034"/>
        <s v="I237536"/>
        <s v="I186876"/>
        <s v="I301455"/>
        <s v="I165625"/>
        <s v="I304566"/>
        <s v="I197311"/>
        <s v="I329134"/>
        <s v="I278519"/>
        <s v="I135134"/>
        <s v="I251427"/>
        <s v="I279851"/>
        <s v="I337374"/>
        <s v="I207070"/>
        <s v="I374152"/>
        <s v="I245243"/>
        <s v="I528396"/>
        <s v="I187159"/>
        <s v="I172404"/>
        <s v="I810612"/>
        <s v="I145550"/>
        <s v="I136218"/>
        <s v="I996695"/>
        <s v="I206925"/>
        <s v="I334300"/>
        <s v="I153041"/>
        <s v="I281274"/>
        <s v="I117803"/>
        <s v="I175726"/>
        <s v="I223152"/>
        <s v="I617872"/>
        <s v="I274020"/>
        <s v="I186756"/>
        <s v="I252554"/>
        <s v="I270540"/>
        <s v="I156757"/>
        <s v="I270809"/>
        <s v="I837452"/>
        <s v="I603047"/>
        <s v="I141940"/>
        <s v="I271769"/>
        <s v="I181616"/>
        <s v="I121083"/>
        <s v="I270920"/>
        <s v="I249828"/>
        <s v="I375865"/>
        <s v="I244995"/>
        <s v="I161146"/>
        <s v="I528108"/>
        <s v="I146154"/>
        <s v="I999023"/>
        <s v="I651877"/>
        <s v="I184056"/>
        <s v="I220863"/>
        <s v="I217485"/>
        <s v="I569760"/>
        <s v="I771921"/>
        <s v="I142468"/>
        <s v="I230679"/>
        <s v="I226733"/>
        <s v="I118851"/>
        <s v="I287998"/>
        <s v="I164167"/>
        <s v="I217110"/>
        <s v="I323788"/>
        <s v="I283930"/>
        <s v="I144690"/>
        <s v="I217301"/>
        <s v="I202422"/>
        <s v="I749173"/>
        <s v="I865232"/>
        <s v="I105654"/>
        <s v="I948804"/>
        <s v="I202846"/>
        <s v="I166503"/>
        <s v="I133527"/>
        <s v="I146983"/>
        <s v="I379956"/>
        <s v="I222983"/>
        <s v="I180843"/>
        <s v="I178937"/>
        <s v="I130819"/>
        <s v="I172113"/>
        <s v="I235853"/>
        <s v="I141126"/>
        <s v="I239523"/>
        <s v="I142947"/>
        <s v="I921349"/>
        <s v="I129269"/>
        <s v="I252733"/>
        <s v="I244472"/>
        <s v="I631073"/>
        <s v="I901164"/>
        <s v="I762885"/>
        <s v="I217840"/>
        <s v="I260114"/>
        <s v="I266425"/>
        <s v="I313624"/>
        <s v="I276837"/>
        <s v="I312559"/>
        <s v="I212591"/>
        <s v="I688180"/>
        <s v="I255255"/>
        <s v="I657827"/>
        <s v="I928630"/>
        <s v="I112669"/>
        <s v="I179119"/>
        <s v="I203910"/>
        <s v="I272468"/>
        <s v="I332425"/>
        <s v="I191796"/>
        <s v="I729385"/>
        <s v="I103926"/>
        <s v="I228173"/>
        <s v="I985952"/>
        <s v="I301251"/>
        <s v="I274561"/>
        <s v="I288268"/>
        <s v="I148207"/>
        <s v="I736246"/>
        <s v="I549840"/>
        <s v="I278742"/>
        <s v="I930275"/>
        <s v="I678416"/>
        <s v="I148903"/>
        <s v="I154304"/>
        <s v="I138809"/>
        <s v="I278414"/>
        <s v="I207545"/>
        <s v="I157758"/>
        <s v="I295906"/>
        <s v="I843584"/>
        <s v="I193565"/>
        <s v="I219442"/>
        <s v="I790693"/>
        <s v="I192041"/>
        <s v="I150731"/>
        <s v="I141984"/>
        <s v="I156920"/>
        <s v="I856342"/>
        <s v="I225623"/>
        <s v="I308897"/>
        <s v="I282257"/>
        <s v="I829259"/>
        <s v="I198405"/>
        <s v="I370107"/>
        <s v="I264953"/>
        <s v="I260871"/>
        <s v="I245370"/>
        <s v="I206949"/>
        <s v="I156003"/>
        <s v="I268393"/>
        <s v="I205581"/>
        <s v="I137794"/>
        <s v="I224651"/>
        <s v="I310655"/>
        <s v="I117485"/>
        <s v="I222560"/>
        <s v="I290399"/>
        <s v="I139455"/>
        <s v="I185607"/>
        <s v="I313537"/>
        <s v="I233316"/>
        <s v="I236010"/>
        <s v="I188003"/>
        <s v="I230822"/>
        <s v="I158204"/>
        <s v="I168421"/>
        <s v="I217616"/>
        <s v="I245374"/>
        <s v="I114858"/>
        <s v="I324598"/>
        <s v="I150364"/>
        <s v="I138310"/>
        <s v="I317628"/>
        <s v="I879426"/>
        <s v="I133255"/>
        <s v="I610501"/>
        <s v="I273261"/>
        <s v="I300972"/>
        <s v="I120569"/>
        <s v="I196153"/>
        <s v="I767758"/>
        <s v="I246548"/>
        <s v="I134825"/>
        <s v="I187782"/>
        <s v="I205452"/>
        <s v="I117291"/>
        <s v="I210669"/>
        <s v="I651177"/>
        <s v="I262174"/>
        <s v="I113030"/>
        <s v="I846943"/>
        <s v="I204622"/>
        <s v="I295669"/>
        <s v="I122393"/>
        <s v="I249325"/>
        <s v="I324469"/>
        <s v="I148074"/>
        <s v="I289493"/>
        <s v="I282122"/>
        <s v="I111144"/>
        <s v="I331023"/>
        <s v="I306661"/>
        <s v="I557864"/>
        <s v="I147920"/>
        <s v="I105488"/>
        <s v="I247464"/>
        <s v="I163625"/>
        <s v="I210736"/>
        <s v="I419122"/>
        <s v="I242106"/>
        <s v="I189131"/>
        <s v="I214220"/>
        <s v="I887140"/>
        <s v="I304695"/>
        <s v="I150212"/>
        <s v="I254169"/>
        <s v="I189839"/>
        <s v="I888434"/>
        <s v="I566056"/>
        <s v="I134212"/>
        <s v="I277150"/>
        <s v="I271357"/>
        <s v="I335747"/>
        <s v="I280408"/>
        <s v="I873471"/>
        <s v="I190566"/>
        <s v="I210193"/>
        <s v="I179044"/>
        <s v="I471026"/>
        <s v="I115870"/>
        <s v="I333697"/>
        <s v="I283013"/>
        <s v="I102218"/>
        <s v="I329472"/>
        <s v="I700893"/>
        <s v="I259885"/>
        <s v="I683539"/>
        <s v="I288796"/>
        <s v="I334629"/>
        <s v="I311169"/>
        <s v="I842308"/>
        <s v="I280717"/>
        <s v="I255495"/>
        <s v="I265103"/>
        <s v="I148747"/>
        <s v="I317443"/>
        <s v="I579325"/>
        <s v="I269184"/>
        <s v="I122852"/>
        <s v="I324136"/>
        <s v="I295205"/>
        <s v="I276526"/>
        <s v="I175320"/>
        <s v="I127775"/>
        <s v="I952163"/>
        <s v="I131784"/>
        <s v="I315426"/>
        <s v="I168925"/>
        <s v="I446590"/>
        <s v="I389708"/>
        <s v="I199775"/>
        <s v="I277787"/>
        <s v="I108083"/>
        <s v="I182890"/>
        <s v="I771212"/>
        <s v="I328737"/>
        <s v="I218234"/>
        <s v="I213268"/>
        <s v="I198035"/>
        <s v="I108779"/>
        <s v="I271166"/>
        <s v="I156765"/>
        <s v="I333921"/>
        <s v="I854599"/>
        <s v="I111221"/>
        <s v="I144231"/>
        <s v="I170670"/>
        <s v="I101435"/>
        <s v="I109064"/>
        <s v="I108804"/>
        <s v="I242038"/>
        <s v="I279029"/>
        <s v="I107697"/>
        <s v="I154961"/>
        <s v="I252507"/>
        <s v="I264722"/>
        <s v="I299720"/>
        <s v="I805312"/>
        <s v="I690857"/>
        <s v="I210522"/>
        <s v="I470368"/>
        <s v="I793081"/>
        <s v="I138046"/>
        <s v="I166485"/>
        <s v="I271914"/>
        <s v="I901487"/>
        <s v="I833963"/>
        <s v="I332118"/>
        <s v="I289040"/>
        <s v="I189841"/>
        <s v="I152572"/>
        <s v="I705185"/>
        <s v="I208874"/>
        <s v="I337611"/>
        <s v="I205715"/>
        <s v="I297693"/>
        <s v="I150517"/>
        <s v="I328430"/>
        <s v="I176033"/>
        <s v="I282768"/>
        <s v="I290100"/>
        <s v="I275142"/>
        <s v="I180923"/>
        <s v="I322409"/>
        <s v="I151031"/>
        <s v="I175272"/>
        <s v="I193882"/>
        <s v="I341437"/>
        <s v="I290044"/>
        <s v="I268511"/>
        <s v="I186896"/>
        <s v="I177008"/>
        <s v="I600222"/>
        <s v="I289828"/>
        <s v="I151477"/>
        <s v="I277606"/>
        <s v="I269050"/>
        <s v="I831834"/>
        <s v="I107640"/>
        <s v="I254718"/>
        <s v="I320722"/>
        <s v="I338596"/>
        <s v="I229909"/>
        <s v="I177478"/>
        <s v="I339515"/>
        <s v="I312021"/>
        <s v="I175591"/>
        <s v="I107778"/>
        <s v="I232026"/>
        <s v="I218790"/>
        <s v="I292746"/>
        <s v="I185892"/>
        <s v="I285349"/>
        <s v="I159599"/>
        <s v="I332834"/>
        <s v="I723571"/>
        <s v="I265494"/>
        <s v="I727911"/>
        <s v="I371638"/>
        <s v="I228088"/>
        <s v="I284337"/>
        <s v="I318831"/>
        <s v="I570709"/>
        <s v="I317331"/>
        <s v="I730397"/>
        <s v="I142757"/>
        <s v="I195270"/>
        <s v="I206350"/>
        <s v="I101541"/>
        <s v="I705586"/>
        <s v="I961322"/>
        <s v="I307584"/>
        <s v="I282572"/>
        <s v="I410605"/>
        <s v="I112607"/>
        <s v="I279088"/>
        <s v="I490823"/>
        <s v="I180008"/>
        <s v="I321852"/>
        <s v="I108662"/>
        <s v="I250040"/>
        <s v="I149857"/>
        <s v="I277830"/>
        <s v="I172850"/>
        <s v="I165270"/>
        <s v="I544382"/>
        <s v="I228150"/>
        <s v="I329428"/>
        <s v="I141224"/>
        <s v="I352991"/>
        <s v="I322175"/>
        <s v="I756144"/>
        <s v="I102256"/>
        <s v="I268142"/>
        <s v="I144151"/>
        <s v="I150515"/>
        <s v="I943432"/>
        <s v="I252515"/>
        <s v="I159307"/>
        <s v="I301975"/>
        <s v="I437948"/>
        <s v="I910012"/>
        <s v="I218112"/>
        <s v="I268692"/>
        <s v="I187469"/>
        <s v="I102404"/>
        <s v="I200408"/>
        <s v="I220728"/>
        <s v="I166385"/>
        <s v="I300998"/>
        <s v="I165022"/>
        <s v="I136326"/>
        <s v="I320720"/>
        <s v="I159355"/>
        <s v="I189143"/>
        <s v="I291124"/>
        <s v="I222290"/>
        <s v="I127766"/>
        <s v="I240747"/>
        <s v="I421561"/>
        <s v="I317330"/>
        <s v="I317354"/>
        <s v="I128599"/>
        <s v="I183536"/>
        <s v="I948145"/>
        <s v="I619187"/>
        <s v="I128997"/>
        <s v="I187703"/>
        <s v="I953897"/>
        <s v="I737951"/>
        <s v="I171552"/>
        <s v="I194132"/>
        <s v="I302355"/>
        <s v="I114515"/>
        <s v="I362306"/>
        <s v="I255297"/>
        <s v="I115006"/>
        <s v="I140977"/>
        <s v="I308318"/>
        <s v="I254673"/>
        <s v="I134467"/>
        <s v="I141241"/>
        <s v="I631363"/>
        <s v="I294186"/>
        <s v="I293771"/>
        <s v="I335152"/>
        <s v="I320828"/>
        <s v="I339388"/>
        <s v="I400888"/>
        <s v="I179698"/>
        <s v="I449958"/>
        <s v="I333293"/>
        <s v="I249552"/>
        <s v="I158880"/>
        <s v="I426858"/>
        <s v="I115753"/>
        <s v="I292470"/>
        <s v="I247336"/>
        <s v="I614836"/>
        <s v="I177188"/>
        <s v="I230774"/>
        <s v="I267858"/>
        <s v="I855156"/>
        <s v="I143573"/>
        <s v="I264725"/>
        <s v="I343187"/>
        <s v="I275086"/>
        <s v="I128526"/>
        <s v="I220737"/>
        <s v="I285705"/>
        <s v="I160481"/>
        <s v="I820465"/>
        <s v="I332330"/>
        <s v="I460840"/>
        <s v="I210230"/>
        <s v="I212073"/>
        <s v="I227159"/>
        <s v="I213101"/>
        <s v="I470040"/>
        <s v="I668694"/>
        <s v="I150311"/>
        <s v="I105445"/>
        <s v="I136231"/>
        <s v="I112989"/>
        <s v="I216374"/>
        <s v="I339346"/>
        <s v="I252163"/>
        <s v="I179651"/>
        <s v="I219334"/>
        <s v="I468561"/>
        <s v="I257616"/>
        <s v="I135969"/>
        <s v="I488111"/>
        <s v="I319283"/>
        <s v="I332044"/>
        <s v="I214951"/>
        <s v="I344841"/>
        <s v="I664233"/>
        <s v="I192798"/>
        <s v="I968642"/>
        <s v="I273873"/>
        <s v="I659761"/>
        <s v="I291964"/>
        <s v="I253873"/>
        <s v="I932505"/>
        <s v="I325491"/>
        <s v="I313529"/>
        <s v="I168451"/>
        <s v="I103829"/>
        <s v="I295473"/>
        <s v="I267362"/>
        <s v="I120509"/>
        <s v="I315896"/>
        <s v="I301937"/>
        <s v="I321619"/>
        <s v="I299230"/>
        <s v="I325869"/>
        <s v="I373164"/>
        <s v="I140825"/>
        <s v="I859488"/>
        <s v="I737161"/>
        <s v="I118453"/>
        <s v="I306930"/>
        <s v="I132071"/>
        <s v="I250629"/>
        <s v="I761759"/>
        <s v="I396685"/>
        <s v="I134817"/>
        <s v="I128088"/>
        <s v="I154901"/>
        <s v="I165741"/>
        <s v="I304401"/>
        <s v="I323598"/>
        <s v="I186496"/>
        <s v="I232105"/>
        <s v="I249116"/>
        <s v="I251311"/>
        <s v="I303035"/>
        <s v="I260553"/>
        <s v="I283373"/>
        <s v="I300627"/>
        <s v="I256370"/>
        <s v="I328006"/>
        <s v="I141454"/>
        <s v="I190439"/>
        <s v="I230599"/>
        <s v="I295181"/>
        <s v="I277227"/>
        <s v="I903259"/>
        <s v="I716822"/>
        <s v="I432861"/>
        <s v="I139947"/>
        <s v="I174886"/>
        <s v="I128255"/>
        <s v="I311897"/>
        <s v="I201496"/>
        <s v="I104570"/>
        <s v="I570285"/>
        <s v="I332341"/>
        <s v="I102761"/>
        <s v="I312137"/>
        <s v="I297542"/>
        <s v="I305511"/>
        <s v="I144157"/>
        <s v="I189542"/>
        <s v="I125592"/>
        <s v="I140408"/>
        <s v="I227368"/>
        <s v="I491810"/>
        <s v="I258816"/>
        <s v="I340187"/>
        <s v="I227152"/>
        <s v="I830538"/>
        <s v="I273054"/>
        <s v="I204288"/>
        <s v="I562073"/>
        <s v="I196211"/>
        <s v="I281785"/>
        <s v="I168776"/>
        <s v="I206500"/>
        <s v="I164433"/>
        <s v="I166250"/>
        <s v="I316471"/>
        <s v="I275749"/>
        <s v="I140135"/>
        <s v="I130989"/>
        <s v="I142472"/>
        <s v="I678783"/>
        <s v="I273250"/>
        <s v="I300260"/>
        <s v="I155691"/>
        <s v="I115102"/>
        <s v="I282947"/>
        <s v="I309865"/>
        <s v="I121072"/>
        <s v="I283116"/>
        <s v="I980811"/>
        <s v="I202780"/>
        <s v="I150216"/>
        <s v="I322103"/>
        <s v="I322287"/>
        <s v="I183991"/>
        <s v="I671317"/>
        <s v="I243692"/>
        <s v="I157831"/>
        <s v="I508578"/>
        <s v="I258718"/>
        <s v="I471551"/>
        <s v="I317551"/>
        <s v="I198156"/>
        <s v="I257579"/>
        <s v="I222799"/>
        <s v="I254055"/>
        <s v="I334994"/>
        <s v="I204796"/>
        <s v="I676291"/>
        <s v="I311264"/>
        <s v="I214625"/>
        <s v="I175037"/>
        <s v="I127025"/>
        <s v="I240003"/>
        <s v="I231674"/>
        <s v="I257596"/>
        <s v="I307225"/>
        <s v="I164177"/>
        <s v="I122083"/>
        <s v="I330017"/>
        <s v="I132664"/>
        <s v="I139614"/>
        <s v="I187305"/>
        <s v="I106691"/>
        <s v="I517258"/>
        <s v="I334865"/>
        <s v="I243784"/>
        <s v="I248332"/>
        <s v="I320369"/>
        <s v="I128890"/>
        <s v="I273831"/>
        <s v="I367365"/>
        <s v="I120643"/>
        <s v="I121056"/>
        <s v="I240626"/>
        <s v="I276824"/>
        <s v="I145709"/>
        <s v="I272691"/>
        <s v="I171907"/>
        <s v="I132511"/>
        <s v="I302297"/>
        <s v="I132250"/>
        <s v="I127679"/>
        <s v="I292315"/>
        <s v="I265549"/>
        <s v="I288025"/>
        <s v="I732911"/>
        <s v="I170990"/>
        <s v="I554701"/>
        <s v="I283625"/>
        <s v="I245988"/>
        <s v="I227000"/>
        <s v="I122453"/>
        <s v="I917072"/>
        <s v="I190692"/>
        <s v="I110630"/>
        <s v="I169319"/>
        <s v="I182384"/>
        <s v="I108780"/>
        <s v="I308369"/>
        <s v="I327566"/>
        <s v="I255845"/>
        <s v="I223652"/>
        <s v="I478114"/>
        <s v="I280360"/>
        <s v="I242774"/>
        <s v="I228498"/>
        <s v="I153262"/>
        <s v="I315281"/>
        <s v="I131665"/>
        <s v="I256298"/>
        <s v="I169324"/>
        <s v="I119890"/>
        <s v="I886618"/>
        <s v="I240128"/>
        <s v="I603741"/>
        <s v="I256691"/>
        <s v="I108433"/>
        <s v="I245564"/>
        <s v="I760747"/>
        <s v="I257286"/>
        <s v="I285583"/>
        <s v="I220971"/>
        <s v="I161891"/>
        <s v="I263412"/>
        <s v="I267634"/>
        <s v="I178637"/>
        <s v="I467163"/>
        <s v="I307121"/>
        <s v="I194320"/>
        <s v="I110391"/>
        <s v="I227595"/>
        <s v="I303944"/>
        <s v="I301422"/>
        <s v="I299354"/>
        <s v="I561353"/>
        <s v="I291032"/>
        <s v="I167547"/>
        <s v="I920609"/>
        <s v="I292866"/>
        <s v="I162696"/>
        <s v="I653897"/>
        <s v="I139026"/>
        <s v="I280973"/>
        <s v="I469098"/>
        <s v="I276834"/>
        <s v="I172000"/>
        <s v="I259335"/>
        <s v="I251982"/>
        <s v="I306918"/>
        <s v="I215436"/>
        <s v="I323436"/>
        <s v="I652534"/>
        <s v="I162970"/>
        <s v="I117526"/>
        <s v="I265476"/>
        <s v="I137827"/>
        <s v="I138674"/>
        <s v="I651209"/>
        <s v="I302989"/>
        <s v="I267769"/>
        <s v="I110467"/>
        <s v="I108380"/>
        <s v="I491746"/>
        <s v="I122528"/>
        <s v="I187927"/>
        <s v="I141122"/>
        <s v="I141719"/>
        <s v="I261961"/>
        <s v="I229701"/>
        <s v="I538788"/>
        <s v="I153569"/>
        <s v="I213270"/>
        <s v="I292522"/>
        <s v="I315463"/>
        <s v="I253609"/>
        <s v="I176063"/>
        <s v="I257671"/>
        <s v="I269076"/>
        <s v="I131352"/>
        <s v="I323050"/>
        <s v="I253398"/>
        <s v="I132297"/>
        <s v="I111807"/>
        <s v="I171015"/>
        <s v="I218569"/>
        <s v="I311067"/>
        <s v="I102879"/>
        <s v="I135417"/>
        <s v="I264685"/>
        <s v="I239285"/>
        <s v="I139696"/>
        <s v="I112303"/>
        <s v="I151404"/>
        <s v="I120851"/>
        <s v="I673195"/>
        <s v="I212671"/>
        <s v="I109074"/>
        <s v="I200646"/>
        <s v="I480800"/>
        <s v="I167371"/>
        <s v="I229874"/>
        <s v="I264862"/>
        <s v="I195585"/>
        <s v="I246910"/>
        <s v="I315873"/>
        <s v="I292607"/>
        <s v="I353622"/>
        <s v="I789553"/>
        <s v="I183964"/>
        <s v="I208867"/>
        <s v="I401204"/>
        <s v="I901399"/>
        <s v="I251242"/>
        <s v="I246278"/>
        <s v="I202829"/>
        <s v="I229534"/>
        <s v="I183037"/>
        <s v="I270175"/>
        <s v="I215019"/>
        <s v="I265757"/>
        <s v="I229895"/>
        <s v="I223340"/>
        <s v="I783130"/>
        <s v="I250296"/>
        <s v="I146440"/>
        <s v="I226598"/>
        <s v="I220122"/>
        <s v="I327088"/>
        <s v="I649554"/>
        <s v="I261092"/>
        <s v="I221024"/>
        <s v="I243186"/>
        <s v="I289746"/>
        <s v="I280250"/>
        <s v="I130735"/>
        <s v="I277561"/>
        <s v="I786055"/>
        <s v="I170757"/>
        <s v="I246704"/>
        <s v="I453526"/>
        <s v="I597591"/>
        <s v="I205421"/>
        <s v="I531648"/>
        <s v="I298037"/>
        <s v="I286768"/>
        <s v="I448426"/>
        <s v="I179118"/>
        <s v="I309115"/>
        <s v="I115528"/>
        <s v="I722319"/>
        <s v="I103865"/>
        <s v="I224228"/>
        <s v="I180909"/>
        <s v="I236975"/>
        <s v="I491239"/>
        <s v="I749462"/>
        <s v="I334516"/>
        <s v="I255212"/>
        <s v="I213354"/>
        <s v="I324790"/>
        <s v="I236488"/>
        <s v="I194187"/>
        <s v="I513401"/>
        <s v="I301864"/>
        <s v="I107124"/>
        <s v="I814775"/>
        <s v="I143892"/>
        <s v="I836992"/>
        <s v="I293847"/>
        <s v="I198420"/>
        <s v="I113609"/>
        <s v="I221234"/>
        <s v="I228535"/>
        <s v="I328185"/>
        <s v="I176013"/>
        <s v="I308440"/>
        <s v="I317017"/>
        <s v="I335926"/>
        <s v="I135714"/>
        <s v="I182031"/>
        <s v="I959282"/>
        <s v="I328733"/>
        <s v="I321237"/>
        <s v="I133324"/>
        <s v="I311366"/>
        <s v="I332620"/>
        <s v="I342725"/>
        <s v="I146662"/>
        <s v="I758454"/>
        <s v="I198291"/>
        <s v="I325631"/>
        <s v="I784128"/>
        <s v="I249424"/>
        <s v="I167092"/>
        <s v="I253375"/>
        <s v="I139172"/>
        <s v="I152507"/>
        <s v="I264126"/>
        <s v="I156434"/>
        <s v="I148642"/>
        <s v="I230812"/>
        <s v="I444572"/>
        <s v="I198227"/>
        <s v="I143618"/>
        <s v="I270762"/>
        <s v="I245008"/>
        <s v="I325594"/>
        <s v="I292793"/>
        <s v="I315830"/>
        <s v="I130929"/>
        <s v="I191439"/>
        <s v="I278595"/>
        <s v="I217857"/>
        <s v="I200231"/>
        <s v="I282229"/>
        <s v="I310075"/>
        <s v="I180273"/>
        <s v="I231273"/>
        <s v="I306370"/>
        <s v="I170264"/>
        <s v="I588414"/>
        <s v="I401856"/>
        <s v="I261283"/>
        <s v="I150012"/>
        <s v="I335713"/>
        <s v="I106781"/>
        <s v="I302104"/>
        <s v="I338712"/>
        <s v="I134418"/>
        <s v="I190310"/>
        <s v="I124407"/>
        <s v="I180433"/>
        <s v="I230575"/>
        <s v="I262031"/>
        <s v="I502659"/>
        <s v="I256639"/>
        <s v="I106200"/>
        <s v="I754738"/>
        <s v="I137063"/>
        <s v="I161949"/>
        <s v="I186995"/>
        <s v="I228024"/>
        <s v="I489051"/>
        <s v="I154146"/>
        <s v="I186360"/>
        <s v="I275382"/>
        <s v="I568614"/>
        <s v="I630852"/>
        <s v="I295513"/>
        <s v="I285526"/>
        <s v="I134839"/>
        <s v="I272736"/>
        <s v="I538784"/>
        <s v="I708039"/>
        <s v="I271880"/>
        <s v="I209933"/>
        <s v="I238246"/>
        <s v="I219698"/>
        <s v="I217948"/>
        <s v="I543879"/>
        <s v="I249003"/>
        <s v="I168139"/>
        <s v="I732112"/>
        <s v="I217038"/>
        <s v="I200489"/>
        <s v="I124098"/>
        <s v="I293455"/>
        <s v="I198938"/>
        <s v="I263332"/>
        <s v="I203833"/>
        <s v="I308519"/>
        <s v="I123154"/>
        <s v="I322738"/>
        <s v="I370998"/>
        <s v="I167881"/>
        <s v="I816088"/>
        <s v="I337027"/>
        <s v="I202901"/>
        <s v="I324650"/>
        <s v="I199386"/>
        <s v="I576932"/>
        <s v="I213873"/>
        <s v="I324424"/>
        <s v="I228667"/>
        <s v="I246889"/>
        <s v="I157035"/>
        <s v="I326193"/>
        <s v="I346321"/>
        <s v="I289905"/>
        <s v="I890257"/>
        <s v="I155847"/>
        <s v="I310170"/>
        <s v="I169204"/>
        <s v="I295198"/>
        <s v="I322338"/>
        <s v="I327583"/>
        <s v="I163278"/>
        <s v="I166759"/>
        <s v="I351510"/>
        <s v="I302463"/>
        <s v="I168897"/>
        <s v="I223532"/>
        <s v="I259847"/>
        <s v="I273541"/>
        <s v="I960964"/>
        <s v="I235729"/>
        <s v="I224625"/>
        <s v="I386875"/>
        <s v="I311793"/>
        <s v="I178854"/>
        <s v="I121437"/>
        <s v="I118587"/>
        <s v="I115204"/>
        <s v="I212047"/>
        <s v="I813046"/>
        <s v="I951089"/>
        <s v="I140081"/>
        <s v="I166522"/>
        <s v="I265604"/>
        <s v="I302923"/>
        <s v="I672240"/>
        <s v="I191026"/>
        <s v="I131457"/>
        <s v="I608563"/>
        <s v="I241354"/>
        <s v="I281208"/>
        <s v="I179216"/>
        <s v="I259328"/>
        <s v="I174055"/>
        <s v="I311797"/>
        <s v="I732537"/>
        <s v="I184036"/>
        <s v="I113304"/>
        <s v="I677787"/>
        <s v="I128752"/>
        <s v="I194394"/>
        <s v="I269662"/>
        <s v="I285766"/>
        <s v="I335716"/>
        <s v="I156233"/>
        <s v="I327961"/>
        <s v="I155954"/>
        <s v="I278920"/>
        <s v="I160819"/>
        <s v="I141974"/>
        <s v="I574151"/>
        <s v="I939220"/>
        <s v="I564449"/>
        <s v="I184579"/>
        <s v="I364470"/>
        <s v="I280739"/>
        <s v="I125930"/>
        <s v="I305296"/>
        <s v="I847727"/>
        <s v="I265252"/>
        <s v="I556045"/>
        <s v="I110133"/>
        <s v="I278401"/>
        <s v="I236697"/>
        <s v="I252581"/>
        <s v="I219338"/>
        <s v="I279182"/>
        <s v="I304851"/>
        <s v="I306925"/>
        <s v="I136471"/>
        <s v="I128638"/>
        <s v="I200018"/>
        <s v="I301225"/>
        <s v="I101902"/>
        <s v="I187720"/>
        <s v="I263473"/>
        <s v="I229628"/>
        <s v="I335469"/>
        <s v="I155865"/>
        <s v="I273845"/>
        <s v="I167926"/>
        <s v="I104769"/>
        <s v="I161179"/>
        <s v="I984793"/>
        <s v="I275001"/>
        <s v="I197153"/>
        <s v="I300250"/>
        <s v="I138110"/>
        <s v="I264690"/>
        <s v="I228164"/>
        <s v="I924814"/>
        <s v="I291921"/>
        <s v="I234008"/>
        <s v="I220285"/>
        <s v="I487727"/>
        <s v="I630114"/>
        <s v="I331268"/>
        <s v="I590625"/>
        <s v="I148832"/>
        <s v="I143075"/>
        <s v="I219176"/>
        <s v="I303914"/>
        <s v="I808751"/>
        <s v="I293954"/>
        <s v="I325555"/>
        <s v="I450963"/>
        <s v="I212471"/>
        <s v="I166650"/>
        <s v="I147727"/>
        <s v="I112096"/>
        <s v="I192278"/>
        <s v="I334902"/>
        <s v="I149356"/>
        <s v="I103881"/>
        <s v="I230075"/>
        <s v="I603143"/>
        <s v="I195208"/>
        <s v="I213392"/>
        <s v="I246390"/>
        <s v="I376114"/>
        <s v="I325655"/>
        <s v="I259435"/>
        <s v="I780940"/>
        <s v="I315929"/>
        <s v="I647346"/>
        <s v="I177439"/>
        <s v="I233465"/>
        <s v="I235041"/>
        <s v="I256045"/>
        <s v="I157128"/>
        <s v="I258961"/>
        <s v="I408969"/>
        <s v="I167211"/>
        <s v="I151840"/>
        <s v="I245669"/>
        <s v="I311659"/>
        <s v="I154122"/>
        <s v="I156107"/>
        <s v="I113173"/>
        <s v="I914004"/>
        <s v="I327475"/>
        <s v="I154745"/>
        <s v="I394071"/>
        <s v="I182523"/>
        <s v="I232062"/>
        <s v="I138038"/>
        <s v="I155920"/>
        <s v="I130166"/>
        <s v="I321920"/>
        <s v="I180696"/>
        <s v="I320428"/>
        <s v="I116736"/>
        <s v="I169894"/>
        <s v="I200385"/>
        <s v="I797307"/>
        <s v="I191373"/>
        <s v="I240970"/>
        <s v="I257391"/>
        <s v="I766238"/>
        <s v="I329798"/>
        <s v="I171556"/>
        <s v="I163045"/>
        <s v="I686681"/>
        <s v="I251504"/>
        <s v="I319032"/>
        <s v="I289975"/>
        <s v="I312019"/>
        <s v="I118879"/>
        <s v="I273597"/>
        <s v="I245611"/>
        <s v="I295784"/>
        <s v="I236204"/>
        <s v="I293215"/>
        <s v="I373362"/>
        <s v="I263541"/>
        <s v="I224714"/>
        <s v="I286877"/>
        <s v="I188476"/>
        <s v="I614497"/>
        <s v="I192450"/>
        <s v="I469019"/>
        <s v="I113366"/>
        <s v="I123942"/>
        <s v="I256969"/>
        <s v="I159395"/>
        <s v="I122691"/>
        <s v="I299480"/>
        <s v="I409107"/>
        <s v="I258204"/>
        <s v="I235481"/>
        <s v="I257208"/>
        <s v="I205100"/>
        <s v="I257267"/>
        <s v="I149521"/>
        <s v="I177033"/>
        <s v="I136074"/>
        <s v="I151332"/>
        <s v="I876948"/>
        <s v="I312801"/>
        <s v="I313811"/>
        <s v="I231832"/>
        <s v="I293709"/>
        <s v="I758806"/>
        <s v="I187171"/>
        <s v="I434859"/>
        <s v="I269825"/>
        <s v="I268629"/>
        <s v="I270112"/>
        <s v="I282711"/>
        <s v="I234748"/>
        <s v="I212761"/>
        <s v="I145372"/>
        <s v="I772184"/>
        <s v="I236230"/>
        <s v="I183437"/>
        <s v="I591356"/>
        <s v="I188382"/>
        <s v="I312028"/>
        <s v="I290505"/>
        <s v="I118277"/>
        <s v="I246718"/>
        <s v="I249317"/>
        <s v="I175788"/>
        <s v="I150781"/>
        <s v="I765275"/>
        <s v="I340014"/>
        <s v="I231475"/>
        <s v="I983860"/>
        <s v="I325205"/>
        <s v="I309235"/>
        <s v="I903691"/>
        <s v="I351965"/>
        <s v="I870944"/>
        <s v="I332394"/>
        <s v="I264720"/>
        <s v="I294849"/>
        <s v="I628372"/>
        <s v="I497958"/>
        <s v="I284251"/>
        <s v="I309651"/>
        <s v="I133893"/>
        <s v="I135796"/>
        <s v="I420393"/>
        <s v="I334233"/>
        <s v="I183522"/>
        <s v="I222883"/>
        <s v="I228349"/>
        <s v="I214481"/>
        <s v="I151138"/>
        <s v="I326488"/>
        <s v="I311770"/>
        <s v="I162068"/>
        <s v="I210603"/>
        <s v="I899550"/>
        <s v="I128722"/>
        <s v="I209549"/>
        <s v="I189121"/>
        <s v="I280147"/>
        <s v="I242447"/>
        <s v="I112057"/>
        <s v="I156257"/>
        <s v="I103072"/>
        <s v="I108060"/>
        <s v="I110084"/>
        <s v="I926244"/>
        <s v="I307858"/>
        <s v="I107535"/>
        <s v="I139323"/>
        <s v="I825194"/>
        <s v="I112443"/>
        <s v="I135567"/>
        <s v="I180262"/>
        <s v="I319596"/>
        <s v="I135149"/>
        <s v="I229212"/>
        <s v="I741309"/>
        <s v="I184800"/>
        <s v="I178419"/>
        <s v="I226172"/>
        <s v="I252404"/>
        <s v="I324609"/>
        <s v="I159095"/>
        <s v="I840591"/>
        <s v="I241694"/>
        <s v="I193677"/>
        <s v="I178874"/>
        <s v="I229419"/>
        <s v="I287965"/>
        <s v="I179278"/>
        <s v="I145649"/>
        <s v="I261996"/>
        <s v="I960037"/>
        <s v="I286351"/>
        <s v="I117117"/>
        <s v="I230108"/>
        <s v="I282789"/>
        <s v="I290902"/>
        <s v="I331578"/>
        <s v="I333138"/>
        <s v="I318533"/>
        <s v="I907765"/>
        <s v="I241341"/>
        <s v="I320021"/>
        <s v="I259063"/>
        <s v="I580834"/>
        <s v="I745890"/>
        <s v="I273029"/>
        <s v="I268811"/>
        <s v="I141658"/>
        <s v="I255137"/>
        <s v="I249891"/>
        <s v="I583185"/>
        <s v="I271320"/>
        <s v="I228415"/>
        <s v="I202227"/>
        <s v="I253364"/>
        <s v="I279951"/>
        <s v="I842347"/>
        <s v="I153981"/>
        <s v="I255381"/>
        <s v="I132459"/>
        <s v="I330119"/>
        <s v="I204979"/>
        <s v="I181145"/>
        <s v="I355236"/>
        <s v="I232489"/>
        <s v="I274878"/>
        <s v="I220586"/>
        <s v="I122009"/>
        <s v="I245882"/>
        <s v="I239889"/>
        <s v="I173286"/>
        <s v="I218225"/>
        <s v="I230898"/>
        <s v="I227132"/>
        <s v="I245602"/>
        <s v="I114253"/>
        <s v="I324526"/>
        <s v="I290579"/>
        <s v="I270712"/>
        <s v="I750563"/>
        <s v="I186838"/>
        <s v="I222501"/>
        <s v="I144506"/>
        <s v="I114287"/>
        <s v="I796767"/>
        <s v="I330674"/>
        <s v="I134764"/>
        <s v="I178537"/>
        <s v="I208420"/>
        <s v="I371358"/>
        <s v="I307328"/>
        <s v="I329034"/>
        <s v="I458495"/>
        <s v="I846414"/>
        <s v="I324204"/>
        <s v="I113134"/>
        <s v="I150629"/>
        <s v="I177813"/>
        <s v="I277974"/>
        <s v="I177239"/>
        <s v="I689926"/>
        <s v="I220613"/>
        <s v="I172676"/>
        <s v="I275274"/>
        <s v="I297912"/>
        <s v="I325256"/>
        <s v="I175416"/>
        <s v="I185724"/>
        <s v="I221987"/>
        <s v="I515200"/>
        <s v="I260748"/>
        <s v="I223440"/>
        <s v="I691313"/>
        <s v="I961275"/>
        <s v="I246976"/>
        <s v="I891465"/>
        <s v="I211547"/>
        <s v="I234887"/>
        <s v="I250049"/>
        <s v="I160647"/>
        <s v="I297188"/>
        <s v="I157544"/>
        <s v="I809104"/>
        <s v="I184307"/>
        <s v="I384203"/>
        <s v="I245026"/>
        <s v="I329083"/>
        <s v="I279761"/>
        <s v="I428525"/>
        <s v="I246003"/>
        <s v="I220929"/>
        <s v="I293112"/>
        <s v="I534706"/>
        <s v="I146549"/>
        <s v="I442443"/>
        <s v="I919016"/>
        <s v="I170036"/>
        <s v="I105289"/>
        <s v="I690433"/>
        <s v="I224248"/>
        <s v="I285161"/>
        <s v="I944501"/>
        <s v="I500902"/>
        <s v="I232002"/>
        <s v="I166541"/>
        <s v="I283937"/>
        <s v="I231618"/>
        <s v="I135990"/>
        <s v="I107188"/>
        <s v="I618686"/>
        <s v="I235009"/>
        <s v="I978050"/>
        <s v="I219372"/>
        <s v="I226752"/>
        <s v="I263063"/>
        <s v="I241656"/>
        <s v="I768348"/>
        <s v="I557417"/>
        <s v="I307289"/>
        <s v="I473606"/>
        <s v="I230744"/>
        <s v="I275120"/>
        <s v="I164217"/>
        <s v="I332905"/>
        <s v="I111112"/>
        <s v="I232626"/>
        <s v="I296448"/>
        <s v="I326892"/>
        <s v="I864398"/>
        <s v="I239495"/>
        <s v="I194869"/>
        <s v="I121477"/>
        <s v="I264643"/>
        <s v="I309668"/>
        <s v="I796512"/>
        <s v="I314354"/>
        <s v="I165685"/>
        <s v="I152931"/>
        <s v="I144476"/>
        <s v="I230738"/>
        <s v="I165880"/>
        <s v="I180895"/>
        <s v="I813784"/>
        <s v="I468874"/>
        <s v="I334652"/>
        <s v="I260086"/>
        <s v="I285082"/>
        <s v="I170988"/>
        <s v="I217427"/>
        <s v="I286608"/>
        <s v="I310241"/>
        <s v="I264104"/>
        <s v="I248778"/>
        <s v="I409116"/>
        <s v="I128694"/>
        <s v="I171245"/>
        <s v="I317105"/>
        <s v="I546691"/>
        <s v="I436543"/>
        <s v="I724379"/>
        <s v="I271727"/>
        <s v="I285970"/>
        <s v="I311849"/>
        <s v="I219045"/>
        <s v="I395976"/>
        <s v="I105218"/>
        <s v="I318848"/>
        <s v="I103596"/>
        <s v="I289392"/>
        <s v="I259061"/>
        <s v="I973744"/>
        <s v="I283992"/>
        <s v="I148614"/>
        <s v="I266072"/>
        <s v="I261637"/>
        <s v="I150505"/>
        <s v="I176246"/>
        <s v="I810843"/>
        <s v="I160266"/>
        <s v="I253706"/>
        <s v="I266583"/>
        <s v="I280514"/>
        <s v="I134148"/>
        <s v="I287182"/>
        <s v="I229383"/>
        <s v="I316056"/>
        <s v="I128626"/>
        <s v="I157931"/>
        <s v="I253145"/>
        <s v="I932052"/>
        <s v="I199844"/>
        <s v="I176370"/>
        <s v="I176514"/>
        <s v="I990653"/>
        <s v="I317220"/>
        <s v="I228819"/>
        <s v="I537563"/>
        <s v="I170686"/>
        <s v="I127616"/>
        <s v="I201484"/>
        <s v="I276300"/>
        <s v="I123198"/>
        <s v="I913613"/>
        <s v="I110136"/>
        <s v="I330315"/>
        <s v="I319361"/>
        <s v="I286061"/>
        <s v="I177444"/>
        <s v="I363662"/>
        <s v="I155640"/>
        <s v="I237259"/>
        <s v="I182479"/>
        <s v="I244711"/>
        <s v="I291725"/>
        <s v="I252950"/>
        <s v="I239685"/>
        <s v="I259039"/>
        <s v="I253866"/>
        <s v="I121846"/>
        <s v="I178338"/>
        <s v="I292883"/>
        <s v="I192040"/>
        <s v="I251024"/>
        <s v="I307338"/>
        <s v="I250786"/>
        <s v="I765344"/>
        <s v="I139747"/>
        <s v="I236188"/>
        <s v="I504317"/>
        <s v="I248785"/>
        <s v="I233432"/>
        <s v="I184246"/>
        <s v="I287445"/>
        <s v="I235851"/>
        <s v="I318422"/>
        <s v="I279890"/>
        <s v="I123998"/>
        <s v="I526600"/>
        <s v="I292369"/>
        <s v="I176554"/>
        <s v="I207429"/>
        <s v="I339979"/>
        <s v="I115862"/>
        <s v="I117539"/>
        <s v="I232081"/>
        <s v="I380378"/>
        <s v="I139059"/>
        <s v="I143916"/>
        <s v="I220633"/>
        <s v="I126670"/>
        <s v="I211007"/>
        <s v="I933623"/>
        <s v="I260280"/>
        <s v="I288639"/>
        <s v="I244525"/>
        <s v="I665287"/>
        <s v="I125124"/>
        <s v="I136036"/>
        <s v="I167986"/>
        <s v="I299366"/>
        <s v="I795251"/>
        <s v="I103264"/>
        <s v="I285409"/>
        <s v="I260728"/>
        <s v="I247986"/>
        <s v="I221041"/>
        <s v="I811790"/>
        <s v="I295712"/>
        <s v="I299815"/>
        <s v="I282624"/>
        <s v="I307302"/>
        <s v="I328263"/>
        <s v="I103715"/>
        <s v="I869144"/>
        <s v="I399923"/>
        <s v="I297243"/>
        <s v="I155448"/>
        <s v="I291821"/>
        <s v="I304505"/>
        <s v="I253707"/>
        <s v="I289972"/>
        <s v="I239303"/>
        <s v="I223410"/>
        <s v="I284663"/>
        <s v="I310764"/>
        <s v="I984094"/>
        <s v="I329309"/>
        <s v="I504418"/>
        <s v="I414748"/>
        <s v="I140941"/>
        <s v="I331255"/>
        <s v="I635863"/>
        <s v="I145950"/>
        <s v="I156396"/>
        <s v="I110863"/>
        <s v="I195139"/>
        <s v="I197485"/>
        <s v="I275229"/>
        <s v="I537776"/>
        <s v="I176751"/>
        <s v="I111885"/>
        <s v="I612951"/>
        <s v="I175718"/>
        <s v="I144789"/>
        <s v="I761305"/>
        <s v="I141156"/>
        <s v="I107561"/>
        <s v="I236755"/>
        <s v="I162742"/>
        <s v="I165835"/>
        <s v="I664547"/>
        <s v="I117234"/>
        <s v="I122887"/>
        <s v="I227270"/>
        <s v="I136612"/>
        <s v="I302744"/>
        <s v="I235037"/>
        <s v="I200856"/>
        <s v="I989622"/>
        <s v="I293412"/>
        <s v="I297270"/>
        <s v="I257504"/>
        <s v="I125533"/>
        <s v="I325619"/>
        <s v="I160194"/>
        <s v="I249807"/>
        <s v="I437134"/>
        <s v="I771414"/>
        <s v="I328774"/>
        <s v="I656537"/>
        <s v="I974106"/>
        <s v="I288385"/>
        <s v="I319795"/>
        <s v="I546886"/>
        <s v="I907754"/>
        <s v="I109824"/>
        <s v="I106915"/>
        <s v="I244445"/>
        <s v="I147734"/>
        <s v="I198746"/>
        <s v="I119262"/>
        <s v="I190889"/>
        <s v="I310429"/>
        <s v="I395632"/>
        <s v="I306740"/>
        <s v="I231062"/>
        <s v="I278299"/>
        <s v="I712882"/>
        <s v="I619128"/>
        <s v="I120515"/>
        <s v="I229027"/>
        <s v="I256485"/>
        <s v="I138654"/>
        <s v="I249682"/>
        <s v="I203880"/>
        <s v="I238403"/>
        <s v="I172349"/>
        <s v="I795590"/>
        <s v="I134279"/>
        <s v="I322748"/>
        <s v="I204946"/>
        <s v="I184632"/>
        <s v="I338359"/>
        <s v="I173033"/>
        <s v="I964173"/>
        <s v="I153481"/>
        <s v="I155958"/>
        <s v="I627174"/>
        <s v="I207089"/>
        <s v="I181742"/>
        <s v="I239753"/>
        <s v="I856190"/>
        <s v="I788501"/>
        <s v="I215044"/>
        <s v="I309393"/>
        <s v="I145533"/>
        <s v="I147591"/>
        <s v="I134879"/>
        <s v="I284957"/>
        <s v="I330396"/>
        <s v="I250414"/>
        <s v="I180250"/>
        <s v="I197262"/>
        <s v="I291779"/>
        <s v="I328599"/>
        <s v="I301107"/>
        <s v="I228873"/>
        <s v="I145668"/>
        <s v="I234591"/>
        <s v="I328466"/>
        <s v="I789424"/>
        <s v="I243311"/>
        <s v="I315920"/>
        <s v="I196493"/>
        <s v="I152217"/>
        <s v="I218554"/>
        <s v="I279621"/>
        <s v="I168562"/>
        <s v="I896994"/>
        <s v="I125078"/>
        <s v="I142348"/>
        <s v="I139837"/>
        <s v="I743449"/>
        <s v="I613345"/>
        <s v="I274795"/>
        <s v="I174058"/>
        <s v="I248154"/>
        <s v="I283132"/>
        <s v="I264460"/>
        <s v="I136069"/>
        <s v="I958799"/>
        <s v="I105737"/>
        <s v="I477382"/>
        <s v="I172381"/>
        <s v="I339525"/>
        <s v="I155073"/>
        <s v="I312730"/>
        <s v="I348930"/>
        <s v="I266070"/>
        <s v="I833379"/>
        <s v="I865912"/>
        <s v="I236726"/>
        <s v="I789374"/>
        <s v="I100793"/>
        <s v="I742907"/>
        <s v="I802719"/>
        <s v="I767878"/>
        <s v="I182849"/>
        <s v="I526958"/>
        <s v="I986488"/>
        <s v="I247908"/>
        <s v="I168101"/>
        <s v="I359881"/>
        <s v="I330454"/>
        <s v="I219678"/>
        <s v="I308961"/>
        <s v="I334774"/>
        <s v="I221737"/>
        <s v="I259713"/>
        <s v="I914583"/>
        <s v="I305743"/>
        <s v="I132711"/>
        <s v="I223205"/>
        <s v="I137685"/>
        <s v="I227528"/>
        <s v="I177782"/>
        <s v="I221715"/>
        <s v="I202051"/>
        <s v="I281903"/>
        <s v="I392591"/>
        <s v="I157930"/>
        <s v="I190262"/>
        <s v="I830912"/>
        <s v="I753083"/>
        <s v="I128667"/>
        <s v="I131391"/>
        <s v="I256231"/>
        <s v="I206043"/>
        <s v="I213514"/>
        <s v="I111440"/>
        <s v="I286030"/>
        <s v="I109684"/>
        <s v="I249223"/>
        <s v="I114000"/>
        <s v="I267453"/>
        <s v="I337046"/>
        <s v="I154008"/>
        <s v="I105200"/>
        <s v="I623121"/>
        <s v="I331753"/>
        <s v="I713320"/>
        <s v="I323277"/>
        <s v="I286656"/>
        <s v="I227743"/>
        <s v="I247883"/>
        <s v="I158028"/>
        <s v="I172298"/>
        <s v="I880555"/>
        <s v="I142340"/>
        <s v="I283443"/>
        <s v="I215669"/>
        <s v="I323948"/>
        <s v="I198579"/>
        <s v="I162737"/>
        <s v="I192819"/>
        <s v="I500621"/>
        <s v="I266640"/>
        <s v="I180106"/>
        <s v="I907229"/>
        <s v="I644610"/>
        <s v="I175188"/>
        <s v="I174681"/>
        <s v="I292698"/>
        <s v="I218263"/>
        <s v="I139191"/>
        <s v="I159376"/>
        <s v="I208859"/>
        <s v="I145734"/>
        <s v="I230370"/>
        <s v="I162107"/>
        <s v="I249962"/>
        <s v="I159844"/>
        <s v="I199547"/>
        <s v="I163528"/>
        <s v="I231792"/>
        <s v="I106860"/>
        <s v="I300373"/>
        <s v="I222791"/>
        <s v="I132264"/>
        <s v="I453767"/>
        <s v="I205542"/>
        <s v="I264668"/>
        <s v="I280387"/>
        <s v="I263871"/>
        <s v="I330371"/>
        <s v="I183747"/>
        <s v="I140282"/>
        <s v="I161715"/>
        <s v="I220277"/>
        <s v="I306408"/>
        <s v="I103368"/>
        <s v="I166626"/>
        <s v="I227454"/>
        <s v="I283591"/>
        <s v="I990095"/>
        <s v="I109938"/>
        <s v="I247534"/>
        <s v="I225327"/>
        <s v="I303719"/>
        <s v="I207643"/>
        <s v="I318377"/>
        <s v="I262474"/>
        <s v="I268013"/>
        <s v="I276206"/>
        <s v="I105770"/>
        <s v="I143233"/>
        <s v="I245998"/>
        <s v="I121110"/>
        <s v="I192281"/>
        <s v="I173875"/>
        <s v="I133116"/>
        <s v="I212720"/>
        <s v="I257460"/>
        <s v="I169342"/>
        <s v="I335956"/>
        <s v="I299654"/>
        <s v="I284445"/>
        <s v="I266757"/>
        <s v="I868512"/>
        <s v="I302199"/>
        <s v="I132371"/>
        <s v="I198546"/>
        <s v="I117673"/>
        <s v="I776367"/>
        <s v="I178380"/>
        <s v="I148030"/>
        <s v="I315422"/>
        <s v="I174999"/>
        <s v="I195795"/>
        <s v="I226485"/>
        <s v="I231266"/>
        <s v="I110965"/>
        <s v="I517431"/>
        <s v="I546394"/>
        <s v="I617812"/>
        <s v="I247504"/>
        <s v="I259399"/>
        <s v="I239492"/>
        <s v="I199302"/>
        <s v="I265426"/>
        <s v="I725938"/>
        <s v="I888427"/>
        <s v="I177200"/>
        <s v="I320477"/>
        <s v="I688566"/>
        <s v="I101152"/>
        <s v="I335616"/>
        <s v="I360069"/>
        <s v="I308951"/>
        <s v="I191633"/>
        <s v="I254330"/>
        <s v="I309846"/>
        <s v="I192436"/>
        <s v="I449060"/>
        <s v="I207690"/>
        <s v="I482432"/>
        <s v="I256151"/>
        <s v="I139207"/>
        <s v="I127282"/>
        <s v="I144366"/>
        <s v="I255425"/>
        <s v="I290772"/>
        <s v="I277078"/>
        <s v="I497262"/>
        <s v="I217053"/>
        <s v="I502816"/>
        <s v="I367525"/>
        <s v="I156483"/>
        <s v="I141178"/>
        <s v="I276926"/>
        <s v="I481063"/>
        <s v="I236683"/>
        <s v="I222910"/>
        <s v="I224038"/>
        <s v="I654750"/>
        <s v="I288084"/>
        <s v="I147428"/>
        <s v="I197827"/>
        <s v="I182240"/>
        <s v="I247471"/>
        <s v="I192835"/>
        <s v="I225017"/>
        <s v="I134675"/>
        <s v="I108180"/>
        <s v="I141055"/>
        <s v="I179759"/>
        <s v="I773952"/>
        <s v="I229355"/>
        <s v="I132170"/>
        <s v="I103917"/>
        <s v="I479937"/>
        <s v="I132893"/>
        <s v="I510694"/>
        <s v="I109024"/>
        <s v="I163206"/>
        <s v="I119466"/>
        <s v="I184175"/>
        <s v="I315978"/>
        <s v="I147688"/>
        <s v="I329561"/>
        <s v="I144375"/>
        <s v="I115338"/>
        <s v="I321968"/>
        <s v="I254379"/>
        <s v="I262542"/>
        <s v="I214284"/>
        <s v="I758949"/>
        <s v="I335631"/>
        <s v="I106997"/>
        <s v="I133667"/>
        <s v="I892880"/>
        <s v="I300878"/>
        <s v="I132661"/>
        <s v="I336363"/>
        <s v="I304272"/>
        <s v="I202697"/>
        <s v="I998839"/>
        <s v="I859051"/>
        <s v="I304483"/>
        <s v="I208213"/>
        <s v="I207950"/>
        <s v="I199562"/>
        <s v="I297697"/>
        <s v="I230886"/>
        <s v="I143754"/>
        <s v="I288980"/>
        <s v="I141877"/>
        <s v="I637277"/>
        <s v="I329049"/>
        <s v="I332242"/>
        <s v="I128121"/>
        <s v="I302654"/>
        <s v="I109229"/>
        <s v="I371992"/>
        <s v="I831550"/>
        <s v="I846225"/>
        <s v="I254977"/>
        <s v="I535226"/>
        <s v="I112705"/>
        <s v="I315400"/>
        <s v="I313384"/>
        <s v="I143441"/>
        <s v="I904168"/>
        <s v="I754891"/>
        <s v="I815372"/>
        <s v="I228263"/>
        <s v="I757911"/>
        <s v="I637675"/>
        <s v="I109352"/>
        <s v="I170466"/>
        <s v="I285454"/>
        <s v="I463821"/>
        <s v="I278329"/>
        <s v="I208631"/>
        <s v="I962867"/>
        <s v="I588887"/>
        <s v="I276581"/>
        <s v="I909616"/>
        <s v="I200302"/>
        <s v="I280218"/>
        <s v="I313110"/>
        <s v="I393459"/>
        <s v="I270546"/>
        <s v="I656535"/>
        <s v="I280654"/>
        <s v="I230405"/>
        <s v="I352678"/>
        <s v="I173532"/>
        <s v="I121818"/>
        <s v="I433335"/>
        <s v="I207706"/>
        <s v="I249964"/>
        <s v="I140109"/>
        <s v="I193336"/>
        <s v="I885979"/>
        <s v="I139682"/>
        <s v="I296251"/>
        <s v="I232968"/>
        <s v="I122973"/>
        <s v="I290172"/>
        <s v="I327095"/>
        <s v="I763131"/>
        <s v="I128387"/>
        <s v="I257625"/>
        <s v="I268477"/>
        <s v="I262510"/>
        <s v="I333167"/>
        <s v="I436005"/>
        <s v="I127144"/>
        <s v="I315095"/>
        <s v="I153499"/>
        <s v="I137657"/>
        <s v="I269324"/>
        <s v="I155076"/>
        <s v="I225004"/>
        <s v="I533529"/>
        <s v="I190493"/>
        <s v="I323427"/>
        <s v="I273219"/>
        <s v="I285089"/>
        <s v="I767583"/>
        <s v="I281772"/>
        <s v="I144146"/>
        <s v="I140537"/>
        <s v="I259093"/>
        <s v="I236941"/>
        <s v="I293529"/>
        <s v="I109014"/>
        <s v="I841597"/>
        <s v="I683611"/>
        <s v="I529969"/>
        <s v="I275519"/>
        <s v="I307317"/>
        <s v="I302951"/>
        <s v="I180666"/>
        <s v="I180332"/>
        <s v="I474661"/>
        <s v="I294123"/>
        <s v="I163422"/>
        <s v="I249926"/>
        <s v="I287209"/>
        <s v="I102100"/>
        <s v="I390879"/>
        <s v="I313454"/>
        <s v="I135368"/>
        <s v="I207413"/>
        <s v="I162411"/>
        <s v="I118248"/>
        <s v="I246166"/>
        <s v="I819275"/>
        <s v="I572568"/>
        <s v="I184884"/>
        <s v="I675065"/>
        <s v="I238464"/>
        <s v="I588534"/>
        <s v="I133365"/>
        <s v="I179438"/>
        <s v="I992454"/>
        <s v="I281217"/>
        <s v="I823672"/>
        <s v="I166306"/>
        <s v="I451225"/>
        <s v="I135286"/>
        <s v="I333383"/>
        <s v="I335659"/>
        <s v="I255980"/>
        <s v="I213283"/>
        <s v="I112083"/>
        <s v="I126095"/>
        <s v="I141190"/>
        <s v="I192025"/>
        <s v="I335541"/>
        <s v="I745019"/>
        <s v="I150282"/>
        <s v="I149766"/>
        <s v="I201864"/>
        <s v="I256543"/>
        <s v="I449374"/>
        <s v="I205330"/>
        <s v="I121631"/>
        <s v="I426757"/>
        <s v="I233231"/>
        <s v="I323969"/>
        <s v="I613315"/>
        <s v="I163721"/>
        <s v="I289344"/>
        <s v="I263390"/>
        <s v="I176112"/>
        <s v="I457448"/>
        <s v="I215573"/>
        <s v="I293800"/>
        <s v="I349832"/>
        <s v="I197676"/>
        <s v="I248042"/>
        <s v="I251930"/>
        <s v="I241422"/>
        <s v="I121868"/>
        <s v="I569333"/>
        <s v="I233245"/>
        <s v="I983925"/>
        <s v="I232447"/>
        <s v="I326054"/>
        <s v="I806416"/>
        <s v="I299645"/>
        <s v="I165509"/>
        <s v="I107644"/>
        <s v="I180746"/>
        <s v="I759716"/>
        <s v="I956680"/>
        <s v="I328192"/>
        <s v="I243941"/>
        <s v="I187578"/>
        <s v="I112960"/>
        <s v="I268040"/>
        <s v="I279033"/>
        <s v="I148061"/>
        <s v="I159071"/>
        <s v="I333997"/>
        <s v="I260784"/>
        <s v="I329009"/>
        <s v="I257437"/>
        <s v="I403397"/>
        <s v="I148194"/>
        <s v="I260545"/>
        <s v="I401746"/>
        <s v="I733066"/>
        <s v="I741972"/>
        <s v="I465087"/>
        <s v="I291610"/>
        <s v="I946492"/>
        <s v="I102610"/>
        <s v="I126102"/>
        <s v="I610232"/>
        <s v="I251452"/>
        <s v="I225402"/>
        <s v="I260047"/>
        <s v="I265689"/>
        <s v="I164727"/>
        <s v="I199878"/>
        <s v="I143372"/>
        <s v="I266121"/>
        <s v="I191664"/>
        <s v="I281070"/>
        <s v="I225296"/>
        <s v="I193049"/>
        <s v="I126489"/>
        <s v="I184992"/>
        <s v="I715444"/>
        <s v="I118213"/>
        <s v="I703816"/>
        <s v="I114077"/>
        <s v="I838599"/>
        <s v="I335087"/>
        <s v="I132001"/>
        <s v="I135183"/>
        <s v="I401939"/>
        <s v="I353272"/>
        <s v="I118402"/>
        <s v="I992506"/>
        <s v="I111917"/>
        <s v="I161945"/>
        <s v="I140460"/>
        <s v="I294156"/>
        <s v="I789368"/>
        <s v="I252815"/>
        <s v="I942927"/>
        <s v="I353294"/>
        <s v="I210526"/>
        <s v="I182803"/>
        <s v="I151701"/>
        <s v="I215184"/>
        <s v="I725048"/>
        <s v="I237508"/>
        <s v="I333444"/>
        <s v="I261811"/>
        <s v="I486233"/>
        <s v="I288981"/>
        <s v="I317983"/>
        <s v="I116601"/>
        <s v="I272974"/>
        <s v="I543510"/>
        <s v="I309213"/>
        <s v="I141384"/>
        <s v="I617738"/>
        <s v="I123490"/>
        <s v="I285498"/>
        <s v="I201923"/>
        <s v="I738149"/>
        <s v="I195815"/>
        <s v="I740676"/>
        <s v="I143267"/>
        <s v="I142939"/>
        <s v="I301962"/>
        <s v="I739573"/>
        <s v="I236439"/>
        <s v="I315203"/>
        <s v="I183240"/>
        <s v="I153578"/>
        <s v="I316775"/>
        <s v="I291704"/>
        <s v="I146518"/>
        <s v="I631189"/>
        <s v="I338153"/>
        <s v="I953834"/>
        <s v="I174942"/>
        <s v="I473341"/>
        <s v="I293171"/>
        <s v="I788763"/>
        <s v="I447913"/>
        <s v="I621864"/>
        <s v="I292157"/>
        <s v="I846632"/>
        <s v="I127024"/>
        <s v="I927649"/>
        <s v="I204229"/>
        <s v="I163620"/>
        <s v="I192587"/>
        <s v="I282574"/>
        <s v="I157056"/>
        <s v="I340006"/>
        <s v="I941707"/>
        <s v="I251648"/>
        <s v="I158873"/>
        <s v="I601645"/>
        <s v="I131648"/>
        <s v="I229333"/>
        <s v="I174574"/>
        <s v="I183229"/>
        <s v="I270491"/>
        <s v="I228443"/>
        <s v="I438142"/>
        <s v="I193884"/>
        <s v="I268616"/>
        <s v="I924055"/>
        <s v="I133545"/>
        <s v="I183583"/>
        <s v="I187125"/>
        <s v="I268075"/>
        <s v="I265066"/>
        <s v="I109901"/>
        <s v="I339216"/>
        <s v="I240951"/>
        <s v="I223461"/>
        <s v="I842493"/>
        <s v="I319220"/>
        <s v="I194823"/>
        <s v="I144218"/>
        <s v="I193684"/>
        <s v="I769140"/>
        <s v="I142568"/>
        <s v="I278368"/>
        <s v="I515485"/>
        <s v="I233406"/>
        <s v="I141382"/>
        <s v="I126431"/>
        <s v="I906841"/>
        <s v="I113079"/>
        <s v="I103248"/>
        <s v="I166617"/>
        <s v="I104473"/>
        <s v="I327849"/>
        <s v="I191945"/>
        <s v="I155911"/>
        <s v="I179102"/>
        <s v="I299925"/>
        <s v="I733060"/>
        <s v="I291470"/>
        <s v="I309510"/>
        <s v="I223051"/>
        <s v="I137934"/>
        <s v="I227538"/>
        <s v="I339450"/>
        <s v="I704328"/>
        <s v="I472275"/>
        <s v="I338238"/>
        <s v="I260507"/>
        <s v="I100466"/>
        <s v="I885570"/>
        <s v="I293078"/>
        <s v="I170928"/>
        <s v="I278935"/>
        <s v="I184399"/>
        <s v="I112064"/>
        <s v="I178585"/>
        <s v="I213589"/>
        <s v="I283957"/>
        <s v="I162186"/>
        <s v="I154516"/>
        <s v="I916921"/>
        <s v="I145501"/>
        <s v="I261374"/>
        <s v="I299788"/>
        <s v="I828106"/>
        <s v="I680856"/>
        <s v="I337563"/>
        <s v="I559295"/>
        <s v="I224371"/>
        <s v="I307645"/>
        <s v="I115416"/>
        <s v="I293442"/>
        <s v="I306735"/>
        <s v="I106674"/>
        <s v="I260137"/>
        <s v="I759120"/>
        <s v="I145520"/>
        <s v="I279030"/>
        <s v="I162813"/>
        <s v="I102521"/>
        <s v="I342850"/>
        <s v="I221242"/>
        <s v="I120850"/>
        <s v="I276670"/>
        <s v="I147044"/>
        <s v="I337678"/>
        <s v="I215907"/>
        <s v="I156934"/>
        <s v="I609583"/>
        <s v="I184156"/>
        <s v="I295552"/>
        <s v="I278554"/>
        <s v="I145216"/>
        <s v="I174250"/>
        <s v="I876463"/>
        <s v="I147716"/>
        <s v="I818298"/>
        <s v="I117926"/>
        <s v="I118678"/>
        <s v="I961655"/>
        <s v="I769746"/>
        <s v="I119979"/>
        <s v="I101658"/>
        <s v="I244311"/>
        <s v="I139848"/>
        <s v="I308263"/>
        <s v="I748092"/>
        <s v="I221217"/>
        <s v="I952079"/>
        <s v="I258993"/>
        <s v="I829630"/>
        <s v="I246845"/>
        <s v="I316629"/>
        <s v="I146110"/>
        <s v="I239037"/>
        <s v="I269415"/>
        <s v="I291579"/>
        <s v="I228933"/>
        <s v="I138016"/>
        <s v="I518691"/>
        <s v="I236042"/>
        <s v="I192193"/>
        <s v="I271897"/>
        <s v="I973848"/>
        <s v="I316344"/>
        <s v="I120030"/>
        <s v="I510579"/>
        <s v="I108125"/>
        <s v="I221992"/>
        <s v="I236380"/>
        <s v="I670680"/>
        <s v="I539167"/>
        <s v="I248896"/>
        <s v="I320916"/>
        <s v="I189963"/>
        <s v="I317937"/>
        <s v="I256048"/>
        <s v="I152888"/>
        <s v="I806397"/>
        <s v="I269524"/>
        <s v="I146548"/>
        <s v="I713758"/>
        <s v="I921064"/>
        <s v="I155577"/>
        <s v="I354486"/>
        <s v="I223449"/>
        <s v="I433905"/>
        <s v="I297517"/>
        <s v="I256494"/>
        <s v="I321015"/>
        <s v="I572573"/>
        <s v="I237136"/>
        <s v="I539829"/>
        <s v="I182326"/>
        <s v="I162679"/>
        <s v="I230511"/>
        <s v="I140097"/>
        <s v="I147035"/>
        <s v="I137332"/>
        <s v="I320267"/>
        <s v="I414032"/>
        <s v="I134374"/>
        <s v="I309503"/>
        <s v="I102776"/>
        <s v="I302650"/>
        <s v="I230980"/>
        <s v="I318292"/>
        <s v="I291375"/>
        <s v="I253061"/>
        <s v="I284169"/>
        <s v="I215752"/>
        <s v="I166156"/>
        <s v="I208192"/>
        <s v="I695490"/>
        <s v="I171065"/>
        <s v="I242050"/>
        <s v="I358942"/>
        <s v="I305973"/>
        <s v="I758084"/>
        <s v="I156332"/>
        <s v="I260807"/>
        <s v="I184483"/>
        <s v="I146384"/>
        <s v="I124922"/>
        <s v="I340662"/>
        <s v="I237041"/>
        <s v="I159121"/>
        <s v="I472551"/>
        <s v="I335519"/>
        <s v="I149659"/>
        <s v="I334956"/>
        <s v="I165687"/>
        <s v="I275036"/>
        <s v="I189789"/>
        <s v="I376269"/>
        <s v="I722991"/>
        <s v="I235944"/>
        <s v="I424872"/>
        <s v="I212744"/>
        <s v="I768380"/>
        <s v="I240256"/>
        <s v="I250922"/>
        <s v="I174249"/>
        <s v="I383351"/>
        <s v="I157335"/>
        <s v="I821672"/>
        <s v="I966297"/>
        <s v="I299382"/>
        <s v="I104033"/>
        <s v="I339725"/>
        <s v="I558827"/>
        <s v="I202345"/>
        <s v="I206495"/>
        <s v="I266379"/>
        <s v="I533014"/>
        <s v="I309566"/>
        <s v="I210424"/>
        <s v="I153766"/>
        <s v="I114573"/>
        <s v="I241785"/>
        <s v="I109605"/>
        <s v="I946289"/>
        <s v="I185923"/>
        <s v="I214148"/>
        <s v="I161875"/>
        <s v="I291415"/>
        <s v="I317100"/>
        <s v="I229768"/>
        <s v="I327085"/>
        <s v="I255698"/>
        <s v="I109097"/>
        <s v="I277401"/>
        <s v="I453737"/>
        <s v="I300065"/>
        <s v="I360075"/>
        <s v="I300487"/>
        <s v="I959566"/>
        <s v="I257160"/>
        <s v="I450748"/>
        <s v="I321262"/>
        <s v="I300557"/>
        <s v="I632385"/>
        <s v="I265597"/>
        <s v="I198486"/>
        <s v="I317544"/>
        <s v="I210426"/>
        <s v="I244506"/>
        <s v="I110254"/>
        <s v="I277194"/>
        <s v="I250410"/>
        <s v="I292633"/>
        <s v="I327863"/>
        <s v="I205490"/>
        <s v="I194563"/>
        <s v="I260028"/>
        <s v="I210904"/>
        <s v="I736678"/>
        <s v="I214045"/>
        <s v="I828940"/>
        <s v="I778619"/>
        <s v="I144052"/>
        <s v="I571614"/>
        <s v="I142738"/>
        <s v="I635603"/>
        <s v="I125652"/>
        <s v="I279073"/>
        <s v="I248912"/>
        <s v="I533062"/>
        <s v="I273975"/>
        <s v="I191815"/>
        <s v="I236741"/>
        <s v="I940475"/>
        <s v="I144681"/>
        <s v="I539150"/>
        <s v="I153391"/>
        <s v="I534709"/>
        <s v="I256148"/>
        <s v="I129026"/>
        <s v="I136452"/>
        <s v="I135059"/>
        <s v="I200317"/>
        <s v="I101433"/>
        <s v="I675999"/>
        <s v="I253181"/>
        <s v="I111017"/>
        <s v="I291062"/>
        <s v="I159717"/>
        <s v="I156562"/>
        <s v="I210712"/>
        <s v="I197604"/>
        <s v="I318374"/>
        <s v="I301432"/>
        <s v="I142039"/>
        <s v="I335039"/>
        <s v="I294101"/>
        <s v="I187058"/>
        <s v="I425988"/>
        <s v="I268044"/>
        <s v="I295482"/>
        <s v="I150911"/>
        <s v="I160380"/>
        <s v="I216616"/>
        <s v="I323614"/>
        <s v="I137223"/>
        <s v="I114943"/>
        <s v="I282013"/>
        <s v="I248840"/>
        <s v="I604337"/>
        <s v="I184190"/>
        <s v="I193404"/>
        <s v="I137131"/>
        <s v="I208560"/>
        <s v="I124087"/>
        <s v="I269598"/>
        <s v="I236157"/>
        <s v="I106088"/>
        <s v="I319827"/>
        <s v="I771861"/>
        <s v="I300222"/>
        <s v="I279688"/>
        <s v="I416450"/>
        <s v="I710533"/>
        <s v="I331099"/>
        <s v="I742540"/>
        <s v="I488609"/>
        <s v="I180570"/>
        <s v="I477622"/>
        <s v="I113403"/>
        <s v="I206554"/>
        <s v="I436061"/>
        <s v="I230611"/>
        <s v="I108939"/>
        <s v="I256688"/>
        <s v="I930775"/>
        <s v="I201709"/>
        <s v="I784337"/>
        <s v="I250489"/>
        <s v="I898132"/>
        <s v="I745357"/>
        <s v="I412880"/>
        <s v="I232052"/>
        <s v="I287018"/>
        <s v="I254609"/>
        <s v="I532224"/>
        <s v="I471569"/>
        <s v="I186298"/>
        <s v="I157037"/>
        <s v="I133741"/>
        <s v="I144046"/>
        <s v="I314213"/>
        <s v="I232389"/>
        <s v="I283774"/>
        <s v="I278640"/>
        <s v="I163760"/>
        <s v="I444314"/>
        <s v="I606143"/>
        <s v="I350517"/>
        <s v="I137571"/>
        <s v="I105974"/>
        <s v="I305940"/>
        <s v="I683165"/>
        <s v="I843249"/>
        <s v="I290158"/>
        <s v="I292401"/>
        <s v="I557352"/>
        <s v="I586051"/>
        <s v="I222699"/>
        <s v="I280017"/>
        <s v="I251313"/>
        <s v="I219544"/>
        <s v="I120407"/>
        <s v="I742965"/>
        <s v="I246053"/>
        <s v="I957640"/>
        <s v="I200500"/>
        <s v="I161020"/>
        <s v="I107255"/>
        <s v="I336924"/>
        <s v="I197797"/>
        <s v="I329270"/>
        <s v="I273192"/>
        <s v="I336379"/>
        <s v="I254075"/>
        <s v="I247576"/>
        <s v="I147387"/>
        <s v="I336937"/>
        <s v="I256870"/>
        <s v="I136610"/>
        <s v="I749809"/>
        <s v="I773075"/>
        <s v="I274434"/>
        <s v="I227511"/>
        <s v="I207711"/>
        <s v="I252034"/>
        <s v="I170558"/>
        <s v="I135803"/>
        <s v="I965366"/>
        <s v="I247265"/>
        <s v="I320639"/>
        <s v="I275501"/>
        <s v="I830007"/>
        <s v="I152340"/>
        <s v="I162588"/>
        <s v="I269344"/>
        <s v="I104663"/>
        <s v="I119685"/>
        <s v="I264291"/>
        <s v="I102408"/>
        <s v="I275051"/>
        <s v="I752293"/>
        <s v="I201969"/>
        <s v="I104737"/>
        <s v="I186443"/>
        <s v="I182300"/>
        <s v="I691767"/>
        <s v="I403579"/>
        <s v="I319942"/>
        <s v="I841419"/>
        <s v="I306015"/>
        <s v="I101193"/>
        <s v="I148824"/>
        <s v="I185055"/>
        <s v="I212305"/>
        <s v="I978388"/>
        <s v="I290546"/>
        <s v="I255471"/>
        <s v="I159994"/>
        <s v="I330920"/>
        <s v="I620781"/>
        <s v="I254142"/>
        <s v="I386563"/>
        <s v="I292201"/>
        <s v="I303277"/>
        <s v="I248784"/>
        <s v="I243732"/>
        <s v="I227550"/>
        <s v="I193724"/>
        <s v="I954071"/>
        <s v="I286233"/>
        <s v="I920171"/>
        <s v="I273212"/>
        <s v="I100487"/>
        <s v="I722915"/>
        <s v="I163225"/>
        <s v="I175653"/>
        <s v="I740038"/>
        <s v="I258195"/>
        <s v="I259165"/>
        <s v="I209837"/>
        <s v="I194540"/>
        <s v="I313995"/>
        <s v="I568015"/>
        <s v="I842920"/>
        <s v="I103488"/>
        <s v="I176773"/>
        <s v="I160651"/>
        <s v="I213801"/>
        <s v="I125033"/>
        <s v="I702847"/>
        <s v="I200255"/>
        <s v="I300947"/>
        <s v="I273164"/>
        <s v="I267411"/>
        <s v="I200702"/>
        <s v="I328770"/>
        <s v="I227160"/>
        <s v="I123728"/>
        <s v="I266123"/>
        <s v="I154195"/>
        <s v="I912888"/>
        <s v="I183356"/>
        <s v="I211362"/>
        <s v="I537062"/>
        <s v="I125627"/>
        <s v="I337110"/>
        <s v="I222933"/>
        <s v="I155993"/>
        <s v="I121625"/>
        <s v="I254446"/>
        <s v="I291530"/>
        <s v="I110317"/>
        <s v="I394801"/>
        <s v="I280155"/>
        <s v="I167759"/>
        <s v="I463177"/>
        <s v="I286992"/>
        <s v="I180632"/>
        <s v="I148439"/>
        <s v="I284345"/>
        <s v="I186732"/>
        <s v="I163719"/>
        <s v="I312173"/>
        <s v="I289953"/>
        <s v="I145324"/>
        <s v="I396897"/>
        <s v="I241671"/>
        <s v="I210070"/>
        <s v="I292651"/>
        <s v="I131814"/>
        <s v="I457421"/>
        <s v="I319058"/>
        <s v="I880901"/>
        <s v="I149873"/>
        <s v="I264369"/>
        <s v="I183578"/>
        <s v="I217504"/>
        <s v="I437827"/>
        <s v="I240455"/>
        <s v="I262105"/>
        <s v="I185259"/>
        <s v="I204158"/>
        <s v="I567976"/>
        <s v="I321706"/>
        <s v="I298054"/>
        <s v="I831916"/>
        <s v="I315324"/>
        <s v="I290073"/>
        <s v="I337809"/>
        <s v="I695392"/>
        <s v="I176872"/>
        <s v="I124666"/>
        <s v="I251990"/>
        <s v="I295440"/>
        <s v="I110911"/>
        <s v="I134568"/>
        <s v="I259196"/>
        <s v="I188753"/>
        <s v="I189042"/>
        <s v="I142574"/>
        <s v="I226154"/>
        <s v="I188687"/>
        <s v="I184280"/>
        <s v="I218416"/>
        <s v="I276210"/>
        <s v="I140531"/>
        <s v="I199956"/>
        <s v="I153556"/>
        <s v="I215724"/>
        <s v="I239421"/>
        <s v="I274883"/>
        <s v="I128257"/>
        <s v="I284869"/>
        <s v="I826511"/>
        <s v="I101472"/>
        <s v="I183379"/>
        <s v="I139083"/>
        <s v="I242997"/>
        <s v="I241793"/>
        <s v="I130124"/>
        <s v="I305164"/>
        <s v="I101525"/>
        <s v="I195320"/>
        <s v="I656719"/>
        <s v="I753100"/>
        <s v="I252159"/>
        <s v="I263088"/>
        <s v="I884545"/>
        <s v="I241877"/>
        <s v="I300372"/>
        <s v="I311751"/>
        <s v="I133633"/>
        <s v="I267937"/>
        <s v="I216426"/>
        <s v="I116479"/>
        <s v="I104144"/>
        <s v="I323478"/>
        <s v="I289550"/>
        <s v="I109155"/>
        <s v="I216148"/>
        <s v="I943576"/>
        <s v="I508712"/>
        <s v="I329514"/>
        <s v="I260437"/>
        <s v="I207870"/>
        <s v="I319997"/>
        <s v="I306230"/>
        <s v="I206688"/>
        <s v="I426763"/>
        <s v="I268032"/>
        <s v="I133928"/>
        <s v="I566804"/>
        <s v="I246274"/>
        <s v="I205906"/>
        <s v="I154954"/>
        <s v="I220119"/>
        <s v="I313885"/>
        <s v="I178721"/>
        <s v="I229635"/>
        <s v="I135278"/>
        <s v="I232339"/>
        <s v="I217342"/>
        <s v="I330964"/>
        <s v="I209706"/>
        <s v="I445705"/>
        <s v="I167849"/>
        <s v="I214331"/>
        <s v="I158453"/>
        <s v="I182066"/>
        <s v="I261177"/>
        <s v="I195001"/>
        <s v="I145091"/>
        <s v="I243264"/>
        <s v="I542451"/>
        <s v="I152436"/>
        <s v="I276799"/>
        <s v="I459807"/>
        <s v="I140909"/>
        <s v="I993048"/>
        <s v="I201980"/>
        <s v="I236908"/>
        <s v="I274650"/>
        <s v="I102559"/>
        <s v="I311331"/>
        <s v="I126925"/>
        <s v="I182116"/>
        <s v="I212054"/>
        <s v="I129391"/>
        <s v="I285599"/>
        <s v="I648743"/>
        <s v="I243110"/>
        <s v="I252747"/>
        <s v="I186428"/>
        <s v="I196659"/>
        <s v="I140663"/>
        <s v="I271886"/>
        <s v="I712438"/>
        <s v="I207276"/>
        <s v="I444015"/>
        <s v="I112038"/>
        <s v="I196915"/>
        <s v="I283016"/>
        <s v="I527111"/>
        <s v="I158815"/>
        <s v="I107984"/>
        <s v="I307391"/>
        <s v="I312304"/>
        <s v="I118234"/>
        <s v="I678904"/>
        <s v="I236721"/>
        <s v="I315532"/>
        <s v="I726807"/>
        <s v="I244429"/>
        <s v="I337119"/>
        <s v="I971862"/>
        <s v="I875334"/>
        <s v="I703740"/>
        <s v="I200558"/>
        <s v="I336070"/>
        <s v="I156510"/>
        <s v="I170540"/>
        <s v="I173201"/>
        <s v="I429412"/>
        <s v="I715947"/>
        <s v="I193060"/>
        <s v="I145366"/>
        <s v="I159228"/>
        <s v="I314468"/>
        <s v="I713258"/>
        <s v="I340326"/>
        <s v="I231894"/>
        <s v="I472508"/>
        <s v="I189373"/>
        <s v="I229152"/>
        <s v="I166110"/>
        <s v="I283779"/>
        <s v="I225038"/>
        <s v="I246989"/>
        <s v="I260439"/>
        <s v="I101865"/>
        <s v="I242091"/>
        <s v="I183746"/>
        <s v="I281349"/>
        <s v="I258322"/>
        <s v="I322692"/>
        <s v="I115757"/>
        <s v="I157079"/>
        <s v="I300689"/>
        <s v="I874028"/>
        <s v="I293034"/>
        <s v="I262324"/>
        <s v="I328428"/>
        <s v="I110341"/>
        <s v="I208412"/>
        <s v="I255952"/>
        <s v="I140043"/>
        <s v="I566701"/>
        <s v="I226345"/>
        <s v="I533184"/>
        <s v="I220157"/>
        <s v="I507743"/>
        <s v="I317873"/>
        <s v="I208609"/>
        <s v="I135483"/>
        <s v="I971792"/>
        <s v="I289287"/>
        <s v="I184695"/>
        <s v="I267024"/>
        <s v="I480105"/>
        <s v="I687382"/>
        <s v="I111460"/>
        <s v="I305212"/>
        <s v="I269942"/>
        <s v="I334469"/>
        <s v="I139541"/>
        <s v="I224813"/>
        <s v="I194729"/>
        <s v="I733224"/>
        <s v="I283492"/>
        <s v="I337072"/>
        <s v="I321180"/>
        <s v="I544365"/>
        <s v="I517380"/>
        <s v="I162119"/>
        <s v="I178021"/>
        <s v="I191148"/>
        <s v="I223855"/>
        <s v="I244993"/>
        <s v="I310819"/>
        <s v="I205970"/>
        <s v="I261603"/>
        <s v="I252084"/>
        <s v="I278295"/>
        <s v="I224428"/>
        <s v="I795164"/>
        <s v="I599893"/>
        <s v="I236787"/>
        <s v="I158657"/>
        <s v="I155338"/>
        <s v="I187189"/>
        <s v="I502744"/>
        <s v="I787879"/>
        <s v="I229530"/>
        <s v="I328229"/>
        <s v="I161668"/>
        <s v="I316963"/>
        <s v="I580242"/>
        <s v="I236520"/>
        <s v="I131433"/>
        <s v="I192394"/>
        <s v="I598012"/>
        <s v="I153908"/>
        <s v="I217191"/>
        <s v="I335613"/>
        <s v="I199660"/>
        <s v="I322768"/>
        <s v="I492903"/>
        <s v="I132097"/>
        <s v="I340111"/>
        <s v="I133111"/>
        <s v="I913436"/>
        <s v="I125877"/>
        <s v="I158270"/>
        <s v="I114871"/>
        <s v="I210509"/>
        <s v="I598832"/>
        <s v="I292465"/>
        <s v="I159901"/>
        <s v="I212186"/>
        <s v="I292396"/>
        <s v="I271539"/>
        <s v="I325809"/>
        <s v="I456351"/>
        <s v="I271309"/>
        <s v="I143709"/>
        <s v="I240824"/>
        <s v="I262505"/>
        <s v="I324752"/>
        <s v="I262788"/>
        <s v="I338183"/>
        <s v="I435727"/>
        <s v="I209362"/>
        <s v="I213789"/>
        <s v="I294343"/>
        <s v="I289611"/>
        <s v="I193038"/>
        <s v="I112259"/>
        <s v="I738948"/>
        <s v="I238119"/>
        <s v="I147079"/>
        <s v="I281848"/>
        <s v="I187632"/>
        <s v="I172725"/>
        <s v="I101351"/>
        <s v="I911945"/>
        <s v="I117980"/>
        <s v="I259878"/>
        <s v="I289203"/>
        <s v="I172235"/>
        <s v="I288431"/>
        <s v="I497489"/>
        <s v="I167327"/>
        <s v="I316308"/>
        <s v="I312946"/>
        <s v="I950992"/>
        <s v="I175669"/>
        <s v="I272406"/>
        <s v="I305520"/>
        <s v="I328623"/>
        <s v="I568599"/>
        <s v="I215279"/>
        <s v="I128742"/>
        <s v="I148062"/>
        <s v="I872774"/>
        <s v="I176706"/>
        <s v="I120957"/>
        <s v="I645260"/>
        <s v="I135614"/>
        <s v="I229176"/>
        <s v="I231192"/>
        <s v="I179951"/>
        <s v="I135204"/>
        <s v="I211075"/>
        <s v="I247538"/>
        <s v="I182847"/>
        <s v="I173895"/>
        <s v="I299367"/>
        <s v="I163397"/>
        <s v="I334250"/>
        <s v="I994416"/>
        <s v="I157441"/>
        <s v="I271749"/>
        <s v="I221195"/>
        <s v="I243146"/>
        <s v="I176351"/>
        <s v="I291495"/>
        <s v="I228293"/>
        <s v="I160257"/>
        <s v="I218590"/>
        <s v="I323407"/>
        <s v="I251509"/>
        <s v="I100357"/>
        <s v="I243503"/>
        <s v="I262363"/>
        <s v="I116997"/>
        <s v="I269267"/>
        <s v="I224300"/>
        <s v="I542569"/>
        <s v="I141939"/>
        <s v="I989294"/>
        <s v="I240844"/>
        <s v="I194672"/>
        <s v="I199432"/>
        <s v="I811288"/>
        <s v="I151233"/>
        <s v="I935474"/>
        <s v="I881027"/>
        <s v="I517785"/>
        <s v="I283775"/>
        <s v="I495331"/>
        <s v="I161637"/>
        <s v="I252595"/>
        <s v="I290379"/>
        <s v="I512937"/>
        <s v="I340068"/>
        <s v="I723062"/>
        <s v="I108615"/>
        <s v="I429281"/>
        <s v="I561923"/>
        <s v="I206026"/>
        <s v="I228583"/>
        <s v="I189159"/>
        <s v="I265452"/>
        <s v="I309952"/>
        <s v="I113453"/>
        <s v="I525485"/>
        <s v="I347417"/>
        <s v="I243399"/>
        <s v="I185216"/>
        <s v="I269022"/>
        <s v="I640508"/>
        <s v="I182152"/>
        <s v="I555520"/>
        <s v="I222105"/>
        <s v="I240702"/>
        <s v="I139028"/>
        <s v="I797149"/>
        <s v="I163013"/>
        <s v="I267027"/>
        <s v="I579651"/>
        <s v="I992148"/>
        <s v="I121928"/>
        <s v="I321278"/>
        <s v="I317012"/>
        <s v="I384332"/>
        <s v="I123560"/>
        <s v="I102730"/>
        <s v="I301504"/>
        <s v="I184743"/>
        <s v="I164358"/>
        <s v="I240463"/>
        <s v="I169684"/>
        <s v="I675073"/>
        <s v="I228261"/>
        <s v="I162598"/>
        <s v="I313187"/>
        <s v="I258456"/>
        <s v="I683509"/>
        <s v="I107973"/>
        <s v="I683077"/>
        <s v="I308532"/>
        <s v="I829179"/>
        <s v="I198906"/>
        <s v="I252035"/>
        <s v="I513478"/>
        <s v="I618224"/>
        <s v="I244117"/>
        <s v="I156674"/>
        <s v="I235337"/>
        <s v="I241813"/>
        <s v="I907490"/>
        <s v="I326712"/>
        <s v="I491443"/>
        <s v="I909061"/>
        <s v="I246562"/>
        <s v="I104527"/>
        <s v="I101555"/>
        <s v="I278286"/>
        <s v="I197896"/>
        <s v="I909905"/>
        <s v="I723638"/>
        <s v="I462436"/>
        <s v="I157748"/>
        <s v="I908041"/>
        <s v="I230039"/>
        <s v="I470990"/>
        <s v="I315180"/>
        <s v="I211845"/>
        <s v="I353551"/>
        <s v="I957885"/>
        <s v="I211015"/>
        <s v="I219690"/>
        <s v="I733046"/>
        <s v="I133518"/>
        <s v="I263340"/>
        <s v="I185190"/>
        <s v="I228379"/>
        <s v="I218288"/>
        <s v="I827306"/>
        <s v="I509979"/>
        <s v="I914346"/>
        <s v="I260973"/>
        <s v="I120038"/>
        <s v="I634354"/>
        <s v="I801414"/>
        <s v="I507491"/>
        <s v="I150306"/>
        <s v="I101624"/>
        <s v="I238508"/>
        <s v="I185316"/>
        <s v="I229187"/>
        <s v="I334897"/>
        <s v="I262617"/>
        <s v="I141761"/>
        <s v="I292020"/>
        <s v="I211751"/>
        <s v="I634948"/>
        <s v="I248752"/>
        <s v="I241966"/>
        <s v="I146069"/>
        <s v="I315882"/>
        <s v="I128275"/>
        <s v="I940367"/>
        <s v="I340101"/>
        <s v="I212489"/>
        <s v="I862534"/>
        <s v="I139920"/>
        <s v="I111118"/>
        <s v="I223924"/>
        <s v="I682927"/>
        <s v="I901575"/>
        <s v="I276696"/>
        <s v="I489671"/>
        <s v="I105255"/>
        <s v="I307728"/>
        <s v="I113396"/>
        <s v="I297614"/>
        <s v="I777931"/>
        <s v="I273712"/>
        <s v="I219336"/>
        <s v="I213045"/>
        <s v="I156176"/>
        <s v="I327287"/>
        <s v="I334459"/>
        <s v="I285597"/>
        <s v="I128465"/>
        <s v="I338384"/>
        <s v="I936118"/>
        <s v="I312524"/>
        <s v="I293167"/>
        <s v="I165529"/>
        <s v="I292049"/>
        <s v="I311403"/>
        <s v="I638444"/>
        <s v="I239362"/>
        <s v="I157087"/>
        <s v="I302905"/>
        <s v="I123315"/>
        <s v="I230936"/>
        <s v="I309989"/>
        <s v="I304512"/>
        <s v="I174740"/>
        <s v="I112826"/>
        <s v="I116626"/>
        <s v="I285618"/>
        <s v="I190006"/>
        <s v="I352350"/>
        <s v="I190848"/>
        <s v="I114891"/>
        <s v="I155860"/>
        <s v="I243235"/>
        <s v="I219428"/>
        <s v="I210564"/>
        <s v="I204862"/>
        <s v="I597660"/>
        <s v="I202842"/>
        <s v="I236117"/>
        <s v="I565725"/>
        <s v="I210581"/>
        <s v="I673892"/>
        <s v="I141069"/>
        <s v="I446481"/>
        <s v="I298605"/>
        <s v="I480974"/>
        <s v="I381818"/>
        <s v="I212059"/>
        <s v="I800106"/>
        <s v="I264261"/>
        <s v="I105206"/>
        <s v="I135566"/>
        <s v="I260671"/>
        <s v="I217008"/>
        <s v="I317719"/>
        <s v="I338248"/>
        <s v="I280426"/>
        <s v="I279124"/>
        <s v="I117284"/>
        <s v="I268823"/>
        <s v="I253992"/>
        <s v="I247933"/>
        <s v="I169030"/>
        <s v="I231403"/>
        <s v="I275907"/>
        <s v="I713680"/>
        <s v="I316205"/>
        <s v="I328822"/>
        <s v="I273292"/>
        <s v="I114499"/>
        <s v="I284796"/>
        <s v="I895460"/>
        <s v="I264927"/>
        <s v="I241525"/>
        <s v="I165959"/>
        <s v="I123554"/>
        <s v="I120923"/>
        <s v="I109964"/>
        <s v="I154006"/>
        <s v="I220604"/>
        <s v="I165461"/>
        <s v="I587311"/>
        <s v="I226732"/>
        <s v="I277232"/>
        <s v="I321891"/>
        <s v="I103389"/>
        <s v="I662663"/>
        <s v="I294463"/>
        <s v="I964266"/>
        <s v="I970588"/>
        <s v="I114131"/>
        <s v="I160298"/>
        <s v="I284083"/>
        <s v="I180791"/>
        <s v="I301404"/>
        <s v="I276138"/>
        <s v="I162242"/>
        <s v="I205540"/>
        <s v="I179596"/>
        <s v="I171114"/>
        <s v="I294302"/>
        <s v="I325668"/>
        <s v="I286054"/>
        <s v="I676997"/>
        <s v="I943403"/>
        <s v="I745257"/>
        <s v="I303863"/>
        <s v="I118535"/>
        <s v="I109053"/>
        <s v="I324094"/>
        <s v="I264182"/>
        <s v="I160932"/>
        <s v="I203033"/>
        <s v="I954741"/>
        <s v="I233367"/>
        <s v="I333566"/>
        <s v="I339994"/>
        <s v="I182570"/>
        <s v="I142893"/>
        <s v="I265048"/>
        <s v="I186487"/>
        <s v="I148544"/>
        <s v="I334389"/>
        <s v="I866270"/>
        <s v="I247187"/>
        <s v="I543223"/>
        <s v="I340252"/>
        <s v="I122429"/>
        <s v="I987661"/>
        <s v="I237236"/>
        <s v="I260987"/>
        <s v="I287024"/>
        <s v="I133952"/>
        <s v="I222491"/>
        <s v="I171104"/>
        <s v="I298515"/>
        <s v="I177664"/>
        <s v="I181277"/>
        <s v="I476430"/>
        <s v="I146425"/>
        <s v="I516081"/>
        <s v="I256981"/>
        <s v="I103765"/>
        <s v="I119469"/>
        <s v="I224978"/>
        <s v="I118330"/>
        <s v="I104152"/>
        <s v="I271043"/>
        <s v="I153092"/>
        <s v="I329914"/>
        <s v="I188658"/>
        <s v="I316955"/>
        <s v="I171758"/>
        <s v="I225753"/>
        <s v="I180748"/>
        <s v="I921232"/>
        <s v="I219193"/>
        <s v="I329011"/>
        <s v="I129602"/>
        <s v="I785275"/>
        <s v="I547257"/>
        <s v="I114178"/>
        <s v="I306362"/>
        <s v="I775499"/>
        <s v="I256731"/>
        <s v="I333045"/>
        <s v="I274448"/>
        <s v="I909164"/>
        <s v="I230830"/>
        <s v="I267824"/>
        <s v="I276261"/>
        <s v="I124614"/>
        <s v="I937305"/>
        <s v="I191110"/>
        <s v="I132490"/>
        <s v="I165583"/>
        <s v="I257283"/>
        <s v="I147075"/>
        <s v="I339024"/>
        <s v="I226750"/>
        <s v="I179672"/>
        <s v="I263671"/>
        <s v="I302850"/>
        <s v="I248487"/>
        <s v="I300350"/>
        <s v="I189663"/>
        <s v="I569878"/>
        <s v="I762293"/>
        <s v="I142204"/>
        <s v="I609226"/>
        <s v="I192500"/>
        <s v="I635383"/>
        <s v="I255292"/>
        <s v="I100541"/>
        <s v="I303250"/>
        <s v="I218472"/>
        <s v="I246375"/>
        <s v="I184371"/>
        <s v="I217650"/>
        <s v="I226656"/>
        <s v="I281122"/>
        <s v="I544933"/>
        <s v="I311224"/>
        <s v="I224122"/>
        <s v="I897591"/>
        <s v="I574864"/>
        <s v="I161564"/>
        <s v="I689076"/>
        <s v="I234239"/>
        <s v="I723155"/>
        <s v="I575449"/>
        <s v="I233994"/>
        <s v="I256959"/>
        <s v="I918115"/>
        <s v="I314573"/>
        <s v="I445521"/>
        <s v="I496998"/>
        <s v="I269574"/>
        <s v="I226955"/>
        <s v="I883721"/>
        <s v="I247839"/>
        <s v="I307157"/>
        <s v="I153790"/>
        <s v="I297249"/>
        <s v="I622113"/>
        <s v="I267553"/>
        <s v="I100364"/>
        <s v="I314713"/>
        <s v="I321373"/>
        <s v="I301972"/>
        <s v="I127961"/>
        <s v="I223697"/>
        <s v="I330792"/>
        <s v="I325201"/>
        <s v="I351888"/>
        <s v="I556661"/>
        <s v="I841663"/>
        <s v="I281908"/>
        <s v="I768883"/>
        <s v="I291230"/>
        <s v="I255939"/>
        <s v="I664787"/>
        <s v="I297395"/>
        <s v="I145647"/>
        <s v="I314226"/>
        <s v="I305330"/>
        <s v="I643316"/>
        <s v="I147157"/>
        <s v="I275767"/>
        <s v="I302895"/>
        <s v="I567798"/>
        <s v="I310772"/>
        <s v="I328955"/>
        <s v="I187874"/>
        <s v="I127540"/>
        <s v="I682173"/>
        <s v="I553936"/>
        <s v="I135899"/>
        <s v="I133215"/>
        <s v="I908200"/>
        <s v="I124597"/>
        <s v="I285633"/>
        <s v="I100313"/>
        <s v="I165932"/>
        <s v="I807175"/>
        <s v="I260538"/>
        <s v="I182578"/>
        <s v="I195635"/>
        <s v="I165991"/>
        <s v="I302688"/>
        <s v="I852985"/>
        <s v="I824769"/>
        <s v="I437431"/>
        <s v="I836701"/>
        <s v="I123656"/>
        <s v="I400801"/>
        <s v="I192662"/>
        <s v="I213042"/>
        <s v="I286934"/>
        <s v="I254815"/>
        <s v="I161686"/>
        <s v="I113342"/>
        <s v="I298946"/>
        <s v="I184153"/>
        <s v="I198895"/>
        <s v="I342816"/>
        <s v="I628166"/>
        <s v="I240617"/>
        <s v="I246170"/>
        <s v="I109012"/>
        <s v="I318268"/>
        <s v="I118806"/>
        <s v="I176043"/>
        <s v="I319624"/>
        <s v="I314695"/>
        <s v="I178373"/>
        <s v="I172940"/>
        <s v="I654306"/>
        <s v="I158291"/>
        <s v="I279714"/>
        <s v="I567137"/>
        <s v="I156229"/>
        <s v="I168022"/>
        <s v="I281802"/>
        <s v="I116624"/>
        <s v="I205408"/>
        <s v="I298664"/>
        <s v="I178072"/>
        <s v="I304830"/>
        <s v="I891311"/>
        <s v="I492262"/>
        <s v="I678176"/>
        <s v="I208490"/>
        <s v="I178746"/>
        <s v="I941280"/>
        <s v="I306368"/>
        <s v="I211775"/>
        <s v="I310846"/>
        <s v="I325796"/>
        <s v="I737451"/>
        <s v="I225178"/>
        <s v="I194375"/>
        <s v="I972825"/>
        <s v="I251307"/>
        <s v="I854052"/>
        <s v="I254324"/>
        <s v="I470317"/>
        <s v="I318757"/>
        <s v="I100593"/>
        <s v="I253083"/>
        <s v="I263519"/>
        <s v="I275585"/>
        <s v="I230127"/>
        <s v="I141434"/>
        <s v="I442054"/>
        <s v="I182110"/>
        <s v="I279882"/>
        <s v="I114550"/>
        <s v="I935961"/>
        <s v="I157644"/>
        <s v="I223435"/>
        <s v="I115449"/>
        <s v="I202056"/>
        <s v="I167575"/>
        <s v="I166473"/>
        <s v="I305513"/>
        <s v="I174015"/>
        <s v="I121803"/>
        <s v="I315848"/>
        <s v="I147006"/>
        <s v="I328941"/>
        <s v="I875030"/>
        <s v="I340149"/>
        <s v="I255433"/>
        <s v="I286371"/>
        <s v="I714091"/>
        <s v="I189306"/>
        <s v="I534258"/>
        <s v="I293887"/>
        <s v="I679206"/>
        <s v="I254938"/>
        <s v="I602106"/>
        <s v="I212437"/>
        <s v="I240500"/>
        <s v="I289704"/>
        <s v="I138884"/>
        <s v="I170112"/>
        <s v="I277739"/>
        <s v="I397250"/>
        <s v="I907952"/>
        <s v="I266448"/>
        <s v="I326582"/>
        <s v="I162794"/>
        <s v="I147284"/>
        <s v="I117765"/>
        <s v="I959992"/>
        <s v="I168483"/>
        <s v="I159574"/>
        <s v="I228785"/>
        <s v="I888458"/>
        <s v="I333606"/>
        <s v="I151540"/>
        <s v="I152043"/>
        <s v="I111719"/>
        <s v="I291389"/>
        <s v="I205366"/>
        <s v="I264819"/>
        <s v="I439223"/>
        <s v="I806714"/>
        <s v="I132135"/>
        <s v="I192063"/>
        <s v="I264186"/>
        <s v="I118757"/>
        <s v="I179417"/>
        <s v="I125704"/>
        <s v="I165771"/>
        <s v="I197932"/>
        <s v="I324423"/>
        <s v="I167148"/>
        <s v="I834928"/>
        <s v="I295721"/>
        <s v="I138426"/>
        <s v="I509314"/>
        <s v="I196941"/>
        <s v="I334188"/>
        <s v="I920924"/>
        <s v="I306394"/>
        <s v="I840535"/>
        <s v="I249320"/>
        <s v="I591945"/>
        <s v="I242823"/>
        <s v="I242004"/>
        <s v="I354638"/>
        <s v="I112067"/>
        <s v="I177680"/>
        <s v="I331084"/>
        <s v="I113767"/>
        <s v="I102075"/>
        <s v="I148329"/>
        <s v="I193271"/>
        <s v="I106687"/>
        <s v="I252806"/>
        <s v="I266499"/>
        <s v="I234636"/>
        <s v="I323465"/>
        <s v="I329721"/>
        <s v="I162734"/>
        <s v="I122185"/>
        <s v="I224355"/>
        <s v="I823227"/>
        <s v="I127148"/>
        <s v="I279551"/>
        <s v="I304302"/>
        <s v="I140404"/>
        <s v="I261166"/>
        <s v="I174781"/>
        <s v="I222463"/>
        <s v="I260704"/>
        <s v="I140651"/>
        <s v="I325154"/>
        <s v="I787365"/>
        <s v="I762381"/>
        <s v="I288481"/>
        <s v="I186045"/>
        <s v="I198910"/>
        <s v="I167879"/>
        <s v="I197190"/>
        <s v="I153382"/>
        <s v="I170160"/>
        <s v="I109774"/>
        <s v="I631901"/>
        <s v="I152228"/>
        <s v="I316612"/>
        <s v="I854893"/>
        <s v="I378032"/>
        <s v="I143353"/>
        <s v="I179001"/>
        <s v="I219809"/>
        <s v="I142003"/>
        <s v="I174489"/>
        <s v="I164470"/>
        <s v="I796389"/>
        <s v="I273207"/>
        <s v="I112270"/>
        <s v="I125700"/>
        <s v="I750875"/>
        <s v="I165654"/>
        <s v="I255881"/>
        <s v="I234673"/>
        <s v="I107705"/>
        <s v="I325366"/>
        <s v="I205500"/>
        <s v="I109770"/>
        <s v="I160545"/>
        <s v="I245989"/>
        <s v="I225893"/>
        <s v="I263686"/>
        <s v="I339810"/>
        <s v="I144806"/>
        <s v="I147305"/>
        <s v="I228011"/>
        <s v="I224742"/>
        <s v="I141278"/>
        <s v="I147062"/>
        <s v="I293170"/>
        <s v="I189797"/>
        <s v="I249823"/>
        <s v="I145987"/>
        <s v="I468361"/>
        <s v="I182101"/>
        <s v="I300541"/>
        <s v="I127088"/>
        <s v="I321071"/>
        <s v="I121828"/>
        <s v="I470450"/>
        <s v="I168146"/>
        <s v="I114437"/>
        <s v="I227931"/>
        <s v="I229457"/>
        <s v="I338249"/>
        <s v="I381519"/>
        <s v="I731911"/>
        <s v="I260326"/>
        <s v="I335650"/>
        <s v="I144150"/>
        <s v="I147481"/>
        <s v="I169143"/>
        <s v="I240382"/>
        <s v="I321103"/>
        <s v="I268882"/>
        <s v="I158553"/>
        <s v="I169427"/>
        <s v="I107355"/>
        <s v="I940151"/>
        <s v="I218763"/>
        <s v="I273366"/>
        <s v="I131688"/>
        <s v="I953811"/>
        <s v="I175312"/>
        <s v="I508173"/>
        <s v="I113728"/>
        <s v="I108695"/>
        <s v="I279474"/>
        <s v="I229318"/>
        <s v="I448498"/>
        <s v="I305859"/>
        <s v="I279968"/>
        <s v="I310227"/>
        <s v="I268666"/>
        <s v="I434161"/>
        <s v="I884261"/>
        <s v="I275965"/>
        <s v="I316249"/>
        <s v="I504429"/>
        <s v="I289789"/>
        <s v="I117192"/>
        <s v="I224689"/>
        <s v="I907971"/>
        <s v="I573734"/>
        <s v="I167528"/>
        <s v="I239751"/>
        <s v="I283910"/>
        <s v="I129302"/>
        <s v="I327129"/>
        <s v="I344433"/>
        <s v="I563052"/>
        <s v="I282685"/>
        <s v="I138828"/>
        <s v="I338366"/>
        <s v="I118539"/>
        <s v="I130995"/>
        <s v="I145018"/>
        <s v="I412259"/>
        <s v="I258356"/>
        <s v="I116287"/>
        <s v="I122060"/>
        <s v="I102737"/>
        <s v="I229018"/>
        <s v="I233105"/>
        <s v="I538953"/>
        <s v="I299869"/>
        <s v="I246402"/>
        <s v="I308034"/>
        <s v="I953720"/>
        <s v="I183840"/>
        <s v="I248538"/>
        <s v="I942584"/>
        <s v="I310415"/>
        <s v="I613571"/>
        <s v="I273156"/>
        <s v="I153656"/>
        <s v="I189942"/>
        <s v="I106866"/>
        <s v="I106330"/>
        <s v="I229390"/>
        <s v="I176625"/>
        <s v="I283971"/>
        <s v="I355386"/>
        <s v="I105081"/>
        <s v="I333100"/>
        <s v="I149601"/>
        <s v="I137646"/>
        <s v="I171186"/>
        <s v="I201818"/>
        <s v="I854147"/>
        <s v="I310514"/>
        <s v="I326733"/>
        <s v="I170015"/>
        <s v="I115585"/>
        <s v="I333791"/>
        <s v="I237083"/>
        <s v="I148039"/>
        <s v="I202854"/>
        <s v="I209629"/>
        <s v="I275670"/>
        <s v="I283789"/>
        <s v="I126737"/>
        <s v="I265860"/>
        <s v="I151488"/>
        <s v="I133661"/>
        <s v="I925190"/>
        <s v="I807536"/>
        <s v="I576277"/>
        <s v="I241369"/>
        <s v="I295424"/>
        <s v="I263358"/>
        <s v="I339430"/>
        <s v="I255774"/>
        <s v="I110183"/>
        <s v="I222938"/>
        <s v="I304380"/>
        <s v="I777810"/>
        <s v="I440546"/>
        <s v="I231445"/>
        <s v="I245614"/>
        <s v="I197401"/>
        <s v="I726482"/>
        <s v="I950429"/>
        <s v="I190092"/>
        <s v="I114177"/>
        <s v="I926542"/>
        <s v="I116614"/>
        <s v="I846963"/>
        <s v="I251763"/>
        <s v="I210074"/>
        <s v="I197620"/>
        <s v="I741054"/>
        <s v="I329784"/>
        <s v="I133496"/>
        <s v="I599128"/>
        <s v="I465045"/>
        <s v="I288760"/>
        <s v="I128927"/>
        <s v="I343920"/>
        <s v="I223568"/>
        <s v="I289270"/>
        <s v="I168116"/>
        <s v="I439294"/>
        <s v="I824854"/>
        <s v="I222357"/>
        <s v="I682596"/>
        <s v="I211711"/>
        <s v="I129773"/>
        <s v="I190686"/>
        <s v="I226026"/>
        <s v="I335632"/>
        <s v="I275623"/>
        <s v="I788206"/>
        <s v="I707253"/>
        <s v="I200289"/>
        <s v="I304506"/>
        <s v="I745394"/>
        <s v="I216844"/>
        <s v="I651154"/>
        <s v="I307334"/>
        <s v="I316501"/>
        <s v="I205041"/>
        <s v="I242727"/>
        <s v="I285735"/>
        <s v="I173395"/>
        <s v="I177050"/>
        <s v="I142134"/>
        <s v="I581832"/>
        <s v="I280133"/>
        <s v="I135338"/>
        <s v="I300597"/>
        <s v="I294211"/>
        <s v="I179434"/>
        <s v="I254105"/>
        <s v="I228636"/>
        <s v="I853355"/>
        <s v="I904046"/>
        <s v="I540823"/>
        <s v="I170927"/>
        <s v="I271032"/>
        <s v="I883811"/>
        <s v="I337488"/>
        <s v="I338286"/>
        <s v="I970794"/>
        <s v="I144171"/>
        <s v="I325667"/>
        <s v="I191678"/>
        <s v="I915945"/>
        <s v="I187954"/>
        <s v="I307208"/>
        <s v="I111544"/>
        <s v="I133821"/>
        <s v="I267545"/>
        <s v="I151099"/>
        <s v="I259928"/>
        <s v="I232704"/>
        <s v="I102886"/>
        <s v="I163827"/>
        <s v="I399563"/>
        <s v="I132877"/>
        <s v="I296800"/>
        <s v="I149158"/>
        <s v="I205271"/>
        <s v="I545654"/>
        <s v="I271973"/>
        <s v="I491489"/>
        <s v="I392220"/>
        <s v="I351506"/>
        <s v="I316054"/>
        <s v="I320096"/>
        <s v="I170200"/>
        <s v="I157750"/>
        <s v="I209744"/>
        <s v="I139342"/>
        <s v="I172641"/>
        <s v="I206307"/>
        <s v="I289891"/>
        <s v="I313742"/>
        <s v="I121795"/>
        <s v="I258186"/>
        <s v="I251794"/>
        <s v="I189976"/>
        <s v="I202792"/>
        <s v="I310814"/>
        <s v="I739067"/>
        <s v="I197295"/>
        <s v="I211035"/>
        <s v="I479228"/>
        <s v="I152483"/>
        <s v="I240050"/>
        <s v="I320229"/>
        <s v="I220444"/>
        <s v="I454912"/>
        <s v="I110844"/>
        <s v="I430525"/>
        <s v="I979197"/>
        <s v="I652436"/>
        <s v="I214984"/>
        <s v="I163005"/>
        <s v="I304157"/>
        <s v="I148800"/>
        <s v="I604905"/>
        <s v="I134524"/>
        <s v="I204684"/>
        <s v="I786441"/>
        <s v="I272016"/>
        <s v="I235786"/>
        <s v="I938538"/>
        <s v="I305844"/>
        <s v="I965361"/>
        <s v="I493539"/>
        <s v="I229690"/>
        <s v="I240857"/>
        <s v="I168429"/>
        <s v="I227452"/>
        <s v="I289161"/>
        <s v="I231784"/>
        <s v="I256916"/>
        <s v="I211489"/>
        <s v="I204147"/>
        <s v="I147750"/>
        <s v="I252340"/>
        <s v="I177479"/>
        <s v="I827766"/>
        <s v="I144887"/>
        <s v="I323635"/>
        <s v="I323286"/>
        <s v="I328455"/>
        <s v="I872574"/>
        <s v="I284094"/>
        <s v="I261290"/>
        <s v="I112931"/>
        <s v="I224712"/>
        <s v="I478385"/>
        <s v="I244714"/>
        <s v="I246348"/>
        <s v="I139308"/>
        <s v="I261029"/>
        <s v="I292313"/>
        <s v="I279942"/>
        <s v="I324851"/>
        <s v="I307376"/>
        <s v="I103308"/>
        <s v="I791906"/>
        <s v="I159912"/>
        <s v="I799294"/>
        <s v="I894668"/>
        <s v="I276989"/>
        <s v="I138961"/>
        <s v="I185484"/>
        <s v="I623946"/>
        <s v="I214165"/>
        <s v="I210700"/>
        <s v="I231156"/>
        <s v="I212970"/>
        <s v="I274755"/>
        <s v="I180839"/>
        <s v="I171656"/>
        <s v="I338518"/>
        <s v="I160539"/>
        <s v="I284879"/>
        <s v="I108359"/>
        <s v="I267683"/>
        <s v="I242512"/>
        <s v="I210221"/>
        <s v="I635168"/>
        <s v="I287643"/>
        <s v="I202868"/>
        <s v="I258931"/>
        <s v="I329045"/>
        <s v="I151560"/>
        <s v="I138888"/>
        <s v="I505078"/>
        <s v="I988477"/>
        <s v="I228276"/>
        <s v="I769237"/>
        <s v="I317820"/>
        <s v="I336053"/>
        <s v="I466322"/>
        <s v="I184493"/>
        <s v="I252366"/>
        <s v="I221655"/>
        <s v="I275256"/>
        <s v="I164665"/>
        <s v="I172175"/>
        <s v="I319110"/>
        <s v="I129050"/>
        <s v="I331409"/>
        <s v="I153004"/>
        <s v="I337710"/>
        <s v="I200440"/>
        <s v="I154160"/>
        <s v="I251865"/>
        <s v="I157207"/>
        <s v="I332108"/>
        <s v="I191853"/>
        <s v="I574237"/>
        <s v="I207792"/>
        <s v="I825155"/>
        <s v="I206167"/>
        <s v="I202398"/>
        <s v="I869543"/>
        <s v="I735112"/>
        <s v="I172517"/>
        <s v="I306422"/>
        <s v="I134258"/>
        <s v="I204623"/>
        <s v="I228911"/>
        <s v="I312520"/>
        <s v="I572503"/>
        <s v="I261639"/>
        <s v="I306150"/>
        <s v="I330904"/>
        <s v="I536684"/>
        <s v="I176192"/>
        <s v="I731511"/>
        <s v="I123522"/>
        <s v="I431112"/>
        <s v="I183631"/>
        <s v="I642158"/>
        <s v="I267167"/>
        <s v="I133396"/>
        <s v="I312466"/>
        <s v="I123471"/>
        <s v="I120644"/>
        <s v="I278750"/>
        <s v="I998832"/>
        <s v="I317850"/>
        <s v="I838073"/>
        <s v="I784429"/>
        <s v="I235098"/>
        <s v="I195981"/>
        <s v="I406748"/>
        <s v="I778549"/>
        <s v="I322854"/>
        <s v="I454239"/>
        <s v="I580278"/>
        <s v="I131054"/>
        <s v="I333263"/>
        <s v="I237550"/>
        <s v="I194798"/>
        <s v="I146743"/>
        <s v="I215014"/>
        <s v="I176989"/>
        <s v="I168251"/>
        <s v="I308594"/>
        <s v="I322988"/>
        <s v="I260525"/>
        <s v="I174678"/>
        <s v="I243729"/>
        <s v="I304020"/>
        <s v="I191116"/>
        <s v="I118000"/>
        <s v="I191403"/>
        <s v="I251855"/>
        <s v="I226957"/>
        <s v="I102371"/>
        <s v="I694304"/>
        <s v="I266017"/>
        <s v="I490952"/>
        <s v="I492848"/>
        <s v="I262830"/>
        <s v="I105769"/>
        <s v="I211911"/>
        <s v="I286523"/>
        <s v="I185510"/>
        <s v="I172756"/>
        <s v="I311309"/>
        <s v="I175688"/>
        <s v="I779382"/>
        <s v="I299894"/>
        <s v="I189899"/>
        <s v="I995914"/>
        <s v="I323323"/>
        <s v="I226548"/>
        <s v="I312120"/>
        <s v="I180984"/>
        <s v="I209920"/>
        <s v="I257890"/>
        <s v="I301884"/>
        <s v="I103594"/>
        <s v="I221555"/>
        <s v="I359519"/>
        <s v="I195610"/>
        <s v="I527648"/>
        <s v="I263555"/>
        <s v="I246470"/>
        <s v="I163830"/>
        <s v="I908600"/>
        <s v="I163771"/>
        <s v="I404306"/>
        <s v="I338169"/>
        <s v="I167157"/>
        <s v="I747491"/>
        <s v="I902662"/>
        <s v="I844366"/>
        <s v="I227112"/>
        <s v="I199791"/>
        <s v="I221631"/>
        <s v="I232938"/>
        <s v="I193113"/>
        <s v="I223446"/>
        <s v="I229172"/>
        <s v="I995407"/>
        <s v="I124576"/>
        <s v="I244653"/>
        <s v="I936915"/>
        <s v="I197354"/>
        <s v="I860717"/>
        <s v="I137526"/>
        <s v="I322457"/>
        <s v="I269923"/>
        <s v="I294226"/>
        <s v="I457241"/>
        <s v="I317462"/>
        <s v="I251184"/>
        <s v="I271175"/>
        <s v="I257168"/>
        <s v="I124751"/>
        <s v="I295281"/>
        <s v="I140001"/>
        <s v="I774205"/>
        <s v="I186666"/>
        <s v="I301451"/>
        <s v="I186611"/>
        <s v="I173120"/>
        <s v="I563988"/>
        <s v="I119281"/>
        <s v="I328590"/>
        <s v="I119613"/>
        <s v="I151181"/>
        <s v="I236815"/>
        <s v="I100735"/>
        <s v="I221501"/>
        <s v="I167153"/>
        <s v="I167642"/>
        <s v="I814282"/>
        <s v="I332582"/>
        <s v="I294925"/>
        <s v="I105807"/>
        <s v="I129260"/>
        <s v="I199384"/>
        <s v="I632219"/>
        <s v="I132182"/>
        <s v="I116237"/>
        <s v="I253080"/>
        <s v="I909072"/>
        <s v="I158638"/>
        <s v="I295964"/>
        <s v="I101832"/>
        <s v="I707819"/>
        <s v="I498026"/>
        <s v="I135205"/>
        <s v="I215362"/>
        <s v="I147013"/>
        <s v="I912324"/>
        <s v="I266784"/>
        <s v="I198402"/>
        <s v="I144412"/>
        <s v="I221374"/>
        <s v="I164695"/>
        <s v="I705401"/>
        <s v="I704384"/>
        <s v="I461943"/>
        <s v="I100614"/>
        <s v="I245312"/>
        <s v="I335244"/>
        <s v="I228888"/>
        <s v="I167718"/>
        <s v="I268073"/>
        <s v="I323259"/>
        <s v="I198802"/>
        <s v="I252777"/>
        <s v="I133403"/>
        <s v="I114664"/>
        <s v="I177104"/>
        <s v="I133637"/>
        <s v="I850294"/>
        <s v="I213763"/>
        <s v="I336434"/>
        <s v="I305509"/>
        <s v="I112478"/>
        <s v="I106271"/>
        <s v="I335001"/>
        <s v="I278655"/>
        <s v="I304531"/>
        <s v="I184484"/>
        <s v="I215654"/>
        <s v="I264838"/>
        <s v="I209231"/>
        <s v="I488800"/>
        <s v="I208751"/>
        <s v="I304944"/>
        <s v="I222358"/>
        <s v="I304108"/>
        <s v="I160463"/>
        <s v="I248898"/>
        <s v="I217383"/>
        <s v="I133464"/>
        <s v="I115242"/>
        <s v="I298130"/>
        <s v="I272195"/>
        <s v="I142196"/>
        <s v="I828217"/>
        <s v="I338569"/>
        <s v="I177082"/>
        <s v="I433688"/>
        <s v="I233553"/>
        <s v="I236615"/>
        <s v="I177918"/>
        <s v="I264939"/>
        <s v="I174241"/>
        <s v="I884668"/>
        <s v="I162399"/>
        <s v="I177868"/>
        <s v="I173288"/>
        <s v="I202687"/>
        <s v="I256253"/>
        <s v="I702817"/>
        <s v="I118084"/>
        <s v="I245646"/>
        <s v="I205964"/>
        <s v="I771180"/>
        <s v="I115640"/>
        <s v="I309920"/>
        <s v="I167014"/>
        <s v="I309813"/>
        <s v="I314064"/>
        <s v="I987243"/>
        <s v="I105585"/>
        <s v="I960185"/>
        <s v="I190845"/>
        <s v="I272322"/>
        <s v="I509775"/>
        <s v="I266997"/>
        <s v="I319572"/>
        <s v="I909928"/>
        <s v="I174723"/>
        <s v="I632642"/>
        <s v="I210034"/>
        <s v="I769845"/>
        <s v="I138200"/>
        <s v="I362416"/>
        <s v="I294891"/>
        <s v="I112108"/>
        <s v="I149132"/>
        <s v="I294353"/>
        <s v="I313413"/>
        <s v="I211723"/>
        <s v="I203099"/>
        <s v="I178089"/>
        <s v="I710720"/>
        <s v="I123432"/>
        <s v="I323413"/>
        <s v="I122368"/>
        <s v="I233133"/>
        <s v="I262566"/>
        <s v="I487178"/>
        <s v="I153466"/>
        <s v="I282695"/>
        <s v="I324532"/>
        <s v="I113808"/>
        <s v="I346029"/>
        <s v="I246114"/>
        <s v="I478428"/>
        <s v="I225758"/>
        <s v="I192856"/>
        <s v="I366168"/>
        <s v="I115679"/>
        <s v="I224840"/>
        <s v="I833827"/>
        <s v="I127801"/>
        <s v="I204088"/>
        <s v="I482762"/>
        <s v="I277348"/>
        <s v="I210726"/>
        <s v="I331559"/>
        <s v="I102284"/>
        <s v="I237433"/>
        <s v="I313739"/>
        <s v="I191967"/>
        <s v="I263279"/>
        <s v="I129963"/>
        <s v="I296899"/>
        <s v="I150521"/>
        <s v="I219555"/>
        <s v="I688460"/>
        <s v="I225155"/>
        <s v="I237482"/>
        <s v="I122274"/>
        <s v="I180914"/>
        <s v="I310539"/>
        <s v="I948837"/>
        <s v="I315416"/>
        <s v="I276020"/>
        <s v="I942018"/>
        <s v="I133579"/>
        <s v="I235828"/>
        <s v="I299537"/>
        <s v="I281474"/>
        <s v="I186700"/>
        <s v="I196870"/>
        <s v="I107963"/>
        <s v="I299483"/>
        <s v="I264760"/>
        <s v="I155250"/>
        <s v="I988120"/>
        <s v="I113500"/>
        <s v="I753009"/>
        <s v="I131869"/>
        <s v="I300807"/>
        <s v="I211758"/>
        <s v="I752673"/>
        <s v="I147871"/>
        <s v="I129769"/>
        <s v="I756748"/>
        <s v="I940840"/>
        <s v="I247847"/>
        <s v="I220336"/>
        <s v="I760220"/>
        <s v="I408750"/>
        <s v="I166657"/>
        <s v="I257349"/>
        <s v="I237669"/>
        <s v="I203178"/>
        <s v="I283610"/>
        <s v="I103559"/>
        <s v="I180457"/>
        <s v="I154220"/>
        <s v="I283507"/>
        <s v="I426443"/>
        <s v="I556390"/>
        <s v="I218828"/>
        <s v="I101185"/>
        <s v="I331046"/>
        <s v="I288878"/>
        <s v="I640051"/>
        <s v="I233609"/>
        <s v="I868386"/>
        <s v="I593416"/>
        <s v="I175764"/>
        <s v="I110135"/>
        <s v="I690350"/>
        <s v="I296672"/>
        <s v="I462596"/>
        <s v="I657367"/>
        <s v="I172592"/>
        <s v="I314938"/>
        <s v="I337848"/>
        <s v="I288152"/>
        <s v="I218398"/>
        <s v="I209250"/>
        <s v="I519010"/>
        <s v="I284965"/>
        <s v="I330798"/>
        <s v="I294793"/>
        <s v="I293153"/>
        <s v="I164233"/>
        <s v="I148769"/>
        <s v="I148980"/>
        <s v="I216982"/>
        <s v="I876334"/>
        <s v="I326604"/>
        <s v="I217824"/>
        <s v="I242648"/>
        <s v="I261172"/>
        <s v="I206503"/>
        <s v="I101953"/>
        <s v="I179048"/>
        <s v="I311902"/>
        <s v="I255143"/>
        <s v="I184976"/>
        <s v="I299356"/>
        <s v="I176550"/>
        <s v="I318626"/>
        <s v="I653552"/>
        <s v="I200413"/>
        <s v="I241690"/>
        <s v="I224349"/>
        <s v="I311467"/>
        <s v="I325313"/>
        <s v="I210745"/>
        <s v="I211823"/>
        <s v="I973505"/>
        <s v="I167622"/>
        <s v="I126150"/>
        <s v="I896013"/>
        <s v="I745047"/>
        <s v="I265477"/>
        <s v="I151977"/>
        <s v="I205893"/>
        <s v="I707747"/>
        <s v="I494165"/>
        <s v="I664068"/>
        <s v="I252115"/>
        <s v="I985808"/>
        <s v="I295193"/>
        <s v="I867460"/>
        <s v="I157494"/>
        <s v="I244118"/>
        <s v="I294018"/>
        <s v="I193254"/>
        <s v="I283199"/>
        <s v="I115131"/>
        <s v="I189660"/>
        <s v="I211225"/>
        <s v="I115301"/>
        <s v="I132694"/>
        <s v="I111242"/>
        <s v="I223863"/>
        <s v="I184463"/>
        <s v="I214040"/>
        <s v="I122320"/>
        <s v="I328321"/>
        <s v="I166996"/>
        <s v="I190713"/>
        <s v="I359051"/>
        <s v="I168438"/>
        <s v="I202248"/>
        <s v="I203772"/>
        <s v="I137334"/>
        <s v="I253679"/>
        <s v="I307102"/>
        <s v="I249025"/>
        <s v="I328925"/>
        <s v="I937750"/>
        <s v="I271715"/>
        <s v="I199851"/>
        <s v="I300709"/>
        <s v="I225986"/>
        <s v="I324047"/>
        <s v="I228474"/>
        <s v="I275218"/>
        <s v="I378817"/>
        <s v="I742558"/>
        <s v="I198312"/>
        <s v="I153451"/>
        <s v="I257612"/>
        <s v="I393839"/>
        <s v="I240532"/>
        <s v="I163948"/>
        <s v="I180372"/>
        <s v="I294644"/>
        <s v="I177797"/>
        <s v="I312185"/>
        <s v="I208260"/>
        <s v="I186578"/>
        <s v="I173175"/>
        <s v="I222861"/>
        <s v="I266220"/>
        <s v="I122632"/>
        <s v="I133387"/>
        <s v="I324785"/>
        <s v="I367825"/>
        <s v="I212421"/>
        <s v="I194113"/>
        <s v="I111840"/>
        <s v="I232233"/>
        <s v="I269052"/>
        <s v="I142263"/>
        <s v="I109848"/>
        <s v="I780362"/>
        <s v="I241970"/>
        <s v="I172841"/>
        <s v="I550392"/>
        <s v="I304143"/>
        <s v="I133449"/>
        <s v="I325396"/>
        <s v="I166223"/>
        <s v="I373839"/>
        <s v="I275139"/>
        <s v="I308730"/>
        <s v="I287543"/>
        <s v="I133393"/>
        <s v="I292701"/>
        <s v="I724358"/>
        <s v="I235877"/>
        <s v="I346405"/>
        <s v="I297587"/>
        <s v="I166482"/>
        <s v="I149026"/>
        <s v="I101512"/>
        <s v="I108038"/>
        <s v="I145917"/>
        <s v="I328624"/>
        <s v="I860907"/>
        <s v="I236808"/>
        <s v="I221797"/>
        <s v="I323146"/>
        <s v="I181354"/>
        <s v="I333651"/>
        <s v="I321147"/>
        <s v="I449465"/>
        <s v="I196516"/>
        <s v="I237255"/>
        <s v="I184859"/>
        <s v="I263821"/>
        <s v="I321740"/>
        <s v="I857861"/>
        <s v="I329493"/>
        <s v="I172701"/>
        <s v="I379474"/>
        <s v="I120550"/>
        <s v="I147551"/>
        <s v="I440986"/>
        <s v="I225445"/>
        <s v="I788577"/>
        <s v="I267759"/>
        <s v="I239342"/>
        <s v="I109086"/>
        <s v="I239902"/>
        <s v="I144791"/>
        <s v="I296235"/>
        <s v="I295357"/>
        <s v="I124955"/>
        <s v="I175347"/>
        <s v="I335389"/>
        <s v="I221225"/>
        <s v="I137613"/>
        <s v="I227236"/>
        <s v="I325531"/>
        <s v="I140188"/>
        <s v="I242650"/>
        <s v="I188298"/>
        <s v="I228635"/>
        <s v="I777011"/>
        <s v="I168337"/>
        <s v="I101083"/>
        <s v="I139202"/>
        <s v="I213642"/>
        <s v="I136578"/>
        <s v="I117661"/>
        <s v="I212519"/>
        <s v="I161359"/>
        <s v="I130815"/>
        <s v="I166487"/>
        <s v="I247145"/>
        <s v="I330526"/>
        <s v="I290882"/>
        <s v="I300273"/>
        <s v="I151666"/>
        <s v="I121239"/>
        <s v="I421560"/>
        <s v="I241999"/>
        <s v="I131692"/>
        <s v="I827069"/>
        <s v="I197010"/>
        <s v="I117253"/>
        <s v="I683663"/>
        <s v="I776107"/>
        <s v="I188190"/>
        <s v="I560517"/>
        <s v="I248729"/>
        <s v="I119234"/>
        <s v="I221408"/>
        <s v="I879795"/>
        <s v="I120979"/>
        <s v="I261720"/>
        <s v="I377607"/>
        <s v="I511722"/>
        <s v="I905691"/>
        <s v="I222703"/>
        <s v="I220018"/>
        <s v="I312606"/>
        <s v="I320846"/>
        <s v="I235510"/>
        <s v="I528868"/>
        <s v="I216883"/>
        <s v="I986399"/>
        <s v="I880893"/>
        <s v="I884632"/>
        <s v="I336817"/>
        <s v="I232113"/>
        <s v="I935028"/>
        <s v="I270765"/>
        <s v="I919567"/>
        <s v="I339504"/>
        <s v="I285961"/>
        <s v="I170434"/>
        <s v="I425845"/>
        <s v="I266367"/>
        <s v="I669473"/>
        <s v="I324887"/>
        <s v="I502321"/>
        <s v="I220857"/>
        <s v="I661663"/>
        <s v="I708493"/>
        <s v="I312703"/>
        <s v="I314209"/>
        <s v="I224918"/>
        <s v="I256067"/>
        <s v="I193430"/>
        <s v="I988981"/>
        <s v="I328713"/>
        <s v="I145957"/>
        <s v="I122061"/>
        <s v="I184677"/>
        <s v="I161549"/>
        <s v="I113727"/>
        <s v="I281448"/>
        <s v="I678477"/>
        <s v="I677693"/>
        <s v="I293755"/>
        <s v="I202088"/>
        <s v="I317179"/>
        <s v="I888064"/>
        <s v="I132429"/>
        <s v="I183595"/>
        <s v="I202332"/>
        <s v="I159865"/>
        <s v="I629274"/>
        <s v="I231914"/>
        <s v="I149688"/>
        <s v="I146482"/>
        <s v="I225366"/>
        <s v="I528977"/>
        <s v="I122118"/>
        <s v="I320120"/>
        <s v="I142782"/>
        <s v="I130493"/>
        <s v="I441957"/>
        <s v="I174452"/>
        <s v="I336981"/>
        <s v="I178192"/>
        <s v="I249497"/>
        <s v="I166177"/>
        <s v="I505336"/>
        <s v="I326715"/>
        <s v="I287011"/>
        <s v="I538498"/>
        <s v="I262341"/>
        <s v="I211556"/>
        <s v="I253638"/>
        <s v="I235220"/>
        <s v="I264710"/>
        <s v="I212316"/>
        <s v="I252894"/>
        <s v="I102721"/>
        <s v="I180090"/>
        <s v="I246139"/>
        <s v="I242907"/>
        <s v="I245870"/>
        <s v="I236314"/>
        <s v="I275348"/>
        <s v="I304948"/>
        <s v="I116937"/>
        <s v="I357532"/>
        <s v="I770501"/>
        <s v="I337634"/>
        <s v="I339732"/>
        <s v="I162524"/>
        <s v="I711904"/>
        <s v="I853141"/>
        <s v="I237134"/>
        <s v="I315309"/>
        <s v="I351200"/>
        <s v="I259692"/>
        <s v="I688997"/>
        <s v="I592836"/>
        <s v="I127183"/>
        <s v="I889442"/>
        <s v="I193124"/>
        <s v="I893324"/>
        <s v="I226781"/>
        <s v="I337932"/>
        <s v="I100617"/>
        <s v="I308026"/>
        <s v="I219513"/>
        <s v="I275836"/>
        <s v="I212793"/>
        <s v="I172458"/>
        <s v="I238266"/>
        <s v="I297539"/>
        <s v="I311058"/>
        <s v="I313630"/>
        <s v="I126878"/>
        <s v="I315209"/>
        <s v="I233720"/>
        <s v="I209939"/>
        <s v="I227154"/>
        <s v="I318435"/>
        <s v="I312671"/>
        <s v="I879456"/>
        <s v="I160431"/>
        <s v="I236175"/>
        <s v="I312947"/>
        <s v="I383714"/>
        <s v="I119332"/>
        <s v="I879463"/>
        <s v="I203426"/>
        <s v="I157883"/>
        <s v="I153970"/>
        <s v="I269024"/>
        <s v="I759056"/>
        <s v="I773549"/>
        <s v="I328883"/>
        <s v="I305557"/>
        <s v="I251780"/>
        <s v="I389375"/>
        <s v="I247431"/>
        <s v="I158521"/>
        <s v="I219272"/>
        <s v="I110327"/>
        <s v="I119142"/>
        <s v="I100033"/>
        <s v="I430588"/>
        <s v="I306017"/>
        <s v="I854848"/>
        <s v="I338622"/>
        <s v="I271125"/>
        <s v="I161599"/>
        <s v="I182607"/>
        <s v="I261133"/>
        <s v="I310140"/>
        <s v="I269090"/>
        <s v="I215998"/>
        <s v="I268522"/>
        <s v="I220388"/>
        <s v="I245103"/>
        <s v="I272181"/>
        <s v="I578548"/>
        <s v="I305024"/>
        <s v="I238677"/>
        <s v="I101442"/>
        <s v="I172473"/>
        <s v="I183740"/>
        <s v="I231247"/>
        <s v="I171740"/>
        <s v="I327305"/>
        <s v="I711107"/>
        <s v="I328691"/>
        <s v="I191366"/>
        <s v="I265212"/>
        <s v="I119195"/>
        <s v="I214107"/>
        <s v="I168977"/>
        <s v="I132006"/>
        <s v="I289516"/>
        <s v="I120635"/>
        <s v="I289004"/>
        <s v="I316228"/>
        <s v="I155714"/>
        <s v="I223795"/>
        <s v="I132262"/>
        <s v="I269145"/>
        <s v="I103907"/>
        <s v="I165801"/>
        <s v="I210186"/>
        <s v="I252641"/>
        <s v="I232291"/>
        <s v="I333201"/>
        <s v="I308627"/>
        <s v="I163500"/>
        <s v="I128418"/>
        <s v="I164383"/>
        <s v="I165904"/>
        <s v="I182752"/>
        <s v="I186663"/>
        <s v="I269190"/>
        <s v="I193971"/>
        <s v="I329868"/>
        <s v="I154061"/>
        <s v="I255461"/>
        <s v="I305903"/>
        <s v="I906092"/>
        <s v="I228729"/>
        <s v="I286110"/>
        <s v="I296059"/>
        <s v="I160211"/>
        <s v="I137795"/>
        <s v="I927315"/>
        <s v="I233773"/>
        <s v="I267749"/>
        <s v="I162170"/>
        <s v="I198698"/>
        <s v="I114257"/>
        <s v="I255639"/>
        <s v="I240224"/>
        <s v="I330838"/>
        <s v="I228653"/>
        <s v="I196478"/>
        <s v="I274832"/>
        <s v="I187881"/>
        <s v="I238512"/>
        <s v="I124869"/>
        <s v="I301538"/>
        <s v="I156491"/>
        <s v="I303177"/>
        <s v="I591559"/>
        <s v="I102162"/>
        <s v="I182701"/>
        <s v="I117068"/>
        <s v="I273435"/>
        <s v="I139704"/>
        <s v="I282293"/>
        <s v="I254146"/>
        <s v="I860599"/>
        <s v="I332043"/>
        <s v="I117380"/>
        <s v="I630899"/>
        <s v="I989155"/>
        <s v="I300520"/>
        <s v="I429820"/>
        <s v="I276368"/>
        <s v="I140863"/>
        <s v="I295653"/>
        <s v="I121640"/>
        <s v="I299533"/>
        <s v="I308341"/>
        <s v="I309493"/>
        <s v="I254721"/>
        <s v="I207257"/>
        <s v="I327301"/>
        <s v="I109649"/>
        <s v="I128726"/>
        <s v="I165562"/>
        <s v="I306069"/>
        <s v="I125739"/>
        <s v="I320883"/>
        <s v="I947202"/>
        <s v="I235846"/>
        <s v="I221748"/>
        <s v="I650708"/>
        <s v="I234223"/>
        <s v="I133262"/>
        <s v="I357955"/>
        <s v="I653178"/>
        <s v="I542618"/>
        <s v="I198515"/>
        <s v="I886211"/>
        <s v="I302961"/>
        <s v="I687305"/>
        <s v="I282854"/>
        <s v="I406982"/>
        <s v="I301356"/>
        <s v="I206248"/>
        <s v="I287377"/>
        <s v="I136588"/>
        <s v="I829013"/>
        <s v="I124096"/>
        <s v="I188812"/>
        <s v="I129937"/>
        <s v="I157192"/>
        <s v="I316862"/>
        <s v="I326945"/>
        <s v="I271993"/>
        <s v="I729844"/>
        <s v="I885357"/>
        <s v="I756271"/>
        <s v="I190345"/>
        <s v="I334307"/>
        <s v="I172702"/>
        <s v="I177054"/>
        <s v="I188962"/>
        <s v="I172509"/>
        <s v="I122346"/>
        <s v="I315673"/>
        <s v="I132723"/>
        <s v="I682922"/>
        <s v="I229606"/>
        <s v="I329769"/>
        <s v="I259359"/>
        <s v="I987279"/>
        <s v="I258460"/>
        <s v="I218647"/>
        <s v="I316950"/>
        <s v="I216922"/>
        <s v="I131914"/>
        <s v="I321841"/>
        <s v="I215883"/>
        <s v="I136276"/>
        <s v="I238814"/>
        <s v="I235118"/>
        <s v="I129573"/>
        <s v="I186437"/>
        <s v="I168206"/>
        <s v="I884796"/>
        <s v="I267685"/>
        <s v="I579540"/>
        <s v="I154234"/>
        <s v="I721903"/>
        <s v="I374693"/>
        <s v="I301763"/>
        <s v="I552846"/>
        <s v="I196110"/>
        <s v="I293905"/>
        <s v="I242666"/>
        <s v="I732287"/>
        <s v="I333609"/>
        <s v="I306231"/>
        <s v="I267713"/>
        <s v="I393160"/>
        <s v="I250502"/>
        <s v="I320496"/>
        <s v="I218125"/>
        <s v="I236486"/>
        <s v="I697021"/>
        <s v="I244607"/>
        <s v="I680517"/>
        <s v="I312735"/>
        <s v="I107703"/>
        <s v="I263594"/>
        <s v="I164970"/>
        <s v="I195396"/>
        <s v="I162535"/>
        <s v="I195962"/>
        <s v="I185390"/>
        <s v="I170017"/>
        <s v="I258527"/>
        <s v="I271714"/>
        <s v="I164048"/>
        <s v="I862462"/>
        <s v="I249598"/>
        <s v="I662690"/>
        <s v="I333840"/>
        <s v="I163641"/>
        <s v="I337657"/>
        <s v="I223996"/>
        <s v="I331030"/>
        <s v="I735039"/>
        <s v="I115916"/>
        <s v="I613381"/>
        <s v="I734924"/>
        <s v="I336140"/>
        <s v="I605119"/>
        <s v="I286575"/>
        <s v="I566314"/>
        <s v="I137973"/>
        <s v="I291281"/>
        <s v="I281414"/>
        <s v="I317215"/>
        <s v="I330031"/>
        <s v="I399156"/>
        <s v="I262005"/>
        <s v="I712125"/>
        <s v="I187793"/>
        <s v="I221751"/>
        <s v="I226850"/>
        <s v="I591015"/>
        <s v="I737066"/>
        <s v="I429519"/>
        <s v="I221752"/>
        <s v="I472201"/>
        <s v="I339496"/>
        <s v="I157847"/>
        <s v="I280282"/>
        <s v="I165891"/>
        <s v="I175389"/>
        <s v="I699764"/>
        <s v="I171351"/>
        <s v="I122470"/>
        <s v="I284819"/>
        <s v="I315341"/>
        <s v="I113380"/>
        <s v="I308674"/>
        <s v="I284371"/>
        <s v="I157024"/>
        <s v="I336944"/>
        <s v="I147152"/>
        <s v="I140846"/>
        <s v="I269818"/>
        <s v="I126337"/>
        <s v="I178572"/>
        <s v="I856284"/>
        <s v="I235246"/>
        <s v="I153705"/>
        <s v="I150215"/>
        <s v="I613437"/>
        <s v="I459827"/>
        <s v="I182900"/>
        <s v="I252637"/>
        <s v="I216555"/>
        <s v="I288415"/>
        <s v="I301997"/>
        <s v="I185137"/>
        <s v="I964061"/>
        <s v="I246151"/>
        <s v="I295819"/>
        <s v="I219904"/>
        <s v="I727960"/>
        <s v="I124849"/>
        <s v="I113054"/>
        <s v="I187818"/>
        <s v="I195735"/>
        <s v="I816564"/>
        <s v="I113122"/>
        <s v="I103203"/>
        <s v="I469658"/>
        <s v="I301136"/>
        <s v="I447293"/>
        <s v="I146187"/>
        <s v="I177364"/>
        <s v="I223615"/>
        <s v="I252748"/>
        <s v="I247165"/>
        <s v="I165074"/>
        <s v="I230221"/>
        <s v="I100138"/>
        <s v="I746340"/>
        <s v="I275967"/>
        <s v="I585196"/>
        <s v="I969507"/>
        <s v="I295769"/>
        <s v="I186312"/>
        <s v="I160697"/>
        <s v="I985258"/>
        <s v="I794410"/>
        <s v="I196500"/>
        <s v="I239810"/>
        <s v="I199027"/>
        <s v="I556308"/>
        <s v="I149861"/>
        <s v="I136666"/>
        <s v="I160997"/>
        <s v="I274211"/>
        <s v="I233634"/>
        <s v="I836481"/>
        <s v="I608247"/>
        <s v="I237155"/>
        <s v="I314442"/>
        <s v="I123297"/>
        <s v="I127562"/>
        <s v="I183692"/>
        <s v="I174107"/>
        <s v="I275189"/>
        <s v="I959479"/>
        <s v="I407437"/>
        <s v="I110354"/>
        <s v="I235594"/>
        <s v="I288189"/>
        <s v="I693146"/>
        <s v="I135095"/>
        <s v="I214685"/>
        <s v="I313265"/>
        <s v="I263169"/>
        <s v="I122881"/>
        <s v="I836390"/>
        <s v="I387435"/>
        <s v="I883324"/>
        <s v="I224751"/>
        <s v="I307925"/>
        <s v="I303788"/>
        <s v="I753362"/>
        <s v="I124521"/>
        <s v="I168549"/>
        <s v="I206642"/>
        <s v="I828294"/>
        <s v="I270497"/>
        <s v="I318455"/>
        <s v="I322886"/>
        <s v="I280969"/>
        <s v="I209660"/>
        <s v="I260268"/>
        <s v="I143588"/>
        <s v="I224933"/>
        <s v="I211985"/>
        <s v="I533981"/>
        <s v="I810190"/>
        <s v="I193429"/>
        <s v="I312618"/>
        <s v="I701994"/>
        <s v="I730718"/>
        <s v="I147737"/>
        <s v="I277058"/>
        <s v="I196704"/>
        <s v="I225492"/>
        <s v="I293681"/>
        <s v="I165675"/>
        <s v="I624089"/>
        <s v="I255476"/>
        <s v="I308299"/>
        <s v="I133114"/>
        <s v="I174237"/>
        <s v="I286328"/>
        <s v="I165636"/>
        <s v="I263119"/>
        <s v="I838650"/>
        <s v="I873382"/>
        <s v="I659990"/>
        <s v="I258930"/>
        <s v="I333684"/>
        <s v="I135673"/>
        <s v="I215190"/>
        <s v="I354029"/>
        <s v="I161581"/>
        <s v="I253633"/>
        <s v="I190672"/>
        <s v="I215119"/>
        <s v="I225621"/>
        <s v="I151185"/>
        <s v="I146954"/>
        <s v="I322526"/>
        <s v="I279785"/>
        <s v="I304419"/>
        <s v="I206422"/>
        <s v="I307159"/>
        <s v="I179329"/>
        <s v="I124729"/>
        <s v="I236804"/>
        <s v="I732402"/>
        <s v="I322051"/>
        <s v="I983066"/>
        <s v="I311320"/>
        <s v="I201807"/>
        <s v="I533515"/>
        <s v="I248440"/>
        <s v="I196712"/>
        <s v="I149631"/>
        <s v="I156197"/>
        <s v="I141166"/>
        <s v="I192998"/>
        <s v="I614933"/>
        <s v="I333568"/>
        <s v="I128993"/>
        <s v="I200329"/>
        <s v="I838107"/>
        <s v="I145848"/>
        <s v="I124796"/>
        <s v="I272485"/>
        <s v="I273800"/>
        <s v="I324578"/>
        <s v="I305653"/>
        <s v="I290014"/>
        <s v="I302357"/>
        <s v="I184913"/>
        <s v="I302999"/>
        <s v="I279919"/>
        <s v="I234713"/>
        <s v="I197494"/>
        <s v="I218385"/>
        <s v="I227173"/>
        <s v="I285171"/>
        <s v="I243417"/>
        <s v="I318154"/>
        <s v="I955575"/>
        <s v="I829450"/>
        <s v="I251118"/>
        <s v="I299125"/>
        <s v="I896603"/>
        <s v="I193095"/>
        <s v="I217868"/>
        <s v="I329132"/>
        <s v="I201021"/>
        <s v="I332867"/>
        <s v="I130612"/>
        <s v="I107622"/>
        <s v="I282606"/>
        <s v="I250778"/>
        <s v="I278596"/>
        <s v="I629119"/>
        <s v="I993488"/>
        <s v="I337739"/>
        <s v="I225348"/>
        <s v="I287301"/>
        <s v="I114680"/>
        <s v="I170168"/>
        <s v="I325023"/>
        <s v="I949483"/>
        <s v="I341685"/>
        <s v="I161797"/>
        <s v="I315253"/>
        <s v="I193690"/>
        <s v="I205815"/>
        <s v="I288216"/>
        <s v="I136509"/>
        <s v="I221915"/>
        <s v="I193528"/>
        <s v="I266406"/>
        <s v="I843445"/>
        <s v="I192802"/>
        <s v="I270095"/>
        <s v="I140955"/>
        <s v="I568210"/>
        <s v="I112841"/>
        <s v="I317349"/>
        <s v="I823207"/>
        <s v="I418927"/>
        <s v="I136608"/>
        <s v="I188318"/>
        <s v="I140596"/>
        <s v="I326812"/>
        <s v="I303153"/>
        <s v="I107991"/>
        <s v="I197388"/>
        <s v="I952267"/>
        <s v="I187759"/>
        <s v="I252978"/>
        <s v="I130494"/>
        <s v="I287344"/>
        <s v="I210298"/>
        <s v="I287456"/>
        <s v="I223651"/>
        <s v="I288328"/>
        <s v="I312066"/>
        <s v="I197671"/>
        <s v="I302293"/>
        <s v="I338218"/>
        <s v="I219724"/>
        <s v="I247146"/>
        <s v="I595458"/>
        <s v="I337033"/>
        <s v="I941223"/>
        <s v="I671331"/>
        <s v="I274719"/>
        <s v="I193654"/>
        <s v="I382843"/>
        <s v="I105285"/>
        <s v="I764488"/>
        <s v="I264508"/>
        <s v="I158987"/>
        <s v="I147796"/>
        <s v="I321322"/>
        <s v="I120560"/>
        <s v="I286645"/>
        <s v="I232549"/>
        <s v="I168234"/>
        <s v="I179608"/>
        <s v="I825270"/>
        <s v="I220900"/>
        <s v="I301054"/>
        <s v="I274292"/>
        <s v="I325373"/>
        <s v="I627211"/>
        <s v="I119008"/>
        <s v="I202386"/>
        <s v="I310973"/>
        <s v="I699421"/>
        <s v="I417106"/>
        <s v="I598960"/>
        <s v="I244608"/>
        <s v="I199678"/>
        <s v="I324738"/>
        <s v="I140289"/>
        <s v="I142342"/>
        <s v="I556536"/>
        <s v="I230558"/>
        <s v="I130937"/>
        <s v="I144724"/>
        <s v="I271500"/>
        <s v="I453056"/>
        <s v="I157119"/>
        <s v="I122151"/>
        <s v="I653762"/>
        <s v="I326176"/>
        <s v="I370184"/>
        <s v="I305576"/>
        <s v="I250646"/>
        <s v="I117277"/>
        <s v="I469329"/>
        <s v="I310335"/>
        <s v="I126622"/>
        <s v="I292211"/>
        <s v="I258001"/>
        <s v="I106470"/>
        <s v="I304882"/>
        <s v="I187370"/>
        <s v="I120729"/>
        <s v="I168257"/>
        <s v="I245965"/>
        <s v="I139922"/>
        <s v="I157681"/>
        <s v="I245648"/>
        <s v="I145120"/>
        <s v="I116541"/>
        <s v="I102268"/>
        <s v="I247842"/>
        <s v="I142487"/>
        <s v="I119285"/>
        <s v="I554324"/>
        <s v="I320007"/>
        <s v="I182236"/>
        <s v="I254653"/>
        <s v="I708222"/>
        <s v="I297547"/>
        <s v="I265794"/>
        <s v="I287630"/>
        <s v="I282422"/>
        <s v="I118984"/>
        <s v="I144029"/>
        <s v="I320027"/>
        <s v="I207404"/>
        <s v="I239562"/>
        <s v="I246481"/>
        <s v="I296369"/>
        <s v="I313988"/>
        <s v="I278339"/>
        <s v="I277939"/>
        <s v="I252583"/>
        <s v="I225263"/>
        <s v="I168315"/>
        <s v="I938973"/>
        <s v="I125013"/>
        <s v="I758571"/>
        <s v="I238200"/>
        <s v="I679052"/>
        <s v="I467269"/>
        <s v="I317229"/>
        <s v="I251667"/>
        <s v="I216518"/>
        <s v="I207003"/>
        <s v="I478540"/>
        <s v="I226193"/>
        <s v="I212182"/>
        <s v="I271594"/>
        <s v="I334817"/>
        <s v="I117529"/>
        <s v="I297665"/>
        <s v="I237015"/>
        <s v="I242864"/>
        <s v="I291126"/>
        <s v="I163475"/>
        <s v="I941039"/>
        <s v="I336180"/>
        <s v="I312054"/>
        <s v="I277887"/>
        <s v="I125147"/>
        <s v="I642537"/>
        <s v="I280887"/>
        <s v="I214861"/>
        <s v="I198400"/>
        <s v="I271146"/>
        <s v="I221692"/>
        <s v="I214895"/>
        <s v="I207390"/>
        <s v="I218901"/>
        <s v="I331647"/>
        <s v="I117306"/>
        <s v="I490846"/>
        <s v="I253043"/>
        <s v="I340342"/>
        <s v="I291726"/>
        <s v="I186736"/>
        <s v="I276807"/>
        <s v="I333013"/>
        <s v="I270133"/>
        <s v="I325587"/>
        <s v="I722060"/>
        <s v="I166975"/>
        <s v="I112048"/>
        <s v="I637087"/>
        <s v="I305077"/>
        <s v="I195618"/>
        <s v="I149862"/>
        <s v="I317840"/>
        <s v="I843469"/>
        <s v="I315382"/>
        <s v="I274315"/>
        <s v="I332361"/>
        <s v="I271318"/>
        <s v="I321529"/>
        <s v="I284829"/>
        <s v="I197836"/>
        <s v="I797383"/>
        <s v="I200720"/>
        <s v="I109457"/>
        <s v="I142300"/>
        <s v="I205115"/>
        <s v="I208998"/>
        <s v="I207465"/>
        <s v="I140633"/>
        <s v="I880614"/>
        <s v="I245081"/>
        <s v="I108528"/>
        <s v="I222324"/>
        <s v="I150967"/>
        <s v="I215906"/>
        <s v="I260037"/>
        <s v="I110363"/>
        <s v="I274215"/>
        <s v="I151040"/>
        <s v="I144259"/>
        <s v="I200469"/>
        <s v="I115129"/>
        <s v="I268329"/>
        <s v="I260475"/>
        <s v="I305862"/>
        <s v="I534688"/>
        <s v="I205801"/>
        <s v="I207449"/>
        <s v="I536679"/>
        <s v="I306095"/>
        <s v="I237866"/>
        <s v="I342740"/>
        <s v="I267714"/>
        <s v="I173337"/>
        <s v="I245446"/>
        <s v="I237375"/>
        <s v="I523511"/>
        <s v="I331348"/>
        <s v="I201357"/>
        <s v="I189627"/>
        <s v="I193148"/>
        <s v="I155282"/>
        <s v="I163935"/>
        <s v="I167226"/>
        <s v="I141104"/>
        <s v="I324135"/>
        <s v="I219863"/>
        <s v="I198672"/>
        <s v="I242990"/>
        <s v="I275695"/>
        <s v="I245099"/>
        <s v="I127914"/>
        <s v="I191448"/>
        <s v="I112176"/>
        <s v="I444241"/>
        <s v="I234807"/>
        <s v="I150266"/>
        <s v="I941176"/>
        <s v="I180799"/>
        <s v="I299123"/>
        <s v="I273838"/>
        <s v="I278211"/>
        <s v="I329781"/>
        <s v="I221110"/>
        <s v="I302795"/>
        <s v="I236103"/>
        <s v="I807995"/>
        <s v="I297231"/>
        <s v="I241016"/>
        <s v="I160585"/>
        <s v="I691716"/>
        <s v="I425493"/>
        <s v="I202787"/>
        <s v="I839584"/>
        <s v="I785859"/>
        <s v="I296279"/>
        <s v="I247843"/>
        <s v="I215469"/>
        <s v="I263207"/>
        <s v="I242496"/>
        <s v="I149830"/>
        <s v="I313395"/>
        <s v="I208808"/>
        <s v="I163738"/>
        <s v="I212622"/>
        <s v="I192285"/>
        <s v="I409667"/>
        <s v="I218003"/>
        <s v="I848407"/>
        <s v="I205099"/>
        <s v="I127315"/>
        <s v="I208491"/>
        <s v="I182711"/>
        <s v="I238472"/>
        <s v="I284498"/>
        <s v="I227991"/>
        <s v="I647418"/>
        <s v="I281376"/>
        <s v="I210408"/>
        <s v="I427761"/>
        <s v="I856793"/>
        <s v="I676136"/>
        <s v="I215198"/>
        <s v="I106120"/>
        <s v="I112238"/>
        <s v="I123112"/>
        <s v="I211512"/>
        <s v="I145354"/>
        <s v="I289738"/>
        <s v="I305141"/>
        <s v="I164033"/>
        <s v="I323454"/>
        <s v="I187271"/>
        <s v="I230034"/>
        <s v="I277625"/>
        <s v="I169998"/>
        <s v="I339998"/>
        <s v="I443008"/>
        <s v="I704692"/>
        <s v="I299416"/>
        <s v="I332016"/>
        <s v="I111886"/>
        <s v="I247605"/>
        <s v="I227065"/>
        <s v="I474019"/>
        <s v="I322227"/>
        <s v="I328692"/>
        <s v="I264181"/>
        <s v="I332003"/>
        <s v="I333984"/>
        <s v="I144365"/>
        <s v="I136997"/>
        <s v="I294687"/>
        <s v="I283188"/>
        <s v="I327790"/>
        <s v="I232015"/>
        <s v="I290741"/>
        <s v="I397909"/>
        <s v="I339493"/>
        <s v="I326326"/>
        <s v="I910927"/>
        <s v="I237567"/>
        <s v="I174597"/>
        <s v="I301205"/>
        <s v="I326773"/>
        <s v="I312797"/>
        <s v="I332029"/>
        <s v="I578182"/>
        <s v="I101888"/>
        <s v="I133278"/>
        <s v="I210212"/>
        <s v="I173082"/>
        <s v="I260932"/>
        <s v="I301966"/>
        <s v="I115531"/>
        <s v="I748622"/>
        <s v="I797528"/>
        <s v="I226888"/>
        <s v="I256619"/>
        <s v="I317091"/>
        <s v="I188682"/>
        <s v="I202675"/>
        <s v="I227463"/>
        <s v="I317648"/>
        <s v="I273732"/>
        <s v="I293163"/>
        <s v="I691975"/>
        <s v="I178079"/>
        <s v="I217906"/>
        <s v="I133800"/>
        <s v="I174750"/>
        <s v="I219229"/>
        <s v="I327180"/>
        <s v="I173514"/>
        <s v="I507944"/>
        <s v="I285149"/>
        <s v="I415786"/>
        <s v="I203134"/>
        <s v="I139036"/>
        <s v="I334723"/>
        <s v="I469616"/>
        <s v="I248299"/>
        <s v="I127982"/>
        <s v="I144286"/>
        <s v="I186255"/>
        <s v="I236723"/>
        <s v="I313868"/>
        <s v="I750777"/>
        <s v="I233250"/>
        <s v="I829331"/>
        <s v="I108934"/>
        <s v="I159226"/>
        <s v="I600774"/>
        <s v="I317507"/>
        <s v="I316656"/>
        <s v="I299444"/>
        <s v="I677872"/>
        <s v="I208121"/>
        <s v="I125576"/>
        <s v="I466698"/>
        <s v="I533670"/>
        <s v="I167993"/>
        <s v="I681382"/>
        <s v="I151932"/>
        <s v="I293058"/>
        <s v="I209413"/>
        <s v="I238494"/>
        <s v="I183425"/>
        <s v="I338369"/>
        <s v="I414814"/>
        <s v="I339947"/>
        <s v="I127402"/>
        <s v="I730781"/>
        <s v="I807922"/>
        <s v="I562016"/>
        <s v="I138254"/>
        <s v="I294055"/>
        <s v="I119819"/>
        <s v="I744509"/>
        <s v="I493472"/>
        <s v="I259652"/>
        <s v="I328570"/>
        <s v="I120130"/>
        <s v="I154635"/>
        <s v="I113271"/>
        <s v="I240675"/>
        <s v="I316799"/>
        <s v="I200763"/>
        <s v="I733733"/>
        <s v="I258286"/>
        <s v="I179734"/>
        <s v="I264791"/>
        <s v="I319681"/>
        <s v="I175742"/>
        <s v="I167551"/>
        <s v="I160591"/>
        <s v="I271171"/>
        <s v="I190796"/>
        <s v="I115517"/>
        <s v="I884439"/>
        <s v="I138748"/>
        <s v="I954824"/>
        <s v="I330145"/>
        <s v="I150603"/>
        <s v="I175150"/>
        <s v="I152216"/>
        <s v="I622329"/>
        <s v="I241024"/>
        <s v="I263187"/>
        <s v="I238456"/>
        <s v="I212643"/>
        <s v="I179763"/>
        <s v="I180823"/>
        <s v="I125178"/>
        <s v="I299110"/>
        <s v="I266552"/>
        <s v="I201971"/>
        <s v="I335534"/>
        <s v="I325592"/>
        <s v="I281545"/>
        <s v="I409830"/>
        <s v="I810580"/>
        <s v="I133347"/>
        <s v="I186346"/>
        <s v="I318556"/>
        <s v="I565451"/>
        <s v="I298287"/>
        <s v="I298502"/>
        <s v="I312415"/>
        <s v="I222401"/>
        <s v="I312772"/>
        <s v="I211919"/>
        <s v="I289284"/>
        <s v="I805046"/>
        <s v="I236201"/>
        <s v="I217568"/>
        <s v="I217901"/>
        <s v="I492378"/>
        <s v="I295430"/>
        <s v="I217213"/>
        <s v="I255301"/>
        <s v="I205309"/>
        <s v="I138872"/>
        <s v="I338093"/>
        <s v="I107983"/>
        <s v="I181926"/>
        <s v="I133584"/>
        <s v="I295836"/>
        <s v="I179719"/>
        <s v="I532956"/>
        <s v="I162229"/>
        <s v="I315726"/>
        <s v="I322245"/>
        <s v="I147334"/>
        <s v="I246103"/>
        <s v="I291886"/>
        <s v="I168425"/>
        <s v="I118285"/>
        <s v="I752693"/>
        <s v="I167641"/>
        <s v="I245503"/>
        <s v="I902816"/>
        <s v="I585560"/>
        <s v="I207618"/>
        <s v="I277331"/>
        <s v="I230080"/>
        <s v="I105641"/>
        <s v="I160638"/>
        <s v="I585768"/>
        <s v="I132739"/>
        <s v="I186290"/>
        <s v="I248527"/>
        <s v="I287372"/>
        <s v="I101606"/>
        <s v="I258021"/>
        <s v="I426459"/>
        <s v="I273835"/>
        <s v="I241386"/>
        <s v="I216035"/>
        <s v="I642106"/>
        <s v="I117448"/>
        <s v="I273165"/>
        <s v="I124164"/>
        <s v="I166198"/>
        <s v="I606511"/>
        <s v="I208041"/>
        <s v="I119576"/>
        <s v="I248145"/>
        <s v="I169548"/>
        <s v="I330380"/>
        <s v="I331878"/>
        <s v="I682326"/>
        <s v="I350049"/>
        <s v="I119011"/>
        <s v="I858783"/>
        <s v="I607634"/>
        <s v="I707730"/>
        <s v="I200392"/>
        <s v="I253028"/>
        <s v="I263098"/>
        <s v="I618767"/>
        <s v="I249401"/>
        <s v="I265313"/>
        <s v="I159652"/>
        <s v="I283293"/>
        <s v="I977999"/>
        <s v="I317225"/>
        <s v="I403818"/>
        <s v="I293722"/>
        <s v="I481095"/>
        <s v="I130454"/>
        <s v="I185019"/>
        <s v="I315218"/>
        <s v="I284431"/>
        <s v="I295490"/>
        <s v="I174518"/>
        <s v="I214129"/>
        <s v="I753687"/>
        <s v="I203044"/>
        <s v="I909187"/>
        <s v="I247070"/>
        <s v="I314326"/>
        <s v="I107823"/>
        <s v="I278872"/>
        <s v="I159983"/>
        <s v="I310829"/>
        <s v="I304032"/>
        <s v="I154432"/>
        <s v="I809975"/>
        <s v="I315393"/>
        <s v="I169228"/>
        <s v="I260233"/>
        <s v="I499273"/>
        <s v="I216061"/>
        <s v="I233253"/>
        <s v="I234536"/>
        <s v="I937841"/>
        <s v="I225830"/>
        <s v="I148485"/>
        <s v="I168093"/>
        <s v="I328581"/>
        <s v="I280072"/>
        <s v="I185286"/>
        <s v="I262309"/>
        <s v="I253242"/>
        <s v="I338421"/>
        <s v="I498728"/>
        <s v="I119593"/>
        <s v="I425665"/>
        <s v="I230897"/>
        <s v="I895068"/>
        <s v="I152751"/>
        <s v="I177201"/>
        <s v="I187459"/>
        <s v="I255670"/>
        <s v="I244370"/>
        <s v="I173004"/>
        <s v="I315221"/>
        <s v="I446183"/>
        <s v="I213959"/>
        <s v="I254940"/>
        <s v="I221417"/>
        <s v="I402376"/>
        <s v="I193229"/>
        <s v="I144060"/>
        <s v="I182617"/>
        <s v="I938672"/>
        <s v="I208277"/>
        <s v="I285428"/>
        <s v="I294217"/>
        <s v="I135898"/>
        <s v="I306663"/>
        <s v="I264122"/>
        <s v="I340028"/>
        <s v="I249351"/>
        <s v="I196861"/>
        <s v="I228613"/>
        <s v="I428874"/>
        <s v="I309061"/>
        <s v="I189686"/>
        <s v="I147443"/>
        <s v="I297768"/>
        <s v="I150683"/>
        <s v="I735829"/>
        <s v="I890999"/>
        <s v="I513017"/>
        <s v="I173671"/>
        <s v="I134089"/>
        <s v="I733806"/>
        <s v="I329957"/>
        <s v="I673032"/>
        <s v="I218602"/>
        <s v="I245398"/>
        <s v="I117413"/>
        <s v="I152944"/>
        <s v="I125306"/>
        <s v="I116672"/>
        <s v="I215373"/>
        <s v="I361327"/>
        <s v="I231063"/>
        <s v="I297915"/>
        <s v="I318856"/>
        <s v="I151588"/>
        <s v="I733245"/>
        <s v="I174905"/>
        <s v="I247678"/>
        <s v="I245816"/>
        <s v="I289510"/>
        <s v="I179482"/>
        <s v="I237267"/>
        <s v="I265466"/>
        <s v="I166331"/>
        <s v="I125321"/>
        <s v="I191380"/>
        <s v="I205645"/>
        <s v="I198280"/>
        <s v="I882940"/>
        <s v="I122326"/>
        <s v="I745824"/>
        <s v="I566654"/>
        <s v="I269945"/>
        <s v="I153684"/>
        <s v="I257498"/>
        <s v="I433134"/>
        <s v="I173326"/>
        <s v="I253065"/>
        <s v="I334246"/>
        <s v="I258067"/>
        <s v="I267431"/>
        <s v="I110460"/>
        <s v="I912885"/>
        <s v="I211868"/>
        <s v="I155156"/>
        <s v="I187539"/>
        <s v="I242886"/>
        <s v="I283120"/>
        <s v="I184181"/>
        <s v="I231070"/>
        <s v="I171620"/>
        <s v="I129791"/>
        <s v="I300868"/>
        <s v="I122614"/>
        <s v="I205487"/>
        <s v="I436894"/>
        <s v="I126694"/>
        <s v="I312241"/>
        <s v="I268383"/>
        <s v="I155589"/>
        <s v="I112416"/>
        <s v="I569110"/>
        <s v="I187442"/>
        <s v="I884495"/>
        <s v="I297633"/>
        <s v="I174611"/>
        <s v="I212323"/>
        <s v="I369014"/>
        <s v="I784209"/>
        <s v="I298663"/>
        <s v="I165664"/>
        <s v="I110632"/>
        <s v="I293086"/>
        <s v="I640634"/>
        <s v="I995362"/>
        <s v="I281621"/>
        <s v="I800663"/>
        <s v="I190933"/>
        <s v="I884102"/>
        <s v="I248400"/>
        <s v="I102525"/>
        <s v="I250385"/>
        <s v="I108742"/>
        <s v="I318473"/>
        <s v="I185035"/>
        <s v="I709149"/>
        <s v="I241416"/>
        <s v="I304280"/>
        <s v="I179802"/>
        <s v="I106483"/>
        <s v="I155228"/>
        <s v="I314238"/>
        <s v="I132312"/>
        <s v="I125822"/>
        <s v="I163650"/>
        <s v="I354816"/>
        <s v="I610353"/>
        <s v="I252275"/>
        <s v="I109293"/>
        <s v="I132608"/>
        <s v="I625052"/>
        <s v="I515685"/>
        <s v="I111228"/>
        <s v="I426700"/>
        <s v="I815551"/>
        <s v="I178780"/>
        <s v="I316876"/>
        <s v="I254588"/>
        <s v="I215934"/>
        <s v="I242532"/>
        <s v="I312499"/>
        <s v="I104880"/>
        <s v="I122498"/>
        <s v="I731258"/>
        <s v="I122111"/>
        <s v="I312175"/>
        <s v="I195394"/>
        <s v="I302151"/>
        <s v="I249812"/>
        <s v="I195641"/>
        <s v="I106812"/>
        <s v="I260930"/>
        <s v="I582909"/>
        <s v="I686459"/>
        <s v="I197701"/>
        <s v="I119178"/>
        <s v="I219079"/>
        <s v="I265565"/>
        <s v="I221786"/>
        <s v="I193110"/>
        <s v="I101901"/>
        <s v="I813160"/>
        <s v="I218059"/>
        <s v="I588546"/>
        <s v="I122649"/>
        <s v="I934104"/>
        <s v="I314129"/>
        <s v="I328226"/>
        <s v="I174726"/>
        <s v="I321918"/>
        <s v="I119826"/>
        <s v="I156991"/>
        <s v="I813398"/>
        <s v="I165943"/>
        <s v="I337706"/>
        <s v="I279045"/>
        <s v="I232482"/>
        <s v="I115322"/>
        <s v="I870059"/>
        <s v="I201787"/>
        <s v="I195903"/>
        <s v="I176870"/>
        <s v="I264408"/>
        <s v="I910145"/>
        <s v="I124924"/>
        <s v="I113912"/>
        <s v="I179339"/>
        <s v="I165090"/>
        <s v="I326309"/>
        <s v="I125339"/>
        <s v="I307733"/>
        <s v="I121135"/>
        <s v="I699009"/>
        <s v="I100837"/>
        <s v="I317787"/>
        <s v="I302318"/>
        <s v="I807712"/>
        <s v="I208306"/>
        <s v="I226665"/>
        <s v="I268306"/>
        <s v="I212235"/>
        <s v="I163173"/>
        <s v="I276710"/>
        <s v="I269274"/>
        <s v="I169832"/>
        <s v="I216045"/>
        <s v="I267365"/>
        <s v="I141788"/>
        <s v="I136489"/>
        <s v="I221504"/>
        <s v="I265696"/>
        <s v="I217878"/>
        <s v="I262142"/>
        <s v="I259858"/>
        <s v="I247178"/>
        <s v="I138370"/>
        <s v="I206570"/>
        <s v="I102990"/>
        <s v="I441569"/>
        <s v="I263185"/>
        <s v="I171357"/>
        <s v="I210738"/>
        <s v="I857393"/>
        <s v="I267679"/>
        <s v="I141637"/>
        <s v="I310220"/>
        <s v="I265350"/>
        <s v="I960014"/>
        <s v="I139520"/>
        <s v="I229055"/>
        <s v="I890885"/>
        <s v="I202144"/>
        <s v="I438869"/>
        <s v="I251845"/>
        <s v="I155983"/>
        <s v="I174699"/>
        <s v="I974495"/>
        <s v="I182495"/>
        <s v="I748082"/>
        <s v="I241885"/>
        <s v="I118233"/>
        <s v="I304606"/>
        <s v="I987858"/>
        <s v="I222827"/>
        <s v="I289228"/>
        <s v="I137289"/>
        <s v="I419999"/>
        <s v="I605718"/>
        <s v="I175066"/>
        <s v="I170394"/>
        <s v="I214783"/>
        <s v="I675538"/>
        <s v="I748273"/>
        <s v="I243370"/>
        <s v="I851592"/>
        <s v="I101140"/>
        <s v="I328532"/>
        <s v="I202367"/>
        <s v="I620947"/>
        <s v="I175832"/>
        <s v="I317971"/>
        <s v="I267193"/>
        <s v="I274190"/>
        <s v="I200775"/>
        <s v="I400866"/>
        <s v="I474090"/>
        <s v="I304567"/>
        <s v="I125746"/>
        <s v="I190304"/>
        <s v="I161602"/>
        <s v="I117653"/>
        <s v="I226279"/>
        <s v="I154674"/>
        <s v="I713938"/>
        <s v="I163839"/>
        <s v="I131679"/>
        <s v="I105721"/>
        <s v="I455205"/>
        <s v="I320503"/>
        <s v="I217977"/>
        <s v="I339593"/>
        <s v="I150382"/>
        <s v="I721574"/>
        <s v="I290218"/>
        <s v="I134272"/>
        <s v="I278283"/>
        <s v="I166214"/>
        <s v="I105122"/>
        <s v="I253944"/>
        <s v="I182889"/>
        <s v="I275654"/>
        <s v="I184445"/>
        <s v="I216527"/>
        <s v="I466399"/>
        <s v="I160221"/>
        <s v="I135383"/>
        <s v="I149796"/>
        <s v="I235704"/>
        <s v="I313558"/>
        <s v="I308509"/>
        <s v="I585456"/>
        <s v="I226394"/>
        <s v="I164527"/>
        <s v="I117651"/>
        <s v="I226460"/>
        <s v="I103120"/>
        <s v="I182543"/>
        <s v="I300204"/>
        <s v="I254683"/>
        <s v="I174371"/>
        <s v="I234104"/>
        <s v="I380423"/>
        <s v="I289097"/>
        <s v="I283451"/>
        <s v="I227297"/>
        <s v="I211071"/>
        <s v="I955069"/>
        <s v="I467455"/>
        <s v="I434025"/>
        <s v="I250498"/>
        <s v="I134042"/>
        <s v="I318625"/>
        <s v="I110493"/>
        <s v="I304204"/>
        <s v="I168850"/>
        <s v="I312503"/>
        <s v="I221646"/>
        <s v="I277193"/>
        <s v="I176385"/>
        <s v="I295985"/>
        <s v="I180612"/>
        <s v="I298636"/>
        <s v="I329479"/>
        <s v="I352477"/>
        <s v="I111196"/>
        <s v="I589196"/>
        <s v="I266158"/>
        <s v="I333384"/>
        <s v="I337719"/>
        <s v="I215511"/>
        <s v="I189827"/>
        <s v="I338407"/>
        <s v="I116146"/>
        <s v="I109218"/>
        <s v="I714753"/>
        <s v="I379565"/>
        <s v="I751200"/>
        <s v="I998874"/>
        <s v="I483991"/>
        <s v="I315077"/>
        <s v="I229818"/>
        <s v="I503078"/>
        <s v="I109453"/>
        <s v="I235763"/>
        <s v="I645281"/>
        <s v="I165160"/>
        <s v="I238555"/>
        <s v="I228331"/>
        <s v="I224565"/>
        <s v="I604996"/>
        <s v="I129007"/>
        <s v="I171167"/>
        <s v="I149233"/>
        <s v="I112481"/>
        <s v="I521445"/>
        <s v="I201566"/>
        <s v="I904914"/>
        <s v="I316043"/>
        <s v="I112748"/>
        <s v="I261187"/>
        <s v="I204213"/>
        <s v="I236491"/>
        <s v="I208346"/>
        <s v="I119809"/>
        <s v="I632760"/>
        <s v="I308383"/>
        <s v="I169439"/>
        <s v="I136751"/>
        <s v="I274775"/>
        <s v="I310687"/>
        <s v="I325460"/>
        <s v="I170471"/>
        <s v="I306971"/>
        <s v="I428100"/>
        <s v="I325747"/>
        <s v="I309632"/>
        <s v="I131684"/>
        <s v="I152252"/>
        <s v="I151346"/>
        <s v="I611428"/>
        <s v="I246000"/>
        <s v="I159105"/>
        <s v="I730492"/>
        <s v="I190715"/>
        <s v="I285747"/>
        <s v="I230983"/>
        <s v="I100663"/>
        <s v="I101819"/>
        <s v="I307337"/>
        <s v="I732168"/>
        <s v="I327416"/>
        <s v="I183558"/>
        <s v="I944472"/>
        <s v="I498608"/>
        <s v="I612777"/>
        <s v="I294181"/>
        <s v="I141343"/>
        <s v="I310097"/>
        <s v="I178645"/>
        <s v="I245938"/>
        <s v="I183304"/>
        <s v="I610847"/>
        <s v="I567782"/>
        <s v="I478102"/>
        <s v="I178406"/>
        <s v="I263900"/>
        <s v="I135098"/>
        <s v="I159928"/>
        <s v="I984369"/>
        <s v="I510730"/>
        <s v="I253697"/>
        <s v="I237285"/>
        <s v="I630533"/>
        <s v="I186059"/>
        <s v="I265761"/>
        <s v="I919153"/>
        <s v="I823067"/>
        <s v="I235991"/>
        <s v="I127184"/>
        <s v="I120222"/>
        <s v="I117134"/>
        <s v="I286193"/>
        <s v="I955408"/>
        <s v="I498892"/>
        <s v="I292443"/>
        <s v="I855195"/>
        <s v="I275271"/>
        <s v="I288293"/>
        <s v="I234915"/>
        <s v="I220045"/>
        <s v="I697934"/>
        <s v="I335436"/>
        <s v="I301796"/>
        <s v="I198081"/>
        <s v="I112845"/>
        <s v="I175584"/>
        <s v="I164574"/>
        <s v="I513890"/>
        <s v="I293998"/>
        <s v="I128008"/>
        <s v="I263787"/>
        <s v="I463814"/>
        <s v="I300522"/>
        <s v="I111633"/>
        <s v="I423150"/>
        <s v="I819684"/>
        <s v="I308185"/>
        <s v="I295496"/>
        <s v="I248443"/>
        <s v="I200557"/>
        <s v="I722730"/>
        <s v="I602566"/>
        <s v="I616042"/>
        <s v="I999448"/>
        <s v="I759933"/>
        <s v="I275629"/>
        <s v="I262897"/>
        <s v="I557757"/>
        <s v="I101444"/>
        <s v="I806340"/>
        <s v="I259556"/>
        <s v="I190832"/>
        <s v="I131184"/>
        <s v="I230848"/>
        <s v="I312040"/>
        <s v="I327028"/>
        <s v="I114758"/>
        <s v="I114281"/>
        <s v="I139561"/>
        <s v="I532304"/>
        <s v="I725839"/>
        <s v="I216610"/>
        <s v="I229246"/>
        <s v="I111765"/>
        <s v="I731414"/>
        <s v="I175749"/>
        <s v="I284806"/>
        <s v="I816971"/>
        <s v="I175978"/>
        <s v="I985478"/>
        <s v="I323071"/>
        <s v="I288379"/>
        <s v="I338832"/>
        <s v="I296816"/>
        <s v="I113616"/>
        <s v="I223780"/>
        <s v="I312639"/>
        <s v="I235372"/>
        <s v="I224078"/>
        <s v="I460930"/>
        <s v="I306136"/>
        <s v="I135807"/>
        <s v="I277426"/>
        <s v="I272642"/>
        <s v="I869428"/>
        <s v="I121999"/>
        <s v="I183816"/>
        <s v="I759554"/>
        <s v="I249237"/>
        <s v="I208028"/>
        <s v="I465481"/>
        <s v="I115451"/>
        <s v="I182480"/>
        <s v="I112080"/>
        <s v="I952410"/>
        <s v="I163607"/>
        <s v="I127143"/>
        <s v="I236679"/>
        <s v="I182412"/>
        <s v="I233048"/>
        <s v="I268314"/>
        <s v="I514556"/>
        <s v="I306769"/>
        <s v="I317456"/>
        <s v="I116015"/>
        <s v="I225840"/>
        <s v="I175748"/>
        <s v="I101634"/>
        <s v="I136352"/>
        <s v="I226491"/>
        <s v="I389101"/>
        <s v="I740145"/>
        <s v="I252801"/>
        <s v="I196063"/>
        <s v="I160317"/>
        <s v="I252397"/>
        <s v="I233758"/>
        <s v="I130195"/>
        <s v="I290455"/>
        <s v="I795476"/>
        <s v="I174966"/>
        <s v="I228747"/>
        <s v="I151536"/>
        <s v="I516452"/>
        <s v="I115856"/>
        <s v="I100015"/>
        <s v="I301307"/>
        <s v="I393405"/>
        <s v="I542339"/>
        <s v="I319999"/>
        <s v="I232150"/>
        <s v="I126396"/>
        <s v="I247363"/>
        <s v="I381979"/>
        <s v="I187393"/>
        <s v="I317140"/>
        <s v="I267526"/>
        <s v="I160687"/>
        <s v="I278548"/>
        <s v="I181438"/>
        <s v="I214826"/>
        <s v="I188384"/>
        <s v="I165964"/>
        <s v="I332915"/>
        <s v="I216204"/>
        <s v="I248280"/>
        <s v="I122023"/>
        <s v="I602699"/>
        <s v="I244775"/>
        <s v="I193775"/>
        <s v="I111670"/>
        <s v="I218375"/>
        <s v="I143821"/>
        <s v="I264666"/>
        <s v="I227177"/>
        <s v="I328197"/>
        <s v="I271922"/>
        <s v="I790021"/>
        <s v="I160989"/>
        <s v="I231140"/>
        <s v="I260419"/>
        <s v="I138917"/>
        <s v="I259843"/>
        <s v="I609080"/>
        <s v="I340004"/>
        <s v="I124799"/>
        <s v="I614132"/>
        <s v="I125352"/>
        <s v="I120169"/>
        <s v="I219753"/>
        <s v="I161045"/>
        <s v="I128426"/>
        <s v="I248893"/>
        <s v="I156009"/>
        <s v="I131896"/>
        <s v="I850683"/>
        <s v="I279659"/>
        <s v="I301939"/>
        <s v="I295604"/>
        <s v="I150897"/>
        <s v="I331526"/>
        <s v="I227852"/>
        <s v="I329288"/>
        <s v="I269257"/>
        <s v="I287793"/>
        <s v="I130221"/>
        <s v="I185250"/>
        <s v="I109582"/>
        <s v="I109018"/>
        <s v="I482488"/>
        <s v="I167873"/>
        <s v="I179540"/>
        <s v="I141799"/>
        <s v="I209907"/>
        <s v="I847315"/>
        <s v="I234396"/>
        <s v="I323928"/>
        <s v="I304042"/>
        <s v="I131587"/>
        <s v="I222748"/>
        <s v="I397490"/>
        <s v="I209258"/>
        <s v="I184194"/>
        <s v="I323802"/>
        <s v="I318753"/>
        <s v="I110297"/>
        <s v="I157026"/>
        <s v="I926025"/>
        <s v="I104198"/>
        <s v="I323594"/>
        <s v="I118433"/>
        <s v="I130443"/>
        <s v="I294120"/>
        <s v="I201429"/>
        <s v="I463005"/>
        <s v="I276634"/>
        <s v="I300847"/>
        <s v="I315560"/>
        <s v="I163797"/>
        <s v="I292557"/>
        <s v="I164488"/>
        <s v="I108263"/>
        <s v="I454864"/>
        <s v="I139823"/>
        <s v="I157312"/>
        <s v="I227707"/>
        <s v="I238899"/>
        <s v="I697133"/>
        <s v="I339615"/>
        <s v="I259993"/>
        <s v="I204418"/>
        <s v="I167565"/>
        <s v="I178019"/>
        <s v="I155192"/>
        <s v="I117736"/>
        <s v="I248153"/>
        <s v="I353452"/>
        <s v="I498086"/>
        <s v="I204651"/>
        <s v="I299435"/>
        <s v="I108543"/>
        <s v="I320300"/>
        <s v="I168493"/>
        <s v="I334490"/>
        <s v="I643231"/>
        <s v="I733440"/>
        <s v="I205601"/>
        <s v="I331702"/>
        <s v="I200330"/>
        <s v="I202850"/>
        <s v="I236100"/>
        <s v="I168727"/>
        <s v="I276631"/>
        <s v="I135928"/>
        <s v="I286188"/>
        <s v="I515486"/>
        <s v="I945095"/>
        <s v="I165853"/>
        <s v="I257855"/>
        <s v="I338333"/>
        <s v="I112164"/>
        <s v="I292800"/>
        <s v="I309833"/>
        <s v="I279737"/>
        <s v="I215094"/>
        <s v="I133922"/>
        <s v="I152008"/>
        <s v="I173140"/>
        <s v="I521328"/>
        <s v="I148476"/>
        <s v="I510667"/>
        <s v="I276626"/>
        <s v="I277947"/>
        <s v="I312299"/>
        <s v="I289114"/>
        <s v="I146989"/>
        <s v="I195744"/>
        <s v="I157039"/>
        <s v="I251526"/>
        <s v="I882022"/>
        <s v="I177993"/>
        <s v="I685758"/>
        <s v="I305320"/>
        <s v="I136949"/>
        <s v="I106027"/>
        <s v="I133368"/>
        <s v="I185461"/>
        <s v="I318619"/>
        <s v="I133197"/>
        <s v="I313091"/>
        <s v="I305162"/>
        <s v="I312712"/>
        <s v="I161953"/>
        <s v="I280708"/>
        <s v="I281916"/>
        <s v="I297292"/>
        <s v="I676809"/>
        <s v="I332149"/>
        <s v="I226728"/>
        <s v="I251702"/>
        <s v="I882442"/>
        <s v="I673540"/>
        <s v="I124650"/>
        <s v="I177647"/>
        <s v="I374550"/>
        <s v="I205336"/>
        <s v="I301887"/>
        <s v="I261867"/>
        <s v="I168686"/>
        <s v="I212833"/>
        <s v="I110141"/>
        <s v="I939947"/>
        <s v="I301910"/>
        <s v="I113813"/>
        <s v="I576966"/>
        <s v="I327594"/>
        <s v="I443138"/>
        <s v="I145411"/>
        <s v="I314355"/>
        <s v="I273595"/>
        <s v="I232885"/>
        <s v="I226142"/>
        <s v="I241303"/>
        <s v="I159530"/>
        <s v="I236411"/>
        <s v="I122954"/>
        <s v="I210069"/>
        <s v="I306989"/>
        <s v="I194094"/>
        <s v="I751651"/>
        <s v="I782112"/>
        <s v="I340002"/>
        <s v="I876508"/>
        <s v="I266391"/>
        <s v="I217976"/>
        <s v="I565921"/>
        <s v="I157775"/>
        <s v="I131278"/>
        <s v="I603978"/>
        <s v="I835872"/>
        <s v="I177317"/>
        <s v="I250140"/>
        <s v="I330201"/>
        <s v="I413038"/>
        <s v="I879038"/>
        <s v="I268506"/>
        <s v="I951023"/>
        <s v="I175427"/>
        <s v="I252528"/>
        <s v="I161868"/>
        <s v="I172043"/>
        <s v="I260603"/>
        <s v="I902069"/>
        <s v="I233507"/>
        <s v="I581146"/>
        <s v="I229719"/>
        <s v="I106464"/>
        <s v="I833189"/>
        <s v="I215909"/>
        <s v="I620914"/>
        <s v="I420592"/>
        <s v="I187716"/>
        <s v="I807123"/>
        <s v="I244879"/>
        <s v="I848763"/>
        <s v="I217972"/>
        <s v="I114009"/>
        <s v="I327196"/>
        <s v="I966471"/>
        <s v="I117733"/>
        <s v="I110823"/>
        <s v="I177128"/>
        <s v="I306668"/>
        <s v="I121287"/>
        <s v="I522926"/>
        <s v="I181681"/>
        <s v="I133290"/>
        <s v="I221908"/>
        <s v="I113884"/>
        <s v="I161882"/>
        <s v="I236473"/>
        <s v="I555072"/>
        <s v="I185731"/>
        <s v="I227910"/>
        <s v="I272367"/>
        <s v="I314811"/>
        <s v="I250728"/>
        <s v="I300170"/>
        <s v="I306742"/>
        <s v="I203525"/>
        <s v="I789573"/>
        <s v="I293537"/>
        <s v="I301161"/>
        <s v="I640431"/>
        <s v="I164219"/>
        <s v="I202043"/>
        <s v="I216346"/>
        <s v="I200887"/>
        <s v="I318189"/>
        <s v="I263572"/>
        <s v="I161773"/>
        <s v="I337976"/>
        <s v="I290124"/>
        <s v="I295364"/>
        <s v="I759783"/>
        <s v="I678313"/>
        <s v="I233356"/>
        <s v="I225956"/>
        <s v="I204978"/>
        <s v="I178136"/>
        <s v="I333814"/>
        <s v="I255891"/>
        <s v="I390777"/>
        <s v="I298339"/>
        <s v="I296071"/>
        <s v="I155918"/>
        <s v="I827801"/>
        <s v="I234363"/>
        <s v="I430899"/>
        <s v="I243188"/>
        <s v="I245920"/>
        <s v="I102261"/>
        <s v="I264403"/>
        <s v="I232117"/>
        <s v="I162081"/>
        <s v="I275659"/>
        <s v="I263818"/>
        <s v="I174160"/>
        <s v="I320792"/>
        <s v="I177031"/>
        <s v="I302932"/>
        <s v="I250395"/>
        <s v="I120355"/>
        <s v="I477101"/>
        <s v="I438713"/>
        <s v="I984781"/>
        <s v="I282615"/>
        <s v="I156867"/>
        <s v="I250337"/>
        <s v="I461020"/>
        <s v="I149071"/>
        <s v="I116766"/>
        <s v="I808238"/>
        <s v="I339776"/>
        <s v="I580043"/>
        <s v="I265801"/>
        <s v="I133061"/>
        <s v="I103663"/>
        <s v="I188307"/>
        <s v="I982544"/>
        <s v="I159872"/>
        <s v="I300117"/>
        <s v="I123918"/>
        <s v="I293694"/>
        <s v="I439007"/>
        <s v="I188105"/>
        <s v="I151401"/>
        <s v="I240177"/>
        <s v="I231763"/>
        <s v="I142286"/>
        <s v="I223993"/>
        <s v="I248086"/>
        <s v="I325247"/>
        <s v="I217653"/>
        <s v="I335770"/>
        <s v="I129150"/>
        <s v="I123396"/>
        <s v="I612102"/>
        <s v="I266074"/>
        <s v="I279538"/>
        <s v="I252732"/>
        <s v="I271406"/>
        <s v="I210691"/>
        <s v="I181373"/>
        <s v="I245465"/>
        <s v="I336831"/>
        <s v="I203747"/>
        <s v="I170887"/>
        <s v="I177292"/>
        <s v="I373911"/>
        <s v="I324203"/>
        <s v="I210361"/>
        <s v="I647207"/>
        <s v="I720875"/>
        <s v="I150959"/>
        <s v="I312041"/>
        <s v="I173297"/>
        <s v="I146746"/>
        <s v="I291830"/>
        <s v="I722917"/>
        <s v="I213491"/>
        <s v="I335847"/>
        <s v="I108644"/>
        <s v="I195631"/>
        <s v="I153941"/>
        <s v="I610683"/>
        <s v="I161481"/>
        <s v="I328538"/>
        <s v="I139097"/>
        <s v="I107609"/>
        <s v="I237151"/>
        <s v="I211261"/>
        <s v="I153634"/>
        <s v="I138219"/>
        <s v="I267855"/>
        <s v="I329980"/>
        <s v="I314445"/>
        <s v="I301092"/>
        <s v="I285823"/>
        <s v="I288063"/>
        <s v="I726283"/>
        <s v="I864169"/>
        <s v="I337324"/>
        <s v="I104444"/>
        <s v="I953752"/>
        <s v="I510363"/>
        <s v="I267368"/>
        <s v="I289886"/>
        <s v="I219127"/>
        <s v="I214499"/>
        <s v="I302629"/>
        <s v="I121659"/>
        <s v="I268807"/>
        <s v="I297754"/>
        <s v="I332990"/>
        <s v="I267647"/>
        <s v="I328594"/>
        <s v="I299140"/>
        <s v="I220091"/>
        <s v="I294348"/>
        <s v="I252778"/>
        <s v="I127688"/>
        <s v="I273875"/>
        <s v="I221636"/>
        <s v="I305431"/>
        <s v="I179077"/>
        <s v="I113399"/>
        <s v="I129999"/>
        <s v="I192211"/>
        <s v="I377077"/>
        <s v="I230701"/>
        <s v="I256586"/>
        <s v="I822406"/>
        <s v="I190414"/>
        <s v="I236062"/>
        <s v="I135057"/>
        <s v="I164439"/>
        <s v="I141519"/>
        <s v="I232017"/>
        <s v="I189166"/>
        <s v="I214591"/>
        <s v="I170158"/>
        <s v="I253476"/>
        <s v="I209913"/>
        <s v="I155560"/>
        <s v="I196787"/>
        <s v="I349230"/>
        <s v="I183571"/>
        <s v="I313832"/>
        <s v="I251357"/>
        <s v="I956682"/>
        <s v="I240627"/>
        <s v="I790520"/>
        <s v="I290459"/>
        <s v="I330686"/>
        <s v="I999141"/>
        <s v="I668414"/>
        <s v="I192659"/>
        <s v="I273335"/>
        <s v="I224648"/>
        <s v="I254528"/>
        <s v="I257128"/>
        <s v="I292056"/>
        <s v="I336751"/>
        <s v="I183128"/>
        <s v="I318281"/>
        <s v="I219590"/>
        <s v="I147907"/>
        <s v="I260183"/>
        <s v="I273820"/>
        <s v="I178200"/>
        <s v="I147203"/>
        <s v="I713117"/>
        <s v="I160549"/>
        <s v="I818342"/>
        <s v="I268114"/>
        <s v="I221804"/>
        <s v="I120948"/>
        <s v="I162230"/>
        <s v="I322152"/>
        <s v="I129730"/>
        <s v="I201704"/>
        <s v="I332700"/>
        <s v="I336017"/>
        <s v="I322609"/>
        <s v="I262448"/>
        <s v="I196306"/>
        <s v="I173148"/>
        <s v="I882432"/>
        <s v="I176010"/>
        <s v="I825913"/>
        <s v="I101862"/>
        <s v="I299582"/>
        <s v="I337227"/>
        <s v="I183983"/>
        <s v="I185792"/>
        <s v="I205329"/>
        <s v="I895371"/>
        <s v="I875529"/>
        <s v="I170098"/>
        <s v="I204541"/>
        <s v="I157403"/>
        <s v="I157000"/>
        <s v="I394989"/>
        <s v="I318521"/>
        <s v="I148573"/>
        <s v="I171111"/>
        <s v="I790187"/>
        <s v="I246220"/>
        <s v="I210062"/>
        <s v="I943072"/>
        <s v="I270675"/>
        <s v="I326451"/>
        <s v="I202662"/>
        <s v="I233892"/>
        <s v="I688768"/>
        <s v="I303007"/>
        <s v="I286001"/>
        <s v="I125368"/>
        <s v="I327495"/>
        <s v="I300202"/>
        <s v="I549888"/>
        <s v="I201131"/>
        <s v="I860924"/>
        <s v="I107122"/>
        <s v="I583553"/>
        <s v="I205988"/>
        <s v="I401426"/>
        <s v="I158508"/>
        <s v="I219113"/>
        <s v="I189759"/>
        <s v="I455730"/>
        <s v="I402983"/>
        <s v="I226058"/>
        <s v="I189809"/>
        <s v="I821053"/>
        <s v="I285370"/>
        <s v="I335969"/>
        <s v="I299776"/>
        <s v="I504058"/>
        <s v="I712121"/>
        <s v="I177982"/>
        <s v="I279131"/>
        <s v="I136569"/>
        <s v="I125535"/>
        <s v="I416352"/>
        <s v="I652354"/>
        <s v="I551237"/>
        <s v="I227639"/>
        <s v="I107246"/>
        <s v="I402966"/>
        <s v="I302879"/>
        <s v="I950912"/>
        <s v="I105009"/>
        <s v="I103382"/>
        <s v="I121934"/>
        <s v="I230347"/>
        <s v="I335339"/>
        <s v="I330341"/>
        <s v="I242047"/>
        <s v="I673552"/>
        <s v="I342255"/>
        <s v="I162614"/>
        <s v="I234582"/>
        <s v="I421240"/>
        <s v="I636447"/>
        <s v="I280403"/>
        <s v="I249520"/>
        <s v="I235112"/>
        <s v="I302188"/>
        <s v="I337613"/>
        <s v="I946433"/>
        <s v="I332971"/>
        <s v="I781551"/>
        <s v="I143001"/>
        <s v="I243559"/>
        <s v="I417236"/>
        <s v="I365745"/>
        <s v="I332514"/>
        <s v="I227732"/>
        <s v="I251177"/>
        <s v="I800762"/>
        <s v="I195497"/>
        <s v="I609968"/>
        <s v="I711019"/>
        <s v="I393737"/>
        <s v="I165544"/>
        <s v="I818950"/>
        <s v="I206752"/>
        <s v="I332055"/>
        <s v="I779338"/>
        <s v="I327484"/>
        <s v="I216047"/>
        <s v="I157074"/>
        <s v="I258510"/>
        <s v="I103121"/>
        <s v="I274610"/>
        <s v="I268731"/>
        <s v="I165750"/>
        <s v="I214988"/>
        <s v="I257335"/>
        <s v="I307701"/>
        <s v="I145285"/>
        <s v="I321337"/>
        <s v="I303159"/>
        <s v="I237248"/>
        <s v="I289748"/>
        <s v="I838895"/>
        <s v="I129119"/>
        <s v="I447060"/>
        <s v="I237045"/>
        <s v="I243117"/>
        <s v="I201157"/>
        <s v="I313796"/>
        <s v="I288674"/>
        <s v="I162719"/>
        <s v="I198456"/>
        <s v="I233079"/>
        <s v="I673113"/>
        <s v="I368924"/>
        <s v="I242323"/>
        <s v="I629649"/>
        <s v="I158498"/>
        <s v="I131076"/>
        <s v="I334012"/>
        <s v="I189270"/>
        <s v="I219377"/>
        <s v="I593158"/>
        <s v="I328664"/>
        <s v="I133261"/>
        <s v="I162929"/>
        <s v="I206416"/>
        <s v="I786653"/>
        <s v="I330239"/>
        <s v="I191156"/>
        <s v="I132843"/>
        <s v="I204457"/>
        <s v="I195995"/>
        <s v="I284750"/>
        <s v="I172007"/>
        <s v="I118080"/>
        <s v="I258210"/>
        <s v="I165693"/>
        <s v="I587545"/>
        <s v="I238017"/>
        <s v="I146049"/>
        <s v="I108718"/>
        <s v="I598369"/>
        <s v="I480312"/>
        <s v="I236109"/>
        <s v="I233358"/>
        <s v="I260979"/>
        <s v="I148931"/>
        <s v="I192361"/>
        <s v="I186418"/>
        <s v="I181599"/>
        <s v="I231514"/>
        <s v="I144648"/>
        <s v="I210871"/>
        <s v="I289041"/>
        <s v="I215850"/>
        <s v="I330079"/>
        <s v="I333703"/>
        <s v="I998114"/>
        <s v="I173444"/>
        <s v="I952906"/>
        <s v="I386325"/>
        <s v="I329454"/>
        <s v="I268186"/>
        <s v="I179619"/>
        <s v="I285013"/>
        <s v="I156614"/>
        <s v="I548500"/>
        <s v="I146509"/>
        <s v="I297571"/>
        <s v="I179626"/>
        <s v="I240992"/>
        <s v="I115808"/>
        <s v="I319684"/>
        <s v="I324537"/>
        <s v="I162398"/>
        <s v="I906644"/>
        <s v="I186508"/>
        <s v="I320839"/>
        <s v="I214172"/>
        <s v="I266211"/>
        <s v="I782749"/>
        <s v="I315837"/>
        <s v="I106348"/>
        <s v="I337111"/>
        <s v="I155694"/>
        <s v="I291068"/>
        <s v="I155185"/>
        <s v="I205315"/>
        <s v="I204558"/>
        <s v="I238579"/>
        <s v="I191596"/>
        <s v="I218515"/>
        <s v="I957100"/>
        <s v="I280767"/>
        <s v="I202145"/>
        <s v="I301361"/>
        <s v="I303072"/>
        <s v="I166330"/>
        <s v="I730771"/>
        <s v="I161152"/>
        <s v="I326870"/>
        <s v="I233787"/>
        <s v="I231382"/>
        <s v="I115564"/>
        <s v="I212454"/>
        <s v="I446775"/>
        <s v="I227030"/>
        <s v="I132964"/>
        <s v="I298674"/>
        <s v="I382100"/>
        <s v="I638151"/>
        <s v="I240053"/>
        <s v="I187324"/>
        <s v="I205112"/>
        <s v="I262083"/>
        <s v="I313795"/>
        <s v="I154721"/>
        <s v="I307534"/>
        <s v="I104135"/>
        <s v="I119218"/>
        <s v="I732648"/>
        <s v="I969458"/>
        <s v="I284202"/>
        <s v="I557804"/>
        <s v="I201499"/>
        <s v="I277000"/>
        <s v="I211571"/>
        <s v="I384873"/>
        <s v="I252776"/>
        <s v="I267437"/>
        <s v="I870519"/>
        <s v="I166493"/>
        <s v="I209289"/>
        <s v="I198287"/>
        <s v="I549259"/>
        <s v="I665330"/>
        <s v="I197089"/>
        <s v="I735905"/>
        <s v="I698669"/>
        <s v="I121489"/>
        <s v="I329869"/>
        <s v="I720616"/>
        <s v="I680241"/>
        <s v="I203526"/>
        <s v="I176961"/>
        <s v="I227384"/>
        <s v="I127628"/>
        <s v="I195905"/>
        <s v="I752413"/>
        <s v="I221594"/>
        <s v="I150437"/>
        <s v="I655874"/>
        <s v="I495637"/>
        <s v="I229689"/>
        <s v="I111305"/>
        <s v="I258776"/>
        <s v="I181474"/>
        <s v="I184812"/>
        <s v="I122823"/>
        <s v="I156806"/>
        <s v="I187519"/>
        <s v="I256273"/>
        <s v="I320763"/>
        <s v="I473411"/>
        <s v="I309692"/>
        <s v="I118793"/>
        <s v="I778661"/>
        <s v="I615452"/>
        <s v="I308956"/>
        <s v="I594735"/>
        <s v="I229482"/>
        <s v="I240691"/>
        <s v="I117778"/>
        <s v="I183098"/>
        <s v="I292155"/>
        <s v="I950727"/>
        <s v="I319817"/>
        <s v="I806733"/>
        <s v="I331908"/>
        <s v="I186856"/>
        <s v="I287041"/>
        <s v="I324237"/>
        <s v="I361816"/>
        <s v="I435093"/>
        <s v="I169264"/>
        <s v="I321318"/>
        <s v="I310832"/>
        <s v="I661172"/>
        <s v="I194017"/>
        <s v="I182036"/>
        <s v="I104058"/>
        <s v="I332122"/>
        <s v="I333030"/>
        <s v="I290089"/>
        <s v="I314205"/>
        <s v="I259569"/>
        <s v="I176867"/>
        <s v="I338382"/>
        <s v="I113812"/>
        <s v="I610563"/>
        <s v="I109962"/>
        <s v="I289172"/>
        <s v="I153677"/>
        <s v="I320044"/>
        <s v="I258976"/>
        <s v="I247306"/>
        <s v="I904415"/>
        <s v="I211335"/>
        <s v="I141822"/>
        <s v="I206223"/>
        <s v="I140019"/>
        <s v="I125423"/>
        <s v="I107596"/>
        <s v="I267707"/>
        <s v="I942284"/>
        <s v="I224820"/>
        <s v="I332809"/>
        <s v="I103131"/>
        <s v="I311125"/>
        <s v="I153467"/>
        <s v="I549884"/>
        <s v="I764781"/>
        <s v="I213132"/>
        <s v="I199912"/>
        <s v="I306990"/>
        <s v="I111055"/>
        <s v="I567428"/>
        <s v="I485162"/>
        <s v="I288329"/>
        <s v="I245557"/>
        <s v="I799795"/>
        <s v="I262199"/>
        <s v="I117875"/>
        <s v="I185044"/>
        <s v="I270613"/>
        <s v="I262529"/>
        <s v="I200326"/>
        <s v="I168159"/>
        <s v="I292774"/>
        <s v="I306191"/>
        <s v="I187920"/>
        <s v="I580188"/>
        <s v="I221547"/>
        <s v="I494794"/>
        <s v="I107540"/>
        <s v="I152659"/>
        <s v="I155567"/>
        <s v="I549350"/>
        <s v="I188480"/>
        <s v="I228195"/>
        <s v="I815821"/>
        <s v="I824264"/>
        <s v="I391615"/>
        <s v="I212598"/>
        <s v="I213852"/>
        <s v="I276780"/>
        <s v="I851352"/>
        <s v="I225939"/>
        <s v="I650004"/>
        <s v="I109418"/>
        <s v="I130053"/>
        <s v="I130192"/>
        <s v="I143873"/>
        <s v="I158210"/>
        <s v="I435037"/>
        <s v="I256868"/>
        <s v="I179977"/>
        <s v="I171352"/>
        <s v="I107805"/>
        <s v="I313025"/>
        <s v="I132734"/>
        <s v="I122783"/>
        <s v="I286041"/>
        <s v="I156252"/>
        <s v="I270968"/>
        <s v="I282887"/>
        <s v="I273194"/>
        <s v="I339366"/>
        <s v="I219281"/>
        <s v="I179058"/>
        <s v="I202932"/>
        <s v="I353662"/>
        <s v="I235653"/>
        <s v="I586725"/>
        <s v="I944302"/>
        <s v="I443994"/>
        <s v="I143495"/>
        <s v="I350619"/>
        <s v="I305003"/>
        <s v="I380830"/>
        <s v="I483830"/>
        <s v="I285670"/>
        <s v="I312633"/>
        <s v="I271038"/>
        <s v="I174053"/>
        <s v="I919664"/>
        <s v="I217473"/>
        <s v="I295488"/>
        <s v="I170677"/>
        <s v="I182652"/>
        <s v="I135513"/>
        <s v="I139930"/>
        <s v="I249797"/>
        <s v="I357584"/>
        <s v="I169599"/>
        <s v="I182483"/>
        <s v="I330278"/>
        <s v="I317585"/>
        <s v="I126551"/>
        <s v="I436935"/>
        <s v="I327541"/>
        <s v="I250562"/>
        <s v="I251885"/>
        <s v="I108567"/>
        <s v="I805520"/>
        <s v="I310547"/>
        <s v="I862051"/>
        <s v="I436240"/>
        <s v="I951988"/>
        <s v="I215038"/>
        <s v="I258266"/>
        <s v="I251356"/>
        <s v="I318655"/>
        <s v="I223875"/>
        <s v="I109161"/>
        <s v="I171864"/>
        <s v="I157671"/>
        <s v="I260459"/>
        <s v="I291868"/>
        <s v="I247944"/>
        <s v="I124249"/>
        <s v="I140666"/>
        <s v="I162283"/>
        <s v="I308925"/>
        <s v="I336794"/>
        <s v="I232019"/>
        <s v="I317948"/>
        <s v="I260295"/>
        <s v="I259576"/>
        <s v="I355649"/>
        <s v="I927409"/>
        <s v="I237841"/>
        <s v="I339134"/>
        <s v="I249022"/>
        <s v="I270089"/>
        <s v="I522797"/>
        <s v="I192213"/>
        <s v="I440435"/>
        <s v="I543579"/>
        <s v="I133257"/>
        <s v="I111219"/>
        <s v="I103324"/>
        <s v="I246061"/>
        <s v="I323785"/>
        <s v="I167253"/>
        <s v="I107226"/>
        <s v="I206504"/>
        <s v="I192012"/>
        <s v="I123654"/>
        <s v="I893857"/>
        <s v="I657000"/>
        <s v="I331891"/>
        <s v="I175593"/>
        <s v="I128486"/>
        <s v="I162663"/>
        <s v="I220787"/>
        <s v="I324420"/>
        <s v="I237671"/>
        <s v="I259857"/>
        <s v="I170396"/>
        <s v="I191531"/>
        <s v="I206246"/>
        <s v="I256703"/>
        <s v="I110309"/>
        <s v="I826922"/>
        <s v="I119678"/>
        <s v="I899320"/>
        <s v="I118970"/>
        <s v="I315612"/>
        <s v="I196930"/>
        <s v="I668401"/>
        <s v="I329400"/>
        <s v="I179301"/>
        <s v="I118533"/>
        <s v="I100312"/>
        <s v="I712241"/>
        <s v="I975873"/>
        <s v="I132817"/>
        <s v="I333994"/>
        <s v="I229276"/>
        <s v="I321233"/>
        <s v="I241446"/>
        <s v="I158352"/>
        <s v="I153842"/>
        <s v="I270866"/>
        <s v="I519596"/>
        <s v="I238285"/>
        <s v="I188845"/>
        <s v="I241628"/>
        <s v="I217717"/>
        <s v="I115302"/>
        <s v="I319825"/>
        <s v="I268558"/>
        <s v="I292336"/>
        <s v="I248285"/>
        <s v="I161777"/>
        <s v="I409288"/>
        <s v="I119676"/>
        <s v="I283387"/>
        <s v="I144622"/>
        <s v="I172488"/>
        <s v="I647398"/>
        <s v="I271709"/>
        <s v="I253999"/>
        <s v="I774221"/>
        <s v="I101806"/>
        <s v="I156131"/>
        <s v="I115913"/>
        <s v="I741593"/>
        <s v="I147365"/>
        <s v="I189376"/>
        <s v="I317106"/>
        <s v="I140127"/>
        <s v="I307447"/>
        <s v="I181684"/>
        <s v="I233664"/>
        <s v="I102481"/>
        <s v="I276169"/>
        <s v="I303780"/>
        <s v="I261818"/>
        <s v="I288753"/>
        <s v="I223232"/>
        <s v="I287513"/>
        <s v="I208602"/>
        <s v="I233412"/>
        <s v="I172733"/>
        <s v="I339038"/>
        <s v="I293705"/>
        <s v="I328315"/>
        <s v="I316195"/>
        <s v="I309139"/>
        <s v="I878944"/>
        <s v="I182663"/>
        <s v="I208105"/>
        <s v="I243843"/>
        <s v="I128975"/>
        <s v="I171350"/>
        <s v="I262087"/>
        <s v="I115684"/>
        <s v="I171398"/>
        <s v="I210399"/>
        <s v="I328635"/>
        <s v="I577429"/>
        <s v="I166361"/>
        <s v="I339014"/>
        <s v="I344455"/>
        <s v="I267414"/>
        <s v="I164148"/>
        <s v="I530401"/>
        <s v="I289860"/>
        <s v="I110639"/>
        <s v="I111508"/>
        <s v="I195587"/>
        <s v="I290672"/>
        <s v="I247723"/>
        <s v="I289127"/>
        <s v="I140201"/>
        <s v="I294582"/>
        <s v="I694059"/>
        <s v="I191597"/>
        <s v="I179338"/>
        <s v="I331280"/>
        <s v="I259700"/>
        <s v="I762506"/>
        <s v="I313046"/>
        <s v="I580474"/>
        <s v="I115273"/>
        <s v="I798350"/>
        <s v="I280909"/>
        <s v="I156748"/>
        <s v="I172806"/>
        <s v="I787252"/>
        <s v="I212959"/>
        <s v="I698178"/>
        <s v="I215428"/>
        <s v="I198776"/>
        <s v="I332005"/>
        <s v="I122358"/>
        <s v="I167015"/>
        <s v="I125236"/>
        <s v="I214442"/>
        <s v="I312314"/>
        <s v="I136844"/>
        <s v="I162093"/>
        <s v="I250197"/>
        <s v="I254293"/>
        <s v="I275741"/>
        <s v="I831438"/>
        <s v="I292262"/>
        <s v="I208383"/>
        <s v="I155885"/>
        <s v="I305607"/>
        <s v="I300808"/>
        <s v="I262655"/>
        <s v="I328464"/>
        <s v="I204170"/>
        <s v="I408190"/>
        <s v="I140693"/>
        <s v="I333209"/>
        <s v="I170836"/>
        <s v="I314125"/>
        <s v="I321683"/>
        <s v="I104598"/>
        <s v="I217565"/>
        <s v="I207469"/>
        <s v="I243055"/>
        <s v="I267787"/>
        <s v="I267744"/>
        <s v="I121332"/>
        <s v="I232338"/>
        <s v="I179423"/>
        <s v="I914792"/>
        <s v="I327663"/>
        <s v="I321558"/>
        <s v="I938379"/>
        <s v="I298561"/>
        <s v="I547402"/>
        <s v="I305746"/>
        <s v="I640550"/>
        <s v="I232809"/>
        <s v="I570421"/>
        <s v="I321229"/>
        <s v="I329147"/>
        <s v="I371873"/>
        <s v="I939386"/>
        <s v="I221699"/>
        <s v="I178787"/>
        <s v="I344589"/>
        <s v="I117154"/>
        <s v="I193066"/>
        <s v="I117370"/>
        <s v="I242403"/>
        <s v="I260499"/>
        <s v="I239588"/>
        <s v="I197344"/>
        <s v="I324366"/>
        <s v="I185402"/>
        <s v="I234812"/>
        <s v="I100464"/>
        <s v="I118894"/>
        <s v="I160076"/>
        <s v="I248258"/>
        <s v="I116190"/>
        <s v="I152370"/>
        <s v="I299768"/>
        <s v="I986103"/>
        <s v="I224157"/>
        <s v="I668520"/>
        <s v="I227716"/>
        <s v="I318344"/>
        <s v="I854901"/>
        <s v="I326146"/>
        <s v="I862601"/>
        <s v="I101537"/>
        <s v="I327035"/>
        <s v="I258945"/>
        <s v="I322660"/>
        <s v="I313718"/>
        <s v="I173679"/>
        <s v="I573701"/>
        <s v="I321836"/>
        <s v="I216059"/>
        <s v="I336189"/>
        <s v="I166429"/>
        <s v="I136586"/>
        <s v="I274465"/>
        <s v="I222109"/>
        <s v="I251779"/>
        <s v="I294468"/>
        <s v="I305323"/>
        <s v="I311052"/>
        <s v="I298724"/>
        <s v="I101133"/>
        <s v="I251408"/>
        <s v="I252712"/>
        <s v="I126377"/>
        <s v="I535919"/>
        <s v="I291540"/>
        <s v="I258117"/>
        <s v="I346547"/>
        <s v="I325501"/>
        <s v="I155158"/>
        <s v="I241042"/>
        <s v="I140851"/>
        <s v="I255018"/>
        <s v="I177052"/>
        <s v="I331693"/>
        <s v="I128829"/>
        <s v="I279301"/>
        <s v="I389784"/>
        <s v="I303371"/>
        <s v="I273050"/>
        <s v="I288215"/>
        <s v="I504141"/>
        <s v="I192320"/>
        <s v="I101879"/>
        <s v="I185351"/>
        <s v="I327469"/>
        <s v="I235242"/>
        <s v="I291710"/>
        <s v="I813748"/>
        <s v="I836360"/>
        <s v="I312109"/>
        <s v="I262808"/>
        <s v="I218805"/>
        <s v="I175212"/>
        <s v="I885508"/>
        <s v="I225851"/>
        <s v="I250203"/>
        <s v="I796504"/>
        <s v="I128080"/>
        <s v="I204700"/>
        <s v="I813548"/>
        <s v="I230987"/>
        <s v="I337094"/>
        <s v="I317426"/>
        <s v="I329646"/>
        <s v="I234384"/>
        <s v="I229668"/>
        <s v="I153930"/>
        <s v="I150398"/>
        <s v="I306746"/>
        <s v="I147821"/>
        <s v="I106195"/>
        <s v="I139530"/>
        <s v="I107888"/>
        <s v="I257508"/>
        <s v="I101022"/>
        <s v="I100223"/>
        <s v="I849357"/>
        <s v="I121064"/>
        <s v="I111867"/>
        <s v="I217891"/>
        <s v="I127930"/>
        <s v="I133926"/>
        <s v="I128834"/>
        <s v="I805202"/>
        <s v="I324853"/>
        <s v="I425068"/>
        <s v="I816678"/>
        <s v="I333966"/>
        <s v="I645871"/>
        <s v="I247936"/>
        <s v="I131683"/>
        <s v="I198933"/>
        <s v="I267406"/>
        <s v="I224642"/>
        <s v="I624742"/>
        <s v="I271849"/>
        <s v="I243617"/>
        <s v="I525798"/>
        <s v="I328845"/>
        <s v="I289729"/>
        <s v="I926252"/>
        <s v="I195162"/>
        <s v="I322972"/>
        <s v="I112471"/>
        <s v="I256481"/>
        <s v="I192192"/>
        <s v="I284414"/>
        <s v="I143427"/>
        <s v="I114827"/>
        <s v="I583670"/>
        <s v="I316383"/>
        <s v="I130526"/>
        <s v="I189881"/>
        <s v="I207227"/>
        <s v="I765914"/>
        <s v="I829370"/>
        <s v="I214882"/>
        <s v="I148353"/>
        <s v="I187643"/>
        <s v="I888966"/>
        <s v="I258827"/>
        <s v="I125572"/>
        <s v="I175835"/>
        <s v="I198233"/>
        <s v="I583242"/>
        <s v="I158469"/>
        <s v="I335178"/>
        <s v="I288683"/>
        <s v="I320127"/>
        <s v="I289643"/>
        <s v="I108407"/>
        <s v="I551504"/>
        <s v="I170712"/>
        <s v="I731863"/>
        <s v="I253619"/>
        <s v="I108762"/>
        <s v="I247264"/>
        <s v="I324620"/>
        <s v="I155861"/>
        <s v="I163001"/>
        <s v="I219827"/>
        <s v="I650642"/>
        <s v="I215031"/>
        <s v="I338987"/>
        <s v="I238290"/>
        <s v="I163770"/>
        <s v="I229492"/>
        <s v="I177064"/>
        <s v="I180472"/>
        <s v="I220125"/>
        <s v="I274783"/>
        <s v="I143566"/>
        <s v="I187364"/>
        <s v="I730806"/>
        <s v="I338395"/>
        <s v="I140473"/>
        <s v="I416544"/>
        <s v="I219175"/>
        <s v="I780560"/>
        <s v="I287505"/>
        <s v="I306845"/>
        <s v="I307099"/>
        <s v="I289595"/>
        <s v="I190444"/>
        <s v="I273743"/>
        <s v="I296663"/>
        <s v="I369631"/>
        <s v="I310552"/>
        <s v="I203663"/>
        <s v="I242563"/>
        <s v="I729679"/>
        <s v="I478092"/>
        <s v="I184006"/>
        <s v="I855683"/>
        <s v="I151885"/>
        <s v="I214860"/>
        <s v="I258534"/>
        <s v="I826174"/>
        <s v="I111981"/>
        <s v="I267665"/>
        <s v="I246030"/>
        <s v="I184738"/>
        <s v="I198308"/>
        <s v="I137430"/>
        <s v="I329435"/>
        <s v="I148169"/>
        <s v="I202249"/>
        <s v="I264264"/>
        <s v="I114537"/>
        <s v="I305810"/>
        <s v="I284964"/>
        <s v="I225087"/>
        <s v="I116606"/>
        <s v="I312030"/>
        <s v="I286730"/>
        <s v="I139491"/>
        <s v="I148276"/>
        <s v="I284557"/>
        <s v="I143244"/>
        <s v="I205194"/>
        <s v="I165202"/>
        <s v="I222934"/>
        <s v="I225453"/>
        <s v="I907293"/>
        <s v="I339425"/>
        <s v="I891558"/>
        <s v="I390297"/>
        <s v="I243930"/>
        <s v="I858594"/>
        <s v="I238537"/>
        <s v="I338408"/>
        <s v="I178513"/>
        <s v="I275004"/>
        <s v="I428988"/>
        <s v="I312437"/>
        <s v="I211565"/>
        <s v="I143755"/>
        <s v="I267309"/>
        <s v="I316071"/>
        <s v="I216917"/>
        <s v="I198006"/>
        <s v="I753404"/>
        <s v="I129344"/>
        <s v="I111907"/>
        <s v="I243441"/>
        <s v="I577926"/>
        <s v="I335633"/>
        <s v="I108479"/>
        <s v="I152207"/>
        <s v="I303695"/>
        <s v="I482361"/>
        <s v="I827488"/>
        <s v="I404845"/>
        <s v="I133413"/>
        <s v="I301094"/>
        <s v="I327173"/>
        <s v="I219862"/>
        <s v="I179430"/>
        <s v="I204056"/>
        <s v="I204712"/>
        <s v="I476741"/>
        <s v="I331119"/>
        <s v="I187946"/>
        <s v="I129765"/>
        <s v="I276149"/>
        <s v="I223404"/>
        <s v="I139408"/>
        <s v="I306957"/>
        <s v="I310901"/>
        <s v="I240580"/>
        <s v="I185809"/>
        <s v="I126571"/>
        <s v="I790545"/>
        <s v="I250556"/>
        <s v="I346323"/>
        <s v="I186074"/>
        <s v="I160777"/>
        <s v="I186943"/>
        <s v="I229097"/>
        <s v="I275614"/>
        <s v="I915683"/>
        <s v="I478709"/>
        <s v="I204323"/>
        <s v="I196537"/>
        <s v="I188063"/>
        <s v="I229072"/>
        <s v="I212850"/>
        <s v="I102734"/>
        <s v="I106826"/>
        <s v="I305131"/>
        <s v="I241873"/>
        <s v="I139883"/>
        <s v="I257456"/>
        <s v="I191336"/>
        <s v="I270709"/>
        <s v="I234569"/>
        <s v="I334787"/>
        <s v="I166823"/>
        <s v="I323356"/>
        <s v="I268628"/>
        <s v="I249436"/>
        <s v="I142741"/>
        <s v="I104142"/>
        <s v="I236841"/>
        <s v="I918446"/>
        <s v="I814638"/>
        <s v="I154096"/>
        <s v="I192701"/>
        <s v="I236127"/>
        <s v="I759063"/>
        <s v="I313728"/>
        <s v="I129692"/>
        <s v="I239027"/>
        <s v="I353329"/>
        <s v="I102024"/>
        <s v="I148083"/>
        <s v="I214711"/>
        <s v="I136455"/>
        <s v="I675407"/>
        <s v="I149358"/>
        <s v="I777276"/>
        <s v="I138615"/>
        <s v="I310521"/>
        <s v="I226364"/>
        <s v="I292286"/>
        <s v="I466017"/>
        <s v="I299202"/>
        <s v="I738438"/>
        <s v="I198346"/>
        <s v="I200214"/>
        <s v="I248770"/>
        <s v="I129189"/>
        <s v="I145305"/>
        <s v="I312448"/>
        <s v="I361028"/>
        <s v="I213393"/>
        <s v="I212987"/>
        <s v="I235015"/>
        <s v="I130750"/>
        <s v="I154825"/>
        <s v="I846931"/>
        <s v="I128645"/>
        <s v="I265160"/>
        <s v="I334494"/>
        <s v="I201268"/>
        <s v="I246926"/>
        <s v="I686127"/>
        <s v="I284096"/>
        <s v="I657069"/>
        <s v="I293524"/>
        <s v="I194512"/>
        <s v="I190797"/>
        <s v="I177957"/>
        <s v="I433430"/>
        <s v="I330510"/>
        <s v="I207604"/>
        <s v="I297993"/>
        <s v="I973333"/>
        <s v="I304265"/>
        <s v="I319891"/>
        <s v="I320617"/>
        <s v="I191521"/>
        <s v="I187101"/>
        <s v="I250931"/>
        <s v="I196168"/>
        <s v="I266781"/>
        <s v="I164286"/>
        <s v="I326791"/>
        <s v="I689264"/>
        <s v="I233655"/>
        <s v="I136107"/>
        <s v="I313697"/>
        <s v="I169221"/>
        <s v="I227836"/>
        <s v="I278332"/>
        <s v="I151036"/>
        <s v="I471896"/>
        <s v="I292434"/>
        <s v="I272650"/>
        <s v="I125963"/>
        <s v="I219780"/>
        <s v="I177135"/>
        <s v="I409629"/>
        <s v="I108621"/>
        <s v="I255923"/>
        <s v="I270096"/>
        <s v="I112526"/>
        <s v="I152586"/>
        <s v="I195226"/>
        <s v="I333054"/>
        <s v="I134446"/>
        <s v="I160799"/>
        <s v="I798213"/>
        <s v="I719056"/>
        <s v="I275869"/>
        <s v="I247695"/>
        <s v="I897883"/>
        <s v="I295895"/>
        <s v="I532109"/>
        <s v="I114445"/>
        <s v="I214239"/>
        <s v="I258245"/>
        <s v="I991090"/>
        <s v="I225454"/>
        <s v="I239292"/>
        <s v="I215478"/>
        <s v="I314982"/>
        <s v="I762439"/>
        <s v="I252070"/>
        <s v="I152100"/>
        <s v="I182988"/>
        <s v="I136262"/>
        <s v="I260132"/>
        <s v="I855056"/>
        <s v="I320847"/>
        <s v="I127733"/>
        <s v="I195078"/>
        <s v="I124100"/>
        <s v="I240751"/>
        <s v="I415140"/>
        <s v="I877397"/>
        <s v="I284850"/>
        <s v="I632702"/>
        <s v="I323577"/>
        <s v="I169755"/>
        <s v="I282516"/>
        <s v="I327199"/>
        <s v="I323783"/>
        <s v="I115607"/>
        <s v="I420763"/>
        <s v="I178265"/>
        <s v="I165087"/>
        <s v="I242660"/>
        <s v="I232308"/>
        <s v="I299866"/>
        <s v="I601974"/>
        <s v="I976566"/>
        <s v="I140741"/>
        <s v="I245683"/>
        <s v="I172004"/>
        <s v="I183898"/>
        <s v="I247990"/>
        <s v="I524058"/>
        <s v="I185098"/>
        <s v="I151764"/>
        <s v="I866304"/>
        <s v="I167048"/>
        <s v="I144914"/>
        <s v="I302546"/>
        <s v="I173571"/>
        <s v="I112223"/>
        <s v="I251423"/>
        <s v="I255537"/>
        <s v="I126770"/>
        <s v="I773945"/>
        <s v="I339115"/>
        <s v="I334885"/>
        <s v="I115042"/>
        <s v="I759869"/>
        <s v="I302268"/>
        <s v="I100193"/>
        <s v="I287972"/>
        <s v="I241333"/>
        <s v="I306076"/>
        <s v="I172754"/>
        <s v="I968148"/>
        <s v="I299001"/>
        <s v="I317199"/>
        <s v="I281394"/>
        <s v="I179179"/>
        <s v="I101148"/>
        <s v="I239707"/>
        <s v="I167285"/>
        <s v="I225045"/>
        <s v="I154569"/>
        <s v="I286651"/>
        <s v="I134632"/>
        <s v="I258991"/>
        <s v="I182012"/>
        <s v="I621093"/>
        <s v="I231897"/>
        <s v="I184417"/>
        <s v="I711373"/>
        <s v="I330593"/>
        <s v="I136890"/>
        <s v="I130485"/>
        <s v="I200143"/>
        <s v="I639644"/>
        <s v="I627117"/>
        <s v="I240017"/>
        <s v="I225304"/>
        <s v="I474169"/>
        <s v="I259816"/>
        <s v="I187453"/>
        <s v="I274432"/>
        <s v="I850308"/>
        <s v="I176638"/>
        <s v="I192173"/>
        <s v="I601026"/>
        <s v="I319234"/>
        <s v="I229066"/>
        <s v="I242835"/>
        <s v="I957939"/>
        <s v="I312282"/>
        <s v="I301433"/>
        <s v="I204929"/>
        <s v="I241779"/>
        <s v="I104505"/>
        <s v="I107116"/>
        <s v="I200141"/>
        <s v="I305702"/>
        <s v="I569071"/>
        <s v="I234383"/>
        <s v="I760290"/>
        <s v="I876594"/>
        <s v="I298256"/>
        <s v="I183994"/>
        <s v="I183315"/>
        <s v="I248976"/>
        <s v="I304306"/>
        <s v="I483331"/>
        <s v="I617062"/>
        <s v="I254341"/>
        <s v="I183623"/>
        <s v="I202865"/>
        <s v="I195754"/>
        <s v="I877413"/>
        <s v="I140026"/>
        <s v="I277462"/>
        <s v="I598182"/>
        <s v="I638751"/>
        <s v="I176115"/>
        <s v="I545896"/>
        <s v="I249303"/>
        <s v="I108854"/>
        <s v="I105189"/>
        <s v="I126080"/>
        <s v="I160254"/>
        <s v="I265979"/>
        <s v="I120437"/>
        <s v="I862119"/>
        <s v="I114768"/>
        <s v="I141399"/>
        <s v="I222072"/>
        <s v="I304711"/>
        <s v="I187434"/>
        <s v="I145770"/>
        <s v="I210732"/>
        <s v="I123592"/>
        <s v="I779427"/>
        <s v="I187777"/>
        <s v="I248622"/>
        <s v="I293161"/>
        <s v="I206607"/>
        <s v="I264238"/>
        <s v="I304472"/>
        <s v="I332936"/>
        <s v="I850178"/>
        <s v="I218666"/>
        <s v="I281054"/>
        <s v="I191855"/>
        <s v="I207205"/>
        <s v="I791338"/>
        <s v="I337844"/>
        <s v="I359969"/>
        <s v="I580806"/>
        <s v="I352031"/>
        <s v="I180153"/>
        <s v="I202518"/>
        <s v="I266672"/>
        <s v="I129187"/>
        <s v="I314619"/>
        <s v="I224499"/>
        <s v="I332121"/>
        <s v="I309383"/>
        <s v="I157859"/>
        <s v="I307717"/>
        <s v="I203708"/>
        <s v="I246550"/>
        <s v="I244354"/>
        <s v="I227944"/>
        <s v="I150030"/>
        <s v="I261575"/>
        <s v="I236889"/>
        <s v="I318056"/>
        <s v="I970915"/>
        <s v="I133005"/>
        <s v="I676075"/>
        <s v="I328982"/>
        <s v="I278791"/>
        <s v="I383070"/>
        <s v="I663376"/>
        <s v="I327032"/>
        <s v="I129429"/>
        <s v="I239542"/>
        <s v="I285686"/>
        <s v="I225853"/>
        <s v="I884829"/>
        <s v="I400039"/>
        <s v="I852722"/>
        <s v="I277961"/>
        <s v="I143457"/>
        <s v="I402236"/>
        <s v="I699353"/>
        <s v="I326095"/>
        <s v="I668689"/>
        <s v="I282321"/>
        <s v="I337587"/>
        <s v="I832317"/>
        <s v="I217694"/>
        <s v="I320692"/>
        <s v="I282799"/>
        <s v="I127620"/>
        <s v="I392829"/>
        <s v="I119784"/>
        <s v="I126279"/>
        <s v="I193976"/>
        <s v="I230515"/>
        <s v="I106126"/>
        <s v="I145220"/>
        <s v="I264652"/>
        <s v="I107109"/>
        <s v="I324896"/>
        <s v="I335368"/>
        <s v="I467431"/>
        <s v="I179419"/>
        <s v="I184787"/>
        <s v="I221816"/>
        <s v="I198050"/>
        <s v="I226742"/>
        <s v="I336170"/>
        <s v="I757763"/>
        <s v="I166220"/>
        <s v="I263887"/>
        <s v="I171475"/>
        <s v="I214874"/>
        <s v="I144638"/>
        <s v="I169015"/>
        <s v="I187546"/>
        <s v="I277753"/>
        <s v="I224224"/>
        <s v="I138802"/>
        <s v="I241328"/>
        <s v="I708279"/>
        <s v="I118191"/>
        <s v="I953082"/>
        <s v="I270003"/>
        <s v="I121484"/>
        <s v="I475155"/>
        <s v="I336238"/>
        <s v="I276974"/>
        <s v="I131492"/>
        <s v="I334883"/>
        <s v="I723837"/>
        <s v="I238607"/>
        <s v="I254395"/>
        <s v="I285671"/>
        <s v="I262465"/>
        <s v="I240383"/>
        <s v="I720017"/>
        <s v="I297985"/>
        <s v="I106587"/>
        <s v="I126253"/>
        <s v="I184498"/>
        <s v="I231607"/>
        <s v="I160222"/>
        <s v="I161622"/>
        <s v="I367748"/>
        <s v="I160107"/>
        <s v="I137065"/>
        <s v="I157510"/>
        <s v="I158547"/>
        <s v="I936222"/>
        <s v="I108009"/>
        <s v="I175773"/>
        <s v="I173012"/>
        <s v="I139341"/>
        <s v="I320668"/>
        <s v="I184239"/>
        <s v="I318269"/>
        <s v="I117045"/>
        <s v="I446752"/>
        <s v="I126100"/>
        <s v="I142874"/>
        <s v="I454983"/>
        <s v="I203735"/>
        <s v="I240021"/>
        <s v="I151272"/>
        <s v="I139454"/>
        <s v="I248578"/>
        <s v="I183538"/>
        <s v="I284561"/>
        <s v="I207734"/>
        <s v="I236096"/>
        <s v="I967976"/>
        <s v="I197375"/>
        <s v="I322773"/>
        <s v="I247218"/>
        <s v="I742010"/>
        <s v="I411189"/>
        <s v="I255404"/>
        <s v="I106688"/>
        <s v="I234774"/>
        <s v="I190479"/>
        <s v="I270606"/>
        <s v="I832553"/>
        <s v="I641320"/>
        <s v="I320851"/>
        <s v="I152967"/>
        <s v="I188855"/>
        <s v="I199890"/>
        <s v="I188049"/>
        <s v="I289433"/>
        <s v="I280483"/>
        <s v="I102199"/>
        <s v="I309681"/>
        <s v="I299434"/>
        <s v="I130056"/>
        <s v="I305102"/>
        <s v="I141691"/>
        <s v="I110843"/>
        <s v="I158957"/>
        <s v="I100897"/>
        <s v="I714982"/>
        <s v="I212156"/>
        <s v="I312496"/>
        <s v="I239501"/>
        <s v="I818734"/>
        <s v="I236696"/>
        <s v="I170003"/>
        <s v="I203031"/>
        <s v="I111110"/>
        <s v="I301530"/>
        <s v="I185765"/>
        <s v="I230361"/>
        <s v="I126731"/>
        <s v="I126336"/>
        <s v="I296120"/>
        <s v="I103577"/>
        <s v="I280712"/>
        <s v="I131266"/>
        <s v="I255853"/>
        <s v="I162565"/>
        <s v="I318132"/>
        <s v="I912553"/>
        <s v="I194762"/>
        <s v="I194574"/>
        <s v="I256652"/>
        <s v="I136504"/>
        <s v="I191846"/>
        <s v="I747228"/>
        <s v="I188801"/>
        <s v="I836239"/>
        <s v="I333489"/>
        <s v="I146964"/>
        <s v="I238630"/>
        <s v="I202691"/>
        <s v="I320504"/>
        <s v="I286000"/>
        <s v="I301266"/>
        <s v="I259657"/>
        <s v="I118405"/>
        <s v="I316429"/>
        <s v="I325435"/>
        <s v="I783835"/>
        <s v="I737389"/>
        <s v="I109432"/>
        <s v="I150992"/>
        <s v="I812874"/>
        <s v="I382367"/>
        <s v="I229035"/>
        <s v="I279692"/>
        <s v="I950702"/>
        <s v="I276763"/>
        <s v="I108736"/>
        <s v="I593716"/>
        <s v="I169002"/>
        <s v="I245148"/>
        <s v="I330536"/>
        <s v="I186033"/>
        <s v="I423782"/>
        <s v="I182732"/>
        <s v="I730973"/>
        <s v="I194209"/>
        <s v="I119280"/>
        <s v="I299362"/>
        <s v="I273623"/>
        <s v="I402286"/>
        <s v="I332144"/>
        <s v="I165977"/>
        <s v="I136804"/>
        <s v="I328625"/>
        <s v="I257102"/>
        <s v="I278949"/>
        <s v="I288549"/>
        <s v="I435868"/>
        <s v="I197447"/>
        <s v="I138225"/>
        <s v="I783231"/>
        <s v="I166881"/>
        <s v="I182338"/>
        <s v="I111638"/>
        <s v="I157477"/>
        <s v="I469111"/>
        <s v="I267637"/>
        <s v="I179141"/>
        <s v="I305917"/>
        <s v="I171193"/>
        <s v="I168077"/>
        <s v="I331405"/>
        <s v="I107367"/>
        <s v="I221492"/>
        <s v="I272477"/>
        <s v="I163274"/>
        <s v="I238432"/>
        <s v="I141017"/>
        <s v="I770343"/>
        <s v="I251543"/>
        <s v="I245211"/>
        <s v="I782498"/>
        <s v="I258797"/>
        <s v="I327337"/>
        <s v="I191054"/>
        <s v="I233772"/>
        <s v="I187144"/>
        <s v="I747082"/>
        <s v="I339095"/>
        <s v="I336755"/>
        <s v="I210803"/>
        <s v="I827398"/>
        <s v="I134517"/>
        <s v="I228335"/>
        <s v="I332711"/>
        <s v="I138693"/>
        <s v="I135195"/>
        <s v="I148120"/>
        <s v="I218954"/>
        <s v="I142245"/>
        <s v="I280022"/>
        <s v="I161764"/>
        <s v="I308427"/>
        <s v="I433700"/>
        <s v="I586154"/>
        <s v="I272533"/>
        <s v="I228882"/>
        <s v="I209313"/>
        <s v="I339004"/>
        <s v="I278351"/>
        <s v="I259581"/>
        <s v="I265715"/>
        <s v="I683780"/>
        <s v="I106060"/>
        <s v="I206387"/>
        <s v="I907323"/>
        <s v="I188735"/>
        <s v="I331845"/>
        <s v="I260572"/>
        <s v="I130954"/>
        <s v="I283927"/>
        <s v="I259780"/>
        <s v="I245787"/>
        <s v="I139437"/>
        <s v="I137813"/>
        <s v="I100760"/>
        <s v="I173141"/>
        <s v="I200916"/>
        <s v="I149647"/>
        <s v="I125103"/>
        <s v="I181898"/>
        <s v="I178847"/>
        <s v="I233687"/>
        <s v="I904535"/>
        <s v="I152090"/>
        <s v="I241028"/>
        <s v="I303976"/>
        <s v="I157537"/>
        <s v="I240299"/>
        <s v="I103006"/>
        <s v="I296685"/>
        <s v="I991897"/>
        <s v="I294326"/>
        <s v="I332714"/>
        <s v="I405220"/>
        <s v="I584641"/>
        <s v="I337040"/>
        <s v="I520629"/>
        <s v="I128427"/>
        <s v="I225873"/>
        <s v="I129272"/>
        <s v="I331013"/>
        <s v="I157454"/>
        <s v="I861190"/>
        <s v="I303963"/>
        <s v="I168181"/>
        <s v="I296197"/>
        <s v="I229099"/>
        <s v="I311153"/>
        <s v="I242848"/>
        <s v="I211272"/>
        <s v="I245496"/>
        <s v="I221142"/>
        <s v="I154469"/>
        <s v="I519408"/>
        <s v="I159123"/>
        <s v="I270032"/>
        <s v="I219841"/>
        <s v="I243262"/>
        <s v="I235328"/>
        <s v="I335300"/>
        <s v="I162777"/>
        <s v="I164354"/>
        <s v="I319561"/>
        <s v="I239448"/>
        <s v="I129845"/>
        <s v="I146445"/>
        <s v="I476456"/>
        <s v="I161791"/>
        <s v="I257032"/>
        <s v="I214852"/>
        <s v="I139836"/>
        <s v="I280823"/>
        <s v="I186465"/>
        <s v="I247115"/>
        <s v="I150787"/>
        <s v="I316937"/>
        <s v="I617893"/>
        <s v="I265216"/>
        <s v="I317083"/>
        <s v="I303861"/>
        <s v="I472987"/>
        <s v="I398554"/>
        <s v="I251728"/>
        <s v="I431183"/>
        <s v="I638275"/>
        <s v="I775415"/>
        <s v="I326489"/>
        <s v="I132394"/>
        <s v="I994913"/>
        <s v="I149740"/>
        <s v="I316468"/>
        <s v="I450781"/>
        <s v="I136331"/>
        <s v="I502412"/>
        <s v="I169292"/>
        <s v="I677367"/>
        <s v="I111579"/>
        <s v="I178408"/>
        <s v="I276727"/>
        <s v="I321417"/>
        <s v="I199693"/>
        <s v="I160636"/>
        <s v="I161496"/>
        <s v="I259248"/>
        <s v="I265706"/>
        <s v="I352528"/>
        <s v="I211460"/>
        <s v="I157236"/>
        <s v="I479247"/>
        <s v="I240283"/>
        <s v="I324202"/>
        <s v="I284828"/>
        <s v="I266127"/>
        <s v="I258358"/>
        <s v="I514285"/>
        <s v="I321242"/>
        <s v="I759283"/>
        <s v="I153468"/>
        <s v="I541215"/>
        <s v="I168037"/>
        <s v="I108378"/>
        <s v="I250253"/>
        <s v="I237899"/>
        <s v="I153928"/>
        <s v="I323790"/>
        <s v="I299820"/>
        <s v="I274148"/>
        <s v="I299945"/>
        <s v="I161865"/>
        <s v="I188932"/>
        <s v="I203631"/>
        <s v="I179204"/>
        <s v="I254508"/>
        <s v="I277523"/>
        <s v="I193571"/>
        <s v="I284282"/>
        <s v="I203460"/>
        <s v="I100215"/>
        <s v="I335299"/>
        <s v="I233823"/>
        <s v="I229929"/>
        <s v="I211213"/>
        <s v="I713466"/>
        <s v="I381863"/>
        <s v="I235821"/>
        <s v="I146932"/>
        <s v="I100251"/>
        <s v="I202574"/>
        <s v="I104160"/>
        <s v="I977587"/>
        <s v="I203386"/>
        <s v="I694501"/>
        <s v="I215141"/>
        <s v="I282718"/>
        <s v="I275685"/>
        <s v="I110599"/>
        <s v="I656672"/>
        <s v="I189261"/>
        <s v="I797319"/>
        <s v="I511790"/>
        <s v="I180908"/>
        <s v="I243483"/>
        <s v="I180528"/>
        <s v="I487603"/>
        <s v="I428118"/>
        <s v="I990833"/>
        <s v="I201201"/>
        <s v="I177331"/>
        <s v="I158181"/>
        <s v="I256466"/>
        <s v="I963325"/>
        <s v="I298023"/>
        <s v="I194759"/>
        <s v="I331339"/>
        <s v="I240079"/>
        <s v="I252825"/>
        <s v="I192619"/>
        <s v="I126873"/>
        <s v="I297717"/>
        <s v="I261954"/>
        <s v="I559463"/>
        <s v="I255066"/>
        <s v="I203272"/>
        <s v="I300962"/>
        <s v="I285872"/>
        <s v="I307057"/>
        <s v="I118772"/>
        <s v="I869107"/>
        <s v="I215721"/>
        <s v="I312608"/>
        <s v="I292395"/>
        <s v="I325218"/>
        <s v="I158977"/>
        <s v="I231295"/>
        <s v="I316611"/>
        <s v="I270947"/>
        <s v="I411184"/>
        <s v="I101171"/>
        <s v="I321342"/>
        <s v="I117872"/>
        <s v="I123287"/>
        <s v="I249846"/>
        <s v="I213299"/>
        <s v="I115471"/>
        <s v="I161336"/>
        <s v="I154426"/>
        <s v="I167895"/>
        <s v="I214405"/>
        <s v="I315600"/>
        <s v="I417930"/>
        <s v="I685727"/>
        <s v="I300240"/>
        <s v="I109183"/>
        <s v="I239721"/>
        <s v="I246032"/>
        <s v="I191732"/>
        <s v="I321323"/>
        <s v="I113242"/>
        <s v="I298271"/>
        <s v="I255113"/>
        <s v="I170468"/>
        <s v="I320282"/>
        <s v="I195723"/>
        <s v="I174207"/>
        <s v="I124551"/>
        <s v="I581076"/>
        <s v="I113566"/>
        <s v="I475108"/>
        <s v="I262220"/>
        <s v="I512570"/>
        <s v="I163202"/>
        <s v="I223001"/>
        <s v="I807792"/>
        <s v="I879408"/>
        <s v="I225839"/>
        <s v="I328943"/>
        <s v="I196819"/>
        <s v="I238586"/>
        <s v="I221278"/>
        <s v="I114727"/>
        <s v="I189399"/>
        <s v="I526683"/>
        <s v="I893043"/>
        <s v="I232025"/>
        <s v="I216249"/>
        <s v="I295401"/>
        <s v="I953657"/>
        <s v="I175130"/>
        <s v="I526871"/>
        <s v="I153869"/>
        <s v="I314977"/>
        <s v="I460213"/>
        <s v="I161871"/>
        <s v="I239388"/>
        <s v="I173014"/>
        <s v="I209580"/>
        <s v="I205903"/>
        <s v="I847530"/>
        <s v="I148377"/>
        <s v="I134241"/>
        <s v="I298782"/>
        <s v="I472142"/>
        <s v="I245514"/>
        <s v="I330975"/>
        <s v="I193657"/>
        <s v="I194098"/>
        <s v="I161165"/>
        <s v="I317125"/>
        <s v="I756230"/>
        <s v="I297592"/>
        <s v="I505432"/>
        <s v="I116694"/>
        <s v="I129886"/>
        <s v="I329342"/>
        <s v="I230958"/>
        <s v="I385064"/>
        <s v="I134126"/>
        <s v="I273471"/>
        <s v="I293590"/>
        <s v="I737630"/>
        <s v="I208592"/>
        <s v="I192290"/>
        <s v="I327472"/>
        <s v="I132365"/>
        <s v="I251743"/>
        <s v="I623367"/>
        <s v="I149251"/>
        <s v="I522612"/>
        <s v="I106776"/>
        <s v="I221056"/>
        <s v="I226372"/>
        <s v="I883163"/>
        <s v="I157325"/>
        <s v="I309770"/>
        <s v="I423941"/>
        <s v="I842391"/>
        <s v="I203706"/>
        <s v="I928847"/>
        <s v="I421053"/>
        <s v="I132621"/>
        <s v="I871521"/>
        <s v="I128697"/>
        <s v="I268975"/>
        <s v="I290993"/>
        <s v="I433328"/>
        <s v="I300857"/>
        <s v="I747114"/>
        <s v="I204520"/>
        <s v="I120242"/>
        <s v="I893687"/>
        <s v="I336420"/>
        <s v="I602716"/>
        <s v="I160204"/>
        <s v="I274965"/>
        <s v="I111426"/>
        <s v="I299958"/>
        <s v="I323985"/>
        <s v="I119657"/>
        <s v="I146978"/>
        <s v="I338863"/>
        <s v="I112973"/>
        <s v="I645506"/>
        <s v="I158486"/>
        <s v="I946274"/>
        <s v="I135321"/>
        <s v="I284009"/>
        <s v="I171870"/>
        <s v="I260737"/>
        <s v="I106014"/>
        <s v="I272403"/>
        <s v="I702237"/>
        <s v="I331938"/>
        <s v="I289889"/>
        <s v="I160116"/>
        <s v="I278709"/>
        <s v="I254885"/>
        <s v="I215578"/>
        <s v="I236128"/>
        <s v="I322119"/>
        <s v="I160332"/>
        <s v="I112089"/>
        <s v="I320437"/>
        <s v="I267506"/>
        <s v="I853787"/>
        <s v="I111896"/>
        <s v="I199379"/>
        <s v="I120105"/>
        <s v="I846448"/>
        <s v="I106639"/>
        <s v="I494256"/>
        <s v="I256046"/>
        <s v="I243395"/>
        <s v="I255149"/>
        <s v="I176469"/>
        <s v="I252614"/>
        <s v="I262125"/>
        <s v="I121611"/>
        <s v="I698377"/>
        <s v="I286319"/>
        <s v="I153511"/>
        <s v="I116887"/>
        <s v="I225058"/>
        <s v="I201067"/>
        <s v="I663124"/>
        <s v="I121628"/>
        <s v="I279695"/>
        <s v="I239500"/>
        <s v="I310692"/>
        <s v="I261689"/>
        <s v="I241129"/>
        <s v="I224917"/>
        <s v="I132610"/>
        <s v="I136983"/>
        <s v="I192573"/>
        <s v="I996056"/>
        <s v="I223193"/>
        <s v="I230057"/>
        <s v="I106028"/>
        <s v="I877775"/>
        <s v="I105642"/>
        <s v="I181481"/>
        <s v="I297486"/>
        <s v="I506215"/>
        <s v="I265671"/>
        <s v="I139536"/>
        <s v="I368815"/>
        <s v="I158058"/>
        <s v="I250281"/>
        <s v="I158425"/>
        <s v="I863812"/>
        <s v="I970966"/>
        <s v="I338411"/>
        <s v="I278121"/>
        <s v="I189850"/>
        <s v="I463928"/>
        <s v="I194240"/>
        <s v="I290137"/>
        <s v="I959386"/>
        <s v="I116014"/>
        <s v="I147297"/>
        <s v="I177371"/>
        <s v="I537242"/>
        <s v="I307267"/>
        <s v="I276929"/>
        <s v="I864685"/>
        <s v="I844405"/>
        <s v="I238275"/>
        <s v="I273890"/>
        <s v="I251730"/>
        <s v="I154538"/>
        <s v="I128309"/>
        <s v="I181035"/>
        <s v="I116516"/>
        <s v="I777006"/>
        <s v="I289402"/>
        <s v="I151101"/>
        <s v="I247300"/>
        <s v="I392560"/>
        <s v="I167019"/>
        <s v="I313516"/>
        <s v="I119114"/>
        <s v="I193314"/>
        <s v="I805507"/>
        <s v="I324339"/>
        <s v="I210650"/>
        <s v="I444838"/>
        <s v="I572990"/>
        <s v="I122256"/>
        <s v="I716275"/>
        <s v="I313541"/>
        <s v="I263892"/>
        <s v="I137081"/>
        <s v="I345856"/>
        <s v="I939160"/>
        <s v="I385587"/>
        <s v="I247751"/>
        <s v="I261634"/>
        <s v="I207457"/>
        <s v="I124379"/>
        <s v="I752106"/>
        <s v="I216861"/>
        <s v="I264584"/>
        <s v="I300649"/>
        <s v="I171643"/>
        <s v="I120780"/>
        <s v="I112291"/>
        <s v="I232402"/>
        <s v="I243907"/>
        <s v="I229522"/>
        <s v="I512436"/>
        <s v="I334418"/>
        <s v="I231982"/>
        <s v="I120023"/>
        <s v="I244499"/>
        <s v="I358791"/>
        <s v="I202470"/>
        <s v="I124941"/>
        <s v="I247040"/>
        <s v="I272569"/>
        <s v="I273172"/>
        <s v="I212128"/>
        <s v="I227594"/>
        <s v="I159210"/>
        <s v="I253829"/>
        <s v="I156402"/>
        <s v="I338615"/>
        <s v="I907805"/>
        <s v="I358397"/>
        <s v="I108514"/>
        <s v="I249148"/>
        <s v="I108085"/>
        <s v="I786008"/>
        <s v="I180391"/>
        <s v="I185556"/>
        <s v="I163294"/>
        <s v="I338966"/>
        <s v="I196042"/>
        <s v="I135708"/>
        <s v="I882032"/>
        <s v="I229755"/>
        <s v="I236880"/>
        <s v="I330018"/>
        <s v="I244241"/>
        <s v="I339965"/>
        <s v="I666179"/>
        <s v="I834992"/>
        <s v="I146236"/>
        <s v="I968519"/>
        <s v="I168913"/>
        <s v="I309676"/>
        <s v="I175461"/>
        <s v="I677806"/>
        <s v="I289438"/>
        <s v="I114236"/>
        <s v="I252612"/>
        <s v="I977597"/>
        <s v="I380300"/>
        <s v="I117504"/>
        <s v="I153139"/>
        <s v="I184696"/>
        <s v="I107322"/>
        <s v="I190751"/>
        <s v="I571169"/>
        <s v="I178134"/>
        <s v="I153775"/>
        <s v="I306777"/>
        <s v="I867619"/>
        <s v="I301032"/>
        <s v="I915147"/>
        <s v="I121919"/>
        <s v="I338817"/>
        <s v="I180994"/>
        <s v="I932061"/>
        <s v="I310984"/>
        <s v="I123765"/>
        <s v="I240230"/>
        <s v="I288681"/>
        <s v="I292012"/>
        <s v="I343140"/>
        <s v="I156154"/>
        <s v="I259898"/>
        <s v="I297050"/>
        <s v="I294869"/>
        <s v="I267247"/>
        <s v="I264140"/>
        <s v="I966712"/>
        <s v="I299019"/>
        <s v="I280961"/>
        <s v="I610881"/>
        <s v="I114403"/>
        <s v="I290204"/>
        <s v="I234436"/>
        <s v="I147692"/>
        <s v="I304932"/>
        <s v="I806254"/>
        <s v="I651105"/>
        <s v="I848648"/>
        <s v="I198142"/>
        <s v="I241425"/>
        <s v="I179764"/>
        <s v="I137243"/>
        <s v="I659960"/>
        <s v="I101456"/>
        <s v="I243175"/>
        <s v="I143340"/>
        <s v="I179848"/>
        <s v="I129022"/>
        <s v="I541493"/>
        <s v="I323352"/>
        <s v="I281611"/>
        <s v="I681499"/>
        <s v="I217386"/>
        <s v="I104790"/>
        <s v="I249154"/>
        <s v="I241998"/>
        <s v="I737965"/>
        <s v="I628942"/>
        <s v="I144524"/>
        <s v="I468954"/>
        <s v="I101896"/>
        <s v="I131340"/>
        <s v="I878662"/>
        <s v="I217159"/>
        <s v="I439434"/>
        <s v="I207389"/>
        <s v="I204421"/>
        <s v="I270394"/>
        <s v="I399559"/>
        <s v="I187771"/>
        <s v="I203924"/>
        <s v="I616254"/>
        <s v="I308105"/>
        <s v="I154905"/>
        <s v="I120468"/>
        <s v="I285115"/>
        <s v="I937134"/>
        <s v="I665541"/>
        <s v="I402202"/>
        <s v="I143416"/>
        <s v="I195025"/>
        <s v="I148577"/>
        <s v="I270544"/>
        <s v="I173467"/>
        <s v="I130822"/>
        <s v="I253258"/>
        <s v="I158845"/>
        <s v="I338099"/>
        <s v="I845108"/>
        <s v="I261543"/>
        <s v="I219999"/>
        <s v="I230790"/>
        <s v="I199670"/>
        <s v="I638509"/>
        <s v="I136919"/>
        <s v="I448589"/>
        <s v="I144565"/>
        <s v="I334600"/>
        <s v="I300213"/>
        <s v="I120712"/>
        <s v="I273464"/>
        <s v="I185164"/>
        <s v="I233400"/>
        <s v="I338543"/>
        <s v="I979453"/>
        <s v="I726460"/>
        <s v="I229717"/>
        <s v="I666635"/>
        <s v="I265038"/>
        <s v="I454682"/>
        <s v="I288985"/>
        <s v="I210882"/>
        <s v="I919290"/>
        <s v="I307325"/>
        <s v="I358449"/>
        <s v="I177013"/>
        <s v="I562222"/>
        <s v="I222086"/>
        <s v="I230210"/>
        <s v="I296312"/>
        <s v="I261968"/>
        <s v="I136519"/>
        <s v="I725007"/>
        <s v="I212426"/>
        <s v="I232977"/>
        <s v="I189285"/>
        <s v="I255430"/>
        <s v="I305181"/>
        <s v="I268043"/>
        <s v="I845388"/>
        <s v="I246455"/>
        <s v="I266102"/>
        <s v="I264076"/>
        <s v="I329991"/>
        <s v="I604957"/>
        <s v="I305432"/>
        <s v="I185879"/>
        <s v="I332398"/>
        <s v="I216450"/>
        <s v="I278095"/>
        <s v="I793619"/>
        <s v="I125636"/>
        <s v="I410482"/>
        <s v="I541028"/>
        <s v="I524692"/>
        <s v="I298471"/>
        <s v="I118954"/>
        <s v="I500524"/>
        <s v="I821146"/>
        <s v="I281576"/>
        <s v="I234437"/>
        <s v="I338432"/>
        <s v="I233226"/>
        <s v="I158248"/>
        <s v="I172374"/>
        <s v="I173702"/>
        <s v="I283631"/>
        <s v="I125995"/>
        <s v="I317825"/>
        <s v="I248983"/>
        <s v="I122655"/>
        <s v="I190011"/>
        <s v="I170743"/>
        <s v="I326466"/>
        <s v="I263074"/>
        <s v="I948767"/>
        <s v="I119951"/>
        <s v="I284185"/>
        <s v="I283725"/>
        <s v="I839927"/>
        <s v="I347738"/>
        <s v="I147310"/>
        <s v="I153503"/>
        <s v="I195567"/>
        <s v="I271577"/>
        <s v="I155987"/>
        <s v="I334155"/>
        <s v="I222662"/>
        <s v="I326925"/>
        <s v="I197185"/>
        <s v="I188073"/>
        <s v="I328760"/>
        <s v="I184750"/>
        <s v="I164675"/>
        <s v="I275774"/>
        <s v="I157698"/>
        <s v="I559391"/>
        <s v="I326599"/>
        <s v="I288734"/>
        <s v="I202425"/>
        <s v="I263217"/>
        <s v="I239155"/>
        <s v="I337030"/>
        <s v="I116128"/>
        <s v="I106077"/>
        <s v="I460965"/>
        <s v="I338607"/>
        <s v="I328046"/>
        <s v="I959803"/>
        <s v="I788145"/>
        <s v="I142331"/>
        <s v="I296765"/>
        <s v="I219251"/>
        <s v="I194688"/>
        <s v="I258738"/>
        <s v="I295303"/>
        <s v="I796744"/>
        <s v="I286200"/>
        <s v="I477158"/>
        <s v="I204897"/>
        <s v="I298482"/>
        <s v="I276352"/>
        <s v="I259277"/>
        <s v="I267640"/>
        <s v="I225124"/>
        <s v="I133240"/>
        <s v="I577375"/>
        <s v="I243841"/>
      </sharedItems>
    </cacheField>
    <cacheField name="customer_id" numFmtId="0">
      <sharedItems count="2000">
        <s v="C100299"/>
        <s v="C100322"/>
        <s v="C100484"/>
        <s v="C100507"/>
        <s v="C100684"/>
        <s v="C101074"/>
        <s v="C101108"/>
        <s v="C101196"/>
        <s v="C101248"/>
        <s v="C101261"/>
        <s v="C101550"/>
        <s v="C101897"/>
        <s v="C102275"/>
        <s v="C102301"/>
        <s v="C102515"/>
        <s v="C102560"/>
        <s v="C102567"/>
        <s v="C102607"/>
        <s v="C102685"/>
        <s v="C102849"/>
        <s v="C102926"/>
        <s v="C103073"/>
        <s v="C103461"/>
        <s v="C103577"/>
        <s v="C103741"/>
        <s v="C103824"/>
        <s v="C103877"/>
        <s v="C103888"/>
        <s v="C103896"/>
        <s v="C103944"/>
        <s v="C104350"/>
        <s v="C104690"/>
        <s v="C104728"/>
        <s v="C104963"/>
        <s v="C104985"/>
        <s v="C105060"/>
        <s v="C105423"/>
        <s v="C105429"/>
        <s v="C105474"/>
        <s v="C105743"/>
        <s v="C105764"/>
        <s v="C105862"/>
        <s v="C106066"/>
        <s v="C106311"/>
        <s v="C106583"/>
        <s v="C106775"/>
        <s v="C107258"/>
        <s v="C107261"/>
        <s v="C107279"/>
        <s v="C107399"/>
        <s v="C107668"/>
        <s v="C108007"/>
        <s v="C108367"/>
        <s v="C108465"/>
        <s v="C108497"/>
        <s v="C108756"/>
        <s v="C108828"/>
        <s v="C108986"/>
        <s v="C109489"/>
        <s v="C109491"/>
        <s v="C109593"/>
        <s v="C109758"/>
        <s v="C109871"/>
        <s v="C109885"/>
        <s v="C110091"/>
        <s v="C110267"/>
        <s v="C110568"/>
        <s v="C110711"/>
        <s v="C111026"/>
        <s v="C111056"/>
        <s v="C111115"/>
        <s v="C111244"/>
        <s v="C111251"/>
        <s v="C111342"/>
        <s v="C111565"/>
        <s v="C111611"/>
        <s v="C111668"/>
        <s v="C111679"/>
        <s v="C111766"/>
        <s v="C111827"/>
        <s v="C111832"/>
        <s v="C111981"/>
        <s v="C112279"/>
        <s v="C112446"/>
        <s v="C112452"/>
        <s v="C112544"/>
        <s v="C112750"/>
        <s v="C113451"/>
        <s v="C113670"/>
        <s v="C113739"/>
        <s v="C113943"/>
        <s v="C114347"/>
        <s v="C114606"/>
        <s v="C114713"/>
        <s v="C114800"/>
        <s v="C114902"/>
        <s v="C115059"/>
        <s v="C115148"/>
        <s v="C115431"/>
        <s v="C115898"/>
        <s v="C116092"/>
        <s v="C116531"/>
        <s v="C116633"/>
        <s v="C116921"/>
        <s v="C117351"/>
        <s v="C118349"/>
        <s v="C118460"/>
        <s v="C118571"/>
        <s v="C118689"/>
        <s v="C118742"/>
        <s v="C119032"/>
        <s v="C119068"/>
        <s v="C119088"/>
        <s v="C119157"/>
        <s v="C119219"/>
        <s v="C119297"/>
        <s v="C119364"/>
        <s v="C119440"/>
        <s v="C119549"/>
        <s v="C119723"/>
        <s v="C119825"/>
        <s v="C119894"/>
        <s v="C120095"/>
        <s v="C120118"/>
        <s v="C120164"/>
        <s v="C120404"/>
        <s v="C120804"/>
        <s v="C121156"/>
        <s v="C121211"/>
        <s v="C121299"/>
        <s v="C121380"/>
        <s v="C121400"/>
        <s v="C121489"/>
        <s v="C121510"/>
        <s v="C121513"/>
        <s v="C121551"/>
        <s v="C121637"/>
        <s v="C121707"/>
        <s v="C121797"/>
        <s v="C121976"/>
        <s v="C122011"/>
        <s v="C122094"/>
        <s v="C122157"/>
        <s v="C122254"/>
        <s v="C122371"/>
        <s v="C122712"/>
        <s v="C122866"/>
        <s v="C123201"/>
        <s v="C123427"/>
        <s v="C123445"/>
        <s v="C123578"/>
        <s v="C123581"/>
        <s v="C123618"/>
        <s v="C123711"/>
        <s v="C123966"/>
        <s v="C123988"/>
        <s v="C124933"/>
        <s v="C125209"/>
        <s v="C125296"/>
        <s v="C125304"/>
        <s v="C125624"/>
        <s v="C125696"/>
        <s v="C125800"/>
        <s v="C126100"/>
        <s v="C126315"/>
        <s v="C126392"/>
        <s v="C126436"/>
        <s v="C126571"/>
        <s v="C126598"/>
        <s v="C126647"/>
        <s v="C126702"/>
        <s v="C126883"/>
        <s v="C126925"/>
        <s v="C126956"/>
        <s v="C127004"/>
        <s v="C127041"/>
        <s v="C127339"/>
        <s v="C127551"/>
        <s v="C127718"/>
        <s v="C127819"/>
        <s v="C127847"/>
        <s v="C127945"/>
        <s v="C128031"/>
        <s v="C128277"/>
        <s v="C128312"/>
        <s v="C128618"/>
        <s v="C128660"/>
        <s v="C128834"/>
        <s v="C128876"/>
        <s v="C129039"/>
        <s v="C129337"/>
        <s v="C129409"/>
        <s v="C129686"/>
        <s v="C129846"/>
        <s v="C129849"/>
        <s v="C129976"/>
        <s v="C130016"/>
        <s v="C130273"/>
        <s v="C130462"/>
        <s v="C130479"/>
        <s v="C130682"/>
        <s v="C130720"/>
        <s v="C130895"/>
        <s v="C131221"/>
        <s v="C131497"/>
        <s v="C131599"/>
        <s v="C131786"/>
        <s v="C131819"/>
        <s v="C131842"/>
        <s v="C132002"/>
        <s v="C132093"/>
        <s v="C132150"/>
        <s v="C132270"/>
        <s v="C132340"/>
        <s v="C132400"/>
        <s v="C132495"/>
        <s v="C132503"/>
        <s v="C132867"/>
        <s v="C132871"/>
        <s v="C133134"/>
        <s v="C133451"/>
        <s v="C133559"/>
        <s v="C133603"/>
        <s v="C133687"/>
        <s v="C133833"/>
        <s v="C133974"/>
        <s v="C134039"/>
        <s v="C134069"/>
        <s v="C134370"/>
        <s v="C134449"/>
        <s v="C134691"/>
        <s v="C134708"/>
        <s v="C135091"/>
        <s v="C135196"/>
        <s v="C135204"/>
        <s v="C135301"/>
        <s v="C135306"/>
        <s v="C135555"/>
        <s v="C135790"/>
        <s v="C135897"/>
        <s v="C136014"/>
        <s v="C136051"/>
        <s v="C136117"/>
        <s v="C136395"/>
        <s v="C136585"/>
        <s v="C136682"/>
        <s v="C136714"/>
        <s v="C137134"/>
        <s v="C137138"/>
        <s v="C137153"/>
        <s v="C137362"/>
        <s v="C137689"/>
        <s v="C137762"/>
        <s v="C137912"/>
        <s v="C138609"/>
        <s v="C138755"/>
        <s v="C138767"/>
        <s v="C139077"/>
        <s v="C139231"/>
        <s v="C139568"/>
        <s v="C140082"/>
        <s v="C140290"/>
        <s v="C140372"/>
        <s v="C140413"/>
        <s v="C140543"/>
        <s v="C141093"/>
        <s v="C141094"/>
        <s v="C141285"/>
        <s v="C141530"/>
        <s v="C141657"/>
        <s v="C141984"/>
        <s v="C142061"/>
        <s v="C142508"/>
        <s v="C142672"/>
        <s v="C142943"/>
        <s v="C143091"/>
        <s v="C143343"/>
        <s v="C143430"/>
        <s v="C143442"/>
        <s v="C143471"/>
        <s v="C143595"/>
        <s v="C143646"/>
        <s v="C143781"/>
        <s v="C143944"/>
        <s v="C144162"/>
        <s v="C144276"/>
        <s v="C144371"/>
        <s v="C144442"/>
        <s v="C144529"/>
        <s v="C144584"/>
        <s v="C144628"/>
        <s v="C144709"/>
        <s v="C144823"/>
        <s v="C144894"/>
        <s v="C145059"/>
        <s v="C145650"/>
        <s v="C145797"/>
        <s v="C145982"/>
        <s v="C146203"/>
        <s v="C146582"/>
        <s v="C146616"/>
        <s v="C146738"/>
        <s v="C146801"/>
        <s v="C147456"/>
        <s v="C148034"/>
        <s v="C148047"/>
        <s v="C148675"/>
        <s v="C149082"/>
        <s v="C149637"/>
        <s v="C149849"/>
        <s v="C150463"/>
        <s v="C150500"/>
        <s v="C150584"/>
        <s v="C150594"/>
        <s v="C150950"/>
        <s v="C151197"/>
        <s v="C151287"/>
        <s v="C151464"/>
        <s v="C151503"/>
        <s v="C151752"/>
        <s v="C151884"/>
        <s v="C152098"/>
        <s v="C152549"/>
        <s v="C152590"/>
        <s v="C152833"/>
        <s v="C152904"/>
        <s v="C152959"/>
        <s v="C153137"/>
        <s v="C153509"/>
        <s v="C153958"/>
        <s v="C154184"/>
        <s v="C155059"/>
        <s v="C155221"/>
        <s v="C155238"/>
        <s v="C155240"/>
        <s v="C155256"/>
        <s v="C155333"/>
        <s v="C155335"/>
        <s v="C155697"/>
        <s v="C155763"/>
        <s v="C156004"/>
        <s v="C156154"/>
        <s v="C156233"/>
        <s v="C156273"/>
        <s v="C156360"/>
        <s v="C156443"/>
        <s v="C156880"/>
        <s v="C157064"/>
        <s v="C157070"/>
        <s v="C157128"/>
        <s v="C157218"/>
        <s v="C157534"/>
        <s v="C157787"/>
        <s v="C158114"/>
        <s v="C158124"/>
        <s v="C158160"/>
        <s v="C158261"/>
        <s v="C158270"/>
        <s v="C158397"/>
        <s v="C158616"/>
        <s v="C158827"/>
        <s v="C158837"/>
        <s v="C158968"/>
        <s v="C159164"/>
        <s v="C159205"/>
        <s v="C159246"/>
        <s v="C159315"/>
        <s v="C159632"/>
        <s v="C159642"/>
        <s v="C159771"/>
        <s v="C159886"/>
        <s v="C160005"/>
        <s v="C160190"/>
        <s v="C160201"/>
        <s v="C160421"/>
        <s v="C160452"/>
        <s v="C160512"/>
        <s v="C160596"/>
        <s v="C160680"/>
        <s v="C160706"/>
        <s v="C161073"/>
        <s v="C161285"/>
        <s v="C162008"/>
        <s v="C162162"/>
        <s v="C162371"/>
        <s v="C162397"/>
        <s v="C162398"/>
        <s v="C162574"/>
        <s v="C162681"/>
        <s v="C162841"/>
        <s v="C162871"/>
        <s v="C162965"/>
        <s v="C162986"/>
        <s v="C163011"/>
        <s v="C163033"/>
        <s v="C163190"/>
        <s v="C163444"/>
        <s v="C163532"/>
        <s v="C164046"/>
        <s v="C164068"/>
        <s v="C164092"/>
        <s v="C164577"/>
        <s v="C164662"/>
        <s v="C164916"/>
        <s v="C164988"/>
        <s v="C165331"/>
        <s v="C165705"/>
        <s v="C165812"/>
        <s v="C166142"/>
        <s v="C166181"/>
        <s v="C166191"/>
        <s v="C166635"/>
        <s v="C166800"/>
        <s v="C167158"/>
        <s v="C167183"/>
        <s v="C168310"/>
        <s v="C168348"/>
        <s v="C168491"/>
        <s v="C168663"/>
        <s v="C168912"/>
        <s v="C168973"/>
        <s v="C169406"/>
        <s v="C169477"/>
        <s v="C169650"/>
        <s v="C169676"/>
        <s v="C169749"/>
        <s v="C170219"/>
        <s v="C170508"/>
        <s v="C170711"/>
        <s v="C170925"/>
        <s v="C170928"/>
        <s v="C170934"/>
        <s v="C170969"/>
        <s v="C171015"/>
        <s v="C171122"/>
        <s v="C171154"/>
        <s v="C171160"/>
        <s v="C171377"/>
        <s v="C171987"/>
        <s v="C172185"/>
        <s v="C172204"/>
        <s v="C172351"/>
        <s v="C172646"/>
        <s v="C172691"/>
        <s v="C172917"/>
        <s v="C172966"/>
        <s v="C173084"/>
        <s v="C173388"/>
        <s v="C173860"/>
        <s v="C173979"/>
        <s v="C174194"/>
        <s v="C174330"/>
        <s v="C174747"/>
        <s v="C175449"/>
        <s v="C175467"/>
        <s v="C175732"/>
        <s v="C175833"/>
        <s v="C175946"/>
        <s v="C176063"/>
        <s v="C176086"/>
        <s v="C176312"/>
        <s v="C176572"/>
        <s v="C176604"/>
        <s v="C176686"/>
        <s v="C176727"/>
        <s v="C176802"/>
        <s v="C176854"/>
        <s v="C177280"/>
        <s v="C177475"/>
        <s v="C177500"/>
        <s v="C177823"/>
        <s v="C177975"/>
        <s v="C178176"/>
        <s v="C178487"/>
        <s v="C178734"/>
        <s v="C178845"/>
        <s v="C179024"/>
        <s v="C179057"/>
        <s v="C179309"/>
        <s v="C179590"/>
        <s v="C179726"/>
        <s v="C179915"/>
        <s v="C180375"/>
        <s v="C180485"/>
        <s v="C180586"/>
        <s v="C180589"/>
        <s v="C180651"/>
        <s v="C180719"/>
        <s v="C181184"/>
        <s v="C181284"/>
        <s v="C181619"/>
        <s v="C181912"/>
        <s v="C181939"/>
        <s v="C181972"/>
        <s v="C182105"/>
        <s v="C182162"/>
        <s v="C182235"/>
        <s v="C182302"/>
        <s v="C182320"/>
        <s v="C182595"/>
        <s v="C182606"/>
        <s v="C182693"/>
        <s v="C182933"/>
        <s v="C183011"/>
        <s v="C183356"/>
        <s v="C183404"/>
        <s v="C183588"/>
        <s v="C183611"/>
        <s v="C183706"/>
        <s v="C183846"/>
        <s v="C183888"/>
        <s v="C184052"/>
        <s v="C184126"/>
        <s v="C184300"/>
        <s v="C184322"/>
        <s v="C184428"/>
        <s v="C184459"/>
        <s v="C184727"/>
        <s v="C184744"/>
        <s v="C184882"/>
        <s v="C184990"/>
        <s v="C185049"/>
        <s v="C185501"/>
        <s v="C185502"/>
        <s v="C185774"/>
        <s v="C186023"/>
        <s v="C186098"/>
        <s v="C186861"/>
        <s v="C187068"/>
        <s v="C187110"/>
        <s v="C187266"/>
        <s v="C187422"/>
        <s v="C187608"/>
        <s v="C187813"/>
        <s v="C188064"/>
        <s v="C189027"/>
        <s v="C189076"/>
        <s v="C189364"/>
        <s v="C189493"/>
        <s v="C189528"/>
        <s v="C189942"/>
        <s v="C190072"/>
        <s v="C190269"/>
        <s v="C190313"/>
        <s v="C190362"/>
        <s v="C190639"/>
        <s v="C190660"/>
        <s v="C190709"/>
        <s v="C190794"/>
        <s v="C190917"/>
        <s v="C190938"/>
        <s v="C190939"/>
        <s v="C191032"/>
        <s v="C191057"/>
        <s v="C191147"/>
        <s v="C191174"/>
        <s v="C191300"/>
        <s v="C191458"/>
        <s v="C191489"/>
        <s v="C191673"/>
        <s v="C191708"/>
        <s v="C192344"/>
        <s v="C192357"/>
        <s v="C192403"/>
        <s v="C192446"/>
        <s v="C192474"/>
        <s v="C192871"/>
        <s v="C192978"/>
        <s v="C192979"/>
        <s v="C193264"/>
        <s v="C193298"/>
        <s v="C193441"/>
        <s v="C193454"/>
        <s v="C193510"/>
        <s v="C193793"/>
        <s v="C193813"/>
        <s v="C193824"/>
        <s v="C194063"/>
        <s v="C194327"/>
        <s v="C194330"/>
        <s v="C194380"/>
        <s v="C194451"/>
        <s v="C194674"/>
        <s v="C194974"/>
        <s v="C195284"/>
        <s v="C195342"/>
        <s v="C195405"/>
        <s v="C195413"/>
        <s v="C195508"/>
        <s v="C195626"/>
        <s v="C195673"/>
        <s v="C196044"/>
        <s v="C196056"/>
        <s v="C196296"/>
        <s v="C196337"/>
        <s v="C196813"/>
        <s v="C196845"/>
        <s v="C197019"/>
        <s v="C197131"/>
        <s v="C197308"/>
        <s v="C197519"/>
        <s v="C197522"/>
        <s v="C197901"/>
        <s v="C198030"/>
        <s v="C198062"/>
        <s v="C198086"/>
        <s v="C198094"/>
        <s v="C198161"/>
        <s v="C198180"/>
        <s v="C198219"/>
        <s v="C198322"/>
        <s v="C198568"/>
        <s v="C198638"/>
        <s v="C198868"/>
        <s v="C199311"/>
        <s v="C199509"/>
        <s v="C199520"/>
        <s v="C199664"/>
        <s v="C199858"/>
        <s v="C199864"/>
        <s v="C199947"/>
        <s v="C200317"/>
        <s v="C200345"/>
        <s v="C200576"/>
        <s v="C200826"/>
        <s v="C200881"/>
        <s v="C201015"/>
        <s v="C201036"/>
        <s v="C201255"/>
        <s v="C201574"/>
        <s v="C202057"/>
        <s v="C202286"/>
        <s v="C202349"/>
        <s v="C202633"/>
        <s v="C202977"/>
        <s v="C202988"/>
        <s v="C203263"/>
        <s v="C203598"/>
        <s v="C203624"/>
        <s v="C203955"/>
        <s v="C204154"/>
        <s v="C204164"/>
        <s v="C204174"/>
        <s v="C204279"/>
        <s v="C204307"/>
        <s v="C204553"/>
        <s v="C204632"/>
        <s v="C204724"/>
        <s v="C204727"/>
        <s v="C204741"/>
        <s v="C204782"/>
        <s v="C204867"/>
        <s v="C204887"/>
        <s v="C205165"/>
        <s v="C205178"/>
        <s v="C205202"/>
        <s v="C205210"/>
        <s v="C205376"/>
        <s v="C205552"/>
        <s v="C205731"/>
        <s v="C205925"/>
        <s v="C205984"/>
        <s v="C206253"/>
        <s v="C206443"/>
        <s v="C206501"/>
        <s v="C206713"/>
        <s v="C206743"/>
        <s v="C207215"/>
        <s v="C207320"/>
        <s v="C207391"/>
        <s v="C207415"/>
        <s v="C207443"/>
        <s v="C207573"/>
        <s v="C207753"/>
        <s v="C207922"/>
        <s v="C207954"/>
        <s v="C208108"/>
        <s v="C208545"/>
        <s v="C208738"/>
        <s v="C208765"/>
        <s v="C208819"/>
        <s v="C208844"/>
        <s v="C208860"/>
        <s v="C209122"/>
        <s v="C209210"/>
        <s v="C209245"/>
        <s v="C209440"/>
        <s v="C209722"/>
        <s v="C209723"/>
        <s v="C209761"/>
        <s v="C210060"/>
        <s v="C210236"/>
        <s v="C210240"/>
        <s v="C210393"/>
        <s v="C210554"/>
        <s v="C210589"/>
        <s v="C210614"/>
        <s v="C210635"/>
        <s v="C210848"/>
        <s v="C211245"/>
        <s v="C211277"/>
        <s v="C211354"/>
        <s v="C211416"/>
        <s v="C211494"/>
        <s v="C211545"/>
        <s v="C211626"/>
        <s v="C211689"/>
        <s v="C211763"/>
        <s v="C211766"/>
        <s v="C212128"/>
        <s v="C212378"/>
        <s v="C212400"/>
        <s v="C212483"/>
        <s v="C212643"/>
        <s v="C213360"/>
        <s v="C213718"/>
        <s v="C213742"/>
        <s v="C213844"/>
        <s v="C213981"/>
        <s v="C213995"/>
        <s v="C214029"/>
        <s v="C214164"/>
        <s v="C214260"/>
        <s v="C214463"/>
        <s v="C214662"/>
        <s v="C214831"/>
        <s v="C215196"/>
        <s v="C215210"/>
        <s v="C215336"/>
        <s v="C215384"/>
        <s v="C215484"/>
        <s v="C215627"/>
        <s v="C216013"/>
        <s v="C216025"/>
        <s v="C216194"/>
        <s v="C216257"/>
        <s v="C216268"/>
        <s v="C216369"/>
        <s v="C216456"/>
        <s v="C216619"/>
        <s v="C217049"/>
        <s v="C217716"/>
        <s v="C217834"/>
        <s v="C217919"/>
        <s v="C217948"/>
        <s v="C218079"/>
        <s v="C218149"/>
        <s v="C218289"/>
        <s v="C218295"/>
        <s v="C218383"/>
        <s v="C218573"/>
        <s v="C218706"/>
        <s v="C218830"/>
        <s v="C219299"/>
        <s v="C219304"/>
        <s v="C219393"/>
        <s v="C219548"/>
        <s v="C219791"/>
        <s v="C219983"/>
        <s v="C220098"/>
        <s v="C220180"/>
        <s v="C220281"/>
        <s v="C220780"/>
        <s v="C220859"/>
        <s v="C221164"/>
        <s v="C221193"/>
        <s v="C221607"/>
        <s v="C221830"/>
        <s v="C221838"/>
        <s v="C221934"/>
        <s v="C221995"/>
        <s v="C222040"/>
        <s v="C222102"/>
        <s v="C222159"/>
        <s v="C222244"/>
        <s v="C222250"/>
        <s v="C222262"/>
        <s v="C222728"/>
        <s v="C222906"/>
        <s v="C222949"/>
        <s v="C223010"/>
        <s v="C223291"/>
        <s v="C223343"/>
        <s v="C223465"/>
        <s v="C223982"/>
        <s v="C224073"/>
        <s v="C224169"/>
        <s v="C224223"/>
        <s v="C224260"/>
        <s v="C224743"/>
        <s v="C224753"/>
        <s v="C224857"/>
        <s v="C224881"/>
        <s v="C224991"/>
        <s v="C225051"/>
        <s v="C225105"/>
        <s v="C225306"/>
        <s v="C225330"/>
        <s v="C225939"/>
        <s v="C225949"/>
        <s v="C226101"/>
        <s v="C226218"/>
        <s v="C226252"/>
        <s v="C226519"/>
        <s v="C226593"/>
        <s v="C226996"/>
        <s v="C227070"/>
        <s v="C227232"/>
        <s v="C227695"/>
        <s v="C227728"/>
        <s v="C227736"/>
        <s v="C227945"/>
        <s v="C228472"/>
        <s v="C228532"/>
        <s v="C228735"/>
        <s v="C228922"/>
        <s v="C229001"/>
        <s v="C229051"/>
        <s v="C229071"/>
        <s v="C229387"/>
        <s v="C229670"/>
        <s v="C229733"/>
        <s v="C230018"/>
        <s v="C230120"/>
        <s v="C230207"/>
        <s v="C230270"/>
        <s v="C230305"/>
        <s v="C230543"/>
        <s v="C230619"/>
        <s v="C230641"/>
        <s v="C230696"/>
        <s v="C230766"/>
        <s v="C231470"/>
        <s v="C231964"/>
        <s v="C232031"/>
        <s v="C232103"/>
        <s v="C232136"/>
        <s v="C232330"/>
        <s v="C232624"/>
        <s v="C232859"/>
        <s v="C233053"/>
        <s v="C233561"/>
        <s v="C233642"/>
        <s v="C233646"/>
        <s v="C233697"/>
        <s v="C234140"/>
        <s v="C234177"/>
        <s v="C234534"/>
        <s v="C235057"/>
        <s v="C235178"/>
        <s v="C235398"/>
        <s v="C235482"/>
        <s v="C235663"/>
        <s v="C235773"/>
        <s v="C235878"/>
        <s v="C236084"/>
        <s v="C236365"/>
        <s v="C236397"/>
        <s v="C236428"/>
        <s v="C236711"/>
        <s v="C236785"/>
        <s v="C236859"/>
        <s v="C236969"/>
        <s v="C237063"/>
        <s v="C237182"/>
        <s v="C237330"/>
        <s v="C237366"/>
        <s v="C237664"/>
        <s v="C237684"/>
        <s v="C237757"/>
        <s v="C238063"/>
        <s v="C238083"/>
        <s v="C238146"/>
        <s v="C238668"/>
        <s v="C238833"/>
        <s v="C238961"/>
        <s v="C239313"/>
        <s v="C239532"/>
        <s v="C239813"/>
        <s v="C240135"/>
        <s v="C240171"/>
        <s v="C240286"/>
        <s v="C240325"/>
        <s v="C240389"/>
        <s v="C240510"/>
        <s v="C240688"/>
        <s v="C240837"/>
        <s v="C240902"/>
        <s v="C240916"/>
        <s v="C241204"/>
        <s v="C241238"/>
        <s v="C241260"/>
        <s v="C241288"/>
        <s v="C241442"/>
        <s v="C241450"/>
        <s v="C241523"/>
        <s v="C241642"/>
        <s v="C241751"/>
        <s v="C242041"/>
        <s v="C242182"/>
        <s v="C242402"/>
        <s v="C242616"/>
        <s v="C242659"/>
        <s v="C242748"/>
        <s v="C242798"/>
        <s v="C243037"/>
        <s v="C243451"/>
        <s v="C243515"/>
        <s v="C244213"/>
        <s v="C244291"/>
        <s v="C244694"/>
        <s v="C244780"/>
        <s v="C244973"/>
        <s v="C245349"/>
        <s v="C245407"/>
        <s v="C245456"/>
        <s v="C245539"/>
        <s v="C245572"/>
        <s v="C245681"/>
        <s v="C245715"/>
        <s v="C245745"/>
        <s v="C245894"/>
        <s v="C246136"/>
        <s v="C246364"/>
        <s v="C246456"/>
        <s v="C246484"/>
        <s v="C246503"/>
        <s v="C246602"/>
        <s v="C246641"/>
        <s v="C246654"/>
        <s v="C246719"/>
        <s v="C246847"/>
        <s v="C246898"/>
        <s v="C246959"/>
        <s v="C247049"/>
        <s v="C247547"/>
        <s v="C247589"/>
        <s v="C247694"/>
        <s v="C247868"/>
        <s v="C248510"/>
        <s v="C248859"/>
        <s v="C248884"/>
        <s v="C248988"/>
        <s v="C249092"/>
        <s v="C249219"/>
        <s v="C249401"/>
        <s v="C249679"/>
        <s v="C249725"/>
        <s v="C249877"/>
        <s v="C249906"/>
        <s v="C249924"/>
        <s v="C249974"/>
        <s v="C249993"/>
        <s v="C249994"/>
        <s v="C250033"/>
        <s v="C250065"/>
        <s v="C250146"/>
        <s v="C250395"/>
        <s v="C250673"/>
        <s v="C251005"/>
        <s v="C251062"/>
        <s v="C251203"/>
        <s v="C251229"/>
        <s v="C251281"/>
        <s v="C251433"/>
        <s v="C251446"/>
        <s v="C251518"/>
        <s v="C251786"/>
        <s v="C251801"/>
        <s v="C251866"/>
        <s v="C251944"/>
        <s v="C252021"/>
        <s v="C252250"/>
        <s v="C252265"/>
        <s v="C252598"/>
        <s v="C252600"/>
        <s v="C252662"/>
        <s v="C253248"/>
        <s v="C253252"/>
        <s v="C253346"/>
        <s v="C253740"/>
        <s v="C253905"/>
        <s v="C253975"/>
        <s v="C254007"/>
        <s v="C254022"/>
        <s v="C254306"/>
        <s v="C254397"/>
        <s v="C255058"/>
        <s v="C255079"/>
        <s v="C255639"/>
        <s v="C255828"/>
        <s v="C255835"/>
        <s v="C255999"/>
        <s v="C256730"/>
        <s v="C256755"/>
        <s v="C256845"/>
        <s v="C257163"/>
        <s v="C257213"/>
        <s v="C257469"/>
        <s v="C257559"/>
        <s v="C257683"/>
        <s v="C257990"/>
        <s v="C258089"/>
        <s v="C258404"/>
        <s v="C258410"/>
        <s v="C258995"/>
        <s v="C259107"/>
        <s v="C259229"/>
        <s v="C259260"/>
        <s v="C259342"/>
        <s v="C259539"/>
        <s v="C259606"/>
        <s v="C259676"/>
        <s v="C259706"/>
        <s v="C259743"/>
        <s v="C259798"/>
        <s v="C259884"/>
        <s v="C260060"/>
        <s v="C260171"/>
        <s v="C260213"/>
        <s v="C260810"/>
        <s v="C260889"/>
        <s v="C261066"/>
        <s v="C261165"/>
        <s v="C261194"/>
        <s v="C261237"/>
        <s v="C261316"/>
        <s v="C261344"/>
        <s v="C261517"/>
        <s v="C261635"/>
        <s v="C261711"/>
        <s v="C262366"/>
        <s v="C262982"/>
        <s v="C263812"/>
        <s v="C263874"/>
        <s v="C263908"/>
        <s v="C264545"/>
        <s v="C264585"/>
        <s v="C264631"/>
        <s v="C264659"/>
        <s v="C264687"/>
        <s v="C264767"/>
        <s v="C264819"/>
        <s v="C265568"/>
        <s v="C265780"/>
        <s v="C266021"/>
        <s v="C266128"/>
        <s v="C266175"/>
        <s v="C266213"/>
        <s v="C266377"/>
        <s v="C266394"/>
        <s v="C266462"/>
        <s v="C266599"/>
        <s v="C266724"/>
        <s v="C266819"/>
        <s v="C266961"/>
        <s v="C267019"/>
        <s v="C267120"/>
        <s v="C267333"/>
        <s v="C267617"/>
        <s v="C267843"/>
        <s v="C267852"/>
        <s v="C267961"/>
        <s v="C268054"/>
        <s v="C268455"/>
        <s v="C269338"/>
        <s v="C269430"/>
        <s v="C269497"/>
        <s v="C269506"/>
        <s v="C269623"/>
        <s v="C269710"/>
        <s v="C269751"/>
        <s v="C269986"/>
        <s v="C270129"/>
        <s v="C270238"/>
        <s v="C270340"/>
        <s v="C270543"/>
        <s v="C270638"/>
        <s v="C270667"/>
        <s v="C270726"/>
        <s v="C270797"/>
        <s v="C271029"/>
        <s v="C271031"/>
        <s v="C271255"/>
        <s v="C271297"/>
        <s v="C271349"/>
        <s v="C271450"/>
        <s v="C271571"/>
        <s v="C271739"/>
        <s v="C271799"/>
        <s v="C271813"/>
        <s v="C271866"/>
        <s v="C271881"/>
        <s v="C272133"/>
        <s v="C272155"/>
        <s v="C272419"/>
        <s v="C272779"/>
        <s v="C272792"/>
        <s v="C272918"/>
        <s v="C273323"/>
        <s v="C273813"/>
        <s v="C273853"/>
        <s v="C273903"/>
        <s v="C273931"/>
        <s v="C274472"/>
        <s v="C274501"/>
        <s v="C274529"/>
        <s v="C274690"/>
        <s v="C274788"/>
        <s v="C274870"/>
        <s v="C274936"/>
        <s v="C275199"/>
        <s v="C275432"/>
        <s v="C275631"/>
        <s v="C275695"/>
        <s v="C275887"/>
        <s v="C275917"/>
        <s v="C276008"/>
        <s v="C276043"/>
        <s v="C276111"/>
        <s v="C276122"/>
        <s v="C276263"/>
        <s v="C276445"/>
        <s v="C276518"/>
        <s v="C276887"/>
        <s v="C277384"/>
        <s v="C277406"/>
        <s v="C277603"/>
        <s v="C277842"/>
        <s v="C277924"/>
        <s v="C278142"/>
        <s v="C278169"/>
        <s v="C278450"/>
        <s v="C278483"/>
        <s v="C278541"/>
        <s v="C278554"/>
        <s v="C278588"/>
        <s v="C278721"/>
        <s v="C278752"/>
        <s v="C279370"/>
        <s v="C279559"/>
        <s v="C279747"/>
        <s v="C279849"/>
        <s v="C279904"/>
        <s v="C280085"/>
        <s v="C280123"/>
        <s v="C280253"/>
        <s v="C280596"/>
        <s v="C280853"/>
        <s v="C280866"/>
        <s v="C280881"/>
        <s v="C281091"/>
        <s v="C281244"/>
        <s v="C281268"/>
        <s v="C281502"/>
        <s v="C281864"/>
        <s v="C282097"/>
        <s v="C282107"/>
        <s v="C282281"/>
        <s v="C282395"/>
        <s v="C282397"/>
        <s v="C282520"/>
        <s v="C282643"/>
        <s v="C282894"/>
        <s v="C282899"/>
        <s v="C282968"/>
        <s v="C282974"/>
        <s v="C283221"/>
        <s v="C283350"/>
        <s v="C283361"/>
        <s v="C283381"/>
        <s v="C283849"/>
        <s v="C283880"/>
        <s v="C283898"/>
        <s v="C283983"/>
        <s v="C284031"/>
        <s v="C284366"/>
        <s v="C284405"/>
        <s v="C284679"/>
        <s v="C284961"/>
        <s v="C285161"/>
        <s v="C285261"/>
        <s v="C285422"/>
        <s v="C285587"/>
        <s v="C285797"/>
        <s v="C285884"/>
        <s v="C286181"/>
        <s v="C286466"/>
        <s v="C286564"/>
        <s v="C286611"/>
        <s v="C286640"/>
        <s v="C287355"/>
        <s v="C287380"/>
        <s v="C287409"/>
        <s v="C287459"/>
        <s v="C287764"/>
        <s v="C287773"/>
        <s v="C287787"/>
        <s v="C287850"/>
        <s v="C287934"/>
        <s v="C287970"/>
        <s v="C288298"/>
        <s v="C288416"/>
        <s v="C288544"/>
        <s v="C288597"/>
        <s v="C288863"/>
        <s v="C289069"/>
        <s v="C289260"/>
        <s v="C289495"/>
        <s v="C289573"/>
        <s v="C289614"/>
        <s v="C289625"/>
        <s v="C289650"/>
        <s v="C289802"/>
        <s v="C289918"/>
        <s v="C289933"/>
        <s v="C289977"/>
        <s v="C289993"/>
        <s v="C290106"/>
        <s v="C290158"/>
        <s v="C290275"/>
        <s v="C290280"/>
        <s v="C290344"/>
        <s v="C290363"/>
        <s v="C290548"/>
        <s v="C290609"/>
        <s v="C290632"/>
        <s v="C290760"/>
        <s v="C290819"/>
        <s v="C291291"/>
        <s v="C291389"/>
        <s v="C291641"/>
        <s v="C291802"/>
        <s v="C291860"/>
        <s v="C291911"/>
        <s v="C291962"/>
        <s v="C291970"/>
        <s v="C291989"/>
        <s v="C292307"/>
        <s v="C292356"/>
        <s v="C292453"/>
        <s v="C292604"/>
        <s v="C292758"/>
        <s v="C293191"/>
        <s v="C293329"/>
        <s v="C293605"/>
        <s v="C293612"/>
        <s v="C293936"/>
        <s v="C294024"/>
        <s v="C294370"/>
        <s v="C294604"/>
        <s v="C294623"/>
        <s v="C294679"/>
        <s v="C294773"/>
        <s v="C294999"/>
        <s v="C295069"/>
        <s v="C295218"/>
        <s v="C295466"/>
        <s v="C295505"/>
        <s v="C295864"/>
        <s v="C295880"/>
        <s v="C296318"/>
        <s v="C296477"/>
        <s v="C296534"/>
        <s v="C296745"/>
        <s v="C296768"/>
        <s v="C296862"/>
        <s v="C297118"/>
        <s v="C297260"/>
        <s v="C297404"/>
        <s v="C297425"/>
        <s v="C297610"/>
        <s v="C297669"/>
        <s v="C297711"/>
        <s v="C297748"/>
        <s v="C297801"/>
        <s v="C298103"/>
        <s v="C298229"/>
        <s v="C298580"/>
        <s v="C298828"/>
        <s v="C298916"/>
        <s v="C299172"/>
        <s v="C299327"/>
        <s v="C299443"/>
        <s v="C299514"/>
        <s v="C299567"/>
        <s v="C299644"/>
        <s v="C299779"/>
        <s v="C299787"/>
        <s v="C300786"/>
        <s v="C300832"/>
        <s v="C301099"/>
        <s v="C301181"/>
        <s v="C301271"/>
        <s v="C301754"/>
        <s v="C301894"/>
        <s v="C302358"/>
        <s v="C302667"/>
        <s v="C302824"/>
        <s v="C302831"/>
        <s v="C303112"/>
        <s v="C303302"/>
        <s v="C303444"/>
        <s v="C303493"/>
        <s v="C303552"/>
        <s v="C304326"/>
        <s v="C304389"/>
        <s v="C304549"/>
        <s v="C304747"/>
        <s v="C304748"/>
        <s v="C304835"/>
        <s v="C304866"/>
        <s v="C304924"/>
        <s v="C305398"/>
        <s v="C305500"/>
        <s v="C305544"/>
        <s v="C305706"/>
        <s v="C305734"/>
        <s v="C305749"/>
        <s v="C306078"/>
        <s v="C306089"/>
        <s v="C306266"/>
        <s v="C306330"/>
        <s v="C306346"/>
        <s v="C306395"/>
        <s v="C306662"/>
        <s v="C306892"/>
        <s v="C306908"/>
        <s v="C307014"/>
        <s v="C307477"/>
        <s v="C307535"/>
        <s v="C307592"/>
        <s v="C307855"/>
        <s v="C307870"/>
        <s v="C307921"/>
        <s v="C308584"/>
        <s v="C308978"/>
        <s v="C309079"/>
        <s v="C309080"/>
        <s v="C309082"/>
        <s v="C309165"/>
        <s v="C309367"/>
        <s v="C309438"/>
        <s v="C309515"/>
        <s v="C309645"/>
        <s v="C309926"/>
        <s v="C310108"/>
        <s v="C310188"/>
        <s v="C310310"/>
        <s v="C310413"/>
        <s v="C310472"/>
        <s v="C310595"/>
        <s v="C310628"/>
        <s v="C310642"/>
        <s v="C310676"/>
        <s v="C310712"/>
        <s v="C310969"/>
        <s v="C310975"/>
        <s v="C311034"/>
        <s v="C311195"/>
        <s v="C311482"/>
        <s v="C311661"/>
        <s v="C311790"/>
        <s v="C311887"/>
        <s v="C312061"/>
        <s v="C312155"/>
        <s v="C312418"/>
        <s v="C312568"/>
        <s v="C312617"/>
        <s v="C312861"/>
        <s v="C313275"/>
        <s v="C313348"/>
        <s v="C313586"/>
        <s v="C314173"/>
        <s v="C314546"/>
        <s v="C314705"/>
        <s v="C314945"/>
        <s v="C314993"/>
        <s v="C315154"/>
        <s v="C315209"/>
        <s v="C315386"/>
        <s v="C315399"/>
        <s v="C315479"/>
        <s v="C315726"/>
        <s v="C315826"/>
        <s v="C315888"/>
        <s v="C315999"/>
        <s v="C316015"/>
        <s v="C316261"/>
        <s v="C316343"/>
        <s v="C316398"/>
        <s v="C316806"/>
        <s v="C317063"/>
        <s v="C317223"/>
        <s v="C317478"/>
        <s v="C317818"/>
        <s v="C317850"/>
        <s v="C317897"/>
        <s v="C317968"/>
        <s v="C318000"/>
        <s v="C318225"/>
        <s v="C318391"/>
        <s v="C318802"/>
        <s v="C319231"/>
        <s v="C319412"/>
        <s v="C319624"/>
        <s v="C319696"/>
        <s v="C319806"/>
        <s v="C319935"/>
        <s v="C320229"/>
        <s v="C320598"/>
        <s v="C320610"/>
        <s v="C320640"/>
        <s v="C320928"/>
        <s v="C321053"/>
        <s v="C321209"/>
        <s v="C321527"/>
        <s v="C321609"/>
        <s v="C321889"/>
        <s v="C321914"/>
        <s v="C321916"/>
        <s v="C321931"/>
        <s v="C321993"/>
        <s v="C322195"/>
        <s v="C322260"/>
        <s v="C322402"/>
        <s v="C322689"/>
        <s v="C322924"/>
        <s v="C322947"/>
        <s v="C322994"/>
        <s v="C323229"/>
        <s v="C323307"/>
        <s v="C323349"/>
        <s v="C323464"/>
        <s v="C323469"/>
        <s v="C323574"/>
        <s v="C323605"/>
        <s v="C323659"/>
        <s v="C323696"/>
        <s v="C323917"/>
        <s v="C324332"/>
        <s v="C324512"/>
        <s v="C324614"/>
        <s v="C324683"/>
        <s v="C324708"/>
        <s v="C324783"/>
        <s v="C325102"/>
        <s v="C325158"/>
        <s v="C325166"/>
        <s v="C325203"/>
        <s v="C325524"/>
        <s v="C325548"/>
        <s v="C325757"/>
        <s v="C325906"/>
        <s v="C326318"/>
        <s v="C326699"/>
        <s v="C326893"/>
        <s v="C327001"/>
        <s v="C327084"/>
        <s v="C327098"/>
        <s v="C327130"/>
        <s v="C327137"/>
        <s v="C327146"/>
        <s v="C327399"/>
        <s v="C327424"/>
        <s v="C327796"/>
        <s v="C327823"/>
        <s v="C327954"/>
        <s v="C328169"/>
        <s v="C328195"/>
        <s v="C328444"/>
        <s v="C329000"/>
        <s v="C329003"/>
        <s v="C329153"/>
        <s v="C329163"/>
        <s v="C329432"/>
        <s v="C329633"/>
        <s v="C329954"/>
        <s v="C330021"/>
        <s v="C330141"/>
        <s v="C330221"/>
        <s v="C330282"/>
        <s v="C330352"/>
        <s v="C330413"/>
        <s v="C330584"/>
        <s v="C330667"/>
        <s v="C330736"/>
        <s v="C330779"/>
        <s v="C330941"/>
        <s v="C330949"/>
        <s v="C331127"/>
        <s v="C331182"/>
        <s v="C331382"/>
        <s v="C331387"/>
        <s v="C331539"/>
        <s v="C331761"/>
        <s v="C331880"/>
        <s v="C333065"/>
        <s v="C333202"/>
        <s v="C333988"/>
        <s v="C334097"/>
        <s v="C334281"/>
        <s v="C334382"/>
        <s v="C334518"/>
        <s v="C334601"/>
        <s v="C334686"/>
        <s v="C335061"/>
        <s v="C335107"/>
        <s v="C335131"/>
        <s v="C335595"/>
        <s v="C335822"/>
        <s v="C335904"/>
        <s v="C336104"/>
        <s v="C336156"/>
        <s v="C336232"/>
        <s v="C336350"/>
        <s v="C336395"/>
        <s v="C336400"/>
        <s v="C336576"/>
        <s v="C336653"/>
        <s v="C336809"/>
        <s v="C336846"/>
        <s v="C336888"/>
        <s v="C336940"/>
        <s v="C337111"/>
        <s v="C337177"/>
        <s v="C337220"/>
        <s v="C337644"/>
        <s v="C337721"/>
        <s v="C338552"/>
        <s v="C338577"/>
        <s v="C338671"/>
        <s v="C338690"/>
        <s v="C338765"/>
        <s v="C339071"/>
        <s v="C339085"/>
        <s v="C339114"/>
        <s v="C339202"/>
        <s v="C339339"/>
        <s v="C339385"/>
        <s v="C339391"/>
        <s v="C339508"/>
        <s v="C339518"/>
        <s v="C339565"/>
        <s v="C339648"/>
        <s v="C340063"/>
        <s v="C340084"/>
        <s v="C340089"/>
        <s v="C340116"/>
        <s v="C345828"/>
        <s v="C352919"/>
        <s v="C353540"/>
        <s v="C354331"/>
        <s v="C354398"/>
        <s v="C358486"/>
        <s v="C362288"/>
        <s v="C363987"/>
        <s v="C364009"/>
        <s v="C369937"/>
        <s v="C372643"/>
        <s v="C373154"/>
        <s v="C373731"/>
        <s v="C375325"/>
        <s v="C375422"/>
        <s v="C376889"/>
        <s v="C379931"/>
        <s v="C382952"/>
        <s v="C387164"/>
        <s v="C387282"/>
        <s v="C387559"/>
        <s v="C388552"/>
        <s v="C391248"/>
        <s v="C391672"/>
        <s v="C392081"/>
        <s v="C398415"/>
        <s v="C399332"/>
        <s v="C399735"/>
        <s v="C402433"/>
        <s v="C403561"/>
        <s v="C403983"/>
        <s v="C405837"/>
        <s v="C408592"/>
        <s v="C412367"/>
        <s v="C412543"/>
        <s v="C414958"/>
        <s v="C422499"/>
        <s v="C423734"/>
        <s v="C424443"/>
        <s v="C425857"/>
        <s v="C430623"/>
        <s v="C430931"/>
        <s v="C430942"/>
        <s v="C431872"/>
        <s v="C432132"/>
        <s v="C432354"/>
        <s v="C433234"/>
        <s v="C433673"/>
        <s v="C434171"/>
        <s v="C434802"/>
        <s v="C436520"/>
        <s v="C437904"/>
        <s v="C439382"/>
        <s v="C439853"/>
        <s v="C440342"/>
        <s v="C442324"/>
        <s v="C447138"/>
        <s v="C448846"/>
        <s v="C450287"/>
        <s v="C452806"/>
        <s v="C453635"/>
        <s v="C455212"/>
        <s v="C457598"/>
        <s v="C461133"/>
        <s v="C462011"/>
        <s v="C462416"/>
        <s v="C463587"/>
        <s v="C465167"/>
        <s v="C467287"/>
        <s v="C469535"/>
        <s v="C470346"/>
        <s v="C474588"/>
        <s v="C474896"/>
        <s v="C475080"/>
        <s v="C475169"/>
        <s v="C475377"/>
        <s v="C476125"/>
        <s v="C476451"/>
        <s v="C477489"/>
        <s v="C478668"/>
        <s v="C478733"/>
        <s v="C478916"/>
        <s v="C480735"/>
        <s v="C480991"/>
        <s v="C484681"/>
        <s v="C485136"/>
        <s v="C485257"/>
        <s v="C485668"/>
        <s v="C486241"/>
        <s v="C488263"/>
        <s v="C488994"/>
        <s v="C492890"/>
        <s v="C493252"/>
        <s v="C493406"/>
        <s v="C494615"/>
        <s v="C496393"/>
        <s v="C496516"/>
        <s v="C501294"/>
        <s v="C501563"/>
        <s v="C501658"/>
        <s v="C502572"/>
        <s v="C506663"/>
        <s v="C506887"/>
        <s v="C506925"/>
        <s v="C507408"/>
        <s v="C507725"/>
        <s v="C509924"/>
        <s v="C510364"/>
        <s v="C512698"/>
        <s v="C512978"/>
        <s v="C513561"/>
        <s v="C519513"/>
        <s v="C521028"/>
        <s v="C521673"/>
        <s v="C523660"/>
        <s v="C524104"/>
        <s v="C524469"/>
        <s v="C524507"/>
        <s v="C526385"/>
        <s v="C526513"/>
        <s v="C526660"/>
        <s v="C528686"/>
        <s v="C533520"/>
        <s v="C535999"/>
        <s v="C536552"/>
        <s v="C537541"/>
        <s v="C539840"/>
        <s v="C539974"/>
        <s v="C541498"/>
        <s v="C541983"/>
        <s v="C542025"/>
        <s v="C545065"/>
        <s v="C545317"/>
        <s v="C545424"/>
        <s v="C545894"/>
        <s v="C548682"/>
        <s v="C550185"/>
        <s v="C551975"/>
        <s v="C552345"/>
        <s v="C554087"/>
        <s v="C555040"/>
        <s v="C555402"/>
        <s v="C555827"/>
        <s v="C556552"/>
        <s v="C557245"/>
        <s v="C558480"/>
        <s v="C559217"/>
        <s v="C559746"/>
        <s v="C567274"/>
        <s v="C567509"/>
        <s v="C567813"/>
        <s v="C572091"/>
        <s v="C574590"/>
        <s v="C576013"/>
        <s v="C576719"/>
        <s v="C578468"/>
        <s v="C581116"/>
        <s v="C581271"/>
        <s v="C581947"/>
        <s v="C582235"/>
        <s v="C582623"/>
        <s v="C582855"/>
        <s v="C582997"/>
        <s v="C584141"/>
        <s v="C584700"/>
        <s v="C587022"/>
        <s v="C588455"/>
        <s v="C592891"/>
        <s v="C593370"/>
        <s v="C596756"/>
        <s v="C599109"/>
        <s v="C604007"/>
        <s v="C605200"/>
        <s v="C606418"/>
        <s v="C606472"/>
        <s v="C606953"/>
        <s v="C607615"/>
        <s v="C611809"/>
        <s v="C614595"/>
        <s v="C615393"/>
        <s v="C616106"/>
        <s v="C617189"/>
        <s v="C617356"/>
        <s v="C617884"/>
        <s v="C618494"/>
        <s v="C618730"/>
        <s v="C621747"/>
        <s v="C621794"/>
        <s v="C622329"/>
        <s v="C622685"/>
        <s v="C622748"/>
        <s v="C623421"/>
        <s v="C625736"/>
        <s v="C626042"/>
        <s v="C632239"/>
        <s v="C632622"/>
        <s v="C632826"/>
        <s v="C633946"/>
        <s v="C634747"/>
        <s v="C635016"/>
        <s v="C636874"/>
        <s v="C644605"/>
        <s v="C644712"/>
        <s v="C646756"/>
        <s v="C647656"/>
        <s v="C649525"/>
        <s v="C651699"/>
        <s v="C653357"/>
        <s v="C653385"/>
        <s v="C657207"/>
        <s v="C657758"/>
        <s v="C658980"/>
        <s v="C660491"/>
        <s v="C661696"/>
        <s v="C662958"/>
        <s v="C663051"/>
        <s v="C663463"/>
        <s v="C665061"/>
        <s v="C665777"/>
        <s v="C666013"/>
        <s v="C666466"/>
        <s v="C667578"/>
        <s v="C670293"/>
        <s v="C670524"/>
        <s v="C671866"/>
        <s v="C675153"/>
        <s v="C677850"/>
        <s v="C678680"/>
        <s v="C679476"/>
        <s v="C680169"/>
        <s v="C682023"/>
        <s v="C682406"/>
        <s v="C682985"/>
        <s v="C690345"/>
        <s v="C693789"/>
        <s v="C697667"/>
        <s v="C698742"/>
        <s v="C699724"/>
        <s v="C703073"/>
        <s v="C708005"/>
        <s v="C709370"/>
        <s v="C709571"/>
        <s v="C709743"/>
        <s v="C709824"/>
        <s v="C709983"/>
        <s v="C710954"/>
        <s v="C715684"/>
        <s v="C716161"/>
        <s v="C716629"/>
        <s v="C716683"/>
        <s v="C716788"/>
        <s v="C716870"/>
        <s v="C718508"/>
        <s v="C719499"/>
        <s v="C720198"/>
        <s v="C720642"/>
        <s v="C721239"/>
        <s v="C722003"/>
        <s v="C723990"/>
        <s v="C724217"/>
        <s v="C724391"/>
        <s v="C726021"/>
        <s v="C727904"/>
        <s v="C729392"/>
        <s v="C729802"/>
        <s v="C730185"/>
        <s v="C730395"/>
        <s v="C732384"/>
        <s v="C736428"/>
        <s v="C737656"/>
        <s v="C737782"/>
        <s v="C738384"/>
        <s v="C740518"/>
        <s v="C741297"/>
        <s v="C743273"/>
        <s v="C744124"/>
        <s v="C746891"/>
        <s v="C747740"/>
        <s v="C747837"/>
        <s v="C748439"/>
        <s v="C750093"/>
        <s v="C751460"/>
        <s v="C755148"/>
        <s v="C758661"/>
        <s v="C758807"/>
        <s v="C760307"/>
        <s v="C761041"/>
        <s v="C765010"/>
        <s v="C765432"/>
        <s v="C765620"/>
        <s v="C766767"/>
        <s v="C767634"/>
        <s v="C768043"/>
        <s v="C769179"/>
        <s v="C770626"/>
        <s v="C771066"/>
        <s v="C771924"/>
        <s v="C772839"/>
        <s v="C773134"/>
        <s v="C773181"/>
        <s v="C774214"/>
        <s v="C781893"/>
        <s v="C785507"/>
        <s v="C787279"/>
        <s v="C788630"/>
        <s v="C790567"/>
        <s v="C791362"/>
        <s v="C794449"/>
        <s v="C795627"/>
        <s v="C799447"/>
        <s v="C800785"/>
        <s v="C803010"/>
        <s v="C803666"/>
        <s v="C804531"/>
        <s v="C804869"/>
        <s v="C805154"/>
        <s v="C805412"/>
        <s v="C805973"/>
        <s v="C807389"/>
        <s v="C807680"/>
        <s v="C807718"/>
        <s v="C807852"/>
        <s v="C808112"/>
        <s v="C809067"/>
        <s v="C809281"/>
        <s v="C809683"/>
        <s v="C809737"/>
        <s v="C811884"/>
        <s v="C812053"/>
        <s v="C812425"/>
        <s v="C813874"/>
        <s v="C816586"/>
        <s v="C817202"/>
        <s v="C820137"/>
        <s v="C820515"/>
        <s v="C822041"/>
        <s v="C822515"/>
        <s v="C822715"/>
        <s v="C826270"/>
        <s v="C826514"/>
        <s v="C826744"/>
        <s v="C828402"/>
        <s v="C828471"/>
        <s v="C829423"/>
        <s v="C830576"/>
        <s v="C830754"/>
        <s v="C831048"/>
        <s v="C832010"/>
        <s v="C832397"/>
        <s v="C832533"/>
        <s v="C833582"/>
        <s v="C833832"/>
        <s v="C834257"/>
        <s v="C836254"/>
        <s v="C838257"/>
        <s v="C838282"/>
        <s v="C838623"/>
        <s v="C841591"/>
        <s v="C841663"/>
        <s v="C842431"/>
        <s v="C845711"/>
        <s v="C846690"/>
        <s v="C846730"/>
        <s v="C847171"/>
        <s v="C848969"/>
        <s v="C850866"/>
        <s v="C851508"/>
        <s v="C852668"/>
        <s v="C853154"/>
        <s v="C855678"/>
        <s v="C856138"/>
        <s v="C858254"/>
        <s v="C858536"/>
        <s v="C863183"/>
        <s v="C864800"/>
        <s v="C866033"/>
        <s v="C866676"/>
        <s v="C870412"/>
        <s v="C871318"/>
        <s v="C876528"/>
        <s v="C876858"/>
        <s v="C878345"/>
        <s v="C882059"/>
        <s v="C882218"/>
        <s v="C882358"/>
        <s v="C884264"/>
        <s v="C885344"/>
        <s v="C885556"/>
        <s v="C886153"/>
        <s v="C891545"/>
        <s v="C892096"/>
        <s v="C892871"/>
        <s v="C894269"/>
        <s v="C895045"/>
        <s v="C897202"/>
        <s v="C898202"/>
        <s v="C898405"/>
        <s v="C899218"/>
        <s v="C900938"/>
        <s v="C901974"/>
        <s v="C902190"/>
        <s v="C907582"/>
        <s v="C908169"/>
        <s v="C911768"/>
        <s v="C913425"/>
        <s v="C919190"/>
        <s v="C920331"/>
        <s v="C921087"/>
        <s v="C921649"/>
        <s v="C925796"/>
        <s v="C926896"/>
        <s v="C932517"/>
        <s v="C935162"/>
        <s v="C937123"/>
        <s v="C939175"/>
        <s v="C940481"/>
        <s v="C944366"/>
        <s v="C945285"/>
        <s v="C947114"/>
        <s v="C947516"/>
        <s v="C949760"/>
        <s v="C949868"/>
        <s v="C952467"/>
        <s v="C954128"/>
        <s v="C955218"/>
        <s v="C955533"/>
        <s v="C962515"/>
        <s v="C963628"/>
        <s v="C964548"/>
        <s v="C968730"/>
        <s v="C978718"/>
        <s v="C979970"/>
        <s v="C981925"/>
        <s v="C986474"/>
        <s v="C986860"/>
        <s v="C986930"/>
        <s v="C987230"/>
        <s v="C987573"/>
        <s v="C988172"/>
        <s v="C989693"/>
        <s v="C991037"/>
        <s v="C992677"/>
        <s v="C992695"/>
        <s v="C992967"/>
        <s v="C993675"/>
        <s v="C993876"/>
        <s v="C994327"/>
        <s v="C995929"/>
        <s v="C997380"/>
        <s v="C997987"/>
        <s v="C999586"/>
      </sharedItems>
    </cacheField>
    <cacheField name="category" numFmtId="0">
      <sharedItems count="8">
        <s v="Clothing"/>
        <s v="Cosmetics"/>
        <s v="Food &amp; Beverage"/>
        <s v="Books"/>
        <s v="Technology"/>
        <s v="Shoes"/>
        <s v="Toys"/>
        <s v="Souvenir"/>
      </sharedItems>
    </cacheField>
    <cacheField name="quantity" numFmtId="0">
      <sharedItems containsSemiMixedTypes="0" containsString="0" containsNumber="1" containsInteger="1" minValue="1" maxValue="5"/>
    </cacheField>
    <cacheField name="price" numFmtId="0">
      <sharedItems containsSemiMixedTypes="0" containsString="0" containsNumber="1" minValue="5.23" maxValue="5250"/>
    </cacheField>
    <cacheField name="invoice_date" numFmtId="14">
      <sharedItems containsSemiMixedTypes="0" containsNonDate="0" containsDate="1" containsString="0" minDate="2021-01-01T00:00:00" maxDate="2023-03-09T00:00:00" count="797">
        <d v="2021-01-14T00:00:00"/>
        <d v="2021-03-29T00:00:00"/>
        <d v="2022-05-21T00:00:00"/>
        <d v="2022-07-05T00:00:00"/>
        <d v="2022-09-23T00:00:00"/>
        <d v="2021-01-07T00:00:00"/>
        <d v="2022-06-10T00:00:00"/>
        <d v="2022-07-03T00:00:00"/>
        <d v="2022-07-18T00:00:00"/>
        <d v="2022-09-18T00:00:00"/>
        <d v="2021-05-05T00:00:00"/>
        <d v="2022-09-19T00:00:00"/>
        <d v="2022-09-27T00:00:00"/>
        <d v="2021-04-25T00:00:00"/>
        <d v="2021-08-05T00:00:00"/>
        <d v="2021-08-21T00:00:00"/>
        <d v="2022-01-24T00:00:00"/>
        <d v="2021-09-05T00:00:00"/>
        <d v="2022-02-20T00:00:00"/>
        <d v="2022-09-05T00:00:00"/>
        <d v="2022-11-12T00:00:00"/>
        <d v="2021-08-30T00:00:00"/>
        <d v="2021-09-25T00:00:00"/>
        <d v="2022-05-22T00:00:00"/>
        <d v="2022-08-16T00:00:00"/>
        <d v="2022-11-20T00:00:00"/>
        <d v="2023-01-27T00:00:00"/>
        <d v="2021-06-24T00:00:00"/>
        <d v="2021-09-06T00:00:00"/>
        <d v="2022-10-02T00:00:00"/>
        <d v="2021-05-09T00:00:00"/>
        <d v="2022-04-05T00:00:00"/>
        <d v="2022-12-22T00:00:00"/>
        <d v="2021-05-10T00:00:00"/>
        <d v="2021-06-29T00:00:00"/>
        <d v="2022-03-26T00:00:00"/>
        <d v="2022-09-08T00:00:00"/>
        <d v="2022-10-03T00:00:00"/>
        <d v="2021-07-02T00:00:00"/>
        <d v="2021-09-10T00:00:00"/>
        <d v="2022-02-14T00:00:00"/>
        <d v="2022-09-10T00:00:00"/>
        <d v="2023-01-18T00:00:00"/>
        <d v="2021-06-21T00:00:00"/>
        <d v="2022-01-11T00:00:00"/>
        <d v="2021-06-09T00:00:00"/>
        <d v="2021-11-05T00:00:00"/>
        <d v="2021-12-13T00:00:00"/>
        <d v="2022-02-06T00:00:00"/>
        <d v="2022-08-24T00:00:00"/>
        <d v="2023-01-30T00:00:00"/>
        <d v="2022-02-07T00:00:00"/>
        <d v="2022-10-25T00:00:00"/>
        <d v="2023-02-22T00:00:00"/>
        <d v="2023-03-02T00:00:00"/>
        <d v="2022-06-30T00:00:00"/>
        <d v="2022-08-01T00:00:00"/>
        <d v="2021-03-15T00:00:00"/>
        <d v="2021-12-18T00:00:00"/>
        <d v="2022-03-27T00:00:00"/>
        <d v="2023-01-05T00:00:00"/>
        <d v="2023-02-28T00:00:00"/>
        <d v="2021-01-16T00:00:00"/>
        <d v="2021-01-18T00:00:00"/>
        <d v="2021-01-30T00:00:00"/>
        <d v="2021-03-24T00:00:00"/>
        <d v="2022-01-27T00:00:00"/>
        <d v="2022-12-13T00:00:00"/>
        <d v="2021-03-31T00:00:00"/>
        <d v="2021-05-12T00:00:00"/>
        <d v="2021-11-27T00:00:00"/>
        <d v="2023-02-26T00:00:00"/>
        <d v="2021-01-29T00:00:00"/>
        <d v="2021-07-11T00:00:00"/>
        <d v="2021-10-24T00:00:00"/>
        <d v="2022-01-28T00:00:00"/>
        <d v="2022-03-23T00:00:00"/>
        <d v="2021-03-01T00:00:00"/>
        <d v="2021-03-20T00:00:00"/>
        <d v="2021-08-20T00:00:00"/>
        <d v="2021-01-24T00:00:00"/>
        <d v="2021-07-21T00:00:00"/>
        <d v="2021-10-14T00:00:00"/>
        <d v="2021-01-10T00:00:00"/>
        <d v="2021-02-03T00:00:00"/>
        <d v="2021-04-22T00:00:00"/>
        <d v="2021-05-08T00:00:00"/>
        <d v="2021-10-22T00:00:00"/>
        <d v="2022-03-10T00:00:00"/>
        <d v="2021-04-26T00:00:00"/>
        <d v="2021-05-16T00:00:00"/>
        <d v="2021-09-23T00:00:00"/>
        <d v="2021-12-01T00:00:00"/>
        <d v="2022-04-10T00:00:00"/>
        <d v="2022-09-09T00:00:00"/>
        <d v="2021-09-09T00:00:00"/>
        <d v="2022-10-27T00:00:00"/>
        <d v="2021-03-19T00:00:00"/>
        <d v="2022-07-22T00:00:00"/>
        <d v="2021-02-11T00:00:00"/>
        <d v="2021-09-29T00:00:00"/>
        <d v="2021-10-16T00:00:00"/>
        <d v="2021-12-17T00:00:00"/>
        <d v="2023-03-07T00:00:00"/>
        <d v="2021-01-03T00:00:00"/>
        <d v="2021-01-08T00:00:00"/>
        <d v="2021-07-05T00:00:00"/>
        <d v="2021-09-26T00:00:00"/>
        <d v="2021-10-08T00:00:00"/>
        <d v="2022-01-20T00:00:00"/>
        <d v="2022-02-21T00:00:00"/>
        <d v="2022-06-19T00:00:00"/>
        <d v="2021-02-28T00:00:00"/>
        <d v="2021-04-10T00:00:00"/>
        <d v="2022-08-17T00:00:00"/>
        <d v="2021-02-12T00:00:00"/>
        <d v="2021-10-12T00:00:00"/>
        <d v="2021-03-13T00:00:00"/>
        <d v="2022-04-21T00:00:00"/>
        <d v="2022-09-24T00:00:00"/>
        <d v="2021-04-20T00:00:00"/>
        <d v="2021-04-24T00:00:00"/>
        <d v="2021-06-30T00:00:00"/>
        <d v="2022-04-30T00:00:00"/>
        <d v="2022-06-28T00:00:00"/>
        <d v="2022-08-22T00:00:00"/>
        <d v="2021-02-20T00:00:00"/>
        <d v="2022-06-14T00:00:00"/>
        <d v="2021-03-14T00:00:00"/>
        <d v="2022-03-12T00:00:00"/>
        <d v="2022-11-07T00:00:00"/>
        <d v="2021-01-23T00:00:00"/>
        <d v="2021-04-17T00:00:00"/>
        <d v="2021-06-16T00:00:00"/>
        <d v="2021-08-08T00:00:00"/>
        <d v="2022-02-19T00:00:00"/>
        <d v="2021-02-26T00:00:00"/>
        <d v="2021-07-03T00:00:00"/>
        <d v="2021-08-02T00:00:00"/>
        <d v="2022-07-17T00:00:00"/>
        <d v="2022-08-02T00:00:00"/>
        <d v="2021-07-09T00:00:00"/>
        <d v="2022-04-16T00:00:00"/>
        <d v="2021-01-01T00:00:00"/>
        <d v="2021-05-02T00:00:00"/>
        <d v="2021-05-17T00:00:00"/>
        <d v="2021-08-22T00:00:00"/>
        <d v="2021-12-16T00:00:00"/>
        <d v="2022-10-16T00:00:00"/>
        <d v="2021-10-26T00:00:00"/>
        <d v="2021-12-09T00:00:00"/>
        <d v="2021-12-15T00:00:00"/>
        <d v="2022-04-29T00:00:00"/>
        <d v="2022-06-24T00:00:00"/>
        <d v="2022-08-06T00:00:00"/>
        <d v="2023-01-04T00:00:00"/>
        <d v="2023-02-23T00:00:00"/>
        <d v="2021-02-09T00:00:00"/>
        <d v="2021-08-04T00:00:00"/>
        <d v="2021-09-04T00:00:00"/>
        <d v="2022-06-27T00:00:00"/>
        <d v="2022-12-08T00:00:00"/>
        <d v="2021-03-08T00:00:00"/>
        <d v="2021-04-01T00:00:00"/>
        <d v="2022-01-05T00:00:00"/>
        <d v="2023-01-15T00:00:00"/>
        <d v="2021-08-13T00:00:00"/>
        <d v="2021-11-10T00:00:00"/>
        <d v="2021-12-23T00:00:00"/>
        <d v="2022-03-25T00:00:00"/>
        <d v="2023-01-31T00:00:00"/>
        <d v="2023-02-16T00:00:00"/>
        <d v="2021-02-18T00:00:00"/>
        <d v="2021-03-17T00:00:00"/>
        <d v="2021-04-03T00:00:00"/>
        <d v="2021-04-28T00:00:00"/>
        <d v="2021-09-12T00:00:00"/>
        <d v="2021-09-16T00:00:00"/>
        <d v="2022-11-06T00:00:00"/>
        <d v="2021-10-06T00:00:00"/>
        <d v="2021-10-19T00:00:00"/>
        <d v="2022-03-15T00:00:00"/>
        <d v="2022-11-08T00:00:00"/>
        <d v="2021-01-11T00:00:00"/>
        <d v="2021-01-26T00:00:00"/>
        <d v="2021-02-16T00:00:00"/>
        <d v="2021-04-12T00:00:00"/>
        <d v="2021-11-18T00:00:00"/>
        <d v="2022-01-13T00:00:00"/>
        <d v="2022-02-11T00:00:00"/>
        <d v="2022-12-24T00:00:00"/>
        <d v="2022-05-26T00:00:00"/>
        <d v="2022-08-03T00:00:00"/>
        <d v="2022-08-15T00:00:00"/>
        <d v="2022-09-14T00:00:00"/>
        <d v="2022-10-06T00:00:00"/>
        <d v="2023-01-19T00:00:00"/>
        <d v="2023-02-14T00:00:00"/>
        <d v="2021-03-16T00:00:00"/>
        <d v="2022-04-26T00:00:00"/>
        <d v="2023-01-12T00:00:00"/>
        <d v="2021-01-13T00:00:00"/>
        <d v="2021-03-05T00:00:00"/>
        <d v="2023-02-13T00:00:00"/>
        <d v="2021-07-10T00:00:00"/>
        <d v="2022-04-07T00:00:00"/>
        <d v="2022-08-27T00:00:00"/>
        <d v="2021-07-29T00:00:00"/>
        <d v="2021-11-14T00:00:00"/>
        <d v="2022-05-19T00:00:00"/>
        <d v="2022-09-20T00:00:00"/>
        <d v="2023-03-04T00:00:00"/>
        <d v="2021-10-09T00:00:00"/>
        <d v="2022-02-02T00:00:00"/>
        <d v="2022-11-11T00:00:00"/>
        <d v="2023-02-05T00:00:00"/>
        <d v="2023-02-15T00:00:00"/>
        <d v="2022-06-26T00:00:00"/>
        <d v="2022-11-14T00:00:00"/>
        <d v="2022-11-23T00:00:00"/>
        <d v="2021-01-28T00:00:00"/>
        <d v="2021-02-24T00:00:00"/>
        <d v="2022-04-12T00:00:00"/>
        <d v="2022-05-15T00:00:00"/>
        <d v="2021-02-04T00:00:00"/>
        <d v="2021-02-05T00:00:00"/>
        <d v="2021-12-10T00:00:00"/>
        <d v="2022-06-29T00:00:00"/>
        <d v="2022-02-17T00:00:00"/>
        <d v="2023-01-02T00:00:00"/>
        <d v="2021-07-25T00:00:00"/>
        <d v="2021-10-02T00:00:00"/>
        <d v="2021-10-03T00:00:00"/>
        <d v="2021-12-12T00:00:00"/>
        <d v="2022-03-14T00:00:00"/>
        <d v="2022-04-23T00:00:00"/>
        <d v="2022-07-16T00:00:00"/>
        <d v="2022-12-25T00:00:00"/>
        <d v="2021-02-14T00:00:00"/>
        <d v="2021-03-21T00:00:00"/>
        <d v="2021-04-19T00:00:00"/>
        <d v="2022-07-21T00:00:00"/>
        <d v="2021-06-22T00:00:00"/>
        <d v="2022-12-11T00:00:00"/>
        <d v="2021-03-10T00:00:00"/>
        <d v="2021-04-08T00:00:00"/>
        <d v="2023-01-17T00:00:00"/>
        <d v="2023-02-18T00:00:00"/>
        <d v="2022-02-16T00:00:00"/>
        <d v="2022-03-19T00:00:00"/>
        <d v="2022-12-04T00:00:00"/>
        <d v="2023-01-07T00:00:00"/>
        <d v="2022-05-20T00:00:00"/>
        <d v="2022-10-10T00:00:00"/>
        <d v="2022-10-23T00:00:00"/>
        <d v="2022-08-21T00:00:00"/>
        <d v="2022-10-21T00:00:00"/>
        <d v="2021-07-08T00:00:00"/>
        <d v="2022-05-10T00:00:00"/>
        <d v="2022-07-11T00:00:00"/>
        <d v="2022-09-21T00:00:00"/>
        <d v="2021-05-03T00:00:00"/>
        <d v="2022-07-20T00:00:00"/>
        <d v="2022-10-19T00:00:00"/>
        <d v="2021-02-22T00:00:00"/>
        <d v="2021-11-06T00:00:00"/>
        <d v="2022-06-23T00:00:00"/>
        <d v="2022-08-10T00:00:00"/>
        <d v="2021-03-30T00:00:00"/>
        <d v="2021-05-21T00:00:00"/>
        <d v="2021-06-08T00:00:00"/>
        <d v="2021-06-18T00:00:00"/>
        <d v="2022-05-12T00:00:00"/>
        <d v="2022-09-04T00:00:00"/>
        <d v="2022-11-13T00:00:00"/>
        <d v="2021-02-21T00:00:00"/>
        <d v="2021-10-20T00:00:00"/>
        <d v="2022-12-23T00:00:00"/>
        <d v="2021-05-06T00:00:00"/>
        <d v="2021-05-13T00:00:00"/>
        <d v="2022-01-10T00:00:00"/>
        <d v="2022-03-18T00:00:00"/>
        <d v="2022-03-31T00:00:00"/>
        <d v="2022-09-01T00:00:00"/>
        <d v="2023-01-09T00:00:00"/>
        <d v="2021-06-06T00:00:00"/>
        <d v="2021-12-05T00:00:00"/>
        <d v="2022-09-25T00:00:00"/>
        <d v="2022-09-30T00:00:00"/>
        <d v="2022-12-14T00:00:00"/>
        <d v="2021-03-25T00:00:00"/>
        <d v="2021-10-07T00:00:00"/>
        <d v="2021-03-02T00:00:00"/>
        <d v="2021-03-04T00:00:00"/>
        <d v="2021-08-17T00:00:00"/>
        <d v="2021-08-18T00:00:00"/>
        <d v="2021-12-22T00:00:00"/>
        <d v="2022-09-02T00:00:00"/>
        <d v="2021-03-28T00:00:00"/>
        <d v="2023-02-21T00:00:00"/>
        <d v="2021-10-23T00:00:00"/>
        <d v="2021-04-04T00:00:00"/>
        <d v="2021-12-28T00:00:00"/>
        <d v="2022-11-15T00:00:00"/>
        <d v="2021-02-08T00:00:00"/>
        <d v="2021-04-29T00:00:00"/>
        <d v="2021-06-15T00:00:00"/>
        <d v="2021-07-14T00:00:00"/>
        <d v="2021-08-03T00:00:00"/>
        <d v="2022-05-25T00:00:00"/>
        <d v="2022-11-26T00:00:00"/>
        <d v="2023-03-01T00:00:00"/>
        <d v="2021-06-01T00:00:00"/>
        <d v="2021-06-23T00:00:00"/>
        <d v="2021-07-28T00:00:00"/>
        <d v="2021-08-10T00:00:00"/>
        <d v="2022-07-24T00:00:00"/>
        <d v="2021-01-15T00:00:00"/>
        <d v="2021-04-27T00:00:00"/>
        <d v="2021-05-11T00:00:00"/>
        <d v="2021-06-17T00:00:00"/>
        <d v="2022-02-15T00:00:00"/>
        <d v="2022-06-13T00:00:00"/>
        <d v="2022-08-07T00:00:00"/>
        <d v="2021-08-27T00:00:00"/>
        <d v="2022-03-05T00:00:00"/>
        <d v="2021-06-28T00:00:00"/>
        <d v="2021-07-18T00:00:00"/>
        <d v="2021-08-24T00:00:00"/>
        <d v="2022-04-18T00:00:00"/>
        <d v="2022-10-08T00:00:00"/>
        <d v="2022-11-03T00:00:00"/>
        <d v="2021-01-25T00:00:00"/>
        <d v="2022-01-06T00:00:00"/>
        <d v="2021-03-09T00:00:00"/>
        <d v="2021-10-18T00:00:00"/>
        <d v="2022-06-04T00:00:00"/>
        <d v="2022-09-06T00:00:00"/>
        <d v="2021-06-14T00:00:00"/>
        <d v="2021-07-19T00:00:00"/>
        <d v="2022-07-09T00:00:00"/>
        <d v="2021-09-30T00:00:00"/>
        <d v="2022-03-03T00:00:00"/>
        <d v="2022-04-09T00:00:00"/>
        <d v="2022-06-25T00:00:00"/>
        <d v="2022-04-01T00:00:00"/>
        <d v="2022-12-28T00:00:00"/>
        <d v="2022-01-04T00:00:00"/>
        <d v="2022-01-30T00:00:00"/>
        <d v="2022-01-31T00:00:00"/>
        <d v="2022-08-25T00:00:00"/>
        <d v="2021-04-15T00:00:00"/>
        <d v="2021-10-28T00:00:00"/>
        <d v="2022-03-24T00:00:00"/>
        <d v="2021-12-25T00:00:00"/>
        <d v="2021-08-16T00:00:00"/>
        <d v="2022-06-03T00:00:00"/>
        <d v="2021-07-20T00:00:00"/>
        <d v="2021-08-31T00:00:00"/>
        <d v="2021-10-30T00:00:00"/>
        <d v="2022-05-23T00:00:00"/>
        <d v="2022-10-17T00:00:00"/>
        <d v="2022-06-15T00:00:00"/>
        <d v="2022-12-20T00:00:00"/>
        <d v="2021-11-01T00:00:00"/>
        <d v="2022-02-28T00:00:00"/>
        <d v="2021-09-02T00:00:00"/>
        <d v="2022-07-08T00:00:00"/>
        <d v="2022-10-04T00:00:00"/>
        <d v="2021-04-21T00:00:00"/>
        <d v="2022-04-19T00:00:00"/>
        <d v="2022-09-07T00:00:00"/>
        <d v="2021-04-05T00:00:00"/>
        <d v="2021-06-19T00:00:00"/>
        <d v="2021-08-23T00:00:00"/>
        <d v="2021-11-29T00:00:00"/>
        <d v="2022-04-13T00:00:00"/>
        <d v="2022-09-17T00:00:00"/>
        <d v="2022-11-24T00:00:00"/>
        <d v="2023-02-25T00:00:00"/>
        <d v="2021-11-02T00:00:00"/>
        <d v="2021-12-07T00:00:00"/>
        <d v="2022-11-19T00:00:00"/>
        <d v="2021-02-07T00:00:00"/>
        <d v="2022-05-06T00:00:00"/>
        <d v="2023-02-12T00:00:00"/>
        <d v="2021-10-27T00:00:00"/>
        <d v="2021-11-09T00:00:00"/>
        <d v="2022-05-05T00:00:00"/>
        <d v="2021-04-18T00:00:00"/>
        <d v="2022-05-04T00:00:00"/>
        <d v="2022-08-05T00:00:00"/>
        <d v="2021-10-01T00:00:00"/>
        <d v="2022-03-06T00:00:00"/>
        <d v="2022-08-28T00:00:00"/>
        <d v="2022-12-06T00:00:00"/>
        <d v="2021-10-29T00:00:00"/>
        <d v="2021-01-09T00:00:00"/>
        <d v="2021-11-20T00:00:00"/>
        <d v="2022-01-07T00:00:00"/>
        <d v="2022-06-09T00:00:00"/>
        <d v="2022-07-02T00:00:00"/>
        <d v="2023-01-25T00:00:00"/>
        <d v="2023-02-20T00:00:00"/>
        <d v="2022-03-02T00:00:00"/>
        <d v="2022-05-17T00:00:00"/>
        <d v="2021-11-28T00:00:00"/>
        <d v="2022-07-04T00:00:00"/>
        <d v="2021-01-12T00:00:00"/>
        <d v="2022-10-18T00:00:00"/>
        <d v="2021-10-31T00:00:00"/>
        <d v="2022-07-19T00:00:00"/>
        <d v="2022-12-18T00:00:00"/>
        <d v="2022-12-26T00:00:00"/>
        <d v="2021-01-27T00:00:00"/>
        <d v="2022-07-23T00:00:00"/>
        <d v="2023-01-06T00:00:00"/>
        <d v="2021-09-18T00:00:00"/>
        <d v="2022-07-10T00:00:00"/>
        <d v="2022-07-31T00:00:00"/>
        <d v="2022-10-24T00:00:00"/>
        <d v="2022-11-10T00:00:00"/>
        <d v="2021-01-04T00:00:00"/>
        <d v="2023-02-02T00:00:00"/>
        <d v="2021-08-14T00:00:00"/>
        <d v="2021-11-19T00:00:00"/>
        <d v="2022-03-09T00:00:00"/>
        <d v="2022-04-02T00:00:00"/>
        <d v="2022-12-03T00:00:00"/>
        <d v="2021-07-24T00:00:00"/>
        <d v="2022-05-01T00:00:00"/>
        <d v="2022-10-31T00:00:00"/>
        <d v="2021-06-12T00:00:00"/>
        <d v="2021-09-03T00:00:00"/>
        <d v="2021-06-07T00:00:00"/>
        <d v="2021-11-26T00:00:00"/>
        <d v="2023-02-04T00:00:00"/>
        <d v="2021-04-14T00:00:00"/>
        <d v="2021-05-23T00:00:00"/>
        <d v="2022-08-19T00:00:00"/>
        <d v="2021-08-12T00:00:00"/>
        <d v="2023-01-20T00:00:00"/>
        <d v="2023-01-22T00:00:00"/>
        <d v="2022-04-04T00:00:00"/>
        <d v="2022-09-16T00:00:00"/>
        <d v="2021-01-22T00:00:00"/>
        <d v="2021-03-07T00:00:00"/>
        <d v="2022-12-15T00:00:00"/>
        <d v="2022-07-25T00:00:00"/>
        <d v="2022-10-09T00:00:00"/>
        <d v="2022-09-15T00:00:00"/>
        <d v="2023-01-16T00:00:00"/>
        <d v="2023-02-27T00:00:00"/>
        <d v="2021-06-04T00:00:00"/>
        <d v="2022-02-23T00:00:00"/>
        <d v="2022-05-16T00:00:00"/>
        <d v="2022-10-20T00:00:00"/>
        <d v="2021-05-26T00:00:00"/>
        <d v="2022-06-11T00:00:00"/>
        <d v="2021-07-27T00:00:00"/>
        <d v="2022-02-12T00:00:00"/>
        <d v="2022-04-24T00:00:00"/>
        <d v="2021-09-07T00:00:00"/>
        <d v="2022-03-01T00:00:00"/>
        <d v="2022-08-08T00:00:00"/>
        <d v="2021-01-19T00:00:00"/>
        <d v="2022-05-07T00:00:00"/>
        <d v="2022-01-15T00:00:00"/>
        <d v="2022-01-25T00:00:00"/>
        <d v="2021-07-23T00:00:00"/>
        <d v="2022-09-13T00:00:00"/>
        <d v="2021-12-02T00:00:00"/>
        <d v="2022-11-09T00:00:00"/>
        <d v="2021-07-22T00:00:00"/>
        <d v="2021-03-27T00:00:00"/>
        <d v="2021-12-06T00:00:00"/>
        <d v="2022-10-26T00:00:00"/>
        <d v="2021-12-26T00:00:00"/>
        <d v="2021-05-28T00:00:00"/>
        <d v="2021-10-11T00:00:00"/>
        <d v="2022-08-23T00:00:00"/>
        <d v="2022-12-09T00:00:00"/>
        <d v="2023-03-05T00:00:00"/>
        <d v="2021-05-24T00:00:00"/>
        <d v="2021-07-04T00:00:00"/>
        <d v="2021-09-22T00:00:00"/>
        <d v="2022-03-16T00:00:00"/>
        <d v="2022-03-13T00:00:00"/>
        <d v="2022-05-24T00:00:00"/>
        <d v="2022-06-16T00:00:00"/>
        <d v="2021-07-17T00:00:00"/>
        <d v="2022-06-01T00:00:00"/>
        <d v="2021-01-05T00:00:00"/>
        <d v="2021-02-02T00:00:00"/>
        <d v="2021-01-21T00:00:00"/>
        <d v="2021-08-01T00:00:00"/>
        <d v="2023-02-24T00:00:00"/>
        <d v="2021-06-13T00:00:00"/>
        <d v="2021-07-01T00:00:00"/>
        <d v="2022-12-30T00:00:00"/>
        <d v="2021-12-20T00:00:00"/>
        <d v="2021-04-09T00:00:00"/>
        <d v="2021-11-22T00:00:00"/>
        <d v="2022-04-08T00:00:00"/>
        <d v="2022-05-31T00:00:00"/>
        <d v="2021-07-12T00:00:00"/>
        <d v="2022-06-17T00:00:00"/>
        <d v="2022-01-18T00:00:00"/>
        <d v="2022-03-07T00:00:00"/>
        <d v="2022-04-06T00:00:00"/>
        <d v="2022-09-22T00:00:00"/>
        <d v="2022-10-30T00:00:00"/>
        <d v="2021-11-21T00:00:00"/>
        <d v="2022-12-19T00:00:00"/>
        <d v="2022-12-21T00:00:00"/>
        <d v="2022-01-22T00:00:00"/>
        <d v="2022-02-05T00:00:00"/>
        <d v="2023-01-03T00:00:00"/>
        <d v="2021-07-31T00:00:00"/>
        <d v="2023-01-23T00:00:00"/>
        <d v="2021-04-02T00:00:00"/>
        <d v="2021-05-01T00:00:00"/>
        <d v="2021-12-29T00:00:00"/>
        <d v="2022-04-15T00:00:00"/>
        <d v="2021-02-10T00:00:00"/>
        <d v="2021-11-04T00:00:00"/>
        <d v="2021-03-03T00:00:00"/>
        <d v="2021-03-11T00:00:00"/>
        <d v="2022-10-15T00:00:00"/>
        <d v="2023-02-06T00:00:00"/>
        <d v="2022-06-20T00:00:00"/>
        <d v="2022-07-01T00:00:00"/>
        <d v="2022-08-29T00:00:00"/>
        <d v="2021-01-02T00:00:00"/>
        <d v="2021-12-19T00:00:00"/>
        <d v="2021-01-17T00:00:00"/>
        <d v="2021-02-17T00:00:00"/>
        <d v="2021-03-23T00:00:00"/>
        <d v="2021-06-02T00:00:00"/>
        <d v="2022-03-08T00:00:00"/>
        <d v="2022-12-05T00:00:00"/>
        <d v="2021-08-28T00:00:00"/>
        <d v="2022-09-03T00:00:00"/>
        <d v="2021-11-07T00:00:00"/>
        <d v="2022-04-27T00:00:00"/>
        <d v="2021-07-15T00:00:00"/>
        <d v="2022-04-25T00:00:00"/>
        <d v="2022-08-11T00:00:00"/>
        <d v="2022-10-22T00:00:00"/>
        <d v="2022-11-01T00:00:00"/>
        <d v="2021-02-01T00:00:00"/>
        <d v="2021-04-23T00:00:00"/>
        <d v="2021-08-07T00:00:00"/>
        <d v="2022-12-27T00:00:00"/>
        <d v="2023-02-07T00:00:00"/>
        <d v="2021-05-18T00:00:00"/>
        <d v="2021-10-17T00:00:00"/>
        <d v="2022-01-14T00:00:00"/>
        <d v="2022-08-20T00:00:00"/>
        <d v="2022-06-02T00:00:00"/>
        <d v="2021-11-03T00:00:00"/>
        <d v="2022-08-31T00:00:00"/>
        <d v="2021-04-07T00:00:00"/>
        <d v="2021-08-15T00:00:00"/>
        <d v="2022-10-14T00:00:00"/>
        <d v="2022-11-22T00:00:00"/>
        <d v="2021-05-30T00:00:00"/>
        <d v="2021-10-05T00:00:00"/>
        <d v="2021-03-06T00:00:00"/>
        <d v="2021-12-31T00:00:00"/>
        <d v="2022-07-07T00:00:00"/>
        <d v="2021-11-11T00:00:00"/>
        <d v="2022-08-14T00:00:00"/>
        <d v="2022-02-25T00:00:00"/>
        <d v="2022-08-26T00:00:00"/>
        <d v="2021-08-19T00:00:00"/>
        <d v="2021-11-24T00:00:00"/>
        <d v="2022-07-15T00:00:00"/>
        <d v="2022-11-21T00:00:00"/>
        <d v="2022-01-26T00:00:00"/>
        <d v="2022-03-30T00:00:00"/>
        <d v="2022-07-28T00:00:00"/>
        <d v="2021-07-16T00:00:00"/>
        <d v="2022-07-13T00:00:00"/>
        <d v="2022-02-24T00:00:00"/>
        <d v="2022-04-14T00:00:00"/>
        <d v="2023-02-03T00:00:00"/>
        <d v="2021-09-17T00:00:00"/>
        <d v="2022-05-30T00:00:00"/>
        <d v="2021-11-25T00:00:00"/>
        <d v="2022-02-08T00:00:00"/>
        <d v="2022-03-22T00:00:00"/>
        <d v="2022-12-16T00:00:00"/>
        <d v="2021-09-13T00:00:00"/>
        <d v="2022-03-17T00:00:00"/>
        <d v="2022-05-29T00:00:00"/>
        <d v="2022-06-08T00:00:00"/>
        <d v="2022-09-29T00:00:00"/>
        <d v="2021-03-22T00:00:00"/>
        <d v="2021-01-06T00:00:00"/>
        <d v="2021-12-08T00:00:00"/>
        <d v="2022-12-07T00:00:00"/>
        <d v="2022-01-01T00:00:00"/>
        <d v="2022-08-04T00:00:00"/>
        <d v="2021-12-27T00:00:00"/>
        <d v="2022-08-30T00:00:00"/>
        <d v="2021-06-05T00:00:00"/>
        <d v="2022-11-27T00:00:00"/>
        <d v="2023-01-14T00:00:00"/>
        <d v="2021-03-12T00:00:00"/>
        <d v="2021-07-06T00:00:00"/>
        <d v="2022-08-18T00:00:00"/>
        <d v="2022-03-11T00:00:00"/>
        <d v="2021-09-08T00:00:00"/>
        <d v="2021-01-20T00:00:00"/>
        <d v="2022-11-17T00:00:00"/>
        <d v="2021-07-13T00:00:00"/>
        <d v="2022-05-18T00:00:00"/>
        <d v="2021-07-07T00:00:00"/>
        <d v="2021-09-27T00:00:00"/>
        <d v="2023-01-26T00:00:00"/>
        <d v="2022-05-08T00:00:00"/>
        <d v="2022-12-17T00:00:00"/>
        <d v="2021-05-04T00:00:00"/>
        <d v="2022-05-13T00:00:00"/>
        <d v="2022-07-30T00:00:00"/>
        <d v="2023-01-29T00:00:00"/>
        <d v="2021-09-11T00:00:00"/>
        <d v="2023-02-17T00:00:00"/>
        <d v="2021-05-25T00:00:00"/>
        <d v="2022-11-16T00:00:00"/>
        <d v="2022-09-11T00:00:00"/>
        <d v="2021-10-10T00:00:00"/>
        <d v="2022-03-21T00:00:00"/>
        <d v="2022-06-07T00:00:00"/>
        <d v="2021-02-27T00:00:00"/>
        <d v="2021-05-07T00:00:00"/>
        <d v="2022-09-28T00:00:00"/>
        <d v="2021-09-21T00:00:00"/>
        <d v="2021-08-26T00:00:00"/>
        <d v="2022-06-21T00:00:00"/>
        <d v="2021-07-26T00:00:00"/>
        <d v="2021-07-30T00:00:00"/>
        <d v="2022-11-04T00:00:00"/>
        <d v="2022-03-28T00:00:00"/>
        <d v="2023-03-03T00:00:00"/>
        <d v="2021-11-23T00:00:00"/>
        <d v="2022-01-17T00:00:00"/>
        <d v="2021-10-13T00:00:00"/>
        <d v="2022-10-11T00:00:00"/>
        <d v="2021-04-11T00:00:00"/>
        <d v="2021-09-19T00:00:00"/>
        <d v="2021-11-12T00:00:00"/>
        <d v="2021-08-09T00:00:00"/>
        <d v="2021-02-23T00:00:00"/>
        <d v="2021-12-21T00:00:00"/>
        <d v="2021-08-06T00:00:00"/>
        <d v="2021-11-15T00:00:00"/>
        <d v="2023-01-13T00:00:00"/>
        <d v="2022-07-29T00:00:00"/>
        <d v="2022-01-29T00:00:00"/>
        <d v="2021-04-06T00:00:00"/>
        <d v="2021-04-16T00:00:00"/>
        <d v="2021-12-03T00:00:00"/>
        <d v="2022-04-11T00:00:00"/>
        <d v="2022-02-01T00:00:00"/>
        <d v="2023-02-11T00:00:00"/>
        <d v="2022-11-30T00:00:00"/>
        <d v="2022-10-29T00:00:00"/>
        <d v="2021-11-08T00:00:00"/>
        <d v="2021-09-14T00:00:00"/>
        <d v="2022-10-12T00:00:00"/>
        <d v="2021-02-15T00:00:00"/>
        <d v="2022-05-14T00:00:00"/>
        <d v="2022-06-18T00:00:00"/>
        <d v="2022-08-13T00:00:00"/>
        <d v="2021-08-25T00:00:00"/>
        <d v="2021-12-24T00:00:00"/>
        <d v="2021-02-25T00:00:00"/>
        <d v="2022-01-19T00:00:00"/>
        <d v="2021-05-14T00:00:00"/>
        <d v="2022-07-26T00:00:00"/>
        <d v="2023-02-09T00:00:00"/>
        <d v="2022-09-12T00:00:00"/>
        <d v="2022-02-27T00:00:00"/>
        <d v="2022-05-27T00:00:00"/>
        <d v="2022-06-12T00:00:00"/>
        <d v="2021-05-31T00:00:00"/>
        <d v="2021-05-20T00:00:00"/>
        <d v="2022-01-02T00:00:00"/>
        <d v="2022-07-12T00:00:00"/>
        <d v="2022-02-04T00:00:00"/>
        <d v="2023-01-01T00:00:00"/>
        <d v="2023-03-06T00:00:00"/>
        <d v="2021-09-28T00:00:00"/>
        <d v="2021-02-06T00:00:00"/>
        <d v="2021-03-26T00:00:00"/>
        <d v="2021-09-24T00:00:00"/>
        <d v="2022-11-05T00:00:00"/>
        <d v="2022-12-12T00:00:00"/>
        <d v="2022-01-12T00:00:00"/>
        <d v="2022-07-27T00:00:00"/>
        <d v="2022-11-18T00:00:00"/>
        <d v="2022-02-26T00:00:00"/>
        <d v="2022-06-22T00:00:00"/>
        <d v="2022-12-02T00:00:00"/>
        <d v="2022-04-03T00:00:00"/>
        <d v="2022-06-05T00:00:00"/>
        <d v="2021-08-11T00:00:00"/>
        <d v="2021-04-13T00:00:00"/>
        <d v="2022-01-03T00:00:00"/>
        <d v="2022-02-18T00:00:00"/>
        <d v="2022-12-29T00:00:00"/>
        <d v="2022-04-28T00:00:00"/>
        <d v="2022-01-21T00:00:00"/>
        <d v="2022-01-09T00:00:00"/>
        <d v="2022-03-29T00:00:00"/>
        <d v="2021-12-14T00:00:00"/>
        <d v="2022-12-10T00:00:00"/>
        <d v="2022-05-09T00:00:00"/>
        <d v="2021-12-04T00:00:00"/>
        <d v="2022-11-25T00:00:00"/>
        <d v="2023-01-24T00:00:00"/>
        <d v="2021-06-10T00:00:00"/>
        <d v="2021-08-29T00:00:00"/>
        <d v="2021-10-21T00:00:00"/>
        <d v="2022-02-22T00:00:00"/>
        <d v="2023-01-11T00:00:00"/>
        <d v="2021-06-25T00:00:00"/>
        <d v="2022-04-22T00:00:00"/>
        <d v="2021-02-19T00:00:00"/>
        <d v="2021-09-01T00:00:00"/>
        <d v="2022-09-26T00:00:00"/>
        <d v="2022-11-02T00:00:00"/>
        <d v="2022-12-31T00:00:00"/>
        <d v="2022-04-17T00:00:00"/>
        <d v="2021-05-27T00:00:00"/>
        <d v="2021-03-18T00:00:00"/>
        <d v="2022-05-28T00:00:00"/>
        <d v="2021-11-13T00:00:00"/>
        <d v="2022-08-09T00:00:00"/>
        <d v="2023-02-01T00:00:00"/>
        <d v="2022-02-13T00:00:00"/>
        <d v="2021-06-20T00:00:00"/>
        <d v="2021-11-30T00:00:00"/>
        <d v="2021-09-20T00:00:00"/>
        <d v="2023-02-19T00:00:00"/>
        <d v="2022-03-20T00:00:00"/>
        <d v="2022-02-10T00:00:00"/>
        <d v="2021-06-03T00:00:00"/>
        <d v="2021-06-27T00:00:00"/>
        <d v="2023-01-08T00:00:00"/>
        <d v="2021-11-16T00:00:00"/>
        <d v="2022-05-03T00:00:00"/>
        <d v="2022-08-12T00:00:00"/>
        <d v="2022-10-13T00:00:00"/>
        <d v="2022-02-09T00:00:00"/>
        <d v="2021-06-26T00:00:00"/>
        <d v="2021-09-15T00:00:00"/>
        <d v="2022-01-08T00:00:00"/>
        <d v="2022-07-06T00:00:00"/>
        <d v="2022-02-03T00:00:00"/>
        <d v="2021-12-30T00:00:00"/>
        <d v="2021-06-11T00:00:00"/>
        <d v="2022-10-05T00:00:00"/>
        <d v="2023-03-08T00:00:00"/>
        <d v="2021-10-25T00:00:00"/>
        <d v="2022-11-28T00:00:00"/>
        <d v="2021-01-31T00:00:00"/>
        <d v="2023-02-10T00:00:00"/>
        <d v="2022-11-29T00:00:00"/>
        <d v="2022-06-06T00:00:00"/>
        <d v="2022-10-28T00:00:00"/>
        <d v="2021-12-11T00:00:00"/>
        <d v="2022-01-16T00:00:00"/>
        <d v="2021-05-19T00:00:00"/>
        <d v="2023-01-10T00:00:00"/>
        <d v="2022-05-11T00:00:00"/>
        <d v="2022-01-23T00:00:00"/>
        <d v="2022-04-20T00:00:00"/>
        <d v="2023-02-08T00:00:00"/>
        <d v="2023-01-21T00:00:00"/>
        <d v="2022-10-01T00:00:00"/>
        <d v="2022-10-07T00:00:00"/>
        <d v="2021-02-13T00:00:00"/>
        <d v="2021-05-29T00:00:00"/>
        <d v="2022-12-01T00:00:00"/>
        <d v="2021-10-15T00:00:00"/>
        <d v="2022-03-04T00:00:00"/>
        <d v="2021-04-30T00:00:00"/>
        <d v="2021-05-15T00:00:00"/>
        <d v="2022-05-02T00:00:00"/>
        <d v="2021-05-22T00:00:00"/>
        <d v="2023-01-28T00:00:00"/>
        <d v="2021-10-04T00:00:00"/>
        <d v="2021-11-17T00:00:00"/>
        <d v="2022-07-14T00:00:00"/>
      </sharedItems>
      <fieldGroup par="14"/>
    </cacheField>
    <cacheField name="shopping_mall" numFmtId="0">
      <sharedItems count="10">
        <s v="Kanyon"/>
        <s v="Metrocity"/>
        <s v="Zorlu Center"/>
        <s v="Cevahir AVM"/>
        <s v="Metropol AVM"/>
        <s v="Viaport Outlet"/>
        <s v="Mall of Istanbul"/>
        <s v="Forum Istanbul"/>
        <s v="Emaar Square Mall"/>
        <s v="Istinye Park"/>
      </sharedItems>
    </cacheField>
    <cacheField name="customer_satisfaction_score" numFmtId="0">
      <sharedItems containsSemiMixedTypes="0" containsString="0" containsNumber="1" containsInteger="1" minValue="1" maxValue="5" count="5">
        <n v="1"/>
        <n v="5"/>
        <n v="3"/>
        <n v="2"/>
        <n v="4"/>
      </sharedItems>
    </cacheField>
    <cacheField name="Purchase_history" numFmtId="165">
      <sharedItems containsSemiMixedTypes="0" containsString="0" containsNumber="1" minValue="5.23" maxValue="26250"/>
    </cacheField>
    <cacheField name="Total_year" numFmtId="0">
      <sharedItems containsString="0" containsBlank="1" containsNumber="1" minValue="0" maxValue="2.1698630136986301"/>
    </cacheField>
    <cacheField name="Total_Purchase" numFmtId="0">
      <sharedItems containsString="0" containsBlank="1" containsNumber="1" containsInteger="1" minValue="1" maxValue="44"/>
    </cacheField>
    <cacheField name="Expected_lifespan" numFmtId="0">
      <sharedItems containsSemiMixedTypes="0" containsString="0" containsNumber="1" containsInteger="1" minValue="5" maxValue="10"/>
    </cacheField>
    <cacheField name="Months (invoice_date)" numFmtId="0" databaseField="0">
      <fieldGroup base="5">
        <rangePr groupBy="months" startDate="2021-01-01T00:00:00" endDate="2023-03-09T00:00:00"/>
        <groupItems count="14">
          <s v="&lt;01-01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-03-23"/>
        </groupItems>
      </fieldGroup>
    </cacheField>
    <cacheField name="Quarters (invoice_date)" numFmtId="0" databaseField="0">
      <fieldGroup base="5">
        <rangePr groupBy="quarters" startDate="2021-01-01T00:00:00" endDate="2023-03-09T00:00:00"/>
        <groupItems count="6">
          <s v="&lt;01-01-21"/>
          <s v="Qtr1"/>
          <s v="Qtr2"/>
          <s v="Qtr3"/>
          <s v="Qtr4"/>
          <s v="&gt;09-03-23"/>
        </groupItems>
      </fieldGroup>
    </cacheField>
    <cacheField name="Years (invoice_date)" numFmtId="0" databaseField="0">
      <fieldGroup base="5">
        <rangePr groupBy="years" startDate="2021-01-01T00:00:00" endDate="2023-03-09T00:00:00"/>
        <groupItems count="5">
          <s v="&lt;01-01-21"/>
          <s v="2021"/>
          <s v="2022"/>
          <s v="2023"/>
          <s v="&gt;09-03-23"/>
        </groupItems>
      </fieldGroup>
    </cacheField>
  </cacheFields>
  <extLst>
    <ext xmlns:x14="http://schemas.microsoft.com/office/spreadsheetml/2009/9/main" uri="{725AE2AE-9491-48be-B2B4-4EB974FC3084}">
      <x14:pivotCacheDefinition pivotCacheId="341045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n v="4"/>
    <n v="1200.32"/>
    <x v="0"/>
    <x v="0"/>
    <x v="0"/>
    <n v="4801.28"/>
    <n v="1.6904109589041096"/>
    <n v="18"/>
    <n v="5"/>
  </r>
  <r>
    <x v="1"/>
    <x v="0"/>
    <x v="0"/>
    <n v="5"/>
    <n v="1500.4"/>
    <x v="1"/>
    <x v="1"/>
    <x v="1"/>
    <n v="7502"/>
    <n v="1.6958904109589041"/>
    <n v="19"/>
    <n v="5"/>
  </r>
  <r>
    <x v="2"/>
    <x v="0"/>
    <x v="1"/>
    <n v="3"/>
    <n v="121.98"/>
    <x v="2"/>
    <x v="2"/>
    <x v="2"/>
    <n v="365.94"/>
    <n v="1.3972602739726028"/>
    <n v="13"/>
    <n v="7"/>
  </r>
  <r>
    <x v="3"/>
    <x v="0"/>
    <x v="2"/>
    <n v="5"/>
    <n v="26.15"/>
    <x v="3"/>
    <x v="3"/>
    <x v="0"/>
    <n v="130.75"/>
    <n v="0.75068493150684934"/>
    <n v="11"/>
    <n v="7"/>
  </r>
  <r>
    <x v="4"/>
    <x v="0"/>
    <x v="3"/>
    <n v="1"/>
    <n v="15.15"/>
    <x v="4"/>
    <x v="1"/>
    <x v="0"/>
    <n v="15.15"/>
    <n v="1.1863013698630136"/>
    <n v="6"/>
    <n v="7"/>
  </r>
  <r>
    <x v="5"/>
    <x v="1"/>
    <x v="0"/>
    <n v="3"/>
    <n v="900.24"/>
    <x v="5"/>
    <x v="4"/>
    <x v="2"/>
    <n v="2700.7200000000003"/>
    <n v="1.4109589041095891"/>
    <n v="16"/>
    <n v="5"/>
  </r>
  <r>
    <x v="6"/>
    <x v="1"/>
    <x v="0"/>
    <n v="4"/>
    <n v="1200.32"/>
    <x v="6"/>
    <x v="0"/>
    <x v="0"/>
    <n v="4801.28"/>
    <n v="1.4082191780821918"/>
    <n v="4"/>
    <n v="7"/>
  </r>
  <r>
    <x v="7"/>
    <x v="1"/>
    <x v="4"/>
    <n v="5"/>
    <n v="5250"/>
    <x v="7"/>
    <x v="5"/>
    <x v="2"/>
    <n v="26250"/>
    <n v="1.7342465753424658"/>
    <n v="13"/>
    <n v="7"/>
  </r>
  <r>
    <x v="8"/>
    <x v="1"/>
    <x v="2"/>
    <n v="5"/>
    <n v="26.15"/>
    <x v="8"/>
    <x v="0"/>
    <x v="1"/>
    <n v="130.75"/>
    <n v="1.4"/>
    <n v="20"/>
    <n v="7"/>
  </r>
  <r>
    <x v="9"/>
    <x v="1"/>
    <x v="5"/>
    <n v="2"/>
    <n v="1200.3399999999999"/>
    <x v="9"/>
    <x v="0"/>
    <x v="0"/>
    <n v="2400.6799999999998"/>
    <n v="1.547945205479452"/>
    <n v="24"/>
    <n v="7"/>
  </r>
  <r>
    <x v="10"/>
    <x v="2"/>
    <x v="1"/>
    <n v="4"/>
    <n v="162.63999999999999"/>
    <x v="10"/>
    <x v="0"/>
    <x v="0"/>
    <n v="650.55999999999995"/>
    <n v="0.55890410958904113"/>
    <n v="7"/>
    <n v="5"/>
  </r>
  <r>
    <x v="11"/>
    <x v="2"/>
    <x v="6"/>
    <n v="4"/>
    <n v="143.36000000000001"/>
    <x v="11"/>
    <x v="1"/>
    <x v="2"/>
    <n v="573.44000000000005"/>
    <n v="1.6438356164383561"/>
    <n v="23"/>
    <n v="7"/>
  </r>
  <r>
    <x v="12"/>
    <x v="2"/>
    <x v="2"/>
    <n v="5"/>
    <n v="26.15"/>
    <x v="12"/>
    <x v="2"/>
    <x v="3"/>
    <n v="130.75"/>
    <n v="1.0630136986301371"/>
    <n v="10"/>
    <n v="7"/>
  </r>
  <r>
    <x v="13"/>
    <x v="3"/>
    <x v="2"/>
    <n v="2"/>
    <n v="10.46"/>
    <x v="13"/>
    <x v="5"/>
    <x v="1"/>
    <n v="20.92"/>
    <n v="1.2767123287671234"/>
    <n v="13"/>
    <n v="5"/>
  </r>
  <r>
    <x v="14"/>
    <x v="3"/>
    <x v="1"/>
    <n v="2"/>
    <n v="81.319999999999993"/>
    <x v="14"/>
    <x v="6"/>
    <x v="2"/>
    <n v="162.63999999999999"/>
    <n v="1.9589041095890412"/>
    <n v="22"/>
    <n v="5"/>
  </r>
  <r>
    <x v="15"/>
    <x v="3"/>
    <x v="6"/>
    <n v="2"/>
    <n v="71.680000000000007"/>
    <x v="15"/>
    <x v="3"/>
    <x v="0"/>
    <n v="143.36000000000001"/>
    <n v="1.9068493150684931"/>
    <n v="20"/>
    <n v="5"/>
  </r>
  <r>
    <x v="16"/>
    <x v="3"/>
    <x v="0"/>
    <n v="5"/>
    <n v="1500.4"/>
    <x v="16"/>
    <x v="6"/>
    <x v="2"/>
    <n v="7502"/>
    <n v="1.9095890410958904"/>
    <n v="14"/>
    <n v="7"/>
  </r>
  <r>
    <x v="17"/>
    <x v="4"/>
    <x v="1"/>
    <n v="1"/>
    <n v="40.659999999999997"/>
    <x v="17"/>
    <x v="5"/>
    <x v="0"/>
    <n v="40.659999999999997"/>
    <n v="1.1452054794520548"/>
    <n v="7"/>
    <n v="5"/>
  </r>
  <r>
    <x v="18"/>
    <x v="4"/>
    <x v="6"/>
    <n v="1"/>
    <n v="35.840000000000003"/>
    <x v="18"/>
    <x v="0"/>
    <x v="0"/>
    <n v="35.840000000000003"/>
    <n v="0.61643835616438358"/>
    <n v="10"/>
    <n v="7"/>
  </r>
  <r>
    <x v="19"/>
    <x v="4"/>
    <x v="4"/>
    <n v="3"/>
    <n v="3150"/>
    <x v="19"/>
    <x v="1"/>
    <x v="2"/>
    <n v="9450"/>
    <n v="0.72054794520547949"/>
    <n v="8"/>
    <n v="7"/>
  </r>
  <r>
    <x v="20"/>
    <x v="4"/>
    <x v="0"/>
    <n v="1"/>
    <n v="300.08"/>
    <x v="20"/>
    <x v="6"/>
    <x v="0"/>
    <n v="300.08"/>
    <n v="1.1616438356164382"/>
    <n v="16"/>
    <n v="7"/>
  </r>
  <r>
    <x v="21"/>
    <x v="5"/>
    <x v="1"/>
    <n v="5"/>
    <n v="203.3"/>
    <x v="21"/>
    <x v="1"/>
    <x v="0"/>
    <n v="1016.5"/>
    <n v="1.3726027397260274"/>
    <n v="23"/>
    <n v="5"/>
  </r>
  <r>
    <x v="22"/>
    <x v="5"/>
    <x v="0"/>
    <n v="2"/>
    <n v="600.16"/>
    <x v="22"/>
    <x v="1"/>
    <x v="2"/>
    <n v="1200.32"/>
    <n v="1.1972602739726028"/>
    <n v="10"/>
    <n v="5"/>
  </r>
  <r>
    <x v="23"/>
    <x v="5"/>
    <x v="0"/>
    <n v="1"/>
    <n v="300.08"/>
    <x v="23"/>
    <x v="6"/>
    <x v="1"/>
    <n v="300.08"/>
    <n v="1.3534246575342466"/>
    <n v="12"/>
    <n v="7"/>
  </r>
  <r>
    <x v="24"/>
    <x v="5"/>
    <x v="1"/>
    <n v="2"/>
    <n v="81.319999999999993"/>
    <x v="24"/>
    <x v="7"/>
    <x v="2"/>
    <n v="162.63999999999999"/>
    <n v="2.0657534246575344"/>
    <n v="16"/>
    <n v="7"/>
  </r>
  <r>
    <x v="25"/>
    <x v="5"/>
    <x v="3"/>
    <n v="1"/>
    <n v="15.15"/>
    <x v="25"/>
    <x v="6"/>
    <x v="3"/>
    <n v="15.15"/>
    <n v="1.4575342465753425"/>
    <n v="36"/>
    <n v="7"/>
  </r>
  <r>
    <x v="26"/>
    <x v="5"/>
    <x v="0"/>
    <n v="5"/>
    <n v="1500.4"/>
    <x v="26"/>
    <x v="2"/>
    <x v="1"/>
    <n v="7502"/>
    <n v="1.9945205479452055"/>
    <n v="8"/>
    <n v="10"/>
  </r>
  <r>
    <x v="27"/>
    <x v="6"/>
    <x v="3"/>
    <n v="1"/>
    <n v="15.15"/>
    <x v="27"/>
    <x v="7"/>
    <x v="1"/>
    <n v="15.15"/>
    <n v="1.6383561643835616"/>
    <n v="10"/>
    <n v="5"/>
  </r>
  <r>
    <x v="28"/>
    <x v="6"/>
    <x v="5"/>
    <n v="1"/>
    <n v="600.16999999999996"/>
    <x v="28"/>
    <x v="6"/>
    <x v="4"/>
    <n v="600.16999999999996"/>
    <n v="1.5342465753424657"/>
    <n v="17"/>
    <n v="5"/>
  </r>
  <r>
    <x v="29"/>
    <x v="6"/>
    <x v="0"/>
    <n v="1"/>
    <n v="300.08"/>
    <x v="29"/>
    <x v="0"/>
    <x v="0"/>
    <n v="300.08"/>
    <n v="1.3397260273972602"/>
    <n v="23"/>
    <n v="7"/>
  </r>
  <r>
    <x v="30"/>
    <x v="6"/>
    <x v="5"/>
    <n v="1"/>
    <n v="600.16999999999996"/>
    <x v="25"/>
    <x v="0"/>
    <x v="1"/>
    <n v="600.16999999999996"/>
    <n v="1.3123287671232877"/>
    <n v="3"/>
    <n v="7"/>
  </r>
  <r>
    <x v="31"/>
    <x v="7"/>
    <x v="5"/>
    <n v="2"/>
    <n v="1200.3399999999999"/>
    <x v="1"/>
    <x v="1"/>
    <x v="1"/>
    <n v="2400.6799999999998"/>
    <n v="1.6520547945205479"/>
    <n v="7"/>
    <n v="5"/>
  </r>
  <r>
    <x v="32"/>
    <x v="7"/>
    <x v="0"/>
    <n v="2"/>
    <n v="600.16"/>
    <x v="30"/>
    <x v="0"/>
    <x v="2"/>
    <n v="1200.32"/>
    <n v="1.0739726027397261"/>
    <n v="23"/>
    <n v="5"/>
  </r>
  <r>
    <x v="33"/>
    <x v="7"/>
    <x v="1"/>
    <n v="4"/>
    <n v="162.63999999999999"/>
    <x v="31"/>
    <x v="0"/>
    <x v="1"/>
    <n v="650.55999999999995"/>
    <n v="1.4301369863013698"/>
    <n v="13"/>
    <n v="7"/>
  </r>
  <r>
    <x v="34"/>
    <x v="7"/>
    <x v="5"/>
    <n v="5"/>
    <n v="3000.85"/>
    <x v="32"/>
    <x v="4"/>
    <x v="0"/>
    <n v="15004.25"/>
    <n v="0.76986301369863008"/>
    <n v="7"/>
    <n v="7"/>
  </r>
  <r>
    <x v="35"/>
    <x v="8"/>
    <x v="0"/>
    <n v="1"/>
    <n v="300.08"/>
    <x v="33"/>
    <x v="6"/>
    <x v="0"/>
    <n v="300.08"/>
    <n v="1.789041095890411"/>
    <n v="11"/>
    <n v="5"/>
  </r>
  <r>
    <x v="36"/>
    <x v="8"/>
    <x v="2"/>
    <n v="3"/>
    <n v="15.69"/>
    <x v="34"/>
    <x v="0"/>
    <x v="1"/>
    <n v="47.07"/>
    <n v="1.3287671232876712"/>
    <n v="20"/>
    <n v="5"/>
  </r>
  <r>
    <x v="37"/>
    <x v="8"/>
    <x v="0"/>
    <n v="4"/>
    <n v="1200.32"/>
    <x v="35"/>
    <x v="6"/>
    <x v="1"/>
    <n v="4801.28"/>
    <n v="1.8273972602739725"/>
    <n v="20"/>
    <n v="7"/>
  </r>
  <r>
    <x v="38"/>
    <x v="8"/>
    <x v="0"/>
    <n v="4"/>
    <n v="1200.32"/>
    <x v="3"/>
    <x v="1"/>
    <x v="2"/>
    <n v="4801.28"/>
    <n v="1.8575342465753424"/>
    <n v="12"/>
    <n v="7"/>
  </r>
  <r>
    <x v="39"/>
    <x v="8"/>
    <x v="5"/>
    <n v="5"/>
    <n v="3000.85"/>
    <x v="36"/>
    <x v="1"/>
    <x v="2"/>
    <n v="15004.25"/>
    <n v="1.0630136986301371"/>
    <n v="15"/>
    <n v="7"/>
  </r>
  <r>
    <x v="40"/>
    <x v="8"/>
    <x v="2"/>
    <n v="3"/>
    <n v="15.69"/>
    <x v="37"/>
    <x v="6"/>
    <x v="0"/>
    <n v="47.07"/>
    <n v="1.3369863013698631"/>
    <n v="14"/>
    <n v="7"/>
  </r>
  <r>
    <x v="41"/>
    <x v="9"/>
    <x v="1"/>
    <n v="5"/>
    <n v="203.3"/>
    <x v="38"/>
    <x v="0"/>
    <x v="3"/>
    <n v="1016.5"/>
    <n v="0.57534246575342463"/>
    <n v="20"/>
    <n v="5"/>
  </r>
  <r>
    <x v="42"/>
    <x v="9"/>
    <x v="6"/>
    <n v="4"/>
    <n v="143.36000000000001"/>
    <x v="39"/>
    <x v="0"/>
    <x v="1"/>
    <n v="573.44000000000005"/>
    <n v="0"/>
    <n v="5"/>
    <n v="5"/>
  </r>
  <r>
    <x v="43"/>
    <x v="9"/>
    <x v="7"/>
    <n v="5"/>
    <n v="58.65"/>
    <x v="40"/>
    <x v="8"/>
    <x v="4"/>
    <n v="293.25"/>
    <n v="1.0904109589041096"/>
    <n v="20"/>
    <n v="7"/>
  </r>
  <r>
    <x v="44"/>
    <x v="9"/>
    <x v="1"/>
    <n v="5"/>
    <n v="203.3"/>
    <x v="41"/>
    <x v="2"/>
    <x v="2"/>
    <n v="1016.5"/>
    <n v="1.9506849315068493"/>
    <n v="21"/>
    <n v="7"/>
  </r>
  <r>
    <x v="45"/>
    <x v="9"/>
    <x v="1"/>
    <n v="5"/>
    <n v="203.3"/>
    <x v="42"/>
    <x v="8"/>
    <x v="4"/>
    <n v="1016.5"/>
    <n v="1.8164383561643835"/>
    <n v="31"/>
    <n v="10"/>
  </r>
  <r>
    <x v="46"/>
    <x v="10"/>
    <x v="3"/>
    <n v="5"/>
    <n v="75.75"/>
    <x v="43"/>
    <x v="9"/>
    <x v="2"/>
    <n v="378.75"/>
    <n v="1.8273972602739725"/>
    <n v="8"/>
    <n v="5"/>
  </r>
  <r>
    <x v="47"/>
    <x v="10"/>
    <x v="5"/>
    <n v="2"/>
    <n v="1200.3399999999999"/>
    <x v="44"/>
    <x v="9"/>
    <x v="1"/>
    <n v="2400.6799999999998"/>
    <n v="2.0849315068493151"/>
    <n v="12"/>
    <n v="7"/>
  </r>
  <r>
    <x v="48"/>
    <x v="11"/>
    <x v="0"/>
    <n v="4"/>
    <n v="1200.32"/>
    <x v="45"/>
    <x v="8"/>
    <x v="1"/>
    <n v="4801.28"/>
    <n v="1.3123287671232877"/>
    <n v="14"/>
    <n v="5"/>
  </r>
  <r>
    <x v="49"/>
    <x v="11"/>
    <x v="1"/>
    <n v="3"/>
    <n v="121.98"/>
    <x v="46"/>
    <x v="6"/>
    <x v="0"/>
    <n v="365.94"/>
    <n v="1.5972602739726027"/>
    <n v="10"/>
    <n v="5"/>
  </r>
  <r>
    <x v="50"/>
    <x v="11"/>
    <x v="4"/>
    <n v="5"/>
    <n v="5250"/>
    <x v="46"/>
    <x v="6"/>
    <x v="1"/>
    <n v="26250"/>
    <n v="1.3534246575342466"/>
    <n v="11"/>
    <n v="5"/>
  </r>
  <r>
    <x v="51"/>
    <x v="11"/>
    <x v="2"/>
    <n v="5"/>
    <n v="26.15"/>
    <x v="47"/>
    <x v="9"/>
    <x v="3"/>
    <n v="130.75"/>
    <n v="1.6876712328767123"/>
    <n v="16"/>
    <n v="5"/>
  </r>
  <r>
    <x v="52"/>
    <x v="11"/>
    <x v="4"/>
    <n v="2"/>
    <n v="2100"/>
    <x v="48"/>
    <x v="6"/>
    <x v="0"/>
    <n v="4200"/>
    <n v="1.2931506849315069"/>
    <n v="16"/>
    <n v="7"/>
  </r>
  <r>
    <x v="53"/>
    <x v="11"/>
    <x v="0"/>
    <n v="3"/>
    <n v="900.24"/>
    <x v="49"/>
    <x v="6"/>
    <x v="0"/>
    <n v="2700.7200000000003"/>
    <n v="1.3972602739726028"/>
    <n v="12"/>
    <n v="7"/>
  </r>
  <r>
    <x v="54"/>
    <x v="11"/>
    <x v="2"/>
    <n v="1"/>
    <n v="5.23"/>
    <x v="50"/>
    <x v="1"/>
    <x v="0"/>
    <n v="5.23"/>
    <n v="1.5123287671232877"/>
    <n v="15"/>
    <n v="10"/>
  </r>
  <r>
    <x v="55"/>
    <x v="12"/>
    <x v="0"/>
    <n v="1"/>
    <n v="300.08"/>
    <x v="51"/>
    <x v="1"/>
    <x v="1"/>
    <n v="300.08"/>
    <n v="1.9917808219178081"/>
    <n v="38"/>
    <n v="7"/>
  </r>
  <r>
    <x v="56"/>
    <x v="12"/>
    <x v="1"/>
    <n v="1"/>
    <n v="40.659999999999997"/>
    <x v="52"/>
    <x v="3"/>
    <x v="3"/>
    <n v="40.659999999999997"/>
    <n v="1.4301369863013698"/>
    <n v="18"/>
    <n v="7"/>
  </r>
  <r>
    <x v="57"/>
    <x v="12"/>
    <x v="1"/>
    <n v="3"/>
    <n v="121.98"/>
    <x v="53"/>
    <x v="2"/>
    <x v="3"/>
    <n v="365.94"/>
    <n v="1.9013698630136986"/>
    <n v="18"/>
    <n v="10"/>
  </r>
  <r>
    <x v="58"/>
    <x v="12"/>
    <x v="1"/>
    <n v="5"/>
    <n v="203.3"/>
    <x v="54"/>
    <x v="3"/>
    <x v="4"/>
    <n v="1016.5"/>
    <n v="1.9452054794520548"/>
    <n v="11"/>
    <n v="10"/>
  </r>
  <r>
    <x v="59"/>
    <x v="13"/>
    <x v="5"/>
    <n v="1"/>
    <n v="600.16999999999996"/>
    <x v="45"/>
    <x v="6"/>
    <x v="3"/>
    <n v="600.16999999999996"/>
    <n v="1.0904109589041096"/>
    <n v="8"/>
    <n v="5"/>
  </r>
  <r>
    <x v="60"/>
    <x v="13"/>
    <x v="0"/>
    <n v="5"/>
    <n v="1500.4"/>
    <x v="55"/>
    <x v="0"/>
    <x v="3"/>
    <n v="7502"/>
    <n v="0.30136986301369861"/>
    <n v="7"/>
    <n v="7"/>
  </r>
  <r>
    <x v="61"/>
    <x v="13"/>
    <x v="1"/>
    <n v="5"/>
    <n v="203.3"/>
    <x v="56"/>
    <x v="7"/>
    <x v="2"/>
    <n v="1016.5"/>
    <n v="1.6602739726027398"/>
    <n v="19"/>
    <n v="7"/>
  </r>
  <r>
    <x v="62"/>
    <x v="13"/>
    <x v="6"/>
    <n v="2"/>
    <n v="71.680000000000007"/>
    <x v="9"/>
    <x v="1"/>
    <x v="4"/>
    <n v="143.36000000000001"/>
    <n v="0.16712328767123288"/>
    <n v="10"/>
    <n v="7"/>
  </r>
  <r>
    <x v="63"/>
    <x v="14"/>
    <x v="0"/>
    <n v="4"/>
    <n v="1200.32"/>
    <x v="57"/>
    <x v="0"/>
    <x v="3"/>
    <n v="4801.28"/>
    <n v="1.2054794520547945"/>
    <n v="27"/>
    <n v="5"/>
  </r>
  <r>
    <x v="64"/>
    <x v="14"/>
    <x v="5"/>
    <n v="4"/>
    <n v="2400.6799999999998"/>
    <x v="58"/>
    <x v="6"/>
    <x v="1"/>
    <n v="9602.7199999999993"/>
    <n v="1.6027397260273972"/>
    <n v="13"/>
    <n v="5"/>
  </r>
  <r>
    <x v="65"/>
    <x v="14"/>
    <x v="2"/>
    <n v="5"/>
    <n v="26.15"/>
    <x v="59"/>
    <x v="0"/>
    <x v="3"/>
    <n v="130.75"/>
    <n v="1.6054794520547946"/>
    <n v="24"/>
    <n v="7"/>
  </r>
  <r>
    <x v="66"/>
    <x v="14"/>
    <x v="1"/>
    <n v="5"/>
    <n v="203.3"/>
    <x v="60"/>
    <x v="8"/>
    <x v="4"/>
    <n v="1016.5"/>
    <n v="1.6246575342465754"/>
    <n v="31"/>
    <n v="10"/>
  </r>
  <r>
    <x v="67"/>
    <x v="14"/>
    <x v="1"/>
    <n v="4"/>
    <n v="162.63999999999999"/>
    <x v="61"/>
    <x v="4"/>
    <x v="1"/>
    <n v="650.55999999999995"/>
    <n v="1.8356164383561644"/>
    <n v="14"/>
    <n v="10"/>
  </r>
  <r>
    <x v="68"/>
    <x v="15"/>
    <x v="0"/>
    <n v="1"/>
    <n v="300.08"/>
    <x v="62"/>
    <x v="6"/>
    <x v="0"/>
    <n v="300.08"/>
    <n v="1.6794520547945206"/>
    <n v="27"/>
    <n v="5"/>
  </r>
  <r>
    <x v="69"/>
    <x v="15"/>
    <x v="6"/>
    <n v="4"/>
    <n v="143.36000000000001"/>
    <x v="63"/>
    <x v="8"/>
    <x v="0"/>
    <n v="573.44000000000005"/>
    <n v="1.5232876712328767"/>
    <n v="15"/>
    <n v="5"/>
  </r>
  <r>
    <x v="70"/>
    <x v="15"/>
    <x v="0"/>
    <n v="3"/>
    <n v="900.24"/>
    <x v="64"/>
    <x v="0"/>
    <x v="0"/>
    <n v="2700.7200000000003"/>
    <n v="0.53698630136986303"/>
    <n v="8"/>
    <n v="5"/>
  </r>
  <r>
    <x v="71"/>
    <x v="15"/>
    <x v="3"/>
    <n v="4"/>
    <n v="60.6"/>
    <x v="65"/>
    <x v="1"/>
    <x v="1"/>
    <n v="242.4"/>
    <n v="1.5041095890410958"/>
    <n v="23"/>
    <n v="5"/>
  </r>
  <r>
    <x v="72"/>
    <x v="15"/>
    <x v="0"/>
    <n v="5"/>
    <n v="1500.4"/>
    <x v="66"/>
    <x v="6"/>
    <x v="2"/>
    <n v="7502"/>
    <n v="1.904109589041096"/>
    <n v="16"/>
    <n v="7"/>
  </r>
  <r>
    <x v="73"/>
    <x v="15"/>
    <x v="5"/>
    <n v="3"/>
    <n v="1800.51"/>
    <x v="67"/>
    <x v="1"/>
    <x v="0"/>
    <n v="5401.53"/>
    <n v="1.2410958904109588"/>
    <n v="5"/>
    <n v="7"/>
  </r>
  <r>
    <x v="74"/>
    <x v="16"/>
    <x v="5"/>
    <n v="5"/>
    <n v="3000.85"/>
    <x v="68"/>
    <x v="0"/>
    <x v="3"/>
    <n v="15004.25"/>
    <n v="1.6164383561643836"/>
    <n v="13"/>
    <n v="5"/>
  </r>
  <r>
    <x v="75"/>
    <x v="16"/>
    <x v="0"/>
    <n v="1"/>
    <n v="300.08"/>
    <x v="69"/>
    <x v="1"/>
    <x v="1"/>
    <n v="300.08"/>
    <n v="2.0575342465753423"/>
    <n v="19"/>
    <n v="5"/>
  </r>
  <r>
    <x v="76"/>
    <x v="16"/>
    <x v="2"/>
    <n v="4"/>
    <n v="20.92"/>
    <x v="70"/>
    <x v="8"/>
    <x v="3"/>
    <n v="83.68"/>
    <n v="1.1452054794520548"/>
    <n v="22"/>
    <n v="5"/>
  </r>
  <r>
    <x v="77"/>
    <x v="16"/>
    <x v="0"/>
    <n v="4"/>
    <n v="1200.32"/>
    <x v="71"/>
    <x v="1"/>
    <x v="0"/>
    <n v="4801.28"/>
    <n v="1.558904109589041"/>
    <n v="28"/>
    <n v="10"/>
  </r>
  <r>
    <x v="78"/>
    <x v="17"/>
    <x v="0"/>
    <n v="1"/>
    <n v="300.08"/>
    <x v="72"/>
    <x v="6"/>
    <x v="3"/>
    <n v="300.08"/>
    <n v="1.1589041095890411"/>
    <n v="10"/>
    <n v="5"/>
  </r>
  <r>
    <x v="79"/>
    <x v="17"/>
    <x v="0"/>
    <n v="1"/>
    <n v="300.08"/>
    <x v="73"/>
    <x v="6"/>
    <x v="1"/>
    <n v="300.08"/>
    <n v="1.4958904109589042"/>
    <n v="37"/>
    <n v="5"/>
  </r>
  <r>
    <x v="80"/>
    <x v="17"/>
    <x v="4"/>
    <n v="2"/>
    <n v="2100"/>
    <x v="74"/>
    <x v="1"/>
    <x v="1"/>
    <n v="4200"/>
    <n v="0.94794520547945205"/>
    <n v="10"/>
    <n v="5"/>
  </r>
  <r>
    <x v="81"/>
    <x v="17"/>
    <x v="0"/>
    <n v="1"/>
    <n v="300.08"/>
    <x v="75"/>
    <x v="2"/>
    <x v="3"/>
    <n v="300.08"/>
    <n v="1.4958904109589042"/>
    <n v="20"/>
    <n v="7"/>
  </r>
  <r>
    <x v="82"/>
    <x v="17"/>
    <x v="0"/>
    <n v="2"/>
    <n v="600.16"/>
    <x v="76"/>
    <x v="6"/>
    <x v="2"/>
    <n v="1200.32"/>
    <n v="1.263013698630137"/>
    <n v="16"/>
    <n v="7"/>
  </r>
  <r>
    <x v="83"/>
    <x v="18"/>
    <x v="0"/>
    <n v="4"/>
    <n v="1200.32"/>
    <x v="5"/>
    <x v="1"/>
    <x v="0"/>
    <n v="4801.28"/>
    <n v="0.73424657534246573"/>
    <n v="17"/>
    <n v="5"/>
  </r>
  <r>
    <x v="84"/>
    <x v="18"/>
    <x v="6"/>
    <n v="2"/>
    <n v="71.680000000000007"/>
    <x v="77"/>
    <x v="2"/>
    <x v="1"/>
    <n v="143.36000000000001"/>
    <n v="1.1972602739726028"/>
    <n v="8"/>
    <n v="5"/>
  </r>
  <r>
    <x v="85"/>
    <x v="18"/>
    <x v="0"/>
    <n v="1"/>
    <n v="300.08"/>
    <x v="78"/>
    <x v="0"/>
    <x v="0"/>
    <n v="300.08"/>
    <n v="1.3534246575342466"/>
    <n v="8"/>
    <n v="5"/>
  </r>
  <r>
    <x v="86"/>
    <x v="18"/>
    <x v="1"/>
    <n v="3"/>
    <n v="121.98"/>
    <x v="79"/>
    <x v="1"/>
    <x v="4"/>
    <n v="365.94"/>
    <n v="1.8684931506849316"/>
    <n v="24"/>
    <n v="5"/>
  </r>
  <r>
    <x v="87"/>
    <x v="19"/>
    <x v="1"/>
    <n v="2"/>
    <n v="81.319999999999993"/>
    <x v="80"/>
    <x v="8"/>
    <x v="4"/>
    <n v="162.63999999999999"/>
    <n v="1.1315068493150684"/>
    <n v="9"/>
    <n v="5"/>
  </r>
  <r>
    <x v="88"/>
    <x v="19"/>
    <x v="2"/>
    <n v="3"/>
    <n v="15.69"/>
    <x v="81"/>
    <x v="0"/>
    <x v="4"/>
    <n v="47.07"/>
    <n v="1.5342465753424657"/>
    <n v="6"/>
    <n v="5"/>
  </r>
  <r>
    <x v="89"/>
    <x v="19"/>
    <x v="0"/>
    <n v="3"/>
    <n v="900.24"/>
    <x v="82"/>
    <x v="9"/>
    <x v="4"/>
    <n v="2700.7200000000003"/>
    <n v="1.4246575342465753"/>
    <n v="11"/>
    <n v="5"/>
  </r>
  <r>
    <x v="90"/>
    <x v="20"/>
    <x v="3"/>
    <n v="3"/>
    <n v="45.45"/>
    <x v="83"/>
    <x v="1"/>
    <x v="0"/>
    <n v="136.35000000000002"/>
    <n v="1.6356164383561644"/>
    <n v="10"/>
    <n v="5"/>
  </r>
  <r>
    <x v="91"/>
    <x v="20"/>
    <x v="5"/>
    <n v="1"/>
    <n v="600.16999999999996"/>
    <x v="84"/>
    <x v="6"/>
    <x v="1"/>
    <n v="600.16999999999996"/>
    <n v="1.5917808219178082"/>
    <n v="25"/>
    <n v="5"/>
  </r>
  <r>
    <x v="92"/>
    <x v="20"/>
    <x v="0"/>
    <n v="4"/>
    <n v="1200.32"/>
    <x v="85"/>
    <x v="1"/>
    <x v="4"/>
    <n v="4801.28"/>
    <n v="1.3452054794520547"/>
    <n v="14"/>
    <n v="5"/>
  </r>
  <r>
    <x v="93"/>
    <x v="20"/>
    <x v="6"/>
    <n v="1"/>
    <n v="35.840000000000003"/>
    <x v="86"/>
    <x v="3"/>
    <x v="4"/>
    <n v="35.840000000000003"/>
    <n v="1.2136986301369863"/>
    <n v="7"/>
    <n v="5"/>
  </r>
  <r>
    <x v="94"/>
    <x v="20"/>
    <x v="2"/>
    <n v="5"/>
    <n v="26.15"/>
    <x v="87"/>
    <x v="0"/>
    <x v="1"/>
    <n v="130.75"/>
    <n v="1.0876712328767124"/>
    <n v="11"/>
    <n v="5"/>
  </r>
  <r>
    <x v="95"/>
    <x v="20"/>
    <x v="0"/>
    <n v="2"/>
    <n v="600.16"/>
    <x v="88"/>
    <x v="8"/>
    <x v="4"/>
    <n v="1200.32"/>
    <n v="1.3808219178082193"/>
    <n v="13"/>
    <n v="7"/>
  </r>
  <r>
    <x v="96"/>
    <x v="21"/>
    <x v="0"/>
    <n v="3"/>
    <n v="900.24"/>
    <x v="89"/>
    <x v="9"/>
    <x v="3"/>
    <n v="2700.7200000000003"/>
    <n v="1.6082191780821917"/>
    <n v="10"/>
    <n v="5"/>
  </r>
  <r>
    <x v="97"/>
    <x v="21"/>
    <x v="0"/>
    <n v="5"/>
    <n v="1500.4"/>
    <x v="90"/>
    <x v="0"/>
    <x v="4"/>
    <n v="7502"/>
    <n v="1.9369863013698629"/>
    <n v="24"/>
    <n v="5"/>
  </r>
  <r>
    <x v="98"/>
    <x v="21"/>
    <x v="1"/>
    <n v="3"/>
    <n v="121.98"/>
    <x v="91"/>
    <x v="3"/>
    <x v="2"/>
    <n v="365.94"/>
    <n v="1.4082191780821918"/>
    <n v="14"/>
    <n v="5"/>
  </r>
  <r>
    <x v="99"/>
    <x v="21"/>
    <x v="0"/>
    <n v="4"/>
    <n v="1200.32"/>
    <x v="92"/>
    <x v="9"/>
    <x v="3"/>
    <n v="4801.28"/>
    <n v="2.0136986301369864"/>
    <n v="13"/>
    <n v="5"/>
  </r>
  <r>
    <x v="100"/>
    <x v="21"/>
    <x v="5"/>
    <n v="1"/>
    <n v="600.16999999999996"/>
    <x v="51"/>
    <x v="6"/>
    <x v="3"/>
    <n v="600.16999999999996"/>
    <n v="1.5095890410958903"/>
    <n v="19"/>
    <n v="7"/>
  </r>
  <r>
    <x v="101"/>
    <x v="21"/>
    <x v="0"/>
    <n v="3"/>
    <n v="900.24"/>
    <x v="93"/>
    <x v="0"/>
    <x v="0"/>
    <n v="2700.7200000000003"/>
    <n v="1.3123287671232877"/>
    <n v="11"/>
    <n v="7"/>
  </r>
  <r>
    <x v="102"/>
    <x v="21"/>
    <x v="0"/>
    <n v="4"/>
    <n v="1200.32"/>
    <x v="94"/>
    <x v="1"/>
    <x v="2"/>
    <n v="4801.28"/>
    <n v="1.9205479452054794"/>
    <n v="33"/>
    <n v="7"/>
  </r>
  <r>
    <x v="103"/>
    <x v="22"/>
    <x v="1"/>
    <n v="2"/>
    <n v="81.319999999999993"/>
    <x v="95"/>
    <x v="4"/>
    <x v="3"/>
    <n v="162.63999999999999"/>
    <n v="1.3589041095890411"/>
    <n v="19"/>
    <n v="5"/>
  </r>
  <r>
    <x v="104"/>
    <x v="22"/>
    <x v="1"/>
    <n v="5"/>
    <n v="203.3"/>
    <x v="74"/>
    <x v="4"/>
    <x v="3"/>
    <n v="1016.5"/>
    <n v="2.1150684931506851"/>
    <n v="32"/>
    <n v="5"/>
  </r>
  <r>
    <x v="105"/>
    <x v="22"/>
    <x v="1"/>
    <n v="2"/>
    <n v="81.319999999999993"/>
    <x v="96"/>
    <x v="0"/>
    <x v="2"/>
    <n v="162.63999999999999"/>
    <n v="1.0684931506849316"/>
    <n v="14"/>
    <n v="7"/>
  </r>
  <r>
    <x v="106"/>
    <x v="22"/>
    <x v="1"/>
    <n v="1"/>
    <n v="40.659999999999997"/>
    <x v="25"/>
    <x v="3"/>
    <x v="2"/>
    <n v="40.659999999999997"/>
    <n v="1.3424657534246576"/>
    <n v="18"/>
    <n v="7"/>
  </r>
  <r>
    <x v="107"/>
    <x v="23"/>
    <x v="1"/>
    <n v="2"/>
    <n v="81.319999999999993"/>
    <x v="57"/>
    <x v="9"/>
    <x v="1"/>
    <n v="162.63999999999999"/>
    <n v="1.7643835616438357"/>
    <n v="17"/>
    <n v="5"/>
  </r>
  <r>
    <x v="108"/>
    <x v="23"/>
    <x v="2"/>
    <n v="5"/>
    <n v="26.15"/>
    <x v="97"/>
    <x v="0"/>
    <x v="2"/>
    <n v="130.75"/>
    <n v="1.810958904109589"/>
    <n v="19"/>
    <n v="5"/>
  </r>
  <r>
    <x v="109"/>
    <x v="23"/>
    <x v="0"/>
    <n v="2"/>
    <n v="600.16"/>
    <x v="51"/>
    <x v="5"/>
    <x v="3"/>
    <n v="1200.32"/>
    <n v="0.60821917808219184"/>
    <n v="4"/>
    <n v="7"/>
  </r>
  <r>
    <x v="110"/>
    <x v="23"/>
    <x v="0"/>
    <n v="3"/>
    <n v="900.24"/>
    <x v="98"/>
    <x v="9"/>
    <x v="4"/>
    <n v="2700.7200000000003"/>
    <n v="1.9424657534246574"/>
    <n v="22"/>
    <n v="7"/>
  </r>
  <r>
    <x v="111"/>
    <x v="24"/>
    <x v="0"/>
    <n v="3"/>
    <n v="900.24"/>
    <x v="99"/>
    <x v="3"/>
    <x v="4"/>
    <n v="2700.7200000000003"/>
    <n v="1.4575342465753425"/>
    <n v="18"/>
    <n v="5"/>
  </r>
  <r>
    <x v="112"/>
    <x v="24"/>
    <x v="4"/>
    <n v="4"/>
    <n v="4200"/>
    <x v="100"/>
    <x v="8"/>
    <x v="0"/>
    <n v="16800"/>
    <n v="1.7945205479452055"/>
    <n v="14"/>
    <n v="5"/>
  </r>
  <r>
    <x v="113"/>
    <x v="24"/>
    <x v="2"/>
    <n v="2"/>
    <n v="10.46"/>
    <x v="101"/>
    <x v="4"/>
    <x v="3"/>
    <n v="20.92"/>
    <n v="2.0794520547945203"/>
    <n v="12"/>
    <n v="5"/>
  </r>
  <r>
    <x v="114"/>
    <x v="24"/>
    <x v="2"/>
    <n v="3"/>
    <n v="15.69"/>
    <x v="102"/>
    <x v="1"/>
    <x v="0"/>
    <n v="47.07"/>
    <n v="1.4219178082191781"/>
    <n v="4"/>
    <n v="5"/>
  </r>
  <r>
    <x v="115"/>
    <x v="24"/>
    <x v="1"/>
    <n v="4"/>
    <n v="162.63999999999999"/>
    <x v="103"/>
    <x v="0"/>
    <x v="1"/>
    <n v="650.55999999999995"/>
    <n v="1.0383561643835617"/>
    <n v="9"/>
    <n v="10"/>
  </r>
  <r>
    <x v="116"/>
    <x v="25"/>
    <x v="3"/>
    <n v="5"/>
    <n v="75.75"/>
    <x v="104"/>
    <x v="6"/>
    <x v="0"/>
    <n v="378.75"/>
    <n v="1.6027397260273972"/>
    <n v="11"/>
    <n v="5"/>
  </r>
  <r>
    <x v="117"/>
    <x v="25"/>
    <x v="0"/>
    <n v="5"/>
    <n v="1500.4"/>
    <x v="105"/>
    <x v="9"/>
    <x v="0"/>
    <n v="7502"/>
    <n v="1.4054794520547946"/>
    <n v="12"/>
    <n v="5"/>
  </r>
  <r>
    <x v="118"/>
    <x v="25"/>
    <x v="0"/>
    <n v="5"/>
    <n v="1500.4"/>
    <x v="106"/>
    <x v="8"/>
    <x v="1"/>
    <n v="7502"/>
    <n v="1.1205479452054794"/>
    <n v="10"/>
    <n v="5"/>
  </r>
  <r>
    <x v="119"/>
    <x v="25"/>
    <x v="2"/>
    <n v="3"/>
    <n v="15.69"/>
    <x v="107"/>
    <x v="0"/>
    <x v="0"/>
    <n v="47.07"/>
    <n v="1.6630136986301369"/>
    <n v="17"/>
    <n v="5"/>
  </r>
  <r>
    <x v="120"/>
    <x v="25"/>
    <x v="5"/>
    <n v="5"/>
    <n v="3000.85"/>
    <x v="108"/>
    <x v="6"/>
    <x v="4"/>
    <n v="15004.25"/>
    <n v="1.3479452054794521"/>
    <n v="10"/>
    <n v="5"/>
  </r>
  <r>
    <x v="121"/>
    <x v="25"/>
    <x v="1"/>
    <n v="5"/>
    <n v="203.3"/>
    <x v="109"/>
    <x v="1"/>
    <x v="2"/>
    <n v="1016.5"/>
    <n v="1.3068493150684932"/>
    <n v="8"/>
    <n v="7"/>
  </r>
  <r>
    <x v="122"/>
    <x v="25"/>
    <x v="2"/>
    <n v="3"/>
    <n v="15.69"/>
    <x v="110"/>
    <x v="4"/>
    <x v="4"/>
    <n v="47.07"/>
    <n v="1.1232876712328768"/>
    <n v="12"/>
    <n v="7"/>
  </r>
  <r>
    <x v="123"/>
    <x v="25"/>
    <x v="6"/>
    <n v="5"/>
    <n v="179.2"/>
    <x v="111"/>
    <x v="4"/>
    <x v="2"/>
    <n v="896"/>
    <n v="1.9150684931506849"/>
    <n v="14"/>
    <n v="7"/>
  </r>
  <r>
    <x v="124"/>
    <x v="26"/>
    <x v="5"/>
    <n v="3"/>
    <n v="1800.51"/>
    <x v="112"/>
    <x v="4"/>
    <x v="2"/>
    <n v="5401.53"/>
    <n v="0.90410958904109584"/>
    <n v="22"/>
    <n v="5"/>
  </r>
  <r>
    <x v="125"/>
    <x v="26"/>
    <x v="0"/>
    <n v="2"/>
    <n v="600.16"/>
    <x v="113"/>
    <x v="1"/>
    <x v="1"/>
    <n v="1200.32"/>
    <n v="1.9095890410958904"/>
    <n v="9"/>
    <n v="5"/>
  </r>
  <r>
    <x v="126"/>
    <x v="26"/>
    <x v="0"/>
    <n v="1"/>
    <n v="300.08"/>
    <x v="114"/>
    <x v="9"/>
    <x v="1"/>
    <n v="300.08"/>
    <n v="1.7753424657534247"/>
    <n v="6"/>
    <n v="7"/>
  </r>
  <r>
    <x v="127"/>
    <x v="26"/>
    <x v="0"/>
    <n v="2"/>
    <n v="600.16"/>
    <x v="71"/>
    <x v="3"/>
    <x v="4"/>
    <n v="1200.32"/>
    <n v="0.22191780821917809"/>
    <n v="14"/>
    <n v="10"/>
  </r>
  <r>
    <x v="128"/>
    <x v="27"/>
    <x v="0"/>
    <n v="4"/>
    <n v="1200.32"/>
    <x v="115"/>
    <x v="5"/>
    <x v="3"/>
    <n v="4801.28"/>
    <n v="1.7726027397260273"/>
    <n v="26"/>
    <n v="5"/>
  </r>
  <r>
    <x v="129"/>
    <x v="27"/>
    <x v="4"/>
    <n v="2"/>
    <n v="2100"/>
    <x v="116"/>
    <x v="8"/>
    <x v="4"/>
    <n v="4200"/>
    <n v="1.5780821917808219"/>
    <n v="19"/>
    <n v="5"/>
  </r>
  <r>
    <x v="130"/>
    <x v="27"/>
    <x v="0"/>
    <n v="4"/>
    <n v="1200.32"/>
    <x v="37"/>
    <x v="6"/>
    <x v="3"/>
    <n v="4801.28"/>
    <n v="1.1753424657534246"/>
    <n v="17"/>
    <n v="7"/>
  </r>
  <r>
    <x v="131"/>
    <x v="28"/>
    <x v="1"/>
    <n v="4"/>
    <n v="162.63999999999999"/>
    <x v="117"/>
    <x v="8"/>
    <x v="1"/>
    <n v="650.55999999999995"/>
    <n v="1.5616438356164384"/>
    <n v="18"/>
    <n v="5"/>
  </r>
  <r>
    <x v="132"/>
    <x v="28"/>
    <x v="1"/>
    <n v="3"/>
    <n v="121.98"/>
    <x v="57"/>
    <x v="0"/>
    <x v="0"/>
    <n v="365.94"/>
    <n v="1.2301369863013698"/>
    <n v="15"/>
    <n v="5"/>
  </r>
  <r>
    <x v="133"/>
    <x v="28"/>
    <x v="0"/>
    <n v="4"/>
    <n v="1200.32"/>
    <x v="39"/>
    <x v="9"/>
    <x v="4"/>
    <n v="4801.28"/>
    <n v="1.978082191780822"/>
    <n v="28"/>
    <n v="5"/>
  </r>
  <r>
    <x v="134"/>
    <x v="28"/>
    <x v="3"/>
    <n v="3"/>
    <n v="45.45"/>
    <x v="118"/>
    <x v="9"/>
    <x v="4"/>
    <n v="136.35000000000002"/>
    <n v="1.8520547945205479"/>
    <n v="18"/>
    <n v="7"/>
  </r>
  <r>
    <x v="135"/>
    <x v="28"/>
    <x v="0"/>
    <n v="2"/>
    <n v="600.16"/>
    <x v="3"/>
    <x v="2"/>
    <x v="0"/>
    <n v="1200.32"/>
    <n v="1.515068493150685"/>
    <n v="17"/>
    <n v="7"/>
  </r>
  <r>
    <x v="136"/>
    <x v="28"/>
    <x v="5"/>
    <n v="1"/>
    <n v="600.16999999999996"/>
    <x v="119"/>
    <x v="2"/>
    <x v="1"/>
    <n v="600.16999999999996"/>
    <n v="1.7671232876712328"/>
    <n v="19"/>
    <n v="7"/>
  </r>
  <r>
    <x v="137"/>
    <x v="29"/>
    <x v="7"/>
    <n v="5"/>
    <n v="58.65"/>
    <x v="120"/>
    <x v="4"/>
    <x v="1"/>
    <n v="293.25"/>
    <n v="1.1534246575342466"/>
    <n v="22"/>
    <n v="5"/>
  </r>
  <r>
    <x v="138"/>
    <x v="29"/>
    <x v="7"/>
    <n v="5"/>
    <n v="58.65"/>
    <x v="121"/>
    <x v="0"/>
    <x v="1"/>
    <n v="293.25"/>
    <n v="0.63287671232876708"/>
    <n v="16"/>
    <n v="5"/>
  </r>
  <r>
    <x v="139"/>
    <x v="29"/>
    <x v="0"/>
    <n v="3"/>
    <n v="900.24"/>
    <x v="122"/>
    <x v="1"/>
    <x v="4"/>
    <n v="2700.7200000000003"/>
    <n v="1.5835616438356164"/>
    <n v="10"/>
    <n v="5"/>
  </r>
  <r>
    <x v="140"/>
    <x v="29"/>
    <x v="2"/>
    <n v="1"/>
    <n v="5.23"/>
    <x v="123"/>
    <x v="6"/>
    <x v="1"/>
    <n v="5.23"/>
    <n v="0.86849315068493149"/>
    <n v="8"/>
    <n v="7"/>
  </r>
  <r>
    <x v="141"/>
    <x v="29"/>
    <x v="0"/>
    <n v="4"/>
    <n v="1200.32"/>
    <x v="124"/>
    <x v="3"/>
    <x v="0"/>
    <n v="4801.28"/>
    <n v="1.2383561643835617"/>
    <n v="13"/>
    <n v="7"/>
  </r>
  <r>
    <x v="142"/>
    <x v="29"/>
    <x v="3"/>
    <n v="5"/>
    <n v="75.75"/>
    <x v="125"/>
    <x v="4"/>
    <x v="1"/>
    <n v="378.75"/>
    <n v="1.6"/>
    <n v="18"/>
    <n v="7"/>
  </r>
  <r>
    <x v="143"/>
    <x v="30"/>
    <x v="0"/>
    <n v="2"/>
    <n v="600.16"/>
    <x v="126"/>
    <x v="1"/>
    <x v="2"/>
    <n v="1200.32"/>
    <n v="2.095890410958904"/>
    <n v="21"/>
    <n v="5"/>
  </r>
  <r>
    <x v="144"/>
    <x v="30"/>
    <x v="2"/>
    <n v="1"/>
    <n v="5.23"/>
    <x v="127"/>
    <x v="2"/>
    <x v="0"/>
    <n v="5.23"/>
    <n v="1.2438356164383562"/>
    <n v="20"/>
    <n v="7"/>
  </r>
  <r>
    <x v="145"/>
    <x v="31"/>
    <x v="0"/>
    <n v="3"/>
    <n v="900.24"/>
    <x v="128"/>
    <x v="1"/>
    <x v="0"/>
    <n v="2700.7200000000003"/>
    <n v="1.8684931506849316"/>
    <n v="25"/>
    <n v="5"/>
  </r>
  <r>
    <x v="146"/>
    <x v="31"/>
    <x v="0"/>
    <n v="3"/>
    <n v="900.24"/>
    <x v="129"/>
    <x v="0"/>
    <x v="4"/>
    <n v="2700.7200000000003"/>
    <n v="1.3123287671232877"/>
    <n v="8"/>
    <n v="7"/>
  </r>
  <r>
    <x v="147"/>
    <x v="31"/>
    <x v="5"/>
    <n v="1"/>
    <n v="600.16999999999996"/>
    <x v="130"/>
    <x v="6"/>
    <x v="4"/>
    <n v="600.16999999999996"/>
    <n v="1.8575342465753424"/>
    <n v="19"/>
    <n v="7"/>
  </r>
  <r>
    <x v="148"/>
    <x v="32"/>
    <x v="3"/>
    <n v="2"/>
    <n v="30.3"/>
    <x v="131"/>
    <x v="0"/>
    <x v="4"/>
    <n v="60.6"/>
    <n v="1.6438356164383561"/>
    <n v="11"/>
    <n v="5"/>
  </r>
  <r>
    <x v="149"/>
    <x v="32"/>
    <x v="2"/>
    <n v="4"/>
    <n v="20.92"/>
    <x v="132"/>
    <x v="2"/>
    <x v="4"/>
    <n v="83.68"/>
    <n v="2.0931506849315067"/>
    <n v="12"/>
    <n v="5"/>
  </r>
  <r>
    <x v="150"/>
    <x v="32"/>
    <x v="0"/>
    <n v="5"/>
    <n v="1500.4"/>
    <x v="133"/>
    <x v="1"/>
    <x v="3"/>
    <n v="7502"/>
    <n v="1.6328767123287671"/>
    <n v="13"/>
    <n v="5"/>
  </r>
  <r>
    <x v="151"/>
    <x v="32"/>
    <x v="5"/>
    <n v="4"/>
    <n v="2400.6799999999998"/>
    <x v="134"/>
    <x v="6"/>
    <x v="3"/>
    <n v="9602.7199999999993"/>
    <n v="0.34246575342465752"/>
    <n v="8"/>
    <n v="5"/>
  </r>
  <r>
    <x v="152"/>
    <x v="32"/>
    <x v="1"/>
    <n v="3"/>
    <n v="121.98"/>
    <x v="95"/>
    <x v="1"/>
    <x v="0"/>
    <n v="365.94"/>
    <n v="1.1945205479452055"/>
    <n v="14"/>
    <n v="5"/>
  </r>
  <r>
    <x v="153"/>
    <x v="32"/>
    <x v="0"/>
    <n v="5"/>
    <n v="1500.4"/>
    <x v="135"/>
    <x v="5"/>
    <x v="0"/>
    <n v="7502"/>
    <n v="0.93150684931506844"/>
    <n v="2"/>
    <n v="7"/>
  </r>
  <r>
    <x v="154"/>
    <x v="33"/>
    <x v="7"/>
    <n v="1"/>
    <n v="11.73"/>
    <x v="136"/>
    <x v="2"/>
    <x v="0"/>
    <n v="11.73"/>
    <n v="2.0657534246575344"/>
    <n v="15"/>
    <n v="5"/>
  </r>
  <r>
    <x v="155"/>
    <x v="33"/>
    <x v="0"/>
    <n v="1"/>
    <n v="300.08"/>
    <x v="137"/>
    <x v="2"/>
    <x v="3"/>
    <n v="300.08"/>
    <n v="1.747945205479452"/>
    <n v="19"/>
    <n v="5"/>
  </r>
  <r>
    <x v="156"/>
    <x v="33"/>
    <x v="0"/>
    <n v="3"/>
    <n v="900.24"/>
    <x v="138"/>
    <x v="0"/>
    <x v="4"/>
    <n v="2700.7200000000003"/>
    <n v="1.0821917808219179"/>
    <n v="10"/>
    <n v="5"/>
  </r>
  <r>
    <x v="157"/>
    <x v="33"/>
    <x v="2"/>
    <n v="3"/>
    <n v="15.69"/>
    <x v="139"/>
    <x v="9"/>
    <x v="0"/>
    <n v="47.07"/>
    <n v="0.9726027397260274"/>
    <n v="10"/>
    <n v="7"/>
  </r>
  <r>
    <x v="158"/>
    <x v="33"/>
    <x v="0"/>
    <n v="5"/>
    <n v="1500.4"/>
    <x v="140"/>
    <x v="0"/>
    <x v="2"/>
    <n v="7502"/>
    <n v="1.9835616438356165"/>
    <n v="9"/>
    <n v="7"/>
  </r>
  <r>
    <x v="159"/>
    <x v="34"/>
    <x v="0"/>
    <n v="1"/>
    <n v="300.08"/>
    <x v="141"/>
    <x v="8"/>
    <x v="0"/>
    <n v="300.08"/>
    <n v="1.7452054794520548"/>
    <n v="10"/>
    <n v="5"/>
  </r>
  <r>
    <x v="160"/>
    <x v="34"/>
    <x v="1"/>
    <n v="1"/>
    <n v="40.659999999999997"/>
    <x v="14"/>
    <x v="9"/>
    <x v="3"/>
    <n v="40.659999999999997"/>
    <n v="1.9643835616438357"/>
    <n v="17"/>
    <n v="5"/>
  </r>
  <r>
    <x v="161"/>
    <x v="34"/>
    <x v="0"/>
    <n v="5"/>
    <n v="1500.4"/>
    <x v="142"/>
    <x v="2"/>
    <x v="0"/>
    <n v="7502"/>
    <n v="1.1726027397260275"/>
    <n v="17"/>
    <n v="7"/>
  </r>
  <r>
    <x v="162"/>
    <x v="35"/>
    <x v="0"/>
    <n v="1"/>
    <n v="300.08"/>
    <x v="143"/>
    <x v="9"/>
    <x v="1"/>
    <n v="300.08"/>
    <n v="1.9013698630136986"/>
    <n v="17"/>
    <n v="5"/>
  </r>
  <r>
    <x v="163"/>
    <x v="35"/>
    <x v="2"/>
    <n v="1"/>
    <n v="5.23"/>
    <x v="144"/>
    <x v="0"/>
    <x v="0"/>
    <n v="5.23"/>
    <n v="1.9589041095890412"/>
    <n v="25"/>
    <n v="5"/>
  </r>
  <r>
    <x v="164"/>
    <x v="35"/>
    <x v="0"/>
    <n v="1"/>
    <n v="300.08"/>
    <x v="145"/>
    <x v="6"/>
    <x v="2"/>
    <n v="300.08"/>
    <n v="1.4602739726027398"/>
    <n v="12"/>
    <n v="5"/>
  </r>
  <r>
    <x v="165"/>
    <x v="35"/>
    <x v="0"/>
    <n v="2"/>
    <n v="600.16"/>
    <x v="146"/>
    <x v="0"/>
    <x v="4"/>
    <n v="1200.32"/>
    <n v="2.1479452054794521"/>
    <n v="11"/>
    <n v="5"/>
  </r>
  <r>
    <x v="166"/>
    <x v="35"/>
    <x v="4"/>
    <n v="1"/>
    <n v="1050"/>
    <x v="147"/>
    <x v="5"/>
    <x v="1"/>
    <n v="1050"/>
    <n v="1.9753424657534246"/>
    <n v="22"/>
    <n v="5"/>
  </r>
  <r>
    <x v="167"/>
    <x v="35"/>
    <x v="0"/>
    <n v="5"/>
    <n v="1500.4"/>
    <x v="148"/>
    <x v="9"/>
    <x v="2"/>
    <n v="7502"/>
    <n v="1.8630136986301369"/>
    <n v="21"/>
    <n v="7"/>
  </r>
  <r>
    <x v="168"/>
    <x v="36"/>
    <x v="0"/>
    <n v="1"/>
    <n v="300.08"/>
    <x v="149"/>
    <x v="0"/>
    <x v="3"/>
    <n v="300.08"/>
    <n v="1.095890410958904"/>
    <n v="17"/>
    <n v="5"/>
  </r>
  <r>
    <x v="169"/>
    <x v="36"/>
    <x v="2"/>
    <n v="2"/>
    <n v="10.46"/>
    <x v="150"/>
    <x v="1"/>
    <x v="4"/>
    <n v="20.92"/>
    <n v="2.0191780821917806"/>
    <n v="13"/>
    <n v="5"/>
  </r>
  <r>
    <x v="170"/>
    <x v="36"/>
    <x v="0"/>
    <n v="3"/>
    <n v="900.24"/>
    <x v="151"/>
    <x v="9"/>
    <x v="0"/>
    <n v="2700.7200000000003"/>
    <n v="1.8821917808219177"/>
    <n v="14"/>
    <n v="5"/>
  </r>
  <r>
    <x v="171"/>
    <x v="36"/>
    <x v="5"/>
    <n v="3"/>
    <n v="1800.51"/>
    <x v="152"/>
    <x v="6"/>
    <x v="0"/>
    <n v="5401.53"/>
    <n v="1.2876712328767124"/>
    <n v="13"/>
    <n v="7"/>
  </r>
  <r>
    <x v="172"/>
    <x v="36"/>
    <x v="0"/>
    <n v="1"/>
    <n v="300.08"/>
    <x v="153"/>
    <x v="6"/>
    <x v="1"/>
    <n v="300.08"/>
    <n v="1.178082191780822"/>
    <n v="11"/>
    <n v="7"/>
  </r>
  <r>
    <x v="173"/>
    <x v="36"/>
    <x v="3"/>
    <n v="2"/>
    <n v="30.3"/>
    <x v="154"/>
    <x v="0"/>
    <x v="4"/>
    <n v="60.6"/>
    <n v="1.5452054794520549"/>
    <n v="26"/>
    <n v="7"/>
  </r>
  <r>
    <x v="174"/>
    <x v="36"/>
    <x v="2"/>
    <n v="5"/>
    <n v="26.15"/>
    <x v="155"/>
    <x v="4"/>
    <x v="3"/>
    <n v="130.75"/>
    <n v="1.3178082191780822"/>
    <n v="24"/>
    <n v="10"/>
  </r>
  <r>
    <x v="175"/>
    <x v="36"/>
    <x v="6"/>
    <n v="3"/>
    <n v="107.52"/>
    <x v="156"/>
    <x v="8"/>
    <x v="3"/>
    <n v="322.56"/>
    <n v="1.6438356164383561"/>
    <n v="13"/>
    <n v="10"/>
  </r>
  <r>
    <x v="176"/>
    <x v="37"/>
    <x v="1"/>
    <n v="3"/>
    <n v="121.98"/>
    <x v="157"/>
    <x v="6"/>
    <x v="2"/>
    <n v="365.94"/>
    <n v="1.0520547945205478"/>
    <n v="5"/>
    <n v="5"/>
  </r>
  <r>
    <x v="177"/>
    <x v="37"/>
    <x v="0"/>
    <n v="5"/>
    <n v="1500.4"/>
    <x v="141"/>
    <x v="9"/>
    <x v="0"/>
    <n v="7502"/>
    <n v="0.92328767123287669"/>
    <n v="11"/>
    <n v="5"/>
  </r>
  <r>
    <x v="178"/>
    <x v="37"/>
    <x v="2"/>
    <n v="1"/>
    <n v="5.23"/>
    <x v="158"/>
    <x v="9"/>
    <x v="0"/>
    <n v="5.23"/>
    <n v="1.6383561643835616"/>
    <n v="14"/>
    <n v="5"/>
  </r>
  <r>
    <x v="179"/>
    <x v="37"/>
    <x v="0"/>
    <n v="2"/>
    <n v="600.16"/>
    <x v="159"/>
    <x v="6"/>
    <x v="3"/>
    <n v="1200.32"/>
    <n v="2.0027397260273974"/>
    <n v="13"/>
    <n v="5"/>
  </r>
  <r>
    <x v="180"/>
    <x v="37"/>
    <x v="2"/>
    <n v="2"/>
    <n v="10.46"/>
    <x v="127"/>
    <x v="0"/>
    <x v="1"/>
    <n v="20.92"/>
    <n v="1.3780821917808219"/>
    <n v="15"/>
    <n v="7"/>
  </r>
  <r>
    <x v="181"/>
    <x v="37"/>
    <x v="3"/>
    <n v="3"/>
    <n v="45.45"/>
    <x v="160"/>
    <x v="3"/>
    <x v="4"/>
    <n v="136.35000000000002"/>
    <n v="1.6739726027397259"/>
    <n v="8"/>
    <n v="7"/>
  </r>
  <r>
    <x v="182"/>
    <x v="37"/>
    <x v="1"/>
    <n v="4"/>
    <n v="162.63999999999999"/>
    <x v="161"/>
    <x v="0"/>
    <x v="0"/>
    <n v="650.55999999999995"/>
    <n v="0.92328767123287669"/>
    <n v="19"/>
    <n v="7"/>
  </r>
  <r>
    <x v="183"/>
    <x v="38"/>
    <x v="4"/>
    <n v="5"/>
    <n v="5250"/>
    <x v="162"/>
    <x v="4"/>
    <x v="4"/>
    <n v="26250"/>
    <n v="1.7397260273972603"/>
    <n v="9"/>
    <n v="5"/>
  </r>
  <r>
    <x v="184"/>
    <x v="38"/>
    <x v="4"/>
    <n v="5"/>
    <n v="5250"/>
    <x v="163"/>
    <x v="5"/>
    <x v="3"/>
    <n v="26250"/>
    <n v="1.5561643835616439"/>
    <n v="10"/>
    <n v="5"/>
  </r>
  <r>
    <x v="185"/>
    <x v="38"/>
    <x v="4"/>
    <n v="1"/>
    <n v="1050"/>
    <x v="164"/>
    <x v="0"/>
    <x v="0"/>
    <n v="1050"/>
    <n v="1.3150684931506849"/>
    <n v="21"/>
    <n v="7"/>
  </r>
  <r>
    <x v="186"/>
    <x v="38"/>
    <x v="1"/>
    <n v="1"/>
    <n v="40.659999999999997"/>
    <x v="165"/>
    <x v="6"/>
    <x v="0"/>
    <n v="40.659999999999997"/>
    <n v="2.1534246575342464"/>
    <n v="19"/>
    <n v="10"/>
  </r>
  <r>
    <x v="187"/>
    <x v="39"/>
    <x v="2"/>
    <n v="3"/>
    <n v="15.69"/>
    <x v="166"/>
    <x v="6"/>
    <x v="3"/>
    <n v="47.07"/>
    <n v="1.0739726027397261"/>
    <n v="10"/>
    <n v="5"/>
  </r>
  <r>
    <x v="188"/>
    <x v="39"/>
    <x v="2"/>
    <n v="4"/>
    <n v="20.92"/>
    <x v="39"/>
    <x v="0"/>
    <x v="2"/>
    <n v="83.68"/>
    <n v="1.6273972602739726"/>
    <n v="12"/>
    <n v="5"/>
  </r>
  <r>
    <x v="189"/>
    <x v="39"/>
    <x v="3"/>
    <n v="4"/>
    <n v="60.6"/>
    <x v="167"/>
    <x v="9"/>
    <x v="0"/>
    <n v="242.4"/>
    <n v="2.1671232876712327"/>
    <n v="29"/>
    <n v="5"/>
  </r>
  <r>
    <x v="190"/>
    <x v="39"/>
    <x v="5"/>
    <n v="1"/>
    <n v="600.16999999999996"/>
    <x v="37"/>
    <x v="6"/>
    <x v="0"/>
    <n v="600.16999999999996"/>
    <n v="2.0931506849315067"/>
    <n v="19"/>
    <n v="7"/>
  </r>
  <r>
    <x v="191"/>
    <x v="39"/>
    <x v="6"/>
    <n v="3"/>
    <n v="107.52"/>
    <x v="168"/>
    <x v="0"/>
    <x v="1"/>
    <n v="322.56"/>
    <n v="1.4301369863013698"/>
    <n v="17"/>
    <n v="5"/>
  </r>
  <r>
    <x v="192"/>
    <x v="40"/>
    <x v="4"/>
    <n v="5"/>
    <n v="5250"/>
    <x v="101"/>
    <x v="7"/>
    <x v="1"/>
    <n v="26250"/>
    <n v="0.76438356164383559"/>
    <n v="6"/>
    <n v="5"/>
  </r>
  <r>
    <x v="193"/>
    <x v="40"/>
    <x v="2"/>
    <n v="4"/>
    <n v="20.92"/>
    <x v="169"/>
    <x v="7"/>
    <x v="3"/>
    <n v="83.68"/>
    <n v="1.2410958904109588"/>
    <n v="10"/>
    <n v="7"/>
  </r>
  <r>
    <x v="194"/>
    <x v="40"/>
    <x v="0"/>
    <n v="3"/>
    <n v="900.24"/>
    <x v="170"/>
    <x v="4"/>
    <x v="3"/>
    <n v="2700.7200000000003"/>
    <n v="1.6986301369863013"/>
    <n v="34"/>
    <n v="10"/>
  </r>
  <r>
    <x v="195"/>
    <x v="40"/>
    <x v="7"/>
    <n v="2"/>
    <n v="23.46"/>
    <x v="171"/>
    <x v="8"/>
    <x v="4"/>
    <n v="46.92"/>
    <n v="0.9671232876712329"/>
    <n v="11"/>
    <n v="10"/>
  </r>
  <r>
    <x v="196"/>
    <x v="41"/>
    <x v="2"/>
    <n v="3"/>
    <n v="15.69"/>
    <x v="172"/>
    <x v="4"/>
    <x v="3"/>
    <n v="47.07"/>
    <n v="0.852054794520548"/>
    <n v="16"/>
    <n v="5"/>
  </r>
  <r>
    <x v="197"/>
    <x v="41"/>
    <x v="1"/>
    <n v="2"/>
    <n v="81.319999999999993"/>
    <x v="173"/>
    <x v="8"/>
    <x v="1"/>
    <n v="162.63999999999999"/>
    <n v="0.50410958904109593"/>
    <n v="6"/>
    <n v="5"/>
  </r>
  <r>
    <x v="198"/>
    <x v="41"/>
    <x v="2"/>
    <n v="3"/>
    <n v="15.69"/>
    <x v="174"/>
    <x v="6"/>
    <x v="4"/>
    <n v="47.07"/>
    <n v="0.9671232876712329"/>
    <n v="14"/>
    <n v="5"/>
  </r>
  <r>
    <x v="199"/>
    <x v="41"/>
    <x v="7"/>
    <n v="5"/>
    <n v="58.65"/>
    <x v="175"/>
    <x v="6"/>
    <x v="3"/>
    <n v="293.25"/>
    <n v="1.4383561643835616"/>
    <n v="17"/>
    <n v="5"/>
  </r>
  <r>
    <x v="200"/>
    <x v="41"/>
    <x v="0"/>
    <n v="2"/>
    <n v="600.16"/>
    <x v="176"/>
    <x v="6"/>
    <x v="4"/>
    <n v="1200.32"/>
    <n v="0.99178082191780825"/>
    <n v="11"/>
    <n v="5"/>
  </r>
  <r>
    <x v="201"/>
    <x v="41"/>
    <x v="7"/>
    <n v="5"/>
    <n v="58.65"/>
    <x v="177"/>
    <x v="9"/>
    <x v="0"/>
    <n v="293.25"/>
    <n v="1.526027397260274"/>
    <n v="26"/>
    <n v="5"/>
  </r>
  <r>
    <x v="202"/>
    <x v="42"/>
    <x v="2"/>
    <n v="5"/>
    <n v="26.15"/>
    <x v="178"/>
    <x v="1"/>
    <x v="2"/>
    <n v="130.75"/>
    <n v="1.5917808219178082"/>
    <n v="14"/>
    <n v="7"/>
  </r>
  <r>
    <x v="203"/>
    <x v="43"/>
    <x v="6"/>
    <n v="3"/>
    <n v="107.52"/>
    <x v="179"/>
    <x v="0"/>
    <x v="0"/>
    <n v="322.56"/>
    <n v="1.3589041095890411"/>
    <n v="9"/>
    <n v="5"/>
  </r>
  <r>
    <x v="204"/>
    <x v="43"/>
    <x v="0"/>
    <n v="5"/>
    <n v="1500.4"/>
    <x v="180"/>
    <x v="0"/>
    <x v="4"/>
    <n v="7502"/>
    <n v="1.7671232876712328"/>
    <n v="37"/>
    <n v="5"/>
  </r>
  <r>
    <x v="205"/>
    <x v="43"/>
    <x v="0"/>
    <n v="2"/>
    <n v="600.16"/>
    <x v="181"/>
    <x v="1"/>
    <x v="3"/>
    <n v="1200.32"/>
    <n v="1.4301369863013698"/>
    <n v="10"/>
    <n v="7"/>
  </r>
  <r>
    <x v="206"/>
    <x v="43"/>
    <x v="4"/>
    <n v="2"/>
    <n v="2100"/>
    <x v="169"/>
    <x v="4"/>
    <x v="0"/>
    <n v="4200"/>
    <n v="1.3726027397260274"/>
    <n v="17"/>
    <n v="7"/>
  </r>
  <r>
    <x v="207"/>
    <x v="43"/>
    <x v="0"/>
    <n v="3"/>
    <n v="900.24"/>
    <x v="36"/>
    <x v="3"/>
    <x v="0"/>
    <n v="2700.7200000000003"/>
    <n v="1.7972602739726027"/>
    <n v="18"/>
    <n v="7"/>
  </r>
  <r>
    <x v="208"/>
    <x v="43"/>
    <x v="1"/>
    <n v="5"/>
    <n v="203.3"/>
    <x v="182"/>
    <x v="0"/>
    <x v="4"/>
    <n v="1016.5"/>
    <n v="0.62465753424657533"/>
    <n v="12"/>
    <n v="7"/>
  </r>
  <r>
    <x v="209"/>
    <x v="44"/>
    <x v="0"/>
    <n v="2"/>
    <n v="600.16"/>
    <x v="183"/>
    <x v="9"/>
    <x v="3"/>
    <n v="1200.32"/>
    <n v="1.6219178082191781"/>
    <n v="14"/>
    <n v="5"/>
  </r>
  <r>
    <x v="210"/>
    <x v="44"/>
    <x v="6"/>
    <n v="1"/>
    <n v="35.840000000000003"/>
    <x v="184"/>
    <x v="6"/>
    <x v="0"/>
    <n v="35.840000000000003"/>
    <n v="1.9945205479452055"/>
    <n v="10"/>
    <n v="5"/>
  </r>
  <r>
    <x v="211"/>
    <x v="44"/>
    <x v="2"/>
    <n v="3"/>
    <n v="15.69"/>
    <x v="185"/>
    <x v="1"/>
    <x v="1"/>
    <n v="47.07"/>
    <n v="1.1232876712328768"/>
    <n v="20"/>
    <n v="5"/>
  </r>
  <r>
    <x v="212"/>
    <x v="44"/>
    <x v="0"/>
    <n v="2"/>
    <n v="600.16"/>
    <x v="186"/>
    <x v="0"/>
    <x v="4"/>
    <n v="1200.32"/>
    <n v="0.93150684931506844"/>
    <n v="19"/>
    <n v="5"/>
  </r>
  <r>
    <x v="213"/>
    <x v="44"/>
    <x v="2"/>
    <n v="1"/>
    <n v="5.23"/>
    <x v="187"/>
    <x v="1"/>
    <x v="3"/>
    <n v="5.23"/>
    <n v="1.3972602739726028"/>
    <n v="23"/>
    <n v="5"/>
  </r>
  <r>
    <x v="214"/>
    <x v="44"/>
    <x v="1"/>
    <n v="5"/>
    <n v="203.3"/>
    <x v="188"/>
    <x v="9"/>
    <x v="1"/>
    <n v="1016.5"/>
    <n v="0.87397260273972599"/>
    <n v="19"/>
    <n v="7"/>
  </r>
  <r>
    <x v="215"/>
    <x v="44"/>
    <x v="6"/>
    <n v="5"/>
    <n v="179.2"/>
    <x v="189"/>
    <x v="6"/>
    <x v="3"/>
    <n v="896"/>
    <n v="1.4164383561643836"/>
    <n v="11"/>
    <n v="7"/>
  </r>
  <r>
    <x v="216"/>
    <x v="44"/>
    <x v="2"/>
    <n v="2"/>
    <n v="10.46"/>
    <x v="190"/>
    <x v="0"/>
    <x v="4"/>
    <n v="20.92"/>
    <n v="1.6328767123287671"/>
    <n v="30"/>
    <n v="7"/>
  </r>
  <r>
    <x v="217"/>
    <x v="45"/>
    <x v="1"/>
    <n v="3"/>
    <n v="121.98"/>
    <x v="85"/>
    <x v="8"/>
    <x v="1"/>
    <n v="365.94"/>
    <n v="1.6986301369863013"/>
    <n v="30"/>
    <n v="5"/>
  </r>
  <r>
    <x v="218"/>
    <x v="45"/>
    <x v="0"/>
    <n v="5"/>
    <n v="1500.4"/>
    <x v="110"/>
    <x v="4"/>
    <x v="1"/>
    <n v="7502"/>
    <n v="1.4356164383561645"/>
    <n v="17"/>
    <n v="7"/>
  </r>
  <r>
    <x v="219"/>
    <x v="45"/>
    <x v="3"/>
    <n v="2"/>
    <n v="30.3"/>
    <x v="191"/>
    <x v="6"/>
    <x v="0"/>
    <n v="60.6"/>
    <n v="1.4575342465753425"/>
    <n v="17"/>
    <n v="7"/>
  </r>
  <r>
    <x v="220"/>
    <x v="45"/>
    <x v="7"/>
    <n v="1"/>
    <n v="11.73"/>
    <x v="192"/>
    <x v="9"/>
    <x v="1"/>
    <n v="11.73"/>
    <n v="1.8246575342465754"/>
    <n v="14"/>
    <n v="7"/>
  </r>
  <r>
    <x v="221"/>
    <x v="45"/>
    <x v="0"/>
    <n v="5"/>
    <n v="1500.4"/>
    <x v="193"/>
    <x v="8"/>
    <x v="2"/>
    <n v="7502"/>
    <n v="1.6767123287671233"/>
    <n v="13"/>
    <n v="7"/>
  </r>
  <r>
    <x v="222"/>
    <x v="45"/>
    <x v="0"/>
    <n v="5"/>
    <n v="1500.4"/>
    <x v="194"/>
    <x v="4"/>
    <x v="0"/>
    <n v="7502"/>
    <n v="1.484931506849315"/>
    <n v="12"/>
    <n v="7"/>
  </r>
  <r>
    <x v="223"/>
    <x v="45"/>
    <x v="0"/>
    <n v="2"/>
    <n v="600.16"/>
    <x v="195"/>
    <x v="7"/>
    <x v="3"/>
    <n v="1200.32"/>
    <n v="1.8767123287671232"/>
    <n v="21"/>
    <n v="7"/>
  </r>
  <r>
    <x v="224"/>
    <x v="45"/>
    <x v="1"/>
    <n v="3"/>
    <n v="121.98"/>
    <x v="196"/>
    <x v="9"/>
    <x v="4"/>
    <n v="365.94"/>
    <n v="1.7534246575342465"/>
    <n v="17"/>
    <n v="10"/>
  </r>
  <r>
    <x v="225"/>
    <x v="45"/>
    <x v="0"/>
    <n v="5"/>
    <n v="1500.4"/>
    <x v="197"/>
    <x v="0"/>
    <x v="2"/>
    <n v="7502"/>
    <n v="1.167123287671233"/>
    <n v="17"/>
    <n v="10"/>
  </r>
  <r>
    <x v="226"/>
    <x v="46"/>
    <x v="3"/>
    <n v="2"/>
    <n v="30.3"/>
    <x v="198"/>
    <x v="3"/>
    <x v="4"/>
    <n v="60.6"/>
    <n v="1.2602739726027397"/>
    <n v="18"/>
    <n v="5"/>
  </r>
  <r>
    <x v="227"/>
    <x v="46"/>
    <x v="5"/>
    <n v="1"/>
    <n v="600.16999999999996"/>
    <x v="199"/>
    <x v="6"/>
    <x v="0"/>
    <n v="600.16999999999996"/>
    <n v="1.715068493150685"/>
    <n v="22"/>
    <n v="7"/>
  </r>
  <r>
    <x v="228"/>
    <x v="46"/>
    <x v="0"/>
    <n v="5"/>
    <n v="1500.4"/>
    <x v="200"/>
    <x v="1"/>
    <x v="4"/>
    <n v="7502"/>
    <n v="1.4794520547945205"/>
    <n v="11"/>
    <n v="10"/>
  </r>
  <r>
    <x v="229"/>
    <x v="47"/>
    <x v="4"/>
    <n v="5"/>
    <n v="5250"/>
    <x v="201"/>
    <x v="4"/>
    <x v="2"/>
    <n v="26250"/>
    <n v="1.5616438356164384"/>
    <n v="13"/>
    <n v="5"/>
  </r>
  <r>
    <x v="230"/>
    <x v="47"/>
    <x v="0"/>
    <n v="2"/>
    <n v="600.16"/>
    <x v="202"/>
    <x v="0"/>
    <x v="0"/>
    <n v="1200.32"/>
    <n v="1.9589041095890412"/>
    <n v="18"/>
    <n v="5"/>
  </r>
  <r>
    <x v="231"/>
    <x v="47"/>
    <x v="1"/>
    <n v="5"/>
    <n v="203.3"/>
    <x v="203"/>
    <x v="4"/>
    <x v="4"/>
    <n v="1016.5"/>
    <n v="1.3753424657534246"/>
    <n v="17"/>
    <n v="10"/>
  </r>
  <r>
    <x v="232"/>
    <x v="48"/>
    <x v="5"/>
    <n v="1"/>
    <n v="600.16999999999996"/>
    <x v="10"/>
    <x v="9"/>
    <x v="0"/>
    <n v="600.16999999999996"/>
    <n v="1.4191780821917808"/>
    <n v="7"/>
    <n v="5"/>
  </r>
  <r>
    <x v="233"/>
    <x v="48"/>
    <x v="0"/>
    <n v="1"/>
    <n v="300.08"/>
    <x v="204"/>
    <x v="0"/>
    <x v="1"/>
    <n v="300.08"/>
    <n v="1.904109589041096"/>
    <n v="19"/>
    <n v="5"/>
  </r>
  <r>
    <x v="234"/>
    <x v="48"/>
    <x v="5"/>
    <n v="4"/>
    <n v="2400.6799999999998"/>
    <x v="91"/>
    <x v="2"/>
    <x v="2"/>
    <n v="9602.7199999999993"/>
    <n v="1.6849315068493151"/>
    <n v="20"/>
    <n v="5"/>
  </r>
  <r>
    <x v="235"/>
    <x v="48"/>
    <x v="5"/>
    <n v="5"/>
    <n v="3000.85"/>
    <x v="205"/>
    <x v="0"/>
    <x v="4"/>
    <n v="15004.25"/>
    <n v="1.9068493150684931"/>
    <n v="13"/>
    <n v="7"/>
  </r>
  <r>
    <x v="236"/>
    <x v="48"/>
    <x v="2"/>
    <n v="3"/>
    <n v="15.69"/>
    <x v="206"/>
    <x v="6"/>
    <x v="0"/>
    <n v="47.07"/>
    <n v="1.0712328767123287"/>
    <n v="18"/>
    <n v="7"/>
  </r>
  <r>
    <x v="237"/>
    <x v="49"/>
    <x v="7"/>
    <n v="2"/>
    <n v="23.46"/>
    <x v="207"/>
    <x v="9"/>
    <x v="3"/>
    <n v="46.92"/>
    <n v="1.4794520547945205"/>
    <n v="18"/>
    <n v="5"/>
  </r>
  <r>
    <x v="238"/>
    <x v="49"/>
    <x v="0"/>
    <n v="1"/>
    <n v="300.08"/>
    <x v="208"/>
    <x v="7"/>
    <x v="1"/>
    <n v="300.08"/>
    <n v="1.6739726027397259"/>
    <n v="20"/>
    <n v="5"/>
  </r>
  <r>
    <x v="239"/>
    <x v="49"/>
    <x v="1"/>
    <n v="1"/>
    <n v="40.659999999999997"/>
    <x v="209"/>
    <x v="6"/>
    <x v="2"/>
    <n v="40.659999999999997"/>
    <n v="1.0410958904109588"/>
    <n v="6"/>
    <n v="7"/>
  </r>
  <r>
    <x v="240"/>
    <x v="49"/>
    <x v="0"/>
    <n v="2"/>
    <n v="600.16"/>
    <x v="210"/>
    <x v="1"/>
    <x v="4"/>
    <n v="1200.32"/>
    <n v="1.8438356164383563"/>
    <n v="12"/>
    <n v="7"/>
  </r>
  <r>
    <x v="241"/>
    <x v="49"/>
    <x v="2"/>
    <n v="3"/>
    <n v="15.69"/>
    <x v="26"/>
    <x v="2"/>
    <x v="3"/>
    <n v="47.07"/>
    <n v="2.1315068493150684"/>
    <n v="12"/>
    <n v="10"/>
  </r>
  <r>
    <x v="242"/>
    <x v="49"/>
    <x v="0"/>
    <n v="1"/>
    <n v="300.08"/>
    <x v="211"/>
    <x v="4"/>
    <x v="1"/>
    <n v="300.08"/>
    <n v="1.5397260273972602"/>
    <n v="24"/>
    <n v="10"/>
  </r>
  <r>
    <x v="243"/>
    <x v="50"/>
    <x v="3"/>
    <n v="2"/>
    <n v="30.3"/>
    <x v="212"/>
    <x v="6"/>
    <x v="2"/>
    <n v="60.6"/>
    <n v="0.9123287671232877"/>
    <n v="18"/>
    <n v="5"/>
  </r>
  <r>
    <x v="244"/>
    <x v="50"/>
    <x v="6"/>
    <n v="2"/>
    <n v="71.680000000000007"/>
    <x v="213"/>
    <x v="9"/>
    <x v="0"/>
    <n v="143.36000000000001"/>
    <n v="1.9671232876712328"/>
    <n v="24"/>
    <n v="7"/>
  </r>
  <r>
    <x v="245"/>
    <x v="50"/>
    <x v="1"/>
    <n v="5"/>
    <n v="203.3"/>
    <x v="214"/>
    <x v="3"/>
    <x v="3"/>
    <n v="1016.5"/>
    <n v="1.4136986301369863"/>
    <n v="13"/>
    <n v="7"/>
  </r>
  <r>
    <x v="246"/>
    <x v="50"/>
    <x v="2"/>
    <n v="1"/>
    <n v="5.23"/>
    <x v="215"/>
    <x v="3"/>
    <x v="4"/>
    <n v="5.23"/>
    <n v="1.4602739726027398"/>
    <n v="21"/>
    <n v="10"/>
  </r>
  <r>
    <x v="247"/>
    <x v="50"/>
    <x v="5"/>
    <n v="1"/>
    <n v="600.16999999999996"/>
    <x v="216"/>
    <x v="4"/>
    <x v="0"/>
    <n v="600.16999999999996"/>
    <n v="1.6602739726027398"/>
    <n v="20"/>
    <n v="10"/>
  </r>
  <r>
    <x v="248"/>
    <x v="51"/>
    <x v="2"/>
    <n v="5"/>
    <n v="26.15"/>
    <x v="173"/>
    <x v="1"/>
    <x v="0"/>
    <n v="130.75"/>
    <n v="1.4465753424657535"/>
    <n v="19"/>
    <n v="5"/>
  </r>
  <r>
    <x v="249"/>
    <x v="51"/>
    <x v="0"/>
    <n v="5"/>
    <n v="1500.4"/>
    <x v="217"/>
    <x v="1"/>
    <x v="0"/>
    <n v="7502"/>
    <n v="1.8054794520547945"/>
    <n v="17"/>
    <n v="7"/>
  </r>
  <r>
    <x v="250"/>
    <x v="51"/>
    <x v="0"/>
    <n v="1"/>
    <n v="300.08"/>
    <x v="218"/>
    <x v="0"/>
    <x v="4"/>
    <n v="300.08"/>
    <n v="1.1287671232876713"/>
    <n v="18"/>
    <n v="7"/>
  </r>
  <r>
    <x v="251"/>
    <x v="51"/>
    <x v="5"/>
    <n v="5"/>
    <n v="3000.85"/>
    <x v="219"/>
    <x v="4"/>
    <x v="1"/>
    <n v="15004.25"/>
    <n v="1.1972602739726028"/>
    <n v="12"/>
    <n v="7"/>
  </r>
  <r>
    <x v="252"/>
    <x v="52"/>
    <x v="0"/>
    <n v="5"/>
    <n v="1500.4"/>
    <x v="220"/>
    <x v="5"/>
    <x v="1"/>
    <n v="7502"/>
    <n v="0.79178082191780819"/>
    <n v="3"/>
    <n v="5"/>
  </r>
  <r>
    <x v="253"/>
    <x v="52"/>
    <x v="0"/>
    <n v="3"/>
    <n v="900.24"/>
    <x v="221"/>
    <x v="6"/>
    <x v="1"/>
    <n v="2700.7200000000003"/>
    <n v="1.5342465753424657"/>
    <n v="24"/>
    <n v="5"/>
  </r>
  <r>
    <x v="254"/>
    <x v="52"/>
    <x v="0"/>
    <n v="4"/>
    <n v="1200.32"/>
    <x v="128"/>
    <x v="2"/>
    <x v="0"/>
    <n v="4801.28"/>
    <n v="1.3232876712328767"/>
    <n v="17"/>
    <n v="5"/>
  </r>
  <r>
    <x v="255"/>
    <x v="52"/>
    <x v="2"/>
    <n v="3"/>
    <n v="15.69"/>
    <x v="222"/>
    <x v="0"/>
    <x v="0"/>
    <n v="47.07"/>
    <n v="1.3013698630136987"/>
    <n v="3"/>
    <n v="7"/>
  </r>
  <r>
    <x v="256"/>
    <x v="52"/>
    <x v="4"/>
    <n v="1"/>
    <n v="1050"/>
    <x v="223"/>
    <x v="7"/>
    <x v="1"/>
    <n v="1050"/>
    <n v="0.80273972602739729"/>
    <n v="16"/>
    <n v="7"/>
  </r>
  <r>
    <x v="257"/>
    <x v="53"/>
    <x v="0"/>
    <n v="2"/>
    <n v="600.16"/>
    <x v="224"/>
    <x v="6"/>
    <x v="1"/>
    <n v="1200.32"/>
    <n v="1.9698630136986301"/>
    <n v="15"/>
    <n v="5"/>
  </r>
  <r>
    <x v="258"/>
    <x v="53"/>
    <x v="0"/>
    <n v="4"/>
    <n v="1200.32"/>
    <x v="225"/>
    <x v="2"/>
    <x v="4"/>
    <n v="4801.28"/>
    <n v="1.3589041095890411"/>
    <n v="21"/>
    <n v="5"/>
  </r>
  <r>
    <x v="259"/>
    <x v="53"/>
    <x v="7"/>
    <n v="3"/>
    <n v="35.19"/>
    <x v="226"/>
    <x v="9"/>
    <x v="0"/>
    <n v="105.57"/>
    <n v="1.4219178082191781"/>
    <n v="33"/>
    <n v="5"/>
  </r>
  <r>
    <x v="260"/>
    <x v="53"/>
    <x v="6"/>
    <n v="2"/>
    <n v="71.680000000000007"/>
    <x v="44"/>
    <x v="0"/>
    <x v="4"/>
    <n v="143.36000000000001"/>
    <n v="1.4602739726027398"/>
    <n v="9"/>
    <n v="7"/>
  </r>
  <r>
    <x v="261"/>
    <x v="53"/>
    <x v="0"/>
    <n v="1"/>
    <n v="300.08"/>
    <x v="227"/>
    <x v="0"/>
    <x v="2"/>
    <n v="300.08"/>
    <n v="0.92602739726027394"/>
    <n v="9"/>
    <n v="7"/>
  </r>
  <r>
    <x v="262"/>
    <x v="54"/>
    <x v="0"/>
    <n v="4"/>
    <n v="1200.32"/>
    <x v="34"/>
    <x v="0"/>
    <x v="4"/>
    <n v="4801.28"/>
    <n v="6.575342465753424E-2"/>
    <n v="6"/>
    <n v="5"/>
  </r>
  <r>
    <x v="263"/>
    <x v="54"/>
    <x v="3"/>
    <n v="5"/>
    <n v="75.75"/>
    <x v="228"/>
    <x v="2"/>
    <x v="2"/>
    <n v="378.75"/>
    <n v="0.44383561643835617"/>
    <n v="3"/>
    <n v="7"/>
  </r>
  <r>
    <x v="264"/>
    <x v="54"/>
    <x v="6"/>
    <n v="4"/>
    <n v="143.36000000000001"/>
    <x v="29"/>
    <x v="6"/>
    <x v="4"/>
    <n v="573.44000000000005"/>
    <n v="0.78356164383561644"/>
    <n v="22"/>
    <n v="7"/>
  </r>
  <r>
    <x v="265"/>
    <x v="54"/>
    <x v="4"/>
    <n v="2"/>
    <n v="2100"/>
    <x v="229"/>
    <x v="6"/>
    <x v="2"/>
    <n v="4200"/>
    <n v="1.4493150684931506"/>
    <n v="18"/>
    <n v="10"/>
  </r>
  <r>
    <x v="266"/>
    <x v="55"/>
    <x v="5"/>
    <n v="4"/>
    <n v="2400.6799999999998"/>
    <x v="64"/>
    <x v="2"/>
    <x v="4"/>
    <n v="9602.7199999999993"/>
    <n v="1.7506849315068493"/>
    <n v="17"/>
    <n v="5"/>
  </r>
  <r>
    <x v="267"/>
    <x v="55"/>
    <x v="0"/>
    <n v="3"/>
    <n v="900.24"/>
    <x v="230"/>
    <x v="0"/>
    <x v="4"/>
    <n v="2700.7200000000003"/>
    <n v="0.66849315068493154"/>
    <n v="9"/>
    <n v="5"/>
  </r>
  <r>
    <x v="268"/>
    <x v="55"/>
    <x v="4"/>
    <n v="1"/>
    <n v="1050"/>
    <x v="14"/>
    <x v="6"/>
    <x v="2"/>
    <n v="1050"/>
    <n v="0.38356164383561642"/>
    <n v="10"/>
    <n v="5"/>
  </r>
  <r>
    <x v="269"/>
    <x v="55"/>
    <x v="1"/>
    <n v="4"/>
    <n v="162.63999999999999"/>
    <x v="231"/>
    <x v="4"/>
    <x v="1"/>
    <n v="650.55999999999995"/>
    <n v="0.40547945205479452"/>
    <n v="5"/>
    <n v="5"/>
  </r>
  <r>
    <x v="270"/>
    <x v="55"/>
    <x v="5"/>
    <n v="5"/>
    <n v="3000.85"/>
    <x v="232"/>
    <x v="2"/>
    <x v="0"/>
    <n v="15004.25"/>
    <n v="2.0082191780821916"/>
    <n v="15"/>
    <n v="5"/>
  </r>
  <r>
    <x v="271"/>
    <x v="55"/>
    <x v="1"/>
    <n v="1"/>
    <n v="40.659999999999997"/>
    <x v="46"/>
    <x v="9"/>
    <x v="0"/>
    <n v="40.659999999999997"/>
    <n v="1.9534246575342467"/>
    <n v="22"/>
    <n v="5"/>
  </r>
  <r>
    <x v="272"/>
    <x v="55"/>
    <x v="0"/>
    <n v="1"/>
    <n v="300.08"/>
    <x v="233"/>
    <x v="3"/>
    <x v="1"/>
    <n v="300.08"/>
    <n v="1.558904109589041"/>
    <n v="28"/>
    <n v="5"/>
  </r>
  <r>
    <x v="273"/>
    <x v="55"/>
    <x v="5"/>
    <n v="3"/>
    <n v="1800.51"/>
    <x v="228"/>
    <x v="6"/>
    <x v="3"/>
    <n v="5401.53"/>
    <n v="1.1041095890410959"/>
    <n v="13"/>
    <n v="7"/>
  </r>
  <r>
    <x v="274"/>
    <x v="55"/>
    <x v="0"/>
    <n v="5"/>
    <n v="1500.4"/>
    <x v="234"/>
    <x v="0"/>
    <x v="3"/>
    <n v="7502"/>
    <n v="6.3013698630136991E-2"/>
    <n v="7"/>
    <n v="7"/>
  </r>
  <r>
    <x v="275"/>
    <x v="55"/>
    <x v="2"/>
    <n v="3"/>
    <n v="15.69"/>
    <x v="235"/>
    <x v="9"/>
    <x v="4"/>
    <n v="47.07"/>
    <n v="1.893150684931507"/>
    <n v="14"/>
    <n v="7"/>
  </r>
  <r>
    <x v="276"/>
    <x v="55"/>
    <x v="0"/>
    <n v="1"/>
    <n v="300.08"/>
    <x v="236"/>
    <x v="1"/>
    <x v="3"/>
    <n v="300.08"/>
    <n v="1.021917808219178"/>
    <n v="15"/>
    <n v="7"/>
  </r>
  <r>
    <x v="277"/>
    <x v="55"/>
    <x v="0"/>
    <n v="4"/>
    <n v="1200.32"/>
    <x v="237"/>
    <x v="4"/>
    <x v="2"/>
    <n v="4801.28"/>
    <n v="1.4575342465753425"/>
    <n v="10"/>
    <n v="7"/>
  </r>
  <r>
    <x v="278"/>
    <x v="55"/>
    <x v="1"/>
    <n v="3"/>
    <n v="121.98"/>
    <x v="26"/>
    <x v="9"/>
    <x v="1"/>
    <n v="365.94"/>
    <n v="0.60547945205479448"/>
    <n v="6"/>
    <n v="10"/>
  </r>
  <r>
    <x v="279"/>
    <x v="56"/>
    <x v="0"/>
    <n v="4"/>
    <n v="1200.32"/>
    <x v="238"/>
    <x v="0"/>
    <x v="0"/>
    <n v="4801.28"/>
    <n v="2.0356164383561643"/>
    <n v="28"/>
    <n v="5"/>
  </r>
  <r>
    <x v="280"/>
    <x v="56"/>
    <x v="0"/>
    <n v="2"/>
    <n v="600.16"/>
    <x v="239"/>
    <x v="1"/>
    <x v="1"/>
    <n v="1200.32"/>
    <n v="1.8602739726027397"/>
    <n v="14"/>
    <n v="5"/>
  </r>
  <r>
    <x v="281"/>
    <x v="56"/>
    <x v="3"/>
    <n v="5"/>
    <n v="75.75"/>
    <x v="240"/>
    <x v="6"/>
    <x v="4"/>
    <n v="378.75"/>
    <n v="1.7123287671232876"/>
    <n v="17"/>
    <n v="5"/>
  </r>
  <r>
    <x v="282"/>
    <x v="56"/>
    <x v="1"/>
    <n v="3"/>
    <n v="121.98"/>
    <x v="127"/>
    <x v="0"/>
    <x v="0"/>
    <n v="365.94"/>
    <n v="1.9013698630136986"/>
    <n v="22"/>
    <n v="7"/>
  </r>
  <r>
    <x v="283"/>
    <x v="56"/>
    <x v="0"/>
    <n v="4"/>
    <n v="1200.32"/>
    <x v="241"/>
    <x v="0"/>
    <x v="0"/>
    <n v="4801.28"/>
    <n v="1.7643835616438357"/>
    <n v="14"/>
    <n v="7"/>
  </r>
  <r>
    <x v="284"/>
    <x v="57"/>
    <x v="0"/>
    <n v="4"/>
    <n v="1200.32"/>
    <x v="62"/>
    <x v="6"/>
    <x v="0"/>
    <n v="4801.28"/>
    <n v="1.5835616438356164"/>
    <n v="24"/>
    <n v="5"/>
  </r>
  <r>
    <x v="285"/>
    <x v="57"/>
    <x v="6"/>
    <n v="4"/>
    <n v="143.36000000000001"/>
    <x v="1"/>
    <x v="5"/>
    <x v="2"/>
    <n v="573.44000000000005"/>
    <n v="1.452054794520548"/>
    <n v="23"/>
    <n v="5"/>
  </r>
  <r>
    <x v="286"/>
    <x v="57"/>
    <x v="1"/>
    <n v="5"/>
    <n v="203.3"/>
    <x v="242"/>
    <x v="1"/>
    <x v="0"/>
    <n v="1016.5"/>
    <n v="1.6246575342465754"/>
    <n v="17"/>
    <n v="5"/>
  </r>
  <r>
    <x v="287"/>
    <x v="57"/>
    <x v="4"/>
    <n v="5"/>
    <n v="5250"/>
    <x v="243"/>
    <x v="0"/>
    <x v="3"/>
    <n v="26250"/>
    <n v="1.2410958904109588"/>
    <n v="17"/>
    <n v="7"/>
  </r>
  <r>
    <x v="288"/>
    <x v="58"/>
    <x v="6"/>
    <n v="1"/>
    <n v="35.840000000000003"/>
    <x v="244"/>
    <x v="6"/>
    <x v="4"/>
    <n v="35.840000000000003"/>
    <n v="1.4219178082191781"/>
    <n v="18"/>
    <n v="5"/>
  </r>
  <r>
    <x v="289"/>
    <x v="58"/>
    <x v="5"/>
    <n v="2"/>
    <n v="1200.3399999999999"/>
    <x v="245"/>
    <x v="0"/>
    <x v="3"/>
    <n v="2400.6799999999998"/>
    <n v="0.79726027397260268"/>
    <n v="4"/>
    <n v="5"/>
  </r>
  <r>
    <x v="290"/>
    <x v="58"/>
    <x v="2"/>
    <n v="2"/>
    <n v="10.46"/>
    <x v="69"/>
    <x v="6"/>
    <x v="3"/>
    <n v="20.92"/>
    <n v="1.3698630136986301"/>
    <n v="11"/>
    <n v="5"/>
  </r>
  <r>
    <x v="291"/>
    <x v="58"/>
    <x v="2"/>
    <n v="3"/>
    <n v="15.69"/>
    <x v="246"/>
    <x v="0"/>
    <x v="4"/>
    <n v="47.07"/>
    <n v="1.7178082191780821"/>
    <n v="20"/>
    <n v="10"/>
  </r>
  <r>
    <x v="292"/>
    <x v="58"/>
    <x v="2"/>
    <n v="3"/>
    <n v="15.69"/>
    <x v="247"/>
    <x v="6"/>
    <x v="0"/>
    <n v="47.07"/>
    <n v="1.8986301369863015"/>
    <n v="13"/>
    <n v="10"/>
  </r>
  <r>
    <x v="293"/>
    <x v="59"/>
    <x v="5"/>
    <n v="1"/>
    <n v="600.16999999999996"/>
    <x v="238"/>
    <x v="1"/>
    <x v="0"/>
    <n v="600.16999999999996"/>
    <n v="1.7643835616438357"/>
    <n v="19"/>
    <n v="5"/>
  </r>
  <r>
    <x v="294"/>
    <x v="59"/>
    <x v="0"/>
    <n v="1"/>
    <n v="300.08"/>
    <x v="69"/>
    <x v="3"/>
    <x v="2"/>
    <n v="300.08"/>
    <n v="2.1479452054794521"/>
    <n v="10"/>
    <n v="5"/>
  </r>
  <r>
    <x v="295"/>
    <x v="59"/>
    <x v="7"/>
    <n v="1"/>
    <n v="11.73"/>
    <x v="248"/>
    <x v="4"/>
    <x v="2"/>
    <n v="11.73"/>
    <n v="1.8054794520547945"/>
    <n v="27"/>
    <n v="7"/>
  </r>
  <r>
    <x v="296"/>
    <x v="59"/>
    <x v="5"/>
    <n v="5"/>
    <n v="3000.85"/>
    <x v="249"/>
    <x v="0"/>
    <x v="1"/>
    <n v="15004.25"/>
    <n v="0.31780821917808222"/>
    <n v="5"/>
    <n v="7"/>
  </r>
  <r>
    <x v="297"/>
    <x v="60"/>
    <x v="1"/>
    <n v="3"/>
    <n v="121.98"/>
    <x v="11"/>
    <x v="6"/>
    <x v="3"/>
    <n v="365.94"/>
    <n v="1.726027397260274"/>
    <n v="21"/>
    <n v="7"/>
  </r>
  <r>
    <x v="298"/>
    <x v="60"/>
    <x v="0"/>
    <n v="3"/>
    <n v="900.24"/>
    <x v="250"/>
    <x v="2"/>
    <x v="1"/>
    <n v="2700.7200000000003"/>
    <n v="0"/>
    <n v="2"/>
    <n v="7"/>
  </r>
  <r>
    <x v="299"/>
    <x v="60"/>
    <x v="0"/>
    <n v="1"/>
    <n v="300.08"/>
    <x v="251"/>
    <x v="1"/>
    <x v="2"/>
    <n v="300.08"/>
    <n v="0.95342465753424654"/>
    <n v="13"/>
    <n v="10"/>
  </r>
  <r>
    <x v="300"/>
    <x v="61"/>
    <x v="0"/>
    <n v="3"/>
    <n v="900.24"/>
    <x v="221"/>
    <x v="4"/>
    <x v="3"/>
    <n v="2700.7200000000003"/>
    <n v="1.7068493150684931"/>
    <n v="24"/>
    <n v="5"/>
  </r>
  <r>
    <x v="301"/>
    <x v="61"/>
    <x v="6"/>
    <n v="5"/>
    <n v="179.2"/>
    <x v="113"/>
    <x v="7"/>
    <x v="2"/>
    <n v="896"/>
    <n v="1.5452054794520549"/>
    <n v="20"/>
    <n v="5"/>
  </r>
  <r>
    <x v="302"/>
    <x v="61"/>
    <x v="0"/>
    <n v="2"/>
    <n v="600.16"/>
    <x v="252"/>
    <x v="5"/>
    <x v="4"/>
    <n v="1200.32"/>
    <n v="1.3068493150684932"/>
    <n v="9"/>
    <n v="7"/>
  </r>
  <r>
    <x v="303"/>
    <x v="61"/>
    <x v="5"/>
    <n v="4"/>
    <n v="2400.6799999999998"/>
    <x v="127"/>
    <x v="0"/>
    <x v="2"/>
    <n v="9602.7199999999993"/>
    <n v="0.45479452054794522"/>
    <n v="10"/>
    <n v="7"/>
  </r>
  <r>
    <x v="304"/>
    <x v="61"/>
    <x v="1"/>
    <n v="4"/>
    <n v="162.63999999999999"/>
    <x v="253"/>
    <x v="3"/>
    <x v="3"/>
    <n v="650.55999999999995"/>
    <n v="1.9972602739726026"/>
    <n v="23"/>
    <n v="7"/>
  </r>
  <r>
    <x v="305"/>
    <x v="61"/>
    <x v="6"/>
    <n v="1"/>
    <n v="35.840000000000003"/>
    <x v="254"/>
    <x v="6"/>
    <x v="2"/>
    <n v="35.840000000000003"/>
    <n v="2.1095890410958904"/>
    <n v="26"/>
    <n v="7"/>
  </r>
  <r>
    <x v="306"/>
    <x v="62"/>
    <x v="2"/>
    <n v="5"/>
    <n v="26.15"/>
    <x v="255"/>
    <x v="6"/>
    <x v="3"/>
    <n v="130.75"/>
    <n v="1.5561643835616439"/>
    <n v="33"/>
    <n v="7"/>
  </r>
  <r>
    <x v="307"/>
    <x v="62"/>
    <x v="1"/>
    <n v="5"/>
    <n v="203.3"/>
    <x v="256"/>
    <x v="2"/>
    <x v="1"/>
    <n v="1016.5"/>
    <n v="1.8958904109589041"/>
    <n v="26"/>
    <n v="7"/>
  </r>
  <r>
    <x v="308"/>
    <x v="63"/>
    <x v="0"/>
    <n v="5"/>
    <n v="1500.4"/>
    <x v="257"/>
    <x v="1"/>
    <x v="3"/>
    <n v="7502"/>
    <n v="1.8520547945205479"/>
    <n v="25"/>
    <n v="5"/>
  </r>
  <r>
    <x v="309"/>
    <x v="63"/>
    <x v="5"/>
    <n v="5"/>
    <n v="3000.85"/>
    <x v="257"/>
    <x v="1"/>
    <x v="0"/>
    <n v="15004.25"/>
    <n v="1.4602739726027398"/>
    <n v="7"/>
    <n v="5"/>
  </r>
  <r>
    <x v="310"/>
    <x v="63"/>
    <x v="5"/>
    <n v="1"/>
    <n v="600.16999999999996"/>
    <x v="66"/>
    <x v="6"/>
    <x v="0"/>
    <n v="600.16999999999996"/>
    <n v="1.7808219178082192"/>
    <n v="22"/>
    <n v="7"/>
  </r>
  <r>
    <x v="311"/>
    <x v="63"/>
    <x v="0"/>
    <n v="5"/>
    <n v="1500.4"/>
    <x v="129"/>
    <x v="5"/>
    <x v="3"/>
    <n v="7502"/>
    <n v="1.4136986301369863"/>
    <n v="27"/>
    <n v="7"/>
  </r>
  <r>
    <x v="312"/>
    <x v="63"/>
    <x v="7"/>
    <n v="5"/>
    <n v="58.65"/>
    <x v="258"/>
    <x v="4"/>
    <x v="4"/>
    <n v="293.25"/>
    <n v="0.17808219178082191"/>
    <n v="5"/>
    <n v="7"/>
  </r>
  <r>
    <x v="313"/>
    <x v="63"/>
    <x v="6"/>
    <n v="1"/>
    <n v="35.840000000000003"/>
    <x v="259"/>
    <x v="6"/>
    <x v="2"/>
    <n v="35.840000000000003"/>
    <n v="0.79726027397260268"/>
    <n v="10"/>
    <n v="7"/>
  </r>
  <r>
    <x v="314"/>
    <x v="63"/>
    <x v="2"/>
    <n v="5"/>
    <n v="26.15"/>
    <x v="260"/>
    <x v="1"/>
    <x v="4"/>
    <n v="130.75"/>
    <n v="1.8684931506849316"/>
    <n v="18"/>
    <n v="7"/>
  </r>
  <r>
    <x v="315"/>
    <x v="64"/>
    <x v="0"/>
    <n v="2"/>
    <n v="600.16"/>
    <x v="117"/>
    <x v="8"/>
    <x v="4"/>
    <n v="1200.32"/>
    <n v="1.473972602739726"/>
    <n v="13"/>
    <n v="5"/>
  </r>
  <r>
    <x v="316"/>
    <x v="64"/>
    <x v="0"/>
    <n v="1"/>
    <n v="300.08"/>
    <x v="261"/>
    <x v="0"/>
    <x v="1"/>
    <n v="300.08"/>
    <n v="1.5863013698630137"/>
    <n v="15"/>
    <n v="5"/>
  </r>
  <r>
    <x v="317"/>
    <x v="64"/>
    <x v="2"/>
    <n v="4"/>
    <n v="20.92"/>
    <x v="86"/>
    <x v="4"/>
    <x v="2"/>
    <n v="83.68"/>
    <n v="0.30410958904109592"/>
    <n v="11"/>
    <n v="5"/>
  </r>
  <r>
    <x v="318"/>
    <x v="64"/>
    <x v="0"/>
    <n v="4"/>
    <n v="1200.32"/>
    <x v="262"/>
    <x v="0"/>
    <x v="1"/>
    <n v="4801.28"/>
    <n v="1.1479452054794521"/>
    <n v="21"/>
    <n v="7"/>
  </r>
  <r>
    <x v="319"/>
    <x v="64"/>
    <x v="5"/>
    <n v="2"/>
    <n v="1200.3399999999999"/>
    <x v="263"/>
    <x v="5"/>
    <x v="4"/>
    <n v="2400.6799999999998"/>
    <n v="1.789041095890411"/>
    <n v="21"/>
    <n v="7"/>
  </r>
  <r>
    <x v="320"/>
    <x v="65"/>
    <x v="5"/>
    <n v="5"/>
    <n v="3000.85"/>
    <x v="143"/>
    <x v="1"/>
    <x v="1"/>
    <n v="15004.25"/>
    <n v="2.1698630136986301"/>
    <n v="29"/>
    <n v="5"/>
  </r>
  <r>
    <x v="321"/>
    <x v="65"/>
    <x v="1"/>
    <n v="4"/>
    <n v="162.63999999999999"/>
    <x v="264"/>
    <x v="6"/>
    <x v="0"/>
    <n v="650.55999999999995"/>
    <n v="1.5863013698630137"/>
    <n v="22"/>
    <n v="5"/>
  </r>
  <r>
    <x v="322"/>
    <x v="65"/>
    <x v="0"/>
    <n v="2"/>
    <n v="600.16"/>
    <x v="265"/>
    <x v="6"/>
    <x v="4"/>
    <n v="1200.32"/>
    <n v="1.3808219178082193"/>
    <n v="16"/>
    <n v="5"/>
  </r>
  <r>
    <x v="323"/>
    <x v="65"/>
    <x v="0"/>
    <n v="4"/>
    <n v="1200.32"/>
    <x v="169"/>
    <x v="0"/>
    <x v="2"/>
    <n v="4801.28"/>
    <n v="1.6821917808219178"/>
    <n v="20"/>
    <n v="7"/>
  </r>
  <r>
    <x v="324"/>
    <x v="65"/>
    <x v="0"/>
    <n v="4"/>
    <n v="1200.32"/>
    <x v="266"/>
    <x v="6"/>
    <x v="3"/>
    <n v="4801.28"/>
    <n v="1.2191780821917808"/>
    <n v="12"/>
    <n v="7"/>
  </r>
  <r>
    <x v="325"/>
    <x v="65"/>
    <x v="0"/>
    <n v="5"/>
    <n v="1500.4"/>
    <x v="267"/>
    <x v="5"/>
    <x v="1"/>
    <n v="7502"/>
    <n v="1.8821917808219177"/>
    <n v="15"/>
    <n v="7"/>
  </r>
  <r>
    <x v="326"/>
    <x v="66"/>
    <x v="0"/>
    <n v="1"/>
    <n v="300.08"/>
    <x v="268"/>
    <x v="0"/>
    <x v="4"/>
    <n v="300.08"/>
    <n v="2.0794520547945203"/>
    <n v="11"/>
    <n v="5"/>
  </r>
  <r>
    <x v="327"/>
    <x v="66"/>
    <x v="3"/>
    <n v="4"/>
    <n v="60.6"/>
    <x v="269"/>
    <x v="7"/>
    <x v="3"/>
    <n v="242.4"/>
    <n v="1.9205479452054794"/>
    <n v="10"/>
    <n v="5"/>
  </r>
  <r>
    <x v="328"/>
    <x v="66"/>
    <x v="2"/>
    <n v="5"/>
    <n v="26.15"/>
    <x v="270"/>
    <x v="9"/>
    <x v="2"/>
    <n v="130.75"/>
    <n v="1.4054794520547946"/>
    <n v="12"/>
    <n v="5"/>
  </r>
  <r>
    <x v="329"/>
    <x v="66"/>
    <x v="0"/>
    <n v="5"/>
    <n v="1500.4"/>
    <x v="271"/>
    <x v="6"/>
    <x v="1"/>
    <n v="7502"/>
    <n v="1.0383561643835617"/>
    <n v="9"/>
    <n v="5"/>
  </r>
  <r>
    <x v="330"/>
    <x v="66"/>
    <x v="0"/>
    <n v="5"/>
    <n v="1500.4"/>
    <x v="272"/>
    <x v="8"/>
    <x v="3"/>
    <n v="7502"/>
    <n v="0.9342465753424658"/>
    <n v="16"/>
    <n v="7"/>
  </r>
  <r>
    <x v="331"/>
    <x v="66"/>
    <x v="5"/>
    <n v="2"/>
    <n v="1200.3399999999999"/>
    <x v="3"/>
    <x v="1"/>
    <x v="3"/>
    <n v="2400.6799999999998"/>
    <n v="7.6712328767123292E-2"/>
    <n v="4"/>
    <n v="7"/>
  </r>
  <r>
    <x v="332"/>
    <x v="66"/>
    <x v="3"/>
    <n v="3"/>
    <n v="45.45"/>
    <x v="262"/>
    <x v="1"/>
    <x v="0"/>
    <n v="136.35000000000002"/>
    <n v="1.3123287671232877"/>
    <n v="16"/>
    <n v="7"/>
  </r>
  <r>
    <x v="333"/>
    <x v="66"/>
    <x v="1"/>
    <n v="5"/>
    <n v="203.3"/>
    <x v="273"/>
    <x v="0"/>
    <x v="0"/>
    <n v="1016.5"/>
    <n v="0.68219178082191778"/>
    <n v="9"/>
    <n v="7"/>
  </r>
  <r>
    <x v="334"/>
    <x v="66"/>
    <x v="7"/>
    <n v="1"/>
    <n v="11.73"/>
    <x v="274"/>
    <x v="1"/>
    <x v="1"/>
    <n v="11.73"/>
    <n v="1.7671232876712328"/>
    <n v="20"/>
    <n v="7"/>
  </r>
  <r>
    <x v="335"/>
    <x v="67"/>
    <x v="5"/>
    <n v="5"/>
    <n v="3000.85"/>
    <x v="275"/>
    <x v="0"/>
    <x v="0"/>
    <n v="15004.25"/>
    <n v="1.8849315068493151"/>
    <n v="18"/>
    <n v="5"/>
  </r>
  <r>
    <x v="336"/>
    <x v="67"/>
    <x v="1"/>
    <n v="2"/>
    <n v="81.319999999999993"/>
    <x v="276"/>
    <x v="4"/>
    <x v="0"/>
    <n v="162.63999999999999"/>
    <n v="1.2273972602739727"/>
    <n v="9"/>
    <n v="5"/>
  </r>
  <r>
    <x v="337"/>
    <x v="67"/>
    <x v="2"/>
    <n v="1"/>
    <n v="5.23"/>
    <x v="233"/>
    <x v="0"/>
    <x v="0"/>
    <n v="5.23"/>
    <n v="1.810958904109589"/>
    <n v="44"/>
    <n v="5"/>
  </r>
  <r>
    <x v="338"/>
    <x v="67"/>
    <x v="1"/>
    <n v="1"/>
    <n v="40.659999999999997"/>
    <x v="18"/>
    <x v="6"/>
    <x v="4"/>
    <n v="40.659999999999997"/>
    <n v="0.51232876712328768"/>
    <n v="14"/>
    <n v="7"/>
  </r>
  <r>
    <x v="339"/>
    <x v="67"/>
    <x v="4"/>
    <n v="5"/>
    <n v="5250"/>
    <x v="277"/>
    <x v="5"/>
    <x v="4"/>
    <n v="26250"/>
    <n v="1.7589041095890412"/>
    <n v="8"/>
    <n v="7"/>
  </r>
  <r>
    <x v="340"/>
    <x v="68"/>
    <x v="2"/>
    <n v="3"/>
    <n v="15.69"/>
    <x v="278"/>
    <x v="5"/>
    <x v="1"/>
    <n v="47.07"/>
    <n v="1.9753424657534246"/>
    <n v="28"/>
    <n v="5"/>
  </r>
  <r>
    <x v="341"/>
    <x v="68"/>
    <x v="2"/>
    <n v="3"/>
    <n v="15.69"/>
    <x v="279"/>
    <x v="0"/>
    <x v="4"/>
    <n v="47.07"/>
    <n v="0.14794520547945206"/>
    <n v="13"/>
    <n v="5"/>
  </r>
  <r>
    <x v="342"/>
    <x v="68"/>
    <x v="1"/>
    <n v="2"/>
    <n v="81.319999999999993"/>
    <x v="280"/>
    <x v="3"/>
    <x v="3"/>
    <n v="162.63999999999999"/>
    <n v="1.1260273972602739"/>
    <n v="13"/>
    <n v="7"/>
  </r>
  <r>
    <x v="343"/>
    <x v="68"/>
    <x v="5"/>
    <n v="4"/>
    <n v="2400.6799999999998"/>
    <x v="281"/>
    <x v="1"/>
    <x v="3"/>
    <n v="9602.7199999999993"/>
    <n v="1.3589041095890411"/>
    <n v="16"/>
    <n v="7"/>
  </r>
  <r>
    <x v="344"/>
    <x v="68"/>
    <x v="1"/>
    <n v="5"/>
    <n v="203.3"/>
    <x v="282"/>
    <x v="6"/>
    <x v="3"/>
    <n v="1016.5"/>
    <n v="1.9013698630136986"/>
    <n v="27"/>
    <n v="7"/>
  </r>
  <r>
    <x v="345"/>
    <x v="68"/>
    <x v="0"/>
    <n v="3"/>
    <n v="900.24"/>
    <x v="217"/>
    <x v="6"/>
    <x v="3"/>
    <n v="2700.7200000000003"/>
    <n v="1.2301369863013698"/>
    <n v="11"/>
    <n v="7"/>
  </r>
  <r>
    <x v="346"/>
    <x v="68"/>
    <x v="0"/>
    <n v="5"/>
    <n v="1500.4"/>
    <x v="283"/>
    <x v="6"/>
    <x v="0"/>
    <n v="7502"/>
    <n v="0.80547945205479454"/>
    <n v="19"/>
    <n v="7"/>
  </r>
  <r>
    <x v="347"/>
    <x v="68"/>
    <x v="1"/>
    <n v="2"/>
    <n v="81.319999999999993"/>
    <x v="284"/>
    <x v="6"/>
    <x v="4"/>
    <n v="162.63999999999999"/>
    <n v="1.3780821917808219"/>
    <n v="15"/>
    <n v="10"/>
  </r>
  <r>
    <x v="348"/>
    <x v="69"/>
    <x v="5"/>
    <n v="2"/>
    <n v="1200.3399999999999"/>
    <x v="285"/>
    <x v="8"/>
    <x v="1"/>
    <n v="2400.6799999999998"/>
    <n v="1.4"/>
    <n v="11"/>
    <n v="5"/>
  </r>
  <r>
    <x v="349"/>
    <x v="69"/>
    <x v="2"/>
    <n v="5"/>
    <n v="26.15"/>
    <x v="286"/>
    <x v="4"/>
    <x v="2"/>
    <n v="130.75"/>
    <n v="1.9205479452054794"/>
    <n v="19"/>
    <n v="5"/>
  </r>
  <r>
    <x v="350"/>
    <x v="69"/>
    <x v="1"/>
    <n v="3"/>
    <n v="121.98"/>
    <x v="287"/>
    <x v="8"/>
    <x v="0"/>
    <n v="365.94"/>
    <n v="1.726027397260274"/>
    <n v="27"/>
    <n v="7"/>
  </r>
  <r>
    <x v="351"/>
    <x v="69"/>
    <x v="2"/>
    <n v="2"/>
    <n v="10.46"/>
    <x v="288"/>
    <x v="1"/>
    <x v="3"/>
    <n v="20.92"/>
    <n v="1.893150684931507"/>
    <n v="9"/>
    <n v="7"/>
  </r>
  <r>
    <x v="352"/>
    <x v="69"/>
    <x v="6"/>
    <n v="3"/>
    <n v="107.52"/>
    <x v="289"/>
    <x v="1"/>
    <x v="4"/>
    <n v="322.56"/>
    <n v="2.0383561643835617"/>
    <n v="24"/>
    <n v="7"/>
  </r>
  <r>
    <x v="353"/>
    <x v="70"/>
    <x v="5"/>
    <n v="3"/>
    <n v="1800.51"/>
    <x v="290"/>
    <x v="0"/>
    <x v="2"/>
    <n v="5401.53"/>
    <n v="2.1150684931506851"/>
    <n v="25"/>
    <n v="5"/>
  </r>
  <r>
    <x v="354"/>
    <x v="70"/>
    <x v="0"/>
    <n v="5"/>
    <n v="1500.4"/>
    <x v="291"/>
    <x v="2"/>
    <x v="3"/>
    <n v="7502"/>
    <n v="1.2136986301369863"/>
    <n v="16"/>
    <n v="5"/>
  </r>
  <r>
    <x v="355"/>
    <x v="71"/>
    <x v="1"/>
    <n v="1"/>
    <n v="40.659999999999997"/>
    <x v="292"/>
    <x v="0"/>
    <x v="4"/>
    <n v="40.659999999999997"/>
    <n v="1.473972602739726"/>
    <n v="13"/>
    <n v="5"/>
  </r>
  <r>
    <x v="356"/>
    <x v="71"/>
    <x v="6"/>
    <n v="2"/>
    <n v="71.680000000000007"/>
    <x v="293"/>
    <x v="1"/>
    <x v="2"/>
    <n v="143.36000000000001"/>
    <n v="1.3315068493150686"/>
    <n v="11"/>
    <n v="5"/>
  </r>
  <r>
    <x v="357"/>
    <x v="71"/>
    <x v="4"/>
    <n v="5"/>
    <n v="5250"/>
    <x v="294"/>
    <x v="6"/>
    <x v="2"/>
    <n v="26250"/>
    <n v="1.4054794520547946"/>
    <n v="22"/>
    <n v="5"/>
  </r>
  <r>
    <x v="358"/>
    <x v="71"/>
    <x v="1"/>
    <n v="3"/>
    <n v="121.98"/>
    <x v="295"/>
    <x v="9"/>
    <x v="3"/>
    <n v="365.94"/>
    <n v="1.6794520547945206"/>
    <n v="8"/>
    <n v="5"/>
  </r>
  <r>
    <x v="359"/>
    <x v="71"/>
    <x v="7"/>
    <n v="5"/>
    <n v="58.65"/>
    <x v="296"/>
    <x v="1"/>
    <x v="0"/>
    <n v="293.25"/>
    <n v="1.1506849315068493"/>
    <n v="14"/>
    <n v="5"/>
  </r>
  <r>
    <x v="360"/>
    <x v="71"/>
    <x v="6"/>
    <n v="5"/>
    <n v="179.2"/>
    <x v="59"/>
    <x v="1"/>
    <x v="3"/>
    <n v="896"/>
    <n v="1.5808219178082192"/>
    <n v="21"/>
    <n v="7"/>
  </r>
  <r>
    <x v="361"/>
    <x v="71"/>
    <x v="1"/>
    <n v="2"/>
    <n v="81.319999999999993"/>
    <x v="297"/>
    <x v="6"/>
    <x v="2"/>
    <n v="162.63999999999999"/>
    <n v="1.6273972602739726"/>
    <n v="28"/>
    <n v="7"/>
  </r>
  <r>
    <x v="362"/>
    <x v="72"/>
    <x v="3"/>
    <n v="1"/>
    <n v="15.15"/>
    <x v="298"/>
    <x v="0"/>
    <x v="1"/>
    <n v="15.15"/>
    <n v="1.6027397260273972"/>
    <n v="17"/>
    <n v="5"/>
  </r>
  <r>
    <x v="363"/>
    <x v="72"/>
    <x v="5"/>
    <n v="3"/>
    <n v="1800.51"/>
    <x v="294"/>
    <x v="6"/>
    <x v="3"/>
    <n v="5401.53"/>
    <n v="1.167123287671233"/>
    <n v="20"/>
    <n v="5"/>
  </r>
  <r>
    <x v="364"/>
    <x v="72"/>
    <x v="0"/>
    <n v="5"/>
    <n v="1500.4"/>
    <x v="49"/>
    <x v="6"/>
    <x v="1"/>
    <n v="7502"/>
    <n v="1.9315068493150684"/>
    <n v="24"/>
    <n v="7"/>
  </r>
  <r>
    <x v="365"/>
    <x v="72"/>
    <x v="0"/>
    <n v="4"/>
    <n v="1200.32"/>
    <x v="130"/>
    <x v="9"/>
    <x v="1"/>
    <n v="4801.28"/>
    <n v="1.9917808219178081"/>
    <n v="25"/>
    <n v="7"/>
  </r>
  <r>
    <x v="366"/>
    <x v="72"/>
    <x v="5"/>
    <n v="3"/>
    <n v="1800.51"/>
    <x v="299"/>
    <x v="1"/>
    <x v="1"/>
    <n v="5401.53"/>
    <n v="1.6958904109589041"/>
    <n v="13"/>
    <n v="10"/>
  </r>
  <r>
    <x v="367"/>
    <x v="73"/>
    <x v="0"/>
    <n v="1"/>
    <n v="300.08"/>
    <x v="300"/>
    <x v="6"/>
    <x v="2"/>
    <n v="300.08"/>
    <n v="1.9287671232876713"/>
    <n v="9"/>
    <n v="5"/>
  </r>
  <r>
    <x v="368"/>
    <x v="73"/>
    <x v="0"/>
    <n v="4"/>
    <n v="1200.32"/>
    <x v="196"/>
    <x v="4"/>
    <x v="0"/>
    <n v="4801.28"/>
    <n v="1.284931506849315"/>
    <n v="14"/>
    <n v="10"/>
  </r>
  <r>
    <x v="369"/>
    <x v="74"/>
    <x v="0"/>
    <n v="3"/>
    <n v="900.24"/>
    <x v="301"/>
    <x v="1"/>
    <x v="2"/>
    <n v="2700.7200000000003"/>
    <n v="1.6575342465753424"/>
    <n v="17"/>
    <n v="5"/>
  </r>
  <r>
    <x v="370"/>
    <x v="74"/>
    <x v="5"/>
    <n v="3"/>
    <n v="1800.51"/>
    <x v="233"/>
    <x v="7"/>
    <x v="0"/>
    <n v="5401.53"/>
    <n v="1.4328767123287671"/>
    <n v="23"/>
    <n v="5"/>
  </r>
  <r>
    <x v="371"/>
    <x v="74"/>
    <x v="5"/>
    <n v="5"/>
    <n v="3000.85"/>
    <x v="302"/>
    <x v="6"/>
    <x v="2"/>
    <n v="15004.25"/>
    <n v="0.43835616438356162"/>
    <n v="16"/>
    <n v="5"/>
  </r>
  <r>
    <x v="372"/>
    <x v="74"/>
    <x v="5"/>
    <n v="2"/>
    <n v="1200.3399999999999"/>
    <x v="303"/>
    <x v="1"/>
    <x v="1"/>
    <n v="2400.6799999999998"/>
    <n v="1.4356164383561645"/>
    <n v="15"/>
    <n v="7"/>
  </r>
  <r>
    <x v="373"/>
    <x v="75"/>
    <x v="6"/>
    <n v="1"/>
    <n v="35.840000000000003"/>
    <x v="304"/>
    <x v="6"/>
    <x v="1"/>
    <n v="35.840000000000003"/>
    <n v="1.8301369863013699"/>
    <n v="11"/>
    <n v="5"/>
  </r>
  <r>
    <x v="374"/>
    <x v="75"/>
    <x v="7"/>
    <n v="2"/>
    <n v="23.46"/>
    <x v="97"/>
    <x v="3"/>
    <x v="1"/>
    <n v="46.92"/>
    <n v="1.2794520547945205"/>
    <n v="19"/>
    <n v="5"/>
  </r>
  <r>
    <x v="375"/>
    <x v="75"/>
    <x v="4"/>
    <n v="1"/>
    <n v="1050"/>
    <x v="305"/>
    <x v="6"/>
    <x v="4"/>
    <n v="1050"/>
    <n v="1.8849315068493151"/>
    <n v="24"/>
    <n v="5"/>
  </r>
  <r>
    <x v="376"/>
    <x v="75"/>
    <x v="7"/>
    <n v="3"/>
    <n v="35.19"/>
    <x v="306"/>
    <x v="6"/>
    <x v="4"/>
    <n v="105.57"/>
    <n v="1.4904109589041097"/>
    <n v="19"/>
    <n v="5"/>
  </r>
  <r>
    <x v="377"/>
    <x v="75"/>
    <x v="2"/>
    <n v="4"/>
    <n v="20.92"/>
    <x v="307"/>
    <x v="9"/>
    <x v="3"/>
    <n v="83.68"/>
    <n v="1.4109589041095891"/>
    <n v="15"/>
    <n v="5"/>
  </r>
  <r>
    <x v="378"/>
    <x v="75"/>
    <x v="0"/>
    <n v="1"/>
    <n v="300.08"/>
    <x v="308"/>
    <x v="0"/>
    <x v="4"/>
    <n v="300.08"/>
    <n v="1.0767123287671232"/>
    <n v="11"/>
    <n v="5"/>
  </r>
  <r>
    <x v="379"/>
    <x v="75"/>
    <x v="5"/>
    <n v="1"/>
    <n v="600.16999999999996"/>
    <x v="309"/>
    <x v="0"/>
    <x v="1"/>
    <n v="600.16999999999996"/>
    <n v="1.1150684931506849"/>
    <n v="15"/>
    <n v="7"/>
  </r>
  <r>
    <x v="380"/>
    <x v="75"/>
    <x v="2"/>
    <n v="2"/>
    <n v="10.46"/>
    <x v="310"/>
    <x v="5"/>
    <x v="1"/>
    <n v="20.92"/>
    <n v="0.8246575342465754"/>
    <n v="8"/>
    <n v="7"/>
  </r>
  <r>
    <x v="381"/>
    <x v="75"/>
    <x v="7"/>
    <n v="4"/>
    <n v="46.92"/>
    <x v="311"/>
    <x v="1"/>
    <x v="2"/>
    <n v="187.68"/>
    <n v="0.13424657534246576"/>
    <n v="7"/>
    <n v="10"/>
  </r>
  <r>
    <x v="382"/>
    <x v="76"/>
    <x v="1"/>
    <n v="4"/>
    <n v="162.63999999999999"/>
    <x v="312"/>
    <x v="4"/>
    <x v="3"/>
    <n v="650.55999999999995"/>
    <n v="1.5753424657534247"/>
    <n v="11"/>
    <n v="5"/>
  </r>
  <r>
    <x v="383"/>
    <x v="76"/>
    <x v="0"/>
    <n v="4"/>
    <n v="1200.32"/>
    <x v="313"/>
    <x v="7"/>
    <x v="4"/>
    <n v="4801.28"/>
    <n v="1.6273972602739726"/>
    <n v="8"/>
    <n v="5"/>
  </r>
  <r>
    <x v="384"/>
    <x v="76"/>
    <x v="0"/>
    <n v="1"/>
    <n v="300.08"/>
    <x v="314"/>
    <x v="6"/>
    <x v="3"/>
    <n v="300.08"/>
    <n v="1.8246575342465754"/>
    <n v="20"/>
    <n v="5"/>
  </r>
  <r>
    <x v="385"/>
    <x v="76"/>
    <x v="6"/>
    <n v="5"/>
    <n v="179.2"/>
    <x v="315"/>
    <x v="1"/>
    <x v="2"/>
    <n v="896"/>
    <n v="1.4438356164383561"/>
    <n v="16"/>
    <n v="5"/>
  </r>
  <r>
    <x v="386"/>
    <x v="76"/>
    <x v="0"/>
    <n v="1"/>
    <n v="300.08"/>
    <x v="181"/>
    <x v="6"/>
    <x v="0"/>
    <n v="300.08"/>
    <n v="1.8684931506849316"/>
    <n v="17"/>
    <n v="7"/>
  </r>
  <r>
    <x v="387"/>
    <x v="76"/>
    <x v="1"/>
    <n v="4"/>
    <n v="162.63999999999999"/>
    <x v="31"/>
    <x v="6"/>
    <x v="2"/>
    <n v="650.55999999999995"/>
    <n v="1.8547945205479452"/>
    <n v="32"/>
    <n v="7"/>
  </r>
  <r>
    <x v="388"/>
    <x v="76"/>
    <x v="4"/>
    <n v="3"/>
    <n v="3150"/>
    <x v="316"/>
    <x v="7"/>
    <x v="3"/>
    <n v="9450"/>
    <n v="1.7643835616438357"/>
    <n v="9"/>
    <n v="7"/>
  </r>
  <r>
    <x v="389"/>
    <x v="77"/>
    <x v="0"/>
    <n v="1"/>
    <n v="300.08"/>
    <x v="317"/>
    <x v="4"/>
    <x v="2"/>
    <n v="300.08"/>
    <n v="1.3917808219178083"/>
    <n v="20"/>
    <n v="5"/>
  </r>
  <r>
    <x v="390"/>
    <x v="77"/>
    <x v="6"/>
    <n v="3"/>
    <n v="107.52"/>
    <x v="318"/>
    <x v="6"/>
    <x v="2"/>
    <n v="322.56"/>
    <n v="1.3123287671232877"/>
    <n v="6"/>
    <n v="5"/>
  </r>
  <r>
    <x v="391"/>
    <x v="77"/>
    <x v="0"/>
    <n v="2"/>
    <n v="600.16"/>
    <x v="319"/>
    <x v="7"/>
    <x v="2"/>
    <n v="1200.32"/>
    <n v="1.0493150684931507"/>
    <n v="13"/>
    <n v="5"/>
  </r>
  <r>
    <x v="392"/>
    <x v="77"/>
    <x v="1"/>
    <n v="3"/>
    <n v="121.98"/>
    <x v="320"/>
    <x v="6"/>
    <x v="1"/>
    <n v="365.94"/>
    <n v="1.6547945205479453"/>
    <n v="15"/>
    <n v="5"/>
  </r>
  <r>
    <x v="393"/>
    <x v="77"/>
    <x v="2"/>
    <n v="4"/>
    <n v="20.92"/>
    <x v="108"/>
    <x v="7"/>
    <x v="1"/>
    <n v="83.68"/>
    <n v="1.2356164383561643"/>
    <n v="8"/>
    <n v="5"/>
  </r>
  <r>
    <x v="394"/>
    <x v="77"/>
    <x v="0"/>
    <n v="4"/>
    <n v="1200.32"/>
    <x v="47"/>
    <x v="0"/>
    <x v="0"/>
    <n v="4801.28"/>
    <n v="0"/>
    <n v="1"/>
    <n v="5"/>
  </r>
  <r>
    <x v="395"/>
    <x v="77"/>
    <x v="4"/>
    <n v="5"/>
    <n v="5250"/>
    <x v="321"/>
    <x v="3"/>
    <x v="2"/>
    <n v="26250"/>
    <n v="1.3397260273972602"/>
    <n v="15"/>
    <n v="7"/>
  </r>
  <r>
    <x v="396"/>
    <x v="77"/>
    <x v="2"/>
    <n v="4"/>
    <n v="20.92"/>
    <x v="322"/>
    <x v="9"/>
    <x v="2"/>
    <n v="83.68"/>
    <n v="1.7095890410958905"/>
    <n v="19"/>
    <n v="7"/>
  </r>
  <r>
    <x v="397"/>
    <x v="77"/>
    <x v="0"/>
    <n v="2"/>
    <n v="600.16"/>
    <x v="323"/>
    <x v="9"/>
    <x v="2"/>
    <n v="1200.32"/>
    <n v="0"/>
    <n v="2"/>
    <n v="7"/>
  </r>
  <r>
    <x v="398"/>
    <x v="78"/>
    <x v="0"/>
    <n v="1"/>
    <n v="300.08"/>
    <x v="65"/>
    <x v="6"/>
    <x v="1"/>
    <n v="300.08"/>
    <n v="2.0383561643835617"/>
    <n v="19"/>
    <n v="5"/>
  </r>
  <r>
    <x v="399"/>
    <x v="78"/>
    <x v="0"/>
    <n v="2"/>
    <n v="600.16"/>
    <x v="81"/>
    <x v="6"/>
    <x v="0"/>
    <n v="1200.32"/>
    <n v="0.37808219178082192"/>
    <n v="4"/>
    <n v="5"/>
  </r>
  <r>
    <x v="400"/>
    <x v="78"/>
    <x v="0"/>
    <n v="1"/>
    <n v="300.08"/>
    <x v="324"/>
    <x v="2"/>
    <x v="1"/>
    <n v="300.08"/>
    <n v="0.58356164383561648"/>
    <n v="20"/>
    <n v="5"/>
  </r>
  <r>
    <x v="401"/>
    <x v="78"/>
    <x v="6"/>
    <n v="4"/>
    <n v="143.36000000000001"/>
    <x v="325"/>
    <x v="0"/>
    <x v="4"/>
    <n v="573.44000000000005"/>
    <n v="0"/>
    <n v="3"/>
    <n v="7"/>
  </r>
  <r>
    <x v="402"/>
    <x v="78"/>
    <x v="0"/>
    <n v="2"/>
    <n v="600.16"/>
    <x v="2"/>
    <x v="9"/>
    <x v="4"/>
    <n v="1200.32"/>
    <n v="0"/>
    <n v="1"/>
    <n v="7"/>
  </r>
  <r>
    <x v="403"/>
    <x v="79"/>
    <x v="2"/>
    <n v="1"/>
    <n v="5.23"/>
    <x v="278"/>
    <x v="0"/>
    <x v="2"/>
    <n v="5.23"/>
    <n v="1.1945205479452055"/>
    <n v="12"/>
    <n v="5"/>
  </r>
  <r>
    <x v="404"/>
    <x v="79"/>
    <x v="4"/>
    <n v="5"/>
    <n v="5250"/>
    <x v="326"/>
    <x v="9"/>
    <x v="2"/>
    <n v="26250"/>
    <n v="2"/>
    <n v="15"/>
    <n v="5"/>
  </r>
  <r>
    <x v="405"/>
    <x v="79"/>
    <x v="0"/>
    <n v="4"/>
    <n v="1200.32"/>
    <x v="106"/>
    <x v="1"/>
    <x v="2"/>
    <n v="4801.28"/>
    <n v="0.31232876712328766"/>
    <n v="10"/>
    <n v="5"/>
  </r>
  <r>
    <x v="406"/>
    <x v="79"/>
    <x v="4"/>
    <n v="1"/>
    <n v="1050"/>
    <x v="141"/>
    <x v="1"/>
    <x v="2"/>
    <n v="1050"/>
    <n v="0.51232876712328768"/>
    <n v="7"/>
    <n v="5"/>
  </r>
  <r>
    <x v="407"/>
    <x v="79"/>
    <x v="2"/>
    <n v="3"/>
    <n v="15.69"/>
    <x v="327"/>
    <x v="0"/>
    <x v="1"/>
    <n v="47.07"/>
    <n v="0.66575342465753429"/>
    <n v="15"/>
    <n v="5"/>
  </r>
  <r>
    <x v="408"/>
    <x v="79"/>
    <x v="4"/>
    <n v="4"/>
    <n v="4200"/>
    <x v="328"/>
    <x v="9"/>
    <x v="1"/>
    <n v="16800"/>
    <n v="0.58356164383561648"/>
    <n v="15"/>
    <n v="5"/>
  </r>
  <r>
    <x v="409"/>
    <x v="79"/>
    <x v="7"/>
    <n v="4"/>
    <n v="46.92"/>
    <x v="286"/>
    <x v="4"/>
    <x v="2"/>
    <n v="187.68"/>
    <n v="1.4301369863013698"/>
    <n v="18"/>
    <n v="5"/>
  </r>
  <r>
    <x v="410"/>
    <x v="79"/>
    <x v="2"/>
    <n v="3"/>
    <n v="15.69"/>
    <x v="58"/>
    <x v="7"/>
    <x v="4"/>
    <n v="47.07"/>
    <n v="1.3178082191780822"/>
    <n v="18"/>
    <n v="5"/>
  </r>
  <r>
    <x v="411"/>
    <x v="79"/>
    <x v="6"/>
    <n v="4"/>
    <n v="143.36000000000001"/>
    <x v="329"/>
    <x v="7"/>
    <x v="4"/>
    <n v="573.44000000000005"/>
    <n v="1.5643835616438355"/>
    <n v="23"/>
    <n v="7"/>
  </r>
  <r>
    <x v="412"/>
    <x v="79"/>
    <x v="0"/>
    <n v="3"/>
    <n v="900.24"/>
    <x v="297"/>
    <x v="6"/>
    <x v="1"/>
    <n v="2700.7200000000003"/>
    <n v="1.6602739726027398"/>
    <n v="28"/>
    <n v="7"/>
  </r>
  <r>
    <x v="413"/>
    <x v="79"/>
    <x v="0"/>
    <n v="2"/>
    <n v="600.16"/>
    <x v="330"/>
    <x v="4"/>
    <x v="4"/>
    <n v="1200.32"/>
    <n v="0.76438356164383559"/>
    <n v="3"/>
    <n v="7"/>
  </r>
  <r>
    <x v="414"/>
    <x v="79"/>
    <x v="0"/>
    <n v="3"/>
    <n v="900.24"/>
    <x v="331"/>
    <x v="0"/>
    <x v="1"/>
    <n v="2700.7200000000003"/>
    <n v="1.3479452054794521"/>
    <n v="2"/>
    <n v="7"/>
  </r>
  <r>
    <x v="415"/>
    <x v="80"/>
    <x v="2"/>
    <n v="5"/>
    <n v="26.15"/>
    <x v="332"/>
    <x v="2"/>
    <x v="2"/>
    <n v="130.75"/>
    <n v="1.1753424657534246"/>
    <n v="9"/>
    <n v="5"/>
  </r>
  <r>
    <x v="416"/>
    <x v="80"/>
    <x v="2"/>
    <n v="5"/>
    <n v="26.15"/>
    <x v="333"/>
    <x v="1"/>
    <x v="3"/>
    <n v="130.75"/>
    <n v="1.2547945205479452"/>
    <n v="9"/>
    <n v="7"/>
  </r>
  <r>
    <x v="417"/>
    <x v="81"/>
    <x v="0"/>
    <n v="2"/>
    <n v="600.16"/>
    <x v="334"/>
    <x v="3"/>
    <x v="2"/>
    <n v="1200.32"/>
    <n v="1.5068493150684932"/>
    <n v="9"/>
    <n v="5"/>
  </r>
  <r>
    <x v="418"/>
    <x v="81"/>
    <x v="1"/>
    <n v="5"/>
    <n v="203.3"/>
    <x v="163"/>
    <x v="1"/>
    <x v="1"/>
    <n v="1016.5"/>
    <n v="1.5424657534246575"/>
    <n v="13"/>
    <n v="5"/>
  </r>
  <r>
    <x v="419"/>
    <x v="81"/>
    <x v="2"/>
    <n v="4"/>
    <n v="20.92"/>
    <x v="335"/>
    <x v="6"/>
    <x v="4"/>
    <n v="83.68"/>
    <n v="0"/>
    <n v="3"/>
    <n v="5"/>
  </r>
  <r>
    <x v="420"/>
    <x v="81"/>
    <x v="0"/>
    <n v="4"/>
    <n v="1200.32"/>
    <x v="336"/>
    <x v="6"/>
    <x v="0"/>
    <n v="4801.28"/>
    <n v="1.5123287671232877"/>
    <n v="11"/>
    <n v="7"/>
  </r>
  <r>
    <x v="421"/>
    <x v="81"/>
    <x v="6"/>
    <n v="5"/>
    <n v="179.2"/>
    <x v="337"/>
    <x v="6"/>
    <x v="4"/>
    <n v="896"/>
    <n v="1.6904109589041096"/>
    <n v="17"/>
    <n v="7"/>
  </r>
  <r>
    <x v="422"/>
    <x v="82"/>
    <x v="5"/>
    <n v="4"/>
    <n v="2400.6799999999998"/>
    <x v="301"/>
    <x v="0"/>
    <x v="1"/>
    <n v="9602.7199999999993"/>
    <n v="1.5205479452054795"/>
    <n v="7"/>
    <n v="5"/>
  </r>
  <r>
    <x v="423"/>
    <x v="82"/>
    <x v="0"/>
    <n v="2"/>
    <n v="600.16"/>
    <x v="338"/>
    <x v="6"/>
    <x v="0"/>
    <n v="1200.32"/>
    <n v="1.5726027397260274"/>
    <n v="12"/>
    <n v="5"/>
  </r>
  <r>
    <x v="424"/>
    <x v="82"/>
    <x v="2"/>
    <n v="3"/>
    <n v="15.69"/>
    <x v="313"/>
    <x v="0"/>
    <x v="4"/>
    <n v="47.07"/>
    <n v="1.6438356164383561"/>
    <n v="18"/>
    <n v="5"/>
  </r>
  <r>
    <x v="425"/>
    <x v="82"/>
    <x v="2"/>
    <n v="1"/>
    <n v="5.23"/>
    <x v="339"/>
    <x v="5"/>
    <x v="4"/>
    <n v="5.23"/>
    <n v="1.4082191780821918"/>
    <n v="4"/>
    <n v="5"/>
  </r>
  <r>
    <x v="426"/>
    <x v="82"/>
    <x v="0"/>
    <n v="4"/>
    <n v="1200.32"/>
    <x v="88"/>
    <x v="1"/>
    <x v="2"/>
    <n v="4801.28"/>
    <n v="0.58630136986301373"/>
    <n v="16"/>
    <n v="7"/>
  </r>
  <r>
    <x v="427"/>
    <x v="82"/>
    <x v="5"/>
    <n v="2"/>
    <n v="1200.3399999999999"/>
    <x v="340"/>
    <x v="8"/>
    <x v="4"/>
    <n v="2400.6799999999998"/>
    <n v="1.3205479452054794"/>
    <n v="11"/>
    <n v="7"/>
  </r>
  <r>
    <x v="428"/>
    <x v="83"/>
    <x v="0"/>
    <n v="2"/>
    <n v="600.16"/>
    <x v="341"/>
    <x v="6"/>
    <x v="1"/>
    <n v="1200.32"/>
    <n v="1.3287671232876712"/>
    <n v="19"/>
    <n v="5"/>
  </r>
  <r>
    <x v="429"/>
    <x v="83"/>
    <x v="7"/>
    <n v="4"/>
    <n v="46.92"/>
    <x v="180"/>
    <x v="0"/>
    <x v="4"/>
    <n v="187.68"/>
    <n v="1.252054794520548"/>
    <n v="11"/>
    <n v="5"/>
  </r>
  <r>
    <x v="430"/>
    <x v="83"/>
    <x v="3"/>
    <n v="3"/>
    <n v="45.45"/>
    <x v="342"/>
    <x v="3"/>
    <x v="4"/>
    <n v="136.35000000000002"/>
    <n v="0.26027397260273971"/>
    <n v="16"/>
    <n v="7"/>
  </r>
  <r>
    <x v="431"/>
    <x v="83"/>
    <x v="1"/>
    <n v="5"/>
    <n v="203.3"/>
    <x v="343"/>
    <x v="7"/>
    <x v="0"/>
    <n v="1016.5"/>
    <n v="1.2712328767123289"/>
    <n v="16"/>
    <n v="7"/>
  </r>
  <r>
    <x v="432"/>
    <x v="83"/>
    <x v="5"/>
    <n v="3"/>
    <n v="1800.51"/>
    <x v="344"/>
    <x v="4"/>
    <x v="2"/>
    <n v="5401.53"/>
    <n v="1.2273972602739727"/>
    <n v="16"/>
    <n v="7"/>
  </r>
  <r>
    <x v="433"/>
    <x v="84"/>
    <x v="1"/>
    <n v="1"/>
    <n v="40.659999999999997"/>
    <x v="134"/>
    <x v="0"/>
    <x v="0"/>
    <n v="40.659999999999997"/>
    <n v="1.6575342465753424"/>
    <n v="12"/>
    <n v="5"/>
  </r>
  <r>
    <x v="434"/>
    <x v="84"/>
    <x v="3"/>
    <n v="2"/>
    <n v="30.3"/>
    <x v="92"/>
    <x v="2"/>
    <x v="3"/>
    <n v="60.6"/>
    <n v="1.8712328767123287"/>
    <n v="21"/>
    <n v="5"/>
  </r>
  <r>
    <x v="435"/>
    <x v="84"/>
    <x v="3"/>
    <n v="1"/>
    <n v="15.15"/>
    <x v="345"/>
    <x v="7"/>
    <x v="4"/>
    <n v="15.15"/>
    <n v="1.6547945205479453"/>
    <n v="14"/>
    <n v="7"/>
  </r>
  <r>
    <x v="436"/>
    <x v="84"/>
    <x v="0"/>
    <n v="4"/>
    <n v="1200.32"/>
    <x v="263"/>
    <x v="5"/>
    <x v="1"/>
    <n v="4801.28"/>
    <n v="0"/>
    <n v="2"/>
    <n v="7"/>
  </r>
  <r>
    <x v="437"/>
    <x v="85"/>
    <x v="6"/>
    <n v="1"/>
    <n v="35.840000000000003"/>
    <x v="15"/>
    <x v="7"/>
    <x v="1"/>
    <n v="35.840000000000003"/>
    <n v="1.6465753424657534"/>
    <n v="21"/>
    <n v="5"/>
  </r>
  <r>
    <x v="438"/>
    <x v="85"/>
    <x v="1"/>
    <n v="4"/>
    <n v="162.63999999999999"/>
    <x v="208"/>
    <x v="6"/>
    <x v="1"/>
    <n v="650.55999999999995"/>
    <n v="1.978082191780822"/>
    <n v="13"/>
    <n v="5"/>
  </r>
  <r>
    <x v="439"/>
    <x v="85"/>
    <x v="1"/>
    <n v="3"/>
    <n v="121.98"/>
    <x v="346"/>
    <x v="4"/>
    <x v="1"/>
    <n v="365.94"/>
    <n v="0.93698630136986305"/>
    <n v="5"/>
    <n v="7"/>
  </r>
  <r>
    <x v="440"/>
    <x v="86"/>
    <x v="1"/>
    <n v="3"/>
    <n v="121.98"/>
    <x v="293"/>
    <x v="0"/>
    <x v="1"/>
    <n v="365.94"/>
    <n v="1.2273972602739727"/>
    <n v="11"/>
    <n v="5"/>
  </r>
  <r>
    <x v="441"/>
    <x v="86"/>
    <x v="1"/>
    <n v="2"/>
    <n v="81.319999999999993"/>
    <x v="89"/>
    <x v="0"/>
    <x v="0"/>
    <n v="162.63999999999999"/>
    <n v="1.284931506849315"/>
    <n v="14"/>
    <n v="5"/>
  </r>
  <r>
    <x v="442"/>
    <x v="86"/>
    <x v="2"/>
    <n v="4"/>
    <n v="20.92"/>
    <x v="212"/>
    <x v="9"/>
    <x v="1"/>
    <n v="83.68"/>
    <n v="0.82739726027397265"/>
    <n v="14"/>
    <n v="5"/>
  </r>
  <r>
    <x v="443"/>
    <x v="86"/>
    <x v="2"/>
    <n v="1"/>
    <n v="5.23"/>
    <x v="347"/>
    <x v="6"/>
    <x v="3"/>
    <n v="5.23"/>
    <n v="1.1753424657534246"/>
    <n v="14"/>
    <n v="7"/>
  </r>
  <r>
    <x v="444"/>
    <x v="86"/>
    <x v="5"/>
    <n v="4"/>
    <n v="2400.6799999999998"/>
    <x v="348"/>
    <x v="9"/>
    <x v="2"/>
    <n v="9602.7199999999993"/>
    <n v="1.3123287671232877"/>
    <n v="10"/>
    <n v="7"/>
  </r>
  <r>
    <x v="445"/>
    <x v="86"/>
    <x v="4"/>
    <n v="5"/>
    <n v="5250"/>
    <x v="349"/>
    <x v="0"/>
    <x v="2"/>
    <n v="26250"/>
    <n v="1.0602739726027397"/>
    <n v="13"/>
    <n v="7"/>
  </r>
  <r>
    <x v="446"/>
    <x v="86"/>
    <x v="1"/>
    <n v="4"/>
    <n v="162.63999999999999"/>
    <x v="350"/>
    <x v="0"/>
    <x v="1"/>
    <n v="650.55999999999995"/>
    <n v="0.65753424657534243"/>
    <n v="11"/>
    <n v="7"/>
  </r>
  <r>
    <x v="447"/>
    <x v="86"/>
    <x v="0"/>
    <n v="1"/>
    <n v="300.08"/>
    <x v="165"/>
    <x v="7"/>
    <x v="2"/>
    <n v="300.08"/>
    <n v="0.852054794520548"/>
    <n v="7"/>
    <n v="10"/>
  </r>
  <r>
    <x v="448"/>
    <x v="87"/>
    <x v="4"/>
    <n v="1"/>
    <n v="1050"/>
    <x v="224"/>
    <x v="6"/>
    <x v="4"/>
    <n v="1050"/>
    <n v="1.3068493150684932"/>
    <n v="19"/>
    <n v="5"/>
  </r>
  <r>
    <x v="449"/>
    <x v="87"/>
    <x v="0"/>
    <n v="3"/>
    <n v="900.24"/>
    <x v="351"/>
    <x v="8"/>
    <x v="1"/>
    <n v="2700.7200000000003"/>
    <n v="1.9698630136986301"/>
    <n v="8"/>
    <n v="5"/>
  </r>
  <r>
    <x v="450"/>
    <x v="87"/>
    <x v="0"/>
    <n v="2"/>
    <n v="600.16"/>
    <x v="230"/>
    <x v="2"/>
    <x v="4"/>
    <n v="1200.32"/>
    <n v="1.6630136986301369"/>
    <n v="17"/>
    <n v="5"/>
  </r>
  <r>
    <x v="451"/>
    <x v="87"/>
    <x v="1"/>
    <n v="1"/>
    <n v="40.659999999999997"/>
    <x v="158"/>
    <x v="0"/>
    <x v="2"/>
    <n v="40.659999999999997"/>
    <n v="1.2493150684931507"/>
    <n v="20"/>
    <n v="5"/>
  </r>
  <r>
    <x v="452"/>
    <x v="87"/>
    <x v="0"/>
    <n v="1"/>
    <n v="300.08"/>
    <x v="352"/>
    <x v="4"/>
    <x v="0"/>
    <n v="300.08"/>
    <n v="1.4246575342465753"/>
    <n v="24"/>
    <n v="5"/>
  </r>
  <r>
    <x v="453"/>
    <x v="87"/>
    <x v="1"/>
    <n v="1"/>
    <n v="40.659999999999997"/>
    <x v="353"/>
    <x v="7"/>
    <x v="2"/>
    <n v="40.659999999999997"/>
    <n v="0.22739726027397261"/>
    <n v="7"/>
    <n v="7"/>
  </r>
  <r>
    <x v="454"/>
    <x v="88"/>
    <x v="2"/>
    <n v="1"/>
    <n v="5.23"/>
    <x v="230"/>
    <x v="6"/>
    <x v="4"/>
    <n v="5.23"/>
    <n v="2.1232876712328768"/>
    <n v="16"/>
    <n v="5"/>
  </r>
  <r>
    <x v="455"/>
    <x v="88"/>
    <x v="5"/>
    <n v="1"/>
    <n v="600.16999999999996"/>
    <x v="354"/>
    <x v="6"/>
    <x v="3"/>
    <n v="600.16999999999996"/>
    <n v="1.8273972602739725"/>
    <n v="20"/>
    <n v="5"/>
  </r>
  <r>
    <x v="456"/>
    <x v="88"/>
    <x v="0"/>
    <n v="4"/>
    <n v="1200.32"/>
    <x v="215"/>
    <x v="6"/>
    <x v="2"/>
    <n v="4801.28"/>
    <n v="1.3643835616438356"/>
    <n v="17"/>
    <n v="10"/>
  </r>
  <r>
    <x v="457"/>
    <x v="89"/>
    <x v="0"/>
    <n v="1"/>
    <n v="300.08"/>
    <x v="355"/>
    <x v="3"/>
    <x v="0"/>
    <n v="300.08"/>
    <n v="1.5534246575342465"/>
    <n v="26"/>
    <n v="5"/>
  </r>
  <r>
    <x v="458"/>
    <x v="89"/>
    <x v="4"/>
    <n v="5"/>
    <n v="5250"/>
    <x v="146"/>
    <x v="3"/>
    <x v="0"/>
    <n v="26250"/>
    <n v="0.64931506849315068"/>
    <n v="9"/>
    <n v="5"/>
  </r>
  <r>
    <x v="459"/>
    <x v="89"/>
    <x v="3"/>
    <n v="1"/>
    <n v="15.15"/>
    <x v="356"/>
    <x v="6"/>
    <x v="1"/>
    <n v="15.15"/>
    <n v="2.106849315068493"/>
    <n v="12"/>
    <n v="7"/>
  </r>
  <r>
    <x v="460"/>
    <x v="89"/>
    <x v="0"/>
    <n v="4"/>
    <n v="1200.32"/>
    <x v="42"/>
    <x v="9"/>
    <x v="0"/>
    <n v="4801.28"/>
    <n v="1.6493150684931508"/>
    <n v="29"/>
    <n v="10"/>
  </r>
  <r>
    <x v="461"/>
    <x v="90"/>
    <x v="6"/>
    <n v="2"/>
    <n v="71.680000000000007"/>
    <x v="332"/>
    <x v="8"/>
    <x v="0"/>
    <n v="143.36000000000001"/>
    <n v="1.6465753424657534"/>
    <n v="18"/>
    <n v="5"/>
  </r>
  <r>
    <x v="462"/>
    <x v="90"/>
    <x v="6"/>
    <n v="3"/>
    <n v="107.52"/>
    <x v="186"/>
    <x v="1"/>
    <x v="3"/>
    <n v="322.56"/>
    <n v="1.3753424657534246"/>
    <n v="11"/>
    <n v="5"/>
  </r>
  <r>
    <x v="463"/>
    <x v="90"/>
    <x v="6"/>
    <n v="4"/>
    <n v="143.36000000000001"/>
    <x v="31"/>
    <x v="3"/>
    <x v="4"/>
    <n v="573.44000000000005"/>
    <n v="1.6410958904109589"/>
    <n v="14"/>
    <n v="7"/>
  </r>
  <r>
    <x v="464"/>
    <x v="90"/>
    <x v="0"/>
    <n v="1"/>
    <n v="300.08"/>
    <x v="194"/>
    <x v="6"/>
    <x v="2"/>
    <n v="300.08"/>
    <n v="0.34794520547945207"/>
    <n v="13"/>
    <n v="7"/>
  </r>
  <r>
    <x v="465"/>
    <x v="91"/>
    <x v="0"/>
    <n v="4"/>
    <n v="1200.32"/>
    <x v="357"/>
    <x v="0"/>
    <x v="1"/>
    <n v="4801.28"/>
    <n v="1.5424657534246575"/>
    <n v="18"/>
    <n v="5"/>
  </r>
  <r>
    <x v="466"/>
    <x v="91"/>
    <x v="4"/>
    <n v="2"/>
    <n v="2100"/>
    <x v="358"/>
    <x v="6"/>
    <x v="2"/>
    <n v="4200"/>
    <n v="1.8273972602739725"/>
    <n v="17"/>
    <n v="5"/>
  </r>
  <r>
    <x v="467"/>
    <x v="91"/>
    <x v="2"/>
    <n v="4"/>
    <n v="20.92"/>
    <x v="107"/>
    <x v="7"/>
    <x v="3"/>
    <n v="83.68"/>
    <n v="1.8821917808219177"/>
    <n v="16"/>
    <n v="5"/>
  </r>
  <r>
    <x v="468"/>
    <x v="91"/>
    <x v="0"/>
    <n v="4"/>
    <n v="1200.32"/>
    <x v="359"/>
    <x v="7"/>
    <x v="3"/>
    <n v="4801.28"/>
    <n v="1.6739726027397259"/>
    <n v="22"/>
    <n v="5"/>
  </r>
  <r>
    <x v="469"/>
    <x v="91"/>
    <x v="3"/>
    <n v="4"/>
    <n v="60.6"/>
    <x v="360"/>
    <x v="0"/>
    <x v="4"/>
    <n v="242.4"/>
    <n v="1.8630136986301369"/>
    <n v="11"/>
    <n v="7"/>
  </r>
  <r>
    <x v="470"/>
    <x v="91"/>
    <x v="0"/>
    <n v="2"/>
    <n v="600.16"/>
    <x v="361"/>
    <x v="4"/>
    <x v="4"/>
    <n v="1200.32"/>
    <n v="1.7780821917808218"/>
    <n v="25"/>
    <n v="7"/>
  </r>
  <r>
    <x v="471"/>
    <x v="91"/>
    <x v="7"/>
    <n v="5"/>
    <n v="58.65"/>
    <x v="299"/>
    <x v="1"/>
    <x v="1"/>
    <n v="293.25"/>
    <n v="0.9780821917808219"/>
    <n v="15"/>
    <n v="10"/>
  </r>
  <r>
    <x v="472"/>
    <x v="92"/>
    <x v="0"/>
    <n v="2"/>
    <n v="600.16"/>
    <x v="358"/>
    <x v="1"/>
    <x v="1"/>
    <n v="1200.32"/>
    <n v="1.0575342465753426"/>
    <n v="3"/>
    <n v="5"/>
  </r>
  <r>
    <x v="473"/>
    <x v="92"/>
    <x v="4"/>
    <n v="4"/>
    <n v="4200"/>
    <x v="362"/>
    <x v="6"/>
    <x v="4"/>
    <n v="16800"/>
    <n v="1.2547945205479452"/>
    <n v="14"/>
    <n v="7"/>
  </r>
  <r>
    <x v="474"/>
    <x v="92"/>
    <x v="0"/>
    <n v="5"/>
    <n v="1500.4"/>
    <x v="153"/>
    <x v="9"/>
    <x v="3"/>
    <n v="7502"/>
    <n v="1.4547945205479451"/>
    <n v="13"/>
    <n v="7"/>
  </r>
  <r>
    <x v="475"/>
    <x v="92"/>
    <x v="0"/>
    <n v="2"/>
    <n v="600.16"/>
    <x v="363"/>
    <x v="2"/>
    <x v="4"/>
    <n v="1200.32"/>
    <n v="1.2246575342465753"/>
    <n v="19"/>
    <n v="7"/>
  </r>
  <r>
    <x v="476"/>
    <x v="92"/>
    <x v="5"/>
    <n v="1"/>
    <n v="600.16999999999996"/>
    <x v="155"/>
    <x v="4"/>
    <x v="0"/>
    <n v="600.16999999999996"/>
    <n v="1.6493150684931508"/>
    <n v="9"/>
    <n v="10"/>
  </r>
  <r>
    <x v="477"/>
    <x v="93"/>
    <x v="2"/>
    <n v="2"/>
    <n v="10.46"/>
    <x v="364"/>
    <x v="7"/>
    <x v="4"/>
    <n v="20.92"/>
    <n v="1.6794520547945206"/>
    <n v="19"/>
    <n v="5"/>
  </r>
  <r>
    <x v="478"/>
    <x v="93"/>
    <x v="2"/>
    <n v="4"/>
    <n v="20.92"/>
    <x v="365"/>
    <x v="3"/>
    <x v="1"/>
    <n v="83.68"/>
    <n v="1.7534246575342465"/>
    <n v="22"/>
    <n v="7"/>
  </r>
  <r>
    <x v="479"/>
    <x v="93"/>
    <x v="3"/>
    <n v="1"/>
    <n v="15.15"/>
    <x v="42"/>
    <x v="3"/>
    <x v="4"/>
    <n v="15.15"/>
    <n v="1.4219178082191781"/>
    <n v="13"/>
    <n v="10"/>
  </r>
  <r>
    <x v="480"/>
    <x v="94"/>
    <x v="2"/>
    <n v="1"/>
    <n v="5.23"/>
    <x v="366"/>
    <x v="6"/>
    <x v="4"/>
    <n v="5.23"/>
    <n v="1.4794520547945205"/>
    <n v="22"/>
    <n v="5"/>
  </r>
  <r>
    <x v="481"/>
    <x v="94"/>
    <x v="0"/>
    <n v="1"/>
    <n v="300.08"/>
    <x v="2"/>
    <x v="1"/>
    <x v="0"/>
    <n v="300.08"/>
    <n v="1.8986301369863015"/>
    <n v="12"/>
    <n v="7"/>
  </r>
  <r>
    <x v="482"/>
    <x v="94"/>
    <x v="3"/>
    <n v="2"/>
    <n v="30.3"/>
    <x v="367"/>
    <x v="0"/>
    <x v="0"/>
    <n v="60.6"/>
    <n v="1.1917808219178083"/>
    <n v="29"/>
    <n v="7"/>
  </r>
  <r>
    <x v="483"/>
    <x v="94"/>
    <x v="0"/>
    <n v="3"/>
    <n v="900.24"/>
    <x v="154"/>
    <x v="6"/>
    <x v="4"/>
    <n v="2700.7200000000003"/>
    <n v="1.8767123287671232"/>
    <n v="20"/>
    <n v="7"/>
  </r>
  <r>
    <x v="484"/>
    <x v="94"/>
    <x v="7"/>
    <n v="4"/>
    <n v="46.92"/>
    <x v="368"/>
    <x v="1"/>
    <x v="4"/>
    <n v="187.68"/>
    <n v="1.6739726027397259"/>
    <n v="13"/>
    <n v="7"/>
  </r>
  <r>
    <x v="485"/>
    <x v="95"/>
    <x v="6"/>
    <n v="4"/>
    <n v="143.36000000000001"/>
    <x v="369"/>
    <x v="4"/>
    <x v="4"/>
    <n v="573.44000000000005"/>
    <n v="1.7917808219178082"/>
    <n v="33"/>
    <n v="5"/>
  </r>
  <r>
    <x v="486"/>
    <x v="95"/>
    <x v="0"/>
    <n v="1"/>
    <n v="300.08"/>
    <x v="82"/>
    <x v="1"/>
    <x v="3"/>
    <n v="300.08"/>
    <n v="1.6328767123287671"/>
    <n v="12"/>
    <n v="5"/>
  </r>
  <r>
    <x v="487"/>
    <x v="95"/>
    <x v="7"/>
    <n v="5"/>
    <n v="58.65"/>
    <x v="370"/>
    <x v="9"/>
    <x v="4"/>
    <n v="293.25"/>
    <n v="1.5123287671232877"/>
    <n v="15"/>
    <n v="7"/>
  </r>
  <r>
    <x v="488"/>
    <x v="95"/>
    <x v="0"/>
    <n v="3"/>
    <n v="900.24"/>
    <x v="371"/>
    <x v="9"/>
    <x v="0"/>
    <n v="2700.7200000000003"/>
    <n v="0.32054794520547947"/>
    <n v="5"/>
    <n v="7"/>
  </r>
  <r>
    <x v="489"/>
    <x v="96"/>
    <x v="0"/>
    <n v="2"/>
    <n v="600.16"/>
    <x v="64"/>
    <x v="3"/>
    <x v="1"/>
    <n v="1200.32"/>
    <n v="0.82191780821917804"/>
    <n v="15"/>
    <n v="5"/>
  </r>
  <r>
    <x v="490"/>
    <x v="96"/>
    <x v="0"/>
    <n v="3"/>
    <n v="900.24"/>
    <x v="372"/>
    <x v="0"/>
    <x v="4"/>
    <n v="2700.7200000000003"/>
    <n v="1.9369863013698629"/>
    <n v="21"/>
    <n v="5"/>
  </r>
  <r>
    <x v="491"/>
    <x v="96"/>
    <x v="0"/>
    <n v="4"/>
    <n v="1200.32"/>
    <x v="362"/>
    <x v="0"/>
    <x v="4"/>
    <n v="4801.28"/>
    <n v="1.7315068493150685"/>
    <n v="9"/>
    <n v="7"/>
  </r>
  <r>
    <x v="492"/>
    <x v="96"/>
    <x v="7"/>
    <n v="1"/>
    <n v="11.73"/>
    <x v="94"/>
    <x v="6"/>
    <x v="0"/>
    <n v="11.73"/>
    <n v="1.6438356164383561"/>
    <n v="9"/>
    <n v="7"/>
  </r>
  <r>
    <x v="493"/>
    <x v="97"/>
    <x v="3"/>
    <n v="3"/>
    <n v="45.45"/>
    <x v="78"/>
    <x v="4"/>
    <x v="2"/>
    <n v="136.35000000000002"/>
    <n v="1.0602739726027397"/>
    <n v="17"/>
    <n v="5"/>
  </r>
  <r>
    <x v="494"/>
    <x v="97"/>
    <x v="3"/>
    <n v="2"/>
    <n v="30.3"/>
    <x v="373"/>
    <x v="9"/>
    <x v="2"/>
    <n v="60.6"/>
    <n v="0.72876712328767124"/>
    <n v="8"/>
    <n v="5"/>
  </r>
  <r>
    <x v="495"/>
    <x v="97"/>
    <x v="2"/>
    <n v="5"/>
    <n v="26.15"/>
    <x v="374"/>
    <x v="4"/>
    <x v="0"/>
    <n v="130.75"/>
    <n v="1.3095890410958904"/>
    <n v="8"/>
    <n v="5"/>
  </r>
  <r>
    <x v="496"/>
    <x v="97"/>
    <x v="2"/>
    <n v="4"/>
    <n v="20.92"/>
    <x v="375"/>
    <x v="7"/>
    <x v="4"/>
    <n v="83.68"/>
    <n v="1.2273972602739727"/>
    <n v="12"/>
    <n v="5"/>
  </r>
  <r>
    <x v="497"/>
    <x v="97"/>
    <x v="0"/>
    <n v="5"/>
    <n v="1500.4"/>
    <x v="376"/>
    <x v="6"/>
    <x v="1"/>
    <n v="7502"/>
    <n v="2.1369863013698631"/>
    <n v="12"/>
    <n v="7"/>
  </r>
  <r>
    <x v="498"/>
    <x v="97"/>
    <x v="6"/>
    <n v="3"/>
    <n v="107.52"/>
    <x v="377"/>
    <x v="9"/>
    <x v="4"/>
    <n v="322.56"/>
    <n v="1.6438356164383561"/>
    <n v="13"/>
    <n v="7"/>
  </r>
  <r>
    <x v="499"/>
    <x v="97"/>
    <x v="0"/>
    <n v="1"/>
    <n v="300.08"/>
    <x v="378"/>
    <x v="6"/>
    <x v="2"/>
    <n v="300.08"/>
    <n v="1.8301369863013699"/>
    <n v="12"/>
    <n v="7"/>
  </r>
  <r>
    <x v="500"/>
    <x v="97"/>
    <x v="7"/>
    <n v="1"/>
    <n v="11.73"/>
    <x v="379"/>
    <x v="6"/>
    <x v="0"/>
    <n v="11.73"/>
    <n v="0.80273972602739729"/>
    <n v="16"/>
    <n v="10"/>
  </r>
  <r>
    <x v="501"/>
    <x v="98"/>
    <x v="0"/>
    <n v="5"/>
    <n v="1500.4"/>
    <x v="313"/>
    <x v="1"/>
    <x v="2"/>
    <n v="7502"/>
    <n v="2.0602739726027397"/>
    <n v="28"/>
    <n v="5"/>
  </r>
  <r>
    <x v="502"/>
    <x v="98"/>
    <x v="1"/>
    <n v="2"/>
    <n v="81.319999999999993"/>
    <x v="380"/>
    <x v="0"/>
    <x v="1"/>
    <n v="162.63999999999999"/>
    <n v="1.5808219178082192"/>
    <n v="20"/>
    <n v="5"/>
  </r>
  <r>
    <x v="503"/>
    <x v="98"/>
    <x v="0"/>
    <n v="1"/>
    <n v="300.08"/>
    <x v="381"/>
    <x v="1"/>
    <x v="2"/>
    <n v="300.08"/>
    <n v="1.5890410958904109"/>
    <n v="22"/>
    <n v="5"/>
  </r>
  <r>
    <x v="504"/>
    <x v="98"/>
    <x v="5"/>
    <n v="2"/>
    <n v="1200.3399999999999"/>
    <x v="59"/>
    <x v="6"/>
    <x v="4"/>
    <n v="2400.6799999999998"/>
    <n v="1.2356164383561643"/>
    <n v="6"/>
    <n v="7"/>
  </r>
  <r>
    <x v="505"/>
    <x v="98"/>
    <x v="2"/>
    <n v="4"/>
    <n v="20.92"/>
    <x v="382"/>
    <x v="6"/>
    <x v="2"/>
    <n v="83.68"/>
    <n v="1.6054794520547946"/>
    <n v="8"/>
    <n v="7"/>
  </r>
  <r>
    <x v="506"/>
    <x v="99"/>
    <x v="0"/>
    <n v="5"/>
    <n v="1500.4"/>
    <x v="383"/>
    <x v="2"/>
    <x v="4"/>
    <n v="7502"/>
    <n v="1.3561643835616439"/>
    <n v="17"/>
    <n v="5"/>
  </r>
  <r>
    <x v="507"/>
    <x v="99"/>
    <x v="1"/>
    <n v="2"/>
    <n v="81.319999999999993"/>
    <x v="123"/>
    <x v="1"/>
    <x v="1"/>
    <n v="162.63999999999999"/>
    <n v="0"/>
    <n v="1"/>
    <n v="7"/>
  </r>
  <r>
    <x v="508"/>
    <x v="99"/>
    <x v="0"/>
    <n v="2"/>
    <n v="600.16"/>
    <x v="384"/>
    <x v="1"/>
    <x v="4"/>
    <n v="1200.32"/>
    <n v="1.4136986301369863"/>
    <n v="34"/>
    <n v="7"/>
  </r>
  <r>
    <x v="509"/>
    <x v="99"/>
    <x v="6"/>
    <n v="2"/>
    <n v="71.680000000000007"/>
    <x v="243"/>
    <x v="2"/>
    <x v="3"/>
    <n v="143.36000000000001"/>
    <n v="0.29589041095890412"/>
    <n v="12"/>
    <n v="7"/>
  </r>
  <r>
    <x v="510"/>
    <x v="99"/>
    <x v="5"/>
    <n v="2"/>
    <n v="1200.3399999999999"/>
    <x v="385"/>
    <x v="8"/>
    <x v="4"/>
    <n v="2400.6799999999998"/>
    <n v="1.3671232876712329"/>
    <n v="15"/>
    <n v="10"/>
  </r>
  <r>
    <x v="511"/>
    <x v="100"/>
    <x v="6"/>
    <n v="2"/>
    <n v="71.680000000000007"/>
    <x v="320"/>
    <x v="9"/>
    <x v="2"/>
    <n v="143.36000000000001"/>
    <n v="1.6136986301369862"/>
    <n v="11"/>
    <n v="5"/>
  </r>
  <r>
    <x v="512"/>
    <x v="100"/>
    <x v="5"/>
    <n v="2"/>
    <n v="1200.3399999999999"/>
    <x v="107"/>
    <x v="9"/>
    <x v="4"/>
    <n v="2400.6799999999998"/>
    <n v="1.6027397260273972"/>
    <n v="24"/>
    <n v="5"/>
  </r>
  <r>
    <x v="513"/>
    <x v="100"/>
    <x v="0"/>
    <n v="3"/>
    <n v="900.24"/>
    <x v="386"/>
    <x v="9"/>
    <x v="0"/>
    <n v="2700.7200000000003"/>
    <n v="0.75068493150684934"/>
    <n v="19"/>
    <n v="5"/>
  </r>
  <r>
    <x v="514"/>
    <x v="100"/>
    <x v="6"/>
    <n v="4"/>
    <n v="143.36000000000001"/>
    <x v="387"/>
    <x v="0"/>
    <x v="2"/>
    <n v="573.44000000000005"/>
    <n v="1.9205479452054794"/>
    <n v="18"/>
    <n v="5"/>
  </r>
  <r>
    <x v="515"/>
    <x v="100"/>
    <x v="2"/>
    <n v="1"/>
    <n v="5.23"/>
    <x v="388"/>
    <x v="3"/>
    <x v="0"/>
    <n v="5.23"/>
    <n v="1.4191780821917808"/>
    <n v="12"/>
    <n v="7"/>
  </r>
  <r>
    <x v="516"/>
    <x v="100"/>
    <x v="5"/>
    <n v="4"/>
    <n v="2400.6799999999998"/>
    <x v="255"/>
    <x v="2"/>
    <x v="0"/>
    <n v="9602.7199999999993"/>
    <n v="1.2027397260273973"/>
    <n v="17"/>
    <n v="7"/>
  </r>
  <r>
    <x v="517"/>
    <x v="100"/>
    <x v="1"/>
    <n v="2"/>
    <n v="81.319999999999993"/>
    <x v="37"/>
    <x v="6"/>
    <x v="1"/>
    <n v="162.63999999999999"/>
    <n v="1.6904109589041096"/>
    <n v="7"/>
    <n v="7"/>
  </r>
  <r>
    <x v="518"/>
    <x v="100"/>
    <x v="0"/>
    <n v="1"/>
    <n v="300.08"/>
    <x v="363"/>
    <x v="1"/>
    <x v="4"/>
    <n v="300.08"/>
    <n v="1.2931506849315069"/>
    <n v="17"/>
    <n v="7"/>
  </r>
  <r>
    <x v="519"/>
    <x v="101"/>
    <x v="2"/>
    <n v="1"/>
    <n v="5.23"/>
    <x v="389"/>
    <x v="1"/>
    <x v="4"/>
    <n v="5.23"/>
    <n v="1.5890410958904109"/>
    <n v="16"/>
    <n v="5"/>
  </r>
  <r>
    <x v="520"/>
    <x v="101"/>
    <x v="0"/>
    <n v="5"/>
    <n v="1500.4"/>
    <x v="390"/>
    <x v="1"/>
    <x v="1"/>
    <n v="7502"/>
    <n v="1.7863013698630137"/>
    <n v="24"/>
    <n v="7"/>
  </r>
  <r>
    <x v="521"/>
    <x v="101"/>
    <x v="5"/>
    <n v="1"/>
    <n v="600.16999999999996"/>
    <x v="391"/>
    <x v="9"/>
    <x v="0"/>
    <n v="600.16999999999996"/>
    <n v="1.5917808219178082"/>
    <n v="14"/>
    <n v="7"/>
  </r>
  <r>
    <x v="522"/>
    <x v="101"/>
    <x v="1"/>
    <n v="4"/>
    <n v="162.63999999999999"/>
    <x v="267"/>
    <x v="7"/>
    <x v="0"/>
    <n v="650.55999999999995"/>
    <n v="1.5424657534246575"/>
    <n v="7"/>
    <n v="7"/>
  </r>
  <r>
    <x v="523"/>
    <x v="102"/>
    <x v="0"/>
    <n v="4"/>
    <n v="1200.32"/>
    <x v="63"/>
    <x v="0"/>
    <x v="1"/>
    <n v="4801.28"/>
    <n v="0.59178082191780823"/>
    <n v="11"/>
    <n v="5"/>
  </r>
  <r>
    <x v="524"/>
    <x v="102"/>
    <x v="1"/>
    <n v="5"/>
    <n v="203.3"/>
    <x v="392"/>
    <x v="1"/>
    <x v="1"/>
    <n v="1016.5"/>
    <n v="1.1726027397260275"/>
    <n v="6"/>
    <n v="5"/>
  </r>
  <r>
    <x v="525"/>
    <x v="102"/>
    <x v="5"/>
    <n v="4"/>
    <n v="2400.6799999999998"/>
    <x v="82"/>
    <x v="8"/>
    <x v="4"/>
    <n v="9602.7199999999993"/>
    <n v="1.5315068493150685"/>
    <n v="10"/>
    <n v="5"/>
  </r>
  <r>
    <x v="526"/>
    <x v="102"/>
    <x v="2"/>
    <n v="3"/>
    <n v="15.69"/>
    <x v="393"/>
    <x v="4"/>
    <x v="1"/>
    <n v="47.07"/>
    <n v="1.7452054794520548"/>
    <n v="23"/>
    <n v="7"/>
  </r>
  <r>
    <x v="527"/>
    <x v="102"/>
    <x v="0"/>
    <n v="2"/>
    <n v="600.16"/>
    <x v="336"/>
    <x v="9"/>
    <x v="0"/>
    <n v="1200.32"/>
    <n v="1.1315068493150684"/>
    <n v="12"/>
    <n v="7"/>
  </r>
  <r>
    <x v="528"/>
    <x v="102"/>
    <x v="6"/>
    <n v="3"/>
    <n v="107.52"/>
    <x v="394"/>
    <x v="3"/>
    <x v="2"/>
    <n v="322.56"/>
    <n v="1.8301369863013699"/>
    <n v="10"/>
    <n v="7"/>
  </r>
  <r>
    <x v="529"/>
    <x v="102"/>
    <x v="2"/>
    <n v="4"/>
    <n v="20.92"/>
    <x v="256"/>
    <x v="0"/>
    <x v="1"/>
    <n v="83.68"/>
    <n v="1.3534246575342466"/>
    <n v="27"/>
    <n v="7"/>
  </r>
  <r>
    <x v="530"/>
    <x v="102"/>
    <x v="0"/>
    <n v="2"/>
    <n v="600.16"/>
    <x v="219"/>
    <x v="9"/>
    <x v="0"/>
    <n v="1200.32"/>
    <n v="0.69863013698630139"/>
    <n v="13"/>
    <n v="7"/>
  </r>
  <r>
    <x v="531"/>
    <x v="102"/>
    <x v="2"/>
    <n v="2"/>
    <n v="10.46"/>
    <x v="395"/>
    <x v="7"/>
    <x v="3"/>
    <n v="20.92"/>
    <n v="1.9945205479452055"/>
    <n v="16"/>
    <n v="7"/>
  </r>
  <r>
    <x v="532"/>
    <x v="102"/>
    <x v="3"/>
    <n v="4"/>
    <n v="60.6"/>
    <x v="363"/>
    <x v="6"/>
    <x v="2"/>
    <n v="242.4"/>
    <n v="1.4191780821917808"/>
    <n v="12"/>
    <n v="7"/>
  </r>
  <r>
    <x v="533"/>
    <x v="103"/>
    <x v="1"/>
    <n v="3"/>
    <n v="121.98"/>
    <x v="312"/>
    <x v="0"/>
    <x v="3"/>
    <n v="365.94"/>
    <n v="1.106849315068493"/>
    <n v="9"/>
    <n v="5"/>
  </r>
  <r>
    <x v="534"/>
    <x v="103"/>
    <x v="4"/>
    <n v="2"/>
    <n v="2100"/>
    <x v="396"/>
    <x v="7"/>
    <x v="1"/>
    <n v="4200"/>
    <n v="0.42739726027397262"/>
    <n v="4"/>
    <n v="5"/>
  </r>
  <r>
    <x v="535"/>
    <x v="103"/>
    <x v="0"/>
    <n v="4"/>
    <n v="1200.32"/>
    <x v="349"/>
    <x v="0"/>
    <x v="4"/>
    <n v="4801.28"/>
    <n v="0"/>
    <n v="5"/>
    <n v="7"/>
  </r>
  <r>
    <x v="536"/>
    <x v="103"/>
    <x v="0"/>
    <n v="3"/>
    <n v="900.24"/>
    <x v="213"/>
    <x v="1"/>
    <x v="4"/>
    <n v="2700.7200000000003"/>
    <n v="1.1123287671232878"/>
    <n v="9"/>
    <n v="7"/>
  </r>
  <r>
    <x v="537"/>
    <x v="103"/>
    <x v="2"/>
    <n v="5"/>
    <n v="26.15"/>
    <x v="370"/>
    <x v="6"/>
    <x v="0"/>
    <n v="130.75"/>
    <n v="1.7452054794520548"/>
    <n v="14"/>
    <n v="7"/>
  </r>
  <r>
    <x v="538"/>
    <x v="103"/>
    <x v="1"/>
    <n v="2"/>
    <n v="81.319999999999993"/>
    <x v="253"/>
    <x v="1"/>
    <x v="4"/>
    <n v="162.63999999999999"/>
    <n v="1.8191780821917809"/>
    <n v="27"/>
    <n v="7"/>
  </r>
  <r>
    <x v="539"/>
    <x v="104"/>
    <x v="2"/>
    <n v="3"/>
    <n v="15.69"/>
    <x v="397"/>
    <x v="4"/>
    <x v="3"/>
    <n v="47.07"/>
    <n v="1.7753424657534247"/>
    <n v="8"/>
    <n v="5"/>
  </r>
  <r>
    <x v="540"/>
    <x v="104"/>
    <x v="4"/>
    <n v="5"/>
    <n v="5250"/>
    <x v="134"/>
    <x v="6"/>
    <x v="3"/>
    <n v="26250"/>
    <n v="1.8301369863013699"/>
    <n v="28"/>
    <n v="5"/>
  </r>
  <r>
    <x v="541"/>
    <x v="104"/>
    <x v="0"/>
    <n v="2"/>
    <n v="600.16"/>
    <x v="22"/>
    <x v="1"/>
    <x v="0"/>
    <n v="1200.32"/>
    <n v="1.9753424657534246"/>
    <n v="7"/>
    <n v="5"/>
  </r>
  <r>
    <x v="542"/>
    <x v="104"/>
    <x v="0"/>
    <n v="5"/>
    <n v="1500.4"/>
    <x v="398"/>
    <x v="0"/>
    <x v="0"/>
    <n v="7502"/>
    <n v="1.1013698630136985"/>
    <n v="11"/>
    <n v="5"/>
  </r>
  <r>
    <x v="543"/>
    <x v="104"/>
    <x v="6"/>
    <n v="1"/>
    <n v="35.840000000000003"/>
    <x v="399"/>
    <x v="1"/>
    <x v="3"/>
    <n v="35.840000000000003"/>
    <n v="1.1917808219178083"/>
    <n v="7"/>
    <n v="7"/>
  </r>
  <r>
    <x v="544"/>
    <x v="104"/>
    <x v="0"/>
    <n v="3"/>
    <n v="900.24"/>
    <x v="209"/>
    <x v="2"/>
    <x v="0"/>
    <n v="2700.7200000000003"/>
    <n v="1.5506849315068494"/>
    <n v="16"/>
    <n v="7"/>
  </r>
  <r>
    <x v="545"/>
    <x v="104"/>
    <x v="0"/>
    <n v="4"/>
    <n v="1200.32"/>
    <x v="400"/>
    <x v="9"/>
    <x v="4"/>
    <n v="4801.28"/>
    <n v="0.86301369863013699"/>
    <n v="13"/>
    <n v="7"/>
  </r>
  <r>
    <x v="546"/>
    <x v="104"/>
    <x v="1"/>
    <n v="5"/>
    <n v="203.3"/>
    <x v="401"/>
    <x v="2"/>
    <x v="4"/>
    <n v="1016.5"/>
    <n v="1.6849315068493151"/>
    <n v="19"/>
    <n v="7"/>
  </r>
  <r>
    <x v="547"/>
    <x v="104"/>
    <x v="7"/>
    <n v="2"/>
    <n v="23.46"/>
    <x v="402"/>
    <x v="4"/>
    <x v="4"/>
    <n v="46.92"/>
    <n v="0.44931506849315067"/>
    <n v="8"/>
    <n v="10"/>
  </r>
  <r>
    <x v="548"/>
    <x v="104"/>
    <x v="4"/>
    <n v="2"/>
    <n v="2100"/>
    <x v="403"/>
    <x v="9"/>
    <x v="0"/>
    <n v="4200"/>
    <n v="0.46575342465753422"/>
    <n v="14"/>
    <n v="10"/>
  </r>
  <r>
    <x v="549"/>
    <x v="105"/>
    <x v="0"/>
    <n v="2"/>
    <n v="600.16"/>
    <x v="269"/>
    <x v="1"/>
    <x v="0"/>
    <n v="1200.32"/>
    <n v="0.81095890410958904"/>
    <n v="4"/>
    <n v="5"/>
  </r>
  <r>
    <x v="550"/>
    <x v="105"/>
    <x v="0"/>
    <n v="4"/>
    <n v="1200.32"/>
    <x v="404"/>
    <x v="6"/>
    <x v="3"/>
    <n v="4801.28"/>
    <n v="1.1342465753424658"/>
    <n v="21"/>
    <n v="7"/>
  </r>
  <r>
    <x v="551"/>
    <x v="105"/>
    <x v="0"/>
    <n v="5"/>
    <n v="1500.4"/>
    <x v="405"/>
    <x v="0"/>
    <x v="3"/>
    <n v="7502"/>
    <n v="1.6684931506849314"/>
    <n v="16"/>
    <n v="7"/>
  </r>
  <r>
    <x v="552"/>
    <x v="105"/>
    <x v="1"/>
    <n v="3"/>
    <n v="121.98"/>
    <x v="362"/>
    <x v="1"/>
    <x v="0"/>
    <n v="365.94"/>
    <n v="1.2054794520547945"/>
    <n v="24"/>
    <n v="7"/>
  </r>
  <r>
    <x v="553"/>
    <x v="106"/>
    <x v="2"/>
    <n v="4"/>
    <n v="20.92"/>
    <x v="77"/>
    <x v="8"/>
    <x v="1"/>
    <n v="83.68"/>
    <n v="0.95890410958904104"/>
    <n v="19"/>
    <n v="5"/>
  </r>
  <r>
    <x v="554"/>
    <x v="106"/>
    <x v="1"/>
    <n v="2"/>
    <n v="81.319999999999993"/>
    <x v="69"/>
    <x v="4"/>
    <x v="1"/>
    <n v="162.63999999999999"/>
    <n v="1.726027397260274"/>
    <n v="23"/>
    <n v="5"/>
  </r>
  <r>
    <x v="555"/>
    <x v="106"/>
    <x v="2"/>
    <n v="1"/>
    <n v="5.23"/>
    <x v="106"/>
    <x v="0"/>
    <x v="4"/>
    <n v="5.23"/>
    <n v="1.7397260273972603"/>
    <n v="5"/>
    <n v="5"/>
  </r>
  <r>
    <x v="556"/>
    <x v="106"/>
    <x v="5"/>
    <n v="3"/>
    <n v="1800.51"/>
    <x v="328"/>
    <x v="9"/>
    <x v="2"/>
    <n v="5401.53"/>
    <n v="1.3726027397260274"/>
    <n v="21"/>
    <n v="5"/>
  </r>
  <r>
    <x v="557"/>
    <x v="106"/>
    <x v="2"/>
    <n v="3"/>
    <n v="15.69"/>
    <x v="406"/>
    <x v="3"/>
    <x v="4"/>
    <n v="47.07"/>
    <n v="1.010958904109589"/>
    <n v="13"/>
    <n v="5"/>
  </r>
  <r>
    <x v="558"/>
    <x v="106"/>
    <x v="2"/>
    <n v="5"/>
    <n v="26.15"/>
    <x v="407"/>
    <x v="4"/>
    <x v="2"/>
    <n v="130.75"/>
    <n v="1.4712328767123288"/>
    <n v="8"/>
    <n v="7"/>
  </r>
  <r>
    <x v="559"/>
    <x v="107"/>
    <x v="3"/>
    <n v="4"/>
    <n v="60.6"/>
    <x v="408"/>
    <x v="0"/>
    <x v="3"/>
    <n v="242.4"/>
    <n v="1.7232876712328766"/>
    <n v="13"/>
    <n v="5"/>
  </r>
  <r>
    <x v="560"/>
    <x v="107"/>
    <x v="0"/>
    <n v="4"/>
    <n v="1200.32"/>
    <x v="136"/>
    <x v="5"/>
    <x v="0"/>
    <n v="4801.28"/>
    <n v="1.3726027397260274"/>
    <n v="22"/>
    <n v="5"/>
  </r>
  <r>
    <x v="561"/>
    <x v="107"/>
    <x v="6"/>
    <n v="5"/>
    <n v="179.2"/>
    <x v="212"/>
    <x v="0"/>
    <x v="4"/>
    <n v="896"/>
    <n v="1.6821917808219178"/>
    <n v="18"/>
    <n v="5"/>
  </r>
  <r>
    <x v="562"/>
    <x v="107"/>
    <x v="0"/>
    <n v="4"/>
    <n v="1200.32"/>
    <x v="409"/>
    <x v="8"/>
    <x v="1"/>
    <n v="4801.28"/>
    <n v="1.9123287671232876"/>
    <n v="27"/>
    <n v="7"/>
  </r>
  <r>
    <x v="563"/>
    <x v="108"/>
    <x v="0"/>
    <n v="5"/>
    <n v="1500.4"/>
    <x v="202"/>
    <x v="1"/>
    <x v="1"/>
    <n v="7502"/>
    <n v="1.4438356164383561"/>
    <n v="5"/>
    <n v="5"/>
  </r>
  <r>
    <x v="564"/>
    <x v="108"/>
    <x v="0"/>
    <n v="5"/>
    <n v="1500.4"/>
    <x v="410"/>
    <x v="4"/>
    <x v="4"/>
    <n v="7502"/>
    <n v="1.821917808219178"/>
    <n v="8"/>
    <n v="5"/>
  </r>
  <r>
    <x v="565"/>
    <x v="108"/>
    <x v="5"/>
    <n v="4"/>
    <n v="2400.6799999999998"/>
    <x v="411"/>
    <x v="3"/>
    <x v="1"/>
    <n v="9602.7199999999993"/>
    <n v="1.8876712328767122"/>
    <n v="10"/>
    <n v="7"/>
  </r>
  <r>
    <x v="566"/>
    <x v="108"/>
    <x v="0"/>
    <n v="2"/>
    <n v="600.16"/>
    <x v="412"/>
    <x v="9"/>
    <x v="4"/>
    <n v="1200.32"/>
    <n v="0.52876712328767128"/>
    <n v="4"/>
    <n v="7"/>
  </r>
  <r>
    <x v="567"/>
    <x v="108"/>
    <x v="0"/>
    <n v="3"/>
    <n v="900.24"/>
    <x v="413"/>
    <x v="0"/>
    <x v="4"/>
    <n v="2700.7200000000003"/>
    <n v="1.8465753424657534"/>
    <n v="20"/>
    <n v="7"/>
  </r>
  <r>
    <x v="568"/>
    <x v="109"/>
    <x v="2"/>
    <n v="2"/>
    <n v="10.46"/>
    <x v="259"/>
    <x v="0"/>
    <x v="1"/>
    <n v="20.92"/>
    <n v="1.3561643835616439"/>
    <n v="13"/>
    <n v="7"/>
  </r>
  <r>
    <x v="569"/>
    <x v="109"/>
    <x v="0"/>
    <n v="1"/>
    <n v="300.08"/>
    <x v="273"/>
    <x v="3"/>
    <x v="3"/>
    <n v="300.08"/>
    <n v="1.0136986301369864"/>
    <n v="11"/>
    <n v="7"/>
  </r>
  <r>
    <x v="570"/>
    <x v="109"/>
    <x v="0"/>
    <n v="1"/>
    <n v="300.08"/>
    <x v="247"/>
    <x v="1"/>
    <x v="3"/>
    <n v="300.08"/>
    <n v="1.0273972602739727"/>
    <n v="18"/>
    <n v="10"/>
  </r>
  <r>
    <x v="571"/>
    <x v="110"/>
    <x v="1"/>
    <n v="4"/>
    <n v="162.63999999999999"/>
    <x v="414"/>
    <x v="9"/>
    <x v="4"/>
    <n v="650.55999999999995"/>
    <n v="0.30410958904109592"/>
    <n v="6"/>
    <n v="5"/>
  </r>
  <r>
    <x v="572"/>
    <x v="110"/>
    <x v="5"/>
    <n v="5"/>
    <n v="3000.85"/>
    <x v="179"/>
    <x v="7"/>
    <x v="2"/>
    <n v="15004.25"/>
    <n v="0.55890410958904113"/>
    <n v="11"/>
    <n v="5"/>
  </r>
  <r>
    <x v="573"/>
    <x v="110"/>
    <x v="2"/>
    <n v="3"/>
    <n v="15.69"/>
    <x v="188"/>
    <x v="6"/>
    <x v="2"/>
    <n v="47.07"/>
    <n v="0.69315068493150689"/>
    <n v="9"/>
    <n v="7"/>
  </r>
  <r>
    <x v="574"/>
    <x v="110"/>
    <x v="7"/>
    <n v="4"/>
    <n v="46.92"/>
    <x v="415"/>
    <x v="1"/>
    <x v="2"/>
    <n v="187.68"/>
    <n v="1.4547945205479451"/>
    <n v="21"/>
    <n v="7"/>
  </r>
  <r>
    <x v="575"/>
    <x v="110"/>
    <x v="0"/>
    <n v="5"/>
    <n v="1500.4"/>
    <x v="12"/>
    <x v="0"/>
    <x v="0"/>
    <n v="7502"/>
    <n v="1.5315068493150685"/>
    <n v="30"/>
    <n v="7"/>
  </r>
  <r>
    <x v="576"/>
    <x v="110"/>
    <x v="2"/>
    <n v="1"/>
    <n v="5.23"/>
    <x v="416"/>
    <x v="4"/>
    <x v="4"/>
    <n v="5.23"/>
    <n v="1.0410958904109588"/>
    <n v="9"/>
    <n v="10"/>
  </r>
  <r>
    <x v="577"/>
    <x v="111"/>
    <x v="0"/>
    <n v="3"/>
    <n v="900.24"/>
    <x v="238"/>
    <x v="8"/>
    <x v="4"/>
    <n v="2700.7200000000003"/>
    <n v="1.4876712328767123"/>
    <n v="20"/>
    <n v="5"/>
  </r>
  <r>
    <x v="578"/>
    <x v="111"/>
    <x v="5"/>
    <n v="3"/>
    <n v="1800.51"/>
    <x v="417"/>
    <x v="0"/>
    <x v="1"/>
    <n v="5401.53"/>
    <n v="1.4493150684931506"/>
    <n v="12"/>
    <n v="5"/>
  </r>
  <r>
    <x v="579"/>
    <x v="111"/>
    <x v="0"/>
    <n v="3"/>
    <n v="900.24"/>
    <x v="116"/>
    <x v="0"/>
    <x v="3"/>
    <n v="2700.7200000000003"/>
    <n v="1.1424657534246576"/>
    <n v="19"/>
    <n v="5"/>
  </r>
  <r>
    <x v="580"/>
    <x v="111"/>
    <x v="0"/>
    <n v="3"/>
    <n v="900.24"/>
    <x v="70"/>
    <x v="0"/>
    <x v="4"/>
    <n v="2700.7200000000003"/>
    <n v="1.4547945205479451"/>
    <n v="12"/>
    <n v="5"/>
  </r>
  <r>
    <x v="581"/>
    <x v="111"/>
    <x v="3"/>
    <n v="1"/>
    <n v="15.15"/>
    <x v="226"/>
    <x v="6"/>
    <x v="1"/>
    <n v="15.15"/>
    <n v="1.5287671232876712"/>
    <n v="4"/>
    <n v="5"/>
  </r>
  <r>
    <x v="582"/>
    <x v="111"/>
    <x v="0"/>
    <n v="2"/>
    <n v="600.16"/>
    <x v="418"/>
    <x v="6"/>
    <x v="2"/>
    <n v="1200.32"/>
    <n v="1.167123287671233"/>
    <n v="21"/>
    <n v="7"/>
  </r>
  <r>
    <x v="583"/>
    <x v="111"/>
    <x v="5"/>
    <n v="3"/>
    <n v="1800.51"/>
    <x v="419"/>
    <x v="4"/>
    <x v="4"/>
    <n v="5401.53"/>
    <n v="1.1835616438356165"/>
    <n v="22"/>
    <n v="7"/>
  </r>
  <r>
    <x v="584"/>
    <x v="112"/>
    <x v="0"/>
    <n v="3"/>
    <n v="900.24"/>
    <x v="80"/>
    <x v="6"/>
    <x v="0"/>
    <n v="2700.7200000000003"/>
    <n v="1.8794520547945206"/>
    <n v="17"/>
    <n v="5"/>
  </r>
  <r>
    <x v="585"/>
    <x v="112"/>
    <x v="6"/>
    <n v="3"/>
    <n v="107.52"/>
    <x v="373"/>
    <x v="8"/>
    <x v="1"/>
    <n v="322.56"/>
    <n v="1.5205479452054795"/>
    <n v="12"/>
    <n v="5"/>
  </r>
  <r>
    <x v="586"/>
    <x v="112"/>
    <x v="0"/>
    <n v="4"/>
    <n v="1200.32"/>
    <x v="329"/>
    <x v="9"/>
    <x v="0"/>
    <n v="4801.28"/>
    <n v="0.81369863013698629"/>
    <n v="8"/>
    <n v="7"/>
  </r>
  <r>
    <x v="587"/>
    <x v="112"/>
    <x v="0"/>
    <n v="1"/>
    <n v="300.08"/>
    <x v="420"/>
    <x v="2"/>
    <x v="3"/>
    <n v="300.08"/>
    <n v="1.8821917808219177"/>
    <n v="15"/>
    <n v="7"/>
  </r>
  <r>
    <x v="588"/>
    <x v="112"/>
    <x v="1"/>
    <n v="3"/>
    <n v="121.98"/>
    <x v="421"/>
    <x v="9"/>
    <x v="2"/>
    <n v="365.94"/>
    <n v="1.6328767123287671"/>
    <n v="8"/>
    <n v="7"/>
  </r>
  <r>
    <x v="589"/>
    <x v="113"/>
    <x v="1"/>
    <n v="5"/>
    <n v="203.3"/>
    <x v="422"/>
    <x v="4"/>
    <x v="0"/>
    <n v="1016.5"/>
    <n v="0.74246575342465748"/>
    <n v="16"/>
    <n v="5"/>
  </r>
  <r>
    <x v="590"/>
    <x v="113"/>
    <x v="1"/>
    <n v="4"/>
    <n v="162.63999999999999"/>
    <x v="202"/>
    <x v="6"/>
    <x v="4"/>
    <n v="650.55999999999995"/>
    <n v="1.0547945205479452"/>
    <n v="6"/>
    <n v="5"/>
  </r>
  <r>
    <x v="591"/>
    <x v="113"/>
    <x v="2"/>
    <n v="2"/>
    <n v="10.46"/>
    <x v="19"/>
    <x v="0"/>
    <x v="2"/>
    <n v="20.92"/>
    <n v="1.8712328767123287"/>
    <n v="28"/>
    <n v="7"/>
  </r>
  <r>
    <x v="592"/>
    <x v="113"/>
    <x v="1"/>
    <n v="1"/>
    <n v="40.659999999999997"/>
    <x v="423"/>
    <x v="6"/>
    <x v="1"/>
    <n v="40.659999999999997"/>
    <n v="1.6931506849315068"/>
    <n v="20"/>
    <n v="10"/>
  </r>
  <r>
    <x v="593"/>
    <x v="114"/>
    <x v="1"/>
    <n v="2"/>
    <n v="81.319999999999993"/>
    <x v="424"/>
    <x v="9"/>
    <x v="0"/>
    <n v="162.63999999999999"/>
    <n v="0.66027397260273968"/>
    <n v="21"/>
    <n v="5"/>
  </r>
  <r>
    <x v="594"/>
    <x v="114"/>
    <x v="5"/>
    <n v="2"/>
    <n v="1200.3399999999999"/>
    <x v="165"/>
    <x v="1"/>
    <x v="3"/>
    <n v="2400.6799999999998"/>
    <n v="1.1643835616438356"/>
    <n v="20"/>
    <n v="10"/>
  </r>
  <r>
    <x v="595"/>
    <x v="115"/>
    <x v="0"/>
    <n v="2"/>
    <n v="600.16"/>
    <x v="425"/>
    <x v="3"/>
    <x v="2"/>
    <n v="1200.32"/>
    <n v="1.7178082191780821"/>
    <n v="21"/>
    <n v="5"/>
  </r>
  <r>
    <x v="596"/>
    <x v="115"/>
    <x v="0"/>
    <n v="3"/>
    <n v="900.24"/>
    <x v="426"/>
    <x v="6"/>
    <x v="0"/>
    <n v="2700.7200000000003"/>
    <n v="1.6082191780821917"/>
    <n v="16"/>
    <n v="7"/>
  </r>
  <r>
    <x v="597"/>
    <x v="115"/>
    <x v="6"/>
    <n v="1"/>
    <n v="35.840000000000003"/>
    <x v="427"/>
    <x v="1"/>
    <x v="4"/>
    <n v="35.840000000000003"/>
    <n v="1.7506849315068493"/>
    <n v="12"/>
    <n v="7"/>
  </r>
  <r>
    <x v="598"/>
    <x v="115"/>
    <x v="6"/>
    <n v="1"/>
    <n v="35.840000000000003"/>
    <x v="29"/>
    <x v="4"/>
    <x v="1"/>
    <n v="35.840000000000003"/>
    <n v="0.92054794520547945"/>
    <n v="18"/>
    <n v="7"/>
  </r>
  <r>
    <x v="599"/>
    <x v="115"/>
    <x v="6"/>
    <n v="2"/>
    <n v="71.680000000000007"/>
    <x v="428"/>
    <x v="8"/>
    <x v="2"/>
    <n v="143.36000000000001"/>
    <n v="1.3150684931506849"/>
    <n v="24"/>
    <n v="7"/>
  </r>
  <r>
    <x v="600"/>
    <x v="116"/>
    <x v="1"/>
    <n v="4"/>
    <n v="162.63999999999999"/>
    <x v="290"/>
    <x v="4"/>
    <x v="4"/>
    <n v="650.55999999999995"/>
    <n v="1.5643835616438355"/>
    <n v="10"/>
    <n v="5"/>
  </r>
  <r>
    <x v="601"/>
    <x v="116"/>
    <x v="0"/>
    <n v="1"/>
    <n v="300.08"/>
    <x v="429"/>
    <x v="6"/>
    <x v="1"/>
    <n v="300.08"/>
    <n v="0.95342465753424654"/>
    <n v="18"/>
    <n v="5"/>
  </r>
  <r>
    <x v="602"/>
    <x v="116"/>
    <x v="0"/>
    <n v="1"/>
    <n v="300.08"/>
    <x v="430"/>
    <x v="0"/>
    <x v="4"/>
    <n v="300.08"/>
    <n v="1.6657534246575343"/>
    <n v="22"/>
    <n v="7"/>
  </r>
  <r>
    <x v="603"/>
    <x v="116"/>
    <x v="3"/>
    <n v="4"/>
    <n v="60.6"/>
    <x v="260"/>
    <x v="6"/>
    <x v="0"/>
    <n v="242.4"/>
    <n v="0.77534246575342469"/>
    <n v="8"/>
    <n v="7"/>
  </r>
  <r>
    <x v="604"/>
    <x v="116"/>
    <x v="1"/>
    <n v="1"/>
    <n v="40.659999999999997"/>
    <x v="431"/>
    <x v="6"/>
    <x v="2"/>
    <n v="40.659999999999997"/>
    <n v="1.3315068493150686"/>
    <n v="15"/>
    <n v="7"/>
  </r>
  <r>
    <x v="605"/>
    <x v="117"/>
    <x v="2"/>
    <n v="5"/>
    <n v="26.15"/>
    <x v="432"/>
    <x v="0"/>
    <x v="3"/>
    <n v="130.75"/>
    <n v="1.7287671232876711"/>
    <n v="23"/>
    <n v="5"/>
  </r>
  <r>
    <x v="606"/>
    <x v="117"/>
    <x v="6"/>
    <n v="4"/>
    <n v="143.36000000000001"/>
    <x v="169"/>
    <x v="1"/>
    <x v="0"/>
    <n v="573.44000000000005"/>
    <n v="1.9205479452054794"/>
    <n v="20"/>
    <n v="7"/>
  </r>
  <r>
    <x v="607"/>
    <x v="117"/>
    <x v="1"/>
    <n v="3"/>
    <n v="121.98"/>
    <x v="130"/>
    <x v="6"/>
    <x v="0"/>
    <n v="365.94"/>
    <n v="1.736986301369863"/>
    <n v="18"/>
    <n v="7"/>
  </r>
  <r>
    <x v="608"/>
    <x v="118"/>
    <x v="0"/>
    <n v="2"/>
    <n v="600.16"/>
    <x v="433"/>
    <x v="0"/>
    <x v="1"/>
    <n v="1200.32"/>
    <n v="1.2164383561643837"/>
    <n v="25"/>
    <n v="5"/>
  </r>
  <r>
    <x v="609"/>
    <x v="118"/>
    <x v="0"/>
    <n v="2"/>
    <n v="600.16"/>
    <x v="58"/>
    <x v="9"/>
    <x v="2"/>
    <n v="1200.32"/>
    <n v="1.8301369863013699"/>
    <n v="18"/>
    <n v="5"/>
  </r>
  <r>
    <x v="610"/>
    <x v="118"/>
    <x v="5"/>
    <n v="2"/>
    <n v="1200.3399999999999"/>
    <x v="309"/>
    <x v="6"/>
    <x v="1"/>
    <n v="2400.6799999999998"/>
    <n v="1.1616438356164382"/>
    <n v="18"/>
    <n v="7"/>
  </r>
  <r>
    <x v="611"/>
    <x v="118"/>
    <x v="0"/>
    <n v="1"/>
    <n v="300.08"/>
    <x v="153"/>
    <x v="8"/>
    <x v="3"/>
    <n v="300.08"/>
    <n v="1.3369863013698631"/>
    <n v="12"/>
    <n v="7"/>
  </r>
  <r>
    <x v="612"/>
    <x v="118"/>
    <x v="6"/>
    <n v="3"/>
    <n v="107.52"/>
    <x v="361"/>
    <x v="6"/>
    <x v="1"/>
    <n v="322.56"/>
    <n v="1.9095890410958904"/>
    <n v="26"/>
    <n v="7"/>
  </r>
  <r>
    <x v="613"/>
    <x v="119"/>
    <x v="6"/>
    <n v="5"/>
    <n v="179.2"/>
    <x v="434"/>
    <x v="9"/>
    <x v="2"/>
    <n v="896"/>
    <n v="1.9972602739726026"/>
    <n v="16"/>
    <n v="5"/>
  </r>
  <r>
    <x v="614"/>
    <x v="119"/>
    <x v="0"/>
    <n v="1"/>
    <n v="300.08"/>
    <x v="432"/>
    <x v="2"/>
    <x v="2"/>
    <n v="300.08"/>
    <n v="1.5835616438356164"/>
    <n v="19"/>
    <n v="5"/>
  </r>
  <r>
    <x v="615"/>
    <x v="119"/>
    <x v="1"/>
    <n v="3"/>
    <n v="121.98"/>
    <x v="82"/>
    <x v="3"/>
    <x v="0"/>
    <n v="365.94"/>
    <n v="0.89863013698630134"/>
    <n v="15"/>
    <n v="5"/>
  </r>
  <r>
    <x v="616"/>
    <x v="119"/>
    <x v="1"/>
    <n v="1"/>
    <n v="40.659999999999997"/>
    <x v="435"/>
    <x v="6"/>
    <x v="4"/>
    <n v="40.659999999999997"/>
    <n v="1.9452054794520548"/>
    <n v="20"/>
    <n v="5"/>
  </r>
  <r>
    <x v="617"/>
    <x v="119"/>
    <x v="4"/>
    <n v="2"/>
    <n v="2100"/>
    <x v="367"/>
    <x v="4"/>
    <x v="2"/>
    <n v="4200"/>
    <n v="1.2301369863013698"/>
    <n v="17"/>
    <n v="7"/>
  </r>
  <r>
    <x v="618"/>
    <x v="119"/>
    <x v="0"/>
    <n v="3"/>
    <n v="900.24"/>
    <x v="210"/>
    <x v="8"/>
    <x v="0"/>
    <n v="2700.7200000000003"/>
    <n v="2.010958904109589"/>
    <n v="24"/>
    <n v="7"/>
  </r>
  <r>
    <x v="619"/>
    <x v="119"/>
    <x v="0"/>
    <n v="2"/>
    <n v="600.16"/>
    <x v="436"/>
    <x v="1"/>
    <x v="0"/>
    <n v="1200.32"/>
    <n v="1.5041095890410958"/>
    <n v="26"/>
    <n v="10"/>
  </r>
  <r>
    <x v="620"/>
    <x v="120"/>
    <x v="0"/>
    <n v="2"/>
    <n v="600.16"/>
    <x v="437"/>
    <x v="7"/>
    <x v="1"/>
    <n v="1200.32"/>
    <n v="1.6356164383561644"/>
    <n v="27"/>
    <n v="5"/>
  </r>
  <r>
    <x v="621"/>
    <x v="120"/>
    <x v="1"/>
    <n v="5"/>
    <n v="203.3"/>
    <x v="438"/>
    <x v="3"/>
    <x v="4"/>
    <n v="1016.5"/>
    <n v="1.5863013698630137"/>
    <n v="12"/>
    <n v="5"/>
  </r>
  <r>
    <x v="622"/>
    <x v="120"/>
    <x v="6"/>
    <n v="3"/>
    <n v="107.52"/>
    <x v="439"/>
    <x v="7"/>
    <x v="4"/>
    <n v="322.56"/>
    <n v="1.715068493150685"/>
    <n v="19"/>
    <n v="7"/>
  </r>
  <r>
    <x v="623"/>
    <x v="121"/>
    <x v="2"/>
    <n v="2"/>
    <n v="10.46"/>
    <x v="128"/>
    <x v="0"/>
    <x v="2"/>
    <n v="20.92"/>
    <n v="1.6630136986301369"/>
    <n v="17"/>
    <n v="5"/>
  </r>
  <r>
    <x v="624"/>
    <x v="121"/>
    <x v="1"/>
    <n v="1"/>
    <n v="40.659999999999997"/>
    <x v="142"/>
    <x v="4"/>
    <x v="3"/>
    <n v="40.659999999999997"/>
    <n v="0.15068493150684931"/>
    <n v="8"/>
    <n v="7"/>
  </r>
  <r>
    <x v="625"/>
    <x v="121"/>
    <x v="2"/>
    <n v="5"/>
    <n v="26.15"/>
    <x v="407"/>
    <x v="0"/>
    <x v="1"/>
    <n v="130.75"/>
    <n v="1.2082191780821918"/>
    <n v="13"/>
    <n v="7"/>
  </r>
  <r>
    <x v="626"/>
    <x v="122"/>
    <x v="4"/>
    <n v="4"/>
    <n v="4200"/>
    <x v="434"/>
    <x v="6"/>
    <x v="2"/>
    <n v="16800"/>
    <n v="1.2356164383561643"/>
    <n v="17"/>
    <n v="5"/>
  </r>
  <r>
    <x v="627"/>
    <x v="122"/>
    <x v="2"/>
    <n v="5"/>
    <n v="26.15"/>
    <x v="366"/>
    <x v="6"/>
    <x v="3"/>
    <n v="130.75"/>
    <n v="1.8602739726027397"/>
    <n v="17"/>
    <n v="5"/>
  </r>
  <r>
    <x v="628"/>
    <x v="122"/>
    <x v="6"/>
    <n v="3"/>
    <n v="107.52"/>
    <x v="98"/>
    <x v="1"/>
    <x v="2"/>
    <n v="322.56"/>
    <n v="1.747945205479452"/>
    <n v="18"/>
    <n v="7"/>
  </r>
  <r>
    <x v="629"/>
    <x v="123"/>
    <x v="0"/>
    <n v="3"/>
    <n v="900.24"/>
    <x v="264"/>
    <x v="1"/>
    <x v="0"/>
    <n v="2700.7200000000003"/>
    <n v="1.7397260273972603"/>
    <n v="16"/>
    <n v="5"/>
  </r>
  <r>
    <x v="630"/>
    <x v="123"/>
    <x v="0"/>
    <n v="3"/>
    <n v="900.24"/>
    <x v="440"/>
    <x v="4"/>
    <x v="1"/>
    <n v="2700.7200000000003"/>
    <n v="0.79726027397260268"/>
    <n v="17"/>
    <n v="5"/>
  </r>
  <r>
    <x v="631"/>
    <x v="123"/>
    <x v="1"/>
    <n v="5"/>
    <n v="203.3"/>
    <x v="441"/>
    <x v="1"/>
    <x v="4"/>
    <n v="1016.5"/>
    <n v="1.7726027397260273"/>
    <n v="15"/>
    <n v="10"/>
  </r>
  <r>
    <x v="632"/>
    <x v="123"/>
    <x v="6"/>
    <n v="3"/>
    <n v="107.52"/>
    <x v="442"/>
    <x v="9"/>
    <x v="2"/>
    <n v="322.56"/>
    <n v="1.2328767123287672"/>
    <n v="20"/>
    <n v="10"/>
  </r>
  <r>
    <x v="633"/>
    <x v="124"/>
    <x v="0"/>
    <n v="2"/>
    <n v="600.16"/>
    <x v="443"/>
    <x v="9"/>
    <x v="4"/>
    <n v="1200.32"/>
    <n v="1.8164383561643835"/>
    <n v="12"/>
    <n v="7"/>
  </r>
  <r>
    <x v="634"/>
    <x v="124"/>
    <x v="5"/>
    <n v="3"/>
    <n v="1800.51"/>
    <x v="118"/>
    <x v="0"/>
    <x v="1"/>
    <n v="5401.53"/>
    <n v="1.7287671232876711"/>
    <n v="13"/>
    <n v="7"/>
  </r>
  <r>
    <x v="635"/>
    <x v="124"/>
    <x v="2"/>
    <n v="3"/>
    <n v="15.69"/>
    <x v="419"/>
    <x v="0"/>
    <x v="3"/>
    <n v="47.07"/>
    <n v="1.6273972602739726"/>
    <n v="8"/>
    <n v="7"/>
  </r>
  <r>
    <x v="636"/>
    <x v="124"/>
    <x v="1"/>
    <n v="5"/>
    <n v="203.3"/>
    <x v="444"/>
    <x v="1"/>
    <x v="1"/>
    <n v="1016.5"/>
    <n v="1.5178082191780822"/>
    <n v="15"/>
    <n v="7"/>
  </r>
  <r>
    <x v="637"/>
    <x v="124"/>
    <x v="0"/>
    <n v="4"/>
    <n v="1200.32"/>
    <x v="214"/>
    <x v="1"/>
    <x v="3"/>
    <n v="4801.28"/>
    <n v="1.8273972602739725"/>
    <n v="16"/>
    <n v="7"/>
  </r>
  <r>
    <x v="638"/>
    <x v="124"/>
    <x v="1"/>
    <n v="5"/>
    <n v="203.3"/>
    <x v="61"/>
    <x v="8"/>
    <x v="4"/>
    <n v="1016.5"/>
    <n v="0.76712328767123283"/>
    <n v="2"/>
    <n v="10"/>
  </r>
  <r>
    <x v="639"/>
    <x v="125"/>
    <x v="5"/>
    <n v="4"/>
    <n v="2400.6799999999998"/>
    <x v="445"/>
    <x v="0"/>
    <x v="0"/>
    <n v="9602.7199999999993"/>
    <n v="0.50684931506849318"/>
    <n v="7"/>
    <n v="5"/>
  </r>
  <r>
    <x v="640"/>
    <x v="125"/>
    <x v="6"/>
    <n v="3"/>
    <n v="107.52"/>
    <x v="129"/>
    <x v="8"/>
    <x v="0"/>
    <n v="322.56"/>
    <n v="1.8027397260273972"/>
    <n v="15"/>
    <n v="7"/>
  </r>
  <r>
    <x v="641"/>
    <x v="125"/>
    <x v="3"/>
    <n v="2"/>
    <n v="30.3"/>
    <x v="363"/>
    <x v="0"/>
    <x v="2"/>
    <n v="60.6"/>
    <n v="1.6849315068493151"/>
    <n v="11"/>
    <n v="7"/>
  </r>
  <r>
    <x v="642"/>
    <x v="126"/>
    <x v="5"/>
    <n v="1"/>
    <n v="600.16999999999996"/>
    <x v="446"/>
    <x v="7"/>
    <x v="3"/>
    <n v="600.16999999999996"/>
    <n v="0.68219178082191778"/>
    <n v="17"/>
    <n v="5"/>
  </r>
  <r>
    <x v="643"/>
    <x v="126"/>
    <x v="2"/>
    <n v="1"/>
    <n v="5.23"/>
    <x v="334"/>
    <x v="0"/>
    <x v="3"/>
    <n v="5.23"/>
    <n v="1.5835616438356164"/>
    <n v="14"/>
    <n v="5"/>
  </r>
  <r>
    <x v="644"/>
    <x v="126"/>
    <x v="0"/>
    <n v="2"/>
    <n v="600.16"/>
    <x v="387"/>
    <x v="7"/>
    <x v="4"/>
    <n v="1200.32"/>
    <n v="1.3616438356164384"/>
    <n v="28"/>
    <n v="5"/>
  </r>
  <r>
    <x v="645"/>
    <x v="126"/>
    <x v="0"/>
    <n v="2"/>
    <n v="600.16"/>
    <x v="447"/>
    <x v="6"/>
    <x v="4"/>
    <n v="1200.32"/>
    <n v="1.4794520547945205"/>
    <n v="17"/>
    <n v="7"/>
  </r>
  <r>
    <x v="646"/>
    <x v="127"/>
    <x v="0"/>
    <n v="5"/>
    <n v="1500.4"/>
    <x v="262"/>
    <x v="8"/>
    <x v="4"/>
    <n v="7502"/>
    <n v="1.4575342465753425"/>
    <n v="7"/>
    <n v="7"/>
  </r>
  <r>
    <x v="647"/>
    <x v="127"/>
    <x v="0"/>
    <n v="1"/>
    <n v="300.08"/>
    <x v="448"/>
    <x v="4"/>
    <x v="3"/>
    <n v="300.08"/>
    <n v="1.6821917808219178"/>
    <n v="5"/>
    <n v="7"/>
  </r>
  <r>
    <x v="648"/>
    <x v="127"/>
    <x v="5"/>
    <n v="3"/>
    <n v="1800.51"/>
    <x v="267"/>
    <x v="1"/>
    <x v="4"/>
    <n v="5401.53"/>
    <n v="1.6739726027397259"/>
    <n v="21"/>
    <n v="7"/>
  </r>
  <r>
    <x v="649"/>
    <x v="127"/>
    <x v="0"/>
    <n v="5"/>
    <n v="1500.4"/>
    <x v="449"/>
    <x v="1"/>
    <x v="2"/>
    <n v="7502"/>
    <n v="1.9178082191780821"/>
    <n v="10"/>
    <n v="7"/>
  </r>
  <r>
    <x v="650"/>
    <x v="128"/>
    <x v="0"/>
    <n v="4"/>
    <n v="1200.32"/>
    <x v="269"/>
    <x v="6"/>
    <x v="4"/>
    <n v="4801.28"/>
    <n v="1.273972602739726"/>
    <n v="8"/>
    <n v="5"/>
  </r>
  <r>
    <x v="651"/>
    <x v="128"/>
    <x v="0"/>
    <n v="3"/>
    <n v="900.24"/>
    <x v="306"/>
    <x v="2"/>
    <x v="4"/>
    <n v="2700.7200000000003"/>
    <n v="2.0821917808219177"/>
    <n v="14"/>
    <n v="5"/>
  </r>
  <r>
    <x v="652"/>
    <x v="128"/>
    <x v="5"/>
    <n v="3"/>
    <n v="1800.51"/>
    <x v="34"/>
    <x v="4"/>
    <x v="4"/>
    <n v="5401.53"/>
    <n v="1.8630136986301369"/>
    <n v="13"/>
    <n v="5"/>
  </r>
  <r>
    <x v="653"/>
    <x v="128"/>
    <x v="7"/>
    <n v="2"/>
    <n v="23.46"/>
    <x v="70"/>
    <x v="7"/>
    <x v="0"/>
    <n v="46.92"/>
    <n v="1.0767123287671232"/>
    <n v="24"/>
    <n v="5"/>
  </r>
  <r>
    <x v="654"/>
    <x v="128"/>
    <x v="2"/>
    <n v="3"/>
    <n v="15.69"/>
    <x v="450"/>
    <x v="4"/>
    <x v="1"/>
    <n v="47.07"/>
    <n v="1.4684931506849315"/>
    <n v="22"/>
    <n v="7"/>
  </r>
  <r>
    <x v="655"/>
    <x v="128"/>
    <x v="3"/>
    <n v="1"/>
    <n v="15.15"/>
    <x v="420"/>
    <x v="6"/>
    <x v="0"/>
    <n v="15.15"/>
    <n v="1.0027397260273974"/>
    <n v="13"/>
    <n v="7"/>
  </r>
  <r>
    <x v="656"/>
    <x v="128"/>
    <x v="1"/>
    <n v="5"/>
    <n v="203.3"/>
    <x v="363"/>
    <x v="9"/>
    <x v="3"/>
    <n v="1016.5"/>
    <n v="2.0082191780821916"/>
    <n v="14"/>
    <n v="7"/>
  </r>
  <r>
    <x v="657"/>
    <x v="128"/>
    <x v="0"/>
    <n v="3"/>
    <n v="900.24"/>
    <x v="451"/>
    <x v="1"/>
    <x v="1"/>
    <n v="2700.7200000000003"/>
    <n v="5.2054794520547946E-2"/>
    <n v="6"/>
    <n v="10"/>
  </r>
  <r>
    <x v="658"/>
    <x v="128"/>
    <x v="2"/>
    <n v="2"/>
    <n v="10.46"/>
    <x v="452"/>
    <x v="0"/>
    <x v="0"/>
    <n v="20.92"/>
    <n v="0.41917808219178082"/>
    <n v="4"/>
    <n v="10"/>
  </r>
  <r>
    <x v="659"/>
    <x v="129"/>
    <x v="2"/>
    <n v="1"/>
    <n v="5.23"/>
    <x v="90"/>
    <x v="2"/>
    <x v="2"/>
    <n v="5.23"/>
    <n v="1.7698630136986302"/>
    <n v="16"/>
    <n v="5"/>
  </r>
  <r>
    <x v="660"/>
    <x v="129"/>
    <x v="2"/>
    <n v="2"/>
    <n v="10.46"/>
    <x v="453"/>
    <x v="4"/>
    <x v="2"/>
    <n v="20.92"/>
    <n v="1.8712328767123287"/>
    <n v="16"/>
    <n v="5"/>
  </r>
  <r>
    <x v="661"/>
    <x v="129"/>
    <x v="2"/>
    <n v="1"/>
    <n v="5.23"/>
    <x v="454"/>
    <x v="3"/>
    <x v="3"/>
    <n v="5.23"/>
    <n v="1.5041095890410958"/>
    <n v="11"/>
    <n v="7"/>
  </r>
  <r>
    <x v="662"/>
    <x v="129"/>
    <x v="4"/>
    <n v="1"/>
    <n v="1050"/>
    <x v="343"/>
    <x v="0"/>
    <x v="4"/>
    <n v="1050"/>
    <n v="2.0383561643835617"/>
    <n v="29"/>
    <n v="7"/>
  </r>
  <r>
    <x v="663"/>
    <x v="129"/>
    <x v="0"/>
    <n v="5"/>
    <n v="1500.4"/>
    <x v="455"/>
    <x v="0"/>
    <x v="0"/>
    <n v="7502"/>
    <n v="0.85479452054794525"/>
    <n v="20"/>
    <n v="7"/>
  </r>
  <r>
    <x v="664"/>
    <x v="129"/>
    <x v="0"/>
    <n v="5"/>
    <n v="1500.4"/>
    <x v="456"/>
    <x v="4"/>
    <x v="3"/>
    <n v="7502"/>
    <n v="1.8986301369863015"/>
    <n v="17"/>
    <n v="7"/>
  </r>
  <r>
    <x v="665"/>
    <x v="129"/>
    <x v="0"/>
    <n v="4"/>
    <n v="1200.32"/>
    <x v="67"/>
    <x v="9"/>
    <x v="2"/>
    <n v="4801.28"/>
    <n v="1.6986301369863013"/>
    <n v="15"/>
    <n v="7"/>
  </r>
  <r>
    <x v="666"/>
    <x v="130"/>
    <x v="0"/>
    <n v="2"/>
    <n v="600.16"/>
    <x v="245"/>
    <x v="8"/>
    <x v="1"/>
    <n v="1200.32"/>
    <n v="0.80547945205479454"/>
    <n v="11"/>
    <n v="5"/>
  </r>
  <r>
    <x v="667"/>
    <x v="130"/>
    <x v="2"/>
    <n v="1"/>
    <n v="5.23"/>
    <x v="120"/>
    <x v="1"/>
    <x v="4"/>
    <n v="5.23"/>
    <n v="1.4136986301369863"/>
    <n v="8"/>
    <n v="5"/>
  </r>
  <r>
    <x v="668"/>
    <x v="130"/>
    <x v="5"/>
    <n v="3"/>
    <n v="1800.51"/>
    <x v="457"/>
    <x v="5"/>
    <x v="4"/>
    <n v="5401.53"/>
    <n v="2.0547945205479454"/>
    <n v="26"/>
    <n v="5"/>
  </r>
  <r>
    <x v="669"/>
    <x v="130"/>
    <x v="2"/>
    <n v="5"/>
    <n v="26.15"/>
    <x v="386"/>
    <x v="1"/>
    <x v="4"/>
    <n v="130.75"/>
    <n v="1.6602739726027398"/>
    <n v="12"/>
    <n v="5"/>
  </r>
  <r>
    <x v="670"/>
    <x v="130"/>
    <x v="5"/>
    <n v="2"/>
    <n v="1200.3399999999999"/>
    <x v="404"/>
    <x v="9"/>
    <x v="3"/>
    <n v="2400.6799999999998"/>
    <n v="1.4164383561643836"/>
    <n v="18"/>
    <n v="7"/>
  </r>
  <r>
    <x v="671"/>
    <x v="130"/>
    <x v="0"/>
    <n v="4"/>
    <n v="1200.32"/>
    <x v="458"/>
    <x v="0"/>
    <x v="2"/>
    <n v="4801.28"/>
    <n v="1.8082191780821917"/>
    <n v="15"/>
    <n v="7"/>
  </r>
  <r>
    <x v="672"/>
    <x v="131"/>
    <x v="2"/>
    <n v="3"/>
    <n v="15.69"/>
    <x v="85"/>
    <x v="0"/>
    <x v="3"/>
    <n v="47.07"/>
    <n v="1.3315068493150686"/>
    <n v="22"/>
    <n v="5"/>
  </r>
  <r>
    <x v="673"/>
    <x v="131"/>
    <x v="1"/>
    <n v="5"/>
    <n v="203.3"/>
    <x v="271"/>
    <x v="4"/>
    <x v="2"/>
    <n v="1016.5"/>
    <n v="1.8767123287671232"/>
    <n v="16"/>
    <n v="5"/>
  </r>
  <r>
    <x v="674"/>
    <x v="131"/>
    <x v="6"/>
    <n v="1"/>
    <n v="35.840000000000003"/>
    <x v="459"/>
    <x v="3"/>
    <x v="2"/>
    <n v="35.840000000000003"/>
    <n v="1.5232876712328767"/>
    <n v="9"/>
    <n v="5"/>
  </r>
  <r>
    <x v="675"/>
    <x v="131"/>
    <x v="1"/>
    <n v="3"/>
    <n v="121.98"/>
    <x v="460"/>
    <x v="2"/>
    <x v="4"/>
    <n v="365.94"/>
    <n v="1.2027397260273973"/>
    <n v="18"/>
    <n v="7"/>
  </r>
  <r>
    <x v="676"/>
    <x v="131"/>
    <x v="7"/>
    <n v="2"/>
    <n v="23.46"/>
    <x v="461"/>
    <x v="8"/>
    <x v="0"/>
    <n v="46.92"/>
    <n v="1.8356164383561644"/>
    <n v="24"/>
    <n v="7"/>
  </r>
  <r>
    <x v="677"/>
    <x v="131"/>
    <x v="1"/>
    <n v="1"/>
    <n v="40.659999999999997"/>
    <x v="356"/>
    <x v="6"/>
    <x v="1"/>
    <n v="40.659999999999997"/>
    <n v="0"/>
    <n v="4"/>
    <n v="7"/>
  </r>
  <r>
    <x v="678"/>
    <x v="131"/>
    <x v="4"/>
    <n v="3"/>
    <n v="3150"/>
    <x v="274"/>
    <x v="4"/>
    <x v="1"/>
    <n v="9450"/>
    <n v="1.1424657534246576"/>
    <n v="14"/>
    <n v="7"/>
  </r>
  <r>
    <x v="679"/>
    <x v="132"/>
    <x v="1"/>
    <n v="5"/>
    <n v="203.3"/>
    <x v="341"/>
    <x v="6"/>
    <x v="2"/>
    <n v="1016.5"/>
    <n v="1.0849315068493151"/>
    <n v="8"/>
    <n v="5"/>
  </r>
  <r>
    <x v="680"/>
    <x v="132"/>
    <x v="7"/>
    <n v="5"/>
    <n v="58.65"/>
    <x v="427"/>
    <x v="1"/>
    <x v="1"/>
    <n v="293.25"/>
    <n v="1.2493150684931507"/>
    <n v="12"/>
    <n v="7"/>
  </r>
  <r>
    <x v="681"/>
    <x v="132"/>
    <x v="1"/>
    <n v="5"/>
    <n v="203.3"/>
    <x v="277"/>
    <x v="9"/>
    <x v="3"/>
    <n v="1016.5"/>
    <n v="0.86849315068493149"/>
    <n v="8"/>
    <n v="7"/>
  </r>
  <r>
    <x v="682"/>
    <x v="133"/>
    <x v="7"/>
    <n v="2"/>
    <n v="23.46"/>
    <x v="408"/>
    <x v="1"/>
    <x v="0"/>
    <n v="46.92"/>
    <n v="1.5671232876712329"/>
    <n v="24"/>
    <n v="5"/>
  </r>
  <r>
    <x v="683"/>
    <x v="133"/>
    <x v="4"/>
    <n v="1"/>
    <n v="1050"/>
    <x v="30"/>
    <x v="6"/>
    <x v="1"/>
    <n v="1050"/>
    <n v="1.6410958904109589"/>
    <n v="9"/>
    <n v="5"/>
  </r>
  <r>
    <x v="684"/>
    <x v="133"/>
    <x v="0"/>
    <n v="3"/>
    <n v="900.24"/>
    <x v="462"/>
    <x v="3"/>
    <x v="2"/>
    <n v="2700.7200000000003"/>
    <n v="1.8438356164383563"/>
    <n v="10"/>
    <n v="5"/>
  </r>
  <r>
    <x v="685"/>
    <x v="133"/>
    <x v="0"/>
    <n v="5"/>
    <n v="1500.4"/>
    <x v="92"/>
    <x v="0"/>
    <x v="0"/>
    <n v="7502"/>
    <n v="0.83013698630136989"/>
    <n v="7"/>
    <n v="5"/>
  </r>
  <r>
    <x v="686"/>
    <x v="133"/>
    <x v="1"/>
    <n v="3"/>
    <n v="121.98"/>
    <x v="168"/>
    <x v="4"/>
    <x v="4"/>
    <n v="365.94"/>
    <n v="1.6109589041095891"/>
    <n v="20"/>
    <n v="5"/>
  </r>
  <r>
    <x v="687"/>
    <x v="133"/>
    <x v="3"/>
    <n v="4"/>
    <n v="60.6"/>
    <x v="463"/>
    <x v="3"/>
    <x v="3"/>
    <n v="242.4"/>
    <n v="1.6465753424657534"/>
    <n v="21"/>
    <n v="7"/>
  </r>
  <r>
    <x v="688"/>
    <x v="133"/>
    <x v="0"/>
    <n v="3"/>
    <n v="900.24"/>
    <x v="464"/>
    <x v="2"/>
    <x v="0"/>
    <n v="2700.7200000000003"/>
    <n v="1.3260273972602741"/>
    <n v="22"/>
    <n v="7"/>
  </r>
  <r>
    <x v="689"/>
    <x v="133"/>
    <x v="1"/>
    <n v="5"/>
    <n v="203.3"/>
    <x v="382"/>
    <x v="8"/>
    <x v="2"/>
    <n v="1016.5"/>
    <n v="1.8191780821917809"/>
    <n v="24"/>
    <n v="7"/>
  </r>
  <r>
    <x v="690"/>
    <x v="133"/>
    <x v="5"/>
    <n v="2"/>
    <n v="1200.3399999999999"/>
    <x v="155"/>
    <x v="7"/>
    <x v="3"/>
    <n v="2400.6799999999998"/>
    <n v="0.63013698630136983"/>
    <n v="6"/>
    <n v="10"/>
  </r>
  <r>
    <x v="691"/>
    <x v="134"/>
    <x v="0"/>
    <n v="1"/>
    <n v="300.08"/>
    <x v="465"/>
    <x v="6"/>
    <x v="1"/>
    <n v="300.08"/>
    <n v="1.2219178082191782"/>
    <n v="13"/>
    <n v="5"/>
  </r>
  <r>
    <x v="692"/>
    <x v="134"/>
    <x v="0"/>
    <n v="3"/>
    <n v="900.24"/>
    <x v="88"/>
    <x v="0"/>
    <x v="2"/>
    <n v="2700.7200000000003"/>
    <n v="1.0191780821917809"/>
    <n v="21"/>
    <n v="7"/>
  </r>
  <r>
    <x v="693"/>
    <x v="134"/>
    <x v="1"/>
    <n v="4"/>
    <n v="162.63999999999999"/>
    <x v="329"/>
    <x v="6"/>
    <x v="2"/>
    <n v="650.55999999999995"/>
    <n v="1.441095890410959"/>
    <n v="11"/>
    <n v="7"/>
  </r>
  <r>
    <x v="694"/>
    <x v="134"/>
    <x v="3"/>
    <n v="3"/>
    <n v="45.45"/>
    <x v="466"/>
    <x v="6"/>
    <x v="1"/>
    <n v="136.35000000000002"/>
    <n v="1.3123287671232877"/>
    <n v="10"/>
    <n v="7"/>
  </r>
  <r>
    <x v="695"/>
    <x v="134"/>
    <x v="6"/>
    <n v="2"/>
    <n v="71.680000000000007"/>
    <x v="350"/>
    <x v="6"/>
    <x v="3"/>
    <n v="143.36000000000001"/>
    <n v="1.904109589041096"/>
    <n v="14"/>
    <n v="7"/>
  </r>
  <r>
    <x v="696"/>
    <x v="134"/>
    <x v="1"/>
    <n v="5"/>
    <n v="203.3"/>
    <x v="310"/>
    <x v="1"/>
    <x v="3"/>
    <n v="1016.5"/>
    <n v="0.1095890410958904"/>
    <n v="4"/>
    <n v="7"/>
  </r>
  <r>
    <x v="697"/>
    <x v="135"/>
    <x v="0"/>
    <n v="3"/>
    <n v="900.24"/>
    <x v="270"/>
    <x v="7"/>
    <x v="3"/>
    <n v="2700.7200000000003"/>
    <n v="0.62465753424657533"/>
    <n v="13"/>
    <n v="5"/>
  </r>
  <r>
    <x v="698"/>
    <x v="135"/>
    <x v="0"/>
    <n v="1"/>
    <n v="300.08"/>
    <x v="204"/>
    <x v="9"/>
    <x v="1"/>
    <n v="300.08"/>
    <n v="1.3041095890410959"/>
    <n v="9"/>
    <n v="5"/>
  </r>
  <r>
    <x v="699"/>
    <x v="135"/>
    <x v="3"/>
    <n v="4"/>
    <n v="60.6"/>
    <x v="467"/>
    <x v="3"/>
    <x v="1"/>
    <n v="242.4"/>
    <n v="1.1972602739726028"/>
    <n v="33"/>
    <n v="7"/>
  </r>
  <r>
    <x v="700"/>
    <x v="135"/>
    <x v="7"/>
    <n v="1"/>
    <n v="11.73"/>
    <x v="468"/>
    <x v="0"/>
    <x v="0"/>
    <n v="11.73"/>
    <n v="1.0520547945205478"/>
    <n v="11"/>
    <n v="7"/>
  </r>
  <r>
    <x v="701"/>
    <x v="135"/>
    <x v="5"/>
    <n v="3"/>
    <n v="1800.51"/>
    <x v="119"/>
    <x v="3"/>
    <x v="4"/>
    <n v="5401.53"/>
    <n v="1.2657534246575342"/>
    <n v="23"/>
    <n v="7"/>
  </r>
  <r>
    <x v="702"/>
    <x v="135"/>
    <x v="0"/>
    <n v="5"/>
    <n v="1500.4"/>
    <x v="67"/>
    <x v="6"/>
    <x v="1"/>
    <n v="7502"/>
    <n v="0.91506849315068495"/>
    <n v="6"/>
    <n v="7"/>
  </r>
  <r>
    <x v="703"/>
    <x v="136"/>
    <x v="2"/>
    <n v="2"/>
    <n v="10.46"/>
    <x v="132"/>
    <x v="7"/>
    <x v="1"/>
    <n v="20.92"/>
    <n v="1.1863013698630136"/>
    <n v="7"/>
    <n v="5"/>
  </r>
  <r>
    <x v="704"/>
    <x v="136"/>
    <x v="0"/>
    <n v="2"/>
    <n v="600.16"/>
    <x v="469"/>
    <x v="6"/>
    <x v="4"/>
    <n v="1200.32"/>
    <n v="1.9753424657534246"/>
    <n v="23"/>
    <n v="5"/>
  </r>
  <r>
    <x v="705"/>
    <x v="136"/>
    <x v="0"/>
    <n v="2"/>
    <n v="600.16"/>
    <x v="355"/>
    <x v="5"/>
    <x v="4"/>
    <n v="1200.32"/>
    <n v="1.8410958904109589"/>
    <n v="8"/>
    <n v="5"/>
  </r>
  <r>
    <x v="706"/>
    <x v="136"/>
    <x v="7"/>
    <n v="3"/>
    <n v="35.19"/>
    <x v="127"/>
    <x v="5"/>
    <x v="0"/>
    <n v="105.57"/>
    <n v="1.9753424657534246"/>
    <n v="29"/>
    <n v="7"/>
  </r>
  <r>
    <x v="707"/>
    <x v="136"/>
    <x v="4"/>
    <n v="4"/>
    <n v="4200"/>
    <x v="470"/>
    <x v="8"/>
    <x v="0"/>
    <n v="16800"/>
    <n v="1.1726027397260275"/>
    <n v="15"/>
    <n v="7"/>
  </r>
  <r>
    <x v="708"/>
    <x v="136"/>
    <x v="6"/>
    <n v="3"/>
    <n v="107.52"/>
    <x v="449"/>
    <x v="1"/>
    <x v="4"/>
    <n v="322.56"/>
    <n v="0.70958904109589038"/>
    <n v="17"/>
    <n v="7"/>
  </r>
  <r>
    <x v="709"/>
    <x v="136"/>
    <x v="1"/>
    <n v="3"/>
    <n v="121.98"/>
    <x v="442"/>
    <x v="6"/>
    <x v="2"/>
    <n v="365.94"/>
    <n v="1.3808219178082193"/>
    <n v="10"/>
    <n v="10"/>
  </r>
  <r>
    <x v="710"/>
    <x v="137"/>
    <x v="0"/>
    <n v="4"/>
    <n v="1200.32"/>
    <x v="471"/>
    <x v="4"/>
    <x v="0"/>
    <n v="4801.28"/>
    <n v="1.1945205479452055"/>
    <n v="28"/>
    <n v="5"/>
  </r>
  <r>
    <x v="711"/>
    <x v="137"/>
    <x v="5"/>
    <n v="3"/>
    <n v="1800.51"/>
    <x v="188"/>
    <x v="1"/>
    <x v="2"/>
    <n v="5401.53"/>
    <n v="1.5397260273972602"/>
    <n v="9"/>
    <n v="7"/>
  </r>
  <r>
    <x v="712"/>
    <x v="137"/>
    <x v="5"/>
    <n v="4"/>
    <n v="2400.6799999999998"/>
    <x v="391"/>
    <x v="6"/>
    <x v="4"/>
    <n v="9602.7199999999993"/>
    <n v="1.4767123287671233"/>
    <n v="24"/>
    <n v="7"/>
  </r>
  <r>
    <x v="713"/>
    <x v="137"/>
    <x v="1"/>
    <n v="5"/>
    <n v="203.3"/>
    <x v="114"/>
    <x v="9"/>
    <x v="4"/>
    <n v="1016.5"/>
    <n v="1.6"/>
    <n v="8"/>
    <n v="7"/>
  </r>
  <r>
    <x v="714"/>
    <x v="137"/>
    <x v="1"/>
    <n v="2"/>
    <n v="81.319999999999993"/>
    <x v="472"/>
    <x v="4"/>
    <x v="4"/>
    <n v="162.63999999999999"/>
    <n v="0.45205479452054792"/>
    <n v="10"/>
    <n v="7"/>
  </r>
  <r>
    <x v="715"/>
    <x v="137"/>
    <x v="0"/>
    <n v="3"/>
    <n v="900.24"/>
    <x v="251"/>
    <x v="1"/>
    <x v="4"/>
    <n v="2700.7200000000003"/>
    <n v="0.34246575342465752"/>
    <n v="3"/>
    <n v="10"/>
  </r>
  <r>
    <x v="716"/>
    <x v="137"/>
    <x v="0"/>
    <n v="1"/>
    <n v="300.08"/>
    <x v="26"/>
    <x v="0"/>
    <x v="4"/>
    <n v="300.08"/>
    <n v="0.69863013698630139"/>
    <n v="7"/>
    <n v="10"/>
  </r>
  <r>
    <x v="717"/>
    <x v="138"/>
    <x v="4"/>
    <n v="2"/>
    <n v="2100"/>
    <x v="298"/>
    <x v="4"/>
    <x v="1"/>
    <n v="4200"/>
    <n v="0.36986301369863012"/>
    <n v="15"/>
    <n v="5"/>
  </r>
  <r>
    <x v="718"/>
    <x v="138"/>
    <x v="0"/>
    <n v="5"/>
    <n v="1500.4"/>
    <x v="106"/>
    <x v="1"/>
    <x v="1"/>
    <n v="7502"/>
    <n v="1.1753424657534246"/>
    <n v="20"/>
    <n v="5"/>
  </r>
  <r>
    <x v="719"/>
    <x v="138"/>
    <x v="2"/>
    <n v="5"/>
    <n v="26.15"/>
    <x v="473"/>
    <x v="7"/>
    <x v="2"/>
    <n v="130.75"/>
    <n v="0.90410958904109584"/>
    <n v="7"/>
    <n v="5"/>
  </r>
  <r>
    <x v="720"/>
    <x v="138"/>
    <x v="4"/>
    <n v="1"/>
    <n v="1050"/>
    <x v="230"/>
    <x v="6"/>
    <x v="4"/>
    <n v="1050"/>
    <n v="2.0876712328767124"/>
    <n v="20"/>
    <n v="5"/>
  </r>
  <r>
    <x v="721"/>
    <x v="138"/>
    <x v="1"/>
    <n v="3"/>
    <n v="121.98"/>
    <x v="208"/>
    <x v="1"/>
    <x v="3"/>
    <n v="365.94"/>
    <n v="1.5780821917808219"/>
    <n v="23"/>
    <n v="5"/>
  </r>
  <r>
    <x v="722"/>
    <x v="139"/>
    <x v="1"/>
    <n v="2"/>
    <n v="81.319999999999993"/>
    <x v="474"/>
    <x v="7"/>
    <x v="2"/>
    <n v="162.63999999999999"/>
    <n v="1.9506849315068493"/>
    <n v="23"/>
    <n v="5"/>
  </r>
  <r>
    <x v="723"/>
    <x v="139"/>
    <x v="1"/>
    <n v="4"/>
    <n v="162.63999999999999"/>
    <x v="21"/>
    <x v="7"/>
    <x v="1"/>
    <n v="650.55999999999995"/>
    <n v="1.5671232876712329"/>
    <n v="21"/>
    <n v="5"/>
  </r>
  <r>
    <x v="724"/>
    <x v="139"/>
    <x v="0"/>
    <n v="2"/>
    <n v="600.16"/>
    <x v="475"/>
    <x v="6"/>
    <x v="0"/>
    <n v="1200.32"/>
    <n v="2.0493150684931507"/>
    <n v="31"/>
    <n v="5"/>
  </r>
  <r>
    <x v="725"/>
    <x v="139"/>
    <x v="0"/>
    <n v="2"/>
    <n v="600.16"/>
    <x v="476"/>
    <x v="4"/>
    <x v="2"/>
    <n v="1200.32"/>
    <n v="2.1013698630136988"/>
    <n v="16"/>
    <n v="7"/>
  </r>
  <r>
    <x v="726"/>
    <x v="140"/>
    <x v="1"/>
    <n v="5"/>
    <n v="203.3"/>
    <x v="318"/>
    <x v="0"/>
    <x v="2"/>
    <n v="1016.5"/>
    <n v="1.3397260273972602"/>
    <n v="15"/>
    <n v="5"/>
  </r>
  <r>
    <x v="727"/>
    <x v="140"/>
    <x v="0"/>
    <n v="3"/>
    <n v="900.24"/>
    <x v="88"/>
    <x v="6"/>
    <x v="0"/>
    <n v="2700.7200000000003"/>
    <n v="1.3178082191780822"/>
    <n v="19"/>
    <n v="7"/>
  </r>
  <r>
    <x v="728"/>
    <x v="141"/>
    <x v="3"/>
    <n v="4"/>
    <n v="60.6"/>
    <x v="275"/>
    <x v="3"/>
    <x v="3"/>
    <n v="242.4"/>
    <n v="1.978082191780822"/>
    <n v="23"/>
    <n v="5"/>
  </r>
  <r>
    <x v="729"/>
    <x v="141"/>
    <x v="1"/>
    <n v="5"/>
    <n v="203.3"/>
    <x v="477"/>
    <x v="4"/>
    <x v="4"/>
    <n v="1016.5"/>
    <n v="1.5397260273972602"/>
    <n v="10"/>
    <n v="5"/>
  </r>
  <r>
    <x v="730"/>
    <x v="141"/>
    <x v="3"/>
    <n v="4"/>
    <n v="60.6"/>
    <x v="209"/>
    <x v="1"/>
    <x v="0"/>
    <n v="242.4"/>
    <n v="0.9397260273972603"/>
    <n v="11"/>
    <n v="7"/>
  </r>
  <r>
    <x v="731"/>
    <x v="142"/>
    <x v="4"/>
    <n v="1"/>
    <n v="1050"/>
    <x v="245"/>
    <x v="7"/>
    <x v="1"/>
    <n v="1050"/>
    <n v="1.789041095890411"/>
    <n v="11"/>
    <n v="5"/>
  </r>
  <r>
    <x v="732"/>
    <x v="142"/>
    <x v="5"/>
    <n v="3"/>
    <n v="1800.51"/>
    <x v="478"/>
    <x v="0"/>
    <x v="4"/>
    <n v="5401.53"/>
    <n v="7.3972602739726029E-2"/>
    <n v="4"/>
    <n v="5"/>
  </r>
  <r>
    <x v="733"/>
    <x v="142"/>
    <x v="6"/>
    <n v="4"/>
    <n v="143.36000000000001"/>
    <x v="479"/>
    <x v="6"/>
    <x v="4"/>
    <n v="573.44000000000005"/>
    <n v="2.0082191780821916"/>
    <n v="19"/>
    <n v="5"/>
  </r>
  <r>
    <x v="734"/>
    <x v="142"/>
    <x v="2"/>
    <n v="3"/>
    <n v="15.69"/>
    <x v="454"/>
    <x v="0"/>
    <x v="1"/>
    <n v="47.07"/>
    <n v="1.7780821917808218"/>
    <n v="25"/>
    <n v="7"/>
  </r>
  <r>
    <x v="735"/>
    <x v="142"/>
    <x v="7"/>
    <n v="5"/>
    <n v="58.65"/>
    <x v="480"/>
    <x v="5"/>
    <x v="0"/>
    <n v="293.25"/>
    <n v="0"/>
    <n v="3"/>
    <n v="7"/>
  </r>
  <r>
    <x v="736"/>
    <x v="142"/>
    <x v="0"/>
    <n v="2"/>
    <n v="600.16"/>
    <x v="274"/>
    <x v="2"/>
    <x v="2"/>
    <n v="1200.32"/>
    <n v="1.3369863013698631"/>
    <n v="13"/>
    <n v="7"/>
  </r>
  <r>
    <x v="737"/>
    <x v="143"/>
    <x v="1"/>
    <n v="3"/>
    <n v="121.98"/>
    <x v="72"/>
    <x v="1"/>
    <x v="1"/>
    <n v="365.94"/>
    <n v="1.9315068493150684"/>
    <n v="12"/>
    <n v="5"/>
  </r>
  <r>
    <x v="738"/>
    <x v="143"/>
    <x v="0"/>
    <n v="2"/>
    <n v="600.16"/>
    <x v="39"/>
    <x v="6"/>
    <x v="1"/>
    <n v="1200.32"/>
    <n v="1.8493150684931507"/>
    <n v="19"/>
    <n v="5"/>
  </r>
  <r>
    <x v="739"/>
    <x v="143"/>
    <x v="0"/>
    <n v="5"/>
    <n v="1500.4"/>
    <x v="176"/>
    <x v="9"/>
    <x v="2"/>
    <n v="7502"/>
    <n v="1.747945205479452"/>
    <n v="22"/>
    <n v="5"/>
  </r>
  <r>
    <x v="740"/>
    <x v="143"/>
    <x v="0"/>
    <n v="2"/>
    <n v="600.16"/>
    <x v="92"/>
    <x v="0"/>
    <x v="3"/>
    <n v="1200.32"/>
    <n v="0.95342465753424654"/>
    <n v="23"/>
    <n v="5"/>
  </r>
  <r>
    <x v="741"/>
    <x v="143"/>
    <x v="4"/>
    <n v="4"/>
    <n v="4200"/>
    <x v="316"/>
    <x v="1"/>
    <x v="0"/>
    <n v="16800"/>
    <n v="1.473972602739726"/>
    <n v="9"/>
    <n v="7"/>
  </r>
  <r>
    <x v="742"/>
    <x v="143"/>
    <x v="0"/>
    <n v="3"/>
    <n v="900.24"/>
    <x v="481"/>
    <x v="1"/>
    <x v="0"/>
    <n v="2700.7200000000003"/>
    <n v="1.904109589041096"/>
    <n v="27"/>
    <n v="7"/>
  </r>
  <r>
    <x v="743"/>
    <x v="143"/>
    <x v="2"/>
    <n v="2"/>
    <n v="10.46"/>
    <x v="482"/>
    <x v="2"/>
    <x v="3"/>
    <n v="20.92"/>
    <n v="1.8767123287671232"/>
    <n v="12"/>
    <n v="10"/>
  </r>
  <r>
    <x v="744"/>
    <x v="144"/>
    <x v="5"/>
    <n v="3"/>
    <n v="1800.51"/>
    <x v="483"/>
    <x v="6"/>
    <x v="3"/>
    <n v="5401.53"/>
    <n v="2.0246575342465754"/>
    <n v="31"/>
    <n v="5"/>
  </r>
  <r>
    <x v="745"/>
    <x v="144"/>
    <x v="5"/>
    <n v="2"/>
    <n v="1200.3399999999999"/>
    <x v="484"/>
    <x v="2"/>
    <x v="3"/>
    <n v="2400.6799999999998"/>
    <n v="0.77808219178082194"/>
    <n v="7"/>
    <n v="5"/>
  </r>
  <r>
    <x v="746"/>
    <x v="144"/>
    <x v="5"/>
    <n v="3"/>
    <n v="1800.51"/>
    <x v="485"/>
    <x v="6"/>
    <x v="0"/>
    <n v="5401.53"/>
    <n v="1.6794520547945206"/>
    <n v="36"/>
    <n v="5"/>
  </r>
  <r>
    <x v="747"/>
    <x v="144"/>
    <x v="0"/>
    <n v="5"/>
    <n v="1500.4"/>
    <x v="352"/>
    <x v="4"/>
    <x v="0"/>
    <n v="7502"/>
    <n v="1.1095890410958904"/>
    <n v="2"/>
    <n v="5"/>
  </r>
  <r>
    <x v="748"/>
    <x v="144"/>
    <x v="0"/>
    <n v="2"/>
    <n v="600.16"/>
    <x v="486"/>
    <x v="6"/>
    <x v="3"/>
    <n v="1200.32"/>
    <n v="1.6219178082191781"/>
    <n v="6"/>
    <n v="7"/>
  </r>
  <r>
    <x v="749"/>
    <x v="144"/>
    <x v="0"/>
    <n v="3"/>
    <n v="900.24"/>
    <x v="252"/>
    <x v="1"/>
    <x v="0"/>
    <n v="2700.7200000000003"/>
    <n v="1.6164383561643836"/>
    <n v="22"/>
    <n v="7"/>
  </r>
  <r>
    <x v="750"/>
    <x v="144"/>
    <x v="0"/>
    <n v="2"/>
    <n v="600.16"/>
    <x v="255"/>
    <x v="4"/>
    <x v="3"/>
    <n v="1200.32"/>
    <n v="0.47671232876712327"/>
    <n v="3"/>
    <n v="7"/>
  </r>
  <r>
    <x v="751"/>
    <x v="145"/>
    <x v="1"/>
    <n v="5"/>
    <n v="203.3"/>
    <x v="183"/>
    <x v="0"/>
    <x v="1"/>
    <n v="1016.5"/>
    <n v="1.2301369863013698"/>
    <n v="15"/>
    <n v="5"/>
  </r>
  <r>
    <x v="752"/>
    <x v="145"/>
    <x v="2"/>
    <n v="5"/>
    <n v="26.15"/>
    <x v="202"/>
    <x v="9"/>
    <x v="1"/>
    <n v="130.75"/>
    <n v="1.8794520547945206"/>
    <n v="16"/>
    <n v="5"/>
  </r>
  <r>
    <x v="753"/>
    <x v="145"/>
    <x v="2"/>
    <n v="2"/>
    <n v="10.46"/>
    <x v="177"/>
    <x v="0"/>
    <x v="2"/>
    <n v="20.92"/>
    <n v="1.5726027397260274"/>
    <n v="20"/>
    <n v="5"/>
  </r>
  <r>
    <x v="754"/>
    <x v="145"/>
    <x v="0"/>
    <n v="1"/>
    <n v="300.08"/>
    <x v="231"/>
    <x v="2"/>
    <x v="2"/>
    <n v="300.08"/>
    <n v="1.2767123287671234"/>
    <n v="5"/>
    <n v="5"/>
  </r>
  <r>
    <x v="755"/>
    <x v="145"/>
    <x v="3"/>
    <n v="2"/>
    <n v="30.3"/>
    <x v="487"/>
    <x v="6"/>
    <x v="1"/>
    <n v="60.6"/>
    <n v="1.0027397260273974"/>
    <n v="12"/>
    <n v="7"/>
  </r>
  <r>
    <x v="756"/>
    <x v="145"/>
    <x v="7"/>
    <n v="1"/>
    <n v="11.73"/>
    <x v="488"/>
    <x v="0"/>
    <x v="4"/>
    <n v="11.73"/>
    <n v="1.7808219178082192"/>
    <n v="14"/>
    <n v="7"/>
  </r>
  <r>
    <x v="757"/>
    <x v="145"/>
    <x v="0"/>
    <n v="4"/>
    <n v="1200.32"/>
    <x v="489"/>
    <x v="0"/>
    <x v="4"/>
    <n v="4801.28"/>
    <n v="1.3616438356164384"/>
    <n v="20"/>
    <n v="7"/>
  </r>
  <r>
    <x v="758"/>
    <x v="145"/>
    <x v="1"/>
    <n v="3"/>
    <n v="121.98"/>
    <x v="316"/>
    <x v="6"/>
    <x v="0"/>
    <n v="365.94"/>
    <n v="1.4821917808219178"/>
    <n v="13"/>
    <n v="7"/>
  </r>
  <r>
    <x v="759"/>
    <x v="145"/>
    <x v="0"/>
    <n v="2"/>
    <n v="600.16"/>
    <x v="378"/>
    <x v="0"/>
    <x v="0"/>
    <n v="1200.32"/>
    <n v="1.8684931506849316"/>
    <n v="10"/>
    <n v="7"/>
  </r>
  <r>
    <x v="760"/>
    <x v="146"/>
    <x v="0"/>
    <n v="2"/>
    <n v="600.16"/>
    <x v="490"/>
    <x v="9"/>
    <x v="4"/>
    <n v="1200.32"/>
    <n v="1.1479452054794521"/>
    <n v="11"/>
    <n v="5"/>
  </r>
  <r>
    <x v="761"/>
    <x v="146"/>
    <x v="1"/>
    <n v="5"/>
    <n v="203.3"/>
    <x v="491"/>
    <x v="6"/>
    <x v="2"/>
    <n v="1016.5"/>
    <n v="1.5780821917808219"/>
    <n v="16"/>
    <n v="7"/>
  </r>
  <r>
    <x v="762"/>
    <x v="146"/>
    <x v="5"/>
    <n v="1"/>
    <n v="600.16999999999996"/>
    <x v="182"/>
    <x v="9"/>
    <x v="2"/>
    <n v="600.16999999999996"/>
    <n v="1.7808219178082192"/>
    <n v="30"/>
    <n v="7"/>
  </r>
  <r>
    <x v="763"/>
    <x v="147"/>
    <x v="0"/>
    <n v="5"/>
    <n v="1500.4"/>
    <x v="492"/>
    <x v="7"/>
    <x v="0"/>
    <n v="7502"/>
    <n v="1.3726027397260274"/>
    <n v="14"/>
    <n v="5"/>
  </r>
  <r>
    <x v="764"/>
    <x v="147"/>
    <x v="1"/>
    <n v="2"/>
    <n v="81.319999999999993"/>
    <x v="269"/>
    <x v="6"/>
    <x v="4"/>
    <n v="162.63999999999999"/>
    <n v="1.7808219178082192"/>
    <n v="7"/>
    <n v="5"/>
  </r>
  <r>
    <x v="765"/>
    <x v="147"/>
    <x v="1"/>
    <n v="4"/>
    <n v="162.63999999999999"/>
    <x v="232"/>
    <x v="5"/>
    <x v="4"/>
    <n v="650.55999999999995"/>
    <n v="1.9150684931506849"/>
    <n v="19"/>
    <n v="5"/>
  </r>
  <r>
    <x v="766"/>
    <x v="147"/>
    <x v="0"/>
    <n v="2"/>
    <n v="600.16"/>
    <x v="154"/>
    <x v="1"/>
    <x v="0"/>
    <n v="1200.32"/>
    <n v="1.6438356164383561"/>
    <n v="17"/>
    <n v="7"/>
  </r>
  <r>
    <x v="767"/>
    <x v="147"/>
    <x v="2"/>
    <n v="1"/>
    <n v="5.23"/>
    <x v="368"/>
    <x v="1"/>
    <x v="2"/>
    <n v="5.23"/>
    <n v="1.726027397260274"/>
    <n v="13"/>
    <n v="7"/>
  </r>
  <r>
    <x v="768"/>
    <x v="147"/>
    <x v="1"/>
    <n v="5"/>
    <n v="203.3"/>
    <x v="218"/>
    <x v="1"/>
    <x v="3"/>
    <n v="1016.5"/>
    <n v="0.70136986301369864"/>
    <n v="3"/>
    <n v="7"/>
  </r>
  <r>
    <x v="769"/>
    <x v="148"/>
    <x v="1"/>
    <n v="4"/>
    <n v="162.63999999999999"/>
    <x v="493"/>
    <x v="7"/>
    <x v="1"/>
    <n v="650.55999999999995"/>
    <n v="1.3013698630136987"/>
    <n v="8"/>
    <n v="5"/>
  </r>
  <r>
    <x v="770"/>
    <x v="148"/>
    <x v="0"/>
    <n v="1"/>
    <n v="300.08"/>
    <x v="78"/>
    <x v="2"/>
    <x v="3"/>
    <n v="300.08"/>
    <n v="2"/>
    <n v="22"/>
    <n v="5"/>
  </r>
  <r>
    <x v="771"/>
    <x v="148"/>
    <x v="0"/>
    <n v="4"/>
    <n v="1200.32"/>
    <x v="393"/>
    <x v="6"/>
    <x v="2"/>
    <n v="4801.28"/>
    <n v="0.9616438356164384"/>
    <n v="24"/>
    <n v="7"/>
  </r>
  <r>
    <x v="772"/>
    <x v="148"/>
    <x v="1"/>
    <n v="2"/>
    <n v="81.319999999999993"/>
    <x v="287"/>
    <x v="0"/>
    <x v="3"/>
    <n v="162.63999999999999"/>
    <n v="1.2575342465753425"/>
    <n v="17"/>
    <n v="7"/>
  </r>
  <r>
    <x v="773"/>
    <x v="149"/>
    <x v="5"/>
    <n v="5"/>
    <n v="3000.85"/>
    <x v="494"/>
    <x v="6"/>
    <x v="4"/>
    <n v="15004.25"/>
    <n v="1.8876712328767122"/>
    <n v="31"/>
    <n v="5"/>
  </r>
  <r>
    <x v="774"/>
    <x v="149"/>
    <x v="1"/>
    <n v="4"/>
    <n v="162.63999999999999"/>
    <x v="137"/>
    <x v="6"/>
    <x v="4"/>
    <n v="650.55999999999995"/>
    <n v="1.9945205479452055"/>
    <n v="27"/>
    <n v="5"/>
  </r>
  <r>
    <x v="775"/>
    <x v="149"/>
    <x v="0"/>
    <n v="2"/>
    <n v="600.16"/>
    <x v="495"/>
    <x v="8"/>
    <x v="3"/>
    <n v="1200.32"/>
    <n v="1.9698630136986301"/>
    <n v="17"/>
    <n v="5"/>
  </r>
  <r>
    <x v="776"/>
    <x v="149"/>
    <x v="0"/>
    <n v="1"/>
    <n v="300.08"/>
    <x v="496"/>
    <x v="9"/>
    <x v="4"/>
    <n v="300.08"/>
    <n v="1.7232876712328766"/>
    <n v="13"/>
    <n v="10"/>
  </r>
  <r>
    <x v="777"/>
    <x v="150"/>
    <x v="2"/>
    <n v="4"/>
    <n v="20.92"/>
    <x v="279"/>
    <x v="7"/>
    <x v="4"/>
    <n v="83.68"/>
    <n v="1.1150684931506849"/>
    <n v="13"/>
    <n v="5"/>
  </r>
  <r>
    <x v="778"/>
    <x v="150"/>
    <x v="0"/>
    <n v="3"/>
    <n v="900.24"/>
    <x v="497"/>
    <x v="4"/>
    <x v="2"/>
    <n v="2700.7200000000003"/>
    <n v="5.7534246575342465E-2"/>
    <n v="5"/>
    <n v="5"/>
  </r>
  <r>
    <x v="779"/>
    <x v="150"/>
    <x v="1"/>
    <n v="2"/>
    <n v="81.319999999999993"/>
    <x v="498"/>
    <x v="0"/>
    <x v="1"/>
    <n v="162.63999999999999"/>
    <n v="1.5041095890410958"/>
    <n v="20"/>
    <n v="5"/>
  </r>
  <r>
    <x v="780"/>
    <x v="150"/>
    <x v="4"/>
    <n v="1"/>
    <n v="1050"/>
    <x v="108"/>
    <x v="0"/>
    <x v="2"/>
    <n v="1050"/>
    <n v="1.6849315068493151"/>
    <n v="21"/>
    <n v="5"/>
  </r>
  <r>
    <x v="781"/>
    <x v="150"/>
    <x v="2"/>
    <n v="3"/>
    <n v="15.69"/>
    <x v="499"/>
    <x v="0"/>
    <x v="2"/>
    <n v="47.07"/>
    <n v="1.515068493150685"/>
    <n v="22"/>
    <n v="7"/>
  </r>
  <r>
    <x v="782"/>
    <x v="151"/>
    <x v="0"/>
    <n v="3"/>
    <n v="900.24"/>
    <x v="149"/>
    <x v="6"/>
    <x v="2"/>
    <n v="2700.7200000000003"/>
    <n v="1.6191780821917807"/>
    <n v="19"/>
    <n v="5"/>
  </r>
  <r>
    <x v="783"/>
    <x v="151"/>
    <x v="5"/>
    <n v="1"/>
    <n v="600.16999999999996"/>
    <x v="500"/>
    <x v="6"/>
    <x v="1"/>
    <n v="600.16999999999996"/>
    <n v="1.3616438356164384"/>
    <n v="12"/>
    <n v="5"/>
  </r>
  <r>
    <x v="784"/>
    <x v="151"/>
    <x v="0"/>
    <n v="4"/>
    <n v="1200.32"/>
    <x v="365"/>
    <x v="7"/>
    <x v="2"/>
    <n v="4801.28"/>
    <n v="1.8849315068493151"/>
    <n v="12"/>
    <n v="7"/>
  </r>
  <r>
    <x v="785"/>
    <x v="152"/>
    <x v="0"/>
    <n v="2"/>
    <n v="600.16"/>
    <x v="239"/>
    <x v="4"/>
    <x v="4"/>
    <n v="1200.32"/>
    <n v="1.252054794520548"/>
    <n v="17"/>
    <n v="5"/>
  </r>
  <r>
    <x v="786"/>
    <x v="152"/>
    <x v="1"/>
    <n v="4"/>
    <n v="162.63999999999999"/>
    <x v="501"/>
    <x v="8"/>
    <x v="1"/>
    <n v="650.55999999999995"/>
    <n v="0"/>
    <n v="1"/>
    <n v="5"/>
  </r>
  <r>
    <x v="787"/>
    <x v="152"/>
    <x v="6"/>
    <n v="4"/>
    <n v="143.36000000000001"/>
    <x v="502"/>
    <x v="6"/>
    <x v="0"/>
    <n v="573.44000000000005"/>
    <n v="1.167123287671233"/>
    <n v="18"/>
    <n v="5"/>
  </r>
  <r>
    <x v="788"/>
    <x v="152"/>
    <x v="0"/>
    <n v="1"/>
    <n v="300.08"/>
    <x v="503"/>
    <x v="4"/>
    <x v="2"/>
    <n v="300.08"/>
    <n v="0.87397260273972599"/>
    <n v="12"/>
    <n v="7"/>
  </r>
  <r>
    <x v="789"/>
    <x v="152"/>
    <x v="2"/>
    <n v="3"/>
    <n v="15.69"/>
    <x v="504"/>
    <x v="2"/>
    <x v="0"/>
    <n v="47.07"/>
    <n v="2.0931506849315067"/>
    <n v="13"/>
    <n v="7"/>
  </r>
  <r>
    <x v="790"/>
    <x v="153"/>
    <x v="1"/>
    <n v="1"/>
    <n v="40.659999999999997"/>
    <x v="505"/>
    <x v="1"/>
    <x v="4"/>
    <n v="40.659999999999997"/>
    <n v="1.5972602739726027"/>
    <n v="15"/>
    <n v="5"/>
  </r>
  <r>
    <x v="791"/>
    <x v="153"/>
    <x v="0"/>
    <n v="1"/>
    <n v="300.08"/>
    <x v="506"/>
    <x v="1"/>
    <x v="4"/>
    <n v="300.08"/>
    <n v="0.36986301369863012"/>
    <n v="8"/>
    <n v="7"/>
  </r>
  <r>
    <x v="792"/>
    <x v="154"/>
    <x v="4"/>
    <n v="1"/>
    <n v="1050"/>
    <x v="99"/>
    <x v="0"/>
    <x v="4"/>
    <n v="1050"/>
    <n v="1.7424657534246575"/>
    <n v="23"/>
    <n v="5"/>
  </r>
  <r>
    <x v="793"/>
    <x v="154"/>
    <x v="2"/>
    <n v="3"/>
    <n v="15.69"/>
    <x v="507"/>
    <x v="3"/>
    <x v="1"/>
    <n v="47.07"/>
    <n v="1.8958904109589041"/>
    <n v="23"/>
    <n v="7"/>
  </r>
  <r>
    <x v="794"/>
    <x v="154"/>
    <x v="0"/>
    <n v="3"/>
    <n v="900.24"/>
    <x v="342"/>
    <x v="1"/>
    <x v="3"/>
    <n v="2700.7200000000003"/>
    <n v="0.49315068493150682"/>
    <n v="11"/>
    <n v="7"/>
  </r>
  <r>
    <x v="795"/>
    <x v="154"/>
    <x v="6"/>
    <n v="1"/>
    <n v="35.840000000000003"/>
    <x v="508"/>
    <x v="1"/>
    <x v="2"/>
    <n v="35.840000000000003"/>
    <n v="0.52054794520547942"/>
    <n v="3"/>
    <n v="7"/>
  </r>
  <r>
    <x v="796"/>
    <x v="154"/>
    <x v="0"/>
    <n v="3"/>
    <n v="900.24"/>
    <x v="71"/>
    <x v="7"/>
    <x v="0"/>
    <n v="2700.7200000000003"/>
    <n v="0.43013698630136987"/>
    <n v="12"/>
    <n v="10"/>
  </r>
  <r>
    <x v="797"/>
    <x v="154"/>
    <x v="0"/>
    <n v="4"/>
    <n v="1200.32"/>
    <x v="103"/>
    <x v="9"/>
    <x v="4"/>
    <n v="4801.28"/>
    <n v="2.0054794520547947"/>
    <n v="17"/>
    <n v="10"/>
  </r>
  <r>
    <x v="798"/>
    <x v="155"/>
    <x v="1"/>
    <n v="2"/>
    <n v="81.319999999999993"/>
    <x v="173"/>
    <x v="3"/>
    <x v="1"/>
    <n v="162.63999999999999"/>
    <n v="1.6356164383561644"/>
    <n v="6"/>
    <n v="5"/>
  </r>
  <r>
    <x v="799"/>
    <x v="155"/>
    <x v="1"/>
    <n v="4"/>
    <n v="162.63999999999999"/>
    <x v="270"/>
    <x v="5"/>
    <x v="4"/>
    <n v="650.55999999999995"/>
    <n v="1.8630136986301369"/>
    <n v="14"/>
    <n v="5"/>
  </r>
  <r>
    <x v="800"/>
    <x v="155"/>
    <x v="0"/>
    <n v="3"/>
    <n v="900.24"/>
    <x v="459"/>
    <x v="6"/>
    <x v="1"/>
    <n v="2700.7200000000003"/>
    <n v="1.3534246575342466"/>
    <n v="10"/>
    <n v="5"/>
  </r>
  <r>
    <x v="801"/>
    <x v="155"/>
    <x v="1"/>
    <n v="1"/>
    <n v="40.659999999999997"/>
    <x v="509"/>
    <x v="3"/>
    <x v="1"/>
    <n v="40.659999999999997"/>
    <n v="1.8383561643835618"/>
    <n v="20"/>
    <n v="7"/>
  </r>
  <r>
    <x v="802"/>
    <x v="155"/>
    <x v="0"/>
    <n v="5"/>
    <n v="1500.4"/>
    <x v="510"/>
    <x v="9"/>
    <x v="0"/>
    <n v="7502"/>
    <n v="1.1835616438356165"/>
    <n v="12"/>
    <n v="7"/>
  </r>
  <r>
    <x v="803"/>
    <x v="155"/>
    <x v="6"/>
    <n v="3"/>
    <n v="107.52"/>
    <x v="511"/>
    <x v="0"/>
    <x v="0"/>
    <n v="322.56"/>
    <n v="1.0410958904109588"/>
    <n v="23"/>
    <n v="7"/>
  </r>
  <r>
    <x v="804"/>
    <x v="155"/>
    <x v="2"/>
    <n v="1"/>
    <n v="5.23"/>
    <x v="447"/>
    <x v="9"/>
    <x v="0"/>
    <n v="5.23"/>
    <n v="1.7643835616438357"/>
    <n v="20"/>
    <n v="7"/>
  </r>
  <r>
    <x v="805"/>
    <x v="156"/>
    <x v="5"/>
    <n v="2"/>
    <n v="1200.3399999999999"/>
    <x v="512"/>
    <x v="0"/>
    <x v="3"/>
    <n v="2400.6799999999998"/>
    <n v="0.74246575342465748"/>
    <n v="9"/>
    <n v="5"/>
  </r>
  <r>
    <x v="806"/>
    <x v="156"/>
    <x v="1"/>
    <n v="3"/>
    <n v="121.98"/>
    <x v="395"/>
    <x v="8"/>
    <x v="0"/>
    <n v="365.94"/>
    <n v="1.5095890410958903"/>
    <n v="16"/>
    <n v="7"/>
  </r>
  <r>
    <x v="807"/>
    <x v="156"/>
    <x v="0"/>
    <n v="3"/>
    <n v="900.24"/>
    <x v="513"/>
    <x v="6"/>
    <x v="3"/>
    <n v="2700.7200000000003"/>
    <n v="0.75342465753424659"/>
    <n v="9"/>
    <n v="7"/>
  </r>
  <r>
    <x v="808"/>
    <x v="156"/>
    <x v="5"/>
    <n v="2"/>
    <n v="1200.3399999999999"/>
    <x v="514"/>
    <x v="6"/>
    <x v="1"/>
    <n v="2400.6799999999998"/>
    <n v="1.1315068493150684"/>
    <n v="14"/>
    <n v="7"/>
  </r>
  <r>
    <x v="809"/>
    <x v="157"/>
    <x v="0"/>
    <n v="2"/>
    <n v="600.16"/>
    <x v="188"/>
    <x v="6"/>
    <x v="4"/>
    <n v="1200.32"/>
    <n v="1.3479452054794521"/>
    <n v="26"/>
    <n v="7"/>
  </r>
  <r>
    <x v="810"/>
    <x v="157"/>
    <x v="6"/>
    <n v="1"/>
    <n v="35.840000000000003"/>
    <x v="515"/>
    <x v="9"/>
    <x v="4"/>
    <n v="35.840000000000003"/>
    <n v="0.36712328767123287"/>
    <n v="11"/>
    <n v="7"/>
  </r>
  <r>
    <x v="811"/>
    <x v="157"/>
    <x v="5"/>
    <n v="1"/>
    <n v="600.16999999999996"/>
    <x v="516"/>
    <x v="6"/>
    <x v="1"/>
    <n v="600.16999999999996"/>
    <n v="1.0301369863013699"/>
    <n v="12"/>
    <n v="7"/>
  </r>
  <r>
    <x v="812"/>
    <x v="157"/>
    <x v="6"/>
    <n v="1"/>
    <n v="35.840000000000003"/>
    <x v="419"/>
    <x v="3"/>
    <x v="1"/>
    <n v="35.840000000000003"/>
    <n v="5.2054794520547946E-2"/>
    <n v="6"/>
    <n v="7"/>
  </r>
  <r>
    <x v="813"/>
    <x v="157"/>
    <x v="7"/>
    <n v="2"/>
    <n v="23.46"/>
    <x v="371"/>
    <x v="4"/>
    <x v="1"/>
    <n v="46.92"/>
    <n v="0.73424657534246573"/>
    <n v="15"/>
    <n v="7"/>
  </r>
  <r>
    <x v="814"/>
    <x v="157"/>
    <x v="6"/>
    <n v="3"/>
    <n v="107.52"/>
    <x v="517"/>
    <x v="2"/>
    <x v="2"/>
    <n v="322.56"/>
    <n v="1.736986301369863"/>
    <n v="27"/>
    <n v="10"/>
  </r>
  <r>
    <x v="815"/>
    <x v="158"/>
    <x v="3"/>
    <n v="1"/>
    <n v="15.15"/>
    <x v="72"/>
    <x v="1"/>
    <x v="1"/>
    <n v="15.15"/>
    <n v="1.3095890410958904"/>
    <n v="14"/>
    <n v="5"/>
  </r>
  <r>
    <x v="816"/>
    <x v="158"/>
    <x v="1"/>
    <n v="5"/>
    <n v="203.3"/>
    <x v="518"/>
    <x v="4"/>
    <x v="0"/>
    <n v="1016.5"/>
    <n v="1.8712328767123287"/>
    <n v="21"/>
    <n v="5"/>
  </r>
  <r>
    <x v="817"/>
    <x v="158"/>
    <x v="3"/>
    <n v="3"/>
    <n v="45.45"/>
    <x v="519"/>
    <x v="6"/>
    <x v="0"/>
    <n v="136.35000000000002"/>
    <n v="2.0931506849315067"/>
    <n v="20"/>
    <n v="10"/>
  </r>
  <r>
    <x v="818"/>
    <x v="159"/>
    <x v="6"/>
    <n v="5"/>
    <n v="179.2"/>
    <x v="520"/>
    <x v="8"/>
    <x v="1"/>
    <n v="896"/>
    <n v="0.58356164383561648"/>
    <n v="12"/>
    <n v="5"/>
  </r>
  <r>
    <x v="819"/>
    <x v="159"/>
    <x v="0"/>
    <n v="2"/>
    <n v="600.16"/>
    <x v="213"/>
    <x v="6"/>
    <x v="2"/>
    <n v="1200.32"/>
    <n v="1.0821917808219179"/>
    <n v="9"/>
    <n v="7"/>
  </r>
  <r>
    <x v="820"/>
    <x v="159"/>
    <x v="7"/>
    <n v="2"/>
    <n v="23.46"/>
    <x v="336"/>
    <x v="4"/>
    <x v="3"/>
    <n v="46.92"/>
    <n v="1.3589041095890411"/>
    <n v="12"/>
    <n v="7"/>
  </r>
  <r>
    <x v="821"/>
    <x v="159"/>
    <x v="6"/>
    <n v="1"/>
    <n v="35.840000000000003"/>
    <x v="499"/>
    <x v="7"/>
    <x v="1"/>
    <n v="35.840000000000003"/>
    <n v="1.4712328767123288"/>
    <n v="24"/>
    <n v="7"/>
  </r>
  <r>
    <x v="822"/>
    <x v="160"/>
    <x v="0"/>
    <n v="1"/>
    <n v="300.08"/>
    <x v="62"/>
    <x v="0"/>
    <x v="1"/>
    <n v="300.08"/>
    <n v="1.8465753424657534"/>
    <n v="23"/>
    <n v="5"/>
  </r>
  <r>
    <x v="823"/>
    <x v="160"/>
    <x v="0"/>
    <n v="1"/>
    <n v="300.08"/>
    <x v="126"/>
    <x v="6"/>
    <x v="2"/>
    <n v="300.08"/>
    <n v="1.9561643835616438"/>
    <n v="16"/>
    <n v="5"/>
  </r>
  <r>
    <x v="824"/>
    <x v="160"/>
    <x v="0"/>
    <n v="4"/>
    <n v="1200.32"/>
    <x v="146"/>
    <x v="6"/>
    <x v="2"/>
    <n v="4801.28"/>
    <n v="1.7589041095890412"/>
    <n v="22"/>
    <n v="5"/>
  </r>
  <r>
    <x v="825"/>
    <x v="160"/>
    <x v="0"/>
    <n v="3"/>
    <n v="900.24"/>
    <x v="512"/>
    <x v="6"/>
    <x v="3"/>
    <n v="2700.7200000000003"/>
    <n v="1.2438356164383562"/>
    <n v="17"/>
    <n v="5"/>
  </r>
  <r>
    <x v="826"/>
    <x v="160"/>
    <x v="1"/>
    <n v="4"/>
    <n v="162.63999999999999"/>
    <x v="41"/>
    <x v="9"/>
    <x v="3"/>
    <n v="650.55999999999995"/>
    <n v="1.9506849315068493"/>
    <n v="29"/>
    <n v="7"/>
  </r>
  <r>
    <x v="827"/>
    <x v="160"/>
    <x v="1"/>
    <n v="4"/>
    <n v="162.63999999999999"/>
    <x v="517"/>
    <x v="1"/>
    <x v="2"/>
    <n v="650.55999999999995"/>
    <n v="1.7698630136986302"/>
    <n v="17"/>
    <n v="10"/>
  </r>
  <r>
    <x v="828"/>
    <x v="161"/>
    <x v="2"/>
    <n v="1"/>
    <n v="5.23"/>
    <x v="521"/>
    <x v="3"/>
    <x v="1"/>
    <n v="5.23"/>
    <n v="1.3397260273972602"/>
    <n v="14"/>
    <n v="5"/>
  </r>
  <r>
    <x v="829"/>
    <x v="161"/>
    <x v="2"/>
    <n v="4"/>
    <n v="20.92"/>
    <x v="522"/>
    <x v="0"/>
    <x v="4"/>
    <n v="83.68"/>
    <n v="2.0054794520547947"/>
    <n v="17"/>
    <n v="5"/>
  </r>
  <r>
    <x v="830"/>
    <x v="161"/>
    <x v="1"/>
    <n v="4"/>
    <n v="162.63999999999999"/>
    <x v="523"/>
    <x v="4"/>
    <x v="0"/>
    <n v="650.55999999999995"/>
    <n v="0.83835616438356164"/>
    <n v="14"/>
    <n v="7"/>
  </r>
  <r>
    <x v="831"/>
    <x v="161"/>
    <x v="2"/>
    <n v="5"/>
    <n v="26.15"/>
    <x v="272"/>
    <x v="4"/>
    <x v="4"/>
    <n v="130.75"/>
    <n v="1.3479452054794521"/>
    <n v="23"/>
    <n v="7"/>
  </r>
  <r>
    <x v="832"/>
    <x v="161"/>
    <x v="0"/>
    <n v="3"/>
    <n v="900.24"/>
    <x v="7"/>
    <x v="6"/>
    <x v="4"/>
    <n v="2700.7200000000003"/>
    <n v="0.69315068493150689"/>
    <n v="5"/>
    <n v="7"/>
  </r>
  <r>
    <x v="833"/>
    <x v="162"/>
    <x v="6"/>
    <n v="5"/>
    <n v="179.2"/>
    <x v="524"/>
    <x v="3"/>
    <x v="2"/>
    <n v="896"/>
    <n v="1.7726027397260273"/>
    <n v="8"/>
    <n v="5"/>
  </r>
  <r>
    <x v="834"/>
    <x v="162"/>
    <x v="0"/>
    <n v="1"/>
    <n v="300.08"/>
    <x v="525"/>
    <x v="9"/>
    <x v="4"/>
    <n v="300.08"/>
    <n v="2.0821917808219177"/>
    <n v="15"/>
    <n v="5"/>
  </r>
  <r>
    <x v="835"/>
    <x v="162"/>
    <x v="1"/>
    <n v="3"/>
    <n v="121.98"/>
    <x v="283"/>
    <x v="4"/>
    <x v="0"/>
    <n v="365.94"/>
    <n v="2.1917808219178082E-2"/>
    <n v="6"/>
    <n v="7"/>
  </r>
  <r>
    <x v="836"/>
    <x v="162"/>
    <x v="4"/>
    <n v="1"/>
    <n v="1050"/>
    <x v="182"/>
    <x v="6"/>
    <x v="2"/>
    <n v="1050"/>
    <n v="1.8438356164383563"/>
    <n v="13"/>
    <n v="7"/>
  </r>
  <r>
    <x v="837"/>
    <x v="162"/>
    <x v="0"/>
    <n v="2"/>
    <n v="600.16"/>
    <x v="20"/>
    <x v="0"/>
    <x v="1"/>
    <n v="1200.32"/>
    <n v="1.0356164383561643"/>
    <n v="8"/>
    <n v="7"/>
  </r>
  <r>
    <x v="838"/>
    <x v="162"/>
    <x v="2"/>
    <n v="5"/>
    <n v="26.15"/>
    <x v="60"/>
    <x v="6"/>
    <x v="1"/>
    <n v="130.75"/>
    <n v="0.9506849315068493"/>
    <n v="19"/>
    <n v="10"/>
  </r>
  <r>
    <x v="839"/>
    <x v="163"/>
    <x v="2"/>
    <n v="1"/>
    <n v="5.23"/>
    <x v="526"/>
    <x v="5"/>
    <x v="1"/>
    <n v="5.23"/>
    <n v="0.49863013698630138"/>
    <n v="9"/>
    <n v="5"/>
  </r>
  <r>
    <x v="840"/>
    <x v="163"/>
    <x v="1"/>
    <n v="3"/>
    <n v="121.98"/>
    <x v="527"/>
    <x v="3"/>
    <x v="1"/>
    <n v="365.94"/>
    <n v="0.66575342465753429"/>
    <n v="9"/>
    <n v="5"/>
  </r>
  <r>
    <x v="841"/>
    <x v="163"/>
    <x v="0"/>
    <n v="1"/>
    <n v="300.08"/>
    <x v="198"/>
    <x v="3"/>
    <x v="3"/>
    <n v="300.08"/>
    <n v="2.1150684931506851"/>
    <n v="13"/>
    <n v="5"/>
  </r>
  <r>
    <x v="842"/>
    <x v="163"/>
    <x v="0"/>
    <n v="5"/>
    <n v="1500.4"/>
    <x v="286"/>
    <x v="6"/>
    <x v="1"/>
    <n v="7502"/>
    <n v="1.8054794520547945"/>
    <n v="20"/>
    <n v="5"/>
  </r>
  <r>
    <x v="843"/>
    <x v="163"/>
    <x v="1"/>
    <n v="2"/>
    <n v="81.319999999999993"/>
    <x v="381"/>
    <x v="1"/>
    <x v="1"/>
    <n v="162.63999999999999"/>
    <n v="1.9013698630136986"/>
    <n v="22"/>
    <n v="5"/>
  </r>
  <r>
    <x v="844"/>
    <x v="163"/>
    <x v="1"/>
    <n v="1"/>
    <n v="40.659999999999997"/>
    <x v="507"/>
    <x v="1"/>
    <x v="1"/>
    <n v="40.659999999999997"/>
    <n v="1.4958904109589042"/>
    <n v="18"/>
    <n v="7"/>
  </r>
  <r>
    <x v="845"/>
    <x v="163"/>
    <x v="1"/>
    <n v="3"/>
    <n v="121.98"/>
    <x v="506"/>
    <x v="6"/>
    <x v="3"/>
    <n v="365.94"/>
    <n v="1.210958904109589"/>
    <n v="13"/>
    <n v="7"/>
  </r>
  <r>
    <x v="846"/>
    <x v="163"/>
    <x v="6"/>
    <n v="4"/>
    <n v="143.36000000000001"/>
    <x v="528"/>
    <x v="8"/>
    <x v="0"/>
    <n v="573.44000000000005"/>
    <n v="0.74246575342465748"/>
    <n v="12"/>
    <n v="7"/>
  </r>
  <r>
    <x v="847"/>
    <x v="163"/>
    <x v="0"/>
    <n v="5"/>
    <n v="1500.4"/>
    <x v="171"/>
    <x v="0"/>
    <x v="1"/>
    <n v="7502"/>
    <n v="1.3260273972602741"/>
    <n v="23"/>
    <n v="10"/>
  </r>
  <r>
    <x v="848"/>
    <x v="164"/>
    <x v="3"/>
    <n v="1"/>
    <n v="15.15"/>
    <x v="146"/>
    <x v="3"/>
    <x v="3"/>
    <n v="15.15"/>
    <n v="1.3342465753424657"/>
    <n v="16"/>
    <n v="5"/>
  </r>
  <r>
    <x v="849"/>
    <x v="164"/>
    <x v="2"/>
    <n v="4"/>
    <n v="20.92"/>
    <x v="169"/>
    <x v="8"/>
    <x v="1"/>
    <n v="83.68"/>
    <n v="2.0986301369863014"/>
    <n v="22"/>
    <n v="7"/>
  </r>
  <r>
    <x v="850"/>
    <x v="164"/>
    <x v="0"/>
    <n v="3"/>
    <n v="900.24"/>
    <x v="491"/>
    <x v="8"/>
    <x v="3"/>
    <n v="2700.7200000000003"/>
    <n v="0.17534246575342466"/>
    <n v="5"/>
    <n v="7"/>
  </r>
  <r>
    <x v="851"/>
    <x v="164"/>
    <x v="2"/>
    <n v="4"/>
    <n v="20.92"/>
    <x v="529"/>
    <x v="8"/>
    <x v="0"/>
    <n v="83.68"/>
    <n v="1.6027397260273972"/>
    <n v="13"/>
    <n v="10"/>
  </r>
  <r>
    <x v="852"/>
    <x v="165"/>
    <x v="6"/>
    <n v="1"/>
    <n v="35.840000000000003"/>
    <x v="492"/>
    <x v="0"/>
    <x v="1"/>
    <n v="35.840000000000003"/>
    <n v="1.8383561643835618"/>
    <n v="23"/>
    <n v="5"/>
  </r>
  <r>
    <x v="853"/>
    <x v="165"/>
    <x v="2"/>
    <n v="2"/>
    <n v="10.46"/>
    <x v="121"/>
    <x v="9"/>
    <x v="0"/>
    <n v="20.92"/>
    <n v="1.4684931506849315"/>
    <n v="14"/>
    <n v="5"/>
  </r>
  <r>
    <x v="854"/>
    <x v="165"/>
    <x v="6"/>
    <n v="1"/>
    <n v="35.840000000000003"/>
    <x v="434"/>
    <x v="1"/>
    <x v="0"/>
    <n v="35.840000000000003"/>
    <n v="0.13698630136986301"/>
    <n v="5"/>
    <n v="5"/>
  </r>
  <r>
    <x v="855"/>
    <x v="165"/>
    <x v="0"/>
    <n v="3"/>
    <n v="900.24"/>
    <x v="180"/>
    <x v="0"/>
    <x v="1"/>
    <n v="2700.7200000000003"/>
    <n v="1.5342465753424657"/>
    <n v="16"/>
    <n v="5"/>
  </r>
  <r>
    <x v="856"/>
    <x v="165"/>
    <x v="1"/>
    <n v="4"/>
    <n v="162.63999999999999"/>
    <x v="61"/>
    <x v="5"/>
    <x v="1"/>
    <n v="650.55999999999995"/>
    <n v="0.8849315068493151"/>
    <n v="4"/>
    <n v="10"/>
  </r>
  <r>
    <x v="857"/>
    <x v="166"/>
    <x v="4"/>
    <n v="2"/>
    <n v="2100"/>
    <x v="220"/>
    <x v="9"/>
    <x v="4"/>
    <n v="4200"/>
    <n v="4.1095890410958902E-2"/>
    <n v="4"/>
    <n v="5"/>
  </r>
  <r>
    <x v="858"/>
    <x v="166"/>
    <x v="0"/>
    <n v="1"/>
    <n v="300.08"/>
    <x v="484"/>
    <x v="8"/>
    <x v="4"/>
    <n v="300.08"/>
    <n v="1.3287671232876712"/>
    <n v="22"/>
    <n v="5"/>
  </r>
  <r>
    <x v="859"/>
    <x v="166"/>
    <x v="6"/>
    <n v="1"/>
    <n v="35.840000000000003"/>
    <x v="15"/>
    <x v="1"/>
    <x v="1"/>
    <n v="35.840000000000003"/>
    <n v="0.93698630136986305"/>
    <n v="17"/>
    <n v="5"/>
  </r>
  <r>
    <x v="860"/>
    <x v="166"/>
    <x v="1"/>
    <n v="3"/>
    <n v="121.98"/>
    <x v="51"/>
    <x v="2"/>
    <x v="2"/>
    <n v="365.94"/>
    <n v="1.2465753424657535"/>
    <n v="14"/>
    <n v="7"/>
  </r>
  <r>
    <x v="861"/>
    <x v="166"/>
    <x v="2"/>
    <n v="4"/>
    <n v="20.92"/>
    <x v="530"/>
    <x v="9"/>
    <x v="4"/>
    <n v="83.68"/>
    <n v="1.6876712328767123"/>
    <n v="19"/>
    <n v="7"/>
  </r>
  <r>
    <x v="862"/>
    <x v="166"/>
    <x v="6"/>
    <n v="3"/>
    <n v="107.52"/>
    <x v="531"/>
    <x v="4"/>
    <x v="3"/>
    <n v="322.56"/>
    <n v="1.9287671232876713"/>
    <n v="9"/>
    <n v="7"/>
  </r>
  <r>
    <x v="863"/>
    <x v="166"/>
    <x v="6"/>
    <n v="4"/>
    <n v="143.36000000000001"/>
    <x v="532"/>
    <x v="0"/>
    <x v="0"/>
    <n v="573.44000000000005"/>
    <n v="1.8164383561643835"/>
    <n v="14"/>
    <n v="7"/>
  </r>
  <r>
    <x v="864"/>
    <x v="166"/>
    <x v="0"/>
    <n v="4"/>
    <n v="1200.32"/>
    <x v="196"/>
    <x v="8"/>
    <x v="2"/>
    <n v="4801.28"/>
    <n v="1.8876712328767122"/>
    <n v="25"/>
    <n v="10"/>
  </r>
  <r>
    <x v="865"/>
    <x v="167"/>
    <x v="2"/>
    <n v="5"/>
    <n v="26.15"/>
    <x v="533"/>
    <x v="9"/>
    <x v="1"/>
    <n v="130.75"/>
    <n v="1.3506849315068492"/>
    <n v="13"/>
    <n v="5"/>
  </r>
  <r>
    <x v="866"/>
    <x v="167"/>
    <x v="6"/>
    <n v="5"/>
    <n v="179.2"/>
    <x v="534"/>
    <x v="4"/>
    <x v="1"/>
    <n v="896"/>
    <n v="1.252054794520548"/>
    <n v="28"/>
    <n v="5"/>
  </r>
  <r>
    <x v="867"/>
    <x v="167"/>
    <x v="7"/>
    <n v="2"/>
    <n v="23.46"/>
    <x v="419"/>
    <x v="1"/>
    <x v="4"/>
    <n v="46.92"/>
    <n v="1.789041095890411"/>
    <n v="19"/>
    <n v="7"/>
  </r>
  <r>
    <x v="868"/>
    <x v="167"/>
    <x v="1"/>
    <n v="5"/>
    <n v="203.3"/>
    <x v="260"/>
    <x v="0"/>
    <x v="3"/>
    <n v="1016.5"/>
    <n v="1.8575342465753424"/>
    <n v="14"/>
    <n v="7"/>
  </r>
  <r>
    <x v="869"/>
    <x v="167"/>
    <x v="0"/>
    <n v="4"/>
    <n v="1200.32"/>
    <x v="274"/>
    <x v="7"/>
    <x v="3"/>
    <n v="4801.28"/>
    <n v="1.9698630136986301"/>
    <n v="21"/>
    <n v="7"/>
  </r>
  <r>
    <x v="870"/>
    <x v="168"/>
    <x v="7"/>
    <n v="4"/>
    <n v="46.92"/>
    <x v="533"/>
    <x v="6"/>
    <x v="1"/>
    <n v="187.68"/>
    <n v="0.83287671232876714"/>
    <n v="18"/>
    <n v="5"/>
  </r>
  <r>
    <x v="871"/>
    <x v="168"/>
    <x v="5"/>
    <n v="4"/>
    <n v="2400.6799999999998"/>
    <x v="317"/>
    <x v="1"/>
    <x v="3"/>
    <n v="9602.7199999999993"/>
    <n v="1.0410958904109588"/>
    <n v="22"/>
    <n v="5"/>
  </r>
  <r>
    <x v="872"/>
    <x v="168"/>
    <x v="0"/>
    <n v="4"/>
    <n v="1200.32"/>
    <x v="535"/>
    <x v="9"/>
    <x v="4"/>
    <n v="4801.28"/>
    <n v="4.1095890410958902E-2"/>
    <n v="5"/>
    <n v="5"/>
  </r>
  <r>
    <x v="873"/>
    <x v="168"/>
    <x v="5"/>
    <n v="5"/>
    <n v="3000.85"/>
    <x v="48"/>
    <x v="7"/>
    <x v="2"/>
    <n v="15004.25"/>
    <n v="1.7123287671232876"/>
    <n v="10"/>
    <n v="7"/>
  </r>
  <r>
    <x v="874"/>
    <x v="169"/>
    <x v="5"/>
    <n v="5"/>
    <n v="3000.85"/>
    <x v="536"/>
    <x v="2"/>
    <x v="3"/>
    <n v="15004.25"/>
    <n v="1"/>
    <n v="13"/>
    <n v="5"/>
  </r>
  <r>
    <x v="875"/>
    <x v="169"/>
    <x v="4"/>
    <n v="3"/>
    <n v="3150"/>
    <x v="537"/>
    <x v="6"/>
    <x v="3"/>
    <n v="9450"/>
    <n v="0.65753424657534243"/>
    <n v="5"/>
    <n v="5"/>
  </r>
  <r>
    <x v="876"/>
    <x v="169"/>
    <x v="0"/>
    <n v="1"/>
    <n v="300.08"/>
    <x v="538"/>
    <x v="1"/>
    <x v="0"/>
    <n v="300.08"/>
    <n v="0.9506849315068493"/>
    <n v="10"/>
    <n v="5"/>
  </r>
  <r>
    <x v="877"/>
    <x v="169"/>
    <x v="1"/>
    <n v="3"/>
    <n v="121.98"/>
    <x v="539"/>
    <x v="4"/>
    <x v="1"/>
    <n v="365.94"/>
    <n v="0.9178082191780822"/>
    <n v="9"/>
    <n v="7"/>
  </r>
  <r>
    <x v="878"/>
    <x v="169"/>
    <x v="0"/>
    <n v="1"/>
    <n v="300.08"/>
    <x v="496"/>
    <x v="0"/>
    <x v="0"/>
    <n v="300.08"/>
    <n v="1.4657534246575343"/>
    <n v="15"/>
    <n v="10"/>
  </r>
  <r>
    <x v="879"/>
    <x v="170"/>
    <x v="0"/>
    <n v="4"/>
    <n v="1200.32"/>
    <x v="275"/>
    <x v="9"/>
    <x v="3"/>
    <n v="4801.28"/>
    <n v="1.4931506849315068"/>
    <n v="22"/>
    <n v="5"/>
  </r>
  <r>
    <x v="880"/>
    <x v="170"/>
    <x v="2"/>
    <n v="5"/>
    <n v="26.15"/>
    <x v="540"/>
    <x v="9"/>
    <x v="0"/>
    <n v="130.75"/>
    <n v="0.38630136986301372"/>
    <n v="12"/>
    <n v="7"/>
  </r>
  <r>
    <x v="881"/>
    <x v="170"/>
    <x v="5"/>
    <n v="5"/>
    <n v="3000.85"/>
    <x v="284"/>
    <x v="4"/>
    <x v="3"/>
    <n v="15004.25"/>
    <n v="1.8465753424657534"/>
    <n v="16"/>
    <n v="10"/>
  </r>
  <r>
    <x v="882"/>
    <x v="171"/>
    <x v="7"/>
    <n v="3"/>
    <n v="35.19"/>
    <x v="173"/>
    <x v="6"/>
    <x v="4"/>
    <n v="105.57"/>
    <n v="1.6876712328767123"/>
    <n v="11"/>
    <n v="5"/>
  </r>
  <r>
    <x v="883"/>
    <x v="171"/>
    <x v="2"/>
    <n v="4"/>
    <n v="20.92"/>
    <x v="541"/>
    <x v="2"/>
    <x v="2"/>
    <n v="83.68"/>
    <n v="0.47945205479452052"/>
    <n v="10"/>
    <n v="5"/>
  </r>
  <r>
    <x v="884"/>
    <x v="171"/>
    <x v="5"/>
    <n v="1"/>
    <n v="600.16999999999996"/>
    <x v="116"/>
    <x v="1"/>
    <x v="3"/>
    <n v="600.16999999999996"/>
    <n v="1.8630136986301369"/>
    <n v="7"/>
    <n v="5"/>
  </r>
  <r>
    <x v="885"/>
    <x v="171"/>
    <x v="0"/>
    <n v="1"/>
    <n v="300.08"/>
    <x v="347"/>
    <x v="9"/>
    <x v="0"/>
    <n v="300.08"/>
    <n v="1.1452054794520548"/>
    <n v="11"/>
    <n v="7"/>
  </r>
  <r>
    <x v="886"/>
    <x v="171"/>
    <x v="6"/>
    <n v="1"/>
    <n v="35.840000000000003"/>
    <x v="160"/>
    <x v="0"/>
    <x v="2"/>
    <n v="35.840000000000003"/>
    <n v="1.3397260273972602"/>
    <n v="16"/>
    <n v="7"/>
  </r>
  <r>
    <x v="887"/>
    <x v="171"/>
    <x v="0"/>
    <n v="3"/>
    <n v="900.24"/>
    <x v="55"/>
    <x v="4"/>
    <x v="1"/>
    <n v="2700.7200000000003"/>
    <n v="1.3315068493150686"/>
    <n v="18"/>
    <n v="7"/>
  </r>
  <r>
    <x v="888"/>
    <x v="172"/>
    <x v="2"/>
    <n v="3"/>
    <n v="15.69"/>
    <x v="122"/>
    <x v="2"/>
    <x v="0"/>
    <n v="47.07"/>
    <n v="0.93698630136986305"/>
    <n v="17"/>
    <n v="5"/>
  </r>
  <r>
    <x v="889"/>
    <x v="172"/>
    <x v="1"/>
    <n v="4"/>
    <n v="162.63999999999999"/>
    <x v="296"/>
    <x v="0"/>
    <x v="2"/>
    <n v="650.55999999999995"/>
    <n v="1.3232876712328767"/>
    <n v="24"/>
    <n v="5"/>
  </r>
  <r>
    <x v="890"/>
    <x v="172"/>
    <x v="6"/>
    <n v="4"/>
    <n v="143.36000000000001"/>
    <x v="542"/>
    <x v="1"/>
    <x v="2"/>
    <n v="573.44000000000005"/>
    <n v="1.5863013698630137"/>
    <n v="20"/>
    <n v="7"/>
  </r>
  <r>
    <x v="891"/>
    <x v="173"/>
    <x v="5"/>
    <n v="2"/>
    <n v="1200.3399999999999"/>
    <x v="320"/>
    <x v="1"/>
    <x v="3"/>
    <n v="2400.6799999999998"/>
    <n v="0"/>
    <n v="2"/>
    <n v="5"/>
  </r>
  <r>
    <x v="892"/>
    <x v="173"/>
    <x v="6"/>
    <n v="4"/>
    <n v="143.36000000000001"/>
    <x v="543"/>
    <x v="0"/>
    <x v="4"/>
    <n v="573.44000000000005"/>
    <n v="1.1315068493150684"/>
    <n v="19"/>
    <n v="5"/>
  </r>
  <r>
    <x v="893"/>
    <x v="173"/>
    <x v="0"/>
    <n v="5"/>
    <n v="1500.4"/>
    <x v="188"/>
    <x v="1"/>
    <x v="1"/>
    <n v="7502"/>
    <n v="1.3178082191780822"/>
    <n v="4"/>
    <n v="7"/>
  </r>
  <r>
    <x v="894"/>
    <x v="173"/>
    <x v="1"/>
    <n v="5"/>
    <n v="203.3"/>
    <x v="544"/>
    <x v="1"/>
    <x v="2"/>
    <n v="1016.5"/>
    <n v="1.4904109589041097"/>
    <n v="15"/>
    <n v="7"/>
  </r>
  <r>
    <x v="895"/>
    <x v="173"/>
    <x v="2"/>
    <n v="3"/>
    <n v="15.69"/>
    <x v="193"/>
    <x v="9"/>
    <x v="2"/>
    <n v="47.07"/>
    <n v="0.91506849315068495"/>
    <n v="10"/>
    <n v="7"/>
  </r>
  <r>
    <x v="896"/>
    <x v="173"/>
    <x v="2"/>
    <n v="4"/>
    <n v="20.92"/>
    <x v="243"/>
    <x v="4"/>
    <x v="1"/>
    <n v="83.68"/>
    <n v="1.4027397260273973"/>
    <n v="20"/>
    <n v="7"/>
  </r>
  <r>
    <x v="897"/>
    <x v="173"/>
    <x v="0"/>
    <n v="3"/>
    <n v="900.24"/>
    <x v="229"/>
    <x v="6"/>
    <x v="3"/>
    <n v="2700.7200000000003"/>
    <n v="0.73698630136986298"/>
    <n v="11"/>
    <n v="10"/>
  </r>
  <r>
    <x v="898"/>
    <x v="174"/>
    <x v="6"/>
    <n v="4"/>
    <n v="143.36000000000001"/>
    <x v="305"/>
    <x v="1"/>
    <x v="4"/>
    <n v="573.44000000000005"/>
    <n v="2.0931506849315067"/>
    <n v="18"/>
    <n v="5"/>
  </r>
  <r>
    <x v="899"/>
    <x v="174"/>
    <x v="2"/>
    <n v="1"/>
    <n v="5.23"/>
    <x v="545"/>
    <x v="3"/>
    <x v="3"/>
    <n v="5.23"/>
    <n v="1.1753424657534246"/>
    <n v="20"/>
    <n v="5"/>
  </r>
  <r>
    <x v="900"/>
    <x v="174"/>
    <x v="0"/>
    <n v="2"/>
    <n v="600.16"/>
    <x v="462"/>
    <x v="6"/>
    <x v="1"/>
    <n v="1200.32"/>
    <n v="1.6602739726027398"/>
    <n v="5"/>
    <n v="5"/>
  </r>
  <r>
    <x v="901"/>
    <x v="174"/>
    <x v="5"/>
    <n v="5"/>
    <n v="3000.85"/>
    <x v="179"/>
    <x v="6"/>
    <x v="4"/>
    <n v="15004.25"/>
    <n v="2.1041095890410957"/>
    <n v="16"/>
    <n v="5"/>
  </r>
  <r>
    <x v="902"/>
    <x v="174"/>
    <x v="5"/>
    <n v="5"/>
    <n v="3000.85"/>
    <x v="546"/>
    <x v="3"/>
    <x v="2"/>
    <n v="15004.25"/>
    <n v="1"/>
    <n v="17"/>
    <n v="7"/>
  </r>
  <r>
    <x v="903"/>
    <x v="174"/>
    <x v="0"/>
    <n v="2"/>
    <n v="600.16"/>
    <x v="547"/>
    <x v="6"/>
    <x v="4"/>
    <n v="1200.32"/>
    <n v="1.8410958904109589"/>
    <n v="19"/>
    <n v="7"/>
  </r>
  <r>
    <x v="904"/>
    <x v="174"/>
    <x v="0"/>
    <n v="5"/>
    <n v="1500.4"/>
    <x v="480"/>
    <x v="0"/>
    <x v="1"/>
    <n v="7502"/>
    <n v="1.3863013698630138"/>
    <n v="22"/>
    <n v="7"/>
  </r>
  <r>
    <x v="905"/>
    <x v="175"/>
    <x v="0"/>
    <n v="2"/>
    <n v="600.16"/>
    <x v="527"/>
    <x v="0"/>
    <x v="3"/>
    <n v="1200.32"/>
    <n v="0.50410958904109593"/>
    <n v="13"/>
    <n v="5"/>
  </r>
  <r>
    <x v="906"/>
    <x v="175"/>
    <x v="0"/>
    <n v="4"/>
    <n v="1200.32"/>
    <x v="137"/>
    <x v="7"/>
    <x v="3"/>
    <n v="4801.28"/>
    <n v="1.7123287671232876"/>
    <n v="29"/>
    <n v="5"/>
  </r>
  <r>
    <x v="907"/>
    <x v="175"/>
    <x v="0"/>
    <n v="3"/>
    <n v="900.24"/>
    <x v="217"/>
    <x v="3"/>
    <x v="1"/>
    <n v="2700.7200000000003"/>
    <n v="2.1424657534246574"/>
    <n v="14"/>
    <n v="7"/>
  </r>
  <r>
    <x v="908"/>
    <x v="175"/>
    <x v="0"/>
    <n v="2"/>
    <n v="600.16"/>
    <x v="456"/>
    <x v="1"/>
    <x v="3"/>
    <n v="1200.32"/>
    <n v="2.106849315068493"/>
    <n v="9"/>
    <n v="7"/>
  </r>
  <r>
    <x v="909"/>
    <x v="175"/>
    <x v="0"/>
    <n v="1"/>
    <n v="300.08"/>
    <x v="548"/>
    <x v="9"/>
    <x v="3"/>
    <n v="300.08"/>
    <n v="1.9589041095890412"/>
    <n v="30"/>
    <n v="7"/>
  </r>
  <r>
    <x v="910"/>
    <x v="175"/>
    <x v="7"/>
    <n v="1"/>
    <n v="11.73"/>
    <x v="549"/>
    <x v="0"/>
    <x v="0"/>
    <n v="11.73"/>
    <n v="0.81369863013698629"/>
    <n v="10"/>
    <n v="7"/>
  </r>
  <r>
    <x v="911"/>
    <x v="176"/>
    <x v="2"/>
    <n v="3"/>
    <n v="15.69"/>
    <x v="469"/>
    <x v="0"/>
    <x v="0"/>
    <n v="47.07"/>
    <n v="0"/>
    <n v="4"/>
    <n v="5"/>
  </r>
  <r>
    <x v="912"/>
    <x v="176"/>
    <x v="0"/>
    <n v="2"/>
    <n v="600.16"/>
    <x v="547"/>
    <x v="5"/>
    <x v="2"/>
    <n v="1200.32"/>
    <n v="0.72602739726027399"/>
    <n v="11"/>
    <n v="7"/>
  </r>
  <r>
    <x v="913"/>
    <x v="177"/>
    <x v="0"/>
    <n v="3"/>
    <n v="900.24"/>
    <x v="550"/>
    <x v="9"/>
    <x v="3"/>
    <n v="2700.7200000000003"/>
    <n v="1.6794520547945206"/>
    <n v="31"/>
    <n v="5"/>
  </r>
  <r>
    <x v="914"/>
    <x v="177"/>
    <x v="0"/>
    <n v="4"/>
    <n v="1200.32"/>
    <x v="551"/>
    <x v="9"/>
    <x v="4"/>
    <n v="4801.28"/>
    <n v="1.8465753424657534"/>
    <n v="14"/>
    <n v="5"/>
  </r>
  <r>
    <x v="915"/>
    <x v="177"/>
    <x v="0"/>
    <n v="1"/>
    <n v="300.08"/>
    <x v="305"/>
    <x v="0"/>
    <x v="0"/>
    <n v="300.08"/>
    <n v="2"/>
    <n v="16"/>
    <n v="5"/>
  </r>
  <r>
    <x v="916"/>
    <x v="177"/>
    <x v="6"/>
    <n v="2"/>
    <n v="71.680000000000007"/>
    <x v="150"/>
    <x v="6"/>
    <x v="2"/>
    <n v="143.36000000000001"/>
    <n v="1.3479452054794521"/>
    <n v="18"/>
    <n v="5"/>
  </r>
  <r>
    <x v="917"/>
    <x v="177"/>
    <x v="0"/>
    <n v="1"/>
    <n v="300.08"/>
    <x v="347"/>
    <x v="4"/>
    <x v="0"/>
    <n v="300.08"/>
    <n v="1.0739726027397261"/>
    <n v="14"/>
    <n v="7"/>
  </r>
  <r>
    <x v="918"/>
    <x v="178"/>
    <x v="6"/>
    <n v="5"/>
    <n v="179.2"/>
    <x v="86"/>
    <x v="1"/>
    <x v="1"/>
    <n v="896"/>
    <n v="2.0602739726027397"/>
    <n v="25"/>
    <n v="5"/>
  </r>
  <r>
    <x v="919"/>
    <x v="178"/>
    <x v="6"/>
    <n v="2"/>
    <n v="71.680000000000007"/>
    <x v="552"/>
    <x v="0"/>
    <x v="0"/>
    <n v="143.36000000000001"/>
    <n v="1.0356164383561643"/>
    <n v="13"/>
    <n v="5"/>
  </r>
  <r>
    <x v="920"/>
    <x v="178"/>
    <x v="0"/>
    <n v="4"/>
    <n v="1200.32"/>
    <x v="213"/>
    <x v="6"/>
    <x v="4"/>
    <n v="4801.28"/>
    <n v="1.2027397260273973"/>
    <n v="13"/>
    <n v="7"/>
  </r>
  <r>
    <x v="921"/>
    <x v="178"/>
    <x v="0"/>
    <n v="3"/>
    <n v="900.24"/>
    <x v="553"/>
    <x v="8"/>
    <x v="4"/>
    <n v="2700.7200000000003"/>
    <n v="1.6684931506849314"/>
    <n v="6"/>
    <n v="7"/>
  </r>
  <r>
    <x v="922"/>
    <x v="179"/>
    <x v="0"/>
    <n v="5"/>
    <n v="1500.4"/>
    <x v="445"/>
    <x v="4"/>
    <x v="4"/>
    <n v="7502"/>
    <n v="1.7095890410958905"/>
    <n v="22"/>
    <n v="5"/>
  </r>
  <r>
    <x v="923"/>
    <x v="179"/>
    <x v="7"/>
    <n v="1"/>
    <n v="11.73"/>
    <x v="372"/>
    <x v="4"/>
    <x v="2"/>
    <n v="11.73"/>
    <n v="1.2301369863013698"/>
    <n v="9"/>
    <n v="5"/>
  </r>
  <r>
    <x v="924"/>
    <x v="179"/>
    <x v="2"/>
    <n v="2"/>
    <n v="10.46"/>
    <x v="19"/>
    <x v="0"/>
    <x v="0"/>
    <n v="20.92"/>
    <n v="1.5205479452054795"/>
    <n v="22"/>
    <n v="7"/>
  </r>
  <r>
    <x v="925"/>
    <x v="179"/>
    <x v="1"/>
    <n v="5"/>
    <n v="203.3"/>
    <x v="519"/>
    <x v="2"/>
    <x v="0"/>
    <n v="1016.5"/>
    <n v="1.5534246575342465"/>
    <n v="17"/>
    <n v="10"/>
  </r>
  <r>
    <x v="926"/>
    <x v="180"/>
    <x v="4"/>
    <n v="2"/>
    <n v="2100"/>
    <x v="485"/>
    <x v="0"/>
    <x v="3"/>
    <n v="4200"/>
    <n v="1.2493150684931507"/>
    <n v="17"/>
    <n v="5"/>
  </r>
  <r>
    <x v="927"/>
    <x v="180"/>
    <x v="0"/>
    <n v="1"/>
    <n v="300.08"/>
    <x v="231"/>
    <x v="0"/>
    <x v="0"/>
    <n v="300.08"/>
    <n v="1.4821917808219178"/>
    <n v="11"/>
    <n v="5"/>
  </r>
  <r>
    <x v="928"/>
    <x v="180"/>
    <x v="2"/>
    <n v="2"/>
    <n v="10.46"/>
    <x v="506"/>
    <x v="8"/>
    <x v="1"/>
    <n v="20.92"/>
    <n v="1.5780821917808219"/>
    <n v="35"/>
    <n v="7"/>
  </r>
  <r>
    <x v="929"/>
    <x v="180"/>
    <x v="2"/>
    <n v="3"/>
    <n v="15.69"/>
    <x v="377"/>
    <x v="1"/>
    <x v="1"/>
    <n v="47.07"/>
    <n v="1.3095890410958904"/>
    <n v="7"/>
    <n v="7"/>
  </r>
  <r>
    <x v="930"/>
    <x v="180"/>
    <x v="3"/>
    <n v="3"/>
    <n v="45.45"/>
    <x v="229"/>
    <x v="3"/>
    <x v="4"/>
    <n v="136.35000000000002"/>
    <n v="1.4657534246575343"/>
    <n v="17"/>
    <n v="10"/>
  </r>
  <r>
    <x v="931"/>
    <x v="180"/>
    <x v="0"/>
    <n v="4"/>
    <n v="1200.32"/>
    <x v="554"/>
    <x v="0"/>
    <x v="4"/>
    <n v="4801.28"/>
    <n v="1.1917808219178083"/>
    <n v="10"/>
    <n v="10"/>
  </r>
  <r>
    <x v="932"/>
    <x v="181"/>
    <x v="1"/>
    <n v="4"/>
    <n v="162.63999999999999"/>
    <x v="555"/>
    <x v="0"/>
    <x v="1"/>
    <n v="650.55999999999995"/>
    <n v="0.94794520547945205"/>
    <n v="13"/>
    <n v="5"/>
  </r>
  <r>
    <x v="933"/>
    <x v="181"/>
    <x v="6"/>
    <n v="2"/>
    <n v="71.680000000000007"/>
    <x v="336"/>
    <x v="6"/>
    <x v="3"/>
    <n v="143.36000000000001"/>
    <n v="1.7643835616438357"/>
    <n v="8"/>
    <n v="7"/>
  </r>
  <r>
    <x v="934"/>
    <x v="181"/>
    <x v="2"/>
    <n v="2"/>
    <n v="10.46"/>
    <x v="196"/>
    <x v="3"/>
    <x v="2"/>
    <n v="20.92"/>
    <n v="0.30684931506849317"/>
    <n v="8"/>
    <n v="10"/>
  </r>
  <r>
    <x v="935"/>
    <x v="182"/>
    <x v="2"/>
    <n v="1"/>
    <n v="5.23"/>
    <x v="538"/>
    <x v="0"/>
    <x v="0"/>
    <n v="5.23"/>
    <n v="2.1315068493150684"/>
    <n v="11"/>
    <n v="5"/>
  </r>
  <r>
    <x v="936"/>
    <x v="182"/>
    <x v="0"/>
    <n v="1"/>
    <n v="300.08"/>
    <x v="432"/>
    <x v="0"/>
    <x v="4"/>
    <n v="300.08"/>
    <n v="1.6794520547945206"/>
    <n v="24"/>
    <n v="5"/>
  </r>
  <r>
    <x v="937"/>
    <x v="182"/>
    <x v="1"/>
    <n v="2"/>
    <n v="81.319999999999993"/>
    <x v="518"/>
    <x v="6"/>
    <x v="1"/>
    <n v="162.63999999999999"/>
    <n v="1.6876712328767123"/>
    <n v="19"/>
    <n v="5"/>
  </r>
  <r>
    <x v="938"/>
    <x v="182"/>
    <x v="0"/>
    <n v="4"/>
    <n v="1200.32"/>
    <x v="556"/>
    <x v="1"/>
    <x v="3"/>
    <n v="4801.28"/>
    <n v="1.6876712328767123"/>
    <n v="10"/>
    <n v="5"/>
  </r>
  <r>
    <x v="939"/>
    <x v="182"/>
    <x v="4"/>
    <n v="4"/>
    <n v="4200"/>
    <x v="557"/>
    <x v="0"/>
    <x v="4"/>
    <n v="16800"/>
    <n v="1.9232876712328768"/>
    <n v="16"/>
    <n v="7"/>
  </r>
  <r>
    <x v="940"/>
    <x v="182"/>
    <x v="2"/>
    <n v="4"/>
    <n v="20.92"/>
    <x v="353"/>
    <x v="0"/>
    <x v="2"/>
    <n v="83.68"/>
    <n v="1.6219178082191781"/>
    <n v="12"/>
    <n v="7"/>
  </r>
  <r>
    <x v="941"/>
    <x v="182"/>
    <x v="2"/>
    <n v="3"/>
    <n v="15.69"/>
    <x v="388"/>
    <x v="1"/>
    <x v="4"/>
    <n v="47.07"/>
    <n v="1.0136986301369864"/>
    <n v="27"/>
    <n v="7"/>
  </r>
  <r>
    <x v="942"/>
    <x v="183"/>
    <x v="0"/>
    <n v="1"/>
    <n v="300.08"/>
    <x v="1"/>
    <x v="5"/>
    <x v="1"/>
    <n v="300.08"/>
    <n v="1.6109589041095891"/>
    <n v="8"/>
    <n v="5"/>
  </r>
  <r>
    <x v="943"/>
    <x v="183"/>
    <x v="5"/>
    <n v="1"/>
    <n v="600.16999999999996"/>
    <x v="233"/>
    <x v="0"/>
    <x v="1"/>
    <n v="600.16999999999996"/>
    <n v="2.0794520547945203"/>
    <n v="17"/>
    <n v="5"/>
  </r>
  <r>
    <x v="944"/>
    <x v="183"/>
    <x v="0"/>
    <n v="2"/>
    <n v="600.16"/>
    <x v="558"/>
    <x v="3"/>
    <x v="3"/>
    <n v="1200.32"/>
    <n v="1.0876712328767124"/>
    <n v="12"/>
    <n v="7"/>
  </r>
  <r>
    <x v="945"/>
    <x v="183"/>
    <x v="1"/>
    <n v="5"/>
    <n v="203.3"/>
    <x v="190"/>
    <x v="3"/>
    <x v="3"/>
    <n v="1016.5"/>
    <n v="0"/>
    <n v="2"/>
    <n v="7"/>
  </r>
  <r>
    <x v="946"/>
    <x v="184"/>
    <x v="1"/>
    <n v="5"/>
    <n v="203.3"/>
    <x v="298"/>
    <x v="5"/>
    <x v="2"/>
    <n v="1016.5"/>
    <n v="1.8054794520547945"/>
    <n v="16"/>
    <n v="5"/>
  </r>
  <r>
    <x v="947"/>
    <x v="184"/>
    <x v="0"/>
    <n v="3"/>
    <n v="900.24"/>
    <x v="370"/>
    <x v="5"/>
    <x v="3"/>
    <n v="2700.7200000000003"/>
    <n v="1.558904109589041"/>
    <n v="20"/>
    <n v="7"/>
  </r>
  <r>
    <x v="948"/>
    <x v="184"/>
    <x v="0"/>
    <n v="1"/>
    <n v="300.08"/>
    <x v="559"/>
    <x v="9"/>
    <x v="3"/>
    <n v="300.08"/>
    <n v="1.8684931506849316"/>
    <n v="22"/>
    <n v="7"/>
  </r>
  <r>
    <x v="949"/>
    <x v="184"/>
    <x v="4"/>
    <n v="1"/>
    <n v="1050"/>
    <x v="361"/>
    <x v="0"/>
    <x v="4"/>
    <n v="1050"/>
    <n v="0.16438356164383561"/>
    <n v="6"/>
    <n v="7"/>
  </r>
  <r>
    <x v="950"/>
    <x v="185"/>
    <x v="4"/>
    <n v="3"/>
    <n v="3150"/>
    <x v="560"/>
    <x v="3"/>
    <x v="3"/>
    <n v="9450"/>
    <n v="1.1205479452054794"/>
    <n v="9"/>
    <n v="5"/>
  </r>
  <r>
    <x v="951"/>
    <x v="185"/>
    <x v="0"/>
    <n v="5"/>
    <n v="1500.4"/>
    <x v="348"/>
    <x v="0"/>
    <x v="3"/>
    <n v="7502"/>
    <n v="1.484931506849315"/>
    <n v="19"/>
    <n v="7"/>
  </r>
  <r>
    <x v="952"/>
    <x v="185"/>
    <x v="6"/>
    <n v="5"/>
    <n v="179.2"/>
    <x v="443"/>
    <x v="3"/>
    <x v="4"/>
    <n v="896"/>
    <n v="1.4767123287671233"/>
    <n v="11"/>
    <n v="7"/>
  </r>
  <r>
    <x v="953"/>
    <x v="185"/>
    <x v="0"/>
    <n v="2"/>
    <n v="600.16"/>
    <x v="153"/>
    <x v="0"/>
    <x v="3"/>
    <n v="1200.32"/>
    <n v="2.0575342465753423"/>
    <n v="15"/>
    <n v="7"/>
  </r>
  <r>
    <x v="954"/>
    <x v="185"/>
    <x v="5"/>
    <n v="1"/>
    <n v="600.16999999999996"/>
    <x v="549"/>
    <x v="6"/>
    <x v="2"/>
    <n v="600.16999999999996"/>
    <n v="1.8767123287671232"/>
    <n v="18"/>
    <n v="7"/>
  </r>
  <r>
    <x v="955"/>
    <x v="185"/>
    <x v="7"/>
    <n v="5"/>
    <n v="58.65"/>
    <x v="71"/>
    <x v="4"/>
    <x v="0"/>
    <n v="293.25"/>
    <n v="0.28493150684931506"/>
    <n v="10"/>
    <n v="10"/>
  </r>
  <r>
    <x v="956"/>
    <x v="186"/>
    <x v="4"/>
    <n v="4"/>
    <n v="4200"/>
    <x v="105"/>
    <x v="1"/>
    <x v="2"/>
    <n v="16800"/>
    <n v="0.852054794520548"/>
    <n v="12"/>
    <n v="5"/>
  </r>
  <r>
    <x v="957"/>
    <x v="186"/>
    <x v="0"/>
    <n v="1"/>
    <n v="300.08"/>
    <x v="453"/>
    <x v="9"/>
    <x v="4"/>
    <n v="300.08"/>
    <n v="1.463013698630137"/>
    <n v="15"/>
    <n v="5"/>
  </r>
  <r>
    <x v="958"/>
    <x v="186"/>
    <x v="1"/>
    <n v="5"/>
    <n v="203.3"/>
    <x v="294"/>
    <x v="1"/>
    <x v="4"/>
    <n v="1016.5"/>
    <n v="1.1424657534246576"/>
    <n v="18"/>
    <n v="5"/>
  </r>
  <r>
    <x v="959"/>
    <x v="186"/>
    <x v="2"/>
    <n v="2"/>
    <n v="10.46"/>
    <x v="328"/>
    <x v="9"/>
    <x v="4"/>
    <n v="20.92"/>
    <n v="0.67123287671232879"/>
    <n v="7"/>
    <n v="5"/>
  </r>
  <r>
    <x v="960"/>
    <x v="186"/>
    <x v="0"/>
    <n v="5"/>
    <n v="1500.4"/>
    <x v="323"/>
    <x v="9"/>
    <x v="3"/>
    <n v="7502"/>
    <n v="1.6246575342465754"/>
    <n v="8"/>
    <n v="7"/>
  </r>
  <r>
    <x v="961"/>
    <x v="186"/>
    <x v="0"/>
    <n v="2"/>
    <n v="600.16"/>
    <x v="482"/>
    <x v="0"/>
    <x v="0"/>
    <n v="1200.32"/>
    <n v="0.55890410958904113"/>
    <n v="5"/>
    <n v="10"/>
  </r>
  <r>
    <x v="962"/>
    <x v="187"/>
    <x v="0"/>
    <n v="1"/>
    <n v="300.08"/>
    <x v="158"/>
    <x v="6"/>
    <x v="0"/>
    <n v="300.08"/>
    <n v="1.4054794520547946"/>
    <n v="17"/>
    <n v="5"/>
  </r>
  <r>
    <x v="963"/>
    <x v="187"/>
    <x v="7"/>
    <n v="3"/>
    <n v="35.19"/>
    <x v="39"/>
    <x v="0"/>
    <x v="2"/>
    <n v="105.57"/>
    <n v="1.5287671232876712"/>
    <n v="12"/>
    <n v="5"/>
  </r>
  <r>
    <x v="964"/>
    <x v="187"/>
    <x v="7"/>
    <n v="3"/>
    <n v="35.19"/>
    <x v="546"/>
    <x v="0"/>
    <x v="2"/>
    <n v="105.57"/>
    <n v="2.0657534246575344"/>
    <n v="13"/>
    <n v="7"/>
  </r>
  <r>
    <x v="965"/>
    <x v="187"/>
    <x v="3"/>
    <n v="3"/>
    <n v="45.45"/>
    <x v="561"/>
    <x v="5"/>
    <x v="4"/>
    <n v="136.35000000000002"/>
    <n v="1.9452054794520548"/>
    <n v="19"/>
    <n v="7"/>
  </r>
  <r>
    <x v="966"/>
    <x v="188"/>
    <x v="5"/>
    <n v="1"/>
    <n v="600.16999999999996"/>
    <x v="562"/>
    <x v="0"/>
    <x v="4"/>
    <n v="600.16999999999996"/>
    <n v="0.60821917808219184"/>
    <n v="3"/>
    <n v="5"/>
  </r>
  <r>
    <x v="967"/>
    <x v="188"/>
    <x v="5"/>
    <n v="2"/>
    <n v="1200.3399999999999"/>
    <x v="563"/>
    <x v="6"/>
    <x v="3"/>
    <n v="2400.6799999999998"/>
    <n v="1.526027397260274"/>
    <n v="18"/>
    <n v="5"/>
  </r>
  <r>
    <x v="968"/>
    <x v="188"/>
    <x v="0"/>
    <n v="2"/>
    <n v="600.16"/>
    <x v="88"/>
    <x v="2"/>
    <x v="1"/>
    <n v="1200.32"/>
    <n v="2.010958904109589"/>
    <n v="17"/>
    <n v="7"/>
  </r>
  <r>
    <x v="969"/>
    <x v="188"/>
    <x v="6"/>
    <n v="2"/>
    <n v="71.680000000000007"/>
    <x v="564"/>
    <x v="1"/>
    <x v="0"/>
    <n v="143.36000000000001"/>
    <n v="1.6657534246575343"/>
    <n v="17"/>
    <n v="7"/>
  </r>
  <r>
    <x v="970"/>
    <x v="188"/>
    <x v="1"/>
    <n v="5"/>
    <n v="203.3"/>
    <x v="565"/>
    <x v="9"/>
    <x v="3"/>
    <n v="1016.5"/>
    <n v="0.96438356164383565"/>
    <n v="19"/>
    <n v="7"/>
  </r>
  <r>
    <x v="971"/>
    <x v="189"/>
    <x v="6"/>
    <n v="4"/>
    <n v="143.36000000000001"/>
    <x v="533"/>
    <x v="3"/>
    <x v="0"/>
    <n v="573.44000000000005"/>
    <n v="0.35068493150684932"/>
    <n v="14"/>
    <n v="5"/>
  </r>
  <r>
    <x v="972"/>
    <x v="189"/>
    <x v="0"/>
    <n v="1"/>
    <n v="300.08"/>
    <x v="33"/>
    <x v="1"/>
    <x v="0"/>
    <n v="300.08"/>
    <n v="1.5835616438356164"/>
    <n v="18"/>
    <n v="5"/>
  </r>
  <r>
    <x v="973"/>
    <x v="189"/>
    <x v="0"/>
    <n v="5"/>
    <n v="1500.4"/>
    <x v="566"/>
    <x v="9"/>
    <x v="3"/>
    <n v="7502"/>
    <n v="0.31232876712328766"/>
    <n v="8"/>
    <n v="5"/>
  </r>
  <r>
    <x v="974"/>
    <x v="189"/>
    <x v="6"/>
    <n v="3"/>
    <n v="107.52"/>
    <x v="307"/>
    <x v="4"/>
    <x v="3"/>
    <n v="322.56"/>
    <n v="1.9671232876712328"/>
    <n v="18"/>
    <n v="5"/>
  </r>
  <r>
    <x v="975"/>
    <x v="189"/>
    <x v="0"/>
    <n v="4"/>
    <n v="1200.32"/>
    <x v="567"/>
    <x v="2"/>
    <x v="4"/>
    <n v="4801.28"/>
    <n v="0.8904109589041096"/>
    <n v="5"/>
    <n v="5"/>
  </r>
  <r>
    <x v="976"/>
    <x v="189"/>
    <x v="0"/>
    <n v="4"/>
    <n v="1200.32"/>
    <x v="47"/>
    <x v="0"/>
    <x v="0"/>
    <n v="4801.28"/>
    <n v="1.5506849315068494"/>
    <n v="7"/>
    <n v="5"/>
  </r>
  <r>
    <x v="977"/>
    <x v="189"/>
    <x v="5"/>
    <n v="4"/>
    <n v="2400.6799999999998"/>
    <x v="559"/>
    <x v="6"/>
    <x v="0"/>
    <n v="9602.7199999999993"/>
    <n v="1.2821917808219179"/>
    <n v="16"/>
    <n v="7"/>
  </r>
  <r>
    <x v="978"/>
    <x v="189"/>
    <x v="1"/>
    <n v="4"/>
    <n v="162.63999999999999"/>
    <x v="211"/>
    <x v="6"/>
    <x v="3"/>
    <n v="650.55999999999995"/>
    <n v="1.6246575342465754"/>
    <n v="14"/>
    <n v="10"/>
  </r>
  <r>
    <x v="979"/>
    <x v="190"/>
    <x v="0"/>
    <n v="2"/>
    <n v="600.16"/>
    <x v="64"/>
    <x v="0"/>
    <x v="3"/>
    <n v="1200.32"/>
    <n v="1.8438356164383563"/>
    <n v="22"/>
    <n v="5"/>
  </r>
  <r>
    <x v="980"/>
    <x v="190"/>
    <x v="1"/>
    <n v="4"/>
    <n v="162.63999999999999"/>
    <x v="568"/>
    <x v="1"/>
    <x v="2"/>
    <n v="650.55999999999995"/>
    <n v="1.3698630136986301"/>
    <n v="13"/>
    <n v="5"/>
  </r>
  <r>
    <x v="981"/>
    <x v="190"/>
    <x v="2"/>
    <n v="5"/>
    <n v="26.15"/>
    <x v="145"/>
    <x v="5"/>
    <x v="1"/>
    <n v="130.75"/>
    <n v="3.0136986301369864E-2"/>
    <n v="5"/>
    <n v="5"/>
  </r>
  <r>
    <x v="982"/>
    <x v="190"/>
    <x v="2"/>
    <n v="5"/>
    <n v="26.15"/>
    <x v="28"/>
    <x v="9"/>
    <x v="2"/>
    <n v="130.75"/>
    <n v="2.1671232876712327"/>
    <n v="13"/>
    <n v="5"/>
  </r>
  <r>
    <x v="983"/>
    <x v="190"/>
    <x v="7"/>
    <n v="3"/>
    <n v="35.19"/>
    <x v="482"/>
    <x v="4"/>
    <x v="0"/>
    <n v="105.57"/>
    <n v="0"/>
    <n v="2"/>
    <n v="10"/>
  </r>
  <r>
    <x v="984"/>
    <x v="191"/>
    <x v="0"/>
    <n v="1"/>
    <n v="300.08"/>
    <x v="306"/>
    <x v="6"/>
    <x v="4"/>
    <n v="300.08"/>
    <n v="1.1835616438356165"/>
    <n v="17"/>
    <n v="5"/>
  </r>
  <r>
    <x v="985"/>
    <x v="191"/>
    <x v="1"/>
    <n v="1"/>
    <n v="40.659999999999997"/>
    <x v="339"/>
    <x v="6"/>
    <x v="0"/>
    <n v="40.659999999999997"/>
    <n v="0.27671232876712326"/>
    <n v="6"/>
    <n v="5"/>
  </r>
  <r>
    <x v="986"/>
    <x v="191"/>
    <x v="1"/>
    <n v="5"/>
    <n v="203.3"/>
    <x v="569"/>
    <x v="0"/>
    <x v="2"/>
    <n v="1016.5"/>
    <n v="0.73150684931506849"/>
    <n v="21"/>
    <n v="5"/>
  </r>
  <r>
    <x v="987"/>
    <x v="191"/>
    <x v="2"/>
    <n v="1"/>
    <n v="5.23"/>
    <x v="235"/>
    <x v="9"/>
    <x v="1"/>
    <n v="5.23"/>
    <n v="1.2712328767123289"/>
    <n v="8"/>
    <n v="7"/>
  </r>
  <r>
    <x v="988"/>
    <x v="191"/>
    <x v="0"/>
    <n v="1"/>
    <n v="300.08"/>
    <x v="570"/>
    <x v="4"/>
    <x v="1"/>
    <n v="300.08"/>
    <n v="1.2767123287671234"/>
    <n v="12"/>
    <n v="7"/>
  </r>
  <r>
    <x v="989"/>
    <x v="191"/>
    <x v="7"/>
    <n v="3"/>
    <n v="35.19"/>
    <x v="331"/>
    <x v="4"/>
    <x v="3"/>
    <n v="105.57"/>
    <n v="0.97534246575342465"/>
    <n v="14"/>
    <n v="7"/>
  </r>
  <r>
    <x v="990"/>
    <x v="191"/>
    <x v="6"/>
    <n v="5"/>
    <n v="179.2"/>
    <x v="382"/>
    <x v="4"/>
    <x v="3"/>
    <n v="896"/>
    <n v="1.2164383561643837"/>
    <n v="11"/>
    <n v="7"/>
  </r>
  <r>
    <x v="991"/>
    <x v="192"/>
    <x v="1"/>
    <n v="4"/>
    <n v="162.63999999999999"/>
    <x v="522"/>
    <x v="3"/>
    <x v="3"/>
    <n v="650.55999999999995"/>
    <n v="0.18356164383561643"/>
    <n v="4"/>
    <n v="5"/>
  </r>
  <r>
    <x v="992"/>
    <x v="192"/>
    <x v="4"/>
    <n v="2"/>
    <n v="2100"/>
    <x v="368"/>
    <x v="6"/>
    <x v="3"/>
    <n v="4200"/>
    <n v="1.6191780821917807"/>
    <n v="6"/>
    <n v="7"/>
  </r>
  <r>
    <x v="993"/>
    <x v="193"/>
    <x v="0"/>
    <n v="5"/>
    <n v="1500.4"/>
    <x v="294"/>
    <x v="6"/>
    <x v="0"/>
    <n v="7502"/>
    <n v="2.0547945205479454"/>
    <n v="16"/>
    <n v="5"/>
  </r>
  <r>
    <x v="994"/>
    <x v="193"/>
    <x v="2"/>
    <n v="5"/>
    <n v="26.15"/>
    <x v="274"/>
    <x v="8"/>
    <x v="2"/>
    <n v="130.75"/>
    <n v="1.5643835616438355"/>
    <n v="11"/>
    <n v="7"/>
  </r>
  <r>
    <x v="995"/>
    <x v="194"/>
    <x v="3"/>
    <n v="2"/>
    <n v="30.3"/>
    <x v="536"/>
    <x v="0"/>
    <x v="3"/>
    <n v="60.6"/>
    <n v="1.4958904109589042"/>
    <n v="22"/>
    <n v="5"/>
  </r>
  <r>
    <x v="996"/>
    <x v="194"/>
    <x v="7"/>
    <n v="5"/>
    <n v="58.65"/>
    <x v="186"/>
    <x v="1"/>
    <x v="2"/>
    <n v="293.25"/>
    <n v="1.6821917808219178"/>
    <n v="5"/>
    <n v="5"/>
  </r>
  <r>
    <x v="997"/>
    <x v="194"/>
    <x v="0"/>
    <n v="4"/>
    <n v="1200.32"/>
    <x v="38"/>
    <x v="8"/>
    <x v="4"/>
    <n v="4801.28"/>
    <n v="1.8246575342465754"/>
    <n v="8"/>
    <n v="5"/>
  </r>
  <r>
    <x v="998"/>
    <x v="194"/>
    <x v="0"/>
    <n v="5"/>
    <n v="1500.4"/>
    <x v="571"/>
    <x v="9"/>
    <x v="0"/>
    <n v="7502"/>
    <n v="0.74794520547945209"/>
    <n v="15"/>
    <n v="5"/>
  </r>
  <r>
    <x v="999"/>
    <x v="194"/>
    <x v="1"/>
    <n v="3"/>
    <n v="121.98"/>
    <x v="375"/>
    <x v="4"/>
    <x v="4"/>
    <n v="365.94"/>
    <n v="1.1232876712328768"/>
    <n v="6"/>
    <n v="5"/>
  </r>
  <r>
    <x v="1000"/>
    <x v="194"/>
    <x v="3"/>
    <n v="3"/>
    <n v="45.45"/>
    <x v="534"/>
    <x v="0"/>
    <x v="4"/>
    <n v="136.35000000000002"/>
    <n v="1.7726027397260273"/>
    <n v="15"/>
    <n v="5"/>
  </r>
  <r>
    <x v="1001"/>
    <x v="194"/>
    <x v="7"/>
    <n v="1"/>
    <n v="11.73"/>
    <x v="572"/>
    <x v="0"/>
    <x v="2"/>
    <n v="11.73"/>
    <n v="1.0136986301369864"/>
    <n v="13"/>
    <n v="7"/>
  </r>
  <r>
    <x v="1002"/>
    <x v="194"/>
    <x v="0"/>
    <n v="2"/>
    <n v="600.16"/>
    <x v="273"/>
    <x v="4"/>
    <x v="0"/>
    <n v="1200.32"/>
    <n v="1.4657534246575343"/>
    <n v="12"/>
    <n v="7"/>
  </r>
  <r>
    <x v="1003"/>
    <x v="194"/>
    <x v="1"/>
    <n v="5"/>
    <n v="203.3"/>
    <x v="564"/>
    <x v="3"/>
    <x v="0"/>
    <n v="1016.5"/>
    <n v="1.8767123287671232"/>
    <n v="15"/>
    <n v="7"/>
  </r>
  <r>
    <x v="1004"/>
    <x v="194"/>
    <x v="5"/>
    <n v="4"/>
    <n v="2400.6799999999998"/>
    <x v="511"/>
    <x v="6"/>
    <x v="1"/>
    <n v="9602.7199999999993"/>
    <n v="1.5753424657534247"/>
    <n v="26"/>
    <n v="7"/>
  </r>
  <r>
    <x v="1005"/>
    <x v="195"/>
    <x v="6"/>
    <n v="2"/>
    <n v="71.680000000000007"/>
    <x v="179"/>
    <x v="6"/>
    <x v="4"/>
    <n v="143.36000000000001"/>
    <n v="1.010958904109589"/>
    <n v="9"/>
    <n v="5"/>
  </r>
  <r>
    <x v="1006"/>
    <x v="195"/>
    <x v="0"/>
    <n v="2"/>
    <n v="600.16"/>
    <x v="573"/>
    <x v="0"/>
    <x v="4"/>
    <n v="1200.32"/>
    <n v="0.52876712328767128"/>
    <n v="12"/>
    <n v="7"/>
  </r>
  <r>
    <x v="1007"/>
    <x v="195"/>
    <x v="0"/>
    <n v="4"/>
    <n v="1200.32"/>
    <x v="574"/>
    <x v="1"/>
    <x v="3"/>
    <n v="4801.28"/>
    <n v="1.252054794520548"/>
    <n v="32"/>
    <n v="7"/>
  </r>
  <r>
    <x v="1008"/>
    <x v="195"/>
    <x v="4"/>
    <n v="3"/>
    <n v="3150"/>
    <x v="119"/>
    <x v="3"/>
    <x v="1"/>
    <n v="9450"/>
    <n v="1.5068493150684932"/>
    <n v="24"/>
    <n v="7"/>
  </r>
  <r>
    <x v="1009"/>
    <x v="196"/>
    <x v="1"/>
    <n v="1"/>
    <n v="40.659999999999997"/>
    <x v="77"/>
    <x v="1"/>
    <x v="2"/>
    <n v="40.659999999999997"/>
    <n v="1.789041095890411"/>
    <n v="14"/>
    <n v="5"/>
  </r>
  <r>
    <x v="1010"/>
    <x v="196"/>
    <x v="7"/>
    <n v="2"/>
    <n v="23.46"/>
    <x v="575"/>
    <x v="9"/>
    <x v="1"/>
    <n v="46.92"/>
    <n v="1.463013698630137"/>
    <n v="20"/>
    <n v="5"/>
  </r>
  <r>
    <x v="1011"/>
    <x v="196"/>
    <x v="5"/>
    <n v="5"/>
    <n v="3000.85"/>
    <x v="560"/>
    <x v="0"/>
    <x v="0"/>
    <n v="15004.25"/>
    <n v="1.4191780821917808"/>
    <n v="14"/>
    <n v="5"/>
  </r>
  <r>
    <x v="1012"/>
    <x v="196"/>
    <x v="1"/>
    <n v="3"/>
    <n v="121.98"/>
    <x v="576"/>
    <x v="6"/>
    <x v="1"/>
    <n v="365.94"/>
    <n v="0.41917808219178082"/>
    <n v="13"/>
    <n v="5"/>
  </r>
  <r>
    <x v="1013"/>
    <x v="196"/>
    <x v="1"/>
    <n v="5"/>
    <n v="203.3"/>
    <x v="333"/>
    <x v="1"/>
    <x v="1"/>
    <n v="1016.5"/>
    <n v="1.3095890410958904"/>
    <n v="10"/>
    <n v="7"/>
  </r>
  <r>
    <x v="1014"/>
    <x v="197"/>
    <x v="0"/>
    <n v="2"/>
    <n v="600.16"/>
    <x v="2"/>
    <x v="0"/>
    <x v="1"/>
    <n v="1200.32"/>
    <n v="1.704109589041096"/>
    <n v="14"/>
    <n v="7"/>
  </r>
  <r>
    <x v="1015"/>
    <x v="197"/>
    <x v="0"/>
    <n v="3"/>
    <n v="900.24"/>
    <x v="577"/>
    <x v="6"/>
    <x v="0"/>
    <n v="2700.7200000000003"/>
    <n v="1.0410958904109588"/>
    <n v="14"/>
    <n v="7"/>
  </r>
  <r>
    <x v="1016"/>
    <x v="197"/>
    <x v="0"/>
    <n v="1"/>
    <n v="300.08"/>
    <x v="578"/>
    <x v="4"/>
    <x v="2"/>
    <n v="300.08"/>
    <n v="1.5041095890410958"/>
    <n v="28"/>
    <n v="7"/>
  </r>
  <r>
    <x v="1017"/>
    <x v="198"/>
    <x v="5"/>
    <n v="5"/>
    <n v="3000.85"/>
    <x v="417"/>
    <x v="7"/>
    <x v="1"/>
    <n v="15004.25"/>
    <n v="0.36438356164383562"/>
    <n v="9"/>
    <n v="5"/>
  </r>
  <r>
    <x v="1018"/>
    <x v="198"/>
    <x v="0"/>
    <n v="2"/>
    <n v="600.16"/>
    <x v="222"/>
    <x v="6"/>
    <x v="4"/>
    <n v="1200.32"/>
    <n v="1.4027397260273973"/>
    <n v="20"/>
    <n v="7"/>
  </r>
  <r>
    <x v="1019"/>
    <x v="198"/>
    <x v="1"/>
    <n v="4"/>
    <n v="162.63999999999999"/>
    <x v="55"/>
    <x v="0"/>
    <x v="0"/>
    <n v="650.55999999999995"/>
    <n v="1.0657534246575342"/>
    <n v="14"/>
    <n v="7"/>
  </r>
  <r>
    <x v="1020"/>
    <x v="198"/>
    <x v="6"/>
    <n v="3"/>
    <n v="107.52"/>
    <x v="337"/>
    <x v="0"/>
    <x v="1"/>
    <n v="322.56"/>
    <n v="1.4465753424657535"/>
    <n v="14"/>
    <n v="7"/>
  </r>
  <r>
    <x v="1021"/>
    <x v="199"/>
    <x v="2"/>
    <n v="2"/>
    <n v="10.46"/>
    <x v="566"/>
    <x v="0"/>
    <x v="2"/>
    <n v="20.92"/>
    <n v="1.832876712328767"/>
    <n v="19"/>
    <n v="5"/>
  </r>
  <r>
    <x v="1022"/>
    <x v="199"/>
    <x v="0"/>
    <n v="4"/>
    <n v="1200.32"/>
    <x v="95"/>
    <x v="6"/>
    <x v="0"/>
    <n v="4801.28"/>
    <n v="0.56712328767123288"/>
    <n v="5"/>
    <n v="5"/>
  </r>
  <r>
    <x v="1023"/>
    <x v="199"/>
    <x v="6"/>
    <n v="3"/>
    <n v="107.52"/>
    <x v="579"/>
    <x v="8"/>
    <x v="3"/>
    <n v="322.56"/>
    <n v="1.3698630136986301E-2"/>
    <n v="10"/>
    <n v="7"/>
  </r>
  <r>
    <x v="1024"/>
    <x v="199"/>
    <x v="5"/>
    <n v="1"/>
    <n v="600.16999999999996"/>
    <x v="580"/>
    <x v="2"/>
    <x v="1"/>
    <n v="600.16999999999996"/>
    <n v="0.18904109589041096"/>
    <n v="6"/>
    <n v="7"/>
  </r>
  <r>
    <x v="1025"/>
    <x v="199"/>
    <x v="7"/>
    <n v="4"/>
    <n v="46.92"/>
    <x v="581"/>
    <x v="6"/>
    <x v="3"/>
    <n v="187.68"/>
    <n v="0.51506849315068493"/>
    <n v="11"/>
    <n v="7"/>
  </r>
  <r>
    <x v="1026"/>
    <x v="199"/>
    <x v="0"/>
    <n v="1"/>
    <n v="300.08"/>
    <x v="273"/>
    <x v="0"/>
    <x v="2"/>
    <n v="300.08"/>
    <n v="1.2438356164383562"/>
    <n v="18"/>
    <n v="7"/>
  </r>
  <r>
    <x v="1027"/>
    <x v="199"/>
    <x v="2"/>
    <n v="2"/>
    <n v="10.46"/>
    <x v="178"/>
    <x v="2"/>
    <x v="3"/>
    <n v="20.92"/>
    <n v="2.0164383561643837"/>
    <n v="16"/>
    <n v="7"/>
  </r>
  <r>
    <x v="1028"/>
    <x v="200"/>
    <x v="0"/>
    <n v="2"/>
    <n v="600.16"/>
    <x v="582"/>
    <x v="1"/>
    <x v="0"/>
    <n v="1200.32"/>
    <n v="0.47123287671232877"/>
    <n v="8"/>
    <n v="5"/>
  </r>
  <r>
    <x v="1029"/>
    <x v="200"/>
    <x v="0"/>
    <n v="3"/>
    <n v="900.24"/>
    <x v="376"/>
    <x v="0"/>
    <x v="2"/>
    <n v="2700.7200000000003"/>
    <n v="1.8575342465753424"/>
    <n v="10"/>
    <n v="7"/>
  </r>
  <r>
    <x v="1030"/>
    <x v="200"/>
    <x v="1"/>
    <n v="1"/>
    <n v="40.659999999999997"/>
    <x v="123"/>
    <x v="1"/>
    <x v="0"/>
    <n v="40.659999999999997"/>
    <n v="1.1753424657534246"/>
    <n v="7"/>
    <n v="7"/>
  </r>
  <r>
    <x v="1031"/>
    <x v="200"/>
    <x v="0"/>
    <n v="1"/>
    <n v="300.08"/>
    <x v="3"/>
    <x v="0"/>
    <x v="4"/>
    <n v="300.08"/>
    <n v="0.4"/>
    <n v="6"/>
    <n v="7"/>
  </r>
  <r>
    <x v="1032"/>
    <x v="200"/>
    <x v="0"/>
    <n v="4"/>
    <n v="1200.32"/>
    <x v="583"/>
    <x v="1"/>
    <x v="1"/>
    <n v="4801.28"/>
    <n v="1.0849315068493151"/>
    <n v="19"/>
    <n v="7"/>
  </r>
  <r>
    <x v="1033"/>
    <x v="201"/>
    <x v="1"/>
    <n v="2"/>
    <n v="81.319999999999993"/>
    <x v="575"/>
    <x v="8"/>
    <x v="0"/>
    <n v="162.63999999999999"/>
    <n v="1.2904109589041095"/>
    <n v="11"/>
    <n v="5"/>
  </r>
  <r>
    <x v="1034"/>
    <x v="201"/>
    <x v="5"/>
    <n v="1"/>
    <n v="600.16999999999996"/>
    <x v="584"/>
    <x v="4"/>
    <x v="2"/>
    <n v="600.16999999999996"/>
    <n v="1.441095890410959"/>
    <n v="10"/>
    <n v="7"/>
  </r>
  <r>
    <x v="1035"/>
    <x v="201"/>
    <x v="1"/>
    <n v="5"/>
    <n v="203.3"/>
    <x v="585"/>
    <x v="2"/>
    <x v="4"/>
    <n v="1016.5"/>
    <n v="0.84657534246575339"/>
    <n v="10"/>
    <n v="7"/>
  </r>
  <r>
    <x v="1036"/>
    <x v="201"/>
    <x v="1"/>
    <n v="3"/>
    <n v="121.98"/>
    <x v="572"/>
    <x v="3"/>
    <x v="0"/>
    <n v="365.94"/>
    <n v="0.81095890410958904"/>
    <n v="14"/>
    <n v="7"/>
  </r>
  <r>
    <x v="1037"/>
    <x v="201"/>
    <x v="1"/>
    <n v="1"/>
    <n v="40.659999999999997"/>
    <x v="29"/>
    <x v="6"/>
    <x v="1"/>
    <n v="40.659999999999997"/>
    <n v="1.4164383561643836"/>
    <n v="17"/>
    <n v="7"/>
  </r>
  <r>
    <x v="1038"/>
    <x v="201"/>
    <x v="5"/>
    <n v="2"/>
    <n v="1200.3399999999999"/>
    <x v="330"/>
    <x v="4"/>
    <x v="4"/>
    <n v="2400.6799999999998"/>
    <n v="2.0575342465753423"/>
    <n v="16"/>
    <n v="7"/>
  </r>
  <r>
    <x v="1039"/>
    <x v="201"/>
    <x v="0"/>
    <n v="5"/>
    <n v="1500.4"/>
    <x v="50"/>
    <x v="0"/>
    <x v="1"/>
    <n v="7502"/>
    <n v="0.43287671232876712"/>
    <n v="7"/>
    <n v="10"/>
  </r>
  <r>
    <x v="1040"/>
    <x v="201"/>
    <x v="1"/>
    <n v="5"/>
    <n v="203.3"/>
    <x v="586"/>
    <x v="6"/>
    <x v="1"/>
    <n v="1016.5"/>
    <n v="1.2328767123287672"/>
    <n v="20"/>
    <n v="10"/>
  </r>
  <r>
    <x v="1041"/>
    <x v="201"/>
    <x v="0"/>
    <n v="2"/>
    <n v="600.16"/>
    <x v="452"/>
    <x v="5"/>
    <x v="2"/>
    <n v="1200.32"/>
    <n v="1.515068493150685"/>
    <n v="13"/>
    <n v="10"/>
  </r>
  <r>
    <x v="1042"/>
    <x v="202"/>
    <x v="1"/>
    <n v="3"/>
    <n v="121.98"/>
    <x v="292"/>
    <x v="2"/>
    <x v="3"/>
    <n v="365.94"/>
    <n v="2.0712328767123287"/>
    <n v="12"/>
    <n v="5"/>
  </r>
  <r>
    <x v="1043"/>
    <x v="202"/>
    <x v="6"/>
    <n v="4"/>
    <n v="143.36000000000001"/>
    <x v="587"/>
    <x v="4"/>
    <x v="0"/>
    <n v="573.44000000000005"/>
    <n v="1.6630136986301369"/>
    <n v="13"/>
    <n v="5"/>
  </r>
  <r>
    <x v="1044"/>
    <x v="202"/>
    <x v="0"/>
    <n v="1"/>
    <n v="300.08"/>
    <x v="405"/>
    <x v="5"/>
    <x v="3"/>
    <n v="300.08"/>
    <n v="0.62739726027397258"/>
    <n v="13"/>
    <n v="7"/>
  </r>
  <r>
    <x v="1045"/>
    <x v="202"/>
    <x v="0"/>
    <n v="3"/>
    <n v="900.24"/>
    <x v="588"/>
    <x v="0"/>
    <x v="4"/>
    <n v="2700.7200000000003"/>
    <n v="1.0301369863013699"/>
    <n v="24"/>
    <n v="7"/>
  </r>
  <r>
    <x v="1046"/>
    <x v="202"/>
    <x v="0"/>
    <n v="3"/>
    <n v="900.24"/>
    <x v="368"/>
    <x v="1"/>
    <x v="1"/>
    <n v="2700.7200000000003"/>
    <n v="1.3589041095890411"/>
    <n v="7"/>
    <n v="7"/>
  </r>
  <r>
    <x v="1047"/>
    <x v="203"/>
    <x v="0"/>
    <n v="5"/>
    <n v="1500.4"/>
    <x v="582"/>
    <x v="6"/>
    <x v="2"/>
    <n v="7502"/>
    <n v="1.8191780821917809"/>
    <n v="28"/>
    <n v="5"/>
  </r>
  <r>
    <x v="1048"/>
    <x v="203"/>
    <x v="3"/>
    <n v="1"/>
    <n v="15.15"/>
    <x v="148"/>
    <x v="4"/>
    <x v="3"/>
    <n v="15.15"/>
    <n v="0.39178082191780822"/>
    <n v="3"/>
    <n v="7"/>
  </r>
  <r>
    <x v="1049"/>
    <x v="203"/>
    <x v="5"/>
    <n v="3"/>
    <n v="1800.51"/>
    <x v="378"/>
    <x v="6"/>
    <x v="4"/>
    <n v="5401.53"/>
    <n v="1.095890410958904"/>
    <n v="17"/>
    <n v="7"/>
  </r>
  <r>
    <x v="1050"/>
    <x v="204"/>
    <x v="0"/>
    <n v="5"/>
    <n v="1500.4"/>
    <x v="527"/>
    <x v="2"/>
    <x v="2"/>
    <n v="7502"/>
    <n v="0.70410958904109588"/>
    <n v="14"/>
    <n v="5"/>
  </r>
  <r>
    <x v="1051"/>
    <x v="204"/>
    <x v="0"/>
    <n v="1"/>
    <n v="300.08"/>
    <x v="65"/>
    <x v="9"/>
    <x v="2"/>
    <n v="300.08"/>
    <n v="1.4602739726027398"/>
    <n v="19"/>
    <n v="5"/>
  </r>
  <r>
    <x v="1052"/>
    <x v="204"/>
    <x v="0"/>
    <n v="5"/>
    <n v="1500.4"/>
    <x v="483"/>
    <x v="6"/>
    <x v="0"/>
    <n v="7502"/>
    <n v="1.0027397260273974"/>
    <n v="8"/>
    <n v="5"/>
  </r>
  <r>
    <x v="1053"/>
    <x v="204"/>
    <x v="3"/>
    <n v="4"/>
    <n v="60.6"/>
    <x v="473"/>
    <x v="6"/>
    <x v="0"/>
    <n v="242.4"/>
    <n v="1.3452054794520547"/>
    <n v="20"/>
    <n v="5"/>
  </r>
  <r>
    <x v="1054"/>
    <x v="204"/>
    <x v="0"/>
    <n v="5"/>
    <n v="1500.4"/>
    <x v="300"/>
    <x v="6"/>
    <x v="3"/>
    <n v="7502"/>
    <n v="0.19178082191780821"/>
    <n v="9"/>
    <n v="5"/>
  </r>
  <r>
    <x v="1055"/>
    <x v="204"/>
    <x v="5"/>
    <n v="3"/>
    <n v="1800.51"/>
    <x v="589"/>
    <x v="0"/>
    <x v="2"/>
    <n v="5401.53"/>
    <n v="0.72602739726027399"/>
    <n v="13"/>
    <n v="5"/>
  </r>
  <r>
    <x v="1056"/>
    <x v="204"/>
    <x v="2"/>
    <n v="5"/>
    <n v="26.15"/>
    <x v="590"/>
    <x v="0"/>
    <x v="2"/>
    <n v="130.75"/>
    <n v="0.59726027397260273"/>
    <n v="11"/>
    <n v="7"/>
  </r>
  <r>
    <x v="1057"/>
    <x v="204"/>
    <x v="2"/>
    <n v="2"/>
    <n v="10.46"/>
    <x v="591"/>
    <x v="1"/>
    <x v="4"/>
    <n v="20.92"/>
    <n v="1.6438356164383561"/>
    <n v="19"/>
    <n v="7"/>
  </r>
  <r>
    <x v="1058"/>
    <x v="204"/>
    <x v="6"/>
    <n v="4"/>
    <n v="143.36000000000001"/>
    <x v="523"/>
    <x v="0"/>
    <x v="1"/>
    <n v="573.44000000000005"/>
    <n v="0.8794520547945206"/>
    <n v="17"/>
    <n v="7"/>
  </r>
  <r>
    <x v="1059"/>
    <x v="204"/>
    <x v="6"/>
    <n v="3"/>
    <n v="107.52"/>
    <x v="592"/>
    <x v="8"/>
    <x v="3"/>
    <n v="322.56"/>
    <n v="0.92328767123287669"/>
    <n v="15"/>
    <n v="7"/>
  </r>
  <r>
    <x v="1060"/>
    <x v="205"/>
    <x v="0"/>
    <n v="2"/>
    <n v="600.16"/>
    <x v="292"/>
    <x v="0"/>
    <x v="3"/>
    <n v="1200.32"/>
    <n v="1.9945205479452055"/>
    <n v="14"/>
    <n v="5"/>
  </r>
  <r>
    <x v="1061"/>
    <x v="205"/>
    <x v="0"/>
    <n v="5"/>
    <n v="1500.4"/>
    <x v="584"/>
    <x v="7"/>
    <x v="2"/>
    <n v="7502"/>
    <n v="0.87397260273972599"/>
    <n v="7"/>
    <n v="7"/>
  </r>
  <r>
    <x v="1062"/>
    <x v="205"/>
    <x v="0"/>
    <n v="3"/>
    <n v="900.24"/>
    <x v="154"/>
    <x v="2"/>
    <x v="4"/>
    <n v="2700.7200000000003"/>
    <n v="2.1260273972602741"/>
    <n v="13"/>
    <n v="7"/>
  </r>
  <r>
    <x v="1063"/>
    <x v="206"/>
    <x v="4"/>
    <n v="4"/>
    <n v="4200"/>
    <x v="593"/>
    <x v="6"/>
    <x v="0"/>
    <n v="16800"/>
    <n v="1.3178082191780822"/>
    <n v="24"/>
    <n v="5"/>
  </r>
  <r>
    <x v="1064"/>
    <x v="206"/>
    <x v="0"/>
    <n v="1"/>
    <n v="300.08"/>
    <x v="594"/>
    <x v="4"/>
    <x v="4"/>
    <n v="300.08"/>
    <n v="0.9452054794520548"/>
    <n v="16"/>
    <n v="7"/>
  </r>
  <r>
    <x v="1065"/>
    <x v="206"/>
    <x v="0"/>
    <n v="2"/>
    <n v="600.16"/>
    <x v="363"/>
    <x v="7"/>
    <x v="1"/>
    <n v="1200.32"/>
    <n v="1.6876712328767123"/>
    <n v="21"/>
    <n v="7"/>
  </r>
  <r>
    <x v="1066"/>
    <x v="206"/>
    <x v="0"/>
    <n v="5"/>
    <n v="1500.4"/>
    <x v="402"/>
    <x v="6"/>
    <x v="3"/>
    <n v="7502"/>
    <n v="1.5698630136986302"/>
    <n v="13"/>
    <n v="10"/>
  </r>
  <r>
    <x v="1067"/>
    <x v="206"/>
    <x v="0"/>
    <n v="5"/>
    <n v="1500.4"/>
    <x v="26"/>
    <x v="1"/>
    <x v="0"/>
    <n v="7502"/>
    <n v="1.0931506849315069"/>
    <n v="19"/>
    <n v="10"/>
  </r>
  <r>
    <x v="1068"/>
    <x v="207"/>
    <x v="3"/>
    <n v="5"/>
    <n v="75.75"/>
    <x v="351"/>
    <x v="9"/>
    <x v="3"/>
    <n v="378.75"/>
    <n v="0.93150684931506844"/>
    <n v="9"/>
    <n v="5"/>
  </r>
  <r>
    <x v="1069"/>
    <x v="207"/>
    <x v="5"/>
    <n v="4"/>
    <n v="2400.6799999999998"/>
    <x v="415"/>
    <x v="6"/>
    <x v="4"/>
    <n v="9602.7199999999993"/>
    <n v="1.726027397260274"/>
    <n v="6"/>
    <n v="7"/>
  </r>
  <r>
    <x v="1070"/>
    <x v="207"/>
    <x v="0"/>
    <n v="4"/>
    <n v="1200.32"/>
    <x v="190"/>
    <x v="6"/>
    <x v="4"/>
    <n v="4801.28"/>
    <n v="1.5342465753424657"/>
    <n v="20"/>
    <n v="7"/>
  </r>
  <r>
    <x v="1071"/>
    <x v="207"/>
    <x v="0"/>
    <n v="5"/>
    <n v="1500.4"/>
    <x v="170"/>
    <x v="0"/>
    <x v="1"/>
    <n v="7502"/>
    <n v="0.25479452054794521"/>
    <n v="11"/>
    <n v="10"/>
  </r>
  <r>
    <x v="1072"/>
    <x v="208"/>
    <x v="2"/>
    <n v="5"/>
    <n v="26.15"/>
    <x v="595"/>
    <x v="6"/>
    <x v="1"/>
    <n v="130.75"/>
    <n v="1.821917808219178"/>
    <n v="12"/>
    <n v="7"/>
  </r>
  <r>
    <x v="1073"/>
    <x v="208"/>
    <x v="3"/>
    <n v="3"/>
    <n v="45.45"/>
    <x v="596"/>
    <x v="6"/>
    <x v="3"/>
    <n v="136.35000000000002"/>
    <n v="1.3616438356164384"/>
    <n v="14"/>
    <n v="7"/>
  </r>
  <r>
    <x v="1074"/>
    <x v="208"/>
    <x v="0"/>
    <n v="3"/>
    <n v="900.24"/>
    <x v="597"/>
    <x v="5"/>
    <x v="2"/>
    <n v="2700.7200000000003"/>
    <n v="1.3342465753424657"/>
    <n v="16"/>
    <n v="7"/>
  </r>
  <r>
    <x v="1075"/>
    <x v="208"/>
    <x v="2"/>
    <n v="1"/>
    <n v="5.23"/>
    <x v="200"/>
    <x v="6"/>
    <x v="2"/>
    <n v="5.23"/>
    <n v="1.9095890410958904"/>
    <n v="18"/>
    <n v="10"/>
  </r>
  <r>
    <x v="1076"/>
    <x v="209"/>
    <x v="5"/>
    <n v="4"/>
    <n v="2400.6799999999998"/>
    <x v="63"/>
    <x v="8"/>
    <x v="4"/>
    <n v="9602.7199999999993"/>
    <n v="1.9808219178082191"/>
    <n v="23"/>
    <n v="5"/>
  </r>
  <r>
    <x v="1077"/>
    <x v="209"/>
    <x v="0"/>
    <n v="5"/>
    <n v="1500.4"/>
    <x v="598"/>
    <x v="0"/>
    <x v="2"/>
    <n v="7502"/>
    <n v="0.68767123287671228"/>
    <n v="17"/>
    <n v="5"/>
  </r>
  <r>
    <x v="1078"/>
    <x v="209"/>
    <x v="0"/>
    <n v="1"/>
    <n v="300.08"/>
    <x v="168"/>
    <x v="4"/>
    <x v="4"/>
    <n v="300.08"/>
    <n v="2.0246575342465754"/>
    <n v="25"/>
    <n v="5"/>
  </r>
  <r>
    <x v="1079"/>
    <x v="209"/>
    <x v="2"/>
    <n v="2"/>
    <n v="10.46"/>
    <x v="160"/>
    <x v="8"/>
    <x v="0"/>
    <n v="20.92"/>
    <n v="1.4356164383561645"/>
    <n v="29"/>
    <n v="7"/>
  </r>
  <r>
    <x v="1080"/>
    <x v="209"/>
    <x v="1"/>
    <n v="2"/>
    <n v="81.319999999999993"/>
    <x v="297"/>
    <x v="1"/>
    <x v="2"/>
    <n v="162.63999999999999"/>
    <n v="1.8575342465753424"/>
    <n v="22"/>
    <n v="7"/>
  </r>
  <r>
    <x v="1081"/>
    <x v="210"/>
    <x v="0"/>
    <n v="3"/>
    <n v="900.24"/>
    <x v="599"/>
    <x v="6"/>
    <x v="2"/>
    <n v="2700.7200000000003"/>
    <n v="1.978082191780822"/>
    <n v="6"/>
    <n v="5"/>
  </r>
  <r>
    <x v="1082"/>
    <x v="210"/>
    <x v="1"/>
    <n v="3"/>
    <n v="121.98"/>
    <x v="600"/>
    <x v="9"/>
    <x v="0"/>
    <n v="365.94"/>
    <n v="0.97534246575342465"/>
    <n v="24"/>
    <n v="5"/>
  </r>
  <r>
    <x v="1083"/>
    <x v="210"/>
    <x v="6"/>
    <n v="3"/>
    <n v="107.52"/>
    <x v="601"/>
    <x v="0"/>
    <x v="1"/>
    <n v="322.56"/>
    <n v="1.1589041095890411"/>
    <n v="16"/>
    <n v="7"/>
  </r>
  <r>
    <x v="1084"/>
    <x v="210"/>
    <x v="1"/>
    <n v="1"/>
    <n v="40.659999999999997"/>
    <x v="155"/>
    <x v="4"/>
    <x v="0"/>
    <n v="40.659999999999997"/>
    <n v="2.010958904109589"/>
    <n v="16"/>
    <n v="10"/>
  </r>
  <r>
    <x v="1085"/>
    <x v="211"/>
    <x v="0"/>
    <n v="1"/>
    <n v="300.08"/>
    <x v="14"/>
    <x v="3"/>
    <x v="2"/>
    <n v="300.08"/>
    <n v="0.92054794520547945"/>
    <n v="9"/>
    <n v="5"/>
  </r>
  <r>
    <x v="1086"/>
    <x v="211"/>
    <x v="7"/>
    <n v="2"/>
    <n v="23.46"/>
    <x v="556"/>
    <x v="3"/>
    <x v="4"/>
    <n v="46.92"/>
    <n v="1.6849315068493151"/>
    <n v="16"/>
    <n v="5"/>
  </r>
  <r>
    <x v="1087"/>
    <x v="211"/>
    <x v="6"/>
    <n v="5"/>
    <n v="179.2"/>
    <x v="602"/>
    <x v="1"/>
    <x v="4"/>
    <n v="896"/>
    <n v="1.6027397260273972"/>
    <n v="19"/>
    <n v="7"/>
  </r>
  <r>
    <x v="1088"/>
    <x v="211"/>
    <x v="2"/>
    <n v="5"/>
    <n v="26.15"/>
    <x v="76"/>
    <x v="1"/>
    <x v="2"/>
    <n v="130.75"/>
    <n v="1.8821917808219177"/>
    <n v="20"/>
    <n v="7"/>
  </r>
  <r>
    <x v="1089"/>
    <x v="211"/>
    <x v="3"/>
    <n v="5"/>
    <n v="75.75"/>
    <x v="405"/>
    <x v="2"/>
    <x v="4"/>
    <n v="378.75"/>
    <n v="0.8246575342465754"/>
    <n v="11"/>
    <n v="7"/>
  </r>
  <r>
    <x v="1090"/>
    <x v="211"/>
    <x v="0"/>
    <n v="2"/>
    <n v="600.16"/>
    <x v="11"/>
    <x v="4"/>
    <x v="4"/>
    <n v="1200.32"/>
    <n v="1.9205479452054794"/>
    <n v="13"/>
    <n v="7"/>
  </r>
  <r>
    <x v="1091"/>
    <x v="212"/>
    <x v="5"/>
    <n v="5"/>
    <n v="3000.85"/>
    <x v="113"/>
    <x v="8"/>
    <x v="0"/>
    <n v="15004.25"/>
    <n v="1.4958904109589042"/>
    <n v="19"/>
    <n v="5"/>
  </r>
  <r>
    <x v="1092"/>
    <x v="212"/>
    <x v="3"/>
    <n v="3"/>
    <n v="45.45"/>
    <x v="166"/>
    <x v="7"/>
    <x v="2"/>
    <n v="136.35000000000002"/>
    <n v="1.7397260273972603"/>
    <n v="14"/>
    <n v="5"/>
  </r>
  <r>
    <x v="1093"/>
    <x v="212"/>
    <x v="5"/>
    <n v="3"/>
    <n v="1800.51"/>
    <x v="91"/>
    <x v="6"/>
    <x v="4"/>
    <n v="5401.53"/>
    <n v="1.4876712328767123"/>
    <n v="15"/>
    <n v="5"/>
  </r>
  <r>
    <x v="1094"/>
    <x v="212"/>
    <x v="5"/>
    <n v="5"/>
    <n v="3000.85"/>
    <x v="248"/>
    <x v="5"/>
    <x v="3"/>
    <n v="15004.25"/>
    <n v="1.4"/>
    <n v="15"/>
    <n v="7"/>
  </r>
  <r>
    <x v="1095"/>
    <x v="212"/>
    <x v="5"/>
    <n v="3"/>
    <n v="1800.51"/>
    <x v="486"/>
    <x v="7"/>
    <x v="2"/>
    <n v="5401.53"/>
    <n v="1.5972602739726027"/>
    <n v="15"/>
    <n v="7"/>
  </r>
  <r>
    <x v="1096"/>
    <x v="213"/>
    <x v="0"/>
    <n v="1"/>
    <n v="300.08"/>
    <x v="453"/>
    <x v="3"/>
    <x v="3"/>
    <n v="300.08"/>
    <n v="1.6794520547945206"/>
    <n v="19"/>
    <n v="5"/>
  </r>
  <r>
    <x v="1097"/>
    <x v="213"/>
    <x v="2"/>
    <n v="5"/>
    <n v="26.15"/>
    <x v="589"/>
    <x v="0"/>
    <x v="4"/>
    <n v="130.75"/>
    <n v="1.526027397260274"/>
    <n v="15"/>
    <n v="5"/>
  </r>
  <r>
    <x v="1098"/>
    <x v="213"/>
    <x v="1"/>
    <n v="4"/>
    <n v="162.63999999999999"/>
    <x v="75"/>
    <x v="9"/>
    <x v="2"/>
    <n v="650.55999999999995"/>
    <n v="0.78630136986301369"/>
    <n v="26"/>
    <n v="7"/>
  </r>
  <r>
    <x v="1099"/>
    <x v="213"/>
    <x v="7"/>
    <n v="4"/>
    <n v="46.92"/>
    <x v="539"/>
    <x v="3"/>
    <x v="4"/>
    <n v="187.68"/>
    <n v="0.82739726027397265"/>
    <n v="13"/>
    <n v="7"/>
  </r>
  <r>
    <x v="1100"/>
    <x v="213"/>
    <x v="2"/>
    <n v="1"/>
    <n v="5.23"/>
    <x v="603"/>
    <x v="4"/>
    <x v="1"/>
    <n v="5.23"/>
    <n v="1.5972602739726027"/>
    <n v="20"/>
    <n v="7"/>
  </r>
  <r>
    <x v="1101"/>
    <x v="213"/>
    <x v="0"/>
    <n v="2"/>
    <n v="600.16"/>
    <x v="193"/>
    <x v="7"/>
    <x v="4"/>
    <n v="1200.32"/>
    <n v="2.0794520547945203"/>
    <n v="15"/>
    <n v="7"/>
  </r>
  <r>
    <x v="1102"/>
    <x v="213"/>
    <x v="2"/>
    <n v="1"/>
    <n v="5.23"/>
    <x v="444"/>
    <x v="7"/>
    <x v="3"/>
    <n v="5.23"/>
    <n v="1.832876712328767"/>
    <n v="22"/>
    <n v="7"/>
  </r>
  <r>
    <x v="1103"/>
    <x v="213"/>
    <x v="6"/>
    <n v="5"/>
    <n v="179.2"/>
    <x v="96"/>
    <x v="5"/>
    <x v="2"/>
    <n v="896"/>
    <n v="1.6794520547945206"/>
    <n v="16"/>
    <n v="7"/>
  </r>
  <r>
    <x v="1104"/>
    <x v="214"/>
    <x v="2"/>
    <n v="3"/>
    <n v="15.69"/>
    <x v="151"/>
    <x v="3"/>
    <x v="2"/>
    <n v="47.07"/>
    <n v="1.3917808219178083"/>
    <n v="19"/>
    <n v="5"/>
  </r>
  <r>
    <x v="1105"/>
    <x v="214"/>
    <x v="7"/>
    <n v="1"/>
    <n v="11.73"/>
    <x v="604"/>
    <x v="4"/>
    <x v="0"/>
    <n v="11.73"/>
    <n v="1.2054794520547945"/>
    <n v="13"/>
    <n v="5"/>
  </r>
  <r>
    <x v="1106"/>
    <x v="214"/>
    <x v="0"/>
    <n v="4"/>
    <n v="1200.32"/>
    <x v="40"/>
    <x v="6"/>
    <x v="4"/>
    <n v="4801.28"/>
    <n v="1.8273972602739725"/>
    <n v="18"/>
    <n v="7"/>
  </r>
  <r>
    <x v="1107"/>
    <x v="214"/>
    <x v="7"/>
    <n v="5"/>
    <n v="58.65"/>
    <x v="546"/>
    <x v="7"/>
    <x v="0"/>
    <n v="293.25"/>
    <n v="1.3260273972602741"/>
    <n v="15"/>
    <n v="7"/>
  </r>
  <r>
    <x v="1108"/>
    <x v="214"/>
    <x v="0"/>
    <n v="5"/>
    <n v="1500.4"/>
    <x v="605"/>
    <x v="2"/>
    <x v="0"/>
    <n v="7502"/>
    <n v="1.6602739726027398"/>
    <n v="19"/>
    <n v="7"/>
  </r>
  <r>
    <x v="1109"/>
    <x v="214"/>
    <x v="6"/>
    <n v="1"/>
    <n v="35.840000000000003"/>
    <x v="511"/>
    <x v="9"/>
    <x v="4"/>
    <n v="35.840000000000003"/>
    <n v="1.7424657534246575"/>
    <n v="18"/>
    <n v="7"/>
  </r>
  <r>
    <x v="1110"/>
    <x v="215"/>
    <x v="0"/>
    <n v="4"/>
    <n v="1200.32"/>
    <x v="372"/>
    <x v="4"/>
    <x v="1"/>
    <n v="4801.28"/>
    <n v="0.53698630136986303"/>
    <n v="15"/>
    <n v="5"/>
  </r>
  <r>
    <x v="1111"/>
    <x v="215"/>
    <x v="0"/>
    <n v="3"/>
    <n v="900.24"/>
    <x v="343"/>
    <x v="0"/>
    <x v="4"/>
    <n v="2700.7200000000003"/>
    <n v="1.2547945205479452"/>
    <n v="18"/>
    <n v="7"/>
  </r>
  <r>
    <x v="1112"/>
    <x v="215"/>
    <x v="1"/>
    <n v="2"/>
    <n v="81.319999999999993"/>
    <x v="114"/>
    <x v="8"/>
    <x v="3"/>
    <n v="162.63999999999999"/>
    <n v="1.4876712328767123"/>
    <n v="13"/>
    <n v="7"/>
  </r>
  <r>
    <x v="1113"/>
    <x v="215"/>
    <x v="0"/>
    <n v="2"/>
    <n v="600.16"/>
    <x v="273"/>
    <x v="0"/>
    <x v="0"/>
    <n v="1200.32"/>
    <n v="1.6164383561643836"/>
    <n v="23"/>
    <n v="7"/>
  </r>
  <r>
    <x v="1114"/>
    <x v="216"/>
    <x v="2"/>
    <n v="5"/>
    <n v="26.15"/>
    <x v="478"/>
    <x v="2"/>
    <x v="4"/>
    <n v="130.75"/>
    <n v="1.6958904109589041"/>
    <n v="15"/>
    <n v="5"/>
  </r>
  <r>
    <x v="1115"/>
    <x v="216"/>
    <x v="1"/>
    <n v="5"/>
    <n v="203.3"/>
    <x v="606"/>
    <x v="0"/>
    <x v="3"/>
    <n v="1016.5"/>
    <n v="1.0027397260273974"/>
    <n v="18"/>
    <n v="5"/>
  </r>
  <r>
    <x v="1116"/>
    <x v="216"/>
    <x v="5"/>
    <n v="4"/>
    <n v="2400.6799999999998"/>
    <x v="146"/>
    <x v="0"/>
    <x v="2"/>
    <n v="9602.7199999999993"/>
    <n v="1.5534246575342465"/>
    <n v="18"/>
    <n v="5"/>
  </r>
  <r>
    <x v="1117"/>
    <x v="216"/>
    <x v="7"/>
    <n v="3"/>
    <n v="35.19"/>
    <x v="344"/>
    <x v="3"/>
    <x v="4"/>
    <n v="105.57"/>
    <n v="1"/>
    <n v="17"/>
    <n v="7"/>
  </r>
  <r>
    <x v="1118"/>
    <x v="216"/>
    <x v="2"/>
    <n v="3"/>
    <n v="15.69"/>
    <x v="570"/>
    <x v="6"/>
    <x v="0"/>
    <n v="47.07"/>
    <n v="0"/>
    <n v="4"/>
    <n v="7"/>
  </r>
  <r>
    <x v="1119"/>
    <x v="216"/>
    <x v="7"/>
    <n v="5"/>
    <n v="58.65"/>
    <x v="607"/>
    <x v="0"/>
    <x v="1"/>
    <n v="293.25"/>
    <n v="1.0082191780821919"/>
    <n v="13"/>
    <n v="7"/>
  </r>
  <r>
    <x v="1120"/>
    <x v="216"/>
    <x v="2"/>
    <n v="5"/>
    <n v="26.15"/>
    <x v="608"/>
    <x v="1"/>
    <x v="3"/>
    <n v="130.75"/>
    <n v="0.8904109589041096"/>
    <n v="12"/>
    <n v="10"/>
  </r>
  <r>
    <x v="1121"/>
    <x v="217"/>
    <x v="0"/>
    <n v="5"/>
    <n v="1500.4"/>
    <x v="104"/>
    <x v="2"/>
    <x v="4"/>
    <n v="7502"/>
    <n v="1.7863013698630137"/>
    <n v="37"/>
    <n v="5"/>
  </r>
  <r>
    <x v="1122"/>
    <x v="217"/>
    <x v="4"/>
    <n v="1"/>
    <n v="1050"/>
    <x v="609"/>
    <x v="9"/>
    <x v="0"/>
    <n v="1050"/>
    <n v="1.5342465753424657"/>
    <n v="23"/>
    <n v="5"/>
  </r>
  <r>
    <x v="1123"/>
    <x v="217"/>
    <x v="7"/>
    <n v="4"/>
    <n v="46.92"/>
    <x v="10"/>
    <x v="1"/>
    <x v="2"/>
    <n v="187.68"/>
    <n v="1.6794520547945206"/>
    <n v="21"/>
    <n v="5"/>
  </r>
  <r>
    <x v="1124"/>
    <x v="217"/>
    <x v="6"/>
    <n v="5"/>
    <n v="179.2"/>
    <x v="610"/>
    <x v="1"/>
    <x v="0"/>
    <n v="896"/>
    <n v="1.7123287671232876"/>
    <n v="18"/>
    <n v="5"/>
  </r>
  <r>
    <x v="1125"/>
    <x v="217"/>
    <x v="0"/>
    <n v="1"/>
    <n v="300.08"/>
    <x v="107"/>
    <x v="4"/>
    <x v="2"/>
    <n v="300.08"/>
    <n v="1.8"/>
    <n v="17"/>
    <n v="5"/>
  </r>
  <r>
    <x v="1126"/>
    <x v="217"/>
    <x v="7"/>
    <n v="5"/>
    <n v="58.65"/>
    <x v="7"/>
    <x v="6"/>
    <x v="3"/>
    <n v="293.25"/>
    <n v="1.3589041095890411"/>
    <n v="17"/>
    <n v="7"/>
  </r>
  <r>
    <x v="1127"/>
    <x v="217"/>
    <x v="0"/>
    <n v="5"/>
    <n v="1500.4"/>
    <x v="611"/>
    <x v="5"/>
    <x v="1"/>
    <n v="7502"/>
    <n v="1.6657534246575343"/>
    <n v="6"/>
    <n v="7"/>
  </r>
  <r>
    <x v="1128"/>
    <x v="217"/>
    <x v="2"/>
    <n v="4"/>
    <n v="20.92"/>
    <x v="450"/>
    <x v="3"/>
    <x v="4"/>
    <n v="83.68"/>
    <n v="1.0356164383561643"/>
    <n v="7"/>
    <n v="7"/>
  </r>
  <r>
    <x v="1129"/>
    <x v="218"/>
    <x v="0"/>
    <n v="4"/>
    <n v="1200.32"/>
    <x v="141"/>
    <x v="0"/>
    <x v="4"/>
    <n v="4801.28"/>
    <n v="1.4904109589041097"/>
    <n v="10"/>
    <n v="5"/>
  </r>
  <r>
    <x v="1130"/>
    <x v="218"/>
    <x v="0"/>
    <n v="3"/>
    <n v="900.24"/>
    <x v="248"/>
    <x v="7"/>
    <x v="0"/>
    <n v="2700.7200000000003"/>
    <n v="1.6273972602739726"/>
    <n v="17"/>
    <n v="7"/>
  </r>
  <r>
    <x v="1131"/>
    <x v="218"/>
    <x v="1"/>
    <n v="2"/>
    <n v="81.319999999999993"/>
    <x v="612"/>
    <x v="0"/>
    <x v="0"/>
    <n v="162.63999999999999"/>
    <n v="1.9863013698630136"/>
    <n v="21"/>
    <n v="7"/>
  </r>
  <r>
    <x v="1132"/>
    <x v="218"/>
    <x v="1"/>
    <n v="4"/>
    <n v="162.63999999999999"/>
    <x v="24"/>
    <x v="0"/>
    <x v="2"/>
    <n v="650.55999999999995"/>
    <n v="1.0986301369863014"/>
    <n v="9"/>
    <n v="7"/>
  </r>
  <r>
    <x v="1133"/>
    <x v="218"/>
    <x v="4"/>
    <n v="1"/>
    <n v="1050"/>
    <x v="125"/>
    <x v="8"/>
    <x v="1"/>
    <n v="1050"/>
    <n v="1.2219178082191782"/>
    <n v="10"/>
    <n v="7"/>
  </r>
  <r>
    <x v="1134"/>
    <x v="218"/>
    <x v="0"/>
    <n v="3"/>
    <n v="900.24"/>
    <x v="447"/>
    <x v="4"/>
    <x v="2"/>
    <n v="2700.7200000000003"/>
    <n v="0.61917808219178083"/>
    <n v="8"/>
    <n v="7"/>
  </r>
  <r>
    <x v="1135"/>
    <x v="219"/>
    <x v="0"/>
    <n v="5"/>
    <n v="1500.4"/>
    <x v="307"/>
    <x v="1"/>
    <x v="3"/>
    <n v="7502"/>
    <n v="0"/>
    <n v="1"/>
    <n v="5"/>
  </r>
  <r>
    <x v="1136"/>
    <x v="219"/>
    <x v="2"/>
    <n v="2"/>
    <n v="10.46"/>
    <x v="613"/>
    <x v="0"/>
    <x v="0"/>
    <n v="20.92"/>
    <n v="0.90958904109589045"/>
    <n v="18"/>
    <n v="5"/>
  </r>
  <r>
    <x v="1137"/>
    <x v="219"/>
    <x v="2"/>
    <n v="4"/>
    <n v="20.92"/>
    <x v="534"/>
    <x v="2"/>
    <x v="4"/>
    <n v="83.68"/>
    <n v="1.1589041095890411"/>
    <n v="11"/>
    <n v="5"/>
  </r>
  <r>
    <x v="1138"/>
    <x v="219"/>
    <x v="0"/>
    <n v="3"/>
    <n v="900.24"/>
    <x v="217"/>
    <x v="6"/>
    <x v="4"/>
    <n v="2700.7200000000003"/>
    <n v="1.2383561643835617"/>
    <n v="8"/>
    <n v="7"/>
  </r>
  <r>
    <x v="1139"/>
    <x v="219"/>
    <x v="7"/>
    <n v="3"/>
    <n v="35.19"/>
    <x v="346"/>
    <x v="0"/>
    <x v="4"/>
    <n v="105.57"/>
    <n v="1.2931506849315069"/>
    <n v="19"/>
    <n v="7"/>
  </r>
  <r>
    <x v="1140"/>
    <x v="220"/>
    <x v="0"/>
    <n v="5"/>
    <n v="1500.4"/>
    <x v="614"/>
    <x v="0"/>
    <x v="1"/>
    <n v="7502"/>
    <n v="1.2136986301369863"/>
    <n v="6"/>
    <n v="5"/>
  </r>
  <r>
    <x v="1141"/>
    <x v="220"/>
    <x v="0"/>
    <n v="3"/>
    <n v="900.24"/>
    <x v="493"/>
    <x v="6"/>
    <x v="3"/>
    <n v="2700.7200000000003"/>
    <n v="0.41095890410958902"/>
    <n v="11"/>
    <n v="5"/>
  </r>
  <r>
    <x v="1142"/>
    <x v="220"/>
    <x v="7"/>
    <n v="2"/>
    <n v="23.46"/>
    <x v="301"/>
    <x v="0"/>
    <x v="4"/>
    <n v="46.92"/>
    <n v="0.89863013698630134"/>
    <n v="9"/>
    <n v="5"/>
  </r>
  <r>
    <x v="1143"/>
    <x v="220"/>
    <x v="1"/>
    <n v="4"/>
    <n v="162.63999999999999"/>
    <x v="615"/>
    <x v="5"/>
    <x v="1"/>
    <n v="650.55999999999995"/>
    <n v="0.55616438356164388"/>
    <n v="8"/>
    <n v="7"/>
  </r>
  <r>
    <x v="1144"/>
    <x v="221"/>
    <x v="1"/>
    <n v="3"/>
    <n v="121.98"/>
    <x v="521"/>
    <x v="6"/>
    <x v="1"/>
    <n v="365.94"/>
    <n v="0.49315068493150682"/>
    <n v="8"/>
    <n v="5"/>
  </r>
  <r>
    <x v="1145"/>
    <x v="221"/>
    <x v="0"/>
    <n v="3"/>
    <n v="900.24"/>
    <x v="616"/>
    <x v="6"/>
    <x v="1"/>
    <n v="2700.7200000000003"/>
    <n v="1.7616438356164383"/>
    <n v="15"/>
    <n v="5"/>
  </r>
  <r>
    <x v="1146"/>
    <x v="221"/>
    <x v="0"/>
    <n v="2"/>
    <n v="600.16"/>
    <x v="181"/>
    <x v="1"/>
    <x v="4"/>
    <n v="1200.32"/>
    <n v="1.9424657534246574"/>
    <n v="19"/>
    <n v="7"/>
  </r>
  <r>
    <x v="1147"/>
    <x v="221"/>
    <x v="4"/>
    <n v="1"/>
    <n v="1050"/>
    <x v="617"/>
    <x v="4"/>
    <x v="2"/>
    <n v="1050"/>
    <n v="0.6"/>
    <n v="5"/>
    <n v="7"/>
  </r>
  <r>
    <x v="1148"/>
    <x v="221"/>
    <x v="1"/>
    <n v="4"/>
    <n v="162.63999999999999"/>
    <x v="517"/>
    <x v="5"/>
    <x v="4"/>
    <n v="650.55999999999995"/>
    <n v="1.0739726027397261"/>
    <n v="10"/>
    <n v="10"/>
  </r>
  <r>
    <x v="1149"/>
    <x v="222"/>
    <x v="0"/>
    <n v="5"/>
    <n v="1500.4"/>
    <x v="339"/>
    <x v="6"/>
    <x v="4"/>
    <n v="7502"/>
    <n v="1.8684931506849316"/>
    <n v="22"/>
    <n v="5"/>
  </r>
  <r>
    <x v="1150"/>
    <x v="222"/>
    <x v="2"/>
    <n v="2"/>
    <n v="10.46"/>
    <x v="118"/>
    <x v="1"/>
    <x v="4"/>
    <n v="20.92"/>
    <n v="0.73150684931506849"/>
    <n v="8"/>
    <n v="7"/>
  </r>
  <r>
    <x v="1151"/>
    <x v="222"/>
    <x v="2"/>
    <n v="4"/>
    <n v="20.92"/>
    <x v="284"/>
    <x v="0"/>
    <x v="1"/>
    <n v="83.68"/>
    <n v="1.5643835616438355"/>
    <n v="7"/>
    <n v="10"/>
  </r>
  <r>
    <x v="1152"/>
    <x v="222"/>
    <x v="4"/>
    <n v="1"/>
    <n v="1050"/>
    <x v="200"/>
    <x v="3"/>
    <x v="3"/>
    <n v="1050"/>
    <n v="1.2356164383561643"/>
    <n v="19"/>
    <n v="10"/>
  </r>
  <r>
    <x v="1153"/>
    <x v="223"/>
    <x v="2"/>
    <n v="3"/>
    <n v="15.69"/>
    <x v="609"/>
    <x v="5"/>
    <x v="4"/>
    <n v="47.07"/>
    <n v="1.9534246575342467"/>
    <n v="21"/>
    <n v="5"/>
  </r>
  <r>
    <x v="1154"/>
    <x v="223"/>
    <x v="6"/>
    <n v="5"/>
    <n v="179.2"/>
    <x v="186"/>
    <x v="5"/>
    <x v="1"/>
    <n v="896"/>
    <n v="1.0082191780821919"/>
    <n v="21"/>
    <n v="5"/>
  </r>
  <r>
    <x v="1155"/>
    <x v="223"/>
    <x v="0"/>
    <n v="3"/>
    <n v="900.24"/>
    <x v="351"/>
    <x v="6"/>
    <x v="1"/>
    <n v="2700.7200000000003"/>
    <n v="1.9342465753424658"/>
    <n v="23"/>
    <n v="5"/>
  </r>
  <r>
    <x v="1156"/>
    <x v="223"/>
    <x v="3"/>
    <n v="3"/>
    <n v="45.45"/>
    <x v="618"/>
    <x v="0"/>
    <x v="0"/>
    <n v="136.35000000000002"/>
    <n v="1.167123287671233"/>
    <n v="14"/>
    <n v="5"/>
  </r>
  <r>
    <x v="1157"/>
    <x v="223"/>
    <x v="0"/>
    <n v="5"/>
    <n v="1500.4"/>
    <x v="619"/>
    <x v="6"/>
    <x v="2"/>
    <n v="7502"/>
    <n v="1.9150684931506849"/>
    <n v="17"/>
    <n v="5"/>
  </r>
  <r>
    <x v="1158"/>
    <x v="223"/>
    <x v="6"/>
    <n v="2"/>
    <n v="71.680000000000007"/>
    <x v="620"/>
    <x v="0"/>
    <x v="4"/>
    <n v="143.36000000000001"/>
    <n v="1.5178082191780822"/>
    <n v="12"/>
    <n v="10"/>
  </r>
  <r>
    <x v="1159"/>
    <x v="224"/>
    <x v="6"/>
    <n v="5"/>
    <n v="179.2"/>
    <x v="173"/>
    <x v="7"/>
    <x v="2"/>
    <n v="896"/>
    <n v="0.9068493150684932"/>
    <n v="8"/>
    <n v="5"/>
  </r>
  <r>
    <x v="1160"/>
    <x v="224"/>
    <x v="0"/>
    <n v="5"/>
    <n v="1500.4"/>
    <x v="621"/>
    <x v="6"/>
    <x v="1"/>
    <n v="7502"/>
    <n v="1.1123287671232878"/>
    <n v="9"/>
    <n v="7"/>
  </r>
  <r>
    <x v="1161"/>
    <x v="224"/>
    <x v="1"/>
    <n v="4"/>
    <n v="162.63999999999999"/>
    <x v="194"/>
    <x v="7"/>
    <x v="1"/>
    <n v="650.55999999999995"/>
    <n v="1.1369863013698631"/>
    <n v="8"/>
    <n v="7"/>
  </r>
  <r>
    <x v="1162"/>
    <x v="224"/>
    <x v="4"/>
    <n v="3"/>
    <n v="3150"/>
    <x v="622"/>
    <x v="6"/>
    <x v="0"/>
    <n v="9450"/>
    <n v="0.37534246575342467"/>
    <n v="10"/>
    <n v="7"/>
  </r>
  <r>
    <x v="1163"/>
    <x v="225"/>
    <x v="5"/>
    <n v="2"/>
    <n v="1200.3399999999999"/>
    <x v="623"/>
    <x v="0"/>
    <x v="2"/>
    <n v="2400.6799999999998"/>
    <n v="2.0027397260273974"/>
    <n v="21"/>
    <n v="5"/>
  </r>
  <r>
    <x v="1164"/>
    <x v="225"/>
    <x v="1"/>
    <n v="2"/>
    <n v="81.319999999999993"/>
    <x v="122"/>
    <x v="1"/>
    <x v="1"/>
    <n v="162.63999999999999"/>
    <n v="1.2054794520547945"/>
    <n v="12"/>
    <n v="5"/>
  </r>
  <r>
    <x v="1165"/>
    <x v="225"/>
    <x v="0"/>
    <n v="5"/>
    <n v="1500.4"/>
    <x v="204"/>
    <x v="8"/>
    <x v="3"/>
    <n v="7502"/>
    <n v="0"/>
    <n v="3"/>
    <n v="5"/>
  </r>
  <r>
    <x v="1166"/>
    <x v="225"/>
    <x v="7"/>
    <n v="3"/>
    <n v="35.19"/>
    <x v="295"/>
    <x v="3"/>
    <x v="3"/>
    <n v="105.57"/>
    <n v="1.2301369863013698"/>
    <n v="13"/>
    <n v="5"/>
  </r>
  <r>
    <x v="1167"/>
    <x v="225"/>
    <x v="6"/>
    <n v="3"/>
    <n v="107.52"/>
    <x v="477"/>
    <x v="2"/>
    <x v="1"/>
    <n v="322.56"/>
    <n v="1.7506849315068493"/>
    <n v="4"/>
    <n v="5"/>
  </r>
  <r>
    <x v="1168"/>
    <x v="225"/>
    <x v="4"/>
    <n v="2"/>
    <n v="2100"/>
    <x v="407"/>
    <x v="3"/>
    <x v="2"/>
    <n v="4200"/>
    <n v="2.0164383561643837"/>
    <n v="29"/>
    <n v="7"/>
  </r>
  <r>
    <x v="1169"/>
    <x v="226"/>
    <x v="1"/>
    <n v="3"/>
    <n v="121.98"/>
    <x v="149"/>
    <x v="0"/>
    <x v="3"/>
    <n v="365.94"/>
    <n v="1.893150684931507"/>
    <n v="19"/>
    <n v="5"/>
  </r>
  <r>
    <x v="1170"/>
    <x v="226"/>
    <x v="1"/>
    <n v="5"/>
    <n v="203.3"/>
    <x v="624"/>
    <x v="3"/>
    <x v="4"/>
    <n v="1016.5"/>
    <n v="1.189041095890411"/>
    <n v="15"/>
    <n v="7"/>
  </r>
  <r>
    <x v="1171"/>
    <x v="226"/>
    <x v="1"/>
    <n v="5"/>
    <n v="203.3"/>
    <x v="625"/>
    <x v="0"/>
    <x v="4"/>
    <n v="1016.5"/>
    <n v="1.1863013698630136"/>
    <n v="25"/>
    <n v="7"/>
  </r>
  <r>
    <x v="1172"/>
    <x v="226"/>
    <x v="2"/>
    <n v="5"/>
    <n v="26.15"/>
    <x v="626"/>
    <x v="1"/>
    <x v="3"/>
    <n v="130.75"/>
    <n v="1.0356164383561643"/>
    <n v="7"/>
    <n v="10"/>
  </r>
  <r>
    <x v="1173"/>
    <x v="227"/>
    <x v="0"/>
    <n v="3"/>
    <n v="900.24"/>
    <x v="312"/>
    <x v="4"/>
    <x v="2"/>
    <n v="2700.7200000000003"/>
    <n v="1.7917808219178082"/>
    <n v="19"/>
    <n v="5"/>
  </r>
  <r>
    <x v="1174"/>
    <x v="227"/>
    <x v="2"/>
    <n v="3"/>
    <n v="15.69"/>
    <x v="627"/>
    <x v="6"/>
    <x v="2"/>
    <n v="47.07"/>
    <n v="1.7232876712328766"/>
    <n v="17"/>
    <n v="5"/>
  </r>
  <r>
    <x v="1175"/>
    <x v="227"/>
    <x v="2"/>
    <n v="5"/>
    <n v="26.15"/>
    <x v="151"/>
    <x v="1"/>
    <x v="1"/>
    <n v="130.75"/>
    <n v="1.9397260273972603"/>
    <n v="19"/>
    <n v="5"/>
  </r>
  <r>
    <x v="1176"/>
    <x v="227"/>
    <x v="6"/>
    <n v="2"/>
    <n v="71.680000000000007"/>
    <x v="206"/>
    <x v="6"/>
    <x v="3"/>
    <n v="143.36000000000001"/>
    <n v="1.252054794520548"/>
    <n v="13"/>
    <n v="7"/>
  </r>
  <r>
    <x v="1177"/>
    <x v="227"/>
    <x v="0"/>
    <n v="5"/>
    <n v="1500.4"/>
    <x v="273"/>
    <x v="7"/>
    <x v="0"/>
    <n v="7502"/>
    <n v="1.189041095890411"/>
    <n v="14"/>
    <n v="7"/>
  </r>
  <r>
    <x v="1178"/>
    <x v="227"/>
    <x v="7"/>
    <n v="4"/>
    <n v="46.92"/>
    <x v="628"/>
    <x v="5"/>
    <x v="3"/>
    <n v="187.68"/>
    <n v="1.6027397260273972"/>
    <n v="15"/>
    <n v="10"/>
  </r>
  <r>
    <x v="1179"/>
    <x v="228"/>
    <x v="1"/>
    <n v="1"/>
    <n v="40.659999999999997"/>
    <x v="629"/>
    <x v="2"/>
    <x v="0"/>
    <n v="40.659999999999997"/>
    <n v="1.6356164383561644"/>
    <n v="20"/>
    <n v="5"/>
  </r>
  <r>
    <x v="1180"/>
    <x v="228"/>
    <x v="0"/>
    <n v="3"/>
    <n v="900.24"/>
    <x v="315"/>
    <x v="9"/>
    <x v="2"/>
    <n v="2700.7200000000003"/>
    <n v="1.5561643835616439"/>
    <n v="31"/>
    <n v="5"/>
  </r>
  <r>
    <x v="1181"/>
    <x v="228"/>
    <x v="1"/>
    <n v="1"/>
    <n v="40.659999999999997"/>
    <x v="164"/>
    <x v="6"/>
    <x v="3"/>
    <n v="40.659999999999997"/>
    <n v="1.1726027397260275"/>
    <n v="16"/>
    <n v="7"/>
  </r>
  <r>
    <x v="1182"/>
    <x v="228"/>
    <x v="0"/>
    <n v="1"/>
    <n v="300.08"/>
    <x v="124"/>
    <x v="0"/>
    <x v="3"/>
    <n v="300.08"/>
    <n v="0.53424657534246578"/>
    <n v="14"/>
    <n v="7"/>
  </r>
  <r>
    <x v="1183"/>
    <x v="228"/>
    <x v="6"/>
    <n v="5"/>
    <n v="179.2"/>
    <x v="630"/>
    <x v="0"/>
    <x v="3"/>
    <n v="896"/>
    <n v="1.0876712328767124"/>
    <n v="10"/>
    <n v="7"/>
  </r>
  <r>
    <x v="1184"/>
    <x v="229"/>
    <x v="0"/>
    <n v="2"/>
    <n v="600.16"/>
    <x v="555"/>
    <x v="6"/>
    <x v="3"/>
    <n v="1200.32"/>
    <n v="2.0684931506849313"/>
    <n v="10"/>
    <n v="5"/>
  </r>
  <r>
    <x v="1185"/>
    <x v="229"/>
    <x v="7"/>
    <n v="3"/>
    <n v="35.19"/>
    <x v="399"/>
    <x v="0"/>
    <x v="1"/>
    <n v="105.57"/>
    <n v="1.4794520547945205"/>
    <n v="13"/>
    <n v="7"/>
  </r>
  <r>
    <x v="1186"/>
    <x v="229"/>
    <x v="0"/>
    <n v="3"/>
    <n v="900.24"/>
    <x v="631"/>
    <x v="3"/>
    <x v="2"/>
    <n v="2700.7200000000003"/>
    <n v="1.8082191780821917"/>
    <n v="21"/>
    <n v="7"/>
  </r>
  <r>
    <x v="1187"/>
    <x v="229"/>
    <x v="3"/>
    <n v="5"/>
    <n v="75.75"/>
    <x v="481"/>
    <x v="2"/>
    <x v="0"/>
    <n v="378.75"/>
    <n v="1.3589041095890411"/>
    <n v="20"/>
    <n v="7"/>
  </r>
  <r>
    <x v="1188"/>
    <x v="230"/>
    <x v="6"/>
    <n v="5"/>
    <n v="179.2"/>
    <x v="494"/>
    <x v="6"/>
    <x v="2"/>
    <n v="896"/>
    <n v="0.25205479452054796"/>
    <n v="2"/>
    <n v="5"/>
  </r>
  <r>
    <x v="1189"/>
    <x v="230"/>
    <x v="2"/>
    <n v="3"/>
    <n v="15.69"/>
    <x v="84"/>
    <x v="2"/>
    <x v="0"/>
    <n v="47.07"/>
    <n v="1.4054794520547946"/>
    <n v="23"/>
    <n v="5"/>
  </r>
  <r>
    <x v="1190"/>
    <x v="230"/>
    <x v="6"/>
    <n v="4"/>
    <n v="143.36000000000001"/>
    <x v="507"/>
    <x v="1"/>
    <x v="2"/>
    <n v="573.44000000000005"/>
    <n v="1.5315068493150685"/>
    <n v="16"/>
    <n v="7"/>
  </r>
  <r>
    <x v="1191"/>
    <x v="230"/>
    <x v="0"/>
    <n v="2"/>
    <n v="600.16"/>
    <x v="491"/>
    <x v="1"/>
    <x v="3"/>
    <n v="1200.32"/>
    <n v="1.3150684931506849"/>
    <n v="18"/>
    <n v="7"/>
  </r>
  <r>
    <x v="1192"/>
    <x v="230"/>
    <x v="1"/>
    <n v="4"/>
    <n v="162.63999999999999"/>
    <x v="416"/>
    <x v="6"/>
    <x v="2"/>
    <n v="650.55999999999995"/>
    <n v="0.8794520547945206"/>
    <n v="24"/>
    <n v="10"/>
  </r>
  <r>
    <x v="1193"/>
    <x v="231"/>
    <x v="6"/>
    <n v="5"/>
    <n v="179.2"/>
    <x v="632"/>
    <x v="0"/>
    <x v="1"/>
    <n v="896"/>
    <n v="1.1287671232876713"/>
    <n v="11"/>
    <n v="5"/>
  </r>
  <r>
    <x v="1194"/>
    <x v="231"/>
    <x v="0"/>
    <n v="4"/>
    <n v="1200.32"/>
    <x v="633"/>
    <x v="1"/>
    <x v="3"/>
    <n v="4801.28"/>
    <n v="1.8438356164383563"/>
    <n v="19"/>
    <n v="7"/>
  </r>
  <r>
    <x v="1195"/>
    <x v="231"/>
    <x v="1"/>
    <n v="1"/>
    <n v="40.659999999999997"/>
    <x v="634"/>
    <x v="6"/>
    <x v="3"/>
    <n v="40.659999999999997"/>
    <n v="1.7095890410958905"/>
    <n v="17"/>
    <n v="7"/>
  </r>
  <r>
    <x v="1196"/>
    <x v="231"/>
    <x v="1"/>
    <n v="2"/>
    <n v="81.319999999999993"/>
    <x v="506"/>
    <x v="4"/>
    <x v="3"/>
    <n v="162.63999999999999"/>
    <n v="1.3506849315068492"/>
    <n v="7"/>
    <n v="7"/>
  </r>
  <r>
    <x v="1197"/>
    <x v="231"/>
    <x v="7"/>
    <n v="1"/>
    <n v="11.73"/>
    <x v="337"/>
    <x v="0"/>
    <x v="4"/>
    <n v="11.73"/>
    <n v="1.0273972602739727"/>
    <n v="17"/>
    <n v="7"/>
  </r>
  <r>
    <x v="1198"/>
    <x v="231"/>
    <x v="0"/>
    <n v="4"/>
    <n v="1200.32"/>
    <x v="496"/>
    <x v="9"/>
    <x v="4"/>
    <n v="4801.28"/>
    <n v="0.42191780821917807"/>
    <n v="14"/>
    <n v="10"/>
  </r>
  <r>
    <x v="1199"/>
    <x v="232"/>
    <x v="0"/>
    <n v="3"/>
    <n v="900.24"/>
    <x v="245"/>
    <x v="8"/>
    <x v="4"/>
    <n v="2700.7200000000003"/>
    <n v="0"/>
    <n v="5"/>
    <n v="5"/>
  </r>
  <r>
    <x v="1200"/>
    <x v="232"/>
    <x v="0"/>
    <n v="4"/>
    <n v="1200.32"/>
    <x v="36"/>
    <x v="1"/>
    <x v="4"/>
    <n v="4801.28"/>
    <n v="1.0876712328767124"/>
    <n v="6"/>
    <n v="7"/>
  </r>
  <r>
    <x v="1201"/>
    <x v="233"/>
    <x v="0"/>
    <n v="3"/>
    <n v="900.24"/>
    <x v="537"/>
    <x v="0"/>
    <x v="3"/>
    <n v="2700.7200000000003"/>
    <n v="1.3890410958904109"/>
    <n v="5"/>
    <n v="5"/>
  </r>
  <r>
    <x v="1202"/>
    <x v="233"/>
    <x v="6"/>
    <n v="4"/>
    <n v="143.36000000000001"/>
    <x v="301"/>
    <x v="0"/>
    <x v="4"/>
    <n v="573.44000000000005"/>
    <n v="1.8657534246575342"/>
    <n v="24"/>
    <n v="5"/>
  </r>
  <r>
    <x v="1203"/>
    <x v="233"/>
    <x v="0"/>
    <n v="5"/>
    <n v="1500.4"/>
    <x v="566"/>
    <x v="3"/>
    <x v="4"/>
    <n v="7502"/>
    <n v="1.5095890410958903"/>
    <n v="17"/>
    <n v="5"/>
  </r>
  <r>
    <x v="1204"/>
    <x v="233"/>
    <x v="0"/>
    <n v="1"/>
    <n v="300.08"/>
    <x v="387"/>
    <x v="6"/>
    <x v="1"/>
    <n v="300.08"/>
    <n v="0.48493150684931507"/>
    <n v="17"/>
    <n v="5"/>
  </r>
  <r>
    <x v="1205"/>
    <x v="233"/>
    <x v="1"/>
    <n v="1"/>
    <n v="40.659999999999997"/>
    <x v="407"/>
    <x v="4"/>
    <x v="2"/>
    <n v="40.659999999999997"/>
    <n v="0.86027397260273974"/>
    <n v="6"/>
    <n v="7"/>
  </r>
  <r>
    <x v="1206"/>
    <x v="233"/>
    <x v="3"/>
    <n v="4"/>
    <n v="60.6"/>
    <x v="470"/>
    <x v="6"/>
    <x v="0"/>
    <n v="242.4"/>
    <n v="1.6821917808219178"/>
    <n v="17"/>
    <n v="7"/>
  </r>
  <r>
    <x v="1207"/>
    <x v="233"/>
    <x v="0"/>
    <n v="1"/>
    <n v="300.08"/>
    <x v="171"/>
    <x v="3"/>
    <x v="4"/>
    <n v="300.08"/>
    <n v="1.9643835616438357"/>
    <n v="19"/>
    <n v="10"/>
  </r>
  <r>
    <x v="1208"/>
    <x v="234"/>
    <x v="6"/>
    <n v="3"/>
    <n v="107.52"/>
    <x v="157"/>
    <x v="8"/>
    <x v="4"/>
    <n v="322.56"/>
    <n v="1.9013698630136986"/>
    <n v="22"/>
    <n v="5"/>
  </r>
  <r>
    <x v="1209"/>
    <x v="234"/>
    <x v="7"/>
    <n v="3"/>
    <n v="35.19"/>
    <x v="635"/>
    <x v="0"/>
    <x v="2"/>
    <n v="105.57"/>
    <n v="1.8136986301369864"/>
    <n v="12"/>
    <n v="5"/>
  </r>
  <r>
    <x v="1210"/>
    <x v="234"/>
    <x v="1"/>
    <n v="5"/>
    <n v="203.3"/>
    <x v="636"/>
    <x v="4"/>
    <x v="4"/>
    <n v="1016.5"/>
    <n v="0.8794520547945206"/>
    <n v="3"/>
    <n v="5"/>
  </r>
  <r>
    <x v="1211"/>
    <x v="234"/>
    <x v="0"/>
    <n v="4"/>
    <n v="1200.32"/>
    <x v="604"/>
    <x v="9"/>
    <x v="0"/>
    <n v="4801.28"/>
    <n v="1.2904109589041095"/>
    <n v="13"/>
    <n v="5"/>
  </r>
  <r>
    <x v="1212"/>
    <x v="234"/>
    <x v="0"/>
    <n v="4"/>
    <n v="1200.32"/>
    <x v="637"/>
    <x v="6"/>
    <x v="4"/>
    <n v="4801.28"/>
    <n v="1.9369863013698629"/>
    <n v="21"/>
    <n v="7"/>
  </r>
  <r>
    <x v="1213"/>
    <x v="234"/>
    <x v="0"/>
    <n v="1"/>
    <n v="300.08"/>
    <x v="361"/>
    <x v="6"/>
    <x v="0"/>
    <n v="300.08"/>
    <n v="1.704109589041096"/>
    <n v="19"/>
    <n v="7"/>
  </r>
  <r>
    <x v="1214"/>
    <x v="235"/>
    <x v="2"/>
    <n v="3"/>
    <n v="15.69"/>
    <x v="414"/>
    <x v="8"/>
    <x v="1"/>
    <n v="47.07"/>
    <n v="1.9260273972602739"/>
    <n v="31"/>
    <n v="5"/>
  </r>
  <r>
    <x v="1215"/>
    <x v="235"/>
    <x v="2"/>
    <n v="2"/>
    <n v="10.46"/>
    <x v="245"/>
    <x v="4"/>
    <x v="4"/>
    <n v="20.92"/>
    <n v="1.9589041095890412"/>
    <n v="40"/>
    <n v="5"/>
  </r>
  <r>
    <x v="1216"/>
    <x v="235"/>
    <x v="1"/>
    <n v="5"/>
    <n v="203.3"/>
    <x v="175"/>
    <x v="1"/>
    <x v="2"/>
    <n v="1016.5"/>
    <n v="1.4191780821917808"/>
    <n v="13"/>
    <n v="5"/>
  </r>
  <r>
    <x v="1217"/>
    <x v="235"/>
    <x v="0"/>
    <n v="1"/>
    <n v="300.08"/>
    <x v="371"/>
    <x v="6"/>
    <x v="0"/>
    <n v="300.08"/>
    <n v="0.989041095890411"/>
    <n v="15"/>
    <n v="7"/>
  </r>
  <r>
    <x v="1218"/>
    <x v="235"/>
    <x v="2"/>
    <n v="2"/>
    <n v="10.46"/>
    <x v="190"/>
    <x v="7"/>
    <x v="3"/>
    <n v="20.92"/>
    <n v="2.0465753424657533"/>
    <n v="25"/>
    <n v="7"/>
  </r>
  <r>
    <x v="1219"/>
    <x v="236"/>
    <x v="0"/>
    <n v="5"/>
    <n v="1500.4"/>
    <x v="524"/>
    <x v="9"/>
    <x v="0"/>
    <n v="7502"/>
    <n v="1.8438356164383563"/>
    <n v="11"/>
    <n v="5"/>
  </r>
  <r>
    <x v="1220"/>
    <x v="236"/>
    <x v="0"/>
    <n v="4"/>
    <n v="1200.32"/>
    <x v="136"/>
    <x v="0"/>
    <x v="1"/>
    <n v="4801.28"/>
    <n v="0.78082191780821919"/>
    <n v="14"/>
    <n v="5"/>
  </r>
  <r>
    <x v="1221"/>
    <x v="236"/>
    <x v="0"/>
    <n v="4"/>
    <n v="1200.32"/>
    <x v="627"/>
    <x v="4"/>
    <x v="3"/>
    <n v="4801.28"/>
    <n v="1.3753424657534246"/>
    <n v="11"/>
    <n v="5"/>
  </r>
  <r>
    <x v="1222"/>
    <x v="236"/>
    <x v="0"/>
    <n v="5"/>
    <n v="1500.4"/>
    <x v="539"/>
    <x v="1"/>
    <x v="0"/>
    <n v="7502"/>
    <n v="1.2821917808219179"/>
    <n v="18"/>
    <n v="7"/>
  </r>
  <r>
    <x v="1223"/>
    <x v="237"/>
    <x v="1"/>
    <n v="3"/>
    <n v="121.98"/>
    <x v="84"/>
    <x v="6"/>
    <x v="2"/>
    <n v="365.94"/>
    <n v="2.0739726027397261"/>
    <n v="27"/>
    <n v="5"/>
  </r>
  <r>
    <x v="1224"/>
    <x v="237"/>
    <x v="1"/>
    <n v="4"/>
    <n v="162.63999999999999"/>
    <x v="275"/>
    <x v="1"/>
    <x v="1"/>
    <n v="650.55999999999995"/>
    <n v="1.978082191780822"/>
    <n v="14"/>
    <n v="5"/>
  </r>
  <r>
    <x v="1225"/>
    <x v="237"/>
    <x v="0"/>
    <n v="1"/>
    <n v="300.08"/>
    <x v="338"/>
    <x v="5"/>
    <x v="3"/>
    <n v="300.08"/>
    <n v="1.7808219178082192"/>
    <n v="13"/>
    <n v="5"/>
  </r>
  <r>
    <x v="1226"/>
    <x v="237"/>
    <x v="4"/>
    <n v="5"/>
    <n v="5250"/>
    <x v="461"/>
    <x v="1"/>
    <x v="2"/>
    <n v="26250"/>
    <n v="1.0465753424657533"/>
    <n v="20"/>
    <n v="7"/>
  </r>
  <r>
    <x v="1227"/>
    <x v="237"/>
    <x v="0"/>
    <n v="2"/>
    <n v="600.16"/>
    <x v="506"/>
    <x v="6"/>
    <x v="2"/>
    <n v="1200.32"/>
    <n v="0.989041095890411"/>
    <n v="9"/>
    <n v="7"/>
  </r>
  <r>
    <x v="1228"/>
    <x v="237"/>
    <x v="5"/>
    <n v="3"/>
    <n v="1800.51"/>
    <x v="581"/>
    <x v="2"/>
    <x v="4"/>
    <n v="5401.53"/>
    <n v="1.1123287671232878"/>
    <n v="8"/>
    <n v="7"/>
  </r>
  <r>
    <x v="1229"/>
    <x v="238"/>
    <x v="7"/>
    <n v="4"/>
    <n v="46.92"/>
    <x v="85"/>
    <x v="4"/>
    <x v="1"/>
    <n v="187.68"/>
    <n v="0.47945205479452052"/>
    <n v="6"/>
    <n v="5"/>
  </r>
  <r>
    <x v="1230"/>
    <x v="238"/>
    <x v="3"/>
    <n v="3"/>
    <n v="45.45"/>
    <x v="204"/>
    <x v="7"/>
    <x v="1"/>
    <n v="136.35000000000002"/>
    <n v="1.1397260273972603"/>
    <n v="13"/>
    <n v="5"/>
  </r>
  <r>
    <x v="1231"/>
    <x v="238"/>
    <x v="5"/>
    <n v="4"/>
    <n v="2400.6799999999998"/>
    <x v="159"/>
    <x v="1"/>
    <x v="2"/>
    <n v="9602.7199999999993"/>
    <n v="1.4767123287671233"/>
    <n v="25"/>
    <n v="5"/>
  </r>
  <r>
    <x v="1232"/>
    <x v="238"/>
    <x v="0"/>
    <n v="1"/>
    <n v="300.08"/>
    <x v="632"/>
    <x v="6"/>
    <x v="3"/>
    <n v="300.08"/>
    <n v="1.8465753424657534"/>
    <n v="9"/>
    <n v="5"/>
  </r>
  <r>
    <x v="1233"/>
    <x v="238"/>
    <x v="2"/>
    <n v="4"/>
    <n v="20.92"/>
    <x v="463"/>
    <x v="7"/>
    <x v="3"/>
    <n v="83.68"/>
    <n v="0.86027397260273974"/>
    <n v="9"/>
    <n v="7"/>
  </r>
  <r>
    <x v="1234"/>
    <x v="238"/>
    <x v="1"/>
    <n v="1"/>
    <n v="40.659999999999997"/>
    <x v="480"/>
    <x v="1"/>
    <x v="3"/>
    <n v="40.659999999999997"/>
    <n v="1.9178082191780821"/>
    <n v="21"/>
    <n v="7"/>
  </r>
  <r>
    <x v="1235"/>
    <x v="238"/>
    <x v="3"/>
    <n v="3"/>
    <n v="45.45"/>
    <x v="190"/>
    <x v="0"/>
    <x v="3"/>
    <n v="136.35000000000002"/>
    <n v="1.252054794520548"/>
    <n v="12"/>
    <n v="7"/>
  </r>
  <r>
    <x v="1236"/>
    <x v="239"/>
    <x v="7"/>
    <n v="2"/>
    <n v="23.46"/>
    <x v="638"/>
    <x v="0"/>
    <x v="0"/>
    <n v="46.92"/>
    <n v="0.9671232876712329"/>
    <n v="16"/>
    <n v="5"/>
  </r>
  <r>
    <x v="1237"/>
    <x v="239"/>
    <x v="1"/>
    <n v="3"/>
    <n v="121.98"/>
    <x v="297"/>
    <x v="7"/>
    <x v="4"/>
    <n v="365.94"/>
    <n v="1.8958904109589041"/>
    <n v="19"/>
    <n v="7"/>
  </r>
  <r>
    <x v="1238"/>
    <x v="239"/>
    <x v="4"/>
    <n v="1"/>
    <n v="1050"/>
    <x v="195"/>
    <x v="8"/>
    <x v="3"/>
    <n v="1050"/>
    <n v="1.6054794520547946"/>
    <n v="12"/>
    <n v="7"/>
  </r>
  <r>
    <x v="1239"/>
    <x v="240"/>
    <x v="1"/>
    <n v="5"/>
    <n v="203.3"/>
    <x v="198"/>
    <x v="7"/>
    <x v="2"/>
    <n v="1016.5"/>
    <n v="1.6547945205479453"/>
    <n v="29"/>
    <n v="5"/>
  </r>
  <r>
    <x v="1240"/>
    <x v="240"/>
    <x v="0"/>
    <n v="4"/>
    <n v="1200.32"/>
    <x v="68"/>
    <x v="3"/>
    <x v="4"/>
    <n v="4801.28"/>
    <n v="0.53698630136986303"/>
    <n v="10"/>
    <n v="5"/>
  </r>
  <r>
    <x v="1241"/>
    <x v="240"/>
    <x v="1"/>
    <n v="1"/>
    <n v="40.659999999999997"/>
    <x v="245"/>
    <x v="6"/>
    <x v="4"/>
    <n v="40.659999999999997"/>
    <n v="1.0986301369863014"/>
    <n v="21"/>
    <n v="5"/>
  </r>
  <r>
    <x v="1242"/>
    <x v="240"/>
    <x v="0"/>
    <n v="1"/>
    <n v="300.08"/>
    <x v="231"/>
    <x v="6"/>
    <x v="0"/>
    <n v="300.08"/>
    <n v="1.7287671232876711"/>
    <n v="9"/>
    <n v="5"/>
  </r>
  <r>
    <x v="1243"/>
    <x v="240"/>
    <x v="1"/>
    <n v="1"/>
    <n v="40.659999999999997"/>
    <x v="42"/>
    <x v="4"/>
    <x v="3"/>
    <n v="40.659999999999997"/>
    <n v="0.86575342465753424"/>
    <n v="6"/>
    <n v="10"/>
  </r>
  <r>
    <x v="1244"/>
    <x v="241"/>
    <x v="0"/>
    <n v="2"/>
    <n v="600.16"/>
    <x v="201"/>
    <x v="6"/>
    <x v="3"/>
    <n v="1200.32"/>
    <n v="0.83013698630136989"/>
    <n v="12"/>
    <n v="5"/>
  </r>
  <r>
    <x v="1245"/>
    <x v="241"/>
    <x v="0"/>
    <n v="5"/>
    <n v="1500.4"/>
    <x v="43"/>
    <x v="9"/>
    <x v="3"/>
    <n v="7502"/>
    <n v="1.295890410958904"/>
    <n v="15"/>
    <n v="5"/>
  </r>
  <r>
    <x v="1246"/>
    <x v="241"/>
    <x v="1"/>
    <n v="3"/>
    <n v="121.98"/>
    <x v="323"/>
    <x v="3"/>
    <x v="2"/>
    <n v="365.94"/>
    <n v="1.7315068493150685"/>
    <n v="23"/>
    <n v="7"/>
  </r>
  <r>
    <x v="1247"/>
    <x v="241"/>
    <x v="6"/>
    <n v="1"/>
    <n v="35.840000000000003"/>
    <x v="219"/>
    <x v="6"/>
    <x v="0"/>
    <n v="35.840000000000003"/>
    <n v="1.473972602739726"/>
    <n v="11"/>
    <n v="7"/>
  </r>
  <r>
    <x v="1248"/>
    <x v="241"/>
    <x v="0"/>
    <n v="1"/>
    <n v="300.08"/>
    <x v="54"/>
    <x v="6"/>
    <x v="4"/>
    <n v="300.08"/>
    <n v="1.715068493150685"/>
    <n v="27"/>
    <n v="10"/>
  </r>
  <r>
    <x v="1249"/>
    <x v="242"/>
    <x v="5"/>
    <n v="4"/>
    <n v="2400.6799999999998"/>
    <x v="64"/>
    <x v="9"/>
    <x v="0"/>
    <n v="9602.7199999999993"/>
    <n v="1.9863013698630136"/>
    <n v="27"/>
    <n v="5"/>
  </r>
  <r>
    <x v="1250"/>
    <x v="242"/>
    <x v="0"/>
    <n v="4"/>
    <n v="1200.32"/>
    <x v="163"/>
    <x v="9"/>
    <x v="0"/>
    <n v="4801.28"/>
    <n v="1.715068493150685"/>
    <n v="17"/>
    <n v="5"/>
  </r>
  <r>
    <x v="1251"/>
    <x v="242"/>
    <x v="0"/>
    <n v="5"/>
    <n v="1500.4"/>
    <x v="639"/>
    <x v="6"/>
    <x v="0"/>
    <n v="7502"/>
    <n v="1.1123287671232878"/>
    <n v="16"/>
    <n v="5"/>
  </r>
  <r>
    <x v="1252"/>
    <x v="242"/>
    <x v="5"/>
    <n v="1"/>
    <n v="600.16999999999996"/>
    <x v="159"/>
    <x v="1"/>
    <x v="0"/>
    <n v="600.16999999999996"/>
    <n v="1.1534246575342466"/>
    <n v="13"/>
    <n v="5"/>
  </r>
  <r>
    <x v="1253"/>
    <x v="242"/>
    <x v="5"/>
    <n v="5"/>
    <n v="3000.85"/>
    <x v="231"/>
    <x v="8"/>
    <x v="0"/>
    <n v="15004.25"/>
    <n v="0.83287671232876714"/>
    <n v="6"/>
    <n v="5"/>
  </r>
  <r>
    <x v="1254"/>
    <x v="242"/>
    <x v="0"/>
    <n v="3"/>
    <n v="900.24"/>
    <x v="516"/>
    <x v="2"/>
    <x v="1"/>
    <n v="2700.7200000000003"/>
    <n v="1.6684931506849314"/>
    <n v="24"/>
    <n v="7"/>
  </r>
  <r>
    <x v="1255"/>
    <x v="242"/>
    <x v="2"/>
    <n v="1"/>
    <n v="5.23"/>
    <x v="640"/>
    <x v="4"/>
    <x v="4"/>
    <n v="5.23"/>
    <n v="1.6410958904109589"/>
    <n v="24"/>
    <n v="7"/>
  </r>
  <r>
    <x v="1256"/>
    <x v="242"/>
    <x v="2"/>
    <n v="1"/>
    <n v="5.23"/>
    <x v="193"/>
    <x v="1"/>
    <x v="1"/>
    <n v="5.23"/>
    <n v="1.3506849315068492"/>
    <n v="21"/>
    <n v="7"/>
  </r>
  <r>
    <x v="1257"/>
    <x v="243"/>
    <x v="0"/>
    <n v="3"/>
    <n v="900.24"/>
    <x v="641"/>
    <x v="4"/>
    <x v="4"/>
    <n v="2700.7200000000003"/>
    <n v="2.0630136986301371"/>
    <n v="11"/>
    <n v="5"/>
  </r>
  <r>
    <x v="1258"/>
    <x v="243"/>
    <x v="2"/>
    <n v="3"/>
    <n v="15.69"/>
    <x v="522"/>
    <x v="6"/>
    <x v="2"/>
    <n v="47.07"/>
    <n v="0.65479452054794518"/>
    <n v="15"/>
    <n v="5"/>
  </r>
  <r>
    <x v="1259"/>
    <x v="243"/>
    <x v="4"/>
    <n v="3"/>
    <n v="3150"/>
    <x v="430"/>
    <x v="1"/>
    <x v="0"/>
    <n v="9450"/>
    <n v="1.7534246575342465"/>
    <n v="11"/>
    <n v="7"/>
  </r>
  <r>
    <x v="1260"/>
    <x v="243"/>
    <x v="5"/>
    <n v="4"/>
    <n v="2400.6799999999998"/>
    <x v="384"/>
    <x v="0"/>
    <x v="0"/>
    <n v="9602.7199999999993"/>
    <n v="0"/>
    <n v="5"/>
    <n v="7"/>
  </r>
  <r>
    <x v="1261"/>
    <x v="243"/>
    <x v="1"/>
    <n v="5"/>
    <n v="203.3"/>
    <x v="153"/>
    <x v="6"/>
    <x v="4"/>
    <n v="1016.5"/>
    <n v="1.3479452054794521"/>
    <n v="15"/>
    <n v="7"/>
  </r>
  <r>
    <x v="1262"/>
    <x v="244"/>
    <x v="5"/>
    <n v="5"/>
    <n v="3000.85"/>
    <x v="609"/>
    <x v="1"/>
    <x v="4"/>
    <n v="15004.25"/>
    <n v="1.7287671232876711"/>
    <n v="16"/>
    <n v="5"/>
  </r>
  <r>
    <x v="1263"/>
    <x v="244"/>
    <x v="0"/>
    <n v="4"/>
    <n v="1200.32"/>
    <x v="97"/>
    <x v="8"/>
    <x v="4"/>
    <n v="4801.28"/>
    <n v="0.989041095890411"/>
    <n v="18"/>
    <n v="5"/>
  </r>
  <r>
    <x v="1264"/>
    <x v="244"/>
    <x v="0"/>
    <n v="5"/>
    <n v="1500.4"/>
    <x v="618"/>
    <x v="6"/>
    <x v="3"/>
    <n v="7502"/>
    <n v="1.3726027397260274"/>
    <n v="10"/>
    <n v="5"/>
  </r>
  <r>
    <x v="1265"/>
    <x v="244"/>
    <x v="6"/>
    <n v="3"/>
    <n v="107.52"/>
    <x v="166"/>
    <x v="3"/>
    <x v="0"/>
    <n v="322.56"/>
    <n v="1.6"/>
    <n v="21"/>
    <n v="5"/>
  </r>
  <r>
    <x v="1266"/>
    <x v="244"/>
    <x v="2"/>
    <n v="1"/>
    <n v="5.23"/>
    <x v="394"/>
    <x v="8"/>
    <x v="4"/>
    <n v="5.23"/>
    <n v="0.53698630136986303"/>
    <n v="6"/>
    <n v="7"/>
  </r>
  <r>
    <x v="1267"/>
    <x v="244"/>
    <x v="0"/>
    <n v="3"/>
    <n v="900.24"/>
    <x v="196"/>
    <x v="5"/>
    <x v="0"/>
    <n v="2700.7200000000003"/>
    <n v="1.9178082191780821"/>
    <n v="28"/>
    <n v="10"/>
  </r>
  <r>
    <x v="1268"/>
    <x v="244"/>
    <x v="6"/>
    <n v="3"/>
    <n v="107.52"/>
    <x v="61"/>
    <x v="7"/>
    <x v="0"/>
    <n v="322.56"/>
    <n v="1.4246575342465753"/>
    <n v="21"/>
    <n v="10"/>
  </r>
  <r>
    <x v="1269"/>
    <x v="245"/>
    <x v="5"/>
    <n v="1"/>
    <n v="600.16999999999996"/>
    <x v="27"/>
    <x v="1"/>
    <x v="1"/>
    <n v="600.16999999999996"/>
    <n v="0.9945205479452055"/>
    <n v="12"/>
    <n v="5"/>
  </r>
  <r>
    <x v="1270"/>
    <x v="245"/>
    <x v="1"/>
    <n v="3"/>
    <n v="121.98"/>
    <x v="419"/>
    <x v="0"/>
    <x v="2"/>
    <n v="365.94"/>
    <n v="0"/>
    <n v="1"/>
    <n v="7"/>
  </r>
  <r>
    <x v="1271"/>
    <x v="245"/>
    <x v="1"/>
    <n v="1"/>
    <n v="40.659999999999997"/>
    <x v="532"/>
    <x v="9"/>
    <x v="3"/>
    <n v="40.659999999999997"/>
    <n v="1.6767123287671233"/>
    <n v="22"/>
    <n v="7"/>
  </r>
  <r>
    <x v="1272"/>
    <x v="245"/>
    <x v="2"/>
    <n v="5"/>
    <n v="26.15"/>
    <x v="330"/>
    <x v="3"/>
    <x v="2"/>
    <n v="130.75"/>
    <n v="1.989041095890411"/>
    <n v="10"/>
    <n v="7"/>
  </r>
  <r>
    <x v="1273"/>
    <x v="245"/>
    <x v="1"/>
    <n v="3"/>
    <n v="121.98"/>
    <x v="565"/>
    <x v="1"/>
    <x v="2"/>
    <n v="365.94"/>
    <n v="1.3890410958904109"/>
    <n v="15"/>
    <n v="7"/>
  </r>
  <r>
    <x v="1274"/>
    <x v="246"/>
    <x v="6"/>
    <n v="2"/>
    <n v="71.680000000000007"/>
    <x v="536"/>
    <x v="0"/>
    <x v="4"/>
    <n v="143.36000000000001"/>
    <n v="1.8520547945205479"/>
    <n v="24"/>
    <n v="5"/>
  </r>
  <r>
    <x v="1275"/>
    <x v="246"/>
    <x v="2"/>
    <n v="3"/>
    <n v="15.69"/>
    <x v="642"/>
    <x v="0"/>
    <x v="3"/>
    <n v="47.07"/>
    <n v="1.515068493150685"/>
    <n v="11"/>
    <n v="5"/>
  </r>
  <r>
    <x v="1276"/>
    <x v="246"/>
    <x v="0"/>
    <n v="5"/>
    <n v="1500.4"/>
    <x v="213"/>
    <x v="0"/>
    <x v="3"/>
    <n v="7502"/>
    <n v="1.810958904109589"/>
    <n v="23"/>
    <n v="7"/>
  </r>
  <r>
    <x v="1277"/>
    <x v="246"/>
    <x v="1"/>
    <n v="4"/>
    <n v="162.63999999999999"/>
    <x v="110"/>
    <x v="7"/>
    <x v="0"/>
    <n v="650.55999999999995"/>
    <n v="1.0602739726027397"/>
    <n v="15"/>
    <n v="7"/>
  </r>
  <r>
    <x v="1278"/>
    <x v="246"/>
    <x v="7"/>
    <n v="5"/>
    <n v="58.65"/>
    <x v="625"/>
    <x v="5"/>
    <x v="1"/>
    <n v="293.25"/>
    <n v="1.5616438356164384"/>
    <n v="11"/>
    <n v="7"/>
  </r>
  <r>
    <x v="1279"/>
    <x v="246"/>
    <x v="6"/>
    <n v="2"/>
    <n v="71.680000000000007"/>
    <x v="603"/>
    <x v="4"/>
    <x v="4"/>
    <n v="143.36000000000001"/>
    <n v="1.0520547945205478"/>
    <n v="7"/>
    <n v="7"/>
  </r>
  <r>
    <x v="1280"/>
    <x v="247"/>
    <x v="5"/>
    <n v="2"/>
    <n v="1200.3399999999999"/>
    <x v="121"/>
    <x v="7"/>
    <x v="2"/>
    <n v="2400.6799999999998"/>
    <n v="1.4712328767123288"/>
    <n v="7"/>
    <n v="5"/>
  </r>
  <r>
    <x v="1281"/>
    <x v="247"/>
    <x v="4"/>
    <n v="5"/>
    <n v="5250"/>
    <x v="102"/>
    <x v="0"/>
    <x v="2"/>
    <n v="26250"/>
    <n v="1.7534246575342465"/>
    <n v="18"/>
    <n v="5"/>
  </r>
  <r>
    <x v="1282"/>
    <x v="247"/>
    <x v="1"/>
    <n v="4"/>
    <n v="162.63999999999999"/>
    <x v="110"/>
    <x v="4"/>
    <x v="4"/>
    <n v="650.55999999999995"/>
    <n v="0.14794520547945206"/>
    <n v="5"/>
    <n v="7"/>
  </r>
  <r>
    <x v="1283"/>
    <x v="247"/>
    <x v="7"/>
    <n v="4"/>
    <n v="46.92"/>
    <x v="281"/>
    <x v="4"/>
    <x v="1"/>
    <n v="187.68"/>
    <n v="1.010958904109589"/>
    <n v="18"/>
    <n v="7"/>
  </r>
  <r>
    <x v="1284"/>
    <x v="247"/>
    <x v="6"/>
    <n v="1"/>
    <n v="35.840000000000003"/>
    <x v="611"/>
    <x v="9"/>
    <x v="2"/>
    <n v="35.840000000000003"/>
    <n v="1.4931506849315068"/>
    <n v="32"/>
    <n v="7"/>
  </r>
  <r>
    <x v="1285"/>
    <x v="247"/>
    <x v="1"/>
    <n v="4"/>
    <n v="162.63999999999999"/>
    <x v="514"/>
    <x v="0"/>
    <x v="0"/>
    <n v="650.55999999999995"/>
    <n v="0.86027397260273974"/>
    <n v="16"/>
    <n v="7"/>
  </r>
  <r>
    <x v="1286"/>
    <x v="248"/>
    <x v="5"/>
    <n v="3"/>
    <n v="1800.51"/>
    <x v="629"/>
    <x v="0"/>
    <x v="2"/>
    <n v="5401.53"/>
    <n v="1.3041095890410959"/>
    <n v="21"/>
    <n v="5"/>
  </r>
  <r>
    <x v="1287"/>
    <x v="248"/>
    <x v="0"/>
    <n v="4"/>
    <n v="1200.32"/>
    <x v="475"/>
    <x v="1"/>
    <x v="0"/>
    <n v="4801.28"/>
    <n v="0"/>
    <n v="5"/>
    <n v="5"/>
  </r>
  <r>
    <x v="1288"/>
    <x v="248"/>
    <x v="0"/>
    <n v="2"/>
    <n v="600.16"/>
    <x v="181"/>
    <x v="4"/>
    <x v="3"/>
    <n v="1200.32"/>
    <n v="2.021917808219178"/>
    <n v="15"/>
    <n v="7"/>
  </r>
  <r>
    <x v="1289"/>
    <x v="248"/>
    <x v="0"/>
    <n v="5"/>
    <n v="1500.4"/>
    <x v="6"/>
    <x v="3"/>
    <x v="1"/>
    <n v="7502"/>
    <n v="1.5287671232876712"/>
    <n v="14"/>
    <n v="7"/>
  </r>
  <r>
    <x v="1290"/>
    <x v="248"/>
    <x v="7"/>
    <n v="5"/>
    <n v="58.65"/>
    <x v="643"/>
    <x v="7"/>
    <x v="3"/>
    <n v="293.25"/>
    <n v="1.1041095890410959"/>
    <n v="8"/>
    <n v="7"/>
  </r>
  <r>
    <x v="1291"/>
    <x v="249"/>
    <x v="2"/>
    <n v="1"/>
    <n v="5.23"/>
    <x v="279"/>
    <x v="6"/>
    <x v="1"/>
    <n v="5.23"/>
    <n v="1.6958904109589041"/>
    <n v="10"/>
    <n v="5"/>
  </r>
  <r>
    <x v="1292"/>
    <x v="249"/>
    <x v="0"/>
    <n v="3"/>
    <n v="900.24"/>
    <x v="642"/>
    <x v="4"/>
    <x v="1"/>
    <n v="2700.7200000000003"/>
    <n v="1.3945205479452054"/>
    <n v="17"/>
    <n v="5"/>
  </r>
  <r>
    <x v="1293"/>
    <x v="249"/>
    <x v="4"/>
    <n v="4"/>
    <n v="4200"/>
    <x v="644"/>
    <x v="5"/>
    <x v="2"/>
    <n v="16800"/>
    <n v="1.0273972602739727"/>
    <n v="28"/>
    <n v="7"/>
  </r>
  <r>
    <x v="1294"/>
    <x v="249"/>
    <x v="4"/>
    <n v="1"/>
    <n v="1050"/>
    <x v="415"/>
    <x v="6"/>
    <x v="0"/>
    <n v="1050"/>
    <n v="1.6273972602739726"/>
    <n v="9"/>
    <n v="7"/>
  </r>
  <r>
    <x v="1295"/>
    <x v="249"/>
    <x v="1"/>
    <n v="4"/>
    <n v="162.63999999999999"/>
    <x v="288"/>
    <x v="4"/>
    <x v="2"/>
    <n v="650.55999999999995"/>
    <n v="1.5835616438356164"/>
    <n v="18"/>
    <n v="7"/>
  </r>
  <r>
    <x v="1296"/>
    <x v="249"/>
    <x v="5"/>
    <n v="3"/>
    <n v="1800.51"/>
    <x v="643"/>
    <x v="0"/>
    <x v="0"/>
    <n v="5401.53"/>
    <n v="1.9616438356164383"/>
    <n v="20"/>
    <n v="7"/>
  </r>
  <r>
    <x v="1297"/>
    <x v="249"/>
    <x v="0"/>
    <n v="1"/>
    <n v="300.08"/>
    <x v="645"/>
    <x v="2"/>
    <x v="2"/>
    <n v="300.08"/>
    <n v="1.189041095890411"/>
    <n v="13"/>
    <n v="10"/>
  </r>
  <r>
    <x v="1298"/>
    <x v="250"/>
    <x v="0"/>
    <n v="4"/>
    <n v="1200.32"/>
    <x v="174"/>
    <x v="0"/>
    <x v="1"/>
    <n v="4801.28"/>
    <n v="1.4356164383561645"/>
    <n v="18"/>
    <n v="5"/>
  </r>
  <r>
    <x v="1299"/>
    <x v="250"/>
    <x v="0"/>
    <n v="2"/>
    <n v="600.16"/>
    <x v="372"/>
    <x v="0"/>
    <x v="4"/>
    <n v="1200.32"/>
    <n v="1.704109589041096"/>
    <n v="16"/>
    <n v="5"/>
  </r>
  <r>
    <x v="1300"/>
    <x v="250"/>
    <x v="3"/>
    <n v="3"/>
    <n v="45.45"/>
    <x v="646"/>
    <x v="9"/>
    <x v="1"/>
    <n v="136.35000000000002"/>
    <n v="1.3890410958904109"/>
    <n v="27"/>
    <n v="5"/>
  </r>
  <r>
    <x v="1301"/>
    <x v="250"/>
    <x v="5"/>
    <n v="1"/>
    <n v="600.16999999999996"/>
    <x v="604"/>
    <x v="6"/>
    <x v="1"/>
    <n v="600.16999999999996"/>
    <n v="0.31780821917808222"/>
    <n v="14"/>
    <n v="5"/>
  </r>
  <r>
    <x v="1302"/>
    <x v="250"/>
    <x v="6"/>
    <n v="5"/>
    <n v="179.2"/>
    <x v="467"/>
    <x v="6"/>
    <x v="1"/>
    <n v="896"/>
    <n v="1.3534246575342466"/>
    <n v="14"/>
    <n v="7"/>
  </r>
  <r>
    <x v="1303"/>
    <x v="250"/>
    <x v="1"/>
    <n v="3"/>
    <n v="121.98"/>
    <x v="252"/>
    <x v="0"/>
    <x v="3"/>
    <n v="365.94"/>
    <n v="0.9671232876712329"/>
    <n v="7"/>
    <n v="7"/>
  </r>
  <r>
    <x v="1304"/>
    <x v="251"/>
    <x v="0"/>
    <n v="1"/>
    <n v="300.08"/>
    <x v="34"/>
    <x v="1"/>
    <x v="2"/>
    <n v="300.08"/>
    <n v="1.5945205479452054"/>
    <n v="18"/>
    <n v="5"/>
  </r>
  <r>
    <x v="1305"/>
    <x v="251"/>
    <x v="5"/>
    <n v="4"/>
    <n v="2400.6799999999998"/>
    <x v="647"/>
    <x v="8"/>
    <x v="4"/>
    <n v="9602.7199999999993"/>
    <n v="1.6767123287671233"/>
    <n v="19"/>
    <n v="7"/>
  </r>
  <r>
    <x v="1306"/>
    <x v="251"/>
    <x v="0"/>
    <n v="2"/>
    <n v="600.16"/>
    <x v="36"/>
    <x v="1"/>
    <x v="2"/>
    <n v="1200.32"/>
    <n v="1.4109589041095891"/>
    <n v="16"/>
    <n v="7"/>
  </r>
  <r>
    <x v="1307"/>
    <x v="251"/>
    <x v="2"/>
    <n v="5"/>
    <n v="26.15"/>
    <x v="94"/>
    <x v="7"/>
    <x v="0"/>
    <n v="130.75"/>
    <n v="1.4082191780821918"/>
    <n v="15"/>
    <n v="7"/>
  </r>
  <r>
    <x v="1308"/>
    <x v="252"/>
    <x v="4"/>
    <n v="1"/>
    <n v="1050"/>
    <x v="552"/>
    <x v="3"/>
    <x v="0"/>
    <n v="1050"/>
    <n v="0.69315068493150689"/>
    <n v="10"/>
    <n v="5"/>
  </r>
  <r>
    <x v="1309"/>
    <x v="252"/>
    <x v="6"/>
    <n v="1"/>
    <n v="35.840000000000003"/>
    <x v="396"/>
    <x v="5"/>
    <x v="4"/>
    <n v="35.840000000000003"/>
    <n v="1.167123287671233"/>
    <n v="13"/>
    <n v="5"/>
  </r>
  <r>
    <x v="1310"/>
    <x v="252"/>
    <x v="1"/>
    <n v="1"/>
    <n v="40.659999999999997"/>
    <x v="360"/>
    <x v="6"/>
    <x v="3"/>
    <n v="40.659999999999997"/>
    <n v="2.0547945205479454"/>
    <n v="17"/>
    <n v="7"/>
  </r>
  <r>
    <x v="1311"/>
    <x v="253"/>
    <x v="1"/>
    <n v="5"/>
    <n v="203.3"/>
    <x v="33"/>
    <x v="7"/>
    <x v="4"/>
    <n v="1016.5"/>
    <n v="0.67671232876712328"/>
    <n v="11"/>
    <n v="5"/>
  </r>
  <r>
    <x v="1312"/>
    <x v="253"/>
    <x v="1"/>
    <n v="4"/>
    <n v="162.63999999999999"/>
    <x v="648"/>
    <x v="1"/>
    <x v="4"/>
    <n v="650.55999999999995"/>
    <n v="1.3452054794520547"/>
    <n v="7"/>
    <n v="5"/>
  </r>
  <r>
    <x v="1313"/>
    <x v="253"/>
    <x v="4"/>
    <n v="2"/>
    <n v="2100"/>
    <x v="109"/>
    <x v="2"/>
    <x v="1"/>
    <n v="4200"/>
    <n v="0.54246575342465753"/>
    <n v="11"/>
    <n v="7"/>
  </r>
  <r>
    <x v="1314"/>
    <x v="253"/>
    <x v="5"/>
    <n v="4"/>
    <n v="2400.6799999999998"/>
    <x v="464"/>
    <x v="2"/>
    <x v="4"/>
    <n v="9602.7199999999993"/>
    <n v="1.0328767123287672"/>
    <n v="15"/>
    <n v="7"/>
  </r>
  <r>
    <x v="1315"/>
    <x v="253"/>
    <x v="0"/>
    <n v="4"/>
    <n v="1200.32"/>
    <x v="649"/>
    <x v="0"/>
    <x v="4"/>
    <n v="4801.28"/>
    <n v="1.8602739726027397"/>
    <n v="13"/>
    <n v="7"/>
  </r>
  <r>
    <x v="1316"/>
    <x v="253"/>
    <x v="7"/>
    <n v="5"/>
    <n v="58.65"/>
    <x v="578"/>
    <x v="6"/>
    <x v="1"/>
    <n v="293.25"/>
    <n v="0"/>
    <n v="1"/>
    <n v="7"/>
  </r>
  <r>
    <x v="1317"/>
    <x v="254"/>
    <x v="1"/>
    <n v="1"/>
    <n v="40.659999999999997"/>
    <x v="99"/>
    <x v="0"/>
    <x v="4"/>
    <n v="40.659999999999997"/>
    <n v="2.1205479452054794"/>
    <n v="22"/>
    <n v="5"/>
  </r>
  <r>
    <x v="1318"/>
    <x v="254"/>
    <x v="6"/>
    <n v="2"/>
    <n v="71.680000000000007"/>
    <x v="598"/>
    <x v="1"/>
    <x v="2"/>
    <n v="143.36000000000001"/>
    <n v="1.6246575342465754"/>
    <n v="10"/>
    <n v="5"/>
  </r>
  <r>
    <x v="1319"/>
    <x v="254"/>
    <x v="0"/>
    <n v="5"/>
    <n v="1500.4"/>
    <x v="650"/>
    <x v="5"/>
    <x v="2"/>
    <n v="7502"/>
    <n v="0.90136986301369859"/>
    <n v="9"/>
    <n v="5"/>
  </r>
  <r>
    <x v="1320"/>
    <x v="254"/>
    <x v="6"/>
    <n v="5"/>
    <n v="179.2"/>
    <x v="59"/>
    <x v="4"/>
    <x v="1"/>
    <n v="896"/>
    <n v="1.5698630136986302"/>
    <n v="19"/>
    <n v="7"/>
  </r>
  <r>
    <x v="1321"/>
    <x v="254"/>
    <x v="0"/>
    <n v="4"/>
    <n v="1200.32"/>
    <x v="400"/>
    <x v="6"/>
    <x v="4"/>
    <n v="4801.28"/>
    <n v="1.4602739726027398"/>
    <n v="16"/>
    <n v="7"/>
  </r>
  <r>
    <x v="1322"/>
    <x v="255"/>
    <x v="6"/>
    <n v="1"/>
    <n v="35.840000000000003"/>
    <x v="651"/>
    <x v="2"/>
    <x v="0"/>
    <n v="35.840000000000003"/>
    <n v="1.9972602739726026"/>
    <n v="12"/>
    <n v="5"/>
  </r>
  <r>
    <x v="1323"/>
    <x v="255"/>
    <x v="5"/>
    <n v="1"/>
    <n v="600.16999999999996"/>
    <x v="652"/>
    <x v="5"/>
    <x v="1"/>
    <n v="600.16999999999996"/>
    <n v="0.36438356164383562"/>
    <n v="5"/>
    <n v="5"/>
  </r>
  <r>
    <x v="1324"/>
    <x v="255"/>
    <x v="0"/>
    <n v="1"/>
    <n v="300.08"/>
    <x v="251"/>
    <x v="6"/>
    <x v="0"/>
    <n v="300.08"/>
    <n v="0.39178082191780822"/>
    <n v="3"/>
    <n v="10"/>
  </r>
  <r>
    <x v="1325"/>
    <x v="256"/>
    <x v="0"/>
    <n v="5"/>
    <n v="1500.4"/>
    <x v="145"/>
    <x v="1"/>
    <x v="2"/>
    <n v="7502"/>
    <n v="0.42465753424657532"/>
    <n v="11"/>
    <n v="5"/>
  </r>
  <r>
    <x v="1326"/>
    <x v="256"/>
    <x v="0"/>
    <n v="3"/>
    <n v="900.24"/>
    <x v="653"/>
    <x v="0"/>
    <x v="3"/>
    <n v="2700.7200000000003"/>
    <n v="1.9424657534246574"/>
    <n v="11"/>
    <n v="5"/>
  </r>
  <r>
    <x v="1327"/>
    <x v="256"/>
    <x v="0"/>
    <n v="1"/>
    <n v="300.08"/>
    <x v="100"/>
    <x v="0"/>
    <x v="3"/>
    <n v="300.08"/>
    <n v="2.0027397260273974"/>
    <n v="19"/>
    <n v="5"/>
  </r>
  <r>
    <x v="1328"/>
    <x v="256"/>
    <x v="0"/>
    <n v="4"/>
    <n v="1200.32"/>
    <x v="187"/>
    <x v="5"/>
    <x v="2"/>
    <n v="4801.28"/>
    <n v="0.8904109589041096"/>
    <n v="16"/>
    <n v="5"/>
  </r>
  <r>
    <x v="1329"/>
    <x v="256"/>
    <x v="6"/>
    <n v="1"/>
    <n v="35.840000000000003"/>
    <x v="589"/>
    <x v="6"/>
    <x v="4"/>
    <n v="35.840000000000003"/>
    <n v="1.7315068493150685"/>
    <n v="17"/>
    <n v="5"/>
  </r>
  <r>
    <x v="1330"/>
    <x v="256"/>
    <x v="7"/>
    <n v="2"/>
    <n v="23.46"/>
    <x v="393"/>
    <x v="5"/>
    <x v="2"/>
    <n v="46.92"/>
    <n v="1.1753424657534246"/>
    <n v="11"/>
    <n v="7"/>
  </r>
  <r>
    <x v="1331"/>
    <x v="257"/>
    <x v="0"/>
    <n v="2"/>
    <n v="600.16"/>
    <x v="654"/>
    <x v="1"/>
    <x v="3"/>
    <n v="1200.32"/>
    <n v="1.0356164383561643"/>
    <n v="13"/>
    <n v="5"/>
  </r>
  <r>
    <x v="1332"/>
    <x v="257"/>
    <x v="2"/>
    <n v="4"/>
    <n v="20.92"/>
    <x v="495"/>
    <x v="6"/>
    <x v="3"/>
    <n v="83.68"/>
    <n v="1.5890410958904109"/>
    <n v="19"/>
    <n v="5"/>
  </r>
  <r>
    <x v="1333"/>
    <x v="257"/>
    <x v="5"/>
    <n v="1"/>
    <n v="600.16999999999996"/>
    <x v="655"/>
    <x v="6"/>
    <x v="2"/>
    <n v="600.16999999999996"/>
    <n v="0"/>
    <n v="3"/>
    <n v="5"/>
  </r>
  <r>
    <x v="1334"/>
    <x v="257"/>
    <x v="0"/>
    <n v="5"/>
    <n v="1500.4"/>
    <x v="258"/>
    <x v="5"/>
    <x v="0"/>
    <n v="7502"/>
    <n v="1.747945205479452"/>
    <n v="16"/>
    <n v="7"/>
  </r>
  <r>
    <x v="1335"/>
    <x v="257"/>
    <x v="0"/>
    <n v="2"/>
    <n v="600.16"/>
    <x v="36"/>
    <x v="1"/>
    <x v="0"/>
    <n v="1200.32"/>
    <n v="1.8849315068493151"/>
    <n v="30"/>
    <n v="7"/>
  </r>
  <r>
    <x v="1336"/>
    <x v="257"/>
    <x v="1"/>
    <n v="1"/>
    <n v="40.659999999999997"/>
    <x v="385"/>
    <x v="1"/>
    <x v="1"/>
    <n v="40.659999999999997"/>
    <n v="1.6575342465753424"/>
    <n v="12"/>
    <n v="10"/>
  </r>
  <r>
    <x v="1337"/>
    <x v="258"/>
    <x v="1"/>
    <n v="3"/>
    <n v="121.98"/>
    <x v="143"/>
    <x v="1"/>
    <x v="2"/>
    <n v="365.94"/>
    <n v="2.0301369863013701"/>
    <n v="18"/>
    <n v="5"/>
  </r>
  <r>
    <x v="1338"/>
    <x v="258"/>
    <x v="2"/>
    <n v="3"/>
    <n v="15.69"/>
    <x v="545"/>
    <x v="4"/>
    <x v="1"/>
    <n v="47.07"/>
    <n v="1.3424657534246576"/>
    <n v="40"/>
    <n v="5"/>
  </r>
  <r>
    <x v="1339"/>
    <x v="258"/>
    <x v="5"/>
    <n v="2"/>
    <n v="1200.3399999999999"/>
    <x v="656"/>
    <x v="1"/>
    <x v="4"/>
    <n v="2400.6799999999998"/>
    <n v="0.16164383561643836"/>
    <n v="6"/>
    <n v="5"/>
  </r>
  <r>
    <x v="1340"/>
    <x v="258"/>
    <x v="1"/>
    <n v="3"/>
    <n v="121.98"/>
    <x v="374"/>
    <x v="8"/>
    <x v="0"/>
    <n v="365.94"/>
    <n v="1.6739726027397259"/>
    <n v="10"/>
    <n v="5"/>
  </r>
  <r>
    <x v="1341"/>
    <x v="258"/>
    <x v="0"/>
    <n v="4"/>
    <n v="1200.32"/>
    <x v="91"/>
    <x v="1"/>
    <x v="1"/>
    <n v="4801.28"/>
    <n v="1.0301369863013699"/>
    <n v="9"/>
    <n v="5"/>
  </r>
  <r>
    <x v="1342"/>
    <x v="258"/>
    <x v="0"/>
    <n v="5"/>
    <n v="1500.4"/>
    <x v="544"/>
    <x v="5"/>
    <x v="3"/>
    <n v="7502"/>
    <n v="1.3095890410958904"/>
    <n v="16"/>
    <n v="7"/>
  </r>
  <r>
    <x v="1343"/>
    <x v="258"/>
    <x v="0"/>
    <n v="1"/>
    <n v="300.08"/>
    <x v="272"/>
    <x v="4"/>
    <x v="1"/>
    <n v="300.08"/>
    <n v="0.88767123287671235"/>
    <n v="14"/>
    <n v="7"/>
  </r>
  <r>
    <x v="1344"/>
    <x v="259"/>
    <x v="5"/>
    <n v="5"/>
    <n v="3000.85"/>
    <x v="99"/>
    <x v="4"/>
    <x v="1"/>
    <n v="15004.25"/>
    <n v="2.0273972602739727"/>
    <n v="17"/>
    <n v="5"/>
  </r>
  <r>
    <x v="1345"/>
    <x v="259"/>
    <x v="0"/>
    <n v="2"/>
    <n v="600.16"/>
    <x v="389"/>
    <x v="8"/>
    <x v="0"/>
    <n v="1200.32"/>
    <n v="1.1506849315068493"/>
    <n v="22"/>
    <n v="5"/>
  </r>
  <r>
    <x v="1346"/>
    <x v="259"/>
    <x v="2"/>
    <n v="4"/>
    <n v="20.92"/>
    <x v="312"/>
    <x v="4"/>
    <x v="1"/>
    <n v="83.68"/>
    <n v="1.9178082191780821"/>
    <n v="38"/>
    <n v="5"/>
  </r>
  <r>
    <x v="1347"/>
    <x v="259"/>
    <x v="4"/>
    <n v="1"/>
    <n v="1050"/>
    <x v="295"/>
    <x v="5"/>
    <x v="2"/>
    <n v="1050"/>
    <n v="1.3369863013698631"/>
    <n v="22"/>
    <n v="5"/>
  </r>
  <r>
    <x v="1348"/>
    <x v="259"/>
    <x v="0"/>
    <n v="3"/>
    <n v="900.24"/>
    <x v="567"/>
    <x v="6"/>
    <x v="2"/>
    <n v="2700.7200000000003"/>
    <n v="1.4273972602739726"/>
    <n v="16"/>
    <n v="5"/>
  </r>
  <r>
    <x v="1349"/>
    <x v="259"/>
    <x v="2"/>
    <n v="1"/>
    <n v="5.23"/>
    <x v="657"/>
    <x v="4"/>
    <x v="0"/>
    <n v="5.23"/>
    <n v="0.8246575342465754"/>
    <n v="8"/>
    <n v="5"/>
  </r>
  <r>
    <x v="1350"/>
    <x v="259"/>
    <x v="0"/>
    <n v="5"/>
    <n v="1500.4"/>
    <x v="147"/>
    <x v="1"/>
    <x v="2"/>
    <n v="7502"/>
    <n v="1.3643835616438356"/>
    <n v="15"/>
    <n v="5"/>
  </r>
  <r>
    <x v="1351"/>
    <x v="259"/>
    <x v="2"/>
    <n v="4"/>
    <n v="20.92"/>
    <x v="404"/>
    <x v="4"/>
    <x v="1"/>
    <n v="83.68"/>
    <n v="0.82739726027397265"/>
    <n v="10"/>
    <n v="7"/>
  </r>
  <r>
    <x v="1352"/>
    <x v="259"/>
    <x v="3"/>
    <n v="4"/>
    <n v="60.6"/>
    <x v="633"/>
    <x v="6"/>
    <x v="0"/>
    <n v="242.4"/>
    <n v="0.77260273972602744"/>
    <n v="11"/>
    <n v="7"/>
  </r>
  <r>
    <x v="1353"/>
    <x v="259"/>
    <x v="1"/>
    <n v="4"/>
    <n v="162.63999999999999"/>
    <x v="577"/>
    <x v="5"/>
    <x v="1"/>
    <n v="650.55999999999995"/>
    <n v="1.5315068493150685"/>
    <n v="16"/>
    <n v="7"/>
  </r>
  <r>
    <x v="1354"/>
    <x v="260"/>
    <x v="5"/>
    <n v="1"/>
    <n v="600.16999999999996"/>
    <x v="613"/>
    <x v="3"/>
    <x v="1"/>
    <n v="600.16999999999996"/>
    <n v="0.96986301369863015"/>
    <n v="8"/>
    <n v="5"/>
  </r>
  <r>
    <x v="1355"/>
    <x v="260"/>
    <x v="1"/>
    <n v="2"/>
    <n v="81.319999999999993"/>
    <x v="49"/>
    <x v="2"/>
    <x v="2"/>
    <n v="162.63999999999999"/>
    <n v="0.50136986301369868"/>
    <n v="7"/>
    <n v="7"/>
  </r>
  <r>
    <x v="1356"/>
    <x v="260"/>
    <x v="1"/>
    <n v="3"/>
    <n v="121.98"/>
    <x v="658"/>
    <x v="3"/>
    <x v="0"/>
    <n v="365.94"/>
    <n v="1.178082191780822"/>
    <n v="12"/>
    <n v="10"/>
  </r>
  <r>
    <x v="1357"/>
    <x v="260"/>
    <x v="6"/>
    <n v="3"/>
    <n v="107.52"/>
    <x v="156"/>
    <x v="1"/>
    <x v="2"/>
    <n v="322.56"/>
    <n v="1.3863013698630138"/>
    <n v="7"/>
    <n v="10"/>
  </r>
  <r>
    <x v="1358"/>
    <x v="261"/>
    <x v="7"/>
    <n v="1"/>
    <n v="11.73"/>
    <x v="397"/>
    <x v="0"/>
    <x v="1"/>
    <n v="11.73"/>
    <n v="1.715068493150685"/>
    <n v="20"/>
    <n v="5"/>
  </r>
  <r>
    <x v="1359"/>
    <x v="261"/>
    <x v="4"/>
    <n v="5"/>
    <n v="5250"/>
    <x v="313"/>
    <x v="8"/>
    <x v="2"/>
    <n v="26250"/>
    <n v="2.1342465753424658"/>
    <n v="41"/>
    <n v="5"/>
  </r>
  <r>
    <x v="1360"/>
    <x v="261"/>
    <x v="0"/>
    <n v="3"/>
    <n v="900.24"/>
    <x v="47"/>
    <x v="9"/>
    <x v="3"/>
    <n v="2700.7200000000003"/>
    <n v="1.8027397260273972"/>
    <n v="12"/>
    <n v="5"/>
  </r>
  <r>
    <x v="1361"/>
    <x v="262"/>
    <x v="0"/>
    <n v="5"/>
    <n v="1500.4"/>
    <x v="3"/>
    <x v="1"/>
    <x v="0"/>
    <n v="7502"/>
    <n v="1.106849315068493"/>
    <n v="11"/>
    <n v="7"/>
  </r>
  <r>
    <x v="1362"/>
    <x v="262"/>
    <x v="7"/>
    <n v="1"/>
    <n v="11.73"/>
    <x v="659"/>
    <x v="1"/>
    <x v="2"/>
    <n v="11.73"/>
    <n v="1.8"/>
    <n v="10"/>
    <n v="7"/>
  </r>
  <r>
    <x v="1363"/>
    <x v="263"/>
    <x v="1"/>
    <n v="1"/>
    <n v="40.659999999999997"/>
    <x v="153"/>
    <x v="5"/>
    <x v="3"/>
    <n v="40.659999999999997"/>
    <n v="0.74246575342465748"/>
    <n v="10"/>
    <n v="7"/>
  </r>
  <r>
    <x v="1364"/>
    <x v="263"/>
    <x v="0"/>
    <n v="2"/>
    <n v="600.16"/>
    <x v="428"/>
    <x v="4"/>
    <x v="3"/>
    <n v="1200.32"/>
    <n v="1.6767123287671233"/>
    <n v="18"/>
    <n v="7"/>
  </r>
  <r>
    <x v="1365"/>
    <x v="264"/>
    <x v="5"/>
    <n v="4"/>
    <n v="2400.6799999999998"/>
    <x v="351"/>
    <x v="9"/>
    <x v="3"/>
    <n v="9602.7199999999993"/>
    <n v="0.15890410958904111"/>
    <n v="6"/>
    <n v="5"/>
  </r>
  <r>
    <x v="1366"/>
    <x v="264"/>
    <x v="1"/>
    <n v="3"/>
    <n v="121.98"/>
    <x v="33"/>
    <x v="0"/>
    <x v="1"/>
    <n v="365.94"/>
    <n v="1.9808219178082191"/>
    <n v="13"/>
    <n v="5"/>
  </r>
  <r>
    <x v="1367"/>
    <x v="264"/>
    <x v="4"/>
    <n v="3"/>
    <n v="3150"/>
    <x v="642"/>
    <x v="1"/>
    <x v="0"/>
    <n v="9450"/>
    <n v="0.9123287671232877"/>
    <n v="13"/>
    <n v="5"/>
  </r>
  <r>
    <x v="1368"/>
    <x v="264"/>
    <x v="2"/>
    <n v="5"/>
    <n v="26.15"/>
    <x v="358"/>
    <x v="8"/>
    <x v="4"/>
    <n v="130.75"/>
    <n v="1.3068493150684932"/>
    <n v="13"/>
    <n v="5"/>
  </r>
  <r>
    <x v="1369"/>
    <x v="264"/>
    <x v="1"/>
    <n v="3"/>
    <n v="121.98"/>
    <x v="406"/>
    <x v="4"/>
    <x v="0"/>
    <n v="365.94"/>
    <n v="1.6602739726027398"/>
    <n v="8"/>
    <n v="5"/>
  </r>
  <r>
    <x v="1370"/>
    <x v="264"/>
    <x v="1"/>
    <n v="4"/>
    <n v="162.63999999999999"/>
    <x v="579"/>
    <x v="7"/>
    <x v="4"/>
    <n v="650.55999999999995"/>
    <n v="1.989041095890411"/>
    <n v="15"/>
    <n v="7"/>
  </r>
  <r>
    <x v="1371"/>
    <x v="265"/>
    <x v="1"/>
    <n v="3"/>
    <n v="121.98"/>
    <x v="177"/>
    <x v="4"/>
    <x v="1"/>
    <n v="365.94"/>
    <n v="1.9287671232876713"/>
    <n v="24"/>
    <n v="5"/>
  </r>
  <r>
    <x v="1372"/>
    <x v="265"/>
    <x v="2"/>
    <n v="1"/>
    <n v="5.23"/>
    <x v="660"/>
    <x v="3"/>
    <x v="4"/>
    <n v="5.23"/>
    <n v="0.9178082191780822"/>
    <n v="16"/>
    <n v="7"/>
  </r>
  <r>
    <x v="1373"/>
    <x v="265"/>
    <x v="7"/>
    <n v="5"/>
    <n v="58.65"/>
    <x v="590"/>
    <x v="6"/>
    <x v="3"/>
    <n v="293.25"/>
    <n v="1.2657534246575342"/>
    <n v="15"/>
    <n v="7"/>
  </r>
  <r>
    <x v="1374"/>
    <x v="265"/>
    <x v="5"/>
    <n v="3"/>
    <n v="1800.51"/>
    <x v="605"/>
    <x v="4"/>
    <x v="3"/>
    <n v="5401.53"/>
    <n v="0.70136986301369864"/>
    <n v="8"/>
    <n v="7"/>
  </r>
  <r>
    <x v="1375"/>
    <x v="265"/>
    <x v="5"/>
    <n v="1"/>
    <n v="600.16999999999996"/>
    <x v="626"/>
    <x v="7"/>
    <x v="2"/>
    <n v="600.16999999999996"/>
    <n v="1.0547945205479452"/>
    <n v="12"/>
    <n v="10"/>
  </r>
  <r>
    <x v="1376"/>
    <x v="265"/>
    <x v="0"/>
    <n v="5"/>
    <n v="1500.4"/>
    <x v="452"/>
    <x v="6"/>
    <x v="0"/>
    <n v="7502"/>
    <n v="1.5780821917808219"/>
    <n v="20"/>
    <n v="10"/>
  </r>
  <r>
    <x v="1377"/>
    <x v="266"/>
    <x v="0"/>
    <n v="4"/>
    <n v="1200.32"/>
    <x v="63"/>
    <x v="1"/>
    <x v="4"/>
    <n v="4801.28"/>
    <n v="1.7068493150684931"/>
    <n v="22"/>
    <n v="5"/>
  </r>
  <r>
    <x v="1378"/>
    <x v="266"/>
    <x v="0"/>
    <n v="5"/>
    <n v="1500.4"/>
    <x v="512"/>
    <x v="2"/>
    <x v="0"/>
    <n v="7502"/>
    <n v="1.5068493150684932"/>
    <n v="16"/>
    <n v="5"/>
  </r>
  <r>
    <x v="1379"/>
    <x v="266"/>
    <x v="0"/>
    <n v="3"/>
    <n v="900.24"/>
    <x v="226"/>
    <x v="1"/>
    <x v="3"/>
    <n v="2700.7200000000003"/>
    <n v="1.9287671232876713"/>
    <n v="19"/>
    <n v="5"/>
  </r>
  <r>
    <x v="1380"/>
    <x v="266"/>
    <x v="0"/>
    <n v="5"/>
    <n v="1500.4"/>
    <x v="263"/>
    <x v="1"/>
    <x v="4"/>
    <n v="7502"/>
    <n v="1.3479452054794521"/>
    <n v="13"/>
    <n v="7"/>
  </r>
  <r>
    <x v="1381"/>
    <x v="267"/>
    <x v="1"/>
    <n v="2"/>
    <n v="81.319999999999993"/>
    <x v="245"/>
    <x v="1"/>
    <x v="4"/>
    <n v="162.63999999999999"/>
    <n v="0.45479452054794522"/>
    <n v="8"/>
    <n v="5"/>
  </r>
  <r>
    <x v="1382"/>
    <x v="267"/>
    <x v="7"/>
    <n v="2"/>
    <n v="23.46"/>
    <x v="359"/>
    <x v="1"/>
    <x v="0"/>
    <n v="46.92"/>
    <n v="1.9205479452054794"/>
    <n v="27"/>
    <n v="5"/>
  </r>
  <r>
    <x v="1383"/>
    <x v="267"/>
    <x v="0"/>
    <n v="2"/>
    <n v="600.16"/>
    <x v="375"/>
    <x v="0"/>
    <x v="2"/>
    <n v="1200.32"/>
    <n v="1.6904109589041096"/>
    <n v="16"/>
    <n v="5"/>
  </r>
  <r>
    <x v="1384"/>
    <x v="267"/>
    <x v="3"/>
    <n v="3"/>
    <n v="45.45"/>
    <x v="600"/>
    <x v="2"/>
    <x v="4"/>
    <n v="136.35000000000002"/>
    <n v="1.9835616438356165"/>
    <n v="5"/>
    <n v="5"/>
  </r>
  <r>
    <x v="1385"/>
    <x v="268"/>
    <x v="3"/>
    <n v="1"/>
    <n v="15.15"/>
    <x v="473"/>
    <x v="5"/>
    <x v="2"/>
    <n v="15.15"/>
    <n v="0.9123287671232877"/>
    <n v="9"/>
    <n v="5"/>
  </r>
  <r>
    <x v="1386"/>
    <x v="268"/>
    <x v="0"/>
    <n v="5"/>
    <n v="1500.4"/>
    <x v="108"/>
    <x v="5"/>
    <x v="2"/>
    <n v="7502"/>
    <n v="0.63013698630136983"/>
    <n v="5"/>
    <n v="5"/>
  </r>
  <r>
    <x v="1387"/>
    <x v="268"/>
    <x v="2"/>
    <n v="4"/>
    <n v="20.92"/>
    <x v="150"/>
    <x v="4"/>
    <x v="0"/>
    <n v="83.68"/>
    <n v="1.6849315068493151"/>
    <n v="36"/>
    <n v="5"/>
  </r>
  <r>
    <x v="1388"/>
    <x v="269"/>
    <x v="0"/>
    <n v="2"/>
    <n v="600.16"/>
    <x v="618"/>
    <x v="6"/>
    <x v="2"/>
    <n v="1200.32"/>
    <n v="1.5753424657534247"/>
    <n v="15"/>
    <n v="5"/>
  </r>
  <r>
    <x v="1389"/>
    <x v="269"/>
    <x v="6"/>
    <n v="3"/>
    <n v="107.52"/>
    <x v="471"/>
    <x v="4"/>
    <x v="4"/>
    <n v="322.56"/>
    <n v="1.2493150684931507"/>
    <n v="14"/>
    <n v="5"/>
  </r>
  <r>
    <x v="1390"/>
    <x v="270"/>
    <x v="2"/>
    <n v="3"/>
    <n v="15.69"/>
    <x v="104"/>
    <x v="9"/>
    <x v="3"/>
    <n v="47.07"/>
    <n v="1.6410958904109589"/>
    <n v="19"/>
    <n v="5"/>
  </r>
  <r>
    <x v="1391"/>
    <x v="270"/>
    <x v="1"/>
    <n v="5"/>
    <n v="203.3"/>
    <x v="339"/>
    <x v="6"/>
    <x v="2"/>
    <n v="1016.5"/>
    <n v="1.989041095890411"/>
    <n v="20"/>
    <n v="5"/>
  </r>
  <r>
    <x v="1392"/>
    <x v="270"/>
    <x v="2"/>
    <n v="5"/>
    <n v="26.15"/>
    <x v="125"/>
    <x v="1"/>
    <x v="4"/>
    <n v="130.75"/>
    <n v="1.3698630136986301"/>
    <n v="7"/>
    <n v="7"/>
  </r>
  <r>
    <x v="1393"/>
    <x v="270"/>
    <x v="6"/>
    <n v="2"/>
    <n v="71.680000000000007"/>
    <x v="416"/>
    <x v="5"/>
    <x v="0"/>
    <n v="143.36000000000001"/>
    <n v="1.0082191780821919"/>
    <n v="13"/>
    <n v="10"/>
  </r>
  <r>
    <x v="1394"/>
    <x v="271"/>
    <x v="2"/>
    <n v="3"/>
    <n v="15.69"/>
    <x v="183"/>
    <x v="8"/>
    <x v="3"/>
    <n v="47.07"/>
    <n v="2.0684931506849313"/>
    <n v="34"/>
    <n v="5"/>
  </r>
  <r>
    <x v="1395"/>
    <x v="271"/>
    <x v="2"/>
    <n v="1"/>
    <n v="5.23"/>
    <x v="80"/>
    <x v="6"/>
    <x v="0"/>
    <n v="5.23"/>
    <n v="1.8958904109589041"/>
    <n v="12"/>
    <n v="5"/>
  </r>
  <r>
    <x v="1396"/>
    <x v="271"/>
    <x v="6"/>
    <n v="3"/>
    <n v="107.52"/>
    <x v="600"/>
    <x v="6"/>
    <x v="4"/>
    <n v="322.56"/>
    <n v="0.99726027397260275"/>
    <n v="8"/>
    <n v="5"/>
  </r>
  <r>
    <x v="1397"/>
    <x v="271"/>
    <x v="0"/>
    <n v="4"/>
    <n v="1200.32"/>
    <x v="47"/>
    <x v="6"/>
    <x v="3"/>
    <n v="4801.28"/>
    <n v="1.3945205479452054"/>
    <n v="9"/>
    <n v="5"/>
  </r>
  <r>
    <x v="1398"/>
    <x v="271"/>
    <x v="7"/>
    <n v="3"/>
    <n v="35.19"/>
    <x v="333"/>
    <x v="3"/>
    <x v="2"/>
    <n v="105.57"/>
    <n v="0.51506849315068493"/>
    <n v="15"/>
    <n v="7"/>
  </r>
  <r>
    <x v="1399"/>
    <x v="271"/>
    <x v="4"/>
    <n v="4"/>
    <n v="4200"/>
    <x v="506"/>
    <x v="5"/>
    <x v="4"/>
    <n v="16800"/>
    <n v="2.0136986301369864"/>
    <n v="12"/>
    <n v="7"/>
  </r>
  <r>
    <x v="1400"/>
    <x v="271"/>
    <x v="2"/>
    <n v="4"/>
    <n v="20.92"/>
    <x v="237"/>
    <x v="6"/>
    <x v="4"/>
    <n v="83.68"/>
    <n v="1.4493150684931506"/>
    <n v="24"/>
    <n v="7"/>
  </r>
  <r>
    <x v="1401"/>
    <x v="272"/>
    <x v="0"/>
    <n v="5"/>
    <n v="1500.4"/>
    <x v="661"/>
    <x v="7"/>
    <x v="4"/>
    <n v="7502"/>
    <n v="1.0849315068493151"/>
    <n v="5"/>
    <n v="5"/>
  </r>
  <r>
    <x v="1402"/>
    <x v="272"/>
    <x v="0"/>
    <n v="2"/>
    <n v="600.16"/>
    <x v="662"/>
    <x v="2"/>
    <x v="1"/>
    <n v="1200.32"/>
    <n v="1.9013698630136986"/>
    <n v="7"/>
    <n v="5"/>
  </r>
  <r>
    <x v="1403"/>
    <x v="272"/>
    <x v="3"/>
    <n v="5"/>
    <n v="75.75"/>
    <x v="429"/>
    <x v="8"/>
    <x v="3"/>
    <n v="378.75"/>
    <n v="1.452054794520548"/>
    <n v="8"/>
    <n v="5"/>
  </r>
  <r>
    <x v="1404"/>
    <x v="272"/>
    <x v="0"/>
    <n v="5"/>
    <n v="1500.4"/>
    <x v="374"/>
    <x v="1"/>
    <x v="2"/>
    <n v="7502"/>
    <n v="1.9506849315068493"/>
    <n v="18"/>
    <n v="5"/>
  </r>
  <r>
    <x v="1405"/>
    <x v="272"/>
    <x v="2"/>
    <n v="4"/>
    <n v="20.92"/>
    <x v="406"/>
    <x v="4"/>
    <x v="1"/>
    <n v="83.68"/>
    <n v="1.736986301369863"/>
    <n v="19"/>
    <n v="5"/>
  </r>
  <r>
    <x v="1406"/>
    <x v="272"/>
    <x v="7"/>
    <n v="3"/>
    <n v="35.19"/>
    <x v="102"/>
    <x v="6"/>
    <x v="4"/>
    <n v="105.57"/>
    <n v="1.7945205479452055"/>
    <n v="8"/>
    <n v="5"/>
  </r>
  <r>
    <x v="1407"/>
    <x v="272"/>
    <x v="6"/>
    <n v="3"/>
    <n v="107.52"/>
    <x v="236"/>
    <x v="0"/>
    <x v="0"/>
    <n v="322.56"/>
    <n v="1.8191780821917809"/>
    <n v="21"/>
    <n v="7"/>
  </r>
  <r>
    <x v="1408"/>
    <x v="272"/>
    <x v="0"/>
    <n v="1"/>
    <n v="300.08"/>
    <x v="96"/>
    <x v="1"/>
    <x v="0"/>
    <n v="300.08"/>
    <n v="1.4794520547945205"/>
    <n v="10"/>
    <n v="7"/>
  </r>
  <r>
    <x v="1409"/>
    <x v="273"/>
    <x v="0"/>
    <n v="2"/>
    <n v="600.16"/>
    <x v="207"/>
    <x v="5"/>
    <x v="1"/>
    <n v="1200.32"/>
    <n v="1.6164383561643836"/>
    <n v="9"/>
    <n v="5"/>
  </r>
  <r>
    <x v="1410"/>
    <x v="273"/>
    <x v="0"/>
    <n v="5"/>
    <n v="1500.4"/>
    <x v="575"/>
    <x v="1"/>
    <x v="0"/>
    <n v="7502"/>
    <n v="1.4"/>
    <n v="19"/>
    <n v="5"/>
  </r>
  <r>
    <x v="1411"/>
    <x v="273"/>
    <x v="2"/>
    <n v="1"/>
    <n v="5.23"/>
    <x v="153"/>
    <x v="0"/>
    <x v="2"/>
    <n v="5.23"/>
    <n v="0.64657534246575343"/>
    <n v="10"/>
    <n v="7"/>
  </r>
  <r>
    <x v="1412"/>
    <x v="273"/>
    <x v="5"/>
    <n v="5"/>
    <n v="3000.85"/>
    <x v="19"/>
    <x v="6"/>
    <x v="2"/>
    <n v="15004.25"/>
    <n v="0.29589041095890412"/>
    <n v="11"/>
    <n v="7"/>
  </r>
  <r>
    <x v="1413"/>
    <x v="274"/>
    <x v="0"/>
    <n v="1"/>
    <n v="300.08"/>
    <x v="167"/>
    <x v="4"/>
    <x v="2"/>
    <n v="300.08"/>
    <n v="1.9917808219178081"/>
    <n v="13"/>
    <n v="5"/>
  </r>
  <r>
    <x v="1414"/>
    <x v="274"/>
    <x v="6"/>
    <n v="4"/>
    <n v="143.36000000000001"/>
    <x v="646"/>
    <x v="0"/>
    <x v="1"/>
    <n v="573.44000000000005"/>
    <n v="1.3753424657534246"/>
    <n v="25"/>
    <n v="5"/>
  </r>
  <r>
    <x v="1415"/>
    <x v="274"/>
    <x v="2"/>
    <n v="2"/>
    <n v="10.46"/>
    <x v="663"/>
    <x v="4"/>
    <x v="0"/>
    <n v="20.92"/>
    <n v="1.3041095890410959"/>
    <n v="23"/>
    <n v="5"/>
  </r>
  <r>
    <x v="1416"/>
    <x v="275"/>
    <x v="1"/>
    <n v="4"/>
    <n v="162.63999999999999"/>
    <x v="174"/>
    <x v="6"/>
    <x v="0"/>
    <n v="650.55999999999995"/>
    <n v="1.6191780821917807"/>
    <n v="14"/>
    <n v="5"/>
  </r>
  <r>
    <x v="1417"/>
    <x v="275"/>
    <x v="0"/>
    <n v="2"/>
    <n v="600.16"/>
    <x v="107"/>
    <x v="6"/>
    <x v="2"/>
    <n v="1200.32"/>
    <n v="1.4904109589041097"/>
    <n v="27"/>
    <n v="5"/>
  </r>
  <r>
    <x v="1418"/>
    <x v="275"/>
    <x v="4"/>
    <n v="5"/>
    <n v="5250"/>
    <x v="664"/>
    <x v="9"/>
    <x v="0"/>
    <n v="26250"/>
    <n v="1.4931506849315068"/>
    <n v="14"/>
    <n v="7"/>
  </r>
  <r>
    <x v="1419"/>
    <x v="275"/>
    <x v="1"/>
    <n v="1"/>
    <n v="40.659999999999997"/>
    <x v="273"/>
    <x v="6"/>
    <x v="4"/>
    <n v="40.659999999999997"/>
    <n v="0.20547945205479451"/>
    <n v="7"/>
    <n v="7"/>
  </r>
  <r>
    <x v="1420"/>
    <x v="275"/>
    <x v="5"/>
    <n v="1"/>
    <n v="600.16999999999996"/>
    <x v="237"/>
    <x v="5"/>
    <x v="3"/>
    <n v="600.16999999999996"/>
    <n v="1.7561643835616438"/>
    <n v="28"/>
    <n v="7"/>
  </r>
  <r>
    <x v="1421"/>
    <x v="275"/>
    <x v="3"/>
    <n v="1"/>
    <n v="15.15"/>
    <x v="156"/>
    <x v="5"/>
    <x v="3"/>
    <n v="15.15"/>
    <n v="1.3068493150684932"/>
    <n v="17"/>
    <n v="10"/>
  </r>
  <r>
    <x v="1422"/>
    <x v="276"/>
    <x v="2"/>
    <n v="3"/>
    <n v="15.69"/>
    <x v="627"/>
    <x v="1"/>
    <x v="3"/>
    <n v="47.07"/>
    <n v="1.904109589041096"/>
    <n v="6"/>
    <n v="5"/>
  </r>
  <r>
    <x v="1423"/>
    <x v="276"/>
    <x v="4"/>
    <n v="3"/>
    <n v="3150"/>
    <x v="22"/>
    <x v="1"/>
    <x v="3"/>
    <n v="9450"/>
    <n v="1.4164383561643836"/>
    <n v="11"/>
    <n v="5"/>
  </r>
  <r>
    <x v="1424"/>
    <x v="276"/>
    <x v="5"/>
    <n v="5"/>
    <n v="3000.85"/>
    <x v="364"/>
    <x v="9"/>
    <x v="3"/>
    <n v="15004.25"/>
    <n v="1.1863013698630136"/>
    <n v="3"/>
    <n v="5"/>
  </r>
  <r>
    <x v="1425"/>
    <x v="276"/>
    <x v="0"/>
    <n v="3"/>
    <n v="900.24"/>
    <x v="546"/>
    <x v="0"/>
    <x v="2"/>
    <n v="2700.7200000000003"/>
    <n v="1.747945205479452"/>
    <n v="13"/>
    <n v="7"/>
  </r>
  <r>
    <x v="1426"/>
    <x v="276"/>
    <x v="0"/>
    <n v="1"/>
    <n v="300.08"/>
    <x v="11"/>
    <x v="1"/>
    <x v="0"/>
    <n v="300.08"/>
    <n v="1.3205479452054794"/>
    <n v="20"/>
    <n v="7"/>
  </r>
  <r>
    <x v="1427"/>
    <x v="277"/>
    <x v="7"/>
    <n v="2"/>
    <n v="23.46"/>
    <x v="159"/>
    <x v="9"/>
    <x v="1"/>
    <n v="46.92"/>
    <n v="2.0684931506849313"/>
    <n v="24"/>
    <n v="5"/>
  </r>
  <r>
    <x v="1428"/>
    <x v="277"/>
    <x v="2"/>
    <n v="4"/>
    <n v="20.92"/>
    <x v="365"/>
    <x v="0"/>
    <x v="3"/>
    <n v="83.68"/>
    <n v="1.4657534246575343"/>
    <n v="27"/>
    <n v="7"/>
  </r>
  <r>
    <x v="1429"/>
    <x v="277"/>
    <x v="0"/>
    <n v="1"/>
    <n v="300.08"/>
    <x v="421"/>
    <x v="4"/>
    <x v="2"/>
    <n v="300.08"/>
    <n v="1.7561643835616438"/>
    <n v="12"/>
    <n v="7"/>
  </r>
  <r>
    <x v="1430"/>
    <x v="277"/>
    <x v="6"/>
    <n v="1"/>
    <n v="35.840000000000003"/>
    <x v="219"/>
    <x v="5"/>
    <x v="3"/>
    <n v="35.840000000000003"/>
    <n v="1.6739726027397259"/>
    <n v="27"/>
    <n v="7"/>
  </r>
  <r>
    <x v="1431"/>
    <x v="277"/>
    <x v="1"/>
    <n v="2"/>
    <n v="81.319999999999993"/>
    <x v="247"/>
    <x v="0"/>
    <x v="0"/>
    <n v="162.63999999999999"/>
    <n v="1.7753424657534247"/>
    <n v="21"/>
    <n v="10"/>
  </r>
  <r>
    <x v="1432"/>
    <x v="278"/>
    <x v="6"/>
    <n v="1"/>
    <n v="35.840000000000003"/>
    <x v="366"/>
    <x v="1"/>
    <x v="2"/>
    <n v="35.840000000000003"/>
    <n v="4.6575342465753428E-2"/>
    <n v="7"/>
    <n v="5"/>
  </r>
  <r>
    <x v="1433"/>
    <x v="278"/>
    <x v="7"/>
    <n v="5"/>
    <n v="58.65"/>
    <x v="664"/>
    <x v="0"/>
    <x v="2"/>
    <n v="293.25"/>
    <n v="0.65753424657534243"/>
    <n v="9"/>
    <n v="7"/>
  </r>
  <r>
    <x v="1434"/>
    <x v="279"/>
    <x v="0"/>
    <n v="2"/>
    <n v="600.16"/>
    <x v="238"/>
    <x v="8"/>
    <x v="1"/>
    <n v="1200.32"/>
    <n v="0.77260273972602744"/>
    <n v="10"/>
    <n v="5"/>
  </r>
  <r>
    <x v="1435"/>
    <x v="279"/>
    <x v="1"/>
    <n v="5"/>
    <n v="203.3"/>
    <x v="369"/>
    <x v="7"/>
    <x v="2"/>
    <n v="1016.5"/>
    <n v="0.85479452054794525"/>
    <n v="10"/>
    <n v="5"/>
  </r>
  <r>
    <x v="1436"/>
    <x v="279"/>
    <x v="6"/>
    <n v="3"/>
    <n v="107.52"/>
    <x v="490"/>
    <x v="2"/>
    <x v="4"/>
    <n v="322.56"/>
    <n v="1.0356164383561643"/>
    <n v="8"/>
    <n v="5"/>
  </r>
  <r>
    <x v="1437"/>
    <x v="279"/>
    <x v="0"/>
    <n v="2"/>
    <n v="600.16"/>
    <x v="295"/>
    <x v="6"/>
    <x v="2"/>
    <n v="1200.32"/>
    <n v="1.8547945205479452"/>
    <n v="16"/>
    <n v="5"/>
  </r>
  <r>
    <x v="1438"/>
    <x v="279"/>
    <x v="6"/>
    <n v="3"/>
    <n v="107.52"/>
    <x v="254"/>
    <x v="0"/>
    <x v="4"/>
    <n v="322.56"/>
    <n v="1.526027397260274"/>
    <n v="16"/>
    <n v="7"/>
  </r>
  <r>
    <x v="1439"/>
    <x v="279"/>
    <x v="0"/>
    <n v="3"/>
    <n v="900.24"/>
    <x v="513"/>
    <x v="5"/>
    <x v="4"/>
    <n v="2700.7200000000003"/>
    <n v="1"/>
    <n v="15"/>
    <n v="7"/>
  </r>
  <r>
    <x v="1440"/>
    <x v="279"/>
    <x v="1"/>
    <n v="5"/>
    <n v="203.3"/>
    <x v="554"/>
    <x v="2"/>
    <x v="0"/>
    <n v="1016.5"/>
    <n v="1.3561643835616439"/>
    <n v="9"/>
    <n v="10"/>
  </r>
  <r>
    <x v="1441"/>
    <x v="279"/>
    <x v="6"/>
    <n v="5"/>
    <n v="179.2"/>
    <x v="452"/>
    <x v="9"/>
    <x v="4"/>
    <n v="896"/>
    <n v="2.0739726027397261"/>
    <n v="13"/>
    <n v="10"/>
  </r>
  <r>
    <x v="1442"/>
    <x v="280"/>
    <x v="0"/>
    <n v="1"/>
    <n v="300.08"/>
    <x v="174"/>
    <x v="0"/>
    <x v="0"/>
    <n v="300.08"/>
    <n v="1.1342465753424658"/>
    <n v="19"/>
    <n v="5"/>
  </r>
  <r>
    <x v="1443"/>
    <x v="280"/>
    <x v="1"/>
    <n v="5"/>
    <n v="203.3"/>
    <x v="141"/>
    <x v="1"/>
    <x v="0"/>
    <n v="1016.5"/>
    <n v="1.2383561643835617"/>
    <n v="16"/>
    <n v="5"/>
  </r>
  <r>
    <x v="1444"/>
    <x v="280"/>
    <x v="0"/>
    <n v="4"/>
    <n v="1200.32"/>
    <x v="515"/>
    <x v="2"/>
    <x v="3"/>
    <n v="4801.28"/>
    <n v="1.5561643835616439"/>
    <n v="25"/>
    <n v="7"/>
  </r>
  <r>
    <x v="1445"/>
    <x v="280"/>
    <x v="2"/>
    <n v="1"/>
    <n v="5.23"/>
    <x v="665"/>
    <x v="4"/>
    <x v="4"/>
    <n v="5.23"/>
    <n v="1.515068493150685"/>
    <n v="9"/>
    <n v="7"/>
  </r>
  <r>
    <x v="1446"/>
    <x v="280"/>
    <x v="1"/>
    <n v="3"/>
    <n v="121.98"/>
    <x v="666"/>
    <x v="7"/>
    <x v="4"/>
    <n v="365.94"/>
    <n v="1.4657534246575343"/>
    <n v="17"/>
    <n v="10"/>
  </r>
  <r>
    <x v="1447"/>
    <x v="281"/>
    <x v="2"/>
    <n v="5"/>
    <n v="26.15"/>
    <x v="240"/>
    <x v="9"/>
    <x v="4"/>
    <n v="130.75"/>
    <n v="1.441095890410959"/>
    <n v="18"/>
    <n v="5"/>
  </r>
  <r>
    <x v="1448"/>
    <x v="281"/>
    <x v="2"/>
    <n v="1"/>
    <n v="5.23"/>
    <x v="338"/>
    <x v="9"/>
    <x v="1"/>
    <n v="5.23"/>
    <n v="0.54520547945205478"/>
    <n v="10"/>
    <n v="5"/>
  </r>
  <r>
    <x v="1449"/>
    <x v="281"/>
    <x v="6"/>
    <n v="1"/>
    <n v="35.840000000000003"/>
    <x v="340"/>
    <x v="5"/>
    <x v="2"/>
    <n v="35.840000000000003"/>
    <n v="1.8657534246575342"/>
    <n v="24"/>
    <n v="7"/>
  </r>
  <r>
    <x v="1450"/>
    <x v="281"/>
    <x v="1"/>
    <n v="5"/>
    <n v="203.3"/>
    <x v="607"/>
    <x v="0"/>
    <x v="2"/>
    <n v="1016.5"/>
    <n v="0.58356164383561648"/>
    <n v="14"/>
    <n v="7"/>
  </r>
  <r>
    <x v="1451"/>
    <x v="281"/>
    <x v="0"/>
    <n v="5"/>
    <n v="1500.4"/>
    <x v="155"/>
    <x v="9"/>
    <x v="4"/>
    <n v="7502"/>
    <n v="1.2547945205479452"/>
    <n v="13"/>
    <n v="10"/>
  </r>
  <r>
    <x v="1452"/>
    <x v="282"/>
    <x v="4"/>
    <n v="1"/>
    <n v="1050"/>
    <x v="598"/>
    <x v="0"/>
    <x v="3"/>
    <n v="1050"/>
    <n v="1.6438356164383561"/>
    <n v="18"/>
    <n v="5"/>
  </r>
  <r>
    <x v="1453"/>
    <x v="282"/>
    <x v="0"/>
    <n v="5"/>
    <n v="1500.4"/>
    <x v="186"/>
    <x v="6"/>
    <x v="3"/>
    <n v="7502"/>
    <n v="1.0328767123287672"/>
    <n v="22"/>
    <n v="5"/>
  </r>
  <r>
    <x v="1454"/>
    <x v="282"/>
    <x v="6"/>
    <n v="3"/>
    <n v="107.52"/>
    <x v="538"/>
    <x v="0"/>
    <x v="3"/>
    <n v="322.56"/>
    <n v="0"/>
    <n v="3"/>
    <n v="5"/>
  </r>
  <r>
    <x v="1455"/>
    <x v="282"/>
    <x v="0"/>
    <n v="2"/>
    <n v="600.16"/>
    <x v="479"/>
    <x v="4"/>
    <x v="2"/>
    <n v="1200.32"/>
    <n v="1.5753424657534247"/>
    <n v="14"/>
    <n v="5"/>
  </r>
  <r>
    <x v="1456"/>
    <x v="282"/>
    <x v="6"/>
    <n v="1"/>
    <n v="35.840000000000003"/>
    <x v="577"/>
    <x v="6"/>
    <x v="0"/>
    <n v="35.840000000000003"/>
    <n v="1.1506849315068493"/>
    <n v="17"/>
    <n v="7"/>
  </r>
  <r>
    <x v="1457"/>
    <x v="282"/>
    <x v="2"/>
    <n v="5"/>
    <n v="26.15"/>
    <x v="667"/>
    <x v="6"/>
    <x v="0"/>
    <n v="130.75"/>
    <n v="0.89863013698630134"/>
    <n v="9"/>
    <n v="7"/>
  </r>
  <r>
    <x v="1458"/>
    <x v="282"/>
    <x v="4"/>
    <n v="5"/>
    <n v="5250"/>
    <x v="197"/>
    <x v="8"/>
    <x v="3"/>
    <n v="26250"/>
    <n v="1.8520547945205479"/>
    <n v="18"/>
    <n v="10"/>
  </r>
  <r>
    <x v="1459"/>
    <x v="283"/>
    <x v="7"/>
    <n v="2"/>
    <n v="23.46"/>
    <x v="131"/>
    <x v="1"/>
    <x v="2"/>
    <n v="46.92"/>
    <n v="1.7616438356164383"/>
    <n v="8"/>
    <n v="5"/>
  </r>
  <r>
    <x v="1460"/>
    <x v="283"/>
    <x v="7"/>
    <n v="2"/>
    <n v="23.46"/>
    <x v="43"/>
    <x v="6"/>
    <x v="0"/>
    <n v="46.92"/>
    <n v="0.95342465753424654"/>
    <n v="3"/>
    <n v="5"/>
  </r>
  <r>
    <x v="1461"/>
    <x v="283"/>
    <x v="4"/>
    <n v="4"/>
    <n v="4200"/>
    <x v="593"/>
    <x v="6"/>
    <x v="1"/>
    <n v="16800"/>
    <n v="1.7698630136986302"/>
    <n v="27"/>
    <n v="5"/>
  </r>
  <r>
    <x v="1462"/>
    <x v="283"/>
    <x v="5"/>
    <n v="1"/>
    <n v="600.16999999999996"/>
    <x v="569"/>
    <x v="6"/>
    <x v="0"/>
    <n v="600.16999999999996"/>
    <n v="1.3561643835616439"/>
    <n v="11"/>
    <n v="5"/>
  </r>
  <r>
    <x v="1463"/>
    <x v="283"/>
    <x v="2"/>
    <n v="1"/>
    <n v="5.23"/>
    <x v="612"/>
    <x v="0"/>
    <x v="0"/>
    <n v="5.23"/>
    <n v="1.1452054794520548"/>
    <n v="11"/>
    <n v="7"/>
  </r>
  <r>
    <x v="1464"/>
    <x v="283"/>
    <x v="7"/>
    <n v="4"/>
    <n v="46.92"/>
    <x v="668"/>
    <x v="5"/>
    <x v="1"/>
    <n v="187.68"/>
    <n v="1.3178082191780822"/>
    <n v="14"/>
    <n v="7"/>
  </r>
  <r>
    <x v="1465"/>
    <x v="284"/>
    <x v="0"/>
    <n v="5"/>
    <n v="1500.4"/>
    <x v="121"/>
    <x v="8"/>
    <x v="2"/>
    <n v="7502"/>
    <n v="1.5123287671232877"/>
    <n v="7"/>
    <n v="5"/>
  </r>
  <r>
    <x v="1466"/>
    <x v="284"/>
    <x v="6"/>
    <n v="4"/>
    <n v="143.36000000000001"/>
    <x v="669"/>
    <x v="6"/>
    <x v="2"/>
    <n v="573.44000000000005"/>
    <n v="0.60821917808219184"/>
    <n v="7"/>
    <n v="5"/>
  </r>
  <r>
    <x v="1467"/>
    <x v="284"/>
    <x v="2"/>
    <n v="4"/>
    <n v="20.92"/>
    <x v="460"/>
    <x v="5"/>
    <x v="4"/>
    <n v="83.68"/>
    <n v="0"/>
    <n v="4"/>
    <n v="7"/>
  </r>
  <r>
    <x v="1468"/>
    <x v="284"/>
    <x v="1"/>
    <n v="4"/>
    <n v="162.63999999999999"/>
    <x v="24"/>
    <x v="6"/>
    <x v="3"/>
    <n v="650.55999999999995"/>
    <n v="1.9205479452054794"/>
    <n v="24"/>
    <n v="7"/>
  </r>
  <r>
    <x v="1469"/>
    <x v="284"/>
    <x v="2"/>
    <n v="3"/>
    <n v="15.69"/>
    <x v="350"/>
    <x v="6"/>
    <x v="4"/>
    <n v="47.07"/>
    <n v="1.484931506849315"/>
    <n v="15"/>
    <n v="7"/>
  </r>
  <r>
    <x v="1470"/>
    <x v="284"/>
    <x v="0"/>
    <n v="3"/>
    <n v="900.24"/>
    <x v="12"/>
    <x v="6"/>
    <x v="1"/>
    <n v="2700.7200000000003"/>
    <n v="1.6602739726027398"/>
    <n v="20"/>
    <n v="7"/>
  </r>
  <r>
    <x v="1471"/>
    <x v="284"/>
    <x v="0"/>
    <n v="1"/>
    <n v="300.08"/>
    <x v="219"/>
    <x v="6"/>
    <x v="4"/>
    <n v="300.08"/>
    <n v="1.7095890410958905"/>
    <n v="18"/>
    <n v="7"/>
  </r>
  <r>
    <x v="1472"/>
    <x v="285"/>
    <x v="0"/>
    <n v="4"/>
    <n v="1200.32"/>
    <x v="495"/>
    <x v="3"/>
    <x v="0"/>
    <n v="4801.28"/>
    <n v="1.5013698630136987"/>
    <n v="18"/>
    <n v="5"/>
  </r>
  <r>
    <x v="1473"/>
    <x v="285"/>
    <x v="2"/>
    <n v="4"/>
    <n v="20.92"/>
    <x v="670"/>
    <x v="4"/>
    <x v="2"/>
    <n v="83.68"/>
    <n v="0.92328767123287669"/>
    <n v="17"/>
    <n v="5"/>
  </r>
  <r>
    <x v="1474"/>
    <x v="285"/>
    <x v="2"/>
    <n v="5"/>
    <n v="26.15"/>
    <x v="181"/>
    <x v="9"/>
    <x v="4"/>
    <n v="130.75"/>
    <n v="0.88219178082191785"/>
    <n v="11"/>
    <n v="7"/>
  </r>
  <r>
    <x v="1475"/>
    <x v="285"/>
    <x v="0"/>
    <n v="4"/>
    <n v="1200.32"/>
    <x v="390"/>
    <x v="0"/>
    <x v="0"/>
    <n v="4801.28"/>
    <n v="1.9013698630136986"/>
    <n v="13"/>
    <n v="7"/>
  </r>
  <r>
    <x v="1476"/>
    <x v="285"/>
    <x v="0"/>
    <n v="1"/>
    <n v="300.08"/>
    <x v="250"/>
    <x v="6"/>
    <x v="0"/>
    <n v="300.08"/>
    <n v="1.5753424657534247"/>
    <n v="13"/>
    <n v="7"/>
  </r>
  <r>
    <x v="1477"/>
    <x v="285"/>
    <x v="2"/>
    <n v="5"/>
    <n v="26.15"/>
    <x v="658"/>
    <x v="6"/>
    <x v="0"/>
    <n v="130.75"/>
    <n v="0.29863013698630136"/>
    <n v="5"/>
    <n v="10"/>
  </r>
  <r>
    <x v="1478"/>
    <x v="286"/>
    <x v="1"/>
    <n v="3"/>
    <n v="121.98"/>
    <x v="136"/>
    <x v="7"/>
    <x v="2"/>
    <n v="365.94"/>
    <n v="1.5397260273972602"/>
    <n v="17"/>
    <n v="5"/>
  </r>
  <r>
    <x v="1479"/>
    <x v="286"/>
    <x v="2"/>
    <n v="3"/>
    <n v="15.69"/>
    <x v="198"/>
    <x v="8"/>
    <x v="1"/>
    <n v="47.07"/>
    <n v="0.91506849315068495"/>
    <n v="16"/>
    <n v="5"/>
  </r>
  <r>
    <x v="1480"/>
    <x v="286"/>
    <x v="5"/>
    <n v="4"/>
    <n v="2400.6799999999998"/>
    <x v="76"/>
    <x v="0"/>
    <x v="4"/>
    <n v="9602.7199999999993"/>
    <n v="1.8657534246575342"/>
    <n v="21"/>
    <n v="7"/>
  </r>
  <r>
    <x v="1481"/>
    <x v="286"/>
    <x v="3"/>
    <n v="3"/>
    <n v="45.45"/>
    <x v="340"/>
    <x v="5"/>
    <x v="1"/>
    <n v="136.35000000000002"/>
    <n v="0.66301369863013704"/>
    <n v="9"/>
    <n v="7"/>
  </r>
  <r>
    <x v="1482"/>
    <x v="286"/>
    <x v="0"/>
    <n v="4"/>
    <n v="1200.32"/>
    <x v="671"/>
    <x v="0"/>
    <x v="1"/>
    <n v="4801.28"/>
    <n v="1.3863013698630138"/>
    <n v="23"/>
    <n v="7"/>
  </r>
  <r>
    <x v="1483"/>
    <x v="287"/>
    <x v="0"/>
    <n v="5"/>
    <n v="1500.4"/>
    <x v="672"/>
    <x v="2"/>
    <x v="4"/>
    <n v="7502"/>
    <n v="1.0876712328767124"/>
    <n v="13"/>
    <n v="5"/>
  </r>
  <r>
    <x v="1484"/>
    <x v="287"/>
    <x v="2"/>
    <n v="4"/>
    <n v="20.92"/>
    <x v="89"/>
    <x v="9"/>
    <x v="0"/>
    <n v="83.68"/>
    <n v="1.5041095890410958"/>
    <n v="14"/>
    <n v="5"/>
  </r>
  <r>
    <x v="1485"/>
    <x v="287"/>
    <x v="0"/>
    <n v="4"/>
    <n v="1200.32"/>
    <x v="569"/>
    <x v="6"/>
    <x v="1"/>
    <n v="4801.28"/>
    <n v="1.1506849315068493"/>
    <n v="22"/>
    <n v="5"/>
  </r>
  <r>
    <x v="1486"/>
    <x v="287"/>
    <x v="7"/>
    <n v="4"/>
    <n v="46.92"/>
    <x v="673"/>
    <x v="4"/>
    <x v="2"/>
    <n v="187.68"/>
    <n v="1.978082191780822"/>
    <n v="25"/>
    <n v="7"/>
  </r>
  <r>
    <x v="1487"/>
    <x v="288"/>
    <x v="6"/>
    <n v="3"/>
    <n v="107.52"/>
    <x v="485"/>
    <x v="5"/>
    <x v="0"/>
    <n v="322.56"/>
    <n v="1.8794520547945206"/>
    <n v="10"/>
    <n v="5"/>
  </r>
  <r>
    <x v="1488"/>
    <x v="288"/>
    <x v="3"/>
    <n v="1"/>
    <n v="15.15"/>
    <x v="280"/>
    <x v="6"/>
    <x v="1"/>
    <n v="15.15"/>
    <n v="1.7616438356164383"/>
    <n v="32"/>
    <n v="7"/>
  </r>
  <r>
    <x v="1489"/>
    <x v="288"/>
    <x v="5"/>
    <n v="5"/>
    <n v="3000.85"/>
    <x v="110"/>
    <x v="6"/>
    <x v="2"/>
    <n v="15004.25"/>
    <n v="1.2"/>
    <n v="9"/>
    <n v="7"/>
  </r>
  <r>
    <x v="1490"/>
    <x v="288"/>
    <x v="0"/>
    <n v="4"/>
    <n v="1200.32"/>
    <x v="234"/>
    <x v="3"/>
    <x v="3"/>
    <n v="4801.28"/>
    <n v="0.91506849315068495"/>
    <n v="7"/>
    <n v="7"/>
  </r>
  <r>
    <x v="1491"/>
    <x v="288"/>
    <x v="3"/>
    <n v="4"/>
    <n v="60.6"/>
    <x v="631"/>
    <x v="6"/>
    <x v="2"/>
    <n v="242.4"/>
    <n v="1.6520547945205479"/>
    <n v="10"/>
    <n v="7"/>
  </r>
  <r>
    <x v="1492"/>
    <x v="288"/>
    <x v="4"/>
    <n v="1"/>
    <n v="1050"/>
    <x v="156"/>
    <x v="2"/>
    <x v="3"/>
    <n v="1050"/>
    <n v="1.4383561643835616"/>
    <n v="16"/>
    <n v="10"/>
  </r>
  <r>
    <x v="1493"/>
    <x v="289"/>
    <x v="0"/>
    <n v="1"/>
    <n v="300.08"/>
    <x v="63"/>
    <x v="0"/>
    <x v="4"/>
    <n v="300.08"/>
    <n v="1.7589041095890412"/>
    <n v="35"/>
    <n v="5"/>
  </r>
  <r>
    <x v="1494"/>
    <x v="289"/>
    <x v="0"/>
    <n v="2"/>
    <n v="600.16"/>
    <x v="82"/>
    <x v="6"/>
    <x v="2"/>
    <n v="1200.32"/>
    <n v="2.0684931506849313"/>
    <n v="26"/>
    <n v="5"/>
  </r>
  <r>
    <x v="1495"/>
    <x v="289"/>
    <x v="3"/>
    <n v="1"/>
    <n v="15.15"/>
    <x v="46"/>
    <x v="2"/>
    <x v="1"/>
    <n v="15.15"/>
    <n v="1.8027397260273972"/>
    <n v="11"/>
    <n v="5"/>
  </r>
  <r>
    <x v="1496"/>
    <x v="290"/>
    <x v="0"/>
    <n v="5"/>
    <n v="1500.4"/>
    <x v="618"/>
    <x v="7"/>
    <x v="3"/>
    <n v="7502"/>
    <n v="2.1232876712328768"/>
    <n v="22"/>
    <n v="5"/>
  </r>
  <r>
    <x v="1497"/>
    <x v="290"/>
    <x v="5"/>
    <n v="2"/>
    <n v="1200.3399999999999"/>
    <x v="296"/>
    <x v="0"/>
    <x v="3"/>
    <n v="2400.6799999999998"/>
    <n v="1.1178082191780823"/>
    <n v="13"/>
    <n v="5"/>
  </r>
  <r>
    <x v="1498"/>
    <x v="290"/>
    <x v="1"/>
    <n v="4"/>
    <n v="162.63999999999999"/>
    <x v="382"/>
    <x v="0"/>
    <x v="1"/>
    <n v="650.55999999999995"/>
    <n v="1.9123287671232876"/>
    <n v="14"/>
    <n v="7"/>
  </r>
  <r>
    <x v="1499"/>
    <x v="291"/>
    <x v="3"/>
    <n v="5"/>
    <n v="75.75"/>
    <x v="492"/>
    <x v="0"/>
    <x v="3"/>
    <n v="378.75"/>
    <n v="1.0876712328767124"/>
    <n v="13"/>
    <n v="5"/>
  </r>
  <r>
    <x v="1500"/>
    <x v="291"/>
    <x v="2"/>
    <n v="2"/>
    <n v="10.46"/>
    <x v="599"/>
    <x v="8"/>
    <x v="2"/>
    <n v="20.92"/>
    <n v="0.81917808219178079"/>
    <n v="10"/>
    <n v="5"/>
  </r>
  <r>
    <x v="1501"/>
    <x v="291"/>
    <x v="0"/>
    <n v="4"/>
    <n v="1200.32"/>
    <x v="650"/>
    <x v="0"/>
    <x v="4"/>
    <n v="4801.28"/>
    <n v="0.42191780821917807"/>
    <n v="11"/>
    <n v="5"/>
  </r>
  <r>
    <x v="1502"/>
    <x v="291"/>
    <x v="0"/>
    <n v="3"/>
    <n v="900.24"/>
    <x v="132"/>
    <x v="4"/>
    <x v="4"/>
    <n v="2700.7200000000003"/>
    <n v="1.9315068493150684"/>
    <n v="19"/>
    <n v="5"/>
  </r>
  <r>
    <x v="1503"/>
    <x v="291"/>
    <x v="1"/>
    <n v="2"/>
    <n v="81.319999999999993"/>
    <x v="27"/>
    <x v="4"/>
    <x v="3"/>
    <n v="162.63999999999999"/>
    <n v="1.6219178082191781"/>
    <n v="8"/>
    <n v="5"/>
  </r>
  <r>
    <x v="1504"/>
    <x v="291"/>
    <x v="0"/>
    <n v="1"/>
    <n v="300.08"/>
    <x v="632"/>
    <x v="1"/>
    <x v="2"/>
    <n v="300.08"/>
    <n v="1.5534246575342465"/>
    <n v="14"/>
    <n v="5"/>
  </r>
  <r>
    <x v="1505"/>
    <x v="291"/>
    <x v="0"/>
    <n v="2"/>
    <n v="600.16"/>
    <x v="35"/>
    <x v="1"/>
    <x v="0"/>
    <n v="1200.32"/>
    <n v="1.6794520547945206"/>
    <n v="21"/>
    <n v="7"/>
  </r>
  <r>
    <x v="1506"/>
    <x v="291"/>
    <x v="2"/>
    <n v="1"/>
    <n v="5.23"/>
    <x v="119"/>
    <x v="4"/>
    <x v="0"/>
    <n v="5.23"/>
    <n v="1.8493150684931507"/>
    <n v="18"/>
    <n v="7"/>
  </r>
  <r>
    <x v="1507"/>
    <x v="292"/>
    <x v="0"/>
    <n v="3"/>
    <n v="900.24"/>
    <x v="117"/>
    <x v="6"/>
    <x v="4"/>
    <n v="2700.7200000000003"/>
    <n v="0.78630136986301369"/>
    <n v="13"/>
    <n v="5"/>
  </r>
  <r>
    <x v="1508"/>
    <x v="292"/>
    <x v="1"/>
    <n v="3"/>
    <n v="121.98"/>
    <x v="652"/>
    <x v="6"/>
    <x v="1"/>
    <n v="365.94"/>
    <n v="0.76438356164383559"/>
    <n v="8"/>
    <n v="5"/>
  </r>
  <r>
    <x v="1509"/>
    <x v="292"/>
    <x v="0"/>
    <n v="5"/>
    <n v="1500.4"/>
    <x v="499"/>
    <x v="5"/>
    <x v="1"/>
    <n v="7502"/>
    <n v="1.189041095890411"/>
    <n v="7"/>
    <n v="7"/>
  </r>
  <r>
    <x v="1510"/>
    <x v="292"/>
    <x v="1"/>
    <n v="2"/>
    <n v="81.319999999999993"/>
    <x v="436"/>
    <x v="0"/>
    <x v="3"/>
    <n v="162.63999999999999"/>
    <n v="1.2410958904109588"/>
    <n v="13"/>
    <n v="10"/>
  </r>
  <r>
    <x v="1511"/>
    <x v="293"/>
    <x v="0"/>
    <n v="2"/>
    <n v="600.16"/>
    <x v="494"/>
    <x v="3"/>
    <x v="0"/>
    <n v="1200.32"/>
    <n v="1.4657534246575343"/>
    <n v="15"/>
    <n v="5"/>
  </r>
  <r>
    <x v="1512"/>
    <x v="293"/>
    <x v="2"/>
    <n v="4"/>
    <n v="20.92"/>
    <x v="461"/>
    <x v="6"/>
    <x v="3"/>
    <n v="83.68"/>
    <n v="1.6958904109589041"/>
    <n v="19"/>
    <n v="7"/>
  </r>
  <r>
    <x v="1513"/>
    <x v="293"/>
    <x v="7"/>
    <n v="5"/>
    <n v="58.65"/>
    <x v="674"/>
    <x v="9"/>
    <x v="3"/>
    <n v="293.25"/>
    <n v="1.1945205479452055"/>
    <n v="11"/>
    <n v="7"/>
  </r>
  <r>
    <x v="1514"/>
    <x v="293"/>
    <x v="7"/>
    <n v="3"/>
    <n v="35.19"/>
    <x v="675"/>
    <x v="1"/>
    <x v="4"/>
    <n v="105.57"/>
    <n v="1.6438356164383561"/>
    <n v="25"/>
    <n v="7"/>
  </r>
  <r>
    <x v="1515"/>
    <x v="293"/>
    <x v="4"/>
    <n v="5"/>
    <n v="5250"/>
    <x v="96"/>
    <x v="1"/>
    <x v="3"/>
    <n v="26250"/>
    <n v="0.79452054794520544"/>
    <n v="14"/>
    <n v="7"/>
  </r>
  <r>
    <x v="1516"/>
    <x v="294"/>
    <x v="1"/>
    <n v="3"/>
    <n v="121.98"/>
    <x v="492"/>
    <x v="6"/>
    <x v="3"/>
    <n v="365.94"/>
    <n v="0.34794520547945207"/>
    <n v="6"/>
    <n v="5"/>
  </r>
  <r>
    <x v="1517"/>
    <x v="294"/>
    <x v="6"/>
    <n v="2"/>
    <n v="71.680000000000007"/>
    <x v="28"/>
    <x v="6"/>
    <x v="0"/>
    <n v="143.36000000000001"/>
    <n v="1.8410958904109589"/>
    <n v="19"/>
    <n v="5"/>
  </r>
  <r>
    <x v="1518"/>
    <x v="294"/>
    <x v="6"/>
    <n v="5"/>
    <n v="179.2"/>
    <x v="61"/>
    <x v="9"/>
    <x v="4"/>
    <n v="896"/>
    <n v="1.3123287671232877"/>
    <n v="15"/>
    <n v="10"/>
  </r>
  <r>
    <x v="1519"/>
    <x v="295"/>
    <x v="0"/>
    <n v="5"/>
    <n v="1500.4"/>
    <x v="131"/>
    <x v="0"/>
    <x v="2"/>
    <n v="7502"/>
    <n v="1.7616438356164383"/>
    <n v="13"/>
    <n v="5"/>
  </r>
  <r>
    <x v="1520"/>
    <x v="295"/>
    <x v="5"/>
    <n v="3"/>
    <n v="1800.51"/>
    <x v="173"/>
    <x v="9"/>
    <x v="4"/>
    <n v="5401.53"/>
    <n v="0"/>
    <n v="1"/>
    <n v="5"/>
  </r>
  <r>
    <x v="1521"/>
    <x v="295"/>
    <x v="1"/>
    <n v="3"/>
    <n v="121.98"/>
    <x v="676"/>
    <x v="1"/>
    <x v="4"/>
    <n v="365.94"/>
    <n v="1.8164383561643835"/>
    <n v="21"/>
    <n v="5"/>
  </r>
  <r>
    <x v="1522"/>
    <x v="295"/>
    <x v="3"/>
    <n v="2"/>
    <n v="30.3"/>
    <x v="177"/>
    <x v="3"/>
    <x v="4"/>
    <n v="60.6"/>
    <n v="1.4191780821917808"/>
    <n v="10"/>
    <n v="5"/>
  </r>
  <r>
    <x v="1523"/>
    <x v="295"/>
    <x v="4"/>
    <n v="3"/>
    <n v="3150"/>
    <x v="677"/>
    <x v="0"/>
    <x v="1"/>
    <n v="9450"/>
    <n v="1.8520547945205479"/>
    <n v="16"/>
    <n v="5"/>
  </r>
  <r>
    <x v="1524"/>
    <x v="295"/>
    <x v="5"/>
    <n v="1"/>
    <n v="600.16999999999996"/>
    <x v="404"/>
    <x v="1"/>
    <x v="1"/>
    <n v="600.16999999999996"/>
    <n v="0.16986301369863013"/>
    <n v="2"/>
    <n v="7"/>
  </r>
  <r>
    <x v="1525"/>
    <x v="295"/>
    <x v="1"/>
    <n v="4"/>
    <n v="162.63999999999999"/>
    <x v="24"/>
    <x v="4"/>
    <x v="2"/>
    <n v="650.55999999999995"/>
    <n v="1.4493150684931506"/>
    <n v="20"/>
    <n v="7"/>
  </r>
  <r>
    <x v="1526"/>
    <x v="295"/>
    <x v="4"/>
    <n v="4"/>
    <n v="4200"/>
    <x v="476"/>
    <x v="7"/>
    <x v="2"/>
    <n v="16800"/>
    <n v="0.8"/>
    <n v="13"/>
    <n v="7"/>
  </r>
  <r>
    <x v="1527"/>
    <x v="295"/>
    <x v="2"/>
    <n v="2"/>
    <n v="10.46"/>
    <x v="274"/>
    <x v="6"/>
    <x v="1"/>
    <n v="20.92"/>
    <n v="1.284931506849315"/>
    <n v="14"/>
    <n v="7"/>
  </r>
  <r>
    <x v="1528"/>
    <x v="296"/>
    <x v="5"/>
    <n v="4"/>
    <n v="2400.6799999999998"/>
    <x v="152"/>
    <x v="8"/>
    <x v="1"/>
    <n v="9602.7199999999993"/>
    <n v="1.8383561643835618"/>
    <n v="13"/>
    <n v="7"/>
  </r>
  <r>
    <x v="1529"/>
    <x v="296"/>
    <x v="0"/>
    <n v="1"/>
    <n v="300.08"/>
    <x v="480"/>
    <x v="9"/>
    <x v="1"/>
    <n v="300.08"/>
    <n v="1.6273972602739726"/>
    <n v="19"/>
    <n v="7"/>
  </r>
  <r>
    <x v="1530"/>
    <x v="297"/>
    <x v="5"/>
    <n v="5"/>
    <n v="3000.85"/>
    <x v="68"/>
    <x v="0"/>
    <x v="0"/>
    <n v="15004.25"/>
    <n v="5.4794520547945202E-2"/>
    <n v="7"/>
    <n v="5"/>
  </r>
  <r>
    <x v="1531"/>
    <x v="297"/>
    <x v="5"/>
    <n v="4"/>
    <n v="2400.6799999999998"/>
    <x v="501"/>
    <x v="3"/>
    <x v="2"/>
    <n v="9602.7199999999993"/>
    <n v="1.6684931506849314"/>
    <n v="20"/>
    <n v="5"/>
  </r>
  <r>
    <x v="1532"/>
    <x v="297"/>
    <x v="1"/>
    <n v="1"/>
    <n v="40.659999999999997"/>
    <x v="318"/>
    <x v="9"/>
    <x v="0"/>
    <n v="40.659999999999997"/>
    <n v="1.7698630136986302"/>
    <n v="13"/>
    <n v="5"/>
  </r>
  <r>
    <x v="1533"/>
    <x v="297"/>
    <x v="6"/>
    <n v="1"/>
    <n v="35.840000000000003"/>
    <x v="285"/>
    <x v="4"/>
    <x v="3"/>
    <n v="35.840000000000003"/>
    <n v="1.2164383561643837"/>
    <n v="20"/>
    <n v="5"/>
  </r>
  <r>
    <x v="1534"/>
    <x v="297"/>
    <x v="2"/>
    <n v="3"/>
    <n v="15.69"/>
    <x v="313"/>
    <x v="0"/>
    <x v="0"/>
    <n v="47.07"/>
    <n v="0.18356164383561643"/>
    <n v="6"/>
    <n v="5"/>
  </r>
  <r>
    <x v="1535"/>
    <x v="297"/>
    <x v="6"/>
    <n v="3"/>
    <n v="107.52"/>
    <x v="169"/>
    <x v="0"/>
    <x v="2"/>
    <n v="322.56"/>
    <n v="1.7917808219178082"/>
    <n v="21"/>
    <n v="7"/>
  </r>
  <r>
    <x v="1536"/>
    <x v="297"/>
    <x v="0"/>
    <n v="3"/>
    <n v="900.24"/>
    <x v="153"/>
    <x v="4"/>
    <x v="3"/>
    <n v="2700.7200000000003"/>
    <n v="0.71780821917808224"/>
    <n v="14"/>
    <n v="7"/>
  </r>
  <r>
    <x v="1537"/>
    <x v="297"/>
    <x v="2"/>
    <n v="1"/>
    <n v="5.23"/>
    <x v="514"/>
    <x v="2"/>
    <x v="4"/>
    <n v="5.23"/>
    <n v="1.9178082191780821"/>
    <n v="34"/>
    <n v="7"/>
  </r>
  <r>
    <x v="1538"/>
    <x v="298"/>
    <x v="2"/>
    <n v="2"/>
    <n v="10.46"/>
    <x v="615"/>
    <x v="1"/>
    <x v="4"/>
    <n v="20.92"/>
    <n v="2.1013698630136988"/>
    <n v="6"/>
    <n v="7"/>
  </r>
  <r>
    <x v="1539"/>
    <x v="299"/>
    <x v="2"/>
    <n v="4"/>
    <n v="20.92"/>
    <x v="678"/>
    <x v="4"/>
    <x v="4"/>
    <n v="83.68"/>
    <n v="1.2876712328767124"/>
    <n v="5"/>
    <n v="5"/>
  </r>
  <r>
    <x v="1540"/>
    <x v="299"/>
    <x v="2"/>
    <n v="1"/>
    <n v="5.23"/>
    <x v="351"/>
    <x v="0"/>
    <x v="1"/>
    <n v="5.23"/>
    <n v="1.8794520547945206"/>
    <n v="21"/>
    <n v="5"/>
  </r>
  <r>
    <x v="1541"/>
    <x v="299"/>
    <x v="2"/>
    <n v="5"/>
    <n v="26.15"/>
    <x v="606"/>
    <x v="6"/>
    <x v="0"/>
    <n v="130.75"/>
    <n v="1.6520547945205479"/>
    <n v="11"/>
    <n v="5"/>
  </r>
  <r>
    <x v="1542"/>
    <x v="299"/>
    <x v="2"/>
    <n v="3"/>
    <n v="15.69"/>
    <x v="590"/>
    <x v="9"/>
    <x v="2"/>
    <n v="47.07"/>
    <n v="1.4136986301369863"/>
    <n v="33"/>
    <n v="7"/>
  </r>
  <r>
    <x v="1543"/>
    <x v="300"/>
    <x v="7"/>
    <n v="1"/>
    <n v="11.73"/>
    <x v="65"/>
    <x v="1"/>
    <x v="2"/>
    <n v="11.73"/>
    <n v="1.8356164383561644"/>
    <n v="31"/>
    <n v="5"/>
  </r>
  <r>
    <x v="1544"/>
    <x v="300"/>
    <x v="0"/>
    <n v="5"/>
    <n v="1500.4"/>
    <x v="137"/>
    <x v="6"/>
    <x v="0"/>
    <n v="7502"/>
    <n v="1.7780821917808218"/>
    <n v="15"/>
    <n v="5"/>
  </r>
  <r>
    <x v="1545"/>
    <x v="300"/>
    <x v="0"/>
    <n v="5"/>
    <n v="1500.4"/>
    <x v="679"/>
    <x v="6"/>
    <x v="0"/>
    <n v="7502"/>
    <n v="1.0767123287671232"/>
    <n v="16"/>
    <n v="7"/>
  </r>
  <r>
    <x v="1546"/>
    <x v="300"/>
    <x v="5"/>
    <n v="4"/>
    <n v="2400.6799999999998"/>
    <x v="461"/>
    <x v="1"/>
    <x v="4"/>
    <n v="9602.7199999999993"/>
    <n v="0.56164383561643838"/>
    <n v="7"/>
    <n v="7"/>
  </r>
  <r>
    <x v="1547"/>
    <x v="300"/>
    <x v="2"/>
    <n v="2"/>
    <n v="10.46"/>
    <x v="461"/>
    <x v="5"/>
    <x v="0"/>
    <n v="20.92"/>
    <n v="1.5041095890410958"/>
    <n v="7"/>
    <n v="7"/>
  </r>
  <r>
    <x v="1548"/>
    <x v="300"/>
    <x v="0"/>
    <n v="2"/>
    <n v="600.16"/>
    <x v="41"/>
    <x v="4"/>
    <x v="1"/>
    <n v="1200.32"/>
    <n v="1.6684931506849314"/>
    <n v="7"/>
    <n v="7"/>
  </r>
  <r>
    <x v="1549"/>
    <x v="300"/>
    <x v="0"/>
    <n v="5"/>
    <n v="1500.4"/>
    <x v="601"/>
    <x v="6"/>
    <x v="1"/>
    <n v="7502"/>
    <n v="1.5068493150684932"/>
    <n v="18"/>
    <n v="7"/>
  </r>
  <r>
    <x v="1550"/>
    <x v="301"/>
    <x v="6"/>
    <n v="5"/>
    <n v="179.2"/>
    <x v="446"/>
    <x v="6"/>
    <x v="3"/>
    <n v="896"/>
    <n v="1.0356164383561643"/>
    <n v="17"/>
    <n v="5"/>
  </r>
  <r>
    <x v="1551"/>
    <x v="301"/>
    <x v="1"/>
    <n v="1"/>
    <n v="40.659999999999997"/>
    <x v="97"/>
    <x v="6"/>
    <x v="1"/>
    <n v="40.659999999999997"/>
    <n v="2.0520547945205481"/>
    <n v="20"/>
    <n v="5"/>
  </r>
  <r>
    <x v="1552"/>
    <x v="301"/>
    <x v="5"/>
    <n v="1"/>
    <n v="600.16999999999996"/>
    <x v="440"/>
    <x v="0"/>
    <x v="4"/>
    <n v="600.16999999999996"/>
    <n v="0.24109589041095891"/>
    <n v="11"/>
    <n v="5"/>
  </r>
  <r>
    <x v="1553"/>
    <x v="301"/>
    <x v="5"/>
    <n v="5"/>
    <n v="3000.85"/>
    <x v="87"/>
    <x v="2"/>
    <x v="4"/>
    <n v="15004.25"/>
    <n v="1.3123287671232877"/>
    <n v="23"/>
    <n v="5"/>
  </r>
  <r>
    <x v="1554"/>
    <x v="301"/>
    <x v="2"/>
    <n v="3"/>
    <n v="15.69"/>
    <x v="226"/>
    <x v="0"/>
    <x v="2"/>
    <n v="47.07"/>
    <n v="0.27671232876712326"/>
    <n v="7"/>
    <n v="5"/>
  </r>
  <r>
    <x v="1555"/>
    <x v="301"/>
    <x v="6"/>
    <n v="5"/>
    <n v="179.2"/>
    <x v="510"/>
    <x v="1"/>
    <x v="0"/>
    <n v="896"/>
    <n v="2.1205479452054794"/>
    <n v="22"/>
    <n v="7"/>
  </r>
  <r>
    <x v="1556"/>
    <x v="302"/>
    <x v="0"/>
    <n v="4"/>
    <n v="1200.32"/>
    <x v="680"/>
    <x v="5"/>
    <x v="1"/>
    <n v="4801.28"/>
    <n v="1.3561643835616439"/>
    <n v="10"/>
    <n v="5"/>
  </r>
  <r>
    <x v="1557"/>
    <x v="302"/>
    <x v="0"/>
    <n v="2"/>
    <n v="600.16"/>
    <x v="681"/>
    <x v="6"/>
    <x v="4"/>
    <n v="1200.32"/>
    <n v="0.44657534246575342"/>
    <n v="8"/>
    <n v="7"/>
  </r>
  <r>
    <x v="1558"/>
    <x v="302"/>
    <x v="1"/>
    <n v="3"/>
    <n v="121.98"/>
    <x v="542"/>
    <x v="0"/>
    <x v="0"/>
    <n v="365.94"/>
    <n v="1.3890410958904109"/>
    <n v="4"/>
    <n v="7"/>
  </r>
  <r>
    <x v="1559"/>
    <x v="303"/>
    <x v="0"/>
    <n v="2"/>
    <n v="600.16"/>
    <x v="267"/>
    <x v="6"/>
    <x v="0"/>
    <n v="1200.32"/>
    <n v="1.6849315068493151"/>
    <n v="13"/>
    <n v="7"/>
  </r>
  <r>
    <x v="1560"/>
    <x v="303"/>
    <x v="3"/>
    <n v="4"/>
    <n v="60.6"/>
    <x v="165"/>
    <x v="4"/>
    <x v="1"/>
    <n v="242.4"/>
    <n v="0.78082191780821919"/>
    <n v="16"/>
    <n v="10"/>
  </r>
  <r>
    <x v="1561"/>
    <x v="303"/>
    <x v="0"/>
    <n v="4"/>
    <n v="1200.32"/>
    <x v="519"/>
    <x v="6"/>
    <x v="1"/>
    <n v="4801.28"/>
    <n v="1.1506849315068493"/>
    <n v="13"/>
    <n v="10"/>
  </r>
  <r>
    <x v="1562"/>
    <x v="304"/>
    <x v="1"/>
    <n v="3"/>
    <n v="121.98"/>
    <x v="524"/>
    <x v="6"/>
    <x v="2"/>
    <n v="365.94"/>
    <n v="1.0246575342465754"/>
    <n v="10"/>
    <n v="5"/>
  </r>
  <r>
    <x v="1563"/>
    <x v="304"/>
    <x v="2"/>
    <n v="3"/>
    <n v="15.69"/>
    <x v="292"/>
    <x v="6"/>
    <x v="4"/>
    <n v="47.07"/>
    <n v="1.0657534246575342"/>
    <n v="14"/>
    <n v="5"/>
  </r>
  <r>
    <x v="1564"/>
    <x v="304"/>
    <x v="6"/>
    <n v="4"/>
    <n v="143.36000000000001"/>
    <x v="245"/>
    <x v="8"/>
    <x v="1"/>
    <n v="573.44000000000005"/>
    <n v="1.9698630136986301"/>
    <n v="6"/>
    <n v="5"/>
  </r>
  <r>
    <x v="1565"/>
    <x v="304"/>
    <x v="2"/>
    <n v="5"/>
    <n v="26.15"/>
    <x v="89"/>
    <x v="4"/>
    <x v="1"/>
    <n v="130.75"/>
    <n v="1.558904109589041"/>
    <n v="10"/>
    <n v="5"/>
  </r>
  <r>
    <x v="1566"/>
    <x v="304"/>
    <x v="3"/>
    <n v="1"/>
    <n v="15.15"/>
    <x v="457"/>
    <x v="3"/>
    <x v="1"/>
    <n v="15.15"/>
    <n v="2.0136986301369864"/>
    <n v="13"/>
    <n v="5"/>
  </r>
  <r>
    <x v="1567"/>
    <x v="304"/>
    <x v="0"/>
    <n v="1"/>
    <n v="300.08"/>
    <x v="381"/>
    <x v="8"/>
    <x v="3"/>
    <n v="300.08"/>
    <n v="1.8383561643835618"/>
    <n v="22"/>
    <n v="5"/>
  </r>
  <r>
    <x v="1568"/>
    <x v="304"/>
    <x v="7"/>
    <n v="3"/>
    <n v="35.19"/>
    <x v="109"/>
    <x v="0"/>
    <x v="3"/>
    <n v="105.57"/>
    <n v="1.9013698630136986"/>
    <n v="18"/>
    <n v="7"/>
  </r>
  <r>
    <x v="1569"/>
    <x v="304"/>
    <x v="0"/>
    <n v="2"/>
    <n v="600.16"/>
    <x v="528"/>
    <x v="0"/>
    <x v="3"/>
    <n v="1200.32"/>
    <n v="0.65205479452054793"/>
    <n v="15"/>
    <n v="7"/>
  </r>
  <r>
    <x v="1570"/>
    <x v="304"/>
    <x v="0"/>
    <n v="1"/>
    <n v="300.08"/>
    <x v="682"/>
    <x v="9"/>
    <x v="4"/>
    <n v="300.08"/>
    <n v="1.4246575342465753"/>
    <n v="20"/>
    <n v="10"/>
  </r>
  <r>
    <x v="1571"/>
    <x v="305"/>
    <x v="4"/>
    <n v="1"/>
    <n v="1050"/>
    <x v="535"/>
    <x v="6"/>
    <x v="4"/>
    <n v="1050"/>
    <n v="1.441095890410959"/>
    <n v="8"/>
    <n v="5"/>
  </r>
  <r>
    <x v="1572"/>
    <x v="305"/>
    <x v="2"/>
    <n v="5"/>
    <n v="26.15"/>
    <x v="57"/>
    <x v="0"/>
    <x v="4"/>
    <n v="130.75"/>
    <n v="1.2602739726027397"/>
    <n v="14"/>
    <n v="5"/>
  </r>
  <r>
    <x v="1573"/>
    <x v="305"/>
    <x v="0"/>
    <n v="2"/>
    <n v="600.16"/>
    <x v="286"/>
    <x v="9"/>
    <x v="2"/>
    <n v="1200.32"/>
    <n v="1.3561643835616439"/>
    <n v="10"/>
    <n v="5"/>
  </r>
  <r>
    <x v="1574"/>
    <x v="305"/>
    <x v="0"/>
    <n v="4"/>
    <n v="1200.32"/>
    <x v="75"/>
    <x v="6"/>
    <x v="4"/>
    <n v="4801.28"/>
    <n v="1.4876712328767123"/>
    <n v="7"/>
    <n v="7"/>
  </r>
  <r>
    <x v="1575"/>
    <x v="305"/>
    <x v="1"/>
    <n v="5"/>
    <n v="203.3"/>
    <x v="349"/>
    <x v="6"/>
    <x v="3"/>
    <n v="1016.5"/>
    <n v="0.41369863013698632"/>
    <n v="8"/>
    <n v="7"/>
  </r>
  <r>
    <x v="1576"/>
    <x v="305"/>
    <x v="0"/>
    <n v="4"/>
    <n v="1200.32"/>
    <x v="35"/>
    <x v="0"/>
    <x v="1"/>
    <n v="4801.28"/>
    <n v="1.189041095890411"/>
    <n v="19"/>
    <n v="7"/>
  </r>
  <r>
    <x v="1577"/>
    <x v="305"/>
    <x v="0"/>
    <n v="1"/>
    <n v="300.08"/>
    <x v="206"/>
    <x v="1"/>
    <x v="0"/>
    <n v="300.08"/>
    <n v="1.0054794520547945"/>
    <n v="13"/>
    <n v="7"/>
  </r>
  <r>
    <x v="1578"/>
    <x v="305"/>
    <x v="1"/>
    <n v="4"/>
    <n v="162.63999999999999"/>
    <x v="71"/>
    <x v="1"/>
    <x v="4"/>
    <n v="650.55999999999995"/>
    <n v="1.5643835616438355"/>
    <n v="11"/>
    <n v="10"/>
  </r>
  <r>
    <x v="1579"/>
    <x v="306"/>
    <x v="2"/>
    <n v="5"/>
    <n v="26.15"/>
    <x v="437"/>
    <x v="6"/>
    <x v="2"/>
    <n v="130.75"/>
    <n v="0.75068493150684934"/>
    <n v="13"/>
    <n v="5"/>
  </r>
  <r>
    <x v="1580"/>
    <x v="306"/>
    <x v="1"/>
    <n v="2"/>
    <n v="81.319999999999993"/>
    <x v="636"/>
    <x v="1"/>
    <x v="1"/>
    <n v="162.63999999999999"/>
    <n v="1.4575342465753425"/>
    <n v="13"/>
    <n v="5"/>
  </r>
  <r>
    <x v="1581"/>
    <x v="306"/>
    <x v="0"/>
    <n v="3"/>
    <n v="900.24"/>
    <x v="270"/>
    <x v="5"/>
    <x v="4"/>
    <n v="2700.7200000000003"/>
    <n v="1.978082191780822"/>
    <n v="22"/>
    <n v="5"/>
  </r>
  <r>
    <x v="1582"/>
    <x v="306"/>
    <x v="6"/>
    <n v="5"/>
    <n v="179.2"/>
    <x v="435"/>
    <x v="4"/>
    <x v="3"/>
    <n v="896"/>
    <n v="1.8164383561643835"/>
    <n v="23"/>
    <n v="5"/>
  </r>
  <r>
    <x v="1583"/>
    <x v="306"/>
    <x v="1"/>
    <n v="3"/>
    <n v="121.98"/>
    <x v="47"/>
    <x v="1"/>
    <x v="1"/>
    <n v="365.94"/>
    <n v="1.0465753424657533"/>
    <n v="18"/>
    <n v="5"/>
  </r>
  <r>
    <x v="1584"/>
    <x v="306"/>
    <x v="6"/>
    <n v="4"/>
    <n v="143.36000000000001"/>
    <x v="227"/>
    <x v="4"/>
    <x v="2"/>
    <n v="573.44000000000005"/>
    <n v="0.9616438356164384"/>
    <n v="14"/>
    <n v="7"/>
  </r>
  <r>
    <x v="1585"/>
    <x v="306"/>
    <x v="0"/>
    <n v="2"/>
    <n v="600.16"/>
    <x v="464"/>
    <x v="2"/>
    <x v="4"/>
    <n v="1200.32"/>
    <n v="1.9972602739726026"/>
    <n v="29"/>
    <n v="7"/>
  </r>
  <r>
    <x v="1586"/>
    <x v="306"/>
    <x v="1"/>
    <n v="5"/>
    <n v="203.3"/>
    <x v="683"/>
    <x v="2"/>
    <x v="1"/>
    <n v="1016.5"/>
    <n v="1.704109589041096"/>
    <n v="15"/>
    <n v="7"/>
  </r>
  <r>
    <x v="1587"/>
    <x v="306"/>
    <x v="1"/>
    <n v="4"/>
    <n v="162.63999999999999"/>
    <x v="331"/>
    <x v="1"/>
    <x v="0"/>
    <n v="650.55999999999995"/>
    <n v="0.87397260273972599"/>
    <n v="11"/>
    <n v="7"/>
  </r>
  <r>
    <x v="1588"/>
    <x v="307"/>
    <x v="0"/>
    <n v="4"/>
    <n v="1200.32"/>
    <x v="62"/>
    <x v="7"/>
    <x v="3"/>
    <n v="4801.28"/>
    <n v="1.2712328767123289"/>
    <n v="25"/>
    <n v="5"/>
  </r>
  <r>
    <x v="1589"/>
    <x v="307"/>
    <x v="2"/>
    <n v="4"/>
    <n v="20.92"/>
    <x v="107"/>
    <x v="6"/>
    <x v="1"/>
    <n v="83.68"/>
    <n v="1.7917808219178082"/>
    <n v="21"/>
    <n v="5"/>
  </r>
  <r>
    <x v="1590"/>
    <x v="307"/>
    <x v="2"/>
    <n v="1"/>
    <n v="5.23"/>
    <x v="381"/>
    <x v="1"/>
    <x v="3"/>
    <n v="5.23"/>
    <n v="0"/>
    <n v="3"/>
    <n v="5"/>
  </r>
  <r>
    <x v="1591"/>
    <x v="307"/>
    <x v="7"/>
    <n v="5"/>
    <n v="58.65"/>
    <x v="102"/>
    <x v="0"/>
    <x v="3"/>
    <n v="293.25"/>
    <n v="1.558904109589041"/>
    <n v="17"/>
    <n v="5"/>
  </r>
  <r>
    <x v="1592"/>
    <x v="307"/>
    <x v="0"/>
    <n v="2"/>
    <n v="600.16"/>
    <x v="329"/>
    <x v="7"/>
    <x v="2"/>
    <n v="1200.32"/>
    <n v="1.4438356164383561"/>
    <n v="11"/>
    <n v="7"/>
  </r>
  <r>
    <x v="1593"/>
    <x v="307"/>
    <x v="0"/>
    <n v="5"/>
    <n v="1500.4"/>
    <x v="130"/>
    <x v="3"/>
    <x v="2"/>
    <n v="7502"/>
    <n v="1.5808219178082192"/>
    <n v="12"/>
    <n v="7"/>
  </r>
  <r>
    <x v="1594"/>
    <x v="307"/>
    <x v="1"/>
    <n v="5"/>
    <n v="203.3"/>
    <x v="481"/>
    <x v="6"/>
    <x v="0"/>
    <n v="1016.5"/>
    <n v="1.9232876712328768"/>
    <n v="22"/>
    <n v="7"/>
  </r>
  <r>
    <x v="1595"/>
    <x v="308"/>
    <x v="7"/>
    <n v="4"/>
    <n v="46.92"/>
    <x v="369"/>
    <x v="6"/>
    <x v="3"/>
    <n v="187.68"/>
    <n v="1.1095890410958904"/>
    <n v="11"/>
    <n v="5"/>
  </r>
  <r>
    <x v="1596"/>
    <x v="308"/>
    <x v="2"/>
    <n v="2"/>
    <n v="10.46"/>
    <x v="213"/>
    <x v="1"/>
    <x v="2"/>
    <n v="20.92"/>
    <n v="0.36164383561643837"/>
    <n v="10"/>
    <n v="7"/>
  </r>
  <r>
    <x v="1597"/>
    <x v="308"/>
    <x v="0"/>
    <n v="4"/>
    <n v="1200.32"/>
    <x v="516"/>
    <x v="5"/>
    <x v="4"/>
    <n v="4801.28"/>
    <n v="1.7945205479452055"/>
    <n v="31"/>
    <n v="7"/>
  </r>
  <r>
    <x v="1598"/>
    <x v="308"/>
    <x v="2"/>
    <n v="2"/>
    <n v="10.46"/>
    <x v="684"/>
    <x v="0"/>
    <x v="4"/>
    <n v="20.92"/>
    <n v="0.8"/>
    <n v="13"/>
    <n v="7"/>
  </r>
  <r>
    <x v="1599"/>
    <x v="308"/>
    <x v="0"/>
    <n v="5"/>
    <n v="1500.4"/>
    <x v="139"/>
    <x v="8"/>
    <x v="4"/>
    <n v="7502"/>
    <n v="0.78082191780821919"/>
    <n v="16"/>
    <n v="7"/>
  </r>
  <r>
    <x v="1600"/>
    <x v="308"/>
    <x v="0"/>
    <n v="4"/>
    <n v="1200.32"/>
    <x v="565"/>
    <x v="6"/>
    <x v="1"/>
    <n v="4801.28"/>
    <n v="1.1589041095890411"/>
    <n v="6"/>
    <n v="7"/>
  </r>
  <r>
    <x v="1601"/>
    <x v="308"/>
    <x v="2"/>
    <n v="4"/>
    <n v="20.92"/>
    <x v="71"/>
    <x v="4"/>
    <x v="4"/>
    <n v="83.68"/>
    <n v="2.021917808219178"/>
    <n v="17"/>
    <n v="10"/>
  </r>
  <r>
    <x v="1602"/>
    <x v="309"/>
    <x v="0"/>
    <n v="1"/>
    <n v="300.08"/>
    <x v="613"/>
    <x v="9"/>
    <x v="4"/>
    <n v="300.08"/>
    <n v="1.7616438356164383"/>
    <n v="20"/>
    <n v="5"/>
  </r>
  <r>
    <x v="1603"/>
    <x v="309"/>
    <x v="0"/>
    <n v="2"/>
    <n v="600.16"/>
    <x v="685"/>
    <x v="8"/>
    <x v="3"/>
    <n v="1200.32"/>
    <n v="1.547945205479452"/>
    <n v="15"/>
    <n v="7"/>
  </r>
  <r>
    <x v="1604"/>
    <x v="309"/>
    <x v="0"/>
    <n v="3"/>
    <n v="900.24"/>
    <x v="196"/>
    <x v="4"/>
    <x v="0"/>
    <n v="2700.7200000000003"/>
    <n v="0.42739726027397262"/>
    <n v="7"/>
    <n v="10"/>
  </r>
  <r>
    <x v="1605"/>
    <x v="309"/>
    <x v="6"/>
    <n v="1"/>
    <n v="35.840000000000003"/>
    <x v="156"/>
    <x v="9"/>
    <x v="0"/>
    <n v="35.840000000000003"/>
    <n v="2.0904109589041098"/>
    <n v="12"/>
    <n v="10"/>
  </r>
  <r>
    <x v="1606"/>
    <x v="310"/>
    <x v="6"/>
    <n v="1"/>
    <n v="35.840000000000003"/>
    <x v="483"/>
    <x v="6"/>
    <x v="2"/>
    <n v="35.840000000000003"/>
    <n v="0.20821917808219179"/>
    <n v="7"/>
    <n v="5"/>
  </r>
  <r>
    <x v="1607"/>
    <x v="310"/>
    <x v="2"/>
    <n v="2"/>
    <n v="10.46"/>
    <x v="497"/>
    <x v="4"/>
    <x v="1"/>
    <n v="20.92"/>
    <n v="1.3698630136986301"/>
    <n v="16"/>
    <n v="5"/>
  </r>
  <r>
    <x v="1608"/>
    <x v="310"/>
    <x v="3"/>
    <n v="4"/>
    <n v="60.6"/>
    <x v="618"/>
    <x v="1"/>
    <x v="4"/>
    <n v="242.4"/>
    <n v="1.8410958904109589"/>
    <n v="6"/>
    <n v="5"/>
  </r>
  <r>
    <x v="1609"/>
    <x v="310"/>
    <x v="5"/>
    <n v="4"/>
    <n v="2400.6799999999998"/>
    <x v="518"/>
    <x v="5"/>
    <x v="2"/>
    <n v="9602.7199999999993"/>
    <n v="1.9232876712328768"/>
    <n v="21"/>
    <n v="5"/>
  </r>
  <r>
    <x v="1610"/>
    <x v="310"/>
    <x v="0"/>
    <n v="2"/>
    <n v="600.16"/>
    <x v="384"/>
    <x v="4"/>
    <x v="4"/>
    <n v="1200.32"/>
    <n v="1.4246575342465753"/>
    <n v="18"/>
    <n v="7"/>
  </r>
  <r>
    <x v="1611"/>
    <x v="310"/>
    <x v="3"/>
    <n v="4"/>
    <n v="60.6"/>
    <x v="686"/>
    <x v="0"/>
    <x v="0"/>
    <n v="242.4"/>
    <n v="1.6109589041095891"/>
    <n v="16"/>
    <n v="7"/>
  </r>
  <r>
    <x v="1612"/>
    <x v="310"/>
    <x v="2"/>
    <n v="5"/>
    <n v="26.15"/>
    <x v="482"/>
    <x v="6"/>
    <x v="4"/>
    <n v="130.75"/>
    <n v="1.9863013698630136"/>
    <n v="28"/>
    <n v="10"/>
  </r>
  <r>
    <x v="1613"/>
    <x v="311"/>
    <x v="3"/>
    <n v="4"/>
    <n v="60.6"/>
    <x v="536"/>
    <x v="1"/>
    <x v="3"/>
    <n v="242.4"/>
    <n v="0.64657534246575343"/>
    <n v="8"/>
    <n v="5"/>
  </r>
  <r>
    <x v="1614"/>
    <x v="311"/>
    <x v="0"/>
    <n v="5"/>
    <n v="1500.4"/>
    <x v="687"/>
    <x v="0"/>
    <x v="3"/>
    <n v="7502"/>
    <n v="2.0821917808219177"/>
    <n v="15"/>
    <n v="5"/>
  </r>
  <r>
    <x v="1615"/>
    <x v="311"/>
    <x v="0"/>
    <n v="1"/>
    <n v="300.08"/>
    <x v="484"/>
    <x v="9"/>
    <x v="3"/>
    <n v="300.08"/>
    <n v="1.0630136986301371"/>
    <n v="21"/>
    <n v="5"/>
  </r>
  <r>
    <x v="1616"/>
    <x v="311"/>
    <x v="2"/>
    <n v="5"/>
    <n v="26.15"/>
    <x v="475"/>
    <x v="4"/>
    <x v="2"/>
    <n v="130.75"/>
    <n v="1.4328767123287671"/>
    <n v="18"/>
    <n v="5"/>
  </r>
  <r>
    <x v="1617"/>
    <x v="311"/>
    <x v="2"/>
    <n v="4"/>
    <n v="20.92"/>
    <x v="109"/>
    <x v="0"/>
    <x v="3"/>
    <n v="83.68"/>
    <n v="0.45205479452054792"/>
    <n v="19"/>
    <n v="7"/>
  </r>
  <r>
    <x v="1618"/>
    <x v="311"/>
    <x v="2"/>
    <n v="5"/>
    <n v="26.15"/>
    <x v="360"/>
    <x v="8"/>
    <x v="2"/>
    <n v="130.75"/>
    <n v="1.3863013698630138"/>
    <n v="7"/>
    <n v="7"/>
  </r>
  <r>
    <x v="1619"/>
    <x v="311"/>
    <x v="6"/>
    <n v="3"/>
    <n v="107.52"/>
    <x v="8"/>
    <x v="0"/>
    <x v="0"/>
    <n v="322.56"/>
    <n v="0"/>
    <n v="4"/>
    <n v="7"/>
  </r>
  <r>
    <x v="1620"/>
    <x v="312"/>
    <x v="5"/>
    <n v="2"/>
    <n v="1200.3399999999999"/>
    <x v="333"/>
    <x v="0"/>
    <x v="3"/>
    <n v="2400.6799999999998"/>
    <n v="1.6794520547945206"/>
    <n v="18"/>
    <n v="7"/>
  </r>
  <r>
    <x v="1621"/>
    <x v="312"/>
    <x v="5"/>
    <n v="3"/>
    <n v="1800.51"/>
    <x v="129"/>
    <x v="0"/>
    <x v="3"/>
    <n v="5401.53"/>
    <n v="0.64931506849315068"/>
    <n v="8"/>
    <n v="7"/>
  </r>
  <r>
    <x v="1622"/>
    <x v="313"/>
    <x v="0"/>
    <n v="4"/>
    <n v="1200.32"/>
    <x v="95"/>
    <x v="0"/>
    <x v="4"/>
    <n v="4801.28"/>
    <n v="1.6246575342465754"/>
    <n v="17"/>
    <n v="5"/>
  </r>
  <r>
    <x v="1623"/>
    <x v="313"/>
    <x v="0"/>
    <n v="3"/>
    <n v="900.24"/>
    <x v="272"/>
    <x v="4"/>
    <x v="3"/>
    <n v="2700.7200000000003"/>
    <n v="1.5808219178082192"/>
    <n v="16"/>
    <n v="7"/>
  </r>
  <r>
    <x v="1624"/>
    <x v="313"/>
    <x v="1"/>
    <n v="3"/>
    <n v="121.98"/>
    <x v="160"/>
    <x v="6"/>
    <x v="0"/>
    <n v="365.94"/>
    <n v="0.89863013698630134"/>
    <n v="10"/>
    <n v="7"/>
  </r>
  <r>
    <x v="1625"/>
    <x v="314"/>
    <x v="6"/>
    <n v="5"/>
    <n v="179.2"/>
    <x v="128"/>
    <x v="0"/>
    <x v="4"/>
    <n v="896"/>
    <n v="0.66301369863013704"/>
    <n v="5"/>
    <n v="5"/>
  </r>
  <r>
    <x v="1626"/>
    <x v="314"/>
    <x v="0"/>
    <n v="3"/>
    <n v="900.24"/>
    <x v="560"/>
    <x v="0"/>
    <x v="0"/>
    <n v="2700.7200000000003"/>
    <n v="1.9178082191780821"/>
    <n v="26"/>
    <n v="5"/>
  </r>
  <r>
    <x v="1627"/>
    <x v="314"/>
    <x v="5"/>
    <n v="5"/>
    <n v="3000.85"/>
    <x v="439"/>
    <x v="9"/>
    <x v="0"/>
    <n v="15004.25"/>
    <n v="1.8958904109589041"/>
    <n v="32"/>
    <n v="7"/>
  </r>
  <r>
    <x v="1628"/>
    <x v="314"/>
    <x v="4"/>
    <n v="2"/>
    <n v="2100"/>
    <x v="519"/>
    <x v="1"/>
    <x v="4"/>
    <n v="4200"/>
    <n v="0.85479452054794525"/>
    <n v="15"/>
    <n v="10"/>
  </r>
  <r>
    <x v="1629"/>
    <x v="314"/>
    <x v="3"/>
    <n v="3"/>
    <n v="45.45"/>
    <x v="402"/>
    <x v="9"/>
    <x v="3"/>
    <n v="136.35000000000002"/>
    <n v="2.0191780821917806"/>
    <n v="17"/>
    <n v="10"/>
  </r>
  <r>
    <x v="1630"/>
    <x v="315"/>
    <x v="4"/>
    <n v="1"/>
    <n v="1050"/>
    <x v="552"/>
    <x v="3"/>
    <x v="0"/>
    <n v="1050"/>
    <n v="0.9178082191780822"/>
    <n v="10"/>
    <n v="5"/>
  </r>
  <r>
    <x v="1631"/>
    <x v="315"/>
    <x v="6"/>
    <n v="5"/>
    <n v="179.2"/>
    <x v="575"/>
    <x v="8"/>
    <x v="2"/>
    <n v="896"/>
    <n v="0.99726027397260275"/>
    <n v="16"/>
    <n v="5"/>
  </r>
  <r>
    <x v="1632"/>
    <x v="315"/>
    <x v="1"/>
    <n v="1"/>
    <n v="40.659999999999997"/>
    <x v="487"/>
    <x v="9"/>
    <x v="4"/>
    <n v="40.659999999999997"/>
    <n v="1.1917808219178083"/>
    <n v="17"/>
    <n v="7"/>
  </r>
  <r>
    <x v="1633"/>
    <x v="315"/>
    <x v="5"/>
    <n v="5"/>
    <n v="3000.85"/>
    <x v="621"/>
    <x v="0"/>
    <x v="0"/>
    <n v="15004.25"/>
    <n v="2.1506849315068495"/>
    <n v="17"/>
    <n v="7"/>
  </r>
  <r>
    <x v="1634"/>
    <x v="315"/>
    <x v="0"/>
    <n v="1"/>
    <n v="300.08"/>
    <x v="26"/>
    <x v="0"/>
    <x v="4"/>
    <n v="300.08"/>
    <n v="1.7643835616438357"/>
    <n v="19"/>
    <n v="10"/>
  </r>
  <r>
    <x v="1635"/>
    <x v="316"/>
    <x v="0"/>
    <n v="1"/>
    <n v="300.08"/>
    <x v="318"/>
    <x v="3"/>
    <x v="4"/>
    <n v="300.08"/>
    <n v="1.1945205479452055"/>
    <n v="12"/>
    <n v="5"/>
  </r>
  <r>
    <x v="1636"/>
    <x v="316"/>
    <x v="6"/>
    <n v="1"/>
    <n v="35.840000000000003"/>
    <x v="271"/>
    <x v="1"/>
    <x v="1"/>
    <n v="35.840000000000003"/>
    <n v="0.95342465753424654"/>
    <n v="6"/>
    <n v="5"/>
  </r>
  <r>
    <x v="1637"/>
    <x v="316"/>
    <x v="2"/>
    <n v="4"/>
    <n v="20.92"/>
    <x v="359"/>
    <x v="9"/>
    <x v="1"/>
    <n v="83.68"/>
    <n v="1.5178082191780822"/>
    <n v="18"/>
    <n v="5"/>
  </r>
  <r>
    <x v="1638"/>
    <x v="316"/>
    <x v="2"/>
    <n v="2"/>
    <n v="10.46"/>
    <x v="502"/>
    <x v="9"/>
    <x v="3"/>
    <n v="20.92"/>
    <n v="1.5726027397260274"/>
    <n v="13"/>
    <n v="5"/>
  </r>
  <r>
    <x v="1639"/>
    <x v="316"/>
    <x v="2"/>
    <n v="2"/>
    <n v="10.46"/>
    <x v="405"/>
    <x v="9"/>
    <x v="3"/>
    <n v="20.92"/>
    <n v="0.9342465753424658"/>
    <n v="9"/>
    <n v="7"/>
  </r>
  <r>
    <x v="1640"/>
    <x v="316"/>
    <x v="3"/>
    <n v="3"/>
    <n v="45.45"/>
    <x v="574"/>
    <x v="9"/>
    <x v="4"/>
    <n v="136.35000000000002"/>
    <n v="0.86575342465753424"/>
    <n v="9"/>
    <n v="7"/>
  </r>
  <r>
    <x v="1641"/>
    <x v="316"/>
    <x v="5"/>
    <n v="2"/>
    <n v="1200.3399999999999"/>
    <x v="607"/>
    <x v="0"/>
    <x v="3"/>
    <n v="2400.6799999999998"/>
    <n v="0.49041095890410957"/>
    <n v="10"/>
    <n v="7"/>
  </r>
  <r>
    <x v="1642"/>
    <x v="317"/>
    <x v="4"/>
    <n v="2"/>
    <n v="2100"/>
    <x v="603"/>
    <x v="8"/>
    <x v="3"/>
    <n v="4200"/>
    <n v="1.5917808219178082"/>
    <n v="12"/>
    <n v="7"/>
  </r>
  <r>
    <x v="1643"/>
    <x v="317"/>
    <x v="7"/>
    <n v="4"/>
    <n v="46.92"/>
    <x v="597"/>
    <x v="6"/>
    <x v="1"/>
    <n v="187.68"/>
    <n v="2.1369863013698631"/>
    <n v="34"/>
    <n v="7"/>
  </r>
  <r>
    <x v="1644"/>
    <x v="317"/>
    <x v="2"/>
    <n v="5"/>
    <n v="26.15"/>
    <x v="219"/>
    <x v="7"/>
    <x v="3"/>
    <n v="130.75"/>
    <n v="1.7780821917808218"/>
    <n v="23"/>
    <n v="7"/>
  </r>
  <r>
    <x v="1645"/>
    <x v="318"/>
    <x v="0"/>
    <n v="3"/>
    <n v="900.24"/>
    <x v="106"/>
    <x v="7"/>
    <x v="2"/>
    <n v="2700.7200000000003"/>
    <n v="0.41095890410958902"/>
    <n v="9"/>
    <n v="5"/>
  </r>
  <r>
    <x v="1646"/>
    <x v="318"/>
    <x v="2"/>
    <n v="5"/>
    <n v="26.15"/>
    <x v="473"/>
    <x v="9"/>
    <x v="1"/>
    <n v="130.75"/>
    <n v="1.9068493150684931"/>
    <n v="12"/>
    <n v="5"/>
  </r>
  <r>
    <x v="1647"/>
    <x v="318"/>
    <x v="6"/>
    <n v="3"/>
    <n v="107.52"/>
    <x v="187"/>
    <x v="9"/>
    <x v="3"/>
    <n v="322.56"/>
    <n v="1.6493150684931508"/>
    <n v="21"/>
    <n v="5"/>
  </r>
  <r>
    <x v="1648"/>
    <x v="318"/>
    <x v="3"/>
    <n v="5"/>
    <n v="75.75"/>
    <x v="55"/>
    <x v="9"/>
    <x v="2"/>
    <n v="378.75"/>
    <n v="1.3726027397260274"/>
    <n v="6"/>
    <n v="7"/>
  </r>
  <r>
    <x v="1649"/>
    <x v="318"/>
    <x v="1"/>
    <n v="5"/>
    <n v="203.3"/>
    <x v="394"/>
    <x v="1"/>
    <x v="3"/>
    <n v="1016.5"/>
    <n v="1.0630136986301371"/>
    <n v="19"/>
    <n v="7"/>
  </r>
  <r>
    <x v="1650"/>
    <x v="319"/>
    <x v="1"/>
    <n v="1"/>
    <n v="40.659999999999997"/>
    <x v="239"/>
    <x v="1"/>
    <x v="1"/>
    <n v="40.659999999999997"/>
    <n v="1.6602739726027398"/>
    <n v="7"/>
    <n v="5"/>
  </r>
  <r>
    <x v="1651"/>
    <x v="319"/>
    <x v="5"/>
    <n v="4"/>
    <n v="2400.6799999999998"/>
    <x v="90"/>
    <x v="6"/>
    <x v="3"/>
    <n v="9602.7199999999993"/>
    <n v="1.2438356164383562"/>
    <n v="14"/>
    <n v="5"/>
  </r>
  <r>
    <x v="1652"/>
    <x v="319"/>
    <x v="0"/>
    <n v="2"/>
    <n v="600.16"/>
    <x v="555"/>
    <x v="0"/>
    <x v="0"/>
    <n v="1200.32"/>
    <n v="1.8684931506849316"/>
    <n v="17"/>
    <n v="5"/>
  </r>
  <r>
    <x v="1653"/>
    <x v="319"/>
    <x v="1"/>
    <n v="1"/>
    <n v="40.659999999999997"/>
    <x v="270"/>
    <x v="1"/>
    <x v="0"/>
    <n v="40.659999999999997"/>
    <n v="1.4027397260273973"/>
    <n v="18"/>
    <n v="5"/>
  </r>
  <r>
    <x v="1654"/>
    <x v="319"/>
    <x v="5"/>
    <n v="4"/>
    <n v="2400.6799999999998"/>
    <x v="226"/>
    <x v="0"/>
    <x v="1"/>
    <n v="9602.7199999999993"/>
    <n v="1.9671232876712328"/>
    <n v="21"/>
    <n v="5"/>
  </r>
  <r>
    <x v="1655"/>
    <x v="319"/>
    <x v="3"/>
    <n v="4"/>
    <n v="60.6"/>
    <x v="356"/>
    <x v="4"/>
    <x v="3"/>
    <n v="242.4"/>
    <n v="1.1753424657534246"/>
    <n v="12"/>
    <n v="7"/>
  </r>
  <r>
    <x v="1656"/>
    <x v="319"/>
    <x v="0"/>
    <n v="4"/>
    <n v="1200.32"/>
    <x v="148"/>
    <x v="0"/>
    <x v="3"/>
    <n v="4801.28"/>
    <n v="0"/>
    <n v="3"/>
    <n v="7"/>
  </r>
  <r>
    <x v="1657"/>
    <x v="319"/>
    <x v="4"/>
    <n v="1"/>
    <n v="1050"/>
    <x v="517"/>
    <x v="0"/>
    <x v="3"/>
    <n v="1050"/>
    <n v="1.4684931506849315"/>
    <n v="11"/>
    <n v="10"/>
  </r>
  <r>
    <x v="1658"/>
    <x v="320"/>
    <x v="2"/>
    <n v="3"/>
    <n v="15.69"/>
    <x v="422"/>
    <x v="1"/>
    <x v="3"/>
    <n v="47.07"/>
    <n v="0.14246575342465753"/>
    <n v="7"/>
    <n v="5"/>
  </r>
  <r>
    <x v="1659"/>
    <x v="320"/>
    <x v="1"/>
    <n v="4"/>
    <n v="162.63999999999999"/>
    <x v="85"/>
    <x v="4"/>
    <x v="0"/>
    <n v="650.55999999999995"/>
    <n v="1.9315068493150684"/>
    <n v="13"/>
    <n v="5"/>
  </r>
  <r>
    <x v="1660"/>
    <x v="320"/>
    <x v="6"/>
    <n v="1"/>
    <n v="35.840000000000003"/>
    <x v="636"/>
    <x v="4"/>
    <x v="1"/>
    <n v="35.840000000000003"/>
    <n v="1.7397260273972603"/>
    <n v="22"/>
    <n v="5"/>
  </r>
  <r>
    <x v="1661"/>
    <x v="320"/>
    <x v="5"/>
    <n v="4"/>
    <n v="2400.6799999999998"/>
    <x v="688"/>
    <x v="0"/>
    <x v="1"/>
    <n v="9602.7199999999993"/>
    <n v="0.72876712328767124"/>
    <n v="10"/>
    <n v="5"/>
  </r>
  <r>
    <x v="1662"/>
    <x v="320"/>
    <x v="6"/>
    <n v="5"/>
    <n v="179.2"/>
    <x v="689"/>
    <x v="1"/>
    <x v="1"/>
    <n v="896"/>
    <n v="1.8356164383561644"/>
    <n v="26"/>
    <n v="7"/>
  </r>
  <r>
    <x v="1663"/>
    <x v="320"/>
    <x v="7"/>
    <n v="1"/>
    <n v="11.73"/>
    <x v="468"/>
    <x v="0"/>
    <x v="3"/>
    <n v="11.73"/>
    <n v="1.6328767123287671"/>
    <n v="6"/>
    <n v="7"/>
  </r>
  <r>
    <x v="1664"/>
    <x v="320"/>
    <x v="6"/>
    <n v="5"/>
    <n v="179.2"/>
    <x v="690"/>
    <x v="4"/>
    <x v="4"/>
    <n v="896"/>
    <n v="0.12876712328767123"/>
    <n v="5"/>
    <n v="7"/>
  </r>
  <r>
    <x v="1665"/>
    <x v="320"/>
    <x v="6"/>
    <n v="4"/>
    <n v="143.36000000000001"/>
    <x v="243"/>
    <x v="6"/>
    <x v="0"/>
    <n v="573.44000000000005"/>
    <n v="1.7287671232876711"/>
    <n v="9"/>
    <n v="7"/>
  </r>
  <r>
    <x v="1666"/>
    <x v="320"/>
    <x v="0"/>
    <n v="2"/>
    <n v="600.16"/>
    <x v="103"/>
    <x v="1"/>
    <x v="3"/>
    <n v="1200.32"/>
    <n v="2.010958904109589"/>
    <n v="38"/>
    <n v="10"/>
  </r>
  <r>
    <x v="1667"/>
    <x v="321"/>
    <x v="7"/>
    <n v="5"/>
    <n v="58.65"/>
    <x v="0"/>
    <x v="6"/>
    <x v="3"/>
    <n v="293.25"/>
    <n v="1.4712328767123288"/>
    <n v="14"/>
    <n v="5"/>
  </r>
  <r>
    <x v="1668"/>
    <x v="321"/>
    <x v="6"/>
    <n v="5"/>
    <n v="179.2"/>
    <x v="661"/>
    <x v="6"/>
    <x v="2"/>
    <n v="896"/>
    <n v="1.295890410958904"/>
    <n v="14"/>
    <n v="5"/>
  </r>
  <r>
    <x v="1669"/>
    <x v="321"/>
    <x v="5"/>
    <n v="5"/>
    <n v="3000.85"/>
    <x v="228"/>
    <x v="9"/>
    <x v="2"/>
    <n v="15004.25"/>
    <n v="1.3534246575342466"/>
    <n v="15"/>
    <n v="7"/>
  </r>
  <r>
    <x v="1670"/>
    <x v="321"/>
    <x v="2"/>
    <n v="3"/>
    <n v="15.69"/>
    <x v="234"/>
    <x v="8"/>
    <x v="2"/>
    <n v="47.07"/>
    <n v="1.6767123287671233"/>
    <n v="14"/>
    <n v="7"/>
  </r>
  <r>
    <x v="1671"/>
    <x v="321"/>
    <x v="2"/>
    <n v="4"/>
    <n v="20.92"/>
    <x v="24"/>
    <x v="0"/>
    <x v="3"/>
    <n v="83.68"/>
    <n v="2.021917808219178"/>
    <n v="21"/>
    <n v="7"/>
  </r>
  <r>
    <x v="1672"/>
    <x v="322"/>
    <x v="2"/>
    <n v="1"/>
    <n v="5.23"/>
    <x v="479"/>
    <x v="4"/>
    <x v="1"/>
    <n v="5.23"/>
    <n v="1.484931506849315"/>
    <n v="9"/>
    <n v="5"/>
  </r>
  <r>
    <x v="1673"/>
    <x v="322"/>
    <x v="5"/>
    <n v="1"/>
    <n v="600.16999999999996"/>
    <x v="87"/>
    <x v="4"/>
    <x v="0"/>
    <n v="600.16999999999996"/>
    <n v="1.0931506849315069"/>
    <n v="18"/>
    <n v="5"/>
  </r>
  <r>
    <x v="1674"/>
    <x v="322"/>
    <x v="6"/>
    <n v="5"/>
    <n v="179.2"/>
    <x v="569"/>
    <x v="1"/>
    <x v="2"/>
    <n v="896"/>
    <n v="1.5232876712328767"/>
    <n v="13"/>
    <n v="5"/>
  </r>
  <r>
    <x v="1675"/>
    <x v="322"/>
    <x v="1"/>
    <n v="1"/>
    <n v="40.659999999999997"/>
    <x v="691"/>
    <x v="1"/>
    <x v="4"/>
    <n v="40.659999999999997"/>
    <n v="1.7780821917808218"/>
    <n v="11"/>
    <n v="7"/>
  </r>
  <r>
    <x v="1676"/>
    <x v="322"/>
    <x v="0"/>
    <n v="4"/>
    <n v="1200.32"/>
    <x v="153"/>
    <x v="1"/>
    <x v="1"/>
    <n v="4801.28"/>
    <n v="0.72602739726027399"/>
    <n v="24"/>
    <n v="7"/>
  </r>
  <r>
    <x v="1677"/>
    <x v="322"/>
    <x v="0"/>
    <n v="2"/>
    <n v="600.16"/>
    <x v="692"/>
    <x v="6"/>
    <x v="1"/>
    <n v="1200.32"/>
    <n v="1.6958904109589041"/>
    <n v="13"/>
    <n v="10"/>
  </r>
  <r>
    <x v="1678"/>
    <x v="322"/>
    <x v="0"/>
    <n v="2"/>
    <n v="600.16"/>
    <x v="452"/>
    <x v="0"/>
    <x v="0"/>
    <n v="1200.32"/>
    <n v="0.9068493150684932"/>
    <n v="17"/>
    <n v="10"/>
  </r>
  <r>
    <x v="1679"/>
    <x v="323"/>
    <x v="1"/>
    <n v="1"/>
    <n v="40.659999999999997"/>
    <x v="69"/>
    <x v="6"/>
    <x v="4"/>
    <n v="40.659999999999997"/>
    <n v="1.7863013698630137"/>
    <n v="17"/>
    <n v="5"/>
  </r>
  <r>
    <x v="1680"/>
    <x v="323"/>
    <x v="2"/>
    <n v="5"/>
    <n v="26.15"/>
    <x v="374"/>
    <x v="6"/>
    <x v="1"/>
    <n v="130.75"/>
    <n v="1.3013698630136987"/>
    <n v="33"/>
    <n v="5"/>
  </r>
  <r>
    <x v="1681"/>
    <x v="323"/>
    <x v="0"/>
    <n v="4"/>
    <n v="1200.32"/>
    <x v="365"/>
    <x v="6"/>
    <x v="0"/>
    <n v="4801.28"/>
    <n v="1.5178082191780822"/>
    <n v="24"/>
    <n v="7"/>
  </r>
  <r>
    <x v="1682"/>
    <x v="323"/>
    <x v="1"/>
    <n v="5"/>
    <n v="203.3"/>
    <x v="540"/>
    <x v="0"/>
    <x v="2"/>
    <n v="1016.5"/>
    <n v="1.2794520547945205"/>
    <n v="18"/>
    <n v="7"/>
  </r>
  <r>
    <x v="1683"/>
    <x v="323"/>
    <x v="0"/>
    <n v="5"/>
    <n v="1500.4"/>
    <x v="451"/>
    <x v="1"/>
    <x v="1"/>
    <n v="7502"/>
    <n v="1.5780821917808219"/>
    <n v="19"/>
    <n v="10"/>
  </r>
  <r>
    <x v="1684"/>
    <x v="324"/>
    <x v="0"/>
    <n v="4"/>
    <n v="1200.32"/>
    <x v="136"/>
    <x v="1"/>
    <x v="4"/>
    <n v="4801.28"/>
    <n v="1.3890410958904109"/>
    <n v="13"/>
    <n v="5"/>
  </r>
  <r>
    <x v="1685"/>
    <x v="324"/>
    <x v="0"/>
    <n v="1"/>
    <n v="300.08"/>
    <x v="623"/>
    <x v="8"/>
    <x v="4"/>
    <n v="300.08"/>
    <n v="1.5013698630136987"/>
    <n v="18"/>
    <n v="5"/>
  </r>
  <r>
    <x v="1686"/>
    <x v="324"/>
    <x v="6"/>
    <n v="2"/>
    <n v="71.680000000000007"/>
    <x v="307"/>
    <x v="0"/>
    <x v="2"/>
    <n v="143.36000000000001"/>
    <n v="1.5671232876712329"/>
    <n v="17"/>
    <n v="5"/>
  </r>
  <r>
    <x v="1687"/>
    <x v="324"/>
    <x v="2"/>
    <n v="1"/>
    <n v="5.23"/>
    <x v="82"/>
    <x v="0"/>
    <x v="4"/>
    <n v="5.23"/>
    <n v="1.1397260273972603"/>
    <n v="5"/>
    <n v="5"/>
  </r>
  <r>
    <x v="1688"/>
    <x v="324"/>
    <x v="2"/>
    <n v="2"/>
    <n v="10.46"/>
    <x v="205"/>
    <x v="9"/>
    <x v="1"/>
    <n v="20.92"/>
    <n v="1.558904109589041"/>
    <n v="14"/>
    <n v="7"/>
  </r>
  <r>
    <x v="1689"/>
    <x v="324"/>
    <x v="2"/>
    <n v="2"/>
    <n v="10.46"/>
    <x v="405"/>
    <x v="3"/>
    <x v="4"/>
    <n v="20.92"/>
    <n v="1.3178082191780822"/>
    <n v="14"/>
    <n v="7"/>
  </r>
  <r>
    <x v="1690"/>
    <x v="325"/>
    <x v="2"/>
    <n v="3"/>
    <n v="15.69"/>
    <x v="533"/>
    <x v="1"/>
    <x v="3"/>
    <n v="47.07"/>
    <n v="1.4356164383561645"/>
    <n v="16"/>
    <n v="5"/>
  </r>
  <r>
    <x v="1691"/>
    <x v="325"/>
    <x v="0"/>
    <n v="1"/>
    <n v="300.08"/>
    <x v="688"/>
    <x v="6"/>
    <x v="4"/>
    <n v="300.08"/>
    <n v="1.4164383561643836"/>
    <n v="13"/>
    <n v="5"/>
  </r>
  <r>
    <x v="1692"/>
    <x v="325"/>
    <x v="1"/>
    <n v="5"/>
    <n v="203.3"/>
    <x v="448"/>
    <x v="0"/>
    <x v="4"/>
    <n v="1016.5"/>
    <n v="1.5205479452054795"/>
    <n v="18"/>
    <n v="7"/>
  </r>
  <r>
    <x v="1693"/>
    <x v="325"/>
    <x v="4"/>
    <n v="1"/>
    <n v="1050"/>
    <x v="178"/>
    <x v="6"/>
    <x v="2"/>
    <n v="1050"/>
    <n v="1.5835616438356164"/>
    <n v="19"/>
    <n v="7"/>
  </r>
  <r>
    <x v="1694"/>
    <x v="325"/>
    <x v="6"/>
    <n v="3"/>
    <n v="107.52"/>
    <x v="421"/>
    <x v="1"/>
    <x v="2"/>
    <n v="322.56"/>
    <n v="1.9561643835616438"/>
    <n v="44"/>
    <n v="7"/>
  </r>
  <r>
    <x v="1695"/>
    <x v="325"/>
    <x v="0"/>
    <n v="2"/>
    <n v="600.16"/>
    <x v="25"/>
    <x v="3"/>
    <x v="2"/>
    <n v="1200.32"/>
    <n v="1.8876712328767122"/>
    <n v="22"/>
    <n v="7"/>
  </r>
  <r>
    <x v="1696"/>
    <x v="326"/>
    <x v="0"/>
    <n v="4"/>
    <n v="1200.32"/>
    <x v="225"/>
    <x v="3"/>
    <x v="0"/>
    <n v="4801.28"/>
    <n v="1.4136986301369863"/>
    <n v="8"/>
    <n v="5"/>
  </r>
  <r>
    <x v="1697"/>
    <x v="326"/>
    <x v="0"/>
    <n v="3"/>
    <n v="900.24"/>
    <x v="537"/>
    <x v="6"/>
    <x v="3"/>
    <n v="2700.7200000000003"/>
    <n v="1.904109589041096"/>
    <n v="10"/>
    <n v="5"/>
  </r>
  <r>
    <x v="1698"/>
    <x v="326"/>
    <x v="0"/>
    <n v="2"/>
    <n v="600.16"/>
    <x v="656"/>
    <x v="5"/>
    <x v="2"/>
    <n v="1200.32"/>
    <n v="1.7205479452054795"/>
    <n v="11"/>
    <n v="5"/>
  </r>
  <r>
    <x v="1699"/>
    <x v="326"/>
    <x v="0"/>
    <n v="1"/>
    <n v="300.08"/>
    <x v="677"/>
    <x v="6"/>
    <x v="3"/>
    <n v="300.08"/>
    <n v="0.83013698630136989"/>
    <n v="18"/>
    <n v="5"/>
  </r>
  <r>
    <x v="1700"/>
    <x v="326"/>
    <x v="2"/>
    <n v="1"/>
    <n v="5.23"/>
    <x v="693"/>
    <x v="1"/>
    <x v="0"/>
    <n v="5.23"/>
    <n v="1.2712328767123289"/>
    <n v="13"/>
    <n v="10"/>
  </r>
  <r>
    <x v="1701"/>
    <x v="327"/>
    <x v="5"/>
    <n v="1"/>
    <n v="600.16999999999996"/>
    <x v="64"/>
    <x v="2"/>
    <x v="0"/>
    <n v="600.16999999999996"/>
    <n v="1.7835616438356163"/>
    <n v="14"/>
    <n v="5"/>
  </r>
  <r>
    <x v="1702"/>
    <x v="327"/>
    <x v="6"/>
    <n v="3"/>
    <n v="107.52"/>
    <x v="433"/>
    <x v="4"/>
    <x v="3"/>
    <n v="322.56"/>
    <n v="0.54520547945205478"/>
    <n v="6"/>
    <n v="5"/>
  </r>
  <r>
    <x v="1703"/>
    <x v="327"/>
    <x v="5"/>
    <n v="4"/>
    <n v="2400.6799999999998"/>
    <x v="420"/>
    <x v="4"/>
    <x v="0"/>
    <n v="9602.7199999999993"/>
    <n v="1.4438356164383561"/>
    <n v="13"/>
    <n v="7"/>
  </r>
  <r>
    <x v="1704"/>
    <x v="327"/>
    <x v="0"/>
    <n v="2"/>
    <n v="600.16"/>
    <x v="692"/>
    <x v="6"/>
    <x v="4"/>
    <n v="1200.32"/>
    <n v="1.4684931506849315"/>
    <n v="24"/>
    <n v="10"/>
  </r>
  <r>
    <x v="1705"/>
    <x v="328"/>
    <x v="0"/>
    <n v="5"/>
    <n v="1500.4"/>
    <x v="271"/>
    <x v="4"/>
    <x v="1"/>
    <n v="7502"/>
    <n v="0"/>
    <n v="3"/>
    <n v="5"/>
  </r>
  <r>
    <x v="1706"/>
    <x v="328"/>
    <x v="1"/>
    <n v="2"/>
    <n v="81.319999999999993"/>
    <x v="228"/>
    <x v="1"/>
    <x v="1"/>
    <n v="162.63999999999999"/>
    <n v="1.2493150684931507"/>
    <n v="16"/>
    <n v="7"/>
  </r>
  <r>
    <x v="1707"/>
    <x v="328"/>
    <x v="5"/>
    <n v="5"/>
    <n v="3000.85"/>
    <x v="274"/>
    <x v="0"/>
    <x v="3"/>
    <n v="15004.25"/>
    <n v="0.30410958904109592"/>
    <n v="8"/>
    <n v="7"/>
  </r>
  <r>
    <x v="1708"/>
    <x v="329"/>
    <x v="1"/>
    <n v="3"/>
    <n v="121.98"/>
    <x v="85"/>
    <x v="9"/>
    <x v="4"/>
    <n v="365.94"/>
    <n v="1.4"/>
    <n v="11"/>
    <n v="5"/>
  </r>
  <r>
    <x v="1709"/>
    <x v="329"/>
    <x v="0"/>
    <n v="1"/>
    <n v="300.08"/>
    <x v="35"/>
    <x v="0"/>
    <x v="3"/>
    <n v="300.08"/>
    <n v="1.6849315068493151"/>
    <n v="22"/>
    <n v="7"/>
  </r>
  <r>
    <x v="1710"/>
    <x v="329"/>
    <x v="2"/>
    <n v="5"/>
    <n v="26.15"/>
    <x v="384"/>
    <x v="0"/>
    <x v="2"/>
    <n v="130.75"/>
    <n v="1.6383561643835616"/>
    <n v="15"/>
    <n v="7"/>
  </r>
  <r>
    <x v="1711"/>
    <x v="330"/>
    <x v="1"/>
    <n v="2"/>
    <n v="81.319999999999993"/>
    <x v="471"/>
    <x v="3"/>
    <x v="1"/>
    <n v="162.63999999999999"/>
    <n v="1.5698630136986302"/>
    <n v="23"/>
    <n v="5"/>
  </r>
  <r>
    <x v="1712"/>
    <x v="330"/>
    <x v="0"/>
    <n v="5"/>
    <n v="1500.4"/>
    <x v="515"/>
    <x v="0"/>
    <x v="4"/>
    <n v="7502"/>
    <n v="1.6054794520547946"/>
    <n v="9"/>
    <n v="7"/>
  </r>
  <r>
    <x v="1713"/>
    <x v="330"/>
    <x v="1"/>
    <n v="5"/>
    <n v="203.3"/>
    <x v="4"/>
    <x v="8"/>
    <x v="4"/>
    <n v="1016.5"/>
    <n v="1.1095890410958904"/>
    <n v="16"/>
    <n v="7"/>
  </r>
  <r>
    <x v="1714"/>
    <x v="330"/>
    <x v="0"/>
    <n v="4"/>
    <n v="1200.32"/>
    <x v="182"/>
    <x v="7"/>
    <x v="3"/>
    <n v="4801.28"/>
    <n v="1.3205479452054794"/>
    <n v="13"/>
    <n v="7"/>
  </r>
  <r>
    <x v="1715"/>
    <x v="331"/>
    <x v="2"/>
    <n v="2"/>
    <n v="10.46"/>
    <x v="647"/>
    <x v="6"/>
    <x v="3"/>
    <n v="20.92"/>
    <n v="1.2"/>
    <n v="14"/>
    <n v="7"/>
  </r>
  <r>
    <x v="1716"/>
    <x v="331"/>
    <x v="1"/>
    <n v="2"/>
    <n v="81.319999999999993"/>
    <x v="40"/>
    <x v="4"/>
    <x v="3"/>
    <n v="162.63999999999999"/>
    <n v="1.5205479452054795"/>
    <n v="14"/>
    <n v="7"/>
  </r>
  <r>
    <x v="1717"/>
    <x v="332"/>
    <x v="7"/>
    <n v="3"/>
    <n v="35.19"/>
    <x v="462"/>
    <x v="6"/>
    <x v="1"/>
    <n v="105.57"/>
    <n v="1.8520547945205479"/>
    <n v="18"/>
    <n v="5"/>
  </r>
  <r>
    <x v="1718"/>
    <x v="332"/>
    <x v="1"/>
    <n v="4"/>
    <n v="162.63999999999999"/>
    <x v="74"/>
    <x v="6"/>
    <x v="3"/>
    <n v="650.55999999999995"/>
    <n v="1.2082191780821918"/>
    <n v="6"/>
    <n v="5"/>
  </r>
  <r>
    <x v="1719"/>
    <x v="332"/>
    <x v="6"/>
    <n v="3"/>
    <n v="107.52"/>
    <x v="129"/>
    <x v="6"/>
    <x v="2"/>
    <n v="322.56"/>
    <n v="1.3150684931506849"/>
    <n v="13"/>
    <n v="7"/>
  </r>
  <r>
    <x v="1720"/>
    <x v="332"/>
    <x v="0"/>
    <n v="1"/>
    <n v="300.08"/>
    <x v="330"/>
    <x v="6"/>
    <x v="2"/>
    <n v="300.08"/>
    <n v="0.14520547945205478"/>
    <n v="7"/>
    <n v="7"/>
  </r>
  <r>
    <x v="1721"/>
    <x v="332"/>
    <x v="5"/>
    <n v="3"/>
    <n v="1800.51"/>
    <x v="615"/>
    <x v="6"/>
    <x v="4"/>
    <n v="5401.53"/>
    <n v="0.40821917808219177"/>
    <n v="10"/>
    <n v="7"/>
  </r>
  <r>
    <x v="1722"/>
    <x v="332"/>
    <x v="0"/>
    <n v="2"/>
    <n v="600.16"/>
    <x v="499"/>
    <x v="1"/>
    <x v="1"/>
    <n v="1200.32"/>
    <n v="1.9424657534246574"/>
    <n v="10"/>
    <n v="7"/>
  </r>
  <r>
    <x v="1723"/>
    <x v="333"/>
    <x v="4"/>
    <n v="5"/>
    <n v="5250"/>
    <x v="445"/>
    <x v="6"/>
    <x v="4"/>
    <n v="26250"/>
    <n v="1.0547945205479452"/>
    <n v="10"/>
    <n v="5"/>
  </r>
  <r>
    <x v="1724"/>
    <x v="333"/>
    <x v="2"/>
    <n v="3"/>
    <n v="15.69"/>
    <x v="326"/>
    <x v="3"/>
    <x v="0"/>
    <n v="47.07"/>
    <n v="1.7753424657534247"/>
    <n v="11"/>
    <n v="5"/>
  </r>
  <r>
    <x v="1725"/>
    <x v="333"/>
    <x v="0"/>
    <n v="1"/>
    <n v="300.08"/>
    <x v="694"/>
    <x v="0"/>
    <x v="4"/>
    <n v="300.08"/>
    <n v="1.4246575342465753"/>
    <n v="17"/>
    <n v="5"/>
  </r>
  <r>
    <x v="1726"/>
    <x v="334"/>
    <x v="0"/>
    <n v="3"/>
    <n v="900.24"/>
    <x v="695"/>
    <x v="7"/>
    <x v="3"/>
    <n v="2700.7200000000003"/>
    <n v="1.2164383561643837"/>
    <n v="17"/>
    <n v="5"/>
  </r>
  <r>
    <x v="1727"/>
    <x v="334"/>
    <x v="0"/>
    <n v="5"/>
    <n v="1500.4"/>
    <x v="696"/>
    <x v="9"/>
    <x v="1"/>
    <n v="7502"/>
    <n v="0.18904109589041096"/>
    <n v="5"/>
    <n v="5"/>
  </r>
  <r>
    <x v="1728"/>
    <x v="334"/>
    <x v="6"/>
    <n v="4"/>
    <n v="143.36000000000001"/>
    <x v="271"/>
    <x v="1"/>
    <x v="1"/>
    <n v="573.44000000000005"/>
    <n v="1.6465753424657534"/>
    <n v="19"/>
    <n v="5"/>
  </r>
  <r>
    <x v="1729"/>
    <x v="334"/>
    <x v="6"/>
    <n v="1"/>
    <n v="35.840000000000003"/>
    <x v="552"/>
    <x v="6"/>
    <x v="1"/>
    <n v="35.840000000000003"/>
    <n v="1.5863013698630137"/>
    <n v="9"/>
    <n v="5"/>
  </r>
  <r>
    <x v="1730"/>
    <x v="334"/>
    <x v="0"/>
    <n v="3"/>
    <n v="900.24"/>
    <x v="167"/>
    <x v="1"/>
    <x v="2"/>
    <n v="2700.7200000000003"/>
    <n v="0.98356164383561639"/>
    <n v="13"/>
    <n v="5"/>
  </r>
  <r>
    <x v="1731"/>
    <x v="334"/>
    <x v="3"/>
    <n v="4"/>
    <n v="60.6"/>
    <x v="274"/>
    <x v="0"/>
    <x v="3"/>
    <n v="242.4"/>
    <n v="1.2054794520547945"/>
    <n v="15"/>
    <n v="7"/>
  </r>
  <r>
    <x v="1732"/>
    <x v="335"/>
    <x v="0"/>
    <n v="1"/>
    <n v="300.08"/>
    <x v="244"/>
    <x v="3"/>
    <x v="1"/>
    <n v="300.08"/>
    <n v="1.6520547945205479"/>
    <n v="8"/>
    <n v="5"/>
  </r>
  <r>
    <x v="1733"/>
    <x v="335"/>
    <x v="6"/>
    <n v="5"/>
    <n v="179.2"/>
    <x v="437"/>
    <x v="5"/>
    <x v="0"/>
    <n v="896"/>
    <n v="1.473972602739726"/>
    <n v="16"/>
    <n v="5"/>
  </r>
  <r>
    <x v="1734"/>
    <x v="335"/>
    <x v="6"/>
    <n v="5"/>
    <n v="179.2"/>
    <x v="610"/>
    <x v="5"/>
    <x v="4"/>
    <n v="896"/>
    <n v="1.210958904109589"/>
    <n v="13"/>
    <n v="5"/>
  </r>
  <r>
    <x v="1735"/>
    <x v="335"/>
    <x v="0"/>
    <n v="4"/>
    <n v="1200.32"/>
    <x v="286"/>
    <x v="4"/>
    <x v="2"/>
    <n v="4801.28"/>
    <n v="1.2657534246575342"/>
    <n v="21"/>
    <n v="5"/>
  </r>
  <r>
    <x v="1736"/>
    <x v="335"/>
    <x v="1"/>
    <n v="3"/>
    <n v="121.98"/>
    <x v="26"/>
    <x v="6"/>
    <x v="0"/>
    <n v="365.94"/>
    <n v="1.3369863013698631"/>
    <n v="14"/>
    <n v="10"/>
  </r>
  <r>
    <x v="1737"/>
    <x v="336"/>
    <x v="6"/>
    <n v="1"/>
    <n v="35.840000000000003"/>
    <x v="79"/>
    <x v="7"/>
    <x v="1"/>
    <n v="35.840000000000003"/>
    <n v="1.2"/>
    <n v="17"/>
    <n v="5"/>
  </r>
  <r>
    <x v="1738"/>
    <x v="336"/>
    <x v="0"/>
    <n v="2"/>
    <n v="600.16"/>
    <x v="387"/>
    <x v="6"/>
    <x v="2"/>
    <n v="1200.32"/>
    <n v="1.1589041095890411"/>
    <n v="18"/>
    <n v="5"/>
  </r>
  <r>
    <x v="1739"/>
    <x v="336"/>
    <x v="6"/>
    <n v="3"/>
    <n v="107.52"/>
    <x v="361"/>
    <x v="5"/>
    <x v="0"/>
    <n v="322.56"/>
    <n v="1.6273972602739726"/>
    <n v="13"/>
    <n v="7"/>
  </r>
  <r>
    <x v="1740"/>
    <x v="336"/>
    <x v="0"/>
    <n v="3"/>
    <n v="900.24"/>
    <x v="214"/>
    <x v="0"/>
    <x v="1"/>
    <n v="2700.7200000000003"/>
    <n v="0.73424657534246573"/>
    <n v="21"/>
    <n v="7"/>
  </r>
  <r>
    <x v="1741"/>
    <x v="337"/>
    <x v="0"/>
    <n v="4"/>
    <n v="1200.32"/>
    <x v="318"/>
    <x v="2"/>
    <x v="1"/>
    <n v="4801.28"/>
    <n v="0.26301369863013696"/>
    <n v="15"/>
    <n v="5"/>
  </r>
  <r>
    <x v="1742"/>
    <x v="337"/>
    <x v="5"/>
    <n v="5"/>
    <n v="3000.85"/>
    <x v="305"/>
    <x v="2"/>
    <x v="1"/>
    <n v="15004.25"/>
    <n v="1.7726027397260273"/>
    <n v="40"/>
    <n v="5"/>
  </r>
  <r>
    <x v="1743"/>
    <x v="337"/>
    <x v="0"/>
    <n v="5"/>
    <n v="1500.4"/>
    <x v="697"/>
    <x v="0"/>
    <x v="3"/>
    <n v="7502"/>
    <n v="1.7068493150684931"/>
    <n v="9"/>
    <n v="5"/>
  </r>
  <r>
    <x v="1744"/>
    <x v="337"/>
    <x v="3"/>
    <n v="3"/>
    <n v="45.45"/>
    <x v="398"/>
    <x v="1"/>
    <x v="2"/>
    <n v="136.35000000000002"/>
    <n v="1.6246575342465754"/>
    <n v="27"/>
    <n v="5"/>
  </r>
  <r>
    <x v="1745"/>
    <x v="337"/>
    <x v="0"/>
    <n v="4"/>
    <n v="1200.32"/>
    <x v="7"/>
    <x v="6"/>
    <x v="3"/>
    <n v="4801.28"/>
    <n v="1.2438356164383562"/>
    <n v="14"/>
    <n v="7"/>
  </r>
  <r>
    <x v="1746"/>
    <x v="337"/>
    <x v="2"/>
    <n v="4"/>
    <n v="20.92"/>
    <x v="542"/>
    <x v="3"/>
    <x v="4"/>
    <n v="83.68"/>
    <n v="1.2794520547945205"/>
    <n v="30"/>
    <n v="7"/>
  </r>
  <r>
    <x v="1747"/>
    <x v="337"/>
    <x v="1"/>
    <n v="3"/>
    <n v="121.98"/>
    <x v="337"/>
    <x v="3"/>
    <x v="4"/>
    <n v="365.94"/>
    <n v="0.47397260273972602"/>
    <n v="8"/>
    <n v="7"/>
  </r>
  <r>
    <x v="1748"/>
    <x v="337"/>
    <x v="4"/>
    <n v="4"/>
    <n v="4200"/>
    <x v="698"/>
    <x v="0"/>
    <x v="3"/>
    <n v="16800"/>
    <n v="0.63835616438356169"/>
    <n v="13"/>
    <n v="7"/>
  </r>
  <r>
    <x v="1749"/>
    <x v="337"/>
    <x v="1"/>
    <n v="3"/>
    <n v="121.98"/>
    <x v="274"/>
    <x v="5"/>
    <x v="4"/>
    <n v="365.94"/>
    <n v="1.0630136986301371"/>
    <n v="16"/>
    <n v="7"/>
  </r>
  <r>
    <x v="1750"/>
    <x v="337"/>
    <x v="2"/>
    <n v="4"/>
    <n v="20.92"/>
    <x v="699"/>
    <x v="0"/>
    <x v="4"/>
    <n v="83.68"/>
    <n v="0.8794520547945206"/>
    <n v="15"/>
    <n v="7"/>
  </r>
  <r>
    <x v="1751"/>
    <x v="337"/>
    <x v="2"/>
    <n v="1"/>
    <n v="5.23"/>
    <x v="277"/>
    <x v="0"/>
    <x v="1"/>
    <n v="5.23"/>
    <n v="1.7753424657534247"/>
    <n v="11"/>
    <n v="7"/>
  </r>
  <r>
    <x v="1752"/>
    <x v="337"/>
    <x v="2"/>
    <n v="4"/>
    <n v="20.92"/>
    <x v="628"/>
    <x v="0"/>
    <x v="4"/>
    <n v="83.68"/>
    <n v="1.5013698630136987"/>
    <n v="11"/>
    <n v="10"/>
  </r>
  <r>
    <x v="1753"/>
    <x v="338"/>
    <x v="0"/>
    <n v="5"/>
    <n v="1500.4"/>
    <x v="87"/>
    <x v="0"/>
    <x v="0"/>
    <n v="7502"/>
    <n v="1.8547945205479452"/>
    <n v="19"/>
    <n v="5"/>
  </r>
  <r>
    <x v="1754"/>
    <x v="338"/>
    <x v="7"/>
    <n v="1"/>
    <n v="11.73"/>
    <x v="398"/>
    <x v="6"/>
    <x v="1"/>
    <n v="11.73"/>
    <n v="1.4876712328767123"/>
    <n v="21"/>
    <n v="5"/>
  </r>
  <r>
    <x v="1755"/>
    <x v="338"/>
    <x v="0"/>
    <n v="4"/>
    <n v="1200.32"/>
    <x v="700"/>
    <x v="9"/>
    <x v="0"/>
    <n v="4801.28"/>
    <n v="1.9342465753424658"/>
    <n v="21"/>
    <n v="7"/>
  </r>
  <r>
    <x v="1756"/>
    <x v="338"/>
    <x v="0"/>
    <n v="4"/>
    <n v="1200.32"/>
    <x v="544"/>
    <x v="6"/>
    <x v="3"/>
    <n v="4801.28"/>
    <n v="0.21917808219178081"/>
    <n v="11"/>
    <n v="7"/>
  </r>
  <r>
    <x v="1757"/>
    <x v="339"/>
    <x v="2"/>
    <n v="2"/>
    <n v="10.46"/>
    <x v="202"/>
    <x v="0"/>
    <x v="1"/>
    <n v="20.92"/>
    <n v="0.43287671232876712"/>
    <n v="9"/>
    <n v="5"/>
  </r>
  <r>
    <x v="1758"/>
    <x v="339"/>
    <x v="2"/>
    <n v="1"/>
    <n v="5.23"/>
    <x v="409"/>
    <x v="4"/>
    <x v="3"/>
    <n v="5.23"/>
    <n v="1.9315068493150684"/>
    <n v="19"/>
    <n v="7"/>
  </r>
  <r>
    <x v="1759"/>
    <x v="339"/>
    <x v="5"/>
    <n v="5"/>
    <n v="3000.85"/>
    <x v="601"/>
    <x v="6"/>
    <x v="3"/>
    <n v="15004.25"/>
    <n v="1.7123287671232876"/>
    <n v="32"/>
    <n v="7"/>
  </r>
  <r>
    <x v="1760"/>
    <x v="340"/>
    <x v="0"/>
    <n v="2"/>
    <n v="600.16"/>
    <x v="172"/>
    <x v="0"/>
    <x v="2"/>
    <n v="1200.32"/>
    <n v="2.0246575342465754"/>
    <n v="17"/>
    <n v="5"/>
  </r>
  <r>
    <x v="1761"/>
    <x v="340"/>
    <x v="2"/>
    <n v="3"/>
    <n v="15.69"/>
    <x v="563"/>
    <x v="5"/>
    <x v="0"/>
    <n v="47.07"/>
    <n v="1.0876712328767124"/>
    <n v="12"/>
    <n v="5"/>
  </r>
  <r>
    <x v="1762"/>
    <x v="340"/>
    <x v="5"/>
    <n v="5"/>
    <n v="3000.85"/>
    <x v="639"/>
    <x v="4"/>
    <x v="4"/>
    <n v="15004.25"/>
    <n v="1.9917808219178081"/>
    <n v="11"/>
    <n v="5"/>
  </r>
  <r>
    <x v="1763"/>
    <x v="340"/>
    <x v="3"/>
    <n v="2"/>
    <n v="30.3"/>
    <x v="460"/>
    <x v="9"/>
    <x v="1"/>
    <n v="60.6"/>
    <n v="1.8383561643835618"/>
    <n v="20"/>
    <n v="7"/>
  </r>
  <r>
    <x v="1764"/>
    <x v="340"/>
    <x v="1"/>
    <n v="1"/>
    <n v="40.659999999999997"/>
    <x v="336"/>
    <x v="0"/>
    <x v="0"/>
    <n v="40.659999999999997"/>
    <n v="0.90958904109589045"/>
    <n v="22"/>
    <n v="7"/>
  </r>
  <r>
    <x v="1765"/>
    <x v="340"/>
    <x v="3"/>
    <n v="3"/>
    <n v="45.45"/>
    <x v="701"/>
    <x v="6"/>
    <x v="3"/>
    <n v="136.35000000000002"/>
    <n v="1.2191780821917808"/>
    <n v="17"/>
    <n v="7"/>
  </r>
  <r>
    <x v="1766"/>
    <x v="340"/>
    <x v="1"/>
    <n v="2"/>
    <n v="81.319999999999993"/>
    <x v="675"/>
    <x v="1"/>
    <x v="2"/>
    <n v="162.63999999999999"/>
    <n v="1.8136986301369864"/>
    <n v="14"/>
    <n v="7"/>
  </r>
  <r>
    <x v="1767"/>
    <x v="340"/>
    <x v="1"/>
    <n v="4"/>
    <n v="162.63999999999999"/>
    <x v="148"/>
    <x v="6"/>
    <x v="3"/>
    <n v="650.55999999999995"/>
    <n v="1.7671232876712328"/>
    <n v="16"/>
    <n v="7"/>
  </r>
  <r>
    <x v="1768"/>
    <x v="340"/>
    <x v="0"/>
    <n v="4"/>
    <n v="1200.32"/>
    <x v="702"/>
    <x v="1"/>
    <x v="0"/>
    <n v="4801.28"/>
    <n v="1.4273972602739726"/>
    <n v="16"/>
    <n v="7"/>
  </r>
  <r>
    <x v="1769"/>
    <x v="340"/>
    <x v="1"/>
    <n v="2"/>
    <n v="81.319999999999993"/>
    <x v="682"/>
    <x v="8"/>
    <x v="0"/>
    <n v="162.63999999999999"/>
    <n v="0.67397260273972603"/>
    <n v="10"/>
    <n v="10"/>
  </r>
  <r>
    <x v="1770"/>
    <x v="341"/>
    <x v="0"/>
    <n v="5"/>
    <n v="1500.4"/>
    <x v="457"/>
    <x v="7"/>
    <x v="2"/>
    <n v="7502"/>
    <n v="1.1698630136986301"/>
    <n v="12"/>
    <n v="5"/>
  </r>
  <r>
    <x v="1771"/>
    <x v="341"/>
    <x v="0"/>
    <n v="5"/>
    <n v="1500.4"/>
    <x v="45"/>
    <x v="4"/>
    <x v="1"/>
    <n v="7502"/>
    <n v="1.7561643835616438"/>
    <n v="18"/>
    <n v="5"/>
  </r>
  <r>
    <x v="1772"/>
    <x v="341"/>
    <x v="2"/>
    <n v="1"/>
    <n v="5.23"/>
    <x v="338"/>
    <x v="0"/>
    <x v="4"/>
    <n v="5.23"/>
    <n v="0.66849315068493154"/>
    <n v="7"/>
    <n v="5"/>
  </r>
  <r>
    <x v="1773"/>
    <x v="341"/>
    <x v="2"/>
    <n v="1"/>
    <n v="5.23"/>
    <x v="27"/>
    <x v="4"/>
    <x v="4"/>
    <n v="5.23"/>
    <n v="1.5287671232876712"/>
    <n v="17"/>
    <n v="5"/>
  </r>
  <r>
    <x v="1774"/>
    <x v="341"/>
    <x v="3"/>
    <n v="1"/>
    <n v="15.15"/>
    <x v="339"/>
    <x v="0"/>
    <x v="2"/>
    <n v="15.15"/>
    <n v="1.5178082191780822"/>
    <n v="12"/>
    <n v="5"/>
  </r>
  <r>
    <x v="1775"/>
    <x v="342"/>
    <x v="1"/>
    <n v="2"/>
    <n v="81.319999999999993"/>
    <x v="636"/>
    <x v="8"/>
    <x v="0"/>
    <n v="162.63999999999999"/>
    <n v="1.7753424657534247"/>
    <n v="22"/>
    <n v="5"/>
  </r>
  <r>
    <x v="1776"/>
    <x v="342"/>
    <x v="2"/>
    <n v="2"/>
    <n v="10.46"/>
    <x v="560"/>
    <x v="0"/>
    <x v="3"/>
    <n v="20.92"/>
    <n v="1.6054794520547946"/>
    <n v="18"/>
    <n v="5"/>
  </r>
  <r>
    <x v="1777"/>
    <x v="342"/>
    <x v="7"/>
    <n v="4"/>
    <n v="46.92"/>
    <x v="703"/>
    <x v="7"/>
    <x v="1"/>
    <n v="187.68"/>
    <n v="0.81095890410958904"/>
    <n v="9"/>
    <n v="7"/>
  </r>
  <r>
    <x v="1778"/>
    <x v="342"/>
    <x v="1"/>
    <n v="5"/>
    <n v="203.3"/>
    <x v="704"/>
    <x v="0"/>
    <x v="2"/>
    <n v="1016.5"/>
    <n v="1.2547945205479452"/>
    <n v="32"/>
    <n v="7"/>
  </r>
  <r>
    <x v="1779"/>
    <x v="343"/>
    <x v="3"/>
    <n v="5"/>
    <n v="75.75"/>
    <x v="97"/>
    <x v="3"/>
    <x v="3"/>
    <n v="378.75"/>
    <n v="1.6821917808219178"/>
    <n v="21"/>
    <n v="5"/>
  </r>
  <r>
    <x v="1780"/>
    <x v="343"/>
    <x v="6"/>
    <n v="1"/>
    <n v="35.840000000000003"/>
    <x v="662"/>
    <x v="0"/>
    <x v="4"/>
    <n v="35.840000000000003"/>
    <n v="1.3945205479452054"/>
    <n v="11"/>
    <n v="5"/>
  </r>
  <r>
    <x v="1781"/>
    <x v="343"/>
    <x v="0"/>
    <n v="4"/>
    <n v="1200.32"/>
    <x v="305"/>
    <x v="0"/>
    <x v="1"/>
    <n v="4801.28"/>
    <n v="1.3863013698630138"/>
    <n v="16"/>
    <n v="5"/>
  </r>
  <r>
    <x v="1782"/>
    <x v="343"/>
    <x v="5"/>
    <n v="2"/>
    <n v="1200.3399999999999"/>
    <x v="357"/>
    <x v="8"/>
    <x v="3"/>
    <n v="2400.6799999999998"/>
    <n v="1.3232876712328767"/>
    <n v="14"/>
    <n v="5"/>
  </r>
  <r>
    <x v="1783"/>
    <x v="343"/>
    <x v="0"/>
    <n v="4"/>
    <n v="1200.32"/>
    <x v="581"/>
    <x v="9"/>
    <x v="1"/>
    <n v="4801.28"/>
    <n v="1.4356164383561645"/>
    <n v="28"/>
    <n v="7"/>
  </r>
  <r>
    <x v="1784"/>
    <x v="344"/>
    <x v="1"/>
    <n v="1"/>
    <n v="40.659999999999997"/>
    <x v="5"/>
    <x v="3"/>
    <x v="0"/>
    <n v="40.659999999999997"/>
    <n v="1.6849315068493151"/>
    <n v="12"/>
    <n v="5"/>
  </r>
  <r>
    <x v="1785"/>
    <x v="344"/>
    <x v="6"/>
    <n v="3"/>
    <n v="107.52"/>
    <x v="609"/>
    <x v="3"/>
    <x v="3"/>
    <n v="322.56"/>
    <n v="1.2657534246575342"/>
    <n v="11"/>
    <n v="5"/>
  </r>
  <r>
    <x v="1786"/>
    <x v="344"/>
    <x v="0"/>
    <n v="3"/>
    <n v="900.24"/>
    <x v="696"/>
    <x v="0"/>
    <x v="2"/>
    <n v="2700.7200000000003"/>
    <n v="1.8986301369863015"/>
    <n v="23"/>
    <n v="5"/>
  </r>
  <r>
    <x v="1787"/>
    <x v="344"/>
    <x v="0"/>
    <n v="5"/>
    <n v="1500.4"/>
    <x v="278"/>
    <x v="7"/>
    <x v="4"/>
    <n v="7502"/>
    <n v="1.9917808219178081"/>
    <n v="14"/>
    <n v="5"/>
  </r>
  <r>
    <x v="1788"/>
    <x v="344"/>
    <x v="6"/>
    <n v="3"/>
    <n v="107.52"/>
    <x v="138"/>
    <x v="0"/>
    <x v="1"/>
    <n v="322.56"/>
    <n v="1.189041095890411"/>
    <n v="20"/>
    <n v="5"/>
  </r>
  <r>
    <x v="1789"/>
    <x v="344"/>
    <x v="0"/>
    <n v="2"/>
    <n v="600.16"/>
    <x v="100"/>
    <x v="4"/>
    <x v="2"/>
    <n v="1200.32"/>
    <n v="1.1452054794520548"/>
    <n v="12"/>
    <n v="5"/>
  </r>
  <r>
    <x v="1790"/>
    <x v="344"/>
    <x v="6"/>
    <n v="1"/>
    <n v="35.840000000000003"/>
    <x v="149"/>
    <x v="4"/>
    <x v="3"/>
    <n v="35.840000000000003"/>
    <n v="1.106849315068493"/>
    <n v="17"/>
    <n v="5"/>
  </r>
  <r>
    <x v="1791"/>
    <x v="344"/>
    <x v="2"/>
    <n v="1"/>
    <n v="5.23"/>
    <x v="475"/>
    <x v="2"/>
    <x v="4"/>
    <n v="5.23"/>
    <n v="1.4328767123287671"/>
    <n v="20"/>
    <n v="5"/>
  </r>
  <r>
    <x v="1792"/>
    <x v="344"/>
    <x v="0"/>
    <n v="4"/>
    <n v="1200.32"/>
    <x v="644"/>
    <x v="4"/>
    <x v="1"/>
    <n v="4801.28"/>
    <n v="1.4767123287671233"/>
    <n v="18"/>
    <n v="7"/>
  </r>
  <r>
    <x v="1793"/>
    <x v="344"/>
    <x v="0"/>
    <n v="4"/>
    <n v="1200.32"/>
    <x v="705"/>
    <x v="2"/>
    <x v="4"/>
    <n v="4801.28"/>
    <n v="1.4712328767123288"/>
    <n v="8"/>
    <n v="7"/>
  </r>
  <r>
    <x v="1794"/>
    <x v="345"/>
    <x v="2"/>
    <n v="3"/>
    <n v="15.69"/>
    <x v="301"/>
    <x v="9"/>
    <x v="1"/>
    <n v="47.07"/>
    <n v="0.90958904109589045"/>
    <n v="10"/>
    <n v="5"/>
  </r>
  <r>
    <x v="1795"/>
    <x v="345"/>
    <x v="0"/>
    <n v="1"/>
    <n v="300.08"/>
    <x v="312"/>
    <x v="1"/>
    <x v="3"/>
    <n v="300.08"/>
    <n v="1.2054794520547945"/>
    <n v="24"/>
    <n v="5"/>
  </r>
  <r>
    <x v="1796"/>
    <x v="345"/>
    <x v="0"/>
    <n v="1"/>
    <n v="300.08"/>
    <x v="302"/>
    <x v="4"/>
    <x v="2"/>
    <n v="300.08"/>
    <n v="1.5205479452054795"/>
    <n v="16"/>
    <n v="5"/>
  </r>
  <r>
    <x v="1797"/>
    <x v="345"/>
    <x v="2"/>
    <n v="2"/>
    <n v="10.46"/>
    <x v="205"/>
    <x v="9"/>
    <x v="0"/>
    <n v="20.92"/>
    <n v="1.6602739726027398"/>
    <n v="20"/>
    <n v="7"/>
  </r>
  <r>
    <x v="1798"/>
    <x v="345"/>
    <x v="1"/>
    <n v="4"/>
    <n v="162.63999999999999"/>
    <x v="160"/>
    <x v="0"/>
    <x v="3"/>
    <n v="650.55999999999995"/>
    <n v="0"/>
    <n v="4"/>
    <n v="7"/>
  </r>
  <r>
    <x v="1799"/>
    <x v="346"/>
    <x v="6"/>
    <n v="4"/>
    <n v="143.36000000000001"/>
    <x v="684"/>
    <x v="6"/>
    <x v="4"/>
    <n v="573.44000000000005"/>
    <n v="0.81369863013698629"/>
    <n v="22"/>
    <n v="7"/>
  </r>
  <r>
    <x v="1800"/>
    <x v="346"/>
    <x v="5"/>
    <n v="3"/>
    <n v="1800.51"/>
    <x v="633"/>
    <x v="6"/>
    <x v="1"/>
    <n v="5401.53"/>
    <n v="1.6904109589041096"/>
    <n v="28"/>
    <n v="7"/>
  </r>
  <r>
    <x v="1801"/>
    <x v="346"/>
    <x v="0"/>
    <n v="1"/>
    <n v="300.08"/>
    <x v="706"/>
    <x v="0"/>
    <x v="4"/>
    <n v="300.08"/>
    <n v="1.2821917808219179"/>
    <n v="17"/>
    <n v="7"/>
  </r>
  <r>
    <x v="1802"/>
    <x v="346"/>
    <x v="0"/>
    <n v="3"/>
    <n v="900.24"/>
    <x v="330"/>
    <x v="6"/>
    <x v="3"/>
    <n v="2700.7200000000003"/>
    <n v="0.64657534246575343"/>
    <n v="8"/>
    <n v="7"/>
  </r>
  <r>
    <x v="1803"/>
    <x v="346"/>
    <x v="0"/>
    <n v="5"/>
    <n v="1500.4"/>
    <x v="667"/>
    <x v="1"/>
    <x v="1"/>
    <n v="7502"/>
    <n v="1.0547945205479452"/>
    <n v="11"/>
    <n v="7"/>
  </r>
  <r>
    <x v="1804"/>
    <x v="346"/>
    <x v="0"/>
    <n v="3"/>
    <n v="900.24"/>
    <x v="412"/>
    <x v="0"/>
    <x v="4"/>
    <n v="2700.7200000000003"/>
    <n v="1.4301369863013698"/>
    <n v="6"/>
    <n v="7"/>
  </r>
  <r>
    <x v="1805"/>
    <x v="347"/>
    <x v="0"/>
    <n v="5"/>
    <n v="1500.4"/>
    <x v="68"/>
    <x v="1"/>
    <x v="0"/>
    <n v="7502"/>
    <n v="1.3041095890410959"/>
    <n v="20"/>
    <n v="5"/>
  </r>
  <r>
    <x v="1806"/>
    <x v="347"/>
    <x v="7"/>
    <n v="5"/>
    <n v="58.65"/>
    <x v="318"/>
    <x v="0"/>
    <x v="1"/>
    <n v="293.25"/>
    <n v="1.1397260273972603"/>
    <n v="18"/>
    <n v="5"/>
  </r>
  <r>
    <x v="1807"/>
    <x v="347"/>
    <x v="6"/>
    <n v="3"/>
    <n v="107.52"/>
    <x v="315"/>
    <x v="6"/>
    <x v="3"/>
    <n v="322.56"/>
    <n v="1.558904109589041"/>
    <n v="12"/>
    <n v="5"/>
  </r>
  <r>
    <x v="1808"/>
    <x v="347"/>
    <x v="2"/>
    <n v="2"/>
    <n v="10.46"/>
    <x v="24"/>
    <x v="4"/>
    <x v="2"/>
    <n v="20.92"/>
    <n v="1.8054794520547945"/>
    <n v="16"/>
    <n v="7"/>
  </r>
  <r>
    <x v="1809"/>
    <x v="348"/>
    <x v="6"/>
    <n v="1"/>
    <n v="35.840000000000003"/>
    <x v="232"/>
    <x v="0"/>
    <x v="1"/>
    <n v="35.840000000000003"/>
    <n v="1.9452054794520548"/>
    <n v="21"/>
    <n v="5"/>
  </r>
  <r>
    <x v="1810"/>
    <x v="348"/>
    <x v="4"/>
    <n v="1"/>
    <n v="1050"/>
    <x v="646"/>
    <x v="5"/>
    <x v="3"/>
    <n v="1050"/>
    <n v="1.547945205479452"/>
    <n v="9"/>
    <n v="5"/>
  </r>
  <r>
    <x v="1811"/>
    <x v="348"/>
    <x v="4"/>
    <n v="5"/>
    <n v="5250"/>
    <x v="698"/>
    <x v="9"/>
    <x v="0"/>
    <n v="26250"/>
    <n v="1.5726027397260274"/>
    <n v="10"/>
    <n v="7"/>
  </r>
  <r>
    <x v="1812"/>
    <x v="348"/>
    <x v="5"/>
    <n v="4"/>
    <n v="2400.6799999999998"/>
    <x v="71"/>
    <x v="2"/>
    <x v="0"/>
    <n v="9602.7199999999993"/>
    <n v="1.6602739726027398"/>
    <n v="14"/>
    <n v="10"/>
  </r>
  <r>
    <x v="1813"/>
    <x v="349"/>
    <x v="2"/>
    <n v="3"/>
    <n v="15.69"/>
    <x v="598"/>
    <x v="1"/>
    <x v="0"/>
    <n v="47.07"/>
    <n v="0.38630136986301372"/>
    <n v="10"/>
    <n v="5"/>
  </r>
  <r>
    <x v="1814"/>
    <x v="349"/>
    <x v="1"/>
    <n v="2"/>
    <n v="81.319999999999993"/>
    <x v="680"/>
    <x v="5"/>
    <x v="1"/>
    <n v="162.63999999999999"/>
    <n v="1.5123287671232877"/>
    <n v="16"/>
    <n v="5"/>
  </r>
  <r>
    <x v="1815"/>
    <x v="349"/>
    <x v="2"/>
    <n v="5"/>
    <n v="26.15"/>
    <x v="460"/>
    <x v="0"/>
    <x v="3"/>
    <n v="130.75"/>
    <n v="0.68219178082191778"/>
    <n v="16"/>
    <n v="7"/>
  </r>
  <r>
    <x v="1816"/>
    <x v="349"/>
    <x v="7"/>
    <n v="5"/>
    <n v="58.65"/>
    <x v="227"/>
    <x v="6"/>
    <x v="1"/>
    <n v="293.25"/>
    <n v="2.0493150684931507"/>
    <n v="15"/>
    <n v="7"/>
  </r>
  <r>
    <x v="1817"/>
    <x v="349"/>
    <x v="0"/>
    <n v="4"/>
    <n v="1200.32"/>
    <x v="299"/>
    <x v="2"/>
    <x v="3"/>
    <n v="4801.28"/>
    <n v="1.4712328767123288"/>
    <n v="28"/>
    <n v="10"/>
  </r>
  <r>
    <x v="1818"/>
    <x v="350"/>
    <x v="4"/>
    <n v="5"/>
    <n v="5250"/>
    <x v="526"/>
    <x v="0"/>
    <x v="4"/>
    <n v="26250"/>
    <n v="1.3452054794520547"/>
    <n v="26"/>
    <n v="5"/>
  </r>
  <r>
    <x v="1819"/>
    <x v="350"/>
    <x v="4"/>
    <n v="3"/>
    <n v="3150"/>
    <x v="389"/>
    <x v="9"/>
    <x v="3"/>
    <n v="9450"/>
    <n v="1.2219178082191782"/>
    <n v="22"/>
    <n v="5"/>
  </r>
  <r>
    <x v="1820"/>
    <x v="350"/>
    <x v="0"/>
    <n v="4"/>
    <n v="1200.32"/>
    <x v="92"/>
    <x v="0"/>
    <x v="4"/>
    <n v="4801.28"/>
    <n v="0.78356164383561644"/>
    <n v="20"/>
    <n v="5"/>
  </r>
  <r>
    <x v="1821"/>
    <x v="350"/>
    <x v="0"/>
    <n v="3"/>
    <n v="900.24"/>
    <x v="135"/>
    <x v="4"/>
    <x v="1"/>
    <n v="2700.7200000000003"/>
    <n v="0.86575342465753424"/>
    <n v="6"/>
    <n v="7"/>
  </r>
  <r>
    <x v="1822"/>
    <x v="350"/>
    <x v="2"/>
    <n v="2"/>
    <n v="10.46"/>
    <x v="222"/>
    <x v="6"/>
    <x v="4"/>
    <n v="20.92"/>
    <n v="1.0164383561643835"/>
    <n v="10"/>
    <n v="7"/>
  </r>
  <r>
    <x v="1823"/>
    <x v="350"/>
    <x v="2"/>
    <n v="3"/>
    <n v="15.69"/>
    <x v="707"/>
    <x v="4"/>
    <x v="1"/>
    <n v="47.07"/>
    <n v="1.7863013698630137"/>
    <n v="24"/>
    <n v="7"/>
  </r>
  <r>
    <x v="1824"/>
    <x v="350"/>
    <x v="2"/>
    <n v="4"/>
    <n v="20.92"/>
    <x v="449"/>
    <x v="6"/>
    <x v="2"/>
    <n v="83.68"/>
    <n v="1.2493150684931507"/>
    <n v="9"/>
    <n v="7"/>
  </r>
  <r>
    <x v="1825"/>
    <x v="350"/>
    <x v="0"/>
    <n v="3"/>
    <n v="900.24"/>
    <x v="219"/>
    <x v="6"/>
    <x v="2"/>
    <n v="2700.7200000000003"/>
    <n v="1.4383561643835616"/>
    <n v="17"/>
    <n v="7"/>
  </r>
  <r>
    <x v="1826"/>
    <x v="351"/>
    <x v="6"/>
    <n v="3"/>
    <n v="107.52"/>
    <x v="533"/>
    <x v="3"/>
    <x v="0"/>
    <n v="322.56"/>
    <n v="1.8383561643835618"/>
    <n v="31"/>
    <n v="5"/>
  </r>
  <r>
    <x v="1827"/>
    <x v="351"/>
    <x v="0"/>
    <n v="1"/>
    <n v="300.08"/>
    <x v="414"/>
    <x v="6"/>
    <x v="0"/>
    <n v="300.08"/>
    <n v="1.3260273972602741"/>
    <n v="11"/>
    <n v="5"/>
  </r>
  <r>
    <x v="1828"/>
    <x v="351"/>
    <x v="2"/>
    <n v="3"/>
    <n v="15.69"/>
    <x v="623"/>
    <x v="0"/>
    <x v="2"/>
    <n v="47.07"/>
    <n v="1.4602739726027398"/>
    <n v="15"/>
    <n v="5"/>
  </r>
  <r>
    <x v="1829"/>
    <x v="351"/>
    <x v="5"/>
    <n v="1"/>
    <n v="600.16999999999996"/>
    <x v="210"/>
    <x v="0"/>
    <x v="1"/>
    <n v="600.16999999999996"/>
    <n v="1.0027397260273974"/>
    <n v="7"/>
    <n v="7"/>
  </r>
  <r>
    <x v="1830"/>
    <x v="351"/>
    <x v="6"/>
    <n v="1"/>
    <n v="35.840000000000003"/>
    <x v="378"/>
    <x v="1"/>
    <x v="0"/>
    <n v="35.840000000000003"/>
    <n v="1.6602739726027398"/>
    <n v="12"/>
    <n v="7"/>
  </r>
  <r>
    <x v="1831"/>
    <x v="352"/>
    <x v="3"/>
    <n v="4"/>
    <n v="60.6"/>
    <x v="99"/>
    <x v="0"/>
    <x v="4"/>
    <n v="242.4"/>
    <n v="1.3315068493150686"/>
    <n v="6"/>
    <n v="5"/>
  </r>
  <r>
    <x v="1832"/>
    <x v="352"/>
    <x v="2"/>
    <n v="5"/>
    <n v="26.15"/>
    <x v="43"/>
    <x v="8"/>
    <x v="3"/>
    <n v="130.75"/>
    <n v="1.5972602739726027"/>
    <n v="9"/>
    <n v="5"/>
  </r>
  <r>
    <x v="1833"/>
    <x v="352"/>
    <x v="1"/>
    <n v="1"/>
    <n v="40.659999999999997"/>
    <x v="708"/>
    <x v="9"/>
    <x v="1"/>
    <n v="40.659999999999997"/>
    <n v="1.6575342465753424"/>
    <n v="10"/>
    <n v="5"/>
  </r>
  <r>
    <x v="1834"/>
    <x v="352"/>
    <x v="5"/>
    <n v="5"/>
    <n v="3000.85"/>
    <x v="377"/>
    <x v="1"/>
    <x v="0"/>
    <n v="15004.25"/>
    <n v="1.0027397260273974"/>
    <n v="10"/>
    <n v="7"/>
  </r>
  <r>
    <x v="1835"/>
    <x v="352"/>
    <x v="7"/>
    <n v="5"/>
    <n v="58.65"/>
    <x v="96"/>
    <x v="5"/>
    <x v="0"/>
    <n v="293.25"/>
    <n v="1.4547945205479451"/>
    <n v="8"/>
    <n v="7"/>
  </r>
  <r>
    <x v="1836"/>
    <x v="352"/>
    <x v="3"/>
    <n v="3"/>
    <n v="45.45"/>
    <x v="436"/>
    <x v="0"/>
    <x v="1"/>
    <n v="136.35000000000002"/>
    <n v="1.6438356164383561"/>
    <n v="31"/>
    <n v="10"/>
  </r>
  <r>
    <x v="1837"/>
    <x v="352"/>
    <x v="0"/>
    <n v="1"/>
    <n v="300.08"/>
    <x v="379"/>
    <x v="8"/>
    <x v="3"/>
    <n v="300.08"/>
    <n v="1.789041095890411"/>
    <n v="23"/>
    <n v="10"/>
  </r>
  <r>
    <x v="1838"/>
    <x v="353"/>
    <x v="1"/>
    <n v="5"/>
    <n v="203.3"/>
    <x v="5"/>
    <x v="9"/>
    <x v="1"/>
    <n v="1016.5"/>
    <n v="1.0849315068493151"/>
    <n v="11"/>
    <n v="5"/>
  </r>
  <r>
    <x v="1839"/>
    <x v="353"/>
    <x v="0"/>
    <n v="2"/>
    <n v="600.16"/>
    <x v="112"/>
    <x v="6"/>
    <x v="3"/>
    <n v="1200.32"/>
    <n v="1.8602739726027397"/>
    <n v="22"/>
    <n v="5"/>
  </r>
  <r>
    <x v="1840"/>
    <x v="353"/>
    <x v="0"/>
    <n v="2"/>
    <n v="600.16"/>
    <x v="497"/>
    <x v="6"/>
    <x v="2"/>
    <n v="1200.32"/>
    <n v="1.7424657534246575"/>
    <n v="16"/>
    <n v="5"/>
  </r>
  <r>
    <x v="1841"/>
    <x v="353"/>
    <x v="0"/>
    <n v="3"/>
    <n v="900.24"/>
    <x v="552"/>
    <x v="6"/>
    <x v="0"/>
    <n v="2700.7200000000003"/>
    <n v="0.2"/>
    <n v="6"/>
    <n v="5"/>
  </r>
  <r>
    <x v="1842"/>
    <x v="353"/>
    <x v="1"/>
    <n v="3"/>
    <n v="121.98"/>
    <x v="648"/>
    <x v="6"/>
    <x v="2"/>
    <n v="365.94"/>
    <n v="1.463013698630137"/>
    <n v="19"/>
    <n v="5"/>
  </r>
  <r>
    <x v="1843"/>
    <x v="353"/>
    <x v="0"/>
    <n v="5"/>
    <n v="1500.4"/>
    <x v="405"/>
    <x v="6"/>
    <x v="2"/>
    <n v="7502"/>
    <n v="1.1095890410958904"/>
    <n v="11"/>
    <n v="7"/>
  </r>
  <r>
    <x v="1844"/>
    <x v="353"/>
    <x v="1"/>
    <n v="5"/>
    <n v="203.3"/>
    <x v="247"/>
    <x v="9"/>
    <x v="2"/>
    <n v="1016.5"/>
    <n v="0.9671232876712329"/>
    <n v="14"/>
    <n v="10"/>
  </r>
  <r>
    <x v="1845"/>
    <x v="354"/>
    <x v="1"/>
    <n v="2"/>
    <n v="81.319999999999993"/>
    <x v="709"/>
    <x v="6"/>
    <x v="4"/>
    <n v="162.63999999999999"/>
    <n v="1.1205479452054794"/>
    <n v="9"/>
    <n v="5"/>
  </r>
  <r>
    <x v="1846"/>
    <x v="354"/>
    <x v="0"/>
    <n v="1"/>
    <n v="300.08"/>
    <x v="453"/>
    <x v="4"/>
    <x v="1"/>
    <n v="300.08"/>
    <n v="1.0328767123287672"/>
    <n v="10"/>
    <n v="5"/>
  </r>
  <r>
    <x v="1847"/>
    <x v="354"/>
    <x v="5"/>
    <n v="4"/>
    <n v="2400.6799999999998"/>
    <x v="710"/>
    <x v="6"/>
    <x v="4"/>
    <n v="9602.7199999999993"/>
    <n v="1.5397260273972602"/>
    <n v="11"/>
    <n v="7"/>
  </r>
  <r>
    <x v="1848"/>
    <x v="354"/>
    <x v="0"/>
    <n v="3"/>
    <n v="900.24"/>
    <x v="454"/>
    <x v="2"/>
    <x v="4"/>
    <n v="2700.7200000000003"/>
    <n v="1.904109589041096"/>
    <n v="31"/>
    <n v="7"/>
  </r>
  <r>
    <x v="1849"/>
    <x v="354"/>
    <x v="0"/>
    <n v="3"/>
    <n v="900.24"/>
    <x v="142"/>
    <x v="0"/>
    <x v="2"/>
    <n v="2700.7200000000003"/>
    <n v="1.0301369863013699"/>
    <n v="4"/>
    <n v="7"/>
  </r>
  <r>
    <x v="1850"/>
    <x v="354"/>
    <x v="1"/>
    <n v="3"/>
    <n v="121.98"/>
    <x v="55"/>
    <x v="4"/>
    <x v="4"/>
    <n v="365.94"/>
    <n v="1.7315068493150685"/>
    <n v="16"/>
    <n v="7"/>
  </r>
  <r>
    <x v="1851"/>
    <x v="355"/>
    <x v="5"/>
    <n v="3"/>
    <n v="1800.51"/>
    <x v="141"/>
    <x v="0"/>
    <x v="4"/>
    <n v="5401.53"/>
    <n v="1.4136986301369863"/>
    <n v="16"/>
    <n v="5"/>
  </r>
  <r>
    <x v="1852"/>
    <x v="355"/>
    <x v="2"/>
    <n v="1"/>
    <n v="5.23"/>
    <x v="711"/>
    <x v="6"/>
    <x v="0"/>
    <n v="5.23"/>
    <n v="0"/>
    <n v="5"/>
    <n v="7"/>
  </r>
  <r>
    <x v="1853"/>
    <x v="355"/>
    <x v="1"/>
    <n v="4"/>
    <n v="162.63999999999999"/>
    <x v="49"/>
    <x v="5"/>
    <x v="0"/>
    <n v="650.55999999999995"/>
    <n v="1.6109589041095891"/>
    <n v="14"/>
    <n v="7"/>
  </r>
  <r>
    <x v="1854"/>
    <x v="355"/>
    <x v="5"/>
    <n v="5"/>
    <n v="3000.85"/>
    <x v="712"/>
    <x v="1"/>
    <x v="1"/>
    <n v="15004.25"/>
    <n v="0.73972602739726023"/>
    <n v="14"/>
    <n v="7"/>
  </r>
  <r>
    <x v="1855"/>
    <x v="356"/>
    <x v="0"/>
    <n v="3"/>
    <n v="900.24"/>
    <x v="126"/>
    <x v="0"/>
    <x v="0"/>
    <n v="2700.7200000000003"/>
    <n v="1.4438356164383561"/>
    <n v="18"/>
    <n v="5"/>
  </r>
  <r>
    <x v="1856"/>
    <x v="356"/>
    <x v="4"/>
    <n v="1"/>
    <n v="1050"/>
    <x v="680"/>
    <x v="8"/>
    <x v="1"/>
    <n v="1050"/>
    <n v="1.1479452054794521"/>
    <n v="19"/>
    <n v="5"/>
  </r>
  <r>
    <x v="1857"/>
    <x v="356"/>
    <x v="2"/>
    <n v="2"/>
    <n v="10.46"/>
    <x v="713"/>
    <x v="1"/>
    <x v="3"/>
    <n v="20.92"/>
    <n v="0"/>
    <n v="5"/>
    <n v="7"/>
  </r>
  <r>
    <x v="1858"/>
    <x v="356"/>
    <x v="2"/>
    <n v="5"/>
    <n v="26.15"/>
    <x v="640"/>
    <x v="6"/>
    <x v="3"/>
    <n v="130.75"/>
    <n v="1.4438356164383561"/>
    <n v="14"/>
    <n v="7"/>
  </r>
  <r>
    <x v="1859"/>
    <x v="357"/>
    <x v="0"/>
    <n v="1"/>
    <n v="300.08"/>
    <x v="120"/>
    <x v="6"/>
    <x v="2"/>
    <n v="300.08"/>
    <n v="2.0684931506849313"/>
    <n v="7"/>
    <n v="5"/>
  </r>
  <r>
    <x v="1860"/>
    <x v="357"/>
    <x v="1"/>
    <n v="1"/>
    <n v="40.659999999999997"/>
    <x v="653"/>
    <x v="4"/>
    <x v="0"/>
    <n v="40.659999999999997"/>
    <n v="1.536986301369863"/>
    <n v="12"/>
    <n v="5"/>
  </r>
  <r>
    <x v="1861"/>
    <x v="357"/>
    <x v="2"/>
    <n v="3"/>
    <n v="15.69"/>
    <x v="74"/>
    <x v="7"/>
    <x v="3"/>
    <n v="47.07"/>
    <n v="1.2767123287671234"/>
    <n v="29"/>
    <n v="5"/>
  </r>
  <r>
    <x v="1862"/>
    <x v="357"/>
    <x v="0"/>
    <n v="2"/>
    <n v="600.16"/>
    <x v="646"/>
    <x v="4"/>
    <x v="4"/>
    <n v="1200.32"/>
    <n v="1.3260273972602741"/>
    <n v="23"/>
    <n v="5"/>
  </r>
  <r>
    <x v="1863"/>
    <x v="357"/>
    <x v="0"/>
    <n v="4"/>
    <n v="1200.32"/>
    <x v="44"/>
    <x v="6"/>
    <x v="4"/>
    <n v="4801.28"/>
    <n v="1.5917808219178082"/>
    <n v="17"/>
    <n v="7"/>
  </r>
  <r>
    <x v="1864"/>
    <x v="357"/>
    <x v="0"/>
    <n v="5"/>
    <n v="1500.4"/>
    <x v="461"/>
    <x v="0"/>
    <x v="0"/>
    <n v="7502"/>
    <n v="1.9698630136986301"/>
    <n v="13"/>
    <n v="7"/>
  </r>
  <r>
    <x v="1865"/>
    <x v="357"/>
    <x v="2"/>
    <n v="5"/>
    <n v="26.15"/>
    <x v="559"/>
    <x v="4"/>
    <x v="2"/>
    <n v="130.75"/>
    <n v="0"/>
    <n v="1"/>
    <n v="7"/>
  </r>
  <r>
    <x v="1866"/>
    <x v="357"/>
    <x v="7"/>
    <n v="1"/>
    <n v="11.73"/>
    <x v="450"/>
    <x v="0"/>
    <x v="3"/>
    <n v="11.73"/>
    <n v="1.8849315068493151"/>
    <n v="9"/>
    <n v="7"/>
  </r>
  <r>
    <x v="1867"/>
    <x v="358"/>
    <x v="5"/>
    <n v="2"/>
    <n v="1200.3399999999999"/>
    <x v="317"/>
    <x v="5"/>
    <x v="1"/>
    <n v="2400.6799999999998"/>
    <n v="1.273972602739726"/>
    <n v="10"/>
    <n v="5"/>
  </r>
  <r>
    <x v="1868"/>
    <x v="358"/>
    <x v="1"/>
    <n v="5"/>
    <n v="203.3"/>
    <x v="177"/>
    <x v="4"/>
    <x v="4"/>
    <n v="1016.5"/>
    <n v="1.6164383561643836"/>
    <n v="21"/>
    <n v="5"/>
  </r>
  <r>
    <x v="1869"/>
    <x v="358"/>
    <x v="1"/>
    <n v="1"/>
    <n v="40.659999999999997"/>
    <x v="210"/>
    <x v="1"/>
    <x v="4"/>
    <n v="40.659999999999997"/>
    <n v="1.3917808219178083"/>
    <n v="11"/>
    <n v="7"/>
  </r>
  <r>
    <x v="1870"/>
    <x v="359"/>
    <x v="1"/>
    <n v="3"/>
    <n v="121.98"/>
    <x v="317"/>
    <x v="6"/>
    <x v="0"/>
    <n v="365.94"/>
    <n v="1.5178082191780822"/>
    <n v="22"/>
    <n v="5"/>
  </r>
  <r>
    <x v="1871"/>
    <x v="359"/>
    <x v="2"/>
    <n v="3"/>
    <n v="15.69"/>
    <x v="45"/>
    <x v="8"/>
    <x v="3"/>
    <n v="47.07"/>
    <n v="1.6630136986301369"/>
    <n v="21"/>
    <n v="5"/>
  </r>
  <r>
    <x v="1872"/>
    <x v="359"/>
    <x v="0"/>
    <n v="3"/>
    <n v="900.24"/>
    <x v="714"/>
    <x v="0"/>
    <x v="4"/>
    <n v="2700.7200000000003"/>
    <n v="1.7671232876712328"/>
    <n v="14"/>
    <n v="7"/>
  </r>
  <r>
    <x v="1873"/>
    <x v="359"/>
    <x v="6"/>
    <n v="5"/>
    <n v="179.2"/>
    <x v="612"/>
    <x v="2"/>
    <x v="0"/>
    <n v="896"/>
    <n v="1.6082191780821917"/>
    <n v="7"/>
    <n v="7"/>
  </r>
  <r>
    <x v="1874"/>
    <x v="360"/>
    <x v="1"/>
    <n v="5"/>
    <n v="203.3"/>
    <x v="137"/>
    <x v="0"/>
    <x v="0"/>
    <n v="1016.5"/>
    <n v="1.1808219178082191"/>
    <n v="10"/>
    <n v="5"/>
  </r>
  <r>
    <x v="1875"/>
    <x v="360"/>
    <x v="0"/>
    <n v="5"/>
    <n v="1500.4"/>
    <x v="715"/>
    <x v="1"/>
    <x v="4"/>
    <n v="7502"/>
    <n v="0.8849315068493151"/>
    <n v="11"/>
    <n v="7"/>
  </r>
  <r>
    <x v="1876"/>
    <x v="360"/>
    <x v="0"/>
    <n v="5"/>
    <n v="1500.4"/>
    <x v="129"/>
    <x v="4"/>
    <x v="3"/>
    <n v="7502"/>
    <n v="0.72876712328767124"/>
    <n v="15"/>
    <n v="7"/>
  </r>
  <r>
    <x v="1877"/>
    <x v="360"/>
    <x v="7"/>
    <n v="1"/>
    <n v="11.73"/>
    <x v="716"/>
    <x v="5"/>
    <x v="0"/>
    <n v="11.73"/>
    <n v="1.6109589041095891"/>
    <n v="19"/>
    <n v="7"/>
  </r>
  <r>
    <x v="1878"/>
    <x v="360"/>
    <x v="5"/>
    <n v="4"/>
    <n v="2400.6799999999998"/>
    <x v="196"/>
    <x v="1"/>
    <x v="1"/>
    <n v="9602.7199999999993"/>
    <n v="1.5452054794520549"/>
    <n v="23"/>
    <n v="10"/>
  </r>
  <r>
    <x v="1879"/>
    <x v="360"/>
    <x v="2"/>
    <n v="1"/>
    <n v="5.23"/>
    <x v="170"/>
    <x v="0"/>
    <x v="0"/>
    <n v="5.23"/>
    <n v="1.4246575342465753"/>
    <n v="27"/>
    <n v="10"/>
  </r>
  <r>
    <x v="1880"/>
    <x v="361"/>
    <x v="5"/>
    <n v="3"/>
    <n v="1800.51"/>
    <x v="298"/>
    <x v="4"/>
    <x v="3"/>
    <n v="5401.53"/>
    <n v="0.33150684931506852"/>
    <n v="10"/>
    <n v="5"/>
  </r>
  <r>
    <x v="1881"/>
    <x v="361"/>
    <x v="6"/>
    <n v="1"/>
    <n v="35.840000000000003"/>
    <x v="483"/>
    <x v="6"/>
    <x v="2"/>
    <n v="35.840000000000003"/>
    <n v="0"/>
    <n v="2"/>
    <n v="5"/>
  </r>
  <r>
    <x v="1882"/>
    <x v="361"/>
    <x v="5"/>
    <n v="1"/>
    <n v="600.16999999999996"/>
    <x v="276"/>
    <x v="0"/>
    <x v="3"/>
    <n v="600.16999999999996"/>
    <n v="0.23835616438356164"/>
    <n v="5"/>
    <n v="5"/>
  </r>
  <r>
    <x v="1883"/>
    <x v="361"/>
    <x v="6"/>
    <n v="3"/>
    <n v="107.52"/>
    <x v="471"/>
    <x v="8"/>
    <x v="4"/>
    <n v="322.56"/>
    <n v="0.79726027397260268"/>
    <n v="16"/>
    <n v="5"/>
  </r>
  <r>
    <x v="1884"/>
    <x v="361"/>
    <x v="3"/>
    <n v="4"/>
    <n v="60.6"/>
    <x v="717"/>
    <x v="0"/>
    <x v="1"/>
    <n v="242.4"/>
    <n v="0.66849315068493154"/>
    <n v="9"/>
    <n v="5"/>
  </r>
  <r>
    <x v="1885"/>
    <x v="361"/>
    <x v="1"/>
    <n v="4"/>
    <n v="162.63999999999999"/>
    <x v="715"/>
    <x v="3"/>
    <x v="1"/>
    <n v="650.55999999999995"/>
    <n v="1.547945205479452"/>
    <n v="6"/>
    <n v="7"/>
  </r>
  <r>
    <x v="1886"/>
    <x v="361"/>
    <x v="1"/>
    <n v="3"/>
    <n v="121.98"/>
    <x v="181"/>
    <x v="0"/>
    <x v="1"/>
    <n v="365.94"/>
    <n v="1.8054794520547945"/>
    <n v="20"/>
    <n v="7"/>
  </r>
  <r>
    <x v="1887"/>
    <x v="361"/>
    <x v="0"/>
    <n v="5"/>
    <n v="1500.4"/>
    <x v="76"/>
    <x v="1"/>
    <x v="2"/>
    <n v="7502"/>
    <n v="2.1342465753424658"/>
    <n v="25"/>
    <n v="7"/>
  </r>
  <r>
    <x v="1888"/>
    <x v="361"/>
    <x v="1"/>
    <n v="1"/>
    <n v="40.659999999999997"/>
    <x v="675"/>
    <x v="4"/>
    <x v="4"/>
    <n v="40.659999999999997"/>
    <n v="1.9287671232876713"/>
    <n v="22"/>
    <n v="7"/>
  </r>
  <r>
    <x v="1889"/>
    <x v="361"/>
    <x v="0"/>
    <n v="3"/>
    <n v="900.24"/>
    <x v="20"/>
    <x v="0"/>
    <x v="3"/>
    <n v="2700.7200000000003"/>
    <n v="1.7643835616438357"/>
    <n v="21"/>
    <n v="7"/>
  </r>
  <r>
    <x v="1890"/>
    <x v="362"/>
    <x v="1"/>
    <n v="2"/>
    <n v="81.319999999999993"/>
    <x v="314"/>
    <x v="6"/>
    <x v="0"/>
    <n v="162.63999999999999"/>
    <n v="1.9945205479452055"/>
    <n v="17"/>
    <n v="5"/>
  </r>
  <r>
    <x v="1891"/>
    <x v="362"/>
    <x v="1"/>
    <n v="4"/>
    <n v="162.63999999999999"/>
    <x v="691"/>
    <x v="6"/>
    <x v="4"/>
    <n v="650.55999999999995"/>
    <n v="1.547945205479452"/>
    <n v="12"/>
    <n v="7"/>
  </r>
  <r>
    <x v="1892"/>
    <x v="362"/>
    <x v="6"/>
    <n v="1"/>
    <n v="35.840000000000003"/>
    <x v="181"/>
    <x v="6"/>
    <x v="2"/>
    <n v="35.840000000000003"/>
    <n v="1.5068493150684932"/>
    <n v="18"/>
    <n v="7"/>
  </r>
  <r>
    <x v="1893"/>
    <x v="362"/>
    <x v="6"/>
    <n v="4"/>
    <n v="143.36000000000001"/>
    <x v="713"/>
    <x v="6"/>
    <x v="1"/>
    <n v="573.44000000000005"/>
    <n v="1.9506849315068493"/>
    <n v="13"/>
    <n v="7"/>
  </r>
  <r>
    <x v="1894"/>
    <x v="362"/>
    <x v="4"/>
    <n v="2"/>
    <n v="2100"/>
    <x v="111"/>
    <x v="6"/>
    <x v="0"/>
    <n v="4200"/>
    <n v="1.6082191780821917"/>
    <n v="23"/>
    <n v="7"/>
  </r>
  <r>
    <x v="1895"/>
    <x v="362"/>
    <x v="1"/>
    <n v="4"/>
    <n v="162.63999999999999"/>
    <x v="482"/>
    <x v="0"/>
    <x v="2"/>
    <n v="650.55999999999995"/>
    <n v="1.0493150684931507"/>
    <n v="8"/>
    <n v="10"/>
  </r>
  <r>
    <x v="1896"/>
    <x v="363"/>
    <x v="1"/>
    <n v="3"/>
    <n v="121.98"/>
    <x v="326"/>
    <x v="6"/>
    <x v="3"/>
    <n v="365.94"/>
    <n v="1.9972602739726026"/>
    <n v="7"/>
    <n v="5"/>
  </r>
  <r>
    <x v="1897"/>
    <x v="363"/>
    <x v="0"/>
    <n v="5"/>
    <n v="1500.4"/>
    <x v="168"/>
    <x v="1"/>
    <x v="3"/>
    <n v="7502"/>
    <n v="1.3863013698630138"/>
    <n v="21"/>
    <n v="5"/>
  </r>
  <r>
    <x v="1898"/>
    <x v="363"/>
    <x v="0"/>
    <n v="3"/>
    <n v="900.24"/>
    <x v="612"/>
    <x v="8"/>
    <x v="2"/>
    <n v="2700.7200000000003"/>
    <n v="0.93150684931506844"/>
    <n v="19"/>
    <n v="7"/>
  </r>
  <r>
    <x v="1899"/>
    <x v="363"/>
    <x v="6"/>
    <n v="3"/>
    <n v="107.52"/>
    <x v="407"/>
    <x v="6"/>
    <x v="4"/>
    <n v="322.56"/>
    <n v="2.043835616438356"/>
    <n v="17"/>
    <n v="7"/>
  </r>
  <r>
    <x v="1900"/>
    <x v="363"/>
    <x v="6"/>
    <n v="3"/>
    <n v="107.52"/>
    <x v="154"/>
    <x v="6"/>
    <x v="4"/>
    <n v="322.56"/>
    <n v="1.0383561643835617"/>
    <n v="23"/>
    <n v="7"/>
  </r>
  <r>
    <x v="1901"/>
    <x v="363"/>
    <x v="1"/>
    <n v="3"/>
    <n v="121.98"/>
    <x v="394"/>
    <x v="7"/>
    <x v="0"/>
    <n v="365.94"/>
    <n v="1.4109589041095891"/>
    <n v="6"/>
    <n v="7"/>
  </r>
  <r>
    <x v="1902"/>
    <x v="364"/>
    <x v="0"/>
    <n v="5"/>
    <n v="1500.4"/>
    <x v="0"/>
    <x v="5"/>
    <x v="0"/>
    <n v="7502"/>
    <n v="0.27945205479452057"/>
    <n v="7"/>
    <n v="5"/>
  </r>
  <r>
    <x v="1903"/>
    <x v="364"/>
    <x v="6"/>
    <n v="1"/>
    <n v="35.840000000000003"/>
    <x v="80"/>
    <x v="7"/>
    <x v="4"/>
    <n v="35.840000000000003"/>
    <n v="0.37260273972602742"/>
    <n v="4"/>
    <n v="5"/>
  </r>
  <r>
    <x v="1904"/>
    <x v="364"/>
    <x v="1"/>
    <n v="5"/>
    <n v="203.3"/>
    <x v="502"/>
    <x v="7"/>
    <x v="0"/>
    <n v="1016.5"/>
    <n v="1.8301369863013699"/>
    <n v="28"/>
    <n v="5"/>
  </r>
  <r>
    <x v="1905"/>
    <x v="364"/>
    <x v="0"/>
    <n v="5"/>
    <n v="1500.4"/>
    <x v="182"/>
    <x v="6"/>
    <x v="4"/>
    <n v="7502"/>
    <n v="1.8301369863013699"/>
    <n v="18"/>
    <n v="7"/>
  </r>
  <r>
    <x v="1906"/>
    <x v="364"/>
    <x v="1"/>
    <n v="3"/>
    <n v="121.98"/>
    <x v="615"/>
    <x v="7"/>
    <x v="1"/>
    <n v="365.94"/>
    <n v="1.893150684931507"/>
    <n v="26"/>
    <n v="7"/>
  </r>
  <r>
    <x v="1907"/>
    <x v="364"/>
    <x v="2"/>
    <n v="2"/>
    <n v="10.46"/>
    <x v="289"/>
    <x v="7"/>
    <x v="2"/>
    <n v="20.92"/>
    <n v="1.2465753424657535"/>
    <n v="12"/>
    <n v="7"/>
  </r>
  <r>
    <x v="1908"/>
    <x v="364"/>
    <x v="6"/>
    <n v="3"/>
    <n v="107.52"/>
    <x v="363"/>
    <x v="6"/>
    <x v="0"/>
    <n v="322.56"/>
    <n v="1.3232876712328767"/>
    <n v="4"/>
    <n v="7"/>
  </r>
  <r>
    <x v="1909"/>
    <x v="365"/>
    <x v="0"/>
    <n v="4"/>
    <n v="1200.32"/>
    <x v="678"/>
    <x v="0"/>
    <x v="4"/>
    <n v="4801.28"/>
    <n v="1.989041095890411"/>
    <n v="18"/>
    <n v="5"/>
  </r>
  <r>
    <x v="1910"/>
    <x v="365"/>
    <x v="2"/>
    <n v="2"/>
    <n v="10.46"/>
    <x v="302"/>
    <x v="0"/>
    <x v="0"/>
    <n v="20.92"/>
    <n v="0"/>
    <n v="3"/>
    <n v="5"/>
  </r>
  <r>
    <x v="1911"/>
    <x v="365"/>
    <x v="2"/>
    <n v="4"/>
    <n v="20.92"/>
    <x v="51"/>
    <x v="6"/>
    <x v="3"/>
    <n v="83.68"/>
    <n v="1.5342465753424657"/>
    <n v="27"/>
    <n v="7"/>
  </r>
  <r>
    <x v="1912"/>
    <x v="365"/>
    <x v="7"/>
    <n v="4"/>
    <n v="46.92"/>
    <x v="644"/>
    <x v="7"/>
    <x v="3"/>
    <n v="187.68"/>
    <n v="0"/>
    <n v="1"/>
    <n v="7"/>
  </r>
  <r>
    <x v="1913"/>
    <x v="365"/>
    <x v="1"/>
    <n v="4"/>
    <n v="162.63999999999999"/>
    <x v="472"/>
    <x v="2"/>
    <x v="1"/>
    <n v="650.55999999999995"/>
    <n v="1.6958904109589041"/>
    <n v="18"/>
    <n v="7"/>
  </r>
  <r>
    <x v="1914"/>
    <x v="365"/>
    <x v="6"/>
    <n v="5"/>
    <n v="179.2"/>
    <x v="718"/>
    <x v="1"/>
    <x v="4"/>
    <n v="896"/>
    <n v="1.4109589041095891"/>
    <n v="7"/>
    <n v="7"/>
  </r>
  <r>
    <x v="1915"/>
    <x v="365"/>
    <x v="7"/>
    <n v="2"/>
    <n v="23.46"/>
    <x v="53"/>
    <x v="7"/>
    <x v="4"/>
    <n v="46.92"/>
    <n v="0.63287671232876708"/>
    <n v="7"/>
    <n v="10"/>
  </r>
  <r>
    <x v="1916"/>
    <x v="366"/>
    <x v="0"/>
    <n v="2"/>
    <n v="600.16"/>
    <x v="298"/>
    <x v="6"/>
    <x v="3"/>
    <n v="1200.32"/>
    <n v="1.2356164383561643"/>
    <n v="9"/>
    <n v="5"/>
  </r>
  <r>
    <x v="1917"/>
    <x v="366"/>
    <x v="0"/>
    <n v="4"/>
    <n v="1200.32"/>
    <x v="141"/>
    <x v="6"/>
    <x v="2"/>
    <n v="4801.28"/>
    <n v="0.61917808219178083"/>
    <n v="11"/>
    <n v="5"/>
  </r>
  <r>
    <x v="1918"/>
    <x v="366"/>
    <x v="0"/>
    <n v="3"/>
    <n v="900.24"/>
    <x v="669"/>
    <x v="6"/>
    <x v="0"/>
    <n v="2700.7200000000003"/>
    <n v="1.1506849315068493"/>
    <n v="21"/>
    <n v="5"/>
  </r>
  <r>
    <x v="1919"/>
    <x v="366"/>
    <x v="1"/>
    <n v="3"/>
    <n v="121.98"/>
    <x v="719"/>
    <x v="9"/>
    <x v="4"/>
    <n v="365.94"/>
    <n v="1.8356164383561644"/>
    <n v="22"/>
    <n v="7"/>
  </r>
  <r>
    <x v="1920"/>
    <x v="366"/>
    <x v="6"/>
    <n v="1"/>
    <n v="35.840000000000003"/>
    <x v="601"/>
    <x v="4"/>
    <x v="4"/>
    <n v="35.840000000000003"/>
    <n v="0.73972602739726023"/>
    <n v="16"/>
    <n v="7"/>
  </r>
  <r>
    <x v="1921"/>
    <x v="367"/>
    <x v="0"/>
    <n v="2"/>
    <n v="600.16"/>
    <x v="397"/>
    <x v="1"/>
    <x v="0"/>
    <n v="1200.32"/>
    <n v="1.7616438356164383"/>
    <n v="26"/>
    <n v="5"/>
  </r>
  <r>
    <x v="1922"/>
    <x v="367"/>
    <x v="2"/>
    <n v="2"/>
    <n v="10.46"/>
    <x v="720"/>
    <x v="3"/>
    <x v="1"/>
    <n v="20.92"/>
    <n v="1.9808219178082191"/>
    <n v="16"/>
    <n v="5"/>
  </r>
  <r>
    <x v="1923"/>
    <x v="367"/>
    <x v="1"/>
    <n v="3"/>
    <n v="121.98"/>
    <x v="349"/>
    <x v="1"/>
    <x v="3"/>
    <n v="365.94"/>
    <n v="1.2273972602739727"/>
    <n v="14"/>
    <n v="7"/>
  </r>
  <r>
    <x v="1924"/>
    <x v="367"/>
    <x v="2"/>
    <n v="1"/>
    <n v="5.23"/>
    <x v="189"/>
    <x v="9"/>
    <x v="2"/>
    <n v="5.23"/>
    <n v="1.463013698630137"/>
    <n v="20"/>
    <n v="7"/>
  </r>
  <r>
    <x v="1925"/>
    <x v="367"/>
    <x v="6"/>
    <n v="1"/>
    <n v="35.840000000000003"/>
    <x v="289"/>
    <x v="9"/>
    <x v="2"/>
    <n v="35.840000000000003"/>
    <n v="1.6547945205479453"/>
    <n v="13"/>
    <n v="7"/>
  </r>
  <r>
    <x v="1926"/>
    <x v="368"/>
    <x v="0"/>
    <n v="3"/>
    <n v="900.24"/>
    <x v="525"/>
    <x v="1"/>
    <x v="0"/>
    <n v="2700.7200000000003"/>
    <n v="1.893150684931507"/>
    <n v="9"/>
    <n v="5"/>
  </r>
  <r>
    <x v="1927"/>
    <x v="368"/>
    <x v="5"/>
    <n v="1"/>
    <n v="600.16999999999996"/>
    <x v="148"/>
    <x v="0"/>
    <x v="0"/>
    <n v="600.16999999999996"/>
    <n v="0.9780821917808219"/>
    <n v="14"/>
    <n v="7"/>
  </r>
  <r>
    <x v="1928"/>
    <x v="368"/>
    <x v="3"/>
    <n v="1"/>
    <n v="15.15"/>
    <x v="565"/>
    <x v="6"/>
    <x v="4"/>
    <n v="15.15"/>
    <n v="1.536986301369863"/>
    <n v="11"/>
    <n v="7"/>
  </r>
  <r>
    <x v="1929"/>
    <x v="368"/>
    <x v="0"/>
    <n v="2"/>
    <n v="600.16"/>
    <x v="721"/>
    <x v="6"/>
    <x v="1"/>
    <n v="1200.32"/>
    <n v="0.55068493150684927"/>
    <n v="9"/>
    <n v="7"/>
  </r>
  <r>
    <x v="1930"/>
    <x v="368"/>
    <x v="1"/>
    <n v="5"/>
    <n v="203.3"/>
    <x v="722"/>
    <x v="6"/>
    <x v="3"/>
    <n v="1016.5"/>
    <n v="1.8191780821917809"/>
    <n v="25"/>
    <n v="10"/>
  </r>
  <r>
    <x v="1931"/>
    <x v="368"/>
    <x v="5"/>
    <n v="2"/>
    <n v="1200.3399999999999"/>
    <x v="171"/>
    <x v="0"/>
    <x v="3"/>
    <n v="2400.6799999999998"/>
    <n v="1.9835616438356165"/>
    <n v="18"/>
    <n v="10"/>
  </r>
  <r>
    <x v="1932"/>
    <x v="369"/>
    <x v="0"/>
    <n v="2"/>
    <n v="600.16"/>
    <x v="185"/>
    <x v="4"/>
    <x v="4"/>
    <n v="1200.32"/>
    <n v="1.7616438356164383"/>
    <n v="19"/>
    <n v="5"/>
  </r>
  <r>
    <x v="1933"/>
    <x v="369"/>
    <x v="0"/>
    <n v="1"/>
    <n v="300.08"/>
    <x v="687"/>
    <x v="6"/>
    <x v="1"/>
    <n v="300.08"/>
    <n v="1.1479452054794521"/>
    <n v="18"/>
    <n v="5"/>
  </r>
  <r>
    <x v="1934"/>
    <x v="369"/>
    <x v="7"/>
    <n v="4"/>
    <n v="46.92"/>
    <x v="723"/>
    <x v="1"/>
    <x v="3"/>
    <n v="187.68"/>
    <n v="1.8739726027397261"/>
    <n v="14"/>
    <n v="5"/>
  </r>
  <r>
    <x v="1935"/>
    <x v="369"/>
    <x v="6"/>
    <n v="2"/>
    <n v="71.680000000000007"/>
    <x v="326"/>
    <x v="6"/>
    <x v="0"/>
    <n v="143.36000000000001"/>
    <n v="1.515068493150685"/>
    <n v="12"/>
    <n v="5"/>
  </r>
  <r>
    <x v="1936"/>
    <x v="369"/>
    <x v="6"/>
    <n v="1"/>
    <n v="35.840000000000003"/>
    <x v="424"/>
    <x v="1"/>
    <x v="1"/>
    <n v="35.840000000000003"/>
    <n v="1.1753424657534246"/>
    <n v="5"/>
    <n v="5"/>
  </r>
  <r>
    <x v="1937"/>
    <x v="369"/>
    <x v="2"/>
    <n v="5"/>
    <n v="26.15"/>
    <x v="205"/>
    <x v="6"/>
    <x v="0"/>
    <n v="130.75"/>
    <n v="1.6794520547945206"/>
    <n v="19"/>
    <n v="7"/>
  </r>
  <r>
    <x v="1938"/>
    <x v="369"/>
    <x v="7"/>
    <n v="1"/>
    <n v="11.73"/>
    <x v="558"/>
    <x v="0"/>
    <x v="0"/>
    <n v="11.73"/>
    <n v="1.2219178082191782"/>
    <n v="22"/>
    <n v="7"/>
  </r>
  <r>
    <x v="1939"/>
    <x v="369"/>
    <x v="0"/>
    <n v="1"/>
    <n v="300.08"/>
    <x v="564"/>
    <x v="0"/>
    <x v="2"/>
    <n v="300.08"/>
    <n v="1.9479452054794522"/>
    <n v="21"/>
    <n v="7"/>
  </r>
  <r>
    <x v="1940"/>
    <x v="370"/>
    <x v="6"/>
    <n v="4"/>
    <n v="143.36000000000001"/>
    <x v="128"/>
    <x v="6"/>
    <x v="1"/>
    <n v="573.44000000000005"/>
    <n v="1.6547945205479453"/>
    <n v="11"/>
    <n v="5"/>
  </r>
  <r>
    <x v="1941"/>
    <x v="370"/>
    <x v="5"/>
    <n v="3"/>
    <n v="1800.51"/>
    <x v="688"/>
    <x v="1"/>
    <x v="2"/>
    <n v="5401.53"/>
    <n v="1.9068493150684931"/>
    <n v="21"/>
    <n v="5"/>
  </r>
  <r>
    <x v="1942"/>
    <x v="370"/>
    <x v="6"/>
    <n v="3"/>
    <n v="107.52"/>
    <x v="166"/>
    <x v="6"/>
    <x v="1"/>
    <n v="322.56"/>
    <n v="1.1095890410958904"/>
    <n v="17"/>
    <n v="5"/>
  </r>
  <r>
    <x v="1943"/>
    <x v="370"/>
    <x v="2"/>
    <n v="5"/>
    <n v="26.15"/>
    <x v="286"/>
    <x v="6"/>
    <x v="3"/>
    <n v="130.75"/>
    <n v="0.81917808219178079"/>
    <n v="6"/>
    <n v="5"/>
  </r>
  <r>
    <x v="1944"/>
    <x v="370"/>
    <x v="4"/>
    <n v="3"/>
    <n v="3150"/>
    <x v="191"/>
    <x v="8"/>
    <x v="1"/>
    <n v="9450"/>
    <n v="0.52328767123287667"/>
    <n v="12"/>
    <n v="7"/>
  </r>
  <r>
    <x v="1945"/>
    <x v="370"/>
    <x v="2"/>
    <n v="5"/>
    <n v="26.15"/>
    <x v="439"/>
    <x v="5"/>
    <x v="2"/>
    <n v="130.75"/>
    <n v="1.9726027397260273"/>
    <n v="37"/>
    <n v="7"/>
  </r>
  <r>
    <x v="1946"/>
    <x v="371"/>
    <x v="0"/>
    <n v="4"/>
    <n v="1200.32"/>
    <x v="230"/>
    <x v="0"/>
    <x v="1"/>
    <n v="4801.28"/>
    <n v="1.4876712328767123"/>
    <n v="15"/>
    <n v="5"/>
  </r>
  <r>
    <x v="1947"/>
    <x v="371"/>
    <x v="1"/>
    <n v="2"/>
    <n v="81.319999999999993"/>
    <x v="724"/>
    <x v="7"/>
    <x v="4"/>
    <n v="162.63999999999999"/>
    <n v="1.7095890410958905"/>
    <n v="12"/>
    <n v="5"/>
  </r>
  <r>
    <x v="1948"/>
    <x v="371"/>
    <x v="1"/>
    <n v="4"/>
    <n v="162.63999999999999"/>
    <x v="725"/>
    <x v="0"/>
    <x v="4"/>
    <n v="650.55999999999995"/>
    <n v="1.6630136986301369"/>
    <n v="20"/>
    <n v="5"/>
  </r>
  <r>
    <x v="1949"/>
    <x v="371"/>
    <x v="1"/>
    <n v="3"/>
    <n v="121.98"/>
    <x v="396"/>
    <x v="7"/>
    <x v="2"/>
    <n v="365.94"/>
    <n v="0.36986301369863012"/>
    <n v="14"/>
    <n v="5"/>
  </r>
  <r>
    <x v="1950"/>
    <x v="371"/>
    <x v="5"/>
    <n v="3"/>
    <n v="1800.51"/>
    <x v="602"/>
    <x v="6"/>
    <x v="3"/>
    <n v="5401.53"/>
    <n v="1.0246575342465754"/>
    <n v="17"/>
    <n v="7"/>
  </r>
  <r>
    <x v="1951"/>
    <x v="372"/>
    <x v="2"/>
    <n v="1"/>
    <n v="5.23"/>
    <x v="312"/>
    <x v="7"/>
    <x v="3"/>
    <n v="5.23"/>
    <n v="1.8164383561643835"/>
    <n v="17"/>
    <n v="5"/>
  </r>
  <r>
    <x v="1952"/>
    <x v="372"/>
    <x v="6"/>
    <n v="4"/>
    <n v="143.36000000000001"/>
    <x v="534"/>
    <x v="0"/>
    <x v="2"/>
    <n v="573.44000000000005"/>
    <n v="8.7671232876712329E-2"/>
    <n v="7"/>
    <n v="5"/>
  </r>
  <r>
    <x v="1953"/>
    <x v="372"/>
    <x v="2"/>
    <n v="3"/>
    <n v="15.69"/>
    <x v="612"/>
    <x v="7"/>
    <x v="3"/>
    <n v="47.07"/>
    <n v="1.5726027397260274"/>
    <n v="15"/>
    <n v="7"/>
  </r>
  <r>
    <x v="1954"/>
    <x v="372"/>
    <x v="0"/>
    <n v="4"/>
    <n v="1200.32"/>
    <x v="287"/>
    <x v="0"/>
    <x v="2"/>
    <n v="4801.28"/>
    <n v="1.4054794520547946"/>
    <n v="18"/>
    <n v="7"/>
  </r>
  <r>
    <x v="1955"/>
    <x v="372"/>
    <x v="0"/>
    <n v="3"/>
    <n v="900.24"/>
    <x v="130"/>
    <x v="9"/>
    <x v="1"/>
    <n v="2700.7200000000003"/>
    <n v="1.5095890410958903"/>
    <n v="16"/>
    <n v="7"/>
  </r>
  <r>
    <x v="1956"/>
    <x v="373"/>
    <x v="0"/>
    <n v="1"/>
    <n v="300.08"/>
    <x v="112"/>
    <x v="5"/>
    <x v="0"/>
    <n v="300.08"/>
    <n v="1.210958904109589"/>
    <n v="28"/>
    <n v="5"/>
  </r>
  <r>
    <x v="1957"/>
    <x v="373"/>
    <x v="6"/>
    <n v="2"/>
    <n v="71.680000000000007"/>
    <x v="706"/>
    <x v="9"/>
    <x v="0"/>
    <n v="143.36000000000001"/>
    <n v="0.24657534246575341"/>
    <n v="14"/>
    <n v="7"/>
  </r>
  <r>
    <x v="1958"/>
    <x v="373"/>
    <x v="2"/>
    <n v="3"/>
    <n v="15.69"/>
    <x v="127"/>
    <x v="2"/>
    <x v="0"/>
    <n v="47.07"/>
    <n v="1.515068493150685"/>
    <n v="12"/>
    <n v="7"/>
  </r>
  <r>
    <x v="1959"/>
    <x v="373"/>
    <x v="0"/>
    <n v="5"/>
    <n v="1500.4"/>
    <x v="346"/>
    <x v="1"/>
    <x v="4"/>
    <n v="7502"/>
    <n v="1.5561643835616439"/>
    <n v="14"/>
    <n v="7"/>
  </r>
  <r>
    <x v="1960"/>
    <x v="374"/>
    <x v="0"/>
    <n v="5"/>
    <n v="1500.4"/>
    <x v="175"/>
    <x v="4"/>
    <x v="2"/>
    <n v="7502"/>
    <n v="1.715068493150685"/>
    <n v="17"/>
    <n v="5"/>
  </r>
  <r>
    <x v="1961"/>
    <x v="374"/>
    <x v="6"/>
    <n v="5"/>
    <n v="179.2"/>
    <x v="485"/>
    <x v="9"/>
    <x v="2"/>
    <n v="896"/>
    <n v="1.3917808219178083"/>
    <n v="8"/>
    <n v="5"/>
  </r>
  <r>
    <x v="1962"/>
    <x v="374"/>
    <x v="0"/>
    <n v="4"/>
    <n v="1200.32"/>
    <x v="127"/>
    <x v="2"/>
    <x v="3"/>
    <n v="4801.28"/>
    <n v="1.6410958904109589"/>
    <n v="15"/>
    <n v="7"/>
  </r>
  <r>
    <x v="1963"/>
    <x v="374"/>
    <x v="1"/>
    <n v="5"/>
    <n v="203.3"/>
    <x v="464"/>
    <x v="6"/>
    <x v="3"/>
    <n v="1016.5"/>
    <n v="1.7671232876712328"/>
    <n v="13"/>
    <n v="7"/>
  </r>
  <r>
    <x v="1964"/>
    <x v="375"/>
    <x v="0"/>
    <n v="2"/>
    <n v="600.16"/>
    <x v="635"/>
    <x v="4"/>
    <x v="3"/>
    <n v="1200.32"/>
    <n v="1.5835616438356164"/>
    <n v="20"/>
    <n v="5"/>
  </r>
  <r>
    <x v="1965"/>
    <x v="375"/>
    <x v="6"/>
    <n v="5"/>
    <n v="179.2"/>
    <x v="239"/>
    <x v="1"/>
    <x v="3"/>
    <n v="896"/>
    <n v="0.80547945205479454"/>
    <n v="24"/>
    <n v="5"/>
  </r>
  <r>
    <x v="1966"/>
    <x v="375"/>
    <x v="0"/>
    <n v="5"/>
    <n v="1500.4"/>
    <x v="305"/>
    <x v="8"/>
    <x v="4"/>
    <n v="7502"/>
    <n v="1.9068493150684931"/>
    <n v="11"/>
    <n v="5"/>
  </r>
  <r>
    <x v="1967"/>
    <x v="375"/>
    <x v="2"/>
    <n v="3"/>
    <n v="15.69"/>
    <x v="434"/>
    <x v="0"/>
    <x v="2"/>
    <n v="47.07"/>
    <n v="1.547945205479452"/>
    <n v="5"/>
    <n v="5"/>
  </r>
  <r>
    <x v="1968"/>
    <x v="375"/>
    <x v="2"/>
    <n v="2"/>
    <n v="10.46"/>
    <x v="557"/>
    <x v="0"/>
    <x v="2"/>
    <n v="20.92"/>
    <n v="0.81369863013698629"/>
    <n v="13"/>
    <n v="7"/>
  </r>
  <r>
    <x v="1969"/>
    <x v="375"/>
    <x v="2"/>
    <n v="3"/>
    <n v="15.69"/>
    <x v="516"/>
    <x v="1"/>
    <x v="1"/>
    <n v="47.07"/>
    <n v="1.4082191780821918"/>
    <n v="17"/>
    <n v="7"/>
  </r>
  <r>
    <x v="1970"/>
    <x v="375"/>
    <x v="0"/>
    <n v="2"/>
    <n v="600.16"/>
    <x v="214"/>
    <x v="9"/>
    <x v="1"/>
    <n v="1200.32"/>
    <n v="0.29863013698630136"/>
    <n v="5"/>
    <n v="7"/>
  </r>
  <r>
    <x v="1971"/>
    <x v="375"/>
    <x v="2"/>
    <n v="2"/>
    <n v="10.46"/>
    <x v="451"/>
    <x v="3"/>
    <x v="4"/>
    <n v="20.92"/>
    <n v="2.0164383561643837"/>
    <n v="18"/>
    <n v="10"/>
  </r>
  <r>
    <x v="1972"/>
    <x v="376"/>
    <x v="6"/>
    <n v="1"/>
    <n v="35.840000000000003"/>
    <x v="424"/>
    <x v="1"/>
    <x v="4"/>
    <n v="35.840000000000003"/>
    <n v="1.747945205479452"/>
    <n v="16"/>
    <n v="5"/>
  </r>
  <r>
    <x v="1973"/>
    <x v="376"/>
    <x v="2"/>
    <n v="1"/>
    <n v="5.23"/>
    <x v="87"/>
    <x v="6"/>
    <x v="3"/>
    <n v="5.23"/>
    <n v="0.78904109589041094"/>
    <n v="16"/>
    <n v="5"/>
  </r>
  <r>
    <x v="1974"/>
    <x v="376"/>
    <x v="5"/>
    <n v="3"/>
    <n v="1800.51"/>
    <x v="386"/>
    <x v="9"/>
    <x v="0"/>
    <n v="5401.53"/>
    <n v="1.6684931506849314"/>
    <n v="12"/>
    <n v="5"/>
  </r>
  <r>
    <x v="1975"/>
    <x v="376"/>
    <x v="0"/>
    <n v="4"/>
    <n v="1200.32"/>
    <x v="359"/>
    <x v="1"/>
    <x v="4"/>
    <n v="4801.28"/>
    <n v="1.7616438356164383"/>
    <n v="14"/>
    <n v="5"/>
  </r>
  <r>
    <x v="1976"/>
    <x v="376"/>
    <x v="0"/>
    <n v="2"/>
    <n v="600.16"/>
    <x v="717"/>
    <x v="8"/>
    <x v="3"/>
    <n v="1200.32"/>
    <n v="0.35890410958904112"/>
    <n v="9"/>
    <n v="5"/>
  </r>
  <r>
    <x v="1977"/>
    <x v="376"/>
    <x v="1"/>
    <n v="1"/>
    <n v="40.659999999999997"/>
    <x v="349"/>
    <x v="1"/>
    <x v="3"/>
    <n v="40.659999999999997"/>
    <n v="0.44931506849315067"/>
    <n v="8"/>
    <n v="7"/>
  </r>
  <r>
    <x v="1978"/>
    <x v="376"/>
    <x v="6"/>
    <n v="1"/>
    <n v="35.840000000000003"/>
    <x v="199"/>
    <x v="8"/>
    <x v="4"/>
    <n v="35.840000000000003"/>
    <n v="1.6136986301369862"/>
    <n v="15"/>
    <n v="7"/>
  </r>
  <r>
    <x v="1979"/>
    <x v="376"/>
    <x v="7"/>
    <n v="2"/>
    <n v="23.46"/>
    <x v="448"/>
    <x v="0"/>
    <x v="4"/>
    <n v="46.92"/>
    <n v="1.3369863013698631"/>
    <n v="21"/>
    <n v="7"/>
  </r>
  <r>
    <x v="1980"/>
    <x v="376"/>
    <x v="1"/>
    <n v="3"/>
    <n v="121.98"/>
    <x v="702"/>
    <x v="1"/>
    <x v="3"/>
    <n v="365.94"/>
    <n v="1.7013698630136986"/>
    <n v="13"/>
    <n v="7"/>
  </r>
  <r>
    <x v="1981"/>
    <x v="376"/>
    <x v="0"/>
    <n v="1"/>
    <n v="300.08"/>
    <x v="682"/>
    <x v="6"/>
    <x v="4"/>
    <n v="300.08"/>
    <n v="1.295890410958904"/>
    <n v="4"/>
    <n v="10"/>
  </r>
  <r>
    <x v="1982"/>
    <x v="377"/>
    <x v="2"/>
    <n v="4"/>
    <n v="20.92"/>
    <x v="15"/>
    <x v="6"/>
    <x v="1"/>
    <n v="83.68"/>
    <n v="2.0493150684931507"/>
    <n v="16"/>
    <n v="5"/>
  </r>
  <r>
    <x v="1983"/>
    <x v="377"/>
    <x v="0"/>
    <n v="2"/>
    <n v="600.16"/>
    <x v="160"/>
    <x v="0"/>
    <x v="4"/>
    <n v="1200.32"/>
    <n v="2.043835616438356"/>
    <n v="9"/>
    <n v="7"/>
  </r>
  <r>
    <x v="1984"/>
    <x v="377"/>
    <x v="2"/>
    <n v="1"/>
    <n v="5.23"/>
    <x v="531"/>
    <x v="0"/>
    <x v="1"/>
    <n v="5.23"/>
    <n v="0.57260273972602738"/>
    <n v="4"/>
    <n v="7"/>
  </r>
  <r>
    <x v="1985"/>
    <x v="377"/>
    <x v="1"/>
    <n v="5"/>
    <n v="203.3"/>
    <x v="419"/>
    <x v="8"/>
    <x v="0"/>
    <n v="1016.5"/>
    <n v="0.43013698630136987"/>
    <n v="16"/>
    <n v="7"/>
  </r>
  <r>
    <x v="1986"/>
    <x v="377"/>
    <x v="2"/>
    <n v="3"/>
    <n v="15.69"/>
    <x v="42"/>
    <x v="7"/>
    <x v="4"/>
    <n v="47.07"/>
    <n v="1.978082191780822"/>
    <n v="28"/>
    <n v="10"/>
  </r>
  <r>
    <x v="1987"/>
    <x v="378"/>
    <x v="0"/>
    <n v="3"/>
    <n v="900.24"/>
    <x v="334"/>
    <x v="6"/>
    <x v="3"/>
    <n v="2700.7200000000003"/>
    <n v="1.8493150684931507"/>
    <n v="21"/>
    <n v="5"/>
  </r>
  <r>
    <x v="1988"/>
    <x v="378"/>
    <x v="2"/>
    <n v="1"/>
    <n v="5.23"/>
    <x v="249"/>
    <x v="0"/>
    <x v="1"/>
    <n v="5.23"/>
    <n v="1.904109589041096"/>
    <n v="19"/>
    <n v="7"/>
  </r>
  <r>
    <x v="1989"/>
    <x v="378"/>
    <x v="2"/>
    <n v="2"/>
    <n v="10.46"/>
    <x v="282"/>
    <x v="4"/>
    <x v="0"/>
    <n v="20.92"/>
    <n v="2.0931506849315067"/>
    <n v="18"/>
    <n v="7"/>
  </r>
  <r>
    <x v="1990"/>
    <x v="378"/>
    <x v="5"/>
    <n v="5"/>
    <n v="3000.85"/>
    <x v="509"/>
    <x v="6"/>
    <x v="4"/>
    <n v="15004.25"/>
    <n v="0.9068493150684932"/>
    <n v="6"/>
    <n v="7"/>
  </r>
  <r>
    <x v="1991"/>
    <x v="379"/>
    <x v="7"/>
    <n v="3"/>
    <n v="35.19"/>
    <x v="138"/>
    <x v="0"/>
    <x v="4"/>
    <n v="105.57"/>
    <n v="1.5342465753424657"/>
    <n v="10"/>
    <n v="5"/>
  </r>
  <r>
    <x v="1992"/>
    <x v="379"/>
    <x v="5"/>
    <n v="2"/>
    <n v="1200.3399999999999"/>
    <x v="430"/>
    <x v="1"/>
    <x v="4"/>
    <n v="2400.6799999999998"/>
    <n v="1.4931506849315068"/>
    <n v="18"/>
    <n v="7"/>
  </r>
  <r>
    <x v="1993"/>
    <x v="379"/>
    <x v="0"/>
    <n v="5"/>
    <n v="1500.4"/>
    <x v="217"/>
    <x v="1"/>
    <x v="1"/>
    <n v="7502"/>
    <n v="1.2657534246575342"/>
    <n v="13"/>
    <n v="7"/>
  </r>
  <r>
    <x v="1994"/>
    <x v="379"/>
    <x v="3"/>
    <n v="5"/>
    <n v="75.75"/>
    <x v="470"/>
    <x v="4"/>
    <x v="4"/>
    <n v="378.75"/>
    <n v="0.39178082191780822"/>
    <n v="7"/>
    <n v="7"/>
  </r>
  <r>
    <x v="1995"/>
    <x v="380"/>
    <x v="7"/>
    <n v="3"/>
    <n v="35.19"/>
    <x v="425"/>
    <x v="0"/>
    <x v="3"/>
    <n v="105.57"/>
    <n v="1.3041095890410959"/>
    <n v="13"/>
    <n v="5"/>
  </r>
  <r>
    <x v="1996"/>
    <x v="380"/>
    <x v="6"/>
    <n v="1"/>
    <n v="35.840000000000003"/>
    <x v="655"/>
    <x v="8"/>
    <x v="4"/>
    <n v="35.840000000000003"/>
    <n v="1.726027397260274"/>
    <n v="15"/>
    <n v="5"/>
  </r>
  <r>
    <x v="1997"/>
    <x v="380"/>
    <x v="2"/>
    <n v="1"/>
    <n v="5.23"/>
    <x v="726"/>
    <x v="0"/>
    <x v="1"/>
    <n v="5.23"/>
    <n v="1.0657534246575342"/>
    <n v="12"/>
    <n v="7"/>
  </r>
  <r>
    <x v="1998"/>
    <x v="380"/>
    <x v="0"/>
    <n v="3"/>
    <n v="900.24"/>
    <x v="444"/>
    <x v="8"/>
    <x v="3"/>
    <n v="2700.7200000000003"/>
    <n v="1.441095890410959"/>
    <n v="29"/>
    <n v="7"/>
  </r>
  <r>
    <x v="1999"/>
    <x v="381"/>
    <x v="0"/>
    <n v="1"/>
    <n v="300.08"/>
    <x v="727"/>
    <x v="6"/>
    <x v="0"/>
    <n v="300.08"/>
    <n v="1.9945205479452055"/>
    <n v="20"/>
    <n v="10"/>
  </r>
  <r>
    <x v="2000"/>
    <x v="381"/>
    <x v="7"/>
    <n v="2"/>
    <n v="23.46"/>
    <x v="496"/>
    <x v="3"/>
    <x v="1"/>
    <n v="46.92"/>
    <m/>
    <m/>
    <n v="10"/>
  </r>
  <r>
    <x v="2001"/>
    <x v="381"/>
    <x v="5"/>
    <n v="4"/>
    <n v="2400.6799999999998"/>
    <x v="311"/>
    <x v="6"/>
    <x v="0"/>
    <n v="9602.7199999999993"/>
    <m/>
    <m/>
    <n v="10"/>
  </r>
  <r>
    <x v="2002"/>
    <x v="382"/>
    <x v="0"/>
    <n v="2"/>
    <n v="600.16"/>
    <x v="137"/>
    <x v="3"/>
    <x v="3"/>
    <n v="1200.32"/>
    <m/>
    <m/>
    <n v="5"/>
  </r>
  <r>
    <x v="2003"/>
    <x v="382"/>
    <x v="2"/>
    <n v="4"/>
    <n v="20.92"/>
    <x v="178"/>
    <x v="1"/>
    <x v="3"/>
    <n v="83.68"/>
    <m/>
    <m/>
    <n v="7"/>
  </r>
  <r>
    <x v="2004"/>
    <x v="382"/>
    <x v="0"/>
    <n v="1"/>
    <n v="300.08"/>
    <x v="519"/>
    <x v="4"/>
    <x v="0"/>
    <n v="300.08"/>
    <m/>
    <m/>
    <n v="10"/>
  </r>
  <r>
    <x v="2005"/>
    <x v="382"/>
    <x v="0"/>
    <n v="4"/>
    <n v="1200.32"/>
    <x v="626"/>
    <x v="0"/>
    <x v="3"/>
    <n v="4801.28"/>
    <m/>
    <m/>
    <n v="10"/>
  </r>
  <r>
    <x v="2006"/>
    <x v="383"/>
    <x v="7"/>
    <n v="1"/>
    <n v="11.73"/>
    <x v="45"/>
    <x v="1"/>
    <x v="0"/>
    <n v="11.73"/>
    <m/>
    <m/>
    <n v="5"/>
  </r>
  <r>
    <x v="2007"/>
    <x v="383"/>
    <x v="2"/>
    <n v="4"/>
    <n v="20.92"/>
    <x v="652"/>
    <x v="9"/>
    <x v="2"/>
    <n v="83.68"/>
    <m/>
    <m/>
    <n v="5"/>
  </r>
  <r>
    <x v="2008"/>
    <x v="383"/>
    <x v="2"/>
    <n v="1"/>
    <n v="5.23"/>
    <x v="673"/>
    <x v="6"/>
    <x v="2"/>
    <n v="5.23"/>
    <m/>
    <m/>
    <n v="7"/>
  </r>
  <r>
    <x v="2009"/>
    <x v="383"/>
    <x v="5"/>
    <n v="2"/>
    <n v="1200.3399999999999"/>
    <x v="722"/>
    <x v="9"/>
    <x v="0"/>
    <n v="2400.6799999999998"/>
    <m/>
    <m/>
    <n v="10"/>
  </r>
  <r>
    <x v="2010"/>
    <x v="384"/>
    <x v="5"/>
    <n v="2"/>
    <n v="1200.3399999999999"/>
    <x v="372"/>
    <x v="6"/>
    <x v="2"/>
    <n v="2400.6799999999998"/>
    <m/>
    <m/>
    <n v="5"/>
  </r>
  <r>
    <x v="2011"/>
    <x v="384"/>
    <x v="0"/>
    <n v="2"/>
    <n v="600.16"/>
    <x v="728"/>
    <x v="1"/>
    <x v="1"/>
    <n v="1200.32"/>
    <m/>
    <m/>
    <n v="5"/>
  </r>
  <r>
    <x v="2012"/>
    <x v="384"/>
    <x v="2"/>
    <n v="2"/>
    <n v="10.46"/>
    <x v="729"/>
    <x v="8"/>
    <x v="4"/>
    <n v="20.92"/>
    <m/>
    <m/>
    <n v="7"/>
  </r>
  <r>
    <x v="2013"/>
    <x v="384"/>
    <x v="0"/>
    <n v="3"/>
    <n v="900.24"/>
    <x v="255"/>
    <x v="2"/>
    <x v="4"/>
    <n v="2700.7200000000003"/>
    <m/>
    <m/>
    <n v="7"/>
  </r>
  <r>
    <x v="2014"/>
    <x v="384"/>
    <x v="2"/>
    <n v="1"/>
    <n v="5.23"/>
    <x v="49"/>
    <x v="1"/>
    <x v="3"/>
    <n v="5.23"/>
    <m/>
    <m/>
    <n v="7"/>
  </r>
  <r>
    <x v="2015"/>
    <x v="384"/>
    <x v="0"/>
    <n v="4"/>
    <n v="1200.32"/>
    <x v="206"/>
    <x v="1"/>
    <x v="4"/>
    <n v="4801.28"/>
    <m/>
    <m/>
    <n v="7"/>
  </r>
  <r>
    <x v="2016"/>
    <x v="384"/>
    <x v="5"/>
    <n v="5"/>
    <n v="3000.85"/>
    <x v="219"/>
    <x v="2"/>
    <x v="2"/>
    <n v="15004.25"/>
    <m/>
    <m/>
    <n v="7"/>
  </r>
  <r>
    <x v="2017"/>
    <x v="384"/>
    <x v="6"/>
    <n v="1"/>
    <n v="35.840000000000003"/>
    <x v="170"/>
    <x v="6"/>
    <x v="2"/>
    <n v="35.840000000000003"/>
    <m/>
    <m/>
    <n v="10"/>
  </r>
  <r>
    <x v="2018"/>
    <x v="385"/>
    <x v="5"/>
    <n v="3"/>
    <n v="1800.51"/>
    <x v="221"/>
    <x v="4"/>
    <x v="2"/>
    <n v="5401.53"/>
    <m/>
    <m/>
    <n v="5"/>
  </r>
  <r>
    <x v="2019"/>
    <x v="385"/>
    <x v="4"/>
    <n v="2"/>
    <n v="2100"/>
    <x v="45"/>
    <x v="8"/>
    <x v="3"/>
    <n v="4200"/>
    <m/>
    <m/>
    <n v="5"/>
  </r>
  <r>
    <x v="2020"/>
    <x v="385"/>
    <x v="1"/>
    <n v="5"/>
    <n v="203.3"/>
    <x v="73"/>
    <x v="6"/>
    <x v="1"/>
    <n v="1016.5"/>
    <m/>
    <m/>
    <n v="5"/>
  </r>
  <r>
    <x v="2021"/>
    <x v="385"/>
    <x v="7"/>
    <n v="3"/>
    <n v="35.19"/>
    <x v="353"/>
    <x v="0"/>
    <x v="3"/>
    <n v="105.57"/>
    <m/>
    <m/>
    <n v="7"/>
  </r>
  <r>
    <x v="2022"/>
    <x v="385"/>
    <x v="5"/>
    <n v="3"/>
    <n v="1800.51"/>
    <x v="391"/>
    <x v="8"/>
    <x v="2"/>
    <n v="5401.53"/>
    <m/>
    <m/>
    <n v="7"/>
  </r>
  <r>
    <x v="2023"/>
    <x v="386"/>
    <x v="0"/>
    <n v="4"/>
    <n v="1200.32"/>
    <x v="730"/>
    <x v="6"/>
    <x v="3"/>
    <n v="4801.28"/>
    <m/>
    <m/>
    <n v="5"/>
  </r>
  <r>
    <x v="2024"/>
    <x v="386"/>
    <x v="2"/>
    <n v="5"/>
    <n v="26.15"/>
    <x v="520"/>
    <x v="6"/>
    <x v="3"/>
    <n v="130.75"/>
    <m/>
    <m/>
    <n v="5"/>
  </r>
  <r>
    <x v="2025"/>
    <x v="386"/>
    <x v="2"/>
    <n v="4"/>
    <n v="20.92"/>
    <x v="70"/>
    <x v="4"/>
    <x v="2"/>
    <n v="83.68"/>
    <m/>
    <m/>
    <n v="5"/>
  </r>
  <r>
    <x v="2026"/>
    <x v="386"/>
    <x v="2"/>
    <n v="2"/>
    <n v="10.46"/>
    <x v="455"/>
    <x v="0"/>
    <x v="1"/>
    <n v="20.92"/>
    <m/>
    <m/>
    <n v="7"/>
  </r>
  <r>
    <x v="2027"/>
    <x v="386"/>
    <x v="2"/>
    <n v="2"/>
    <n v="10.46"/>
    <x v="229"/>
    <x v="4"/>
    <x v="4"/>
    <n v="20.92"/>
    <m/>
    <m/>
    <n v="10"/>
  </r>
  <r>
    <x v="2028"/>
    <x v="387"/>
    <x v="0"/>
    <n v="5"/>
    <n v="1500.4"/>
    <x v="372"/>
    <x v="6"/>
    <x v="1"/>
    <n v="7502"/>
    <m/>
    <m/>
    <n v="5"/>
  </r>
  <r>
    <x v="2029"/>
    <x v="387"/>
    <x v="1"/>
    <n v="4"/>
    <n v="162.63999999999999"/>
    <x v="313"/>
    <x v="0"/>
    <x v="0"/>
    <n v="650.55999999999995"/>
    <m/>
    <m/>
    <n v="5"/>
  </r>
  <r>
    <x v="2030"/>
    <x v="387"/>
    <x v="5"/>
    <n v="3"/>
    <n v="1800.51"/>
    <x v="138"/>
    <x v="0"/>
    <x v="2"/>
    <n v="5401.53"/>
    <m/>
    <m/>
    <n v="5"/>
  </r>
  <r>
    <x v="2031"/>
    <x v="387"/>
    <x v="7"/>
    <n v="5"/>
    <n v="58.65"/>
    <x v="697"/>
    <x v="7"/>
    <x v="0"/>
    <n v="293.25"/>
    <m/>
    <m/>
    <n v="5"/>
  </r>
  <r>
    <x v="2032"/>
    <x v="387"/>
    <x v="7"/>
    <n v="4"/>
    <n v="46.92"/>
    <x v="82"/>
    <x v="1"/>
    <x v="2"/>
    <n v="187.68"/>
    <m/>
    <m/>
    <n v="5"/>
  </r>
  <r>
    <x v="2033"/>
    <x v="387"/>
    <x v="1"/>
    <n v="4"/>
    <n v="162.63999999999999"/>
    <x v="435"/>
    <x v="9"/>
    <x v="4"/>
    <n v="650.55999999999995"/>
    <m/>
    <m/>
    <n v="5"/>
  </r>
  <r>
    <x v="2034"/>
    <x v="387"/>
    <x v="0"/>
    <n v="2"/>
    <n v="600.16"/>
    <x v="40"/>
    <x v="0"/>
    <x v="3"/>
    <n v="1200.32"/>
    <m/>
    <m/>
    <n v="7"/>
  </r>
  <r>
    <x v="2035"/>
    <x v="387"/>
    <x v="0"/>
    <n v="2"/>
    <n v="600.16"/>
    <x v="229"/>
    <x v="6"/>
    <x v="1"/>
    <n v="1200.32"/>
    <m/>
    <m/>
    <n v="10"/>
  </r>
  <r>
    <x v="2036"/>
    <x v="387"/>
    <x v="5"/>
    <n v="3"/>
    <n v="1800.51"/>
    <x v="666"/>
    <x v="1"/>
    <x v="3"/>
    <n v="5401.53"/>
    <m/>
    <m/>
    <n v="10"/>
  </r>
  <r>
    <x v="2037"/>
    <x v="388"/>
    <x v="0"/>
    <n v="1"/>
    <n v="300.08"/>
    <x v="623"/>
    <x v="4"/>
    <x v="4"/>
    <n v="300.08"/>
    <m/>
    <m/>
    <n v="5"/>
  </r>
  <r>
    <x v="2038"/>
    <x v="388"/>
    <x v="0"/>
    <n v="1"/>
    <n v="300.08"/>
    <x v="199"/>
    <x v="0"/>
    <x v="0"/>
    <n v="300.08"/>
    <m/>
    <m/>
    <n v="7"/>
  </r>
  <r>
    <x v="2039"/>
    <x v="388"/>
    <x v="6"/>
    <n v="4"/>
    <n v="143.36000000000001"/>
    <x v="390"/>
    <x v="3"/>
    <x v="0"/>
    <n v="573.44000000000005"/>
    <m/>
    <m/>
    <n v="7"/>
  </r>
  <r>
    <x v="2040"/>
    <x v="388"/>
    <x v="2"/>
    <n v="3"/>
    <n v="15.69"/>
    <x v="554"/>
    <x v="5"/>
    <x v="1"/>
    <n v="47.07"/>
    <m/>
    <m/>
    <n v="10"/>
  </r>
  <r>
    <x v="2041"/>
    <x v="389"/>
    <x v="1"/>
    <n v="5"/>
    <n v="203.3"/>
    <x v="551"/>
    <x v="6"/>
    <x v="3"/>
    <n v="1016.5"/>
    <m/>
    <m/>
    <n v="5"/>
  </r>
  <r>
    <x v="2042"/>
    <x v="389"/>
    <x v="2"/>
    <n v="4"/>
    <n v="20.92"/>
    <x v="706"/>
    <x v="6"/>
    <x v="1"/>
    <n v="83.68"/>
    <m/>
    <m/>
    <n v="7"/>
  </r>
  <r>
    <x v="2043"/>
    <x v="389"/>
    <x v="0"/>
    <n v="5"/>
    <n v="1500.4"/>
    <x v="400"/>
    <x v="1"/>
    <x v="0"/>
    <n v="7502"/>
    <m/>
    <m/>
    <n v="7"/>
  </r>
  <r>
    <x v="2044"/>
    <x v="389"/>
    <x v="1"/>
    <n v="3"/>
    <n v="121.98"/>
    <x v="542"/>
    <x v="2"/>
    <x v="1"/>
    <n v="365.94"/>
    <m/>
    <m/>
    <n v="7"/>
  </r>
  <r>
    <x v="2045"/>
    <x v="389"/>
    <x v="1"/>
    <n v="3"/>
    <n v="121.98"/>
    <x v="470"/>
    <x v="2"/>
    <x v="2"/>
    <n v="365.94"/>
    <m/>
    <m/>
    <n v="7"/>
  </r>
  <r>
    <x v="2046"/>
    <x v="390"/>
    <x v="2"/>
    <n v="1"/>
    <n v="5.23"/>
    <x v="5"/>
    <x v="0"/>
    <x v="0"/>
    <n v="5.23"/>
    <m/>
    <m/>
    <n v="5"/>
  </r>
  <r>
    <x v="2047"/>
    <x v="390"/>
    <x v="0"/>
    <n v="1"/>
    <n v="300.08"/>
    <x v="731"/>
    <x v="8"/>
    <x v="4"/>
    <n v="300.08"/>
    <m/>
    <m/>
    <n v="5"/>
  </r>
  <r>
    <x v="2048"/>
    <x v="390"/>
    <x v="2"/>
    <n v="4"/>
    <n v="20.92"/>
    <x v="430"/>
    <x v="0"/>
    <x v="4"/>
    <n v="83.68"/>
    <m/>
    <m/>
    <n v="7"/>
  </r>
  <r>
    <x v="2049"/>
    <x v="391"/>
    <x v="0"/>
    <n v="1"/>
    <n v="300.08"/>
    <x v="691"/>
    <x v="0"/>
    <x v="4"/>
    <n v="300.08"/>
    <m/>
    <m/>
    <n v="7"/>
  </r>
  <r>
    <x v="2050"/>
    <x v="391"/>
    <x v="0"/>
    <n v="1"/>
    <n v="300.08"/>
    <x v="732"/>
    <x v="0"/>
    <x v="4"/>
    <n v="300.08"/>
    <m/>
    <m/>
    <n v="7"/>
  </r>
  <r>
    <x v="2051"/>
    <x v="391"/>
    <x v="0"/>
    <n v="3"/>
    <n v="900.24"/>
    <x v="649"/>
    <x v="6"/>
    <x v="3"/>
    <n v="2700.7200000000003"/>
    <m/>
    <m/>
    <n v="7"/>
  </r>
  <r>
    <x v="2052"/>
    <x v="391"/>
    <x v="0"/>
    <n v="5"/>
    <n v="1500.4"/>
    <x v="733"/>
    <x v="3"/>
    <x v="2"/>
    <n v="7502"/>
    <m/>
    <m/>
    <n v="7"/>
  </r>
  <r>
    <x v="2053"/>
    <x v="391"/>
    <x v="4"/>
    <n v="2"/>
    <n v="2100"/>
    <x v="299"/>
    <x v="4"/>
    <x v="2"/>
    <n v="4200"/>
    <m/>
    <m/>
    <n v="10"/>
  </r>
  <r>
    <x v="2054"/>
    <x v="391"/>
    <x v="3"/>
    <n v="1"/>
    <n v="15.15"/>
    <x v="53"/>
    <x v="0"/>
    <x v="2"/>
    <n v="15.15"/>
    <m/>
    <m/>
    <n v="10"/>
  </r>
  <r>
    <x v="2055"/>
    <x v="392"/>
    <x v="2"/>
    <n v="2"/>
    <n v="10.46"/>
    <x v="606"/>
    <x v="0"/>
    <x v="2"/>
    <n v="20.92"/>
    <m/>
    <m/>
    <n v="5"/>
  </r>
  <r>
    <x v="2056"/>
    <x v="392"/>
    <x v="3"/>
    <n v="2"/>
    <n v="30.3"/>
    <x v="242"/>
    <x v="4"/>
    <x v="3"/>
    <n v="60.6"/>
    <m/>
    <m/>
    <n v="5"/>
  </r>
  <r>
    <x v="2057"/>
    <x v="392"/>
    <x v="6"/>
    <n v="2"/>
    <n v="71.680000000000007"/>
    <x v="572"/>
    <x v="1"/>
    <x v="2"/>
    <n v="143.36000000000001"/>
    <m/>
    <m/>
    <n v="7"/>
  </r>
  <r>
    <x v="2058"/>
    <x v="392"/>
    <x v="0"/>
    <n v="5"/>
    <n v="1500.4"/>
    <x v="734"/>
    <x v="0"/>
    <x v="2"/>
    <n v="7502"/>
    <m/>
    <m/>
    <n v="7"/>
  </r>
  <r>
    <x v="2059"/>
    <x v="392"/>
    <x v="4"/>
    <n v="4"/>
    <n v="4200"/>
    <x v="50"/>
    <x v="1"/>
    <x v="3"/>
    <n v="16800"/>
    <m/>
    <m/>
    <n v="10"/>
  </r>
  <r>
    <x v="2060"/>
    <x v="393"/>
    <x v="0"/>
    <n v="2"/>
    <n v="600.16"/>
    <x v="27"/>
    <x v="6"/>
    <x v="3"/>
    <n v="1200.32"/>
    <m/>
    <m/>
    <n v="5"/>
  </r>
  <r>
    <x v="2061"/>
    <x v="393"/>
    <x v="1"/>
    <n v="1"/>
    <n v="40.659999999999997"/>
    <x v="316"/>
    <x v="0"/>
    <x v="3"/>
    <n v="40.659999999999997"/>
    <m/>
    <m/>
    <n v="7"/>
  </r>
  <r>
    <x v="2062"/>
    <x v="393"/>
    <x v="2"/>
    <n v="5"/>
    <n v="26.15"/>
    <x v="9"/>
    <x v="7"/>
    <x v="2"/>
    <n v="130.75"/>
    <m/>
    <m/>
    <n v="7"/>
  </r>
  <r>
    <x v="2063"/>
    <x v="394"/>
    <x v="3"/>
    <n v="1"/>
    <n v="15.15"/>
    <x v="735"/>
    <x v="0"/>
    <x v="2"/>
    <n v="15.15"/>
    <m/>
    <m/>
    <n v="7"/>
  </r>
  <r>
    <x v="2064"/>
    <x v="395"/>
    <x v="6"/>
    <n v="3"/>
    <n v="107.52"/>
    <x v="305"/>
    <x v="0"/>
    <x v="2"/>
    <n v="322.56"/>
    <m/>
    <m/>
    <n v="5"/>
  </r>
  <r>
    <x v="2065"/>
    <x v="395"/>
    <x v="5"/>
    <n v="1"/>
    <n v="600.16999999999996"/>
    <x v="736"/>
    <x v="6"/>
    <x v="1"/>
    <n v="600.16999999999996"/>
    <m/>
    <m/>
    <n v="5"/>
  </r>
  <r>
    <x v="2066"/>
    <x v="395"/>
    <x v="5"/>
    <n v="4"/>
    <n v="2400.6799999999998"/>
    <x v="43"/>
    <x v="9"/>
    <x v="2"/>
    <n v="9602.7199999999993"/>
    <m/>
    <m/>
    <n v="5"/>
  </r>
  <r>
    <x v="2067"/>
    <x v="395"/>
    <x v="0"/>
    <n v="4"/>
    <n v="1200.32"/>
    <x v="399"/>
    <x v="6"/>
    <x v="2"/>
    <n v="4801.28"/>
    <m/>
    <m/>
    <n v="7"/>
  </r>
  <r>
    <x v="2068"/>
    <x v="395"/>
    <x v="7"/>
    <n v="3"/>
    <n v="35.19"/>
    <x v="561"/>
    <x v="0"/>
    <x v="0"/>
    <n v="105.57"/>
    <m/>
    <m/>
    <n v="7"/>
  </r>
  <r>
    <x v="2069"/>
    <x v="396"/>
    <x v="2"/>
    <n v="4"/>
    <n v="20.92"/>
    <x v="737"/>
    <x v="9"/>
    <x v="3"/>
    <n v="83.68"/>
    <m/>
    <m/>
    <n v="5"/>
  </r>
  <r>
    <x v="2070"/>
    <x v="396"/>
    <x v="7"/>
    <n v="2"/>
    <n v="23.46"/>
    <x v="46"/>
    <x v="5"/>
    <x v="1"/>
    <n v="46.92"/>
    <m/>
    <m/>
    <n v="5"/>
  </r>
  <r>
    <x v="2071"/>
    <x v="396"/>
    <x v="0"/>
    <n v="3"/>
    <n v="900.24"/>
    <x v="70"/>
    <x v="9"/>
    <x v="0"/>
    <n v="2700.7200000000003"/>
    <m/>
    <m/>
    <n v="5"/>
  </r>
  <r>
    <x v="2072"/>
    <x v="396"/>
    <x v="0"/>
    <n v="2"/>
    <n v="600.16"/>
    <x v="738"/>
    <x v="1"/>
    <x v="3"/>
    <n v="1200.32"/>
    <m/>
    <m/>
    <n v="7"/>
  </r>
  <r>
    <x v="2073"/>
    <x v="396"/>
    <x v="0"/>
    <n v="4"/>
    <n v="1200.32"/>
    <x v="356"/>
    <x v="4"/>
    <x v="4"/>
    <n v="4801.28"/>
    <m/>
    <m/>
    <n v="7"/>
  </r>
  <r>
    <x v="2074"/>
    <x v="396"/>
    <x v="0"/>
    <n v="4"/>
    <n v="1200.32"/>
    <x v="705"/>
    <x v="0"/>
    <x v="1"/>
    <n v="4801.28"/>
    <m/>
    <m/>
    <n v="7"/>
  </r>
  <r>
    <x v="2075"/>
    <x v="397"/>
    <x v="0"/>
    <n v="2"/>
    <n v="600.16"/>
    <x v="453"/>
    <x v="4"/>
    <x v="2"/>
    <n v="1200.32"/>
    <m/>
    <m/>
    <n v="5"/>
  </r>
  <r>
    <x v="2076"/>
    <x v="398"/>
    <x v="0"/>
    <n v="5"/>
    <n v="1500.4"/>
    <x v="126"/>
    <x v="5"/>
    <x v="4"/>
    <n v="7502"/>
    <m/>
    <m/>
    <n v="5"/>
  </r>
  <r>
    <x v="2077"/>
    <x v="398"/>
    <x v="0"/>
    <n v="3"/>
    <n v="900.24"/>
    <x v="351"/>
    <x v="5"/>
    <x v="2"/>
    <n v="2700.7200000000003"/>
    <m/>
    <m/>
    <n v="5"/>
  </r>
  <r>
    <x v="2078"/>
    <x v="398"/>
    <x v="4"/>
    <n v="4"/>
    <n v="4200"/>
    <x v="739"/>
    <x v="9"/>
    <x v="0"/>
    <n v="16800"/>
    <m/>
    <m/>
    <n v="5"/>
  </r>
  <r>
    <x v="2079"/>
    <x v="398"/>
    <x v="2"/>
    <n v="1"/>
    <n v="5.23"/>
    <x v="624"/>
    <x v="6"/>
    <x v="4"/>
    <n v="5.23"/>
    <m/>
    <m/>
    <n v="7"/>
  </r>
  <r>
    <x v="2080"/>
    <x v="398"/>
    <x v="2"/>
    <n v="1"/>
    <n v="5.23"/>
    <x v="740"/>
    <x v="9"/>
    <x v="2"/>
    <n v="5.23"/>
    <m/>
    <m/>
    <n v="7"/>
  </r>
  <r>
    <x v="2081"/>
    <x v="398"/>
    <x v="0"/>
    <n v="5"/>
    <n v="1500.4"/>
    <x v="693"/>
    <x v="1"/>
    <x v="0"/>
    <n v="7502"/>
    <m/>
    <m/>
    <n v="10"/>
  </r>
  <r>
    <x v="2082"/>
    <x v="399"/>
    <x v="6"/>
    <n v="1"/>
    <n v="35.840000000000003"/>
    <x v="575"/>
    <x v="5"/>
    <x v="3"/>
    <n v="35.840000000000003"/>
    <m/>
    <m/>
    <n v="5"/>
  </r>
  <r>
    <x v="2083"/>
    <x v="399"/>
    <x v="0"/>
    <n v="2"/>
    <n v="600.16"/>
    <x v="47"/>
    <x v="1"/>
    <x v="0"/>
    <n v="1200.32"/>
    <m/>
    <m/>
    <n v="5"/>
  </r>
  <r>
    <x v="2084"/>
    <x v="399"/>
    <x v="0"/>
    <n v="1"/>
    <n v="300.08"/>
    <x v="347"/>
    <x v="1"/>
    <x v="3"/>
    <n v="300.08"/>
    <m/>
    <m/>
    <n v="7"/>
  </r>
  <r>
    <x v="2085"/>
    <x v="400"/>
    <x v="1"/>
    <n v="5"/>
    <n v="203.3"/>
    <x v="7"/>
    <x v="0"/>
    <x v="0"/>
    <n v="1016.5"/>
    <m/>
    <m/>
    <n v="7"/>
  </r>
  <r>
    <x v="2086"/>
    <x v="400"/>
    <x v="3"/>
    <n v="4"/>
    <n v="60.6"/>
    <x v="603"/>
    <x v="7"/>
    <x v="4"/>
    <n v="242.4"/>
    <m/>
    <m/>
    <n v="7"/>
  </r>
  <r>
    <x v="2087"/>
    <x v="400"/>
    <x v="5"/>
    <n v="4"/>
    <n v="2400.6799999999998"/>
    <x v="605"/>
    <x v="2"/>
    <x v="4"/>
    <n v="9602.7199999999993"/>
    <m/>
    <m/>
    <n v="7"/>
  </r>
  <r>
    <x v="2088"/>
    <x v="400"/>
    <x v="0"/>
    <n v="3"/>
    <n v="900.24"/>
    <x v="11"/>
    <x v="4"/>
    <x v="1"/>
    <n v="2700.7200000000003"/>
    <m/>
    <m/>
    <n v="7"/>
  </r>
  <r>
    <x v="2089"/>
    <x v="400"/>
    <x v="0"/>
    <n v="4"/>
    <n v="1200.32"/>
    <x v="741"/>
    <x v="7"/>
    <x v="2"/>
    <n v="4801.28"/>
    <m/>
    <m/>
    <n v="10"/>
  </r>
  <r>
    <x v="2090"/>
    <x v="401"/>
    <x v="2"/>
    <n v="3"/>
    <n v="15.69"/>
    <x v="411"/>
    <x v="4"/>
    <x v="0"/>
    <n v="47.07"/>
    <m/>
    <m/>
    <n v="7"/>
  </r>
  <r>
    <x v="2091"/>
    <x v="402"/>
    <x v="1"/>
    <n v="1"/>
    <n v="40.659999999999997"/>
    <x v="296"/>
    <x v="1"/>
    <x v="3"/>
    <n v="40.659999999999997"/>
    <m/>
    <m/>
    <n v="5"/>
  </r>
  <r>
    <x v="2092"/>
    <x v="403"/>
    <x v="1"/>
    <n v="1"/>
    <n v="40.659999999999997"/>
    <x v="307"/>
    <x v="9"/>
    <x v="3"/>
    <n v="40.659999999999997"/>
    <m/>
    <m/>
    <n v="5"/>
  </r>
  <r>
    <x v="2093"/>
    <x v="403"/>
    <x v="1"/>
    <n v="4"/>
    <n v="162.63999999999999"/>
    <x v="341"/>
    <x v="1"/>
    <x v="3"/>
    <n v="650.55999999999995"/>
    <m/>
    <m/>
    <n v="5"/>
  </r>
  <r>
    <x v="2094"/>
    <x v="403"/>
    <x v="0"/>
    <n v="4"/>
    <n v="1200.32"/>
    <x v="108"/>
    <x v="0"/>
    <x v="0"/>
    <n v="4801.28"/>
    <m/>
    <m/>
    <n v="5"/>
  </r>
  <r>
    <x v="2095"/>
    <x v="403"/>
    <x v="0"/>
    <n v="3"/>
    <n v="900.24"/>
    <x v="4"/>
    <x v="1"/>
    <x v="1"/>
    <n v="2700.7200000000003"/>
    <m/>
    <m/>
    <n v="7"/>
  </r>
  <r>
    <x v="2096"/>
    <x v="404"/>
    <x v="2"/>
    <n v="5"/>
    <n v="26.15"/>
    <x v="445"/>
    <x v="9"/>
    <x v="1"/>
    <n v="130.75"/>
    <m/>
    <m/>
    <n v="5"/>
  </r>
  <r>
    <x v="2097"/>
    <x v="404"/>
    <x v="7"/>
    <n v="3"/>
    <n v="35.19"/>
    <x v="545"/>
    <x v="6"/>
    <x v="4"/>
    <n v="105.57"/>
    <m/>
    <m/>
    <n v="5"/>
  </r>
  <r>
    <x v="2098"/>
    <x v="404"/>
    <x v="1"/>
    <n v="2"/>
    <n v="81.319999999999993"/>
    <x v="487"/>
    <x v="4"/>
    <x v="4"/>
    <n v="162.63999999999999"/>
    <m/>
    <m/>
    <n v="7"/>
  </r>
  <r>
    <x v="2099"/>
    <x v="404"/>
    <x v="0"/>
    <n v="5"/>
    <n v="1500.4"/>
    <x v="442"/>
    <x v="2"/>
    <x v="4"/>
    <n v="7502"/>
    <m/>
    <m/>
    <n v="10"/>
  </r>
  <r>
    <x v="2100"/>
    <x v="405"/>
    <x v="1"/>
    <n v="5"/>
    <n v="203.3"/>
    <x v="508"/>
    <x v="0"/>
    <x v="4"/>
    <n v="1016.5"/>
    <m/>
    <m/>
    <n v="7"/>
  </r>
  <r>
    <x v="2101"/>
    <x v="405"/>
    <x v="1"/>
    <n v="4"/>
    <n v="162.63999999999999"/>
    <x v="504"/>
    <x v="4"/>
    <x v="4"/>
    <n v="650.55999999999995"/>
    <m/>
    <m/>
    <n v="7"/>
  </r>
  <r>
    <x v="2102"/>
    <x v="405"/>
    <x v="2"/>
    <n v="1"/>
    <n v="5.23"/>
    <x v="227"/>
    <x v="1"/>
    <x v="4"/>
    <n v="5.23"/>
    <m/>
    <m/>
    <n v="7"/>
  </r>
  <r>
    <x v="2103"/>
    <x v="406"/>
    <x v="0"/>
    <n v="4"/>
    <n v="1200.32"/>
    <x v="270"/>
    <x v="6"/>
    <x v="2"/>
    <n v="4801.28"/>
    <m/>
    <m/>
    <n v="5"/>
  </r>
  <r>
    <x v="2104"/>
    <x v="406"/>
    <x v="0"/>
    <n v="3"/>
    <n v="900.24"/>
    <x v="233"/>
    <x v="0"/>
    <x v="1"/>
    <n v="2700.7200000000003"/>
    <m/>
    <m/>
    <n v="5"/>
  </r>
  <r>
    <x v="2105"/>
    <x v="407"/>
    <x v="0"/>
    <n v="3"/>
    <n v="900.24"/>
    <x v="730"/>
    <x v="6"/>
    <x v="1"/>
    <n v="2700.7200000000003"/>
    <m/>
    <m/>
    <n v="5"/>
  </r>
  <r>
    <x v="2106"/>
    <x v="407"/>
    <x v="0"/>
    <n v="4"/>
    <n v="1200.32"/>
    <x v="526"/>
    <x v="9"/>
    <x v="3"/>
    <n v="4801.28"/>
    <m/>
    <m/>
    <n v="5"/>
  </r>
  <r>
    <x v="2107"/>
    <x v="407"/>
    <x v="0"/>
    <n v="2"/>
    <n v="600.16"/>
    <x v="498"/>
    <x v="9"/>
    <x v="1"/>
    <n v="1200.32"/>
    <m/>
    <m/>
    <n v="5"/>
  </r>
  <r>
    <x v="2108"/>
    <x v="407"/>
    <x v="7"/>
    <n v="5"/>
    <n v="58.65"/>
    <x v="14"/>
    <x v="3"/>
    <x v="4"/>
    <n v="293.25"/>
    <m/>
    <m/>
    <n v="5"/>
  </r>
  <r>
    <x v="2109"/>
    <x v="407"/>
    <x v="1"/>
    <n v="1"/>
    <n v="40.659999999999997"/>
    <x v="276"/>
    <x v="4"/>
    <x v="0"/>
    <n v="40.659999999999997"/>
    <m/>
    <m/>
    <n v="5"/>
  </r>
  <r>
    <x v="2110"/>
    <x v="408"/>
    <x v="1"/>
    <n v="3"/>
    <n v="121.98"/>
    <x v="720"/>
    <x v="0"/>
    <x v="3"/>
    <n v="365.94"/>
    <m/>
    <m/>
    <n v="5"/>
  </r>
  <r>
    <x v="2111"/>
    <x v="408"/>
    <x v="2"/>
    <n v="2"/>
    <n v="10.46"/>
    <x v="585"/>
    <x v="2"/>
    <x v="3"/>
    <n v="20.92"/>
    <m/>
    <m/>
    <n v="7"/>
  </r>
  <r>
    <x v="2112"/>
    <x v="408"/>
    <x v="2"/>
    <n v="4"/>
    <n v="20.92"/>
    <x v="388"/>
    <x v="4"/>
    <x v="3"/>
    <n v="83.68"/>
    <m/>
    <m/>
    <n v="7"/>
  </r>
  <r>
    <x v="2113"/>
    <x v="408"/>
    <x v="1"/>
    <n v="4"/>
    <n v="162.63999999999999"/>
    <x v="488"/>
    <x v="6"/>
    <x v="3"/>
    <n v="650.55999999999995"/>
    <m/>
    <m/>
    <n v="7"/>
  </r>
  <r>
    <x v="2114"/>
    <x v="408"/>
    <x v="5"/>
    <n v="2"/>
    <n v="1200.3399999999999"/>
    <x v="3"/>
    <x v="6"/>
    <x v="0"/>
    <n v="2400.6799999999998"/>
    <m/>
    <m/>
    <n v="7"/>
  </r>
  <r>
    <x v="2115"/>
    <x v="409"/>
    <x v="1"/>
    <n v="2"/>
    <n v="81.319999999999993"/>
    <x v="0"/>
    <x v="7"/>
    <x v="3"/>
    <n v="162.63999999999999"/>
    <m/>
    <m/>
    <n v="5"/>
  </r>
  <r>
    <x v="2116"/>
    <x v="409"/>
    <x v="7"/>
    <n v="5"/>
    <n v="58.65"/>
    <x v="341"/>
    <x v="5"/>
    <x v="0"/>
    <n v="293.25"/>
    <m/>
    <m/>
    <n v="5"/>
  </r>
  <r>
    <x v="2117"/>
    <x v="409"/>
    <x v="5"/>
    <n v="4"/>
    <n v="2400.6799999999998"/>
    <x v="392"/>
    <x v="9"/>
    <x v="1"/>
    <n v="9602.7199999999993"/>
    <m/>
    <m/>
    <n v="5"/>
  </r>
  <r>
    <x v="2118"/>
    <x v="409"/>
    <x v="0"/>
    <n v="2"/>
    <n v="600.16"/>
    <x v="573"/>
    <x v="0"/>
    <x v="1"/>
    <n v="1200.32"/>
    <m/>
    <m/>
    <n v="7"/>
  </r>
  <r>
    <x v="2119"/>
    <x v="409"/>
    <x v="0"/>
    <n v="1"/>
    <n v="300.08"/>
    <x v="546"/>
    <x v="1"/>
    <x v="0"/>
    <n v="300.08"/>
    <m/>
    <m/>
    <n v="7"/>
  </r>
  <r>
    <x v="2120"/>
    <x v="409"/>
    <x v="0"/>
    <n v="4"/>
    <n v="1200.32"/>
    <x v="530"/>
    <x v="0"/>
    <x v="0"/>
    <n v="4801.28"/>
    <m/>
    <m/>
    <n v="7"/>
  </r>
  <r>
    <x v="2121"/>
    <x v="410"/>
    <x v="6"/>
    <n v="3"/>
    <n v="107.52"/>
    <x v="115"/>
    <x v="6"/>
    <x v="0"/>
    <n v="322.56"/>
    <m/>
    <m/>
    <n v="5"/>
  </r>
  <r>
    <x v="2122"/>
    <x v="410"/>
    <x v="0"/>
    <n v="3"/>
    <n v="900.24"/>
    <x v="635"/>
    <x v="2"/>
    <x v="3"/>
    <n v="2700.7200000000003"/>
    <m/>
    <m/>
    <n v="5"/>
  </r>
  <r>
    <x v="2123"/>
    <x v="410"/>
    <x v="4"/>
    <n v="5"/>
    <n v="5250"/>
    <x v="498"/>
    <x v="6"/>
    <x v="4"/>
    <n v="26250"/>
    <m/>
    <m/>
    <n v="5"/>
  </r>
  <r>
    <x v="2124"/>
    <x v="410"/>
    <x v="2"/>
    <n v="4"/>
    <n v="20.92"/>
    <x v="353"/>
    <x v="4"/>
    <x v="4"/>
    <n v="83.68"/>
    <m/>
    <m/>
    <n v="7"/>
  </r>
  <r>
    <x v="2125"/>
    <x v="410"/>
    <x v="1"/>
    <n v="3"/>
    <n v="121.98"/>
    <x v="596"/>
    <x v="7"/>
    <x v="0"/>
    <n v="365.94"/>
    <m/>
    <m/>
    <n v="7"/>
  </r>
  <r>
    <x v="2126"/>
    <x v="411"/>
    <x v="3"/>
    <n v="4"/>
    <n v="60.6"/>
    <x v="305"/>
    <x v="6"/>
    <x v="2"/>
    <n v="242.4"/>
    <m/>
    <m/>
    <n v="5"/>
  </r>
  <r>
    <x v="2127"/>
    <x v="411"/>
    <x v="1"/>
    <n v="4"/>
    <n v="162.63999999999999"/>
    <x v="233"/>
    <x v="9"/>
    <x v="3"/>
    <n v="650.55999999999995"/>
    <m/>
    <m/>
    <n v="5"/>
  </r>
  <r>
    <x v="2128"/>
    <x v="411"/>
    <x v="0"/>
    <n v="3"/>
    <n v="900.24"/>
    <x v="742"/>
    <x v="9"/>
    <x v="1"/>
    <n v="2700.7200000000003"/>
    <m/>
    <m/>
    <n v="7"/>
  </r>
  <r>
    <x v="2129"/>
    <x v="411"/>
    <x v="0"/>
    <n v="2"/>
    <n v="600.16"/>
    <x v="191"/>
    <x v="6"/>
    <x v="0"/>
    <n v="1200.32"/>
    <m/>
    <m/>
    <n v="7"/>
  </r>
  <r>
    <x v="2130"/>
    <x v="411"/>
    <x v="0"/>
    <n v="5"/>
    <n v="1500.4"/>
    <x v="6"/>
    <x v="4"/>
    <x v="0"/>
    <n v="7502"/>
    <m/>
    <m/>
    <n v="7"/>
  </r>
  <r>
    <x v="2131"/>
    <x v="411"/>
    <x v="5"/>
    <n v="5"/>
    <n v="3000.85"/>
    <x v="578"/>
    <x v="0"/>
    <x v="0"/>
    <n v="15004.25"/>
    <m/>
    <m/>
    <n v="7"/>
  </r>
  <r>
    <x v="2132"/>
    <x v="412"/>
    <x v="0"/>
    <n v="2"/>
    <n v="600.16"/>
    <x v="183"/>
    <x v="4"/>
    <x v="1"/>
    <n v="1200.32"/>
    <m/>
    <m/>
    <n v="5"/>
  </r>
  <r>
    <x v="2133"/>
    <x v="412"/>
    <x v="0"/>
    <n v="2"/>
    <n v="600.16"/>
    <x v="201"/>
    <x v="6"/>
    <x v="3"/>
    <n v="1200.32"/>
    <m/>
    <m/>
    <n v="5"/>
  </r>
  <r>
    <x v="2134"/>
    <x v="412"/>
    <x v="7"/>
    <n v="5"/>
    <n v="58.65"/>
    <x v="221"/>
    <x v="1"/>
    <x v="1"/>
    <n v="293.25"/>
    <m/>
    <m/>
    <n v="5"/>
  </r>
  <r>
    <x v="2135"/>
    <x v="412"/>
    <x v="1"/>
    <n v="5"/>
    <n v="203.3"/>
    <x v="743"/>
    <x v="1"/>
    <x v="4"/>
    <n v="1016.5"/>
    <m/>
    <m/>
    <n v="5"/>
  </r>
  <r>
    <x v="2136"/>
    <x v="412"/>
    <x v="0"/>
    <n v="3"/>
    <n v="900.24"/>
    <x v="739"/>
    <x v="9"/>
    <x v="3"/>
    <n v="2700.7200000000003"/>
    <m/>
    <m/>
    <n v="5"/>
  </r>
  <r>
    <x v="2137"/>
    <x v="412"/>
    <x v="0"/>
    <n v="2"/>
    <n v="600.16"/>
    <x v="744"/>
    <x v="4"/>
    <x v="0"/>
    <n v="1200.32"/>
    <m/>
    <m/>
    <n v="5"/>
  </r>
  <r>
    <x v="2138"/>
    <x v="412"/>
    <x v="6"/>
    <n v="4"/>
    <n v="143.36000000000001"/>
    <x v="611"/>
    <x v="0"/>
    <x v="4"/>
    <n v="573.44000000000005"/>
    <m/>
    <m/>
    <n v="7"/>
  </r>
  <r>
    <x v="2139"/>
    <x v="412"/>
    <x v="1"/>
    <n v="5"/>
    <n v="203.3"/>
    <x v="94"/>
    <x v="0"/>
    <x v="1"/>
    <n v="1016.5"/>
    <m/>
    <m/>
    <n v="7"/>
  </r>
  <r>
    <x v="2140"/>
    <x v="413"/>
    <x v="0"/>
    <n v="1"/>
    <n v="300.08"/>
    <x v="325"/>
    <x v="0"/>
    <x v="3"/>
    <n v="300.08"/>
    <m/>
    <m/>
    <n v="7"/>
  </r>
  <r>
    <x v="2141"/>
    <x v="413"/>
    <x v="5"/>
    <n v="2"/>
    <n v="1200.3399999999999"/>
    <x v="481"/>
    <x v="1"/>
    <x v="2"/>
    <n v="2400.6799999999998"/>
    <m/>
    <m/>
    <n v="7"/>
  </r>
  <r>
    <x v="2142"/>
    <x v="414"/>
    <x v="2"/>
    <n v="1"/>
    <n v="5.23"/>
    <x v="100"/>
    <x v="1"/>
    <x v="1"/>
    <n v="5.23"/>
    <m/>
    <m/>
    <n v="5"/>
  </r>
  <r>
    <x v="2143"/>
    <x v="414"/>
    <x v="0"/>
    <n v="1"/>
    <n v="300.08"/>
    <x v="586"/>
    <x v="8"/>
    <x v="3"/>
    <n v="300.08"/>
    <m/>
    <m/>
    <n v="10"/>
  </r>
  <r>
    <x v="2144"/>
    <x v="415"/>
    <x v="2"/>
    <n v="3"/>
    <n v="15.69"/>
    <x v="14"/>
    <x v="1"/>
    <x v="4"/>
    <n v="47.07"/>
    <m/>
    <m/>
    <n v="5"/>
  </r>
  <r>
    <x v="2145"/>
    <x v="415"/>
    <x v="7"/>
    <n v="3"/>
    <n v="35.19"/>
    <x v="362"/>
    <x v="1"/>
    <x v="3"/>
    <n v="105.57"/>
    <m/>
    <m/>
    <n v="7"/>
  </r>
  <r>
    <x v="2146"/>
    <x v="415"/>
    <x v="0"/>
    <n v="3"/>
    <n v="900.24"/>
    <x v="330"/>
    <x v="1"/>
    <x v="4"/>
    <n v="2700.7200000000003"/>
    <m/>
    <m/>
    <n v="7"/>
  </r>
  <r>
    <x v="2147"/>
    <x v="416"/>
    <x v="0"/>
    <n v="5"/>
    <n v="1500.4"/>
    <x v="116"/>
    <x v="6"/>
    <x v="0"/>
    <n v="7502"/>
    <m/>
    <m/>
    <n v="5"/>
  </r>
  <r>
    <x v="2148"/>
    <x v="416"/>
    <x v="0"/>
    <n v="2"/>
    <n v="600.16"/>
    <x v="525"/>
    <x v="0"/>
    <x v="4"/>
    <n v="1200.32"/>
    <m/>
    <m/>
    <n v="5"/>
  </r>
  <r>
    <x v="2149"/>
    <x v="416"/>
    <x v="1"/>
    <n v="1"/>
    <n v="40.659999999999997"/>
    <x v="32"/>
    <x v="6"/>
    <x v="0"/>
    <n v="40.659999999999997"/>
    <m/>
    <m/>
    <n v="7"/>
  </r>
  <r>
    <x v="2150"/>
    <x v="416"/>
    <x v="1"/>
    <n v="1"/>
    <n v="40.659999999999997"/>
    <x v="658"/>
    <x v="6"/>
    <x v="4"/>
    <n v="40.659999999999997"/>
    <m/>
    <m/>
    <n v="10"/>
  </r>
  <r>
    <x v="2151"/>
    <x v="417"/>
    <x v="7"/>
    <n v="2"/>
    <n v="23.46"/>
    <x v="290"/>
    <x v="0"/>
    <x v="0"/>
    <n v="46.92"/>
    <m/>
    <m/>
    <n v="5"/>
  </r>
  <r>
    <x v="2152"/>
    <x v="417"/>
    <x v="0"/>
    <n v="4"/>
    <n v="1200.32"/>
    <x v="629"/>
    <x v="7"/>
    <x v="0"/>
    <n v="4801.28"/>
    <m/>
    <m/>
    <n v="5"/>
  </r>
  <r>
    <x v="2153"/>
    <x v="417"/>
    <x v="0"/>
    <n v="1"/>
    <n v="300.08"/>
    <x v="619"/>
    <x v="8"/>
    <x v="4"/>
    <n v="300.08"/>
    <m/>
    <m/>
    <n v="5"/>
  </r>
  <r>
    <x v="2154"/>
    <x v="417"/>
    <x v="2"/>
    <n v="2"/>
    <n v="10.46"/>
    <x v="732"/>
    <x v="9"/>
    <x v="2"/>
    <n v="20.92"/>
    <m/>
    <m/>
    <n v="7"/>
  </r>
  <r>
    <x v="2155"/>
    <x v="418"/>
    <x v="5"/>
    <n v="5"/>
    <n v="3000.85"/>
    <x v="318"/>
    <x v="5"/>
    <x v="3"/>
    <n v="15004.25"/>
    <m/>
    <m/>
    <n v="5"/>
  </r>
  <r>
    <x v="2156"/>
    <x v="418"/>
    <x v="0"/>
    <n v="1"/>
    <n v="300.08"/>
    <x v="39"/>
    <x v="9"/>
    <x v="4"/>
    <n v="300.08"/>
    <m/>
    <m/>
    <n v="5"/>
  </r>
  <r>
    <x v="2157"/>
    <x v="418"/>
    <x v="5"/>
    <n v="2"/>
    <n v="1200.3399999999999"/>
    <x v="691"/>
    <x v="1"/>
    <x v="3"/>
    <n v="2400.6799999999998"/>
    <m/>
    <m/>
    <n v="7"/>
  </r>
  <r>
    <x v="2158"/>
    <x v="418"/>
    <x v="6"/>
    <n v="4"/>
    <n v="143.36000000000001"/>
    <x v="685"/>
    <x v="9"/>
    <x v="0"/>
    <n v="573.44000000000005"/>
    <m/>
    <m/>
    <n v="7"/>
  </r>
  <r>
    <x v="2159"/>
    <x v="418"/>
    <x v="4"/>
    <n v="1"/>
    <n v="1050"/>
    <x v="214"/>
    <x v="2"/>
    <x v="1"/>
    <n v="1050"/>
    <m/>
    <m/>
    <n v="7"/>
  </r>
  <r>
    <x v="2160"/>
    <x v="419"/>
    <x v="2"/>
    <n v="3"/>
    <n v="15.69"/>
    <x v="34"/>
    <x v="6"/>
    <x v="2"/>
    <n v="47.07"/>
    <m/>
    <m/>
    <n v="5"/>
  </r>
  <r>
    <x v="2161"/>
    <x v="420"/>
    <x v="0"/>
    <n v="1"/>
    <n v="300.08"/>
    <x v="15"/>
    <x v="6"/>
    <x v="3"/>
    <n v="300.08"/>
    <m/>
    <m/>
    <n v="5"/>
  </r>
  <r>
    <x v="2162"/>
    <x v="420"/>
    <x v="1"/>
    <n v="2"/>
    <n v="81.319999999999993"/>
    <x v="700"/>
    <x v="4"/>
    <x v="1"/>
    <n v="162.63999999999999"/>
    <m/>
    <m/>
    <n v="7"/>
  </r>
  <r>
    <x v="2163"/>
    <x v="420"/>
    <x v="6"/>
    <n v="3"/>
    <n v="107.52"/>
    <x v="634"/>
    <x v="0"/>
    <x v="2"/>
    <n v="322.56"/>
    <m/>
    <m/>
    <n v="7"/>
  </r>
  <r>
    <x v="2164"/>
    <x v="420"/>
    <x v="2"/>
    <n v="3"/>
    <n v="15.69"/>
    <x v="350"/>
    <x v="0"/>
    <x v="2"/>
    <n v="47.07"/>
    <m/>
    <m/>
    <n v="7"/>
  </r>
  <r>
    <x v="2165"/>
    <x v="420"/>
    <x v="0"/>
    <n v="2"/>
    <n v="600.16"/>
    <x v="496"/>
    <x v="4"/>
    <x v="2"/>
    <n v="1200.32"/>
    <m/>
    <m/>
    <n v="10"/>
  </r>
  <r>
    <x v="2166"/>
    <x v="421"/>
    <x v="0"/>
    <n v="1"/>
    <n v="300.08"/>
    <x v="599"/>
    <x v="1"/>
    <x v="2"/>
    <n v="300.08"/>
    <m/>
    <m/>
    <n v="5"/>
  </r>
  <r>
    <x v="2167"/>
    <x v="421"/>
    <x v="0"/>
    <n v="5"/>
    <n v="1500.4"/>
    <x v="313"/>
    <x v="6"/>
    <x v="4"/>
    <n v="7502"/>
    <m/>
    <m/>
    <n v="5"/>
  </r>
  <r>
    <x v="2168"/>
    <x v="421"/>
    <x v="5"/>
    <n v="4"/>
    <n v="2400.6799999999998"/>
    <x v="108"/>
    <x v="0"/>
    <x v="3"/>
    <n v="9602.7199999999993"/>
    <m/>
    <m/>
    <n v="5"/>
  </r>
  <r>
    <x v="2169"/>
    <x v="421"/>
    <x v="0"/>
    <n v="3"/>
    <n v="900.24"/>
    <x v="82"/>
    <x v="7"/>
    <x v="0"/>
    <n v="2700.7200000000003"/>
    <m/>
    <m/>
    <n v="5"/>
  </r>
  <r>
    <x v="2170"/>
    <x v="421"/>
    <x v="0"/>
    <n v="4"/>
    <n v="1200.32"/>
    <x v="450"/>
    <x v="0"/>
    <x v="1"/>
    <n v="4801.28"/>
    <m/>
    <m/>
    <n v="7"/>
  </r>
  <r>
    <x v="2171"/>
    <x v="422"/>
    <x v="0"/>
    <n v="1"/>
    <n v="300.08"/>
    <x v="128"/>
    <x v="8"/>
    <x v="2"/>
    <n v="300.08"/>
    <m/>
    <m/>
    <n v="5"/>
  </r>
  <r>
    <x v="2172"/>
    <x v="422"/>
    <x v="0"/>
    <n v="1"/>
    <n v="300.08"/>
    <x v="2"/>
    <x v="6"/>
    <x v="4"/>
    <n v="300.08"/>
    <m/>
    <m/>
    <n v="7"/>
  </r>
  <r>
    <x v="2173"/>
    <x v="422"/>
    <x v="1"/>
    <n v="1"/>
    <n v="40.659999999999997"/>
    <x v="685"/>
    <x v="0"/>
    <x v="4"/>
    <n v="40.659999999999997"/>
    <m/>
    <m/>
    <n v="7"/>
  </r>
  <r>
    <x v="2174"/>
    <x v="422"/>
    <x v="0"/>
    <n v="3"/>
    <n v="900.24"/>
    <x v="530"/>
    <x v="8"/>
    <x v="0"/>
    <n v="2700.7200000000003"/>
    <m/>
    <m/>
    <n v="7"/>
  </r>
  <r>
    <x v="2175"/>
    <x v="422"/>
    <x v="1"/>
    <n v="1"/>
    <n v="40.659999999999997"/>
    <x v="210"/>
    <x v="4"/>
    <x v="4"/>
    <n v="40.659999999999997"/>
    <m/>
    <m/>
    <n v="7"/>
  </r>
  <r>
    <x v="2176"/>
    <x v="423"/>
    <x v="0"/>
    <n v="4"/>
    <n v="1200.32"/>
    <x v="99"/>
    <x v="6"/>
    <x v="1"/>
    <n v="4801.28"/>
    <m/>
    <m/>
    <n v="5"/>
  </r>
  <r>
    <x v="2177"/>
    <x v="423"/>
    <x v="5"/>
    <n v="1"/>
    <n v="600.16999999999996"/>
    <x v="568"/>
    <x v="6"/>
    <x v="1"/>
    <n v="600.16999999999996"/>
    <m/>
    <m/>
    <n v="5"/>
  </r>
  <r>
    <x v="2178"/>
    <x v="423"/>
    <x v="1"/>
    <n v="3"/>
    <n v="121.98"/>
    <x v="676"/>
    <x v="6"/>
    <x v="3"/>
    <n v="365.94"/>
    <m/>
    <m/>
    <n v="5"/>
  </r>
  <r>
    <x v="2179"/>
    <x v="423"/>
    <x v="1"/>
    <n v="2"/>
    <n v="81.319999999999993"/>
    <x v="388"/>
    <x v="7"/>
    <x v="0"/>
    <n v="162.63999999999999"/>
    <m/>
    <m/>
    <n v="7"/>
  </r>
  <r>
    <x v="2180"/>
    <x v="423"/>
    <x v="0"/>
    <n v="2"/>
    <n v="600.16"/>
    <x v="36"/>
    <x v="9"/>
    <x v="4"/>
    <n v="1200.32"/>
    <m/>
    <m/>
    <n v="7"/>
  </r>
  <r>
    <x v="2181"/>
    <x v="424"/>
    <x v="0"/>
    <n v="4"/>
    <n v="1200.32"/>
    <x v="122"/>
    <x v="2"/>
    <x v="0"/>
    <n v="4801.28"/>
    <m/>
    <m/>
    <n v="5"/>
  </r>
  <r>
    <x v="2182"/>
    <x v="424"/>
    <x v="5"/>
    <n v="1"/>
    <n v="600.16999999999996"/>
    <x v="341"/>
    <x v="4"/>
    <x v="2"/>
    <n v="600.16999999999996"/>
    <m/>
    <m/>
    <n v="5"/>
  </r>
  <r>
    <x v="2183"/>
    <x v="424"/>
    <x v="7"/>
    <n v="2"/>
    <n v="23.46"/>
    <x v="354"/>
    <x v="1"/>
    <x v="2"/>
    <n v="46.92"/>
    <m/>
    <m/>
    <n v="5"/>
  </r>
  <r>
    <x v="2184"/>
    <x v="424"/>
    <x v="0"/>
    <n v="5"/>
    <n v="1500.4"/>
    <x v="455"/>
    <x v="1"/>
    <x v="3"/>
    <n v="7502"/>
    <m/>
    <m/>
    <n v="7"/>
  </r>
  <r>
    <x v="2185"/>
    <x v="424"/>
    <x v="4"/>
    <n v="5"/>
    <n v="5250"/>
    <x v="564"/>
    <x v="8"/>
    <x v="0"/>
    <n v="26250"/>
    <m/>
    <m/>
    <n v="7"/>
  </r>
  <r>
    <x v="2186"/>
    <x v="424"/>
    <x v="6"/>
    <n v="1"/>
    <n v="35.840000000000003"/>
    <x v="403"/>
    <x v="6"/>
    <x v="2"/>
    <n v="35.840000000000003"/>
    <m/>
    <m/>
    <n v="10"/>
  </r>
  <r>
    <x v="2187"/>
    <x v="425"/>
    <x v="7"/>
    <n v="3"/>
    <n v="35.19"/>
    <x v="270"/>
    <x v="3"/>
    <x v="4"/>
    <n v="105.57"/>
    <m/>
    <m/>
    <n v="5"/>
  </r>
  <r>
    <x v="2188"/>
    <x v="425"/>
    <x v="1"/>
    <n v="1"/>
    <n v="40.659999999999997"/>
    <x v="643"/>
    <x v="1"/>
    <x v="2"/>
    <n v="40.659999999999997"/>
    <m/>
    <m/>
    <n v="7"/>
  </r>
  <r>
    <x v="2189"/>
    <x v="426"/>
    <x v="1"/>
    <n v="4"/>
    <n v="162.63999999999999"/>
    <x v="641"/>
    <x v="0"/>
    <x v="4"/>
    <n v="650.55999999999995"/>
    <m/>
    <m/>
    <n v="5"/>
  </r>
  <r>
    <x v="2190"/>
    <x v="426"/>
    <x v="0"/>
    <n v="5"/>
    <n v="1500.4"/>
    <x v="176"/>
    <x v="8"/>
    <x v="4"/>
    <n v="7502"/>
    <m/>
    <m/>
    <n v="5"/>
  </r>
  <r>
    <x v="2191"/>
    <x v="426"/>
    <x v="6"/>
    <n v="2"/>
    <n v="71.680000000000007"/>
    <x v="745"/>
    <x v="6"/>
    <x v="1"/>
    <n v="143.36000000000001"/>
    <m/>
    <m/>
    <n v="5"/>
  </r>
  <r>
    <x v="2192"/>
    <x v="426"/>
    <x v="7"/>
    <n v="5"/>
    <n v="58.65"/>
    <x v="573"/>
    <x v="6"/>
    <x v="0"/>
    <n v="293.25"/>
    <m/>
    <m/>
    <n v="7"/>
  </r>
  <r>
    <x v="2193"/>
    <x v="427"/>
    <x v="1"/>
    <n v="2"/>
    <n v="81.319999999999993"/>
    <x v="265"/>
    <x v="5"/>
    <x v="4"/>
    <n v="162.63999999999999"/>
    <m/>
    <m/>
    <n v="5"/>
  </r>
  <r>
    <x v="2194"/>
    <x v="427"/>
    <x v="4"/>
    <n v="5"/>
    <n v="5250"/>
    <x v="471"/>
    <x v="6"/>
    <x v="1"/>
    <n v="26250"/>
    <m/>
    <m/>
    <n v="5"/>
  </r>
  <r>
    <x v="2195"/>
    <x v="427"/>
    <x v="6"/>
    <n v="2"/>
    <n v="71.680000000000007"/>
    <x v="746"/>
    <x v="4"/>
    <x v="1"/>
    <n v="143.36000000000001"/>
    <m/>
    <m/>
    <n v="10"/>
  </r>
  <r>
    <x v="2196"/>
    <x v="427"/>
    <x v="1"/>
    <n v="2"/>
    <n v="81.319999999999993"/>
    <x v="645"/>
    <x v="0"/>
    <x v="2"/>
    <n v="162.63999999999999"/>
    <m/>
    <m/>
    <n v="10"/>
  </r>
  <r>
    <x v="2197"/>
    <x v="428"/>
    <x v="5"/>
    <n v="4"/>
    <n v="2400.6799999999998"/>
    <x v="144"/>
    <x v="1"/>
    <x v="1"/>
    <n v="9602.7199999999993"/>
    <m/>
    <m/>
    <n v="5"/>
  </r>
  <r>
    <x v="2198"/>
    <x v="428"/>
    <x v="1"/>
    <n v="4"/>
    <n v="162.63999999999999"/>
    <x v="516"/>
    <x v="8"/>
    <x v="4"/>
    <n v="650.55999999999995"/>
    <m/>
    <m/>
    <n v="7"/>
  </r>
  <r>
    <x v="2199"/>
    <x v="428"/>
    <x v="1"/>
    <n v="2"/>
    <n v="81.319999999999993"/>
    <x v="747"/>
    <x v="1"/>
    <x v="2"/>
    <n v="162.63999999999999"/>
    <m/>
    <m/>
    <n v="7"/>
  </r>
  <r>
    <x v="2200"/>
    <x v="428"/>
    <x v="1"/>
    <n v="3"/>
    <n v="121.98"/>
    <x v="59"/>
    <x v="6"/>
    <x v="4"/>
    <n v="365.94"/>
    <m/>
    <m/>
    <n v="7"/>
  </r>
  <r>
    <x v="2201"/>
    <x v="428"/>
    <x v="6"/>
    <n v="1"/>
    <n v="35.840000000000003"/>
    <x v="153"/>
    <x v="4"/>
    <x v="2"/>
    <n v="35.840000000000003"/>
    <m/>
    <m/>
    <n v="7"/>
  </r>
  <r>
    <x v="2202"/>
    <x v="428"/>
    <x v="5"/>
    <n v="5"/>
    <n v="3000.85"/>
    <x v="605"/>
    <x v="9"/>
    <x v="4"/>
    <n v="15004.25"/>
    <m/>
    <m/>
    <n v="7"/>
  </r>
  <r>
    <x v="2203"/>
    <x v="429"/>
    <x v="7"/>
    <n v="5"/>
    <n v="58.65"/>
    <x v="202"/>
    <x v="1"/>
    <x v="0"/>
    <n v="293.25"/>
    <m/>
    <m/>
    <n v="5"/>
  </r>
  <r>
    <x v="2204"/>
    <x v="429"/>
    <x v="1"/>
    <n v="1"/>
    <n v="40.659999999999997"/>
    <x v="713"/>
    <x v="6"/>
    <x v="1"/>
    <n v="40.659999999999997"/>
    <m/>
    <m/>
    <n v="7"/>
  </r>
  <r>
    <x v="2205"/>
    <x v="429"/>
    <x v="5"/>
    <n v="5"/>
    <n v="3000.85"/>
    <x v="707"/>
    <x v="3"/>
    <x v="0"/>
    <n v="15004.25"/>
    <m/>
    <m/>
    <n v="7"/>
  </r>
  <r>
    <x v="2206"/>
    <x v="430"/>
    <x v="0"/>
    <n v="3"/>
    <n v="900.24"/>
    <x v="133"/>
    <x v="6"/>
    <x v="1"/>
    <n v="2700.7200000000003"/>
    <m/>
    <m/>
    <n v="5"/>
  </r>
  <r>
    <x v="2207"/>
    <x v="430"/>
    <x v="1"/>
    <n v="4"/>
    <n v="162.63999999999999"/>
    <x v="582"/>
    <x v="9"/>
    <x v="2"/>
    <n v="650.55999999999995"/>
    <m/>
    <m/>
    <n v="5"/>
  </r>
  <r>
    <x v="2208"/>
    <x v="430"/>
    <x v="0"/>
    <n v="5"/>
    <n v="1500.4"/>
    <x v="374"/>
    <x v="9"/>
    <x v="4"/>
    <n v="7502"/>
    <m/>
    <m/>
    <n v="5"/>
  </r>
  <r>
    <x v="2209"/>
    <x v="430"/>
    <x v="5"/>
    <n v="4"/>
    <n v="2400.6799999999998"/>
    <x v="651"/>
    <x v="4"/>
    <x v="1"/>
    <n v="9602.7199999999993"/>
    <m/>
    <m/>
    <n v="5"/>
  </r>
  <r>
    <x v="2210"/>
    <x v="431"/>
    <x v="2"/>
    <n v="3"/>
    <n v="15.69"/>
    <x v="372"/>
    <x v="8"/>
    <x v="1"/>
    <n v="47.07"/>
    <m/>
    <m/>
    <n v="5"/>
  </r>
  <r>
    <x v="2211"/>
    <x v="431"/>
    <x v="0"/>
    <n v="5"/>
    <n v="1500.4"/>
    <x v="618"/>
    <x v="5"/>
    <x v="4"/>
    <n v="7502"/>
    <m/>
    <m/>
    <n v="5"/>
  </r>
  <r>
    <x v="2212"/>
    <x v="431"/>
    <x v="1"/>
    <n v="1"/>
    <n v="40.659999999999997"/>
    <x v="475"/>
    <x v="6"/>
    <x v="4"/>
    <n v="40.659999999999997"/>
    <m/>
    <m/>
    <n v="5"/>
  </r>
  <r>
    <x v="2213"/>
    <x v="431"/>
    <x v="0"/>
    <n v="2"/>
    <n v="600.16"/>
    <x v="455"/>
    <x v="0"/>
    <x v="3"/>
    <n v="1200.32"/>
    <m/>
    <m/>
    <n v="7"/>
  </r>
  <r>
    <x v="2214"/>
    <x v="431"/>
    <x v="5"/>
    <n v="5"/>
    <n v="3000.85"/>
    <x v="583"/>
    <x v="2"/>
    <x v="1"/>
    <n v="15004.25"/>
    <m/>
    <m/>
    <n v="7"/>
  </r>
  <r>
    <x v="2215"/>
    <x v="432"/>
    <x v="2"/>
    <n v="3"/>
    <n v="15.69"/>
    <x v="300"/>
    <x v="0"/>
    <x v="3"/>
    <n v="47.07"/>
    <m/>
    <m/>
    <n v="5"/>
  </r>
  <r>
    <x v="2216"/>
    <x v="432"/>
    <x v="1"/>
    <n v="4"/>
    <n v="162.63999999999999"/>
    <x v="443"/>
    <x v="7"/>
    <x v="4"/>
    <n v="650.55999999999995"/>
    <m/>
    <m/>
    <n v="7"/>
  </r>
  <r>
    <x v="2217"/>
    <x v="432"/>
    <x v="0"/>
    <n v="5"/>
    <n v="1500.4"/>
    <x v="388"/>
    <x v="9"/>
    <x v="3"/>
    <n v="7502"/>
    <m/>
    <m/>
    <n v="7"/>
  </r>
  <r>
    <x v="2218"/>
    <x v="432"/>
    <x v="4"/>
    <n v="2"/>
    <n v="2100"/>
    <x v="6"/>
    <x v="4"/>
    <x v="1"/>
    <n v="4200"/>
    <m/>
    <m/>
    <n v="7"/>
  </r>
  <r>
    <x v="2219"/>
    <x v="432"/>
    <x v="2"/>
    <n v="2"/>
    <n v="10.46"/>
    <x v="608"/>
    <x v="7"/>
    <x v="4"/>
    <n v="20.92"/>
    <m/>
    <m/>
    <n v="10"/>
  </r>
  <r>
    <x v="2220"/>
    <x v="433"/>
    <x v="0"/>
    <n v="5"/>
    <n v="1500.4"/>
    <x v="13"/>
    <x v="5"/>
    <x v="4"/>
    <n v="7502"/>
    <m/>
    <m/>
    <n v="5"/>
  </r>
  <r>
    <x v="2221"/>
    <x v="433"/>
    <x v="0"/>
    <n v="5"/>
    <n v="1500.4"/>
    <x v="600"/>
    <x v="1"/>
    <x v="0"/>
    <n v="7502"/>
    <m/>
    <m/>
    <n v="5"/>
  </r>
  <r>
    <x v="2222"/>
    <x v="433"/>
    <x v="1"/>
    <n v="1"/>
    <n v="40.659999999999997"/>
    <x v="542"/>
    <x v="1"/>
    <x v="1"/>
    <n v="40.659999999999997"/>
    <m/>
    <m/>
    <n v="7"/>
  </r>
  <r>
    <x v="2223"/>
    <x v="433"/>
    <x v="0"/>
    <n v="1"/>
    <n v="300.08"/>
    <x v="514"/>
    <x v="8"/>
    <x v="0"/>
    <n v="300.08"/>
    <m/>
    <m/>
    <n v="7"/>
  </r>
  <r>
    <x v="2224"/>
    <x v="434"/>
    <x v="3"/>
    <n v="4"/>
    <n v="60.6"/>
    <x v="62"/>
    <x v="6"/>
    <x v="4"/>
    <n v="242.4"/>
    <m/>
    <m/>
    <n v="5"/>
  </r>
  <r>
    <x v="2225"/>
    <x v="434"/>
    <x v="0"/>
    <n v="5"/>
    <n v="1500.4"/>
    <x v="485"/>
    <x v="4"/>
    <x v="2"/>
    <n v="7502"/>
    <m/>
    <m/>
    <n v="5"/>
  </r>
  <r>
    <x v="2226"/>
    <x v="434"/>
    <x v="1"/>
    <n v="1"/>
    <n v="40.659999999999997"/>
    <x v="44"/>
    <x v="0"/>
    <x v="3"/>
    <n v="40.659999999999997"/>
    <m/>
    <m/>
    <n v="7"/>
  </r>
  <r>
    <x v="2227"/>
    <x v="434"/>
    <x v="4"/>
    <n v="1"/>
    <n v="1050"/>
    <x v="188"/>
    <x v="9"/>
    <x v="4"/>
    <n v="1050"/>
    <m/>
    <m/>
    <n v="7"/>
  </r>
  <r>
    <x v="2228"/>
    <x v="434"/>
    <x v="1"/>
    <n v="3"/>
    <n v="121.98"/>
    <x v="400"/>
    <x v="0"/>
    <x v="4"/>
    <n v="365.94"/>
    <m/>
    <m/>
    <n v="7"/>
  </r>
  <r>
    <x v="2229"/>
    <x v="434"/>
    <x v="2"/>
    <n v="5"/>
    <n v="26.15"/>
    <x v="548"/>
    <x v="0"/>
    <x v="1"/>
    <n v="130.75"/>
    <m/>
    <m/>
    <n v="7"/>
  </r>
  <r>
    <x v="2230"/>
    <x v="434"/>
    <x v="2"/>
    <n v="2"/>
    <n v="10.46"/>
    <x v="667"/>
    <x v="3"/>
    <x v="3"/>
    <n v="20.92"/>
    <m/>
    <m/>
    <n v="7"/>
  </r>
  <r>
    <x v="2231"/>
    <x v="435"/>
    <x v="5"/>
    <n v="3"/>
    <n v="1800.51"/>
    <x v="245"/>
    <x v="7"/>
    <x v="0"/>
    <n v="5401.53"/>
    <m/>
    <m/>
    <n v="5"/>
  </r>
  <r>
    <x v="2232"/>
    <x v="435"/>
    <x v="5"/>
    <n v="3"/>
    <n v="1800.51"/>
    <x v="312"/>
    <x v="9"/>
    <x v="3"/>
    <n v="5401.53"/>
    <m/>
    <m/>
    <n v="5"/>
  </r>
  <r>
    <x v="2233"/>
    <x v="435"/>
    <x v="5"/>
    <n v="1"/>
    <n v="600.16999999999996"/>
    <x v="429"/>
    <x v="0"/>
    <x v="0"/>
    <n v="600.16999999999996"/>
    <m/>
    <m/>
    <n v="5"/>
  </r>
  <r>
    <x v="2234"/>
    <x v="435"/>
    <x v="0"/>
    <n v="2"/>
    <n v="600.16"/>
    <x v="697"/>
    <x v="6"/>
    <x v="3"/>
    <n v="1200.32"/>
    <m/>
    <m/>
    <n v="5"/>
  </r>
  <r>
    <x v="2235"/>
    <x v="435"/>
    <x v="5"/>
    <n v="4"/>
    <n v="2400.6799999999998"/>
    <x v="477"/>
    <x v="0"/>
    <x v="4"/>
    <n v="9602.7199999999993"/>
    <m/>
    <m/>
    <n v="5"/>
  </r>
  <r>
    <x v="2236"/>
    <x v="435"/>
    <x v="0"/>
    <n v="1"/>
    <n v="300.08"/>
    <x v="428"/>
    <x v="5"/>
    <x v="4"/>
    <n v="300.08"/>
    <m/>
    <m/>
    <n v="7"/>
  </r>
  <r>
    <x v="2237"/>
    <x v="436"/>
    <x v="0"/>
    <n v="2"/>
    <n v="600.16"/>
    <x v="743"/>
    <x v="3"/>
    <x v="3"/>
    <n v="1200.32"/>
    <m/>
    <m/>
    <n v="5"/>
  </r>
  <r>
    <x v="2238"/>
    <x v="437"/>
    <x v="5"/>
    <n v="4"/>
    <n v="2400.6799999999998"/>
    <x v="89"/>
    <x v="1"/>
    <x v="2"/>
    <n v="9602.7199999999993"/>
    <m/>
    <m/>
    <n v="5"/>
  </r>
  <r>
    <x v="2239"/>
    <x v="437"/>
    <x v="5"/>
    <n v="2"/>
    <n v="1200.3399999999999"/>
    <x v="39"/>
    <x v="4"/>
    <x v="0"/>
    <n v="2400.6799999999998"/>
    <m/>
    <m/>
    <n v="5"/>
  </r>
  <r>
    <x v="2240"/>
    <x v="437"/>
    <x v="6"/>
    <n v="1"/>
    <n v="35.840000000000003"/>
    <x v="619"/>
    <x v="0"/>
    <x v="0"/>
    <n v="35.840000000000003"/>
    <m/>
    <m/>
    <n v="5"/>
  </r>
  <r>
    <x v="2241"/>
    <x v="437"/>
    <x v="2"/>
    <n v="3"/>
    <n v="15.69"/>
    <x v="748"/>
    <x v="1"/>
    <x v="1"/>
    <n v="47.07"/>
    <m/>
    <m/>
    <n v="7"/>
  </r>
  <r>
    <x v="2242"/>
    <x v="437"/>
    <x v="2"/>
    <n v="5"/>
    <n v="26.15"/>
    <x v="288"/>
    <x v="6"/>
    <x v="3"/>
    <n v="130.75"/>
    <m/>
    <m/>
    <n v="7"/>
  </r>
  <r>
    <x v="2243"/>
    <x v="437"/>
    <x v="1"/>
    <n v="5"/>
    <n v="203.3"/>
    <x v="412"/>
    <x v="6"/>
    <x v="3"/>
    <n v="1016.5"/>
    <m/>
    <m/>
    <n v="7"/>
  </r>
  <r>
    <x v="2244"/>
    <x v="437"/>
    <x v="1"/>
    <n v="1"/>
    <n v="40.659999999999997"/>
    <x v="412"/>
    <x v="9"/>
    <x v="4"/>
    <n v="40.659999999999997"/>
    <m/>
    <m/>
    <n v="7"/>
  </r>
  <r>
    <x v="2245"/>
    <x v="438"/>
    <x v="2"/>
    <n v="1"/>
    <n v="5.23"/>
    <x v="244"/>
    <x v="1"/>
    <x v="3"/>
    <n v="5.23"/>
    <m/>
    <m/>
    <n v="5"/>
  </r>
  <r>
    <x v="2246"/>
    <x v="438"/>
    <x v="5"/>
    <n v="4"/>
    <n v="2400.6799999999998"/>
    <x v="110"/>
    <x v="1"/>
    <x v="2"/>
    <n v="9602.7199999999993"/>
    <m/>
    <m/>
    <n v="7"/>
  </r>
  <r>
    <x v="2247"/>
    <x v="438"/>
    <x v="3"/>
    <n v="5"/>
    <n v="75.75"/>
    <x v="721"/>
    <x v="6"/>
    <x v="0"/>
    <n v="378.75"/>
    <m/>
    <m/>
    <n v="7"/>
  </r>
  <r>
    <x v="2248"/>
    <x v="438"/>
    <x v="1"/>
    <n v="3"/>
    <n v="121.98"/>
    <x v="54"/>
    <x v="5"/>
    <x v="1"/>
    <n v="365.94"/>
    <m/>
    <m/>
    <n v="10"/>
  </r>
  <r>
    <x v="2249"/>
    <x v="439"/>
    <x v="2"/>
    <n v="3"/>
    <n v="15.69"/>
    <x v="117"/>
    <x v="6"/>
    <x v="4"/>
    <n v="47.07"/>
    <m/>
    <m/>
    <n v="5"/>
  </r>
  <r>
    <x v="2250"/>
    <x v="439"/>
    <x v="1"/>
    <n v="2"/>
    <n v="81.319999999999993"/>
    <x v="711"/>
    <x v="9"/>
    <x v="4"/>
    <n v="162.63999999999999"/>
    <m/>
    <m/>
    <n v="7"/>
  </r>
  <r>
    <x v="2251"/>
    <x v="440"/>
    <x v="0"/>
    <n v="4"/>
    <n v="1200.32"/>
    <x v="320"/>
    <x v="0"/>
    <x v="3"/>
    <n v="4801.28"/>
    <m/>
    <m/>
    <n v="5"/>
  </r>
  <r>
    <x v="2252"/>
    <x v="440"/>
    <x v="1"/>
    <n v="3"/>
    <n v="121.98"/>
    <x v="619"/>
    <x v="9"/>
    <x v="3"/>
    <n v="365.94"/>
    <m/>
    <m/>
    <n v="5"/>
  </r>
  <r>
    <x v="2253"/>
    <x v="440"/>
    <x v="0"/>
    <n v="2"/>
    <n v="600.16"/>
    <x v="135"/>
    <x v="0"/>
    <x v="2"/>
    <n v="1200.32"/>
    <m/>
    <m/>
    <n v="7"/>
  </r>
  <r>
    <x v="2254"/>
    <x v="440"/>
    <x v="2"/>
    <n v="2"/>
    <n v="10.46"/>
    <x v="36"/>
    <x v="1"/>
    <x v="1"/>
    <n v="20.92"/>
    <m/>
    <m/>
    <n v="7"/>
  </r>
  <r>
    <x v="2255"/>
    <x v="441"/>
    <x v="0"/>
    <n v="4"/>
    <n v="1200.32"/>
    <x v="136"/>
    <x v="4"/>
    <x v="1"/>
    <n v="4801.28"/>
    <m/>
    <m/>
    <n v="5"/>
  </r>
  <r>
    <x v="2256"/>
    <x v="441"/>
    <x v="1"/>
    <n v="4"/>
    <n v="162.63999999999999"/>
    <x v="551"/>
    <x v="6"/>
    <x v="4"/>
    <n v="650.55999999999995"/>
    <m/>
    <m/>
    <n v="5"/>
  </r>
  <r>
    <x v="2257"/>
    <x v="441"/>
    <x v="2"/>
    <n v="2"/>
    <n v="10.46"/>
    <x v="269"/>
    <x v="7"/>
    <x v="2"/>
    <n v="20.92"/>
    <m/>
    <m/>
    <n v="5"/>
  </r>
  <r>
    <x v="2258"/>
    <x v="441"/>
    <x v="3"/>
    <n v="2"/>
    <n v="30.3"/>
    <x v="563"/>
    <x v="0"/>
    <x v="3"/>
    <n v="60.6"/>
    <m/>
    <m/>
    <n v="5"/>
  </r>
  <r>
    <x v="2259"/>
    <x v="441"/>
    <x v="0"/>
    <n v="2"/>
    <n v="600.16"/>
    <x v="6"/>
    <x v="1"/>
    <x v="1"/>
    <n v="1200.32"/>
    <m/>
    <m/>
    <n v="7"/>
  </r>
  <r>
    <x v="2260"/>
    <x v="442"/>
    <x v="0"/>
    <n v="2"/>
    <n v="600.16"/>
    <x v="593"/>
    <x v="1"/>
    <x v="1"/>
    <n v="1200.32"/>
    <m/>
    <m/>
    <n v="5"/>
  </r>
  <r>
    <x v="2261"/>
    <x v="442"/>
    <x v="0"/>
    <n v="5"/>
    <n v="1500.4"/>
    <x v="22"/>
    <x v="7"/>
    <x v="3"/>
    <n v="7502"/>
    <m/>
    <m/>
    <n v="5"/>
  </r>
  <r>
    <x v="2262"/>
    <x v="442"/>
    <x v="0"/>
    <n v="5"/>
    <n v="1500.4"/>
    <x v="466"/>
    <x v="0"/>
    <x v="0"/>
    <n v="7502"/>
    <m/>
    <m/>
    <n v="7"/>
  </r>
  <r>
    <x v="2263"/>
    <x v="442"/>
    <x v="1"/>
    <n v="2"/>
    <n v="81.319999999999993"/>
    <x v="690"/>
    <x v="8"/>
    <x v="3"/>
    <n v="162.63999999999999"/>
    <m/>
    <m/>
    <n v="7"/>
  </r>
  <r>
    <x v="2264"/>
    <x v="443"/>
    <x v="2"/>
    <n v="3"/>
    <n v="15.69"/>
    <x v="373"/>
    <x v="0"/>
    <x v="0"/>
    <n v="47.07"/>
    <m/>
    <m/>
    <n v="5"/>
  </r>
  <r>
    <x v="2265"/>
    <x v="443"/>
    <x v="0"/>
    <n v="3"/>
    <n v="900.24"/>
    <x v="424"/>
    <x v="1"/>
    <x v="0"/>
    <n v="2700.7200000000003"/>
    <m/>
    <m/>
    <n v="5"/>
  </r>
  <r>
    <x v="2266"/>
    <x v="443"/>
    <x v="1"/>
    <n v="5"/>
    <n v="203.3"/>
    <x v="676"/>
    <x v="4"/>
    <x v="4"/>
    <n v="1016.5"/>
    <m/>
    <m/>
    <n v="5"/>
  </r>
  <r>
    <x v="2267"/>
    <x v="443"/>
    <x v="0"/>
    <n v="2"/>
    <n v="600.16"/>
    <x v="192"/>
    <x v="1"/>
    <x v="3"/>
    <n v="1200.32"/>
    <m/>
    <m/>
    <n v="7"/>
  </r>
  <r>
    <x v="2268"/>
    <x v="443"/>
    <x v="5"/>
    <n v="1"/>
    <n v="600.16999999999996"/>
    <x v="125"/>
    <x v="6"/>
    <x v="0"/>
    <n v="600.16999999999996"/>
    <m/>
    <m/>
    <n v="7"/>
  </r>
  <r>
    <x v="2269"/>
    <x v="444"/>
    <x v="0"/>
    <n v="2"/>
    <n v="600.16"/>
    <x v="616"/>
    <x v="7"/>
    <x v="4"/>
    <n v="1200.32"/>
    <m/>
    <m/>
    <n v="5"/>
  </r>
  <r>
    <x v="2270"/>
    <x v="444"/>
    <x v="1"/>
    <n v="3"/>
    <n v="121.98"/>
    <x v="398"/>
    <x v="6"/>
    <x v="1"/>
    <n v="365.94"/>
    <m/>
    <m/>
    <n v="5"/>
  </r>
  <r>
    <x v="2271"/>
    <x v="444"/>
    <x v="0"/>
    <n v="1"/>
    <n v="300.08"/>
    <x v="647"/>
    <x v="4"/>
    <x v="1"/>
    <n v="300.08"/>
    <m/>
    <m/>
    <n v="7"/>
  </r>
  <r>
    <x v="2272"/>
    <x v="444"/>
    <x v="5"/>
    <n v="1"/>
    <n v="600.16999999999996"/>
    <x v="704"/>
    <x v="4"/>
    <x v="4"/>
    <n v="600.16999999999996"/>
    <m/>
    <m/>
    <n v="7"/>
  </r>
  <r>
    <x v="2273"/>
    <x v="444"/>
    <x v="0"/>
    <n v="3"/>
    <n v="900.24"/>
    <x v="643"/>
    <x v="5"/>
    <x v="1"/>
    <n v="2700.7200000000003"/>
    <m/>
    <m/>
    <n v="7"/>
  </r>
  <r>
    <x v="2274"/>
    <x v="445"/>
    <x v="0"/>
    <n v="4"/>
    <n v="1200.32"/>
    <x v="483"/>
    <x v="1"/>
    <x v="1"/>
    <n v="4801.28"/>
    <m/>
    <m/>
    <n v="5"/>
  </r>
  <r>
    <x v="2275"/>
    <x v="445"/>
    <x v="5"/>
    <n v="4"/>
    <n v="2400.6799999999998"/>
    <x v="749"/>
    <x v="4"/>
    <x v="2"/>
    <n v="9602.7199999999993"/>
    <m/>
    <m/>
    <n v="5"/>
  </r>
  <r>
    <x v="2276"/>
    <x v="445"/>
    <x v="7"/>
    <n v="5"/>
    <n v="58.65"/>
    <x v="362"/>
    <x v="0"/>
    <x v="3"/>
    <n v="293.25"/>
    <m/>
    <m/>
    <n v="7"/>
  </r>
  <r>
    <x v="2277"/>
    <x v="446"/>
    <x v="7"/>
    <n v="5"/>
    <n v="58.65"/>
    <x v="128"/>
    <x v="9"/>
    <x v="4"/>
    <n v="293.25"/>
    <m/>
    <m/>
    <n v="5"/>
  </r>
  <r>
    <x v="2278"/>
    <x v="446"/>
    <x v="5"/>
    <n v="1"/>
    <n v="600.16999999999996"/>
    <x v="389"/>
    <x v="6"/>
    <x v="1"/>
    <n v="600.16999999999996"/>
    <m/>
    <m/>
    <n v="5"/>
  </r>
  <r>
    <x v="2279"/>
    <x v="446"/>
    <x v="1"/>
    <n v="5"/>
    <n v="203.3"/>
    <x v="387"/>
    <x v="9"/>
    <x v="2"/>
    <n v="1016.5"/>
    <m/>
    <m/>
    <n v="5"/>
  </r>
  <r>
    <x v="2280"/>
    <x v="447"/>
    <x v="0"/>
    <n v="5"/>
    <n v="1500.4"/>
    <x v="18"/>
    <x v="6"/>
    <x v="3"/>
    <n v="7502"/>
    <m/>
    <m/>
    <n v="7"/>
  </r>
  <r>
    <x v="2281"/>
    <x v="447"/>
    <x v="1"/>
    <n v="2"/>
    <n v="81.319999999999993"/>
    <x v="346"/>
    <x v="9"/>
    <x v="4"/>
    <n v="162.63999999999999"/>
    <m/>
    <m/>
    <n v="7"/>
  </r>
  <r>
    <x v="2282"/>
    <x v="448"/>
    <x v="1"/>
    <n v="5"/>
    <n v="203.3"/>
    <x v="128"/>
    <x v="1"/>
    <x v="4"/>
    <n v="1016.5"/>
    <m/>
    <m/>
    <n v="5"/>
  </r>
  <r>
    <x v="2283"/>
    <x v="448"/>
    <x v="3"/>
    <n v="3"/>
    <n v="45.45"/>
    <x v="737"/>
    <x v="0"/>
    <x v="3"/>
    <n v="136.35000000000002"/>
    <m/>
    <m/>
    <n v="5"/>
  </r>
  <r>
    <x v="2284"/>
    <x v="448"/>
    <x v="0"/>
    <n v="3"/>
    <n v="900.24"/>
    <x v="290"/>
    <x v="6"/>
    <x v="3"/>
    <n v="2700.7200000000003"/>
    <m/>
    <m/>
    <n v="5"/>
  </r>
  <r>
    <x v="2285"/>
    <x v="448"/>
    <x v="0"/>
    <n v="1"/>
    <n v="300.08"/>
    <x v="1"/>
    <x v="6"/>
    <x v="1"/>
    <n v="300.08"/>
    <m/>
    <m/>
    <n v="5"/>
  </r>
  <r>
    <x v="2286"/>
    <x v="448"/>
    <x v="0"/>
    <n v="1"/>
    <n v="300.08"/>
    <x v="338"/>
    <x v="7"/>
    <x v="3"/>
    <n v="300.08"/>
    <m/>
    <m/>
    <n v="5"/>
  </r>
  <r>
    <x v="2287"/>
    <x v="448"/>
    <x v="0"/>
    <n v="2"/>
    <n v="600.16"/>
    <x v="375"/>
    <x v="0"/>
    <x v="3"/>
    <n v="1200.32"/>
    <m/>
    <m/>
    <n v="5"/>
  </r>
  <r>
    <x v="2288"/>
    <x v="448"/>
    <x v="6"/>
    <n v="4"/>
    <n v="143.36000000000001"/>
    <x v="407"/>
    <x v="9"/>
    <x v="4"/>
    <n v="573.44000000000005"/>
    <m/>
    <m/>
    <n v="7"/>
  </r>
  <r>
    <x v="2289"/>
    <x v="449"/>
    <x v="6"/>
    <n v="1"/>
    <n v="35.840000000000003"/>
    <x v="737"/>
    <x v="5"/>
    <x v="3"/>
    <n v="35.840000000000003"/>
    <m/>
    <m/>
    <n v="5"/>
  </r>
  <r>
    <x v="2290"/>
    <x v="449"/>
    <x v="1"/>
    <n v="2"/>
    <n v="81.319999999999993"/>
    <x v="715"/>
    <x v="0"/>
    <x v="0"/>
    <n v="162.63999999999999"/>
    <m/>
    <m/>
    <n v="7"/>
  </r>
  <r>
    <x v="2291"/>
    <x v="449"/>
    <x v="4"/>
    <n v="1"/>
    <n v="1050"/>
    <x v="480"/>
    <x v="9"/>
    <x v="4"/>
    <n v="1050"/>
    <m/>
    <m/>
    <n v="7"/>
  </r>
  <r>
    <x v="2292"/>
    <x v="449"/>
    <x v="4"/>
    <n v="4"/>
    <n v="4200"/>
    <x v="103"/>
    <x v="9"/>
    <x v="3"/>
    <n v="16800"/>
    <m/>
    <m/>
    <n v="10"/>
  </r>
  <r>
    <x v="2293"/>
    <x v="450"/>
    <x v="1"/>
    <n v="2"/>
    <n v="81.319999999999993"/>
    <x v="290"/>
    <x v="9"/>
    <x v="1"/>
    <n v="162.63999999999999"/>
    <m/>
    <m/>
    <n v="5"/>
  </r>
  <r>
    <x v="2294"/>
    <x v="450"/>
    <x v="2"/>
    <n v="3"/>
    <n v="15.69"/>
    <x v="483"/>
    <x v="0"/>
    <x v="1"/>
    <n v="47.07"/>
    <m/>
    <m/>
    <n v="5"/>
  </r>
  <r>
    <x v="2295"/>
    <x v="450"/>
    <x v="2"/>
    <n v="3"/>
    <n v="15.69"/>
    <x v="335"/>
    <x v="1"/>
    <x v="4"/>
    <n v="47.07"/>
    <m/>
    <m/>
    <n v="5"/>
  </r>
  <r>
    <x v="2296"/>
    <x v="450"/>
    <x v="4"/>
    <n v="5"/>
    <n v="5250"/>
    <x v="491"/>
    <x v="0"/>
    <x v="1"/>
    <n v="26250"/>
    <m/>
    <m/>
    <n v="7"/>
  </r>
  <r>
    <x v="2297"/>
    <x v="450"/>
    <x v="0"/>
    <n v="4"/>
    <n v="1200.32"/>
    <x v="565"/>
    <x v="4"/>
    <x v="4"/>
    <n v="4801.28"/>
    <m/>
    <m/>
    <n v="7"/>
  </r>
  <r>
    <x v="2298"/>
    <x v="451"/>
    <x v="0"/>
    <n v="4"/>
    <n v="1200.32"/>
    <x v="62"/>
    <x v="9"/>
    <x v="2"/>
    <n v="4801.28"/>
    <m/>
    <m/>
    <n v="5"/>
  </r>
  <r>
    <x v="2299"/>
    <x v="451"/>
    <x v="2"/>
    <n v="3"/>
    <n v="15.69"/>
    <x v="69"/>
    <x v="3"/>
    <x v="0"/>
    <n v="47.07"/>
    <m/>
    <m/>
    <n v="5"/>
  </r>
  <r>
    <x v="2300"/>
    <x v="451"/>
    <x v="4"/>
    <n v="4"/>
    <n v="4200"/>
    <x v="133"/>
    <x v="1"/>
    <x v="2"/>
    <n v="16800"/>
    <m/>
    <m/>
    <n v="5"/>
  </r>
  <r>
    <x v="2301"/>
    <x v="451"/>
    <x v="5"/>
    <n v="4"/>
    <n v="2400.6799999999998"/>
    <x v="70"/>
    <x v="9"/>
    <x v="1"/>
    <n v="9602.7199999999993"/>
    <m/>
    <m/>
    <n v="5"/>
  </r>
  <r>
    <x v="2302"/>
    <x v="451"/>
    <x v="1"/>
    <n v="2"/>
    <n v="81.319999999999993"/>
    <x v="584"/>
    <x v="5"/>
    <x v="2"/>
    <n v="162.63999999999999"/>
    <m/>
    <m/>
    <n v="7"/>
  </r>
  <r>
    <x v="2303"/>
    <x v="451"/>
    <x v="6"/>
    <n v="3"/>
    <n v="107.52"/>
    <x v="735"/>
    <x v="9"/>
    <x v="0"/>
    <n v="322.56"/>
    <m/>
    <m/>
    <n v="7"/>
  </r>
  <r>
    <x v="2304"/>
    <x v="452"/>
    <x v="0"/>
    <n v="4"/>
    <n v="1200.32"/>
    <x v="642"/>
    <x v="0"/>
    <x v="2"/>
    <n v="4801.28"/>
    <m/>
    <m/>
    <n v="5"/>
  </r>
  <r>
    <x v="2305"/>
    <x v="452"/>
    <x v="0"/>
    <n v="4"/>
    <n v="1200.32"/>
    <x v="233"/>
    <x v="9"/>
    <x v="2"/>
    <n v="4801.28"/>
    <m/>
    <m/>
    <n v="5"/>
  </r>
  <r>
    <x v="2306"/>
    <x v="452"/>
    <x v="0"/>
    <n v="1"/>
    <n v="300.08"/>
    <x v="673"/>
    <x v="6"/>
    <x v="0"/>
    <n v="300.08"/>
    <m/>
    <m/>
    <n v="7"/>
  </r>
  <r>
    <x v="2307"/>
    <x v="452"/>
    <x v="1"/>
    <n v="2"/>
    <n v="81.319999999999993"/>
    <x v="531"/>
    <x v="1"/>
    <x v="3"/>
    <n v="162.63999999999999"/>
    <m/>
    <m/>
    <n v="7"/>
  </r>
  <r>
    <x v="2308"/>
    <x v="452"/>
    <x v="3"/>
    <n v="2"/>
    <n v="30.3"/>
    <x v="581"/>
    <x v="0"/>
    <x v="1"/>
    <n v="60.6"/>
    <m/>
    <m/>
    <n v="7"/>
  </r>
  <r>
    <x v="2309"/>
    <x v="452"/>
    <x v="5"/>
    <n v="1"/>
    <n v="600.16999999999996"/>
    <x v="206"/>
    <x v="1"/>
    <x v="1"/>
    <n v="600.16999999999996"/>
    <m/>
    <m/>
    <n v="7"/>
  </r>
  <r>
    <x v="2310"/>
    <x v="452"/>
    <x v="1"/>
    <n v="5"/>
    <n v="203.3"/>
    <x v="289"/>
    <x v="4"/>
    <x v="4"/>
    <n v="1016.5"/>
    <m/>
    <m/>
    <n v="7"/>
  </r>
  <r>
    <x v="2311"/>
    <x v="452"/>
    <x v="0"/>
    <n v="5"/>
    <n v="1500.4"/>
    <x v="692"/>
    <x v="9"/>
    <x v="0"/>
    <n v="7502"/>
    <m/>
    <m/>
    <n v="10"/>
  </r>
  <r>
    <x v="2312"/>
    <x v="453"/>
    <x v="0"/>
    <n v="3"/>
    <n v="900.24"/>
    <x v="718"/>
    <x v="0"/>
    <x v="2"/>
    <n v="2700.7200000000003"/>
    <m/>
    <m/>
    <n v="7"/>
  </r>
  <r>
    <x v="2313"/>
    <x v="453"/>
    <x v="0"/>
    <n v="2"/>
    <n v="600.16"/>
    <x v="496"/>
    <x v="4"/>
    <x v="0"/>
    <n v="1200.32"/>
    <m/>
    <m/>
    <n v="10"/>
  </r>
  <r>
    <x v="2314"/>
    <x v="453"/>
    <x v="2"/>
    <n v="2"/>
    <n v="10.46"/>
    <x v="645"/>
    <x v="0"/>
    <x v="3"/>
    <n v="20.92"/>
    <m/>
    <m/>
    <n v="10"/>
  </r>
  <r>
    <x v="2315"/>
    <x v="454"/>
    <x v="0"/>
    <n v="2"/>
    <n v="600.16"/>
    <x v="614"/>
    <x v="0"/>
    <x v="3"/>
    <n v="1200.32"/>
    <m/>
    <m/>
    <n v="5"/>
  </r>
  <r>
    <x v="2316"/>
    <x v="454"/>
    <x v="1"/>
    <n v="2"/>
    <n v="81.319999999999993"/>
    <x v="57"/>
    <x v="1"/>
    <x v="1"/>
    <n v="162.63999999999999"/>
    <m/>
    <m/>
    <n v="5"/>
  </r>
  <r>
    <x v="2317"/>
    <x v="454"/>
    <x v="0"/>
    <n v="1"/>
    <n v="300.08"/>
    <x v="19"/>
    <x v="2"/>
    <x v="1"/>
    <n v="300.08"/>
    <m/>
    <m/>
    <n v="7"/>
  </r>
  <r>
    <x v="2318"/>
    <x v="454"/>
    <x v="0"/>
    <n v="5"/>
    <n v="1500.4"/>
    <x v="470"/>
    <x v="4"/>
    <x v="2"/>
    <n v="7502"/>
    <m/>
    <m/>
    <n v="7"/>
  </r>
  <r>
    <x v="2319"/>
    <x v="454"/>
    <x v="7"/>
    <n v="2"/>
    <n v="23.46"/>
    <x v="548"/>
    <x v="5"/>
    <x v="1"/>
    <n v="46.92"/>
    <m/>
    <m/>
    <n v="7"/>
  </r>
  <r>
    <x v="2320"/>
    <x v="454"/>
    <x v="1"/>
    <n v="1"/>
    <n v="40.659999999999997"/>
    <x v="229"/>
    <x v="3"/>
    <x v="2"/>
    <n v="40.659999999999997"/>
    <m/>
    <m/>
    <n v="10"/>
  </r>
  <r>
    <x v="2321"/>
    <x v="454"/>
    <x v="1"/>
    <n v="3"/>
    <n v="121.98"/>
    <x v="693"/>
    <x v="4"/>
    <x v="1"/>
    <n v="365.94"/>
    <m/>
    <m/>
    <n v="10"/>
  </r>
  <r>
    <x v="2322"/>
    <x v="455"/>
    <x v="4"/>
    <n v="4"/>
    <n v="4200"/>
    <x v="224"/>
    <x v="1"/>
    <x v="3"/>
    <n v="16800"/>
    <m/>
    <m/>
    <n v="5"/>
  </r>
  <r>
    <x v="2323"/>
    <x v="455"/>
    <x v="6"/>
    <n v="1"/>
    <n v="35.840000000000003"/>
    <x v="318"/>
    <x v="9"/>
    <x v="0"/>
    <n v="35.840000000000003"/>
    <m/>
    <m/>
    <n v="5"/>
  </r>
  <r>
    <x v="2324"/>
    <x v="455"/>
    <x v="6"/>
    <n v="5"/>
    <n v="179.2"/>
    <x v="750"/>
    <x v="0"/>
    <x v="1"/>
    <n v="896"/>
    <m/>
    <m/>
    <n v="5"/>
  </r>
  <r>
    <x v="2325"/>
    <x v="455"/>
    <x v="2"/>
    <n v="2"/>
    <n v="10.46"/>
    <x v="357"/>
    <x v="4"/>
    <x v="1"/>
    <n v="20.92"/>
    <m/>
    <m/>
    <n v="5"/>
  </r>
  <r>
    <x v="2326"/>
    <x v="455"/>
    <x v="0"/>
    <n v="4"/>
    <n v="1200.32"/>
    <x v="407"/>
    <x v="0"/>
    <x v="1"/>
    <n v="4801.28"/>
    <m/>
    <m/>
    <n v="7"/>
  </r>
  <r>
    <x v="2327"/>
    <x v="455"/>
    <x v="0"/>
    <n v="4"/>
    <n v="1200.32"/>
    <x v="428"/>
    <x v="3"/>
    <x v="0"/>
    <n v="4801.28"/>
    <m/>
    <m/>
    <n v="7"/>
  </r>
  <r>
    <x v="2328"/>
    <x v="456"/>
    <x v="2"/>
    <n v="2"/>
    <n v="10.46"/>
    <x v="417"/>
    <x v="9"/>
    <x v="1"/>
    <n v="20.92"/>
    <m/>
    <m/>
    <n v="5"/>
  </r>
  <r>
    <x v="2329"/>
    <x v="456"/>
    <x v="0"/>
    <n v="2"/>
    <n v="600.16"/>
    <x v="604"/>
    <x v="0"/>
    <x v="2"/>
    <n v="1200.32"/>
    <m/>
    <m/>
    <n v="5"/>
  </r>
  <r>
    <x v="2330"/>
    <x v="456"/>
    <x v="3"/>
    <n v="4"/>
    <n v="60.6"/>
    <x v="573"/>
    <x v="6"/>
    <x v="4"/>
    <n v="242.4"/>
    <m/>
    <m/>
    <n v="7"/>
  </r>
  <r>
    <x v="2331"/>
    <x v="456"/>
    <x v="0"/>
    <n v="1"/>
    <n v="300.08"/>
    <x v="241"/>
    <x v="1"/>
    <x v="4"/>
    <n v="300.08"/>
    <m/>
    <m/>
    <n v="7"/>
  </r>
  <r>
    <x v="2332"/>
    <x v="456"/>
    <x v="0"/>
    <n v="3"/>
    <n v="900.24"/>
    <x v="540"/>
    <x v="0"/>
    <x v="2"/>
    <n v="2700.7200000000003"/>
    <m/>
    <m/>
    <n v="7"/>
  </r>
  <r>
    <x v="2333"/>
    <x v="456"/>
    <x v="0"/>
    <n v="5"/>
    <n v="1500.4"/>
    <x v="626"/>
    <x v="1"/>
    <x v="1"/>
    <n v="7502"/>
    <m/>
    <m/>
    <n v="10"/>
  </r>
  <r>
    <x v="2334"/>
    <x v="457"/>
    <x v="7"/>
    <n v="4"/>
    <n v="46.92"/>
    <x v="653"/>
    <x v="4"/>
    <x v="2"/>
    <n v="187.68"/>
    <m/>
    <m/>
    <n v="5"/>
  </r>
  <r>
    <x v="2335"/>
    <x v="457"/>
    <x v="0"/>
    <n v="2"/>
    <n v="600.16"/>
    <x v="208"/>
    <x v="4"/>
    <x v="4"/>
    <n v="1200.32"/>
    <m/>
    <m/>
    <n v="5"/>
  </r>
  <r>
    <x v="2336"/>
    <x v="457"/>
    <x v="6"/>
    <n v="2"/>
    <n v="71.680000000000007"/>
    <x v="75"/>
    <x v="5"/>
    <x v="1"/>
    <n v="143.36000000000001"/>
    <m/>
    <m/>
    <n v="7"/>
  </r>
  <r>
    <x v="2337"/>
    <x v="457"/>
    <x v="2"/>
    <n v="3"/>
    <n v="15.69"/>
    <x v="393"/>
    <x v="6"/>
    <x v="3"/>
    <n v="47.07"/>
    <m/>
    <m/>
    <n v="7"/>
  </r>
  <r>
    <x v="2338"/>
    <x v="457"/>
    <x v="0"/>
    <n v="1"/>
    <n v="300.08"/>
    <x v="24"/>
    <x v="5"/>
    <x v="2"/>
    <n v="300.08"/>
    <m/>
    <m/>
    <n v="7"/>
  </r>
  <r>
    <x v="2339"/>
    <x v="457"/>
    <x v="2"/>
    <n v="1"/>
    <n v="5.23"/>
    <x v="350"/>
    <x v="0"/>
    <x v="1"/>
    <n v="5.23"/>
    <m/>
    <m/>
    <n v="7"/>
  </r>
  <r>
    <x v="2340"/>
    <x v="457"/>
    <x v="0"/>
    <n v="5"/>
    <n v="1500.4"/>
    <x v="361"/>
    <x v="0"/>
    <x v="4"/>
    <n v="7502"/>
    <m/>
    <m/>
    <n v="7"/>
  </r>
  <r>
    <x v="2341"/>
    <x v="457"/>
    <x v="2"/>
    <n v="3"/>
    <n v="15.69"/>
    <x v="751"/>
    <x v="4"/>
    <x v="1"/>
    <n v="47.07"/>
    <m/>
    <m/>
    <n v="10"/>
  </r>
  <r>
    <x v="2342"/>
    <x v="457"/>
    <x v="1"/>
    <n v="1"/>
    <n v="40.659999999999997"/>
    <x v="171"/>
    <x v="0"/>
    <x v="0"/>
    <n v="40.659999999999997"/>
    <m/>
    <m/>
    <n v="10"/>
  </r>
  <r>
    <x v="2343"/>
    <x v="457"/>
    <x v="4"/>
    <n v="4"/>
    <n v="4200"/>
    <x v="452"/>
    <x v="6"/>
    <x v="3"/>
    <n v="16800"/>
    <m/>
    <m/>
    <n v="10"/>
  </r>
  <r>
    <x v="2344"/>
    <x v="458"/>
    <x v="5"/>
    <n v="5"/>
    <n v="3000.85"/>
    <x v="495"/>
    <x v="0"/>
    <x v="2"/>
    <n v="15004.25"/>
    <m/>
    <m/>
    <n v="5"/>
  </r>
  <r>
    <x v="2345"/>
    <x v="458"/>
    <x v="0"/>
    <n v="1"/>
    <n v="300.08"/>
    <x v="495"/>
    <x v="1"/>
    <x v="2"/>
    <n v="300.08"/>
    <m/>
    <m/>
    <n v="5"/>
  </r>
  <r>
    <x v="2346"/>
    <x v="458"/>
    <x v="3"/>
    <n v="3"/>
    <n v="45.45"/>
    <x v="35"/>
    <x v="9"/>
    <x v="1"/>
    <n v="136.35000000000002"/>
    <m/>
    <m/>
    <n v="7"/>
  </r>
  <r>
    <x v="2347"/>
    <x v="459"/>
    <x v="0"/>
    <n v="2"/>
    <n v="600.16"/>
    <x v="201"/>
    <x v="6"/>
    <x v="2"/>
    <n v="1200.32"/>
    <m/>
    <m/>
    <n v="5"/>
  </r>
  <r>
    <x v="2348"/>
    <x v="459"/>
    <x v="1"/>
    <n v="2"/>
    <n v="81.319999999999993"/>
    <x v="398"/>
    <x v="4"/>
    <x v="4"/>
    <n v="162.63999999999999"/>
    <m/>
    <m/>
    <n v="5"/>
  </r>
  <r>
    <x v="2349"/>
    <x v="459"/>
    <x v="0"/>
    <n v="4"/>
    <n v="1200.32"/>
    <x v="18"/>
    <x v="6"/>
    <x v="4"/>
    <n v="4801.28"/>
    <m/>
    <m/>
    <n v="7"/>
  </r>
  <r>
    <x v="2350"/>
    <x v="459"/>
    <x v="1"/>
    <n v="4"/>
    <n v="162.63999999999999"/>
    <x v="299"/>
    <x v="7"/>
    <x v="1"/>
    <n v="650.55999999999995"/>
    <m/>
    <m/>
    <n v="10"/>
  </r>
  <r>
    <x v="2351"/>
    <x v="460"/>
    <x v="1"/>
    <n v="3"/>
    <n v="121.98"/>
    <x v="457"/>
    <x v="7"/>
    <x v="1"/>
    <n v="365.94"/>
    <m/>
    <m/>
    <n v="5"/>
  </r>
  <r>
    <x v="2352"/>
    <x v="460"/>
    <x v="7"/>
    <n v="3"/>
    <n v="35.19"/>
    <x v="294"/>
    <x v="4"/>
    <x v="4"/>
    <n v="105.57"/>
    <m/>
    <m/>
    <n v="5"/>
  </r>
  <r>
    <x v="2353"/>
    <x v="460"/>
    <x v="0"/>
    <n v="1"/>
    <n v="300.08"/>
    <x v="731"/>
    <x v="3"/>
    <x v="2"/>
    <n v="300.08"/>
    <m/>
    <m/>
    <n v="5"/>
  </r>
  <r>
    <x v="2354"/>
    <x v="460"/>
    <x v="1"/>
    <n v="5"/>
    <n v="203.3"/>
    <x v="410"/>
    <x v="9"/>
    <x v="1"/>
    <n v="1016.5"/>
    <m/>
    <m/>
    <n v="5"/>
  </r>
  <r>
    <x v="2355"/>
    <x v="460"/>
    <x v="5"/>
    <n v="4"/>
    <n v="2400.6799999999998"/>
    <x v="752"/>
    <x v="6"/>
    <x v="1"/>
    <n v="9602.7199999999993"/>
    <m/>
    <m/>
    <n v="5"/>
  </r>
  <r>
    <x v="2356"/>
    <x v="460"/>
    <x v="7"/>
    <n v="5"/>
    <n v="58.65"/>
    <x v="102"/>
    <x v="6"/>
    <x v="1"/>
    <n v="293.25"/>
    <m/>
    <m/>
    <n v="5"/>
  </r>
  <r>
    <x v="2357"/>
    <x v="460"/>
    <x v="2"/>
    <n v="1"/>
    <n v="5.23"/>
    <x v="753"/>
    <x v="0"/>
    <x v="2"/>
    <n v="5.23"/>
    <m/>
    <m/>
    <n v="7"/>
  </r>
  <r>
    <x v="2358"/>
    <x v="460"/>
    <x v="0"/>
    <n v="4"/>
    <n v="1200.32"/>
    <x v="754"/>
    <x v="0"/>
    <x v="2"/>
    <n v="4801.28"/>
    <m/>
    <m/>
    <n v="7"/>
  </r>
  <r>
    <x v="2359"/>
    <x v="460"/>
    <x v="0"/>
    <n v="3"/>
    <n v="900.24"/>
    <x v="42"/>
    <x v="1"/>
    <x v="1"/>
    <n v="2700.7200000000003"/>
    <m/>
    <m/>
    <n v="10"/>
  </r>
  <r>
    <x v="2360"/>
    <x v="461"/>
    <x v="0"/>
    <n v="3"/>
    <n v="900.24"/>
    <x v="13"/>
    <x v="7"/>
    <x v="3"/>
    <n v="2700.7200000000003"/>
    <m/>
    <m/>
    <n v="5"/>
  </r>
  <r>
    <x v="2361"/>
    <x v="461"/>
    <x v="1"/>
    <n v="5"/>
    <n v="203.3"/>
    <x v="424"/>
    <x v="8"/>
    <x v="3"/>
    <n v="1016.5"/>
    <m/>
    <m/>
    <n v="5"/>
  </r>
  <r>
    <x v="2362"/>
    <x v="461"/>
    <x v="0"/>
    <n v="2"/>
    <n v="600.16"/>
    <x v="543"/>
    <x v="4"/>
    <x v="4"/>
    <n v="1200.32"/>
    <m/>
    <m/>
    <n v="5"/>
  </r>
  <r>
    <x v="2363"/>
    <x v="461"/>
    <x v="0"/>
    <n v="4"/>
    <n v="1200.32"/>
    <x v="18"/>
    <x v="1"/>
    <x v="4"/>
    <n v="4801.28"/>
    <m/>
    <m/>
    <n v="7"/>
  </r>
  <r>
    <x v="2364"/>
    <x v="461"/>
    <x v="2"/>
    <n v="4"/>
    <n v="20.92"/>
    <x v="622"/>
    <x v="9"/>
    <x v="4"/>
    <n v="83.68"/>
    <m/>
    <m/>
    <n v="7"/>
  </r>
  <r>
    <x v="2365"/>
    <x v="462"/>
    <x v="1"/>
    <n v="3"/>
    <n v="121.98"/>
    <x v="587"/>
    <x v="2"/>
    <x v="1"/>
    <n v="365.94"/>
    <m/>
    <m/>
    <n v="5"/>
  </r>
  <r>
    <x v="2366"/>
    <x v="462"/>
    <x v="1"/>
    <n v="3"/>
    <n v="121.98"/>
    <x v="199"/>
    <x v="3"/>
    <x v="2"/>
    <n v="365.94"/>
    <m/>
    <m/>
    <n v="7"/>
  </r>
  <r>
    <x v="2367"/>
    <x v="462"/>
    <x v="2"/>
    <n v="5"/>
    <n v="26.15"/>
    <x v="741"/>
    <x v="6"/>
    <x v="1"/>
    <n v="130.75"/>
    <m/>
    <m/>
    <n v="10"/>
  </r>
  <r>
    <x v="2368"/>
    <x v="463"/>
    <x v="1"/>
    <n v="4"/>
    <n v="162.63999999999999"/>
    <x v="520"/>
    <x v="9"/>
    <x v="2"/>
    <n v="650.55999999999995"/>
    <m/>
    <m/>
    <n v="5"/>
  </r>
  <r>
    <x v="2369"/>
    <x v="463"/>
    <x v="4"/>
    <n v="3"/>
    <n v="3150"/>
    <x v="301"/>
    <x v="5"/>
    <x v="0"/>
    <n v="9450"/>
    <m/>
    <m/>
    <n v="5"/>
  </r>
  <r>
    <x v="2370"/>
    <x v="463"/>
    <x v="2"/>
    <n v="3"/>
    <n v="15.69"/>
    <x v="449"/>
    <x v="8"/>
    <x v="4"/>
    <n v="47.07"/>
    <m/>
    <m/>
    <n v="7"/>
  </r>
  <r>
    <x v="2371"/>
    <x v="463"/>
    <x v="0"/>
    <n v="4"/>
    <n v="1200.32"/>
    <x v="565"/>
    <x v="3"/>
    <x v="0"/>
    <n v="4801.28"/>
    <m/>
    <m/>
    <n v="7"/>
  </r>
  <r>
    <x v="2372"/>
    <x v="464"/>
    <x v="5"/>
    <n v="3"/>
    <n v="1800.51"/>
    <x v="454"/>
    <x v="0"/>
    <x v="3"/>
    <n v="5401.53"/>
    <m/>
    <m/>
    <n v="7"/>
  </r>
  <r>
    <x v="2373"/>
    <x v="464"/>
    <x v="5"/>
    <n v="5"/>
    <n v="3000.85"/>
    <x v="384"/>
    <x v="1"/>
    <x v="2"/>
    <n v="15004.25"/>
    <m/>
    <m/>
    <n v="7"/>
  </r>
  <r>
    <x v="2374"/>
    <x v="464"/>
    <x v="4"/>
    <n v="5"/>
    <n v="5250"/>
    <x v="55"/>
    <x v="0"/>
    <x v="4"/>
    <n v="26250"/>
    <m/>
    <m/>
    <n v="7"/>
  </r>
  <r>
    <x v="2375"/>
    <x v="465"/>
    <x v="0"/>
    <n v="1"/>
    <n v="300.08"/>
    <x v="27"/>
    <x v="0"/>
    <x v="4"/>
    <n v="300.08"/>
    <m/>
    <m/>
    <n v="5"/>
  </r>
  <r>
    <x v="2376"/>
    <x v="465"/>
    <x v="5"/>
    <n v="2"/>
    <n v="1200.3399999999999"/>
    <x v="484"/>
    <x v="8"/>
    <x v="1"/>
    <n v="2400.6799999999998"/>
    <m/>
    <m/>
    <n v="5"/>
  </r>
  <r>
    <x v="2377"/>
    <x v="465"/>
    <x v="0"/>
    <n v="5"/>
    <n v="1500.4"/>
    <x v="459"/>
    <x v="0"/>
    <x v="1"/>
    <n v="7502"/>
    <m/>
    <m/>
    <n v="5"/>
  </r>
  <r>
    <x v="2378"/>
    <x v="465"/>
    <x v="5"/>
    <n v="3"/>
    <n v="1800.51"/>
    <x v="207"/>
    <x v="3"/>
    <x v="4"/>
    <n v="5401.53"/>
    <m/>
    <m/>
    <n v="5"/>
  </r>
  <r>
    <x v="2379"/>
    <x v="465"/>
    <x v="0"/>
    <n v="3"/>
    <n v="900.24"/>
    <x v="420"/>
    <x v="7"/>
    <x v="4"/>
    <n v="2700.7200000000003"/>
    <m/>
    <m/>
    <n v="7"/>
  </r>
  <r>
    <x v="2380"/>
    <x v="465"/>
    <x v="0"/>
    <n v="4"/>
    <n v="1200.32"/>
    <x v="751"/>
    <x v="1"/>
    <x v="4"/>
    <n v="4801.28"/>
    <m/>
    <m/>
    <n v="10"/>
  </r>
  <r>
    <x v="2381"/>
    <x v="466"/>
    <x v="1"/>
    <n v="3"/>
    <n v="121.98"/>
    <x v="126"/>
    <x v="8"/>
    <x v="0"/>
    <n v="365.94"/>
    <m/>
    <m/>
    <n v="5"/>
  </r>
  <r>
    <x v="2382"/>
    <x v="466"/>
    <x v="1"/>
    <n v="4"/>
    <n v="162.63999999999999"/>
    <x v="743"/>
    <x v="0"/>
    <x v="2"/>
    <n v="650.55999999999995"/>
    <m/>
    <m/>
    <n v="5"/>
  </r>
  <r>
    <x v="2383"/>
    <x v="466"/>
    <x v="6"/>
    <n v="1"/>
    <n v="35.840000000000003"/>
    <x v="265"/>
    <x v="2"/>
    <x v="1"/>
    <n v="35.840000000000003"/>
    <m/>
    <m/>
    <n v="5"/>
  </r>
  <r>
    <x v="2384"/>
    <x v="466"/>
    <x v="4"/>
    <n v="5"/>
    <n v="5250"/>
    <x v="679"/>
    <x v="2"/>
    <x v="3"/>
    <n v="26250"/>
    <m/>
    <m/>
    <n v="7"/>
  </r>
  <r>
    <x v="2385"/>
    <x v="466"/>
    <x v="0"/>
    <n v="2"/>
    <n v="600.16"/>
    <x v="740"/>
    <x v="4"/>
    <x v="2"/>
    <n v="1200.32"/>
    <m/>
    <m/>
    <n v="7"/>
  </r>
  <r>
    <x v="2386"/>
    <x v="466"/>
    <x v="1"/>
    <n v="2"/>
    <n v="81.319999999999993"/>
    <x v="513"/>
    <x v="4"/>
    <x v="0"/>
    <n v="162.63999999999999"/>
    <m/>
    <m/>
    <n v="7"/>
  </r>
  <r>
    <x v="2387"/>
    <x v="467"/>
    <x v="1"/>
    <n v="2"/>
    <n v="81.319999999999993"/>
    <x v="422"/>
    <x v="4"/>
    <x v="0"/>
    <n v="162.63999999999999"/>
    <m/>
    <m/>
    <n v="5"/>
  </r>
  <r>
    <x v="2388"/>
    <x v="467"/>
    <x v="0"/>
    <n v="1"/>
    <n v="300.08"/>
    <x v="157"/>
    <x v="5"/>
    <x v="3"/>
    <n v="300.08"/>
    <m/>
    <m/>
    <n v="5"/>
  </r>
  <r>
    <x v="2389"/>
    <x v="467"/>
    <x v="6"/>
    <n v="4"/>
    <n v="143.36000000000001"/>
    <x v="324"/>
    <x v="1"/>
    <x v="3"/>
    <n v="573.44000000000005"/>
    <m/>
    <m/>
    <n v="5"/>
  </r>
  <r>
    <x v="2390"/>
    <x v="467"/>
    <x v="3"/>
    <n v="4"/>
    <n v="60.6"/>
    <x v="508"/>
    <x v="9"/>
    <x v="0"/>
    <n v="242.4"/>
    <m/>
    <m/>
    <n v="7"/>
  </r>
  <r>
    <x v="2391"/>
    <x v="467"/>
    <x v="5"/>
    <n v="3"/>
    <n v="1800.51"/>
    <x v="755"/>
    <x v="1"/>
    <x v="2"/>
    <n v="5401.53"/>
    <m/>
    <m/>
    <n v="7"/>
  </r>
  <r>
    <x v="2392"/>
    <x v="467"/>
    <x v="3"/>
    <n v="2"/>
    <n v="30.3"/>
    <x v="565"/>
    <x v="0"/>
    <x v="1"/>
    <n v="60.6"/>
    <m/>
    <m/>
    <n v="7"/>
  </r>
  <r>
    <x v="2393"/>
    <x v="468"/>
    <x v="0"/>
    <n v="4"/>
    <n v="1200.32"/>
    <x v="527"/>
    <x v="8"/>
    <x v="0"/>
    <n v="4801.28"/>
    <m/>
    <m/>
    <n v="5"/>
  </r>
  <r>
    <x v="2394"/>
    <x v="468"/>
    <x v="0"/>
    <n v="1"/>
    <n v="300.08"/>
    <x v="756"/>
    <x v="9"/>
    <x v="4"/>
    <n v="300.08"/>
    <m/>
    <m/>
    <n v="7"/>
  </r>
  <r>
    <x v="2395"/>
    <x v="468"/>
    <x v="1"/>
    <n v="2"/>
    <n v="81.319999999999993"/>
    <x v="742"/>
    <x v="0"/>
    <x v="1"/>
    <n v="162.63999999999999"/>
    <m/>
    <m/>
    <n v="7"/>
  </r>
  <r>
    <x v="2396"/>
    <x v="468"/>
    <x v="1"/>
    <n v="4"/>
    <n v="162.63999999999999"/>
    <x v="404"/>
    <x v="9"/>
    <x v="0"/>
    <n v="650.55999999999995"/>
    <m/>
    <m/>
    <n v="7"/>
  </r>
  <r>
    <x v="2397"/>
    <x v="468"/>
    <x v="0"/>
    <n v="5"/>
    <n v="1500.4"/>
    <x v="252"/>
    <x v="0"/>
    <x v="0"/>
    <n v="7502"/>
    <m/>
    <m/>
    <n v="7"/>
  </r>
  <r>
    <x v="2398"/>
    <x v="468"/>
    <x v="4"/>
    <n v="2"/>
    <n v="2100"/>
    <x v="206"/>
    <x v="7"/>
    <x v="1"/>
    <n v="4200"/>
    <m/>
    <m/>
    <n v="7"/>
  </r>
  <r>
    <x v="2399"/>
    <x v="468"/>
    <x v="1"/>
    <n v="1"/>
    <n v="40.659999999999997"/>
    <x v="548"/>
    <x v="0"/>
    <x v="0"/>
    <n v="40.659999999999997"/>
    <m/>
    <m/>
    <n v="7"/>
  </r>
  <r>
    <x v="2400"/>
    <x v="468"/>
    <x v="1"/>
    <n v="3"/>
    <n v="121.98"/>
    <x v="20"/>
    <x v="1"/>
    <x v="1"/>
    <n v="365.94"/>
    <m/>
    <m/>
    <n v="7"/>
  </r>
  <r>
    <x v="2401"/>
    <x v="469"/>
    <x v="4"/>
    <n v="5"/>
    <n v="5250"/>
    <x v="83"/>
    <x v="0"/>
    <x v="1"/>
    <n v="26250"/>
    <m/>
    <m/>
    <n v="5"/>
  </r>
  <r>
    <x v="2402"/>
    <x v="469"/>
    <x v="0"/>
    <n v="1"/>
    <n v="300.08"/>
    <x v="102"/>
    <x v="2"/>
    <x v="0"/>
    <n v="300.08"/>
    <m/>
    <m/>
    <n v="5"/>
  </r>
  <r>
    <x v="2403"/>
    <x v="469"/>
    <x v="1"/>
    <n v="5"/>
    <n v="203.3"/>
    <x v="578"/>
    <x v="0"/>
    <x v="2"/>
    <n v="1016.5"/>
    <m/>
    <m/>
    <n v="7"/>
  </r>
  <r>
    <x v="2404"/>
    <x v="470"/>
    <x v="4"/>
    <n v="5"/>
    <n v="5250"/>
    <x v="408"/>
    <x v="6"/>
    <x v="3"/>
    <n v="26250"/>
    <m/>
    <m/>
    <n v="5"/>
  </r>
  <r>
    <x v="2405"/>
    <x v="470"/>
    <x v="0"/>
    <n v="3"/>
    <n v="900.24"/>
    <x v="86"/>
    <x v="0"/>
    <x v="2"/>
    <n v="2700.7200000000003"/>
    <m/>
    <m/>
    <n v="5"/>
  </r>
  <r>
    <x v="2406"/>
    <x v="470"/>
    <x v="0"/>
    <n v="5"/>
    <n v="1500.4"/>
    <x v="757"/>
    <x v="5"/>
    <x v="3"/>
    <n v="7502"/>
    <m/>
    <m/>
    <n v="5"/>
  </r>
  <r>
    <x v="2407"/>
    <x v="470"/>
    <x v="5"/>
    <n v="4"/>
    <n v="2400.6799999999998"/>
    <x v="443"/>
    <x v="9"/>
    <x v="3"/>
    <n v="9602.7199999999993"/>
    <m/>
    <m/>
    <n v="7"/>
  </r>
  <r>
    <x v="2408"/>
    <x v="470"/>
    <x v="1"/>
    <n v="4"/>
    <n v="162.63999999999999"/>
    <x v="49"/>
    <x v="6"/>
    <x v="3"/>
    <n v="650.55999999999995"/>
    <m/>
    <m/>
    <n v="7"/>
  </r>
  <r>
    <x v="2409"/>
    <x v="470"/>
    <x v="6"/>
    <n v="1"/>
    <n v="35.840000000000003"/>
    <x v="449"/>
    <x v="9"/>
    <x v="0"/>
    <n v="35.840000000000003"/>
    <m/>
    <m/>
    <n v="7"/>
  </r>
  <r>
    <x v="2410"/>
    <x v="470"/>
    <x v="1"/>
    <n v="3"/>
    <n v="121.98"/>
    <x v="254"/>
    <x v="0"/>
    <x v="0"/>
    <n v="365.94"/>
    <m/>
    <m/>
    <n v="7"/>
  </r>
  <r>
    <x v="2411"/>
    <x v="471"/>
    <x v="1"/>
    <n v="3"/>
    <n v="121.98"/>
    <x v="85"/>
    <x v="6"/>
    <x v="1"/>
    <n v="365.94"/>
    <m/>
    <m/>
    <n v="5"/>
  </r>
  <r>
    <x v="2412"/>
    <x v="471"/>
    <x v="7"/>
    <n v="5"/>
    <n v="58.65"/>
    <x v="207"/>
    <x v="0"/>
    <x v="0"/>
    <n v="293.25"/>
    <m/>
    <m/>
    <n v="5"/>
  </r>
  <r>
    <x v="2413"/>
    <x v="471"/>
    <x v="3"/>
    <n v="3"/>
    <n v="45.45"/>
    <x v="348"/>
    <x v="0"/>
    <x v="3"/>
    <n v="136.35000000000002"/>
    <m/>
    <m/>
    <n v="7"/>
  </r>
  <r>
    <x v="2414"/>
    <x v="471"/>
    <x v="2"/>
    <n v="4"/>
    <n v="20.92"/>
    <x v="585"/>
    <x v="6"/>
    <x v="1"/>
    <n v="83.68"/>
    <m/>
    <m/>
    <n v="7"/>
  </r>
  <r>
    <x v="2415"/>
    <x v="472"/>
    <x v="0"/>
    <n v="1"/>
    <n v="300.08"/>
    <x v="477"/>
    <x v="4"/>
    <x v="2"/>
    <n v="300.08"/>
    <m/>
    <m/>
    <n v="5"/>
  </r>
  <r>
    <x v="2416"/>
    <x v="472"/>
    <x v="1"/>
    <n v="1"/>
    <n v="40.659999999999997"/>
    <x v="277"/>
    <x v="0"/>
    <x v="3"/>
    <n v="40.659999999999997"/>
    <m/>
    <m/>
    <n v="7"/>
  </r>
  <r>
    <x v="2417"/>
    <x v="472"/>
    <x v="0"/>
    <n v="1"/>
    <n v="300.08"/>
    <x v="451"/>
    <x v="5"/>
    <x v="1"/>
    <n v="300.08"/>
    <m/>
    <m/>
    <n v="10"/>
  </r>
  <r>
    <x v="2418"/>
    <x v="473"/>
    <x v="4"/>
    <n v="5"/>
    <n v="5250"/>
    <x v="369"/>
    <x v="3"/>
    <x v="2"/>
    <n v="26250"/>
    <m/>
    <m/>
    <n v="5"/>
  </r>
  <r>
    <x v="2419"/>
    <x v="473"/>
    <x v="5"/>
    <n v="3"/>
    <n v="1800.51"/>
    <x v="320"/>
    <x v="9"/>
    <x v="3"/>
    <n v="5401.53"/>
    <m/>
    <m/>
    <n v="5"/>
  </r>
  <r>
    <x v="2420"/>
    <x v="473"/>
    <x v="0"/>
    <n v="3"/>
    <n v="900.24"/>
    <x v="590"/>
    <x v="0"/>
    <x v="1"/>
    <n v="2700.7200000000003"/>
    <m/>
    <m/>
    <n v="7"/>
  </r>
  <r>
    <x v="2421"/>
    <x v="473"/>
    <x v="7"/>
    <n v="2"/>
    <n v="23.46"/>
    <x v="18"/>
    <x v="1"/>
    <x v="3"/>
    <n v="46.92"/>
    <m/>
    <m/>
    <n v="7"/>
  </r>
  <r>
    <x v="2422"/>
    <x v="473"/>
    <x v="1"/>
    <n v="1"/>
    <n v="40.659999999999997"/>
    <x v="415"/>
    <x v="4"/>
    <x v="2"/>
    <n v="40.659999999999997"/>
    <m/>
    <m/>
    <n v="7"/>
  </r>
  <r>
    <x v="2423"/>
    <x v="474"/>
    <x v="5"/>
    <n v="5"/>
    <n v="3000.85"/>
    <x v="308"/>
    <x v="0"/>
    <x v="0"/>
    <n v="15004.25"/>
    <m/>
    <m/>
    <n v="5"/>
  </r>
  <r>
    <x v="2424"/>
    <x v="474"/>
    <x v="5"/>
    <n v="4"/>
    <n v="2400.6799999999998"/>
    <x v="35"/>
    <x v="6"/>
    <x v="2"/>
    <n v="9602.7199999999993"/>
    <m/>
    <m/>
    <n v="7"/>
  </r>
  <r>
    <x v="2425"/>
    <x v="474"/>
    <x v="0"/>
    <n v="3"/>
    <n v="900.24"/>
    <x v="601"/>
    <x v="6"/>
    <x v="3"/>
    <n v="2700.7200000000003"/>
    <m/>
    <m/>
    <n v="7"/>
  </r>
  <r>
    <x v="2426"/>
    <x v="474"/>
    <x v="0"/>
    <n v="1"/>
    <n v="300.08"/>
    <x v="451"/>
    <x v="2"/>
    <x v="1"/>
    <n v="300.08"/>
    <m/>
    <m/>
    <n v="10"/>
  </r>
  <r>
    <x v="2427"/>
    <x v="475"/>
    <x v="7"/>
    <n v="3"/>
    <n v="35.19"/>
    <x v="445"/>
    <x v="4"/>
    <x v="1"/>
    <n v="105.57"/>
    <m/>
    <m/>
    <n v="5"/>
  </r>
  <r>
    <x v="2428"/>
    <x v="475"/>
    <x v="5"/>
    <n v="1"/>
    <n v="600.16999999999996"/>
    <x v="132"/>
    <x v="6"/>
    <x v="0"/>
    <n v="600.16999999999996"/>
    <m/>
    <m/>
    <n v="5"/>
  </r>
  <r>
    <x v="2429"/>
    <x v="475"/>
    <x v="6"/>
    <n v="3"/>
    <n v="107.52"/>
    <x v="758"/>
    <x v="4"/>
    <x v="3"/>
    <n v="322.56"/>
    <m/>
    <m/>
    <n v="5"/>
  </r>
  <r>
    <x v="2430"/>
    <x v="475"/>
    <x v="1"/>
    <n v="5"/>
    <n v="203.3"/>
    <x v="22"/>
    <x v="1"/>
    <x v="3"/>
    <n v="1016.5"/>
    <m/>
    <m/>
    <n v="5"/>
  </r>
  <r>
    <x v="2431"/>
    <x v="475"/>
    <x v="0"/>
    <n v="3"/>
    <n v="900.24"/>
    <x v="353"/>
    <x v="5"/>
    <x v="4"/>
    <n v="2700.7200000000003"/>
    <m/>
    <m/>
    <n v="7"/>
  </r>
  <r>
    <x v="2432"/>
    <x v="475"/>
    <x v="1"/>
    <n v="4"/>
    <n v="162.63999999999999"/>
    <x v="585"/>
    <x v="0"/>
    <x v="2"/>
    <n v="650.55999999999995"/>
    <m/>
    <m/>
    <n v="7"/>
  </r>
  <r>
    <x v="2433"/>
    <x v="476"/>
    <x v="0"/>
    <n v="4"/>
    <n v="1200.32"/>
    <x v="533"/>
    <x v="1"/>
    <x v="1"/>
    <n v="4801.28"/>
    <m/>
    <m/>
    <n v="5"/>
  </r>
  <r>
    <x v="2434"/>
    <x v="476"/>
    <x v="2"/>
    <n v="3"/>
    <n v="15.69"/>
    <x v="184"/>
    <x v="6"/>
    <x v="1"/>
    <n v="47.07"/>
    <m/>
    <m/>
    <n v="5"/>
  </r>
  <r>
    <x v="2435"/>
    <x v="476"/>
    <x v="6"/>
    <n v="2"/>
    <n v="71.680000000000007"/>
    <x v="206"/>
    <x v="6"/>
    <x v="0"/>
    <n v="143.36000000000001"/>
    <m/>
    <m/>
    <n v="7"/>
  </r>
  <r>
    <x v="2436"/>
    <x v="477"/>
    <x v="6"/>
    <n v="3"/>
    <n v="107.52"/>
    <x v="183"/>
    <x v="6"/>
    <x v="3"/>
    <n v="322.56"/>
    <m/>
    <m/>
    <n v="5"/>
  </r>
  <r>
    <x v="2437"/>
    <x v="477"/>
    <x v="4"/>
    <n v="3"/>
    <n v="3150"/>
    <x v="68"/>
    <x v="6"/>
    <x v="1"/>
    <n v="9450"/>
    <m/>
    <m/>
    <n v="5"/>
  </r>
  <r>
    <x v="2438"/>
    <x v="477"/>
    <x v="0"/>
    <n v="3"/>
    <n v="900.24"/>
    <x v="21"/>
    <x v="8"/>
    <x v="4"/>
    <n v="2700.7200000000003"/>
    <m/>
    <m/>
    <n v="5"/>
  </r>
  <r>
    <x v="2439"/>
    <x v="477"/>
    <x v="2"/>
    <n v="2"/>
    <n v="10.46"/>
    <x v="731"/>
    <x v="6"/>
    <x v="4"/>
    <n v="20.92"/>
    <m/>
    <m/>
    <n v="5"/>
  </r>
  <r>
    <x v="2440"/>
    <x v="477"/>
    <x v="0"/>
    <n v="5"/>
    <n v="1500.4"/>
    <x v="701"/>
    <x v="6"/>
    <x v="1"/>
    <n v="7502"/>
    <m/>
    <m/>
    <n v="7"/>
  </r>
  <r>
    <x v="2441"/>
    <x v="477"/>
    <x v="0"/>
    <n v="3"/>
    <n v="900.24"/>
    <x v="444"/>
    <x v="1"/>
    <x v="3"/>
    <n v="2700.7200000000003"/>
    <m/>
    <m/>
    <n v="7"/>
  </r>
  <r>
    <x v="2442"/>
    <x v="478"/>
    <x v="2"/>
    <n v="4"/>
    <n v="20.92"/>
    <x v="292"/>
    <x v="1"/>
    <x v="3"/>
    <n v="83.68"/>
    <m/>
    <m/>
    <n v="5"/>
  </r>
  <r>
    <x v="2443"/>
    <x v="478"/>
    <x v="6"/>
    <n v="4"/>
    <n v="143.36000000000001"/>
    <x v="319"/>
    <x v="7"/>
    <x v="2"/>
    <n v="573.44000000000005"/>
    <m/>
    <m/>
    <n v="5"/>
  </r>
  <r>
    <x v="2444"/>
    <x v="478"/>
    <x v="4"/>
    <n v="4"/>
    <n v="4200"/>
    <x v="669"/>
    <x v="1"/>
    <x v="3"/>
    <n v="16800"/>
    <m/>
    <m/>
    <n v="5"/>
  </r>
  <r>
    <x v="2445"/>
    <x v="478"/>
    <x v="0"/>
    <n v="4"/>
    <n v="1200.32"/>
    <x v="759"/>
    <x v="1"/>
    <x v="0"/>
    <n v="4801.28"/>
    <m/>
    <m/>
    <n v="7"/>
  </r>
  <r>
    <x v="2446"/>
    <x v="478"/>
    <x v="1"/>
    <n v="5"/>
    <n v="203.3"/>
    <x v="539"/>
    <x v="0"/>
    <x v="0"/>
    <n v="1016.5"/>
    <m/>
    <m/>
    <n v="7"/>
  </r>
  <r>
    <x v="2447"/>
    <x v="478"/>
    <x v="4"/>
    <n v="1"/>
    <n v="1050"/>
    <x v="705"/>
    <x v="4"/>
    <x v="1"/>
    <n v="1050"/>
    <m/>
    <m/>
    <n v="7"/>
  </r>
  <r>
    <x v="2448"/>
    <x v="479"/>
    <x v="6"/>
    <n v="4"/>
    <n v="143.36000000000001"/>
    <x v="709"/>
    <x v="0"/>
    <x v="0"/>
    <n v="573.44000000000005"/>
    <m/>
    <m/>
    <n v="5"/>
  </r>
  <r>
    <x v="2449"/>
    <x v="479"/>
    <x v="0"/>
    <n v="2"/>
    <n v="600.16"/>
    <x v="616"/>
    <x v="0"/>
    <x v="3"/>
    <n v="1200.32"/>
    <m/>
    <m/>
    <n v="5"/>
  </r>
  <r>
    <x v="2450"/>
    <x v="479"/>
    <x v="2"/>
    <n v="4"/>
    <n v="20.92"/>
    <x v="512"/>
    <x v="1"/>
    <x v="4"/>
    <n v="83.68"/>
    <m/>
    <m/>
    <n v="5"/>
  </r>
  <r>
    <x v="2451"/>
    <x v="479"/>
    <x v="2"/>
    <n v="3"/>
    <n v="15.69"/>
    <x v="194"/>
    <x v="1"/>
    <x v="4"/>
    <n v="47.07"/>
    <m/>
    <m/>
    <n v="7"/>
  </r>
  <r>
    <x v="2452"/>
    <x v="480"/>
    <x v="5"/>
    <n v="2"/>
    <n v="1200.3399999999999"/>
    <x v="128"/>
    <x v="1"/>
    <x v="2"/>
    <n v="2400.6799999999998"/>
    <m/>
    <m/>
    <n v="5"/>
  </r>
  <r>
    <x v="2453"/>
    <x v="480"/>
    <x v="2"/>
    <n v="3"/>
    <n v="15.69"/>
    <x v="651"/>
    <x v="1"/>
    <x v="3"/>
    <n v="47.07"/>
    <m/>
    <m/>
    <n v="5"/>
  </r>
  <r>
    <x v="2454"/>
    <x v="480"/>
    <x v="3"/>
    <n v="5"/>
    <n v="75.75"/>
    <x v="233"/>
    <x v="0"/>
    <x v="0"/>
    <n v="378.75"/>
    <m/>
    <m/>
    <n v="5"/>
  </r>
  <r>
    <x v="2455"/>
    <x v="480"/>
    <x v="0"/>
    <n v="2"/>
    <n v="600.16"/>
    <x v="715"/>
    <x v="3"/>
    <x v="4"/>
    <n v="1200.32"/>
    <m/>
    <m/>
    <n v="7"/>
  </r>
  <r>
    <x v="2456"/>
    <x v="480"/>
    <x v="2"/>
    <n v="5"/>
    <n v="26.15"/>
    <x v="612"/>
    <x v="2"/>
    <x v="3"/>
    <n v="130.75"/>
    <m/>
    <m/>
    <n v="7"/>
  </r>
  <r>
    <x v="2457"/>
    <x v="480"/>
    <x v="2"/>
    <n v="2"/>
    <n v="10.46"/>
    <x v="316"/>
    <x v="4"/>
    <x v="2"/>
    <n v="20.92"/>
    <m/>
    <m/>
    <n v="7"/>
  </r>
  <r>
    <x v="2458"/>
    <x v="480"/>
    <x v="1"/>
    <n v="3"/>
    <n v="121.98"/>
    <x v="19"/>
    <x v="1"/>
    <x v="4"/>
    <n v="365.94"/>
    <m/>
    <m/>
    <n v="7"/>
  </r>
  <r>
    <x v="2459"/>
    <x v="481"/>
    <x v="2"/>
    <n v="3"/>
    <n v="15.69"/>
    <x v="672"/>
    <x v="6"/>
    <x v="0"/>
    <n v="47.07"/>
    <m/>
    <m/>
    <n v="5"/>
  </r>
  <r>
    <x v="2460"/>
    <x v="481"/>
    <x v="2"/>
    <n v="1"/>
    <n v="5.23"/>
    <x v="207"/>
    <x v="0"/>
    <x v="1"/>
    <n v="5.23"/>
    <m/>
    <m/>
    <n v="5"/>
  </r>
  <r>
    <x v="2461"/>
    <x v="481"/>
    <x v="2"/>
    <n v="4"/>
    <n v="20.92"/>
    <x v="648"/>
    <x v="6"/>
    <x v="4"/>
    <n v="83.68"/>
    <m/>
    <m/>
    <n v="5"/>
  </r>
  <r>
    <x v="2462"/>
    <x v="481"/>
    <x v="4"/>
    <n v="1"/>
    <n v="1050"/>
    <x v="732"/>
    <x v="7"/>
    <x v="2"/>
    <n v="1050"/>
    <m/>
    <m/>
    <n v="7"/>
  </r>
  <r>
    <x v="2463"/>
    <x v="481"/>
    <x v="0"/>
    <n v="3"/>
    <n v="900.24"/>
    <x v="284"/>
    <x v="8"/>
    <x v="0"/>
    <n v="2700.7200000000003"/>
    <m/>
    <m/>
    <n v="10"/>
  </r>
  <r>
    <x v="2464"/>
    <x v="482"/>
    <x v="2"/>
    <n v="4"/>
    <n v="20.92"/>
    <x v="351"/>
    <x v="9"/>
    <x v="0"/>
    <n v="83.68"/>
    <m/>
    <m/>
    <n v="5"/>
  </r>
  <r>
    <x v="2465"/>
    <x v="482"/>
    <x v="0"/>
    <n v="3"/>
    <n v="900.24"/>
    <x v="749"/>
    <x v="3"/>
    <x v="3"/>
    <n v="2700.7200000000003"/>
    <m/>
    <m/>
    <n v="5"/>
  </r>
  <r>
    <x v="2466"/>
    <x v="482"/>
    <x v="0"/>
    <n v="3"/>
    <n v="900.24"/>
    <x v="459"/>
    <x v="7"/>
    <x v="3"/>
    <n v="2700.7200000000003"/>
    <m/>
    <m/>
    <n v="5"/>
  </r>
  <r>
    <x v="2467"/>
    <x v="482"/>
    <x v="1"/>
    <n v="4"/>
    <n v="162.63999999999999"/>
    <x v="627"/>
    <x v="9"/>
    <x v="1"/>
    <n v="650.55999999999995"/>
    <m/>
    <m/>
    <n v="5"/>
  </r>
  <r>
    <x v="2468"/>
    <x v="482"/>
    <x v="0"/>
    <n v="4"/>
    <n v="1200.32"/>
    <x v="512"/>
    <x v="6"/>
    <x v="0"/>
    <n v="4801.28"/>
    <m/>
    <m/>
    <n v="5"/>
  </r>
  <r>
    <x v="2469"/>
    <x v="482"/>
    <x v="5"/>
    <n v="5"/>
    <n v="3000.85"/>
    <x v="576"/>
    <x v="4"/>
    <x v="1"/>
    <n v="15004.25"/>
    <m/>
    <m/>
    <n v="5"/>
  </r>
  <r>
    <x v="2470"/>
    <x v="482"/>
    <x v="2"/>
    <n v="3"/>
    <n v="15.69"/>
    <x v="621"/>
    <x v="1"/>
    <x v="0"/>
    <n v="47.07"/>
    <m/>
    <m/>
    <n v="7"/>
  </r>
  <r>
    <x v="2471"/>
    <x v="482"/>
    <x v="4"/>
    <n v="3"/>
    <n v="3150"/>
    <x v="153"/>
    <x v="2"/>
    <x v="0"/>
    <n v="9450"/>
    <m/>
    <m/>
    <n v="7"/>
  </r>
  <r>
    <x v="2472"/>
    <x v="483"/>
    <x v="0"/>
    <n v="1"/>
    <n v="300.08"/>
    <x v="730"/>
    <x v="9"/>
    <x v="4"/>
    <n v="300.08"/>
    <m/>
    <m/>
    <n v="5"/>
  </r>
  <r>
    <x v="2473"/>
    <x v="483"/>
    <x v="0"/>
    <n v="3"/>
    <n v="900.24"/>
    <x v="478"/>
    <x v="1"/>
    <x v="2"/>
    <n v="2700.7200000000003"/>
    <m/>
    <m/>
    <n v="5"/>
  </r>
  <r>
    <x v="2474"/>
    <x v="483"/>
    <x v="0"/>
    <n v="3"/>
    <n v="900.24"/>
    <x v="387"/>
    <x v="4"/>
    <x v="0"/>
    <n v="2700.7200000000003"/>
    <m/>
    <m/>
    <n v="5"/>
  </r>
  <r>
    <x v="2475"/>
    <x v="483"/>
    <x v="2"/>
    <n v="4"/>
    <n v="20.92"/>
    <x v="390"/>
    <x v="4"/>
    <x v="4"/>
    <n v="83.68"/>
    <m/>
    <m/>
    <n v="7"/>
  </r>
  <r>
    <x v="2476"/>
    <x v="483"/>
    <x v="7"/>
    <n v="4"/>
    <n v="46.92"/>
    <x v="288"/>
    <x v="9"/>
    <x v="4"/>
    <n v="187.68"/>
    <m/>
    <m/>
    <n v="7"/>
  </r>
  <r>
    <x v="2477"/>
    <x v="483"/>
    <x v="2"/>
    <n v="5"/>
    <n v="26.15"/>
    <x v="60"/>
    <x v="0"/>
    <x v="0"/>
    <n v="130.75"/>
    <m/>
    <m/>
    <n v="10"/>
  </r>
  <r>
    <x v="2478"/>
    <x v="484"/>
    <x v="2"/>
    <n v="2"/>
    <n v="10.46"/>
    <x v="157"/>
    <x v="6"/>
    <x v="3"/>
    <n v="20.92"/>
    <m/>
    <m/>
    <n v="5"/>
  </r>
  <r>
    <x v="2479"/>
    <x v="484"/>
    <x v="5"/>
    <n v="2"/>
    <n v="1200.3399999999999"/>
    <x v="328"/>
    <x v="2"/>
    <x v="4"/>
    <n v="2400.6799999999998"/>
    <m/>
    <m/>
    <n v="5"/>
  </r>
  <r>
    <x v="2480"/>
    <x v="484"/>
    <x v="5"/>
    <n v="4"/>
    <n v="2400.6799999999998"/>
    <x v="673"/>
    <x v="6"/>
    <x v="2"/>
    <n v="9602.7199999999993"/>
    <m/>
    <m/>
    <n v="7"/>
  </r>
  <r>
    <x v="2481"/>
    <x v="484"/>
    <x v="5"/>
    <n v="1"/>
    <n v="600.16999999999996"/>
    <x v="356"/>
    <x v="0"/>
    <x v="1"/>
    <n v="600.16999999999996"/>
    <m/>
    <m/>
    <n v="7"/>
  </r>
  <r>
    <x v="2482"/>
    <x v="484"/>
    <x v="2"/>
    <n v="4"/>
    <n v="20.92"/>
    <x v="755"/>
    <x v="0"/>
    <x v="4"/>
    <n v="83.68"/>
    <m/>
    <m/>
    <n v="7"/>
  </r>
  <r>
    <x v="2483"/>
    <x v="485"/>
    <x v="2"/>
    <n v="4"/>
    <n v="20.92"/>
    <x v="293"/>
    <x v="6"/>
    <x v="3"/>
    <n v="83.68"/>
    <m/>
    <m/>
    <n v="5"/>
  </r>
  <r>
    <x v="2484"/>
    <x v="485"/>
    <x v="0"/>
    <n v="5"/>
    <n v="1500.4"/>
    <x v="65"/>
    <x v="1"/>
    <x v="3"/>
    <n v="7502"/>
    <m/>
    <m/>
    <n v="5"/>
  </r>
  <r>
    <x v="2485"/>
    <x v="485"/>
    <x v="0"/>
    <n v="2"/>
    <n v="600.16"/>
    <x v="14"/>
    <x v="6"/>
    <x v="3"/>
    <n v="1200.32"/>
    <m/>
    <m/>
    <n v="5"/>
  </r>
  <r>
    <x v="2486"/>
    <x v="485"/>
    <x v="1"/>
    <n v="4"/>
    <n v="162.63999999999999"/>
    <x v="315"/>
    <x v="0"/>
    <x v="2"/>
    <n v="650.55999999999995"/>
    <m/>
    <m/>
    <n v="5"/>
  </r>
  <r>
    <x v="2487"/>
    <x v="485"/>
    <x v="0"/>
    <n v="5"/>
    <n v="1500.4"/>
    <x v="176"/>
    <x v="3"/>
    <x v="2"/>
    <n v="7502"/>
    <m/>
    <m/>
    <n v="5"/>
  </r>
  <r>
    <x v="2488"/>
    <x v="485"/>
    <x v="2"/>
    <n v="4"/>
    <n v="20.92"/>
    <x v="760"/>
    <x v="1"/>
    <x v="2"/>
    <n v="83.68"/>
    <m/>
    <m/>
    <n v="7"/>
  </r>
  <r>
    <x v="2489"/>
    <x v="485"/>
    <x v="0"/>
    <n v="4"/>
    <n v="1200.32"/>
    <x v="289"/>
    <x v="4"/>
    <x v="1"/>
    <n v="4801.28"/>
    <m/>
    <m/>
    <n v="7"/>
  </r>
  <r>
    <x v="2490"/>
    <x v="485"/>
    <x v="4"/>
    <n v="5"/>
    <n v="5250"/>
    <x v="412"/>
    <x v="0"/>
    <x v="4"/>
    <n v="26250"/>
    <m/>
    <m/>
    <n v="7"/>
  </r>
  <r>
    <x v="2491"/>
    <x v="486"/>
    <x v="0"/>
    <n v="5"/>
    <n v="1500.4"/>
    <x v="279"/>
    <x v="1"/>
    <x v="3"/>
    <n v="7502"/>
    <m/>
    <m/>
    <n v="5"/>
  </r>
  <r>
    <x v="2492"/>
    <x v="486"/>
    <x v="1"/>
    <n v="4"/>
    <n v="162.63999999999999"/>
    <x v="723"/>
    <x v="4"/>
    <x v="2"/>
    <n v="650.55999999999995"/>
    <m/>
    <m/>
    <n v="5"/>
  </r>
  <r>
    <x v="2493"/>
    <x v="486"/>
    <x v="3"/>
    <n v="1"/>
    <n v="15.15"/>
    <x v="230"/>
    <x v="9"/>
    <x v="3"/>
    <n v="15.15"/>
    <m/>
    <m/>
    <n v="5"/>
  </r>
  <r>
    <x v="2494"/>
    <x v="486"/>
    <x v="5"/>
    <n v="2"/>
    <n v="1200.3399999999999"/>
    <x v="499"/>
    <x v="0"/>
    <x v="2"/>
    <n v="2400.6799999999998"/>
    <m/>
    <m/>
    <n v="7"/>
  </r>
  <r>
    <x v="2495"/>
    <x v="487"/>
    <x v="6"/>
    <n v="5"/>
    <n v="179.2"/>
    <x v="636"/>
    <x v="8"/>
    <x v="1"/>
    <n v="896"/>
    <m/>
    <m/>
    <n v="5"/>
  </r>
  <r>
    <x v="2496"/>
    <x v="487"/>
    <x v="4"/>
    <n v="1"/>
    <n v="1050"/>
    <x v="38"/>
    <x v="6"/>
    <x v="1"/>
    <n v="1050"/>
    <m/>
    <m/>
    <n v="5"/>
  </r>
  <r>
    <x v="2497"/>
    <x v="487"/>
    <x v="6"/>
    <n v="2"/>
    <n v="71.680000000000007"/>
    <x v="315"/>
    <x v="6"/>
    <x v="2"/>
    <n v="143.36000000000001"/>
    <m/>
    <m/>
    <n v="5"/>
  </r>
  <r>
    <x v="2498"/>
    <x v="487"/>
    <x v="6"/>
    <n v="2"/>
    <n v="71.680000000000007"/>
    <x v="88"/>
    <x v="2"/>
    <x v="2"/>
    <n v="143.36000000000001"/>
    <m/>
    <m/>
    <n v="7"/>
  </r>
  <r>
    <x v="2499"/>
    <x v="487"/>
    <x v="0"/>
    <n v="1"/>
    <n v="300.08"/>
    <x v="664"/>
    <x v="9"/>
    <x v="2"/>
    <n v="300.08"/>
    <m/>
    <m/>
    <n v="7"/>
  </r>
  <r>
    <x v="2500"/>
    <x v="487"/>
    <x v="2"/>
    <n v="1"/>
    <n v="5.23"/>
    <x v="753"/>
    <x v="4"/>
    <x v="2"/>
    <n v="5.23"/>
    <m/>
    <m/>
    <n v="7"/>
  </r>
  <r>
    <x v="2501"/>
    <x v="487"/>
    <x v="7"/>
    <n v="1"/>
    <n v="11.73"/>
    <x v="391"/>
    <x v="6"/>
    <x v="1"/>
    <n v="11.73"/>
    <m/>
    <m/>
    <n v="7"/>
  </r>
  <r>
    <x v="2502"/>
    <x v="487"/>
    <x v="2"/>
    <n v="2"/>
    <n v="10.46"/>
    <x v="421"/>
    <x v="1"/>
    <x v="1"/>
    <n v="20.92"/>
    <m/>
    <m/>
    <n v="7"/>
  </r>
  <r>
    <x v="2503"/>
    <x v="488"/>
    <x v="0"/>
    <n v="1"/>
    <n v="300.08"/>
    <x v="350"/>
    <x v="9"/>
    <x v="0"/>
    <n v="300.08"/>
    <m/>
    <m/>
    <n v="7"/>
  </r>
  <r>
    <x v="2504"/>
    <x v="488"/>
    <x v="0"/>
    <n v="2"/>
    <n v="600.16"/>
    <x v="605"/>
    <x v="1"/>
    <x v="0"/>
    <n v="1200.32"/>
    <m/>
    <m/>
    <n v="7"/>
  </r>
  <r>
    <x v="2505"/>
    <x v="488"/>
    <x v="0"/>
    <n v="1"/>
    <n v="300.08"/>
    <x v="161"/>
    <x v="0"/>
    <x v="3"/>
    <n v="300.08"/>
    <m/>
    <m/>
    <n v="7"/>
  </r>
  <r>
    <x v="2506"/>
    <x v="488"/>
    <x v="0"/>
    <n v="1"/>
    <n v="300.08"/>
    <x v="363"/>
    <x v="9"/>
    <x v="4"/>
    <n v="300.08"/>
    <m/>
    <m/>
    <n v="7"/>
  </r>
  <r>
    <x v="2507"/>
    <x v="489"/>
    <x v="5"/>
    <n v="3"/>
    <n v="1800.51"/>
    <x v="16"/>
    <x v="6"/>
    <x v="1"/>
    <n v="5401.53"/>
    <m/>
    <m/>
    <n v="7"/>
  </r>
  <r>
    <x v="2508"/>
    <x v="489"/>
    <x v="0"/>
    <n v="3"/>
    <n v="900.24"/>
    <x v="345"/>
    <x v="0"/>
    <x v="3"/>
    <n v="2700.7200000000003"/>
    <m/>
    <m/>
    <n v="7"/>
  </r>
  <r>
    <x v="2509"/>
    <x v="489"/>
    <x v="0"/>
    <n v="4"/>
    <n v="1200.32"/>
    <x v="420"/>
    <x v="7"/>
    <x v="3"/>
    <n v="4801.28"/>
    <m/>
    <m/>
    <n v="7"/>
  </r>
  <r>
    <x v="2510"/>
    <x v="489"/>
    <x v="1"/>
    <n v="5"/>
    <n v="203.3"/>
    <x v="25"/>
    <x v="1"/>
    <x v="0"/>
    <n v="1016.5"/>
    <m/>
    <m/>
    <n v="7"/>
  </r>
  <r>
    <x v="2511"/>
    <x v="490"/>
    <x v="0"/>
    <n v="2"/>
    <n v="600.16"/>
    <x v="292"/>
    <x v="0"/>
    <x v="4"/>
    <n v="1200.32"/>
    <m/>
    <m/>
    <n v="5"/>
  </r>
  <r>
    <x v="2512"/>
    <x v="490"/>
    <x v="0"/>
    <n v="3"/>
    <n v="900.24"/>
    <x v="632"/>
    <x v="5"/>
    <x v="2"/>
    <n v="2700.7200000000003"/>
    <m/>
    <m/>
    <n v="5"/>
  </r>
  <r>
    <x v="2513"/>
    <x v="490"/>
    <x v="0"/>
    <n v="4"/>
    <n v="1200.32"/>
    <x v="180"/>
    <x v="1"/>
    <x v="0"/>
    <n v="4801.28"/>
    <m/>
    <m/>
    <n v="5"/>
  </r>
  <r>
    <x v="2514"/>
    <x v="490"/>
    <x v="0"/>
    <n v="2"/>
    <n v="600.16"/>
    <x v="92"/>
    <x v="9"/>
    <x v="0"/>
    <n v="1200.32"/>
    <m/>
    <m/>
    <n v="5"/>
  </r>
  <r>
    <x v="2515"/>
    <x v="490"/>
    <x v="3"/>
    <n v="3"/>
    <n v="45.45"/>
    <x v="577"/>
    <x v="5"/>
    <x v="3"/>
    <n v="136.35000000000002"/>
    <m/>
    <m/>
    <n v="7"/>
  </r>
  <r>
    <x v="2516"/>
    <x v="490"/>
    <x v="1"/>
    <n v="5"/>
    <n v="203.3"/>
    <x v="274"/>
    <x v="0"/>
    <x v="4"/>
    <n v="1016.5"/>
    <m/>
    <m/>
    <n v="7"/>
  </r>
  <r>
    <x v="2517"/>
    <x v="490"/>
    <x v="6"/>
    <n v="1"/>
    <n v="35.840000000000003"/>
    <x v="303"/>
    <x v="0"/>
    <x v="0"/>
    <n v="35.840000000000003"/>
    <m/>
    <m/>
    <n v="7"/>
  </r>
  <r>
    <x v="2518"/>
    <x v="490"/>
    <x v="4"/>
    <n v="1"/>
    <n v="1050"/>
    <x v="554"/>
    <x v="4"/>
    <x v="1"/>
    <n v="1050"/>
    <m/>
    <m/>
    <n v="10"/>
  </r>
  <r>
    <x v="2519"/>
    <x v="491"/>
    <x v="6"/>
    <n v="5"/>
    <n v="179.2"/>
    <x v="174"/>
    <x v="0"/>
    <x v="3"/>
    <n v="896"/>
    <m/>
    <m/>
    <n v="5"/>
  </r>
  <r>
    <x v="2520"/>
    <x v="491"/>
    <x v="2"/>
    <n v="4"/>
    <n v="20.92"/>
    <x v="413"/>
    <x v="5"/>
    <x v="3"/>
    <n v="83.68"/>
    <m/>
    <m/>
    <n v="7"/>
  </r>
  <r>
    <x v="2521"/>
    <x v="492"/>
    <x v="0"/>
    <n v="4"/>
    <n v="1200.32"/>
    <x v="536"/>
    <x v="9"/>
    <x v="2"/>
    <n v="4801.28"/>
    <m/>
    <m/>
    <n v="5"/>
  </r>
  <r>
    <x v="2522"/>
    <x v="492"/>
    <x v="1"/>
    <n v="2"/>
    <n v="81.319999999999993"/>
    <x v="491"/>
    <x v="0"/>
    <x v="3"/>
    <n v="162.63999999999999"/>
    <m/>
    <m/>
    <n v="7"/>
  </r>
  <r>
    <x v="2523"/>
    <x v="492"/>
    <x v="2"/>
    <n v="2"/>
    <n v="10.46"/>
    <x v="344"/>
    <x v="6"/>
    <x v="0"/>
    <n v="20.92"/>
    <m/>
    <m/>
    <n v="7"/>
  </r>
  <r>
    <x v="2524"/>
    <x v="492"/>
    <x v="1"/>
    <n v="1"/>
    <n v="40.659999999999997"/>
    <x v="253"/>
    <x v="1"/>
    <x v="3"/>
    <n v="40.659999999999997"/>
    <m/>
    <m/>
    <n v="7"/>
  </r>
  <r>
    <x v="2525"/>
    <x v="493"/>
    <x v="7"/>
    <n v="2"/>
    <n v="23.46"/>
    <x v="317"/>
    <x v="6"/>
    <x v="0"/>
    <n v="46.92"/>
    <m/>
    <m/>
    <n v="5"/>
  </r>
  <r>
    <x v="2526"/>
    <x v="493"/>
    <x v="0"/>
    <n v="3"/>
    <n v="900.24"/>
    <x v="131"/>
    <x v="0"/>
    <x v="0"/>
    <n v="2700.7200000000003"/>
    <m/>
    <m/>
    <n v="5"/>
  </r>
  <r>
    <x v="2527"/>
    <x v="493"/>
    <x v="2"/>
    <n v="1"/>
    <n v="5.23"/>
    <x v="224"/>
    <x v="0"/>
    <x v="0"/>
    <n v="5.23"/>
    <m/>
    <m/>
    <n v="5"/>
  </r>
  <r>
    <x v="2528"/>
    <x v="493"/>
    <x v="3"/>
    <n v="4"/>
    <n v="60.6"/>
    <x v="662"/>
    <x v="0"/>
    <x v="1"/>
    <n v="242.4"/>
    <m/>
    <m/>
    <n v="5"/>
  </r>
  <r>
    <x v="2529"/>
    <x v="493"/>
    <x v="2"/>
    <n v="4"/>
    <n v="20.92"/>
    <x v="623"/>
    <x v="6"/>
    <x v="3"/>
    <n v="83.68"/>
    <m/>
    <m/>
    <n v="5"/>
  </r>
  <r>
    <x v="2530"/>
    <x v="493"/>
    <x v="2"/>
    <n v="2"/>
    <n v="10.46"/>
    <x v="453"/>
    <x v="1"/>
    <x v="3"/>
    <n v="20.92"/>
    <m/>
    <m/>
    <n v="5"/>
  </r>
  <r>
    <x v="2531"/>
    <x v="493"/>
    <x v="2"/>
    <n v="1"/>
    <n v="5.23"/>
    <x v="48"/>
    <x v="0"/>
    <x v="4"/>
    <n v="5.23"/>
    <m/>
    <m/>
    <n v="7"/>
  </r>
  <r>
    <x v="2532"/>
    <x v="494"/>
    <x v="5"/>
    <n v="1"/>
    <n v="600.16999999999996"/>
    <x v="604"/>
    <x v="6"/>
    <x v="3"/>
    <n v="600.16999999999996"/>
    <m/>
    <m/>
    <n v="5"/>
  </r>
  <r>
    <x v="2533"/>
    <x v="494"/>
    <x v="0"/>
    <n v="3"/>
    <n v="900.24"/>
    <x v="569"/>
    <x v="1"/>
    <x v="2"/>
    <n v="2700.7200000000003"/>
    <m/>
    <m/>
    <n v="5"/>
  </r>
  <r>
    <x v="2534"/>
    <x v="494"/>
    <x v="6"/>
    <n v="4"/>
    <n v="143.36000000000001"/>
    <x v="11"/>
    <x v="4"/>
    <x v="4"/>
    <n v="573.44000000000005"/>
    <m/>
    <m/>
    <n v="7"/>
  </r>
  <r>
    <x v="2535"/>
    <x v="495"/>
    <x v="2"/>
    <n v="3"/>
    <n v="15.69"/>
    <x v="14"/>
    <x v="7"/>
    <x v="3"/>
    <n v="47.07"/>
    <m/>
    <m/>
    <n v="5"/>
  </r>
  <r>
    <x v="2536"/>
    <x v="495"/>
    <x v="2"/>
    <n v="5"/>
    <n v="26.15"/>
    <x v="310"/>
    <x v="9"/>
    <x v="1"/>
    <n v="130.75"/>
    <m/>
    <m/>
    <n v="7"/>
  </r>
  <r>
    <x v="2537"/>
    <x v="496"/>
    <x v="0"/>
    <n v="3"/>
    <n v="900.24"/>
    <x v="230"/>
    <x v="2"/>
    <x v="0"/>
    <n v="2700.7200000000003"/>
    <m/>
    <m/>
    <n v="5"/>
  </r>
  <r>
    <x v="2538"/>
    <x v="496"/>
    <x v="0"/>
    <n v="1"/>
    <n v="300.08"/>
    <x v="571"/>
    <x v="1"/>
    <x v="4"/>
    <n v="300.08"/>
    <m/>
    <m/>
    <n v="5"/>
  </r>
  <r>
    <x v="2539"/>
    <x v="496"/>
    <x v="0"/>
    <n v="3"/>
    <n v="900.24"/>
    <x v="59"/>
    <x v="8"/>
    <x v="3"/>
    <n v="2700.7200000000003"/>
    <m/>
    <m/>
    <n v="7"/>
  </r>
  <r>
    <x v="2540"/>
    <x v="496"/>
    <x v="0"/>
    <n v="1"/>
    <n v="300.08"/>
    <x v="581"/>
    <x v="1"/>
    <x v="1"/>
    <n v="300.08"/>
    <m/>
    <m/>
    <n v="7"/>
  </r>
  <r>
    <x v="2541"/>
    <x v="496"/>
    <x v="7"/>
    <n v="4"/>
    <n v="46.92"/>
    <x v="148"/>
    <x v="0"/>
    <x v="0"/>
    <n v="187.68"/>
    <m/>
    <m/>
    <n v="7"/>
  </r>
  <r>
    <x v="2542"/>
    <x v="497"/>
    <x v="1"/>
    <n v="3"/>
    <n v="121.98"/>
    <x v="422"/>
    <x v="5"/>
    <x v="1"/>
    <n v="365.94"/>
    <m/>
    <m/>
    <n v="5"/>
  </r>
  <r>
    <x v="2543"/>
    <x v="497"/>
    <x v="2"/>
    <n v="4"/>
    <n v="20.92"/>
    <x v="675"/>
    <x v="0"/>
    <x v="3"/>
    <n v="83.68"/>
    <m/>
    <m/>
    <n v="7"/>
  </r>
  <r>
    <x v="2544"/>
    <x v="497"/>
    <x v="6"/>
    <n v="5"/>
    <n v="179.2"/>
    <x v="156"/>
    <x v="4"/>
    <x v="2"/>
    <n v="896"/>
    <m/>
    <m/>
    <n v="10"/>
  </r>
  <r>
    <x v="2545"/>
    <x v="498"/>
    <x v="5"/>
    <n v="3"/>
    <n v="1800.51"/>
    <x v="133"/>
    <x v="6"/>
    <x v="3"/>
    <n v="5401.53"/>
    <m/>
    <m/>
    <n v="5"/>
  </r>
  <r>
    <x v="2546"/>
    <x v="498"/>
    <x v="0"/>
    <n v="2"/>
    <n v="600.16"/>
    <x v="559"/>
    <x v="0"/>
    <x v="3"/>
    <n v="1200.32"/>
    <m/>
    <m/>
    <n v="7"/>
  </r>
  <r>
    <x v="2547"/>
    <x v="498"/>
    <x v="0"/>
    <n v="5"/>
    <n v="1500.4"/>
    <x v="377"/>
    <x v="6"/>
    <x v="0"/>
    <n v="7502"/>
    <m/>
    <m/>
    <n v="7"/>
  </r>
  <r>
    <x v="2548"/>
    <x v="498"/>
    <x v="0"/>
    <n v="3"/>
    <n v="900.24"/>
    <x v="529"/>
    <x v="6"/>
    <x v="2"/>
    <n v="2700.7200000000003"/>
    <m/>
    <m/>
    <n v="10"/>
  </r>
  <r>
    <x v="2549"/>
    <x v="499"/>
    <x v="2"/>
    <n v="2"/>
    <n v="10.46"/>
    <x v="661"/>
    <x v="1"/>
    <x v="0"/>
    <n v="20.92"/>
    <m/>
    <m/>
    <n v="5"/>
  </r>
  <r>
    <x v="2550"/>
    <x v="499"/>
    <x v="5"/>
    <n v="5"/>
    <n v="3000.85"/>
    <x v="257"/>
    <x v="9"/>
    <x v="0"/>
    <n v="15004.25"/>
    <m/>
    <m/>
    <n v="5"/>
  </r>
  <r>
    <x v="2551"/>
    <x v="499"/>
    <x v="6"/>
    <n v="2"/>
    <n v="71.680000000000007"/>
    <x v="159"/>
    <x v="7"/>
    <x v="0"/>
    <n v="143.36000000000001"/>
    <m/>
    <m/>
    <n v="5"/>
  </r>
  <r>
    <x v="2552"/>
    <x v="499"/>
    <x v="0"/>
    <n v="3"/>
    <n v="900.24"/>
    <x v="586"/>
    <x v="0"/>
    <x v="1"/>
    <n v="2700.7200000000003"/>
    <m/>
    <m/>
    <n v="10"/>
  </r>
  <r>
    <x v="2553"/>
    <x v="500"/>
    <x v="2"/>
    <n v="1"/>
    <n v="5.23"/>
    <x v="636"/>
    <x v="6"/>
    <x v="1"/>
    <n v="5.23"/>
    <m/>
    <m/>
    <n v="5"/>
  </r>
  <r>
    <x v="2554"/>
    <x v="500"/>
    <x v="5"/>
    <n v="5"/>
    <n v="3000.85"/>
    <x v="141"/>
    <x v="1"/>
    <x v="1"/>
    <n v="15004.25"/>
    <m/>
    <m/>
    <n v="5"/>
  </r>
  <r>
    <x v="2555"/>
    <x v="500"/>
    <x v="5"/>
    <n v="5"/>
    <n v="3000.85"/>
    <x v="107"/>
    <x v="0"/>
    <x v="4"/>
    <n v="15004.25"/>
    <m/>
    <m/>
    <n v="5"/>
  </r>
  <r>
    <x v="2556"/>
    <x v="500"/>
    <x v="0"/>
    <n v="4"/>
    <n v="1200.32"/>
    <x v="75"/>
    <x v="1"/>
    <x v="1"/>
    <n v="4801.28"/>
    <m/>
    <m/>
    <n v="7"/>
  </r>
  <r>
    <x v="2557"/>
    <x v="500"/>
    <x v="5"/>
    <n v="1"/>
    <n v="600.16999999999996"/>
    <x v="584"/>
    <x v="1"/>
    <x v="1"/>
    <n v="600.16999999999996"/>
    <m/>
    <m/>
    <n v="7"/>
  </r>
  <r>
    <x v="2558"/>
    <x v="501"/>
    <x v="1"/>
    <n v="1"/>
    <n v="40.659999999999997"/>
    <x v="157"/>
    <x v="5"/>
    <x v="1"/>
    <n v="40.659999999999997"/>
    <m/>
    <m/>
    <n v="5"/>
  </r>
  <r>
    <x v="2559"/>
    <x v="501"/>
    <x v="7"/>
    <n v="5"/>
    <n v="58.65"/>
    <x v="758"/>
    <x v="6"/>
    <x v="3"/>
    <n v="293.25"/>
    <m/>
    <m/>
    <n v="5"/>
  </r>
  <r>
    <x v="2560"/>
    <x v="501"/>
    <x v="1"/>
    <n v="2"/>
    <n v="81.319999999999993"/>
    <x v="22"/>
    <x v="0"/>
    <x v="4"/>
    <n v="162.63999999999999"/>
    <m/>
    <m/>
    <n v="5"/>
  </r>
  <r>
    <x v="2561"/>
    <x v="501"/>
    <x v="2"/>
    <n v="3"/>
    <n v="15.69"/>
    <x v="393"/>
    <x v="0"/>
    <x v="3"/>
    <n v="47.07"/>
    <m/>
    <m/>
    <n v="7"/>
  </r>
  <r>
    <x v="2562"/>
    <x v="501"/>
    <x v="2"/>
    <n v="4"/>
    <n v="20.92"/>
    <x v="594"/>
    <x v="1"/>
    <x v="3"/>
    <n v="83.68"/>
    <m/>
    <m/>
    <n v="7"/>
  </r>
  <r>
    <x v="2563"/>
    <x v="501"/>
    <x v="5"/>
    <n v="4"/>
    <n v="2400.6799999999998"/>
    <x v="509"/>
    <x v="4"/>
    <x v="0"/>
    <n v="9602.7199999999993"/>
    <m/>
    <m/>
    <n v="7"/>
  </r>
  <r>
    <x v="2564"/>
    <x v="501"/>
    <x v="5"/>
    <n v="5"/>
    <n v="3000.85"/>
    <x v="236"/>
    <x v="6"/>
    <x v="1"/>
    <n v="15004.25"/>
    <m/>
    <m/>
    <n v="7"/>
  </r>
  <r>
    <x v="2565"/>
    <x v="501"/>
    <x v="1"/>
    <n v="4"/>
    <n v="162.63999999999999"/>
    <x v="645"/>
    <x v="6"/>
    <x v="0"/>
    <n v="650.55999999999995"/>
    <m/>
    <m/>
    <n v="10"/>
  </r>
  <r>
    <x v="2566"/>
    <x v="502"/>
    <x v="0"/>
    <n v="4"/>
    <n v="1200.32"/>
    <x v="545"/>
    <x v="0"/>
    <x v="0"/>
    <n v="4801.28"/>
    <m/>
    <m/>
    <n v="5"/>
  </r>
  <r>
    <x v="2567"/>
    <x v="502"/>
    <x v="2"/>
    <n v="2"/>
    <n v="10.46"/>
    <x v="207"/>
    <x v="5"/>
    <x v="4"/>
    <n v="20.92"/>
    <m/>
    <m/>
    <n v="5"/>
  </r>
  <r>
    <x v="2568"/>
    <x v="502"/>
    <x v="3"/>
    <n v="5"/>
    <n v="75.75"/>
    <x v="534"/>
    <x v="6"/>
    <x v="4"/>
    <n v="378.75"/>
    <m/>
    <m/>
    <n v="5"/>
  </r>
  <r>
    <x v="2569"/>
    <x v="502"/>
    <x v="0"/>
    <n v="1"/>
    <n v="300.08"/>
    <x v="569"/>
    <x v="6"/>
    <x v="3"/>
    <n v="300.08"/>
    <m/>
    <m/>
    <n v="5"/>
  </r>
  <r>
    <x v="2570"/>
    <x v="502"/>
    <x v="1"/>
    <n v="4"/>
    <n v="162.63999999999999"/>
    <x v="761"/>
    <x v="1"/>
    <x v="1"/>
    <n v="650.55999999999995"/>
    <m/>
    <m/>
    <n v="7"/>
  </r>
  <r>
    <x v="2571"/>
    <x v="502"/>
    <x v="6"/>
    <n v="4"/>
    <n v="143.36000000000001"/>
    <x v="385"/>
    <x v="5"/>
    <x v="2"/>
    <n v="573.44000000000005"/>
    <m/>
    <m/>
    <n v="10"/>
  </r>
  <r>
    <x v="2572"/>
    <x v="503"/>
    <x v="4"/>
    <n v="3"/>
    <n v="3150"/>
    <x v="434"/>
    <x v="0"/>
    <x v="2"/>
    <n v="9450"/>
    <m/>
    <m/>
    <n v="5"/>
  </r>
  <r>
    <x v="2573"/>
    <x v="503"/>
    <x v="2"/>
    <n v="5"/>
    <n v="26.15"/>
    <x v="100"/>
    <x v="6"/>
    <x v="2"/>
    <n v="130.75"/>
    <m/>
    <m/>
    <n v="5"/>
  </r>
  <r>
    <x v="2574"/>
    <x v="503"/>
    <x v="7"/>
    <n v="3"/>
    <n v="35.19"/>
    <x v="342"/>
    <x v="1"/>
    <x v="3"/>
    <n v="105.57"/>
    <m/>
    <m/>
    <n v="7"/>
  </r>
  <r>
    <x v="2575"/>
    <x v="503"/>
    <x v="6"/>
    <n v="5"/>
    <n v="179.2"/>
    <x v="486"/>
    <x v="7"/>
    <x v="3"/>
    <n v="896"/>
    <m/>
    <m/>
    <n v="7"/>
  </r>
  <r>
    <x v="2576"/>
    <x v="503"/>
    <x v="0"/>
    <n v="5"/>
    <n v="1500.4"/>
    <x v="734"/>
    <x v="4"/>
    <x v="1"/>
    <n v="7502"/>
    <m/>
    <m/>
    <n v="7"/>
  </r>
  <r>
    <x v="2577"/>
    <x v="503"/>
    <x v="7"/>
    <n v="1"/>
    <n v="11.73"/>
    <x v="751"/>
    <x v="5"/>
    <x v="2"/>
    <n v="11.73"/>
    <m/>
    <m/>
    <n v="10"/>
  </r>
  <r>
    <x v="2578"/>
    <x v="504"/>
    <x v="0"/>
    <n v="3"/>
    <n v="900.24"/>
    <x v="174"/>
    <x v="6"/>
    <x v="4"/>
    <n v="2700.7200000000003"/>
    <m/>
    <m/>
    <n v="5"/>
  </r>
  <r>
    <x v="2579"/>
    <x v="504"/>
    <x v="2"/>
    <n v="1"/>
    <n v="5.23"/>
    <x v="355"/>
    <x v="0"/>
    <x v="2"/>
    <n v="5.23"/>
    <m/>
    <m/>
    <n v="5"/>
  </r>
  <r>
    <x v="2580"/>
    <x v="504"/>
    <x v="0"/>
    <n v="2"/>
    <n v="600.16"/>
    <x v="124"/>
    <x v="4"/>
    <x v="3"/>
    <n v="1200.32"/>
    <m/>
    <m/>
    <n v="7"/>
  </r>
  <r>
    <x v="2581"/>
    <x v="505"/>
    <x v="0"/>
    <n v="4"/>
    <n v="1200.32"/>
    <x v="144"/>
    <x v="5"/>
    <x v="2"/>
    <n v="4801.28"/>
    <m/>
    <m/>
    <n v="5"/>
  </r>
  <r>
    <x v="2582"/>
    <x v="505"/>
    <x v="6"/>
    <n v="1"/>
    <n v="35.840000000000003"/>
    <x v="392"/>
    <x v="5"/>
    <x v="1"/>
    <n v="35.840000000000003"/>
    <m/>
    <m/>
    <n v="5"/>
  </r>
  <r>
    <x v="2583"/>
    <x v="505"/>
    <x v="2"/>
    <n v="3"/>
    <n v="15.69"/>
    <x v="481"/>
    <x v="7"/>
    <x v="0"/>
    <n v="47.07"/>
    <m/>
    <m/>
    <n v="7"/>
  </r>
  <r>
    <x v="2584"/>
    <x v="506"/>
    <x v="2"/>
    <n v="1"/>
    <n v="5.23"/>
    <x v="757"/>
    <x v="7"/>
    <x v="2"/>
    <n v="5.23"/>
    <m/>
    <m/>
    <n v="5"/>
  </r>
  <r>
    <x v="2585"/>
    <x v="506"/>
    <x v="7"/>
    <n v="2"/>
    <n v="23.46"/>
    <x v="146"/>
    <x v="1"/>
    <x v="3"/>
    <n v="46.92"/>
    <m/>
    <m/>
    <n v="5"/>
  </r>
  <r>
    <x v="2586"/>
    <x v="506"/>
    <x v="6"/>
    <n v="5"/>
    <n v="179.2"/>
    <x v="187"/>
    <x v="8"/>
    <x v="1"/>
    <n v="896"/>
    <m/>
    <m/>
    <n v="5"/>
  </r>
  <r>
    <x v="2587"/>
    <x v="506"/>
    <x v="0"/>
    <n v="2"/>
    <n v="600.16"/>
    <x v="762"/>
    <x v="1"/>
    <x v="2"/>
    <n v="1200.32"/>
    <m/>
    <m/>
    <n v="5"/>
  </r>
  <r>
    <x v="2588"/>
    <x v="506"/>
    <x v="3"/>
    <n v="3"/>
    <n v="45.45"/>
    <x v="297"/>
    <x v="1"/>
    <x v="1"/>
    <n v="136.35000000000002"/>
    <m/>
    <m/>
    <n v="7"/>
  </r>
  <r>
    <x v="2589"/>
    <x v="506"/>
    <x v="1"/>
    <n v="2"/>
    <n v="81.319999999999993"/>
    <x v="368"/>
    <x v="3"/>
    <x v="0"/>
    <n v="162.63999999999999"/>
    <m/>
    <m/>
    <n v="7"/>
  </r>
  <r>
    <x v="2590"/>
    <x v="506"/>
    <x v="0"/>
    <n v="2"/>
    <n v="600.16"/>
    <x v="331"/>
    <x v="4"/>
    <x v="1"/>
    <n v="1200.32"/>
    <m/>
    <m/>
    <n v="7"/>
  </r>
  <r>
    <x v="2591"/>
    <x v="507"/>
    <x v="0"/>
    <n v="1"/>
    <n v="300.08"/>
    <x v="745"/>
    <x v="6"/>
    <x v="3"/>
    <n v="300.08"/>
    <m/>
    <m/>
    <n v="5"/>
  </r>
  <r>
    <x v="2592"/>
    <x v="508"/>
    <x v="0"/>
    <n v="2"/>
    <n v="600.16"/>
    <x v="317"/>
    <x v="0"/>
    <x v="2"/>
    <n v="1200.32"/>
    <m/>
    <m/>
    <n v="5"/>
  </r>
  <r>
    <x v="2593"/>
    <x v="508"/>
    <x v="1"/>
    <n v="5"/>
    <n v="203.3"/>
    <x v="445"/>
    <x v="7"/>
    <x v="4"/>
    <n v="1016.5"/>
    <m/>
    <m/>
    <n v="5"/>
  </r>
  <r>
    <x v="2594"/>
    <x v="508"/>
    <x v="2"/>
    <n v="5"/>
    <n v="26.15"/>
    <x v="101"/>
    <x v="0"/>
    <x v="4"/>
    <n v="130.75"/>
    <m/>
    <m/>
    <n v="5"/>
  </r>
  <r>
    <x v="2595"/>
    <x v="508"/>
    <x v="2"/>
    <n v="4"/>
    <n v="20.92"/>
    <x v="381"/>
    <x v="6"/>
    <x v="3"/>
    <n v="83.68"/>
    <m/>
    <m/>
    <n v="5"/>
  </r>
  <r>
    <x v="2596"/>
    <x v="508"/>
    <x v="0"/>
    <n v="4"/>
    <n v="1200.32"/>
    <x v="342"/>
    <x v="0"/>
    <x v="1"/>
    <n v="4801.28"/>
    <m/>
    <m/>
    <n v="7"/>
  </r>
  <r>
    <x v="2597"/>
    <x v="508"/>
    <x v="1"/>
    <n v="5"/>
    <n v="203.3"/>
    <x v="249"/>
    <x v="0"/>
    <x v="0"/>
    <n v="1016.5"/>
    <m/>
    <m/>
    <n v="7"/>
  </r>
  <r>
    <x v="2598"/>
    <x v="508"/>
    <x v="0"/>
    <n v="4"/>
    <n v="1200.32"/>
    <x v="35"/>
    <x v="9"/>
    <x v="0"/>
    <n v="4801.28"/>
    <m/>
    <m/>
    <n v="7"/>
  </r>
  <r>
    <x v="2599"/>
    <x v="508"/>
    <x v="6"/>
    <n v="2"/>
    <n v="71.680000000000007"/>
    <x v="673"/>
    <x v="0"/>
    <x v="0"/>
    <n v="143.36000000000001"/>
    <m/>
    <m/>
    <n v="7"/>
  </r>
  <r>
    <x v="2600"/>
    <x v="508"/>
    <x v="0"/>
    <n v="2"/>
    <n v="600.16"/>
    <x v="707"/>
    <x v="9"/>
    <x v="2"/>
    <n v="1200.32"/>
    <m/>
    <m/>
    <n v="7"/>
  </r>
  <r>
    <x v="2601"/>
    <x v="508"/>
    <x v="0"/>
    <n v="1"/>
    <n v="300.08"/>
    <x v="362"/>
    <x v="1"/>
    <x v="1"/>
    <n v="300.08"/>
    <m/>
    <m/>
    <n v="7"/>
  </r>
  <r>
    <x v="2602"/>
    <x v="509"/>
    <x v="2"/>
    <n v="3"/>
    <n v="15.69"/>
    <x v="234"/>
    <x v="4"/>
    <x v="1"/>
    <n v="47.07"/>
    <m/>
    <m/>
    <n v="7"/>
  </r>
  <r>
    <x v="2603"/>
    <x v="509"/>
    <x v="0"/>
    <n v="4"/>
    <n v="1200.32"/>
    <x v="118"/>
    <x v="9"/>
    <x v="3"/>
    <n v="4801.28"/>
    <m/>
    <m/>
    <n v="7"/>
  </r>
  <r>
    <x v="2604"/>
    <x v="509"/>
    <x v="3"/>
    <n v="5"/>
    <n v="75.75"/>
    <x v="55"/>
    <x v="6"/>
    <x v="0"/>
    <n v="378.75"/>
    <m/>
    <m/>
    <n v="7"/>
  </r>
  <r>
    <x v="2605"/>
    <x v="510"/>
    <x v="1"/>
    <n v="2"/>
    <n v="81.319999999999993"/>
    <x v="598"/>
    <x v="1"/>
    <x v="2"/>
    <n v="162.63999999999999"/>
    <m/>
    <m/>
    <n v="5"/>
  </r>
  <r>
    <x v="2606"/>
    <x v="510"/>
    <x v="1"/>
    <n v="4"/>
    <n v="162.63999999999999"/>
    <x v="308"/>
    <x v="2"/>
    <x v="2"/>
    <n v="650.55999999999995"/>
    <m/>
    <m/>
    <n v="5"/>
  </r>
  <r>
    <x v="2607"/>
    <x v="510"/>
    <x v="0"/>
    <n v="4"/>
    <n v="1200.32"/>
    <x v="150"/>
    <x v="5"/>
    <x v="2"/>
    <n v="4801.28"/>
    <m/>
    <m/>
    <n v="5"/>
  </r>
  <r>
    <x v="2608"/>
    <x v="510"/>
    <x v="7"/>
    <n v="2"/>
    <n v="23.46"/>
    <x v="515"/>
    <x v="4"/>
    <x v="2"/>
    <n v="46.92"/>
    <m/>
    <m/>
    <n v="7"/>
  </r>
  <r>
    <x v="2609"/>
    <x v="510"/>
    <x v="0"/>
    <n v="3"/>
    <n v="900.24"/>
    <x v="192"/>
    <x v="4"/>
    <x v="0"/>
    <n v="2700.7200000000003"/>
    <m/>
    <m/>
    <n v="7"/>
  </r>
  <r>
    <x v="2610"/>
    <x v="511"/>
    <x v="6"/>
    <n v="5"/>
    <n v="179.2"/>
    <x v="306"/>
    <x v="6"/>
    <x v="2"/>
    <n v="896"/>
    <m/>
    <m/>
    <n v="5"/>
  </r>
  <r>
    <x v="2611"/>
    <x v="511"/>
    <x v="0"/>
    <n v="1"/>
    <n v="300.08"/>
    <x v="167"/>
    <x v="9"/>
    <x v="0"/>
    <n v="300.08"/>
    <m/>
    <m/>
    <n v="5"/>
  </r>
  <r>
    <x v="2612"/>
    <x v="511"/>
    <x v="0"/>
    <n v="2"/>
    <n v="600.16"/>
    <x v="250"/>
    <x v="6"/>
    <x v="4"/>
    <n v="1200.32"/>
    <m/>
    <m/>
    <n v="7"/>
  </r>
  <r>
    <x v="2613"/>
    <x v="511"/>
    <x v="6"/>
    <n v="3"/>
    <n v="107.52"/>
    <x v="402"/>
    <x v="6"/>
    <x v="1"/>
    <n v="322.56"/>
    <m/>
    <m/>
    <n v="10"/>
  </r>
  <r>
    <x v="2614"/>
    <x v="512"/>
    <x v="0"/>
    <n v="5"/>
    <n v="1500.4"/>
    <x v="30"/>
    <x v="1"/>
    <x v="1"/>
    <n v="7502"/>
    <m/>
    <m/>
    <n v="5"/>
  </r>
  <r>
    <x v="2615"/>
    <x v="512"/>
    <x v="0"/>
    <n v="3"/>
    <n v="900.24"/>
    <x v="302"/>
    <x v="6"/>
    <x v="1"/>
    <n v="2700.7200000000003"/>
    <m/>
    <m/>
    <n v="5"/>
  </r>
  <r>
    <x v="2616"/>
    <x v="512"/>
    <x v="0"/>
    <n v="1"/>
    <n v="300.08"/>
    <x v="384"/>
    <x v="1"/>
    <x v="1"/>
    <n v="300.08"/>
    <m/>
    <m/>
    <n v="7"/>
  </r>
  <r>
    <x v="2617"/>
    <x v="512"/>
    <x v="7"/>
    <n v="4"/>
    <n v="46.92"/>
    <x v="659"/>
    <x v="9"/>
    <x v="2"/>
    <n v="187.68"/>
    <m/>
    <m/>
    <n v="7"/>
  </r>
  <r>
    <x v="2618"/>
    <x v="512"/>
    <x v="2"/>
    <n v="4"/>
    <n v="20.92"/>
    <x v="140"/>
    <x v="6"/>
    <x v="1"/>
    <n v="83.68"/>
    <m/>
    <m/>
    <n v="7"/>
  </r>
  <r>
    <x v="2619"/>
    <x v="512"/>
    <x v="7"/>
    <n v="4"/>
    <n v="46.92"/>
    <x v="574"/>
    <x v="1"/>
    <x v="2"/>
    <n v="187.68"/>
    <m/>
    <m/>
    <n v="7"/>
  </r>
  <r>
    <x v="2620"/>
    <x v="512"/>
    <x v="0"/>
    <n v="3"/>
    <n v="900.24"/>
    <x v="447"/>
    <x v="8"/>
    <x v="3"/>
    <n v="2700.7200000000003"/>
    <m/>
    <m/>
    <n v="7"/>
  </r>
  <r>
    <x v="2621"/>
    <x v="513"/>
    <x v="1"/>
    <n v="5"/>
    <n v="203.3"/>
    <x v="763"/>
    <x v="0"/>
    <x v="3"/>
    <n v="1016.5"/>
    <m/>
    <m/>
    <n v="5"/>
  </r>
  <r>
    <x v="2622"/>
    <x v="513"/>
    <x v="0"/>
    <n v="5"/>
    <n v="1500.4"/>
    <x v="321"/>
    <x v="4"/>
    <x v="0"/>
    <n v="7502"/>
    <m/>
    <m/>
    <n v="7"/>
  </r>
  <r>
    <x v="2623"/>
    <x v="513"/>
    <x v="1"/>
    <n v="5"/>
    <n v="203.3"/>
    <x v="325"/>
    <x v="9"/>
    <x v="3"/>
    <n v="1016.5"/>
    <m/>
    <m/>
    <n v="7"/>
  </r>
  <r>
    <x v="2624"/>
    <x v="513"/>
    <x v="1"/>
    <n v="4"/>
    <n v="162.63999999999999"/>
    <x v="129"/>
    <x v="9"/>
    <x v="2"/>
    <n v="650.55999999999995"/>
    <m/>
    <m/>
    <n v="7"/>
  </r>
  <r>
    <x v="2625"/>
    <x v="514"/>
    <x v="6"/>
    <n v="5"/>
    <n v="179.2"/>
    <x v="536"/>
    <x v="6"/>
    <x v="3"/>
    <n v="896"/>
    <m/>
    <m/>
    <n v="5"/>
  </r>
  <r>
    <x v="2626"/>
    <x v="514"/>
    <x v="5"/>
    <n v="4"/>
    <n v="2400.6799999999998"/>
    <x v="174"/>
    <x v="6"/>
    <x v="1"/>
    <n v="9602.7199999999993"/>
    <m/>
    <m/>
    <n v="5"/>
  </r>
  <r>
    <x v="2627"/>
    <x v="514"/>
    <x v="0"/>
    <n v="5"/>
    <n v="1500.4"/>
    <x v="405"/>
    <x v="6"/>
    <x v="3"/>
    <n v="7502"/>
    <m/>
    <m/>
    <n v="7"/>
  </r>
  <r>
    <x v="2628"/>
    <x v="514"/>
    <x v="1"/>
    <n v="3"/>
    <n v="121.98"/>
    <x v="227"/>
    <x v="6"/>
    <x v="3"/>
    <n v="365.94"/>
    <m/>
    <m/>
    <n v="7"/>
  </r>
  <r>
    <x v="2629"/>
    <x v="514"/>
    <x v="1"/>
    <n v="1"/>
    <n v="40.659999999999997"/>
    <x v="196"/>
    <x v="7"/>
    <x v="2"/>
    <n v="40.659999999999997"/>
    <m/>
    <m/>
    <n v="10"/>
  </r>
  <r>
    <x v="2630"/>
    <x v="515"/>
    <x v="1"/>
    <n v="2"/>
    <n v="81.319999999999993"/>
    <x v="174"/>
    <x v="0"/>
    <x v="3"/>
    <n v="162.63999999999999"/>
    <m/>
    <m/>
    <n v="5"/>
  </r>
  <r>
    <x v="2631"/>
    <x v="515"/>
    <x v="0"/>
    <n v="4"/>
    <n v="1200.32"/>
    <x v="110"/>
    <x v="4"/>
    <x v="2"/>
    <n v="4801.28"/>
    <m/>
    <m/>
    <n v="7"/>
  </r>
  <r>
    <x v="2632"/>
    <x v="515"/>
    <x v="0"/>
    <n v="1"/>
    <n v="300.08"/>
    <x v="344"/>
    <x v="6"/>
    <x v="2"/>
    <n v="300.08"/>
    <m/>
    <m/>
    <n v="7"/>
  </r>
  <r>
    <x v="2633"/>
    <x v="515"/>
    <x v="7"/>
    <n v="5"/>
    <n v="58.65"/>
    <x v="542"/>
    <x v="0"/>
    <x v="3"/>
    <n v="293.25"/>
    <m/>
    <m/>
    <n v="7"/>
  </r>
  <r>
    <x v="2634"/>
    <x v="516"/>
    <x v="6"/>
    <n v="5"/>
    <n v="179.2"/>
    <x v="113"/>
    <x v="9"/>
    <x v="2"/>
    <n v="896"/>
    <m/>
    <m/>
    <n v="5"/>
  </r>
  <r>
    <x v="2635"/>
    <x v="516"/>
    <x v="1"/>
    <n v="5"/>
    <n v="203.3"/>
    <x v="144"/>
    <x v="0"/>
    <x v="2"/>
    <n v="1016.5"/>
    <m/>
    <m/>
    <n v="5"/>
  </r>
  <r>
    <x v="2636"/>
    <x v="516"/>
    <x v="0"/>
    <n v="2"/>
    <n v="600.16"/>
    <x v="307"/>
    <x v="1"/>
    <x v="2"/>
    <n v="1200.32"/>
    <m/>
    <m/>
    <n v="5"/>
  </r>
  <r>
    <x v="2637"/>
    <x v="516"/>
    <x v="6"/>
    <n v="5"/>
    <n v="179.2"/>
    <x v="266"/>
    <x v="6"/>
    <x v="1"/>
    <n v="896"/>
    <m/>
    <m/>
    <n v="7"/>
  </r>
  <r>
    <x v="2638"/>
    <x v="517"/>
    <x v="1"/>
    <n v="4"/>
    <n v="162.63999999999999"/>
    <x v="635"/>
    <x v="2"/>
    <x v="4"/>
    <n v="650.55999999999995"/>
    <m/>
    <m/>
    <n v="5"/>
  </r>
  <r>
    <x v="2639"/>
    <x v="517"/>
    <x v="0"/>
    <n v="2"/>
    <n v="600.16"/>
    <x v="725"/>
    <x v="5"/>
    <x v="2"/>
    <n v="1200.32"/>
    <m/>
    <m/>
    <n v="5"/>
  </r>
  <r>
    <x v="2640"/>
    <x v="517"/>
    <x v="3"/>
    <n v="1"/>
    <n v="15.15"/>
    <x v="178"/>
    <x v="6"/>
    <x v="3"/>
    <n v="15.15"/>
    <m/>
    <m/>
    <n v="7"/>
  </r>
  <r>
    <x v="2641"/>
    <x v="518"/>
    <x v="0"/>
    <n v="3"/>
    <n v="900.24"/>
    <x v="752"/>
    <x v="9"/>
    <x v="2"/>
    <n v="2700.7200000000003"/>
    <m/>
    <m/>
    <n v="5"/>
  </r>
  <r>
    <x v="2642"/>
    <x v="518"/>
    <x v="5"/>
    <n v="1"/>
    <n v="600.16999999999996"/>
    <x v="717"/>
    <x v="8"/>
    <x v="4"/>
    <n v="600.16999999999996"/>
    <m/>
    <m/>
    <n v="5"/>
  </r>
  <r>
    <x v="2643"/>
    <x v="518"/>
    <x v="6"/>
    <n v="3"/>
    <n v="107.52"/>
    <x v="594"/>
    <x v="6"/>
    <x v="1"/>
    <n v="322.56"/>
    <m/>
    <m/>
    <n v="7"/>
  </r>
  <r>
    <x v="2644"/>
    <x v="518"/>
    <x v="4"/>
    <n v="1"/>
    <n v="1050"/>
    <x v="753"/>
    <x v="0"/>
    <x v="2"/>
    <n v="1050"/>
    <m/>
    <m/>
    <n v="7"/>
  </r>
  <r>
    <x v="2645"/>
    <x v="518"/>
    <x v="0"/>
    <n v="4"/>
    <n v="1200.32"/>
    <x v="367"/>
    <x v="1"/>
    <x v="4"/>
    <n v="4801.28"/>
    <m/>
    <m/>
    <n v="7"/>
  </r>
  <r>
    <x v="2646"/>
    <x v="518"/>
    <x v="5"/>
    <n v="2"/>
    <n v="1200.3399999999999"/>
    <x v="542"/>
    <x v="8"/>
    <x v="0"/>
    <n v="2400.6799999999998"/>
    <m/>
    <m/>
    <n v="7"/>
  </r>
  <r>
    <x v="2647"/>
    <x v="518"/>
    <x v="0"/>
    <n v="3"/>
    <n v="900.24"/>
    <x v="645"/>
    <x v="7"/>
    <x v="4"/>
    <n v="2700.7200000000003"/>
    <m/>
    <m/>
    <n v="10"/>
  </r>
  <r>
    <x v="2648"/>
    <x v="519"/>
    <x v="1"/>
    <n v="2"/>
    <n v="81.319999999999993"/>
    <x v="484"/>
    <x v="6"/>
    <x v="0"/>
    <n v="162.63999999999999"/>
    <m/>
    <m/>
    <n v="5"/>
  </r>
  <r>
    <x v="2649"/>
    <x v="519"/>
    <x v="5"/>
    <n v="4"/>
    <n v="2400.6799999999998"/>
    <x v="59"/>
    <x v="0"/>
    <x v="2"/>
    <n v="9602.7199999999993"/>
    <m/>
    <m/>
    <n v="7"/>
  </r>
  <r>
    <x v="2650"/>
    <x v="519"/>
    <x v="5"/>
    <n v="4"/>
    <n v="2400.6799999999998"/>
    <x v="3"/>
    <x v="0"/>
    <x v="4"/>
    <n v="9602.7199999999993"/>
    <m/>
    <m/>
    <n v="7"/>
  </r>
  <r>
    <x v="2651"/>
    <x v="519"/>
    <x v="0"/>
    <n v="5"/>
    <n v="1500.4"/>
    <x v="764"/>
    <x v="9"/>
    <x v="3"/>
    <n v="7502"/>
    <m/>
    <m/>
    <n v="7"/>
  </r>
  <r>
    <x v="2652"/>
    <x v="519"/>
    <x v="2"/>
    <n v="1"/>
    <n v="5.23"/>
    <x v="436"/>
    <x v="9"/>
    <x v="0"/>
    <n v="5.23"/>
    <m/>
    <m/>
    <n v="10"/>
  </r>
  <r>
    <x v="2653"/>
    <x v="520"/>
    <x v="0"/>
    <n v="3"/>
    <n v="900.24"/>
    <x v="629"/>
    <x v="0"/>
    <x v="2"/>
    <n v="2700.7200000000003"/>
    <m/>
    <m/>
    <n v="5"/>
  </r>
  <r>
    <x v="2654"/>
    <x v="520"/>
    <x v="2"/>
    <n v="4"/>
    <n v="20.92"/>
    <x v="457"/>
    <x v="2"/>
    <x v="0"/>
    <n v="83.68"/>
    <m/>
    <m/>
    <n v="5"/>
  </r>
  <r>
    <x v="2655"/>
    <x v="520"/>
    <x v="6"/>
    <n v="3"/>
    <n v="107.52"/>
    <x v="281"/>
    <x v="4"/>
    <x v="1"/>
    <n v="322.56"/>
    <m/>
    <m/>
    <n v="7"/>
  </r>
  <r>
    <x v="2656"/>
    <x v="520"/>
    <x v="3"/>
    <n v="5"/>
    <n v="75.75"/>
    <x v="2"/>
    <x v="1"/>
    <x v="2"/>
    <n v="378.75"/>
    <m/>
    <m/>
    <n v="7"/>
  </r>
  <r>
    <x v="2657"/>
    <x v="520"/>
    <x v="7"/>
    <n v="3"/>
    <n v="35.19"/>
    <x v="583"/>
    <x v="6"/>
    <x v="2"/>
    <n v="105.57"/>
    <m/>
    <m/>
    <n v="7"/>
  </r>
  <r>
    <x v="2658"/>
    <x v="520"/>
    <x v="2"/>
    <n v="3"/>
    <n v="15.69"/>
    <x v="219"/>
    <x v="2"/>
    <x v="3"/>
    <n v="47.07"/>
    <m/>
    <m/>
    <n v="7"/>
  </r>
  <r>
    <x v="2659"/>
    <x v="520"/>
    <x v="4"/>
    <n v="1"/>
    <n v="1050"/>
    <x v="682"/>
    <x v="3"/>
    <x v="2"/>
    <n v="1050"/>
    <m/>
    <m/>
    <n v="10"/>
  </r>
  <r>
    <x v="2660"/>
    <x v="520"/>
    <x v="5"/>
    <n v="2"/>
    <n v="1200.3399999999999"/>
    <x v="765"/>
    <x v="4"/>
    <x v="2"/>
    <n v="2400.6799999999998"/>
    <m/>
    <m/>
    <n v="10"/>
  </r>
  <r>
    <x v="2661"/>
    <x v="521"/>
    <x v="3"/>
    <n v="4"/>
    <n v="60.6"/>
    <x v="545"/>
    <x v="6"/>
    <x v="4"/>
    <n v="242.4"/>
    <m/>
    <m/>
    <n v="5"/>
  </r>
  <r>
    <x v="2662"/>
    <x v="521"/>
    <x v="0"/>
    <n v="3"/>
    <n v="900.24"/>
    <x v="602"/>
    <x v="6"/>
    <x v="1"/>
    <n v="2700.7200000000003"/>
    <m/>
    <m/>
    <n v="7"/>
  </r>
  <r>
    <x v="2663"/>
    <x v="521"/>
    <x v="0"/>
    <n v="2"/>
    <n v="600.16"/>
    <x v="404"/>
    <x v="1"/>
    <x v="2"/>
    <n v="1200.32"/>
    <m/>
    <m/>
    <n v="7"/>
  </r>
  <r>
    <x v="2664"/>
    <x v="521"/>
    <x v="0"/>
    <n v="3"/>
    <n v="900.24"/>
    <x v="203"/>
    <x v="5"/>
    <x v="0"/>
    <n v="2700.7200000000003"/>
    <m/>
    <m/>
    <n v="10"/>
  </r>
  <r>
    <x v="2665"/>
    <x v="521"/>
    <x v="0"/>
    <n v="2"/>
    <n v="600.16"/>
    <x v="171"/>
    <x v="3"/>
    <x v="1"/>
    <n v="1200.32"/>
    <m/>
    <m/>
    <n v="10"/>
  </r>
  <r>
    <x v="2666"/>
    <x v="522"/>
    <x v="0"/>
    <n v="5"/>
    <n v="1500.4"/>
    <x v="555"/>
    <x v="6"/>
    <x v="0"/>
    <n v="7502"/>
    <m/>
    <m/>
    <n v="5"/>
  </r>
  <r>
    <x v="2667"/>
    <x v="522"/>
    <x v="3"/>
    <n v="2"/>
    <n v="30.3"/>
    <x v="705"/>
    <x v="6"/>
    <x v="3"/>
    <n v="60.6"/>
    <m/>
    <m/>
    <n v="7"/>
  </r>
  <r>
    <x v="2668"/>
    <x v="523"/>
    <x v="0"/>
    <n v="3"/>
    <n v="900.24"/>
    <x v="606"/>
    <x v="7"/>
    <x v="1"/>
    <n v="2700.7200000000003"/>
    <m/>
    <m/>
    <n v="5"/>
  </r>
  <r>
    <x v="2669"/>
    <x v="523"/>
    <x v="2"/>
    <n v="1"/>
    <n v="5.23"/>
    <x v="158"/>
    <x v="4"/>
    <x v="2"/>
    <n v="5.23"/>
    <m/>
    <m/>
    <n v="5"/>
  </r>
  <r>
    <x v="2670"/>
    <x v="523"/>
    <x v="0"/>
    <n v="5"/>
    <n v="1500.4"/>
    <x v="146"/>
    <x v="9"/>
    <x v="4"/>
    <n v="7502"/>
    <m/>
    <m/>
    <n v="5"/>
  </r>
  <r>
    <x v="2671"/>
    <x v="523"/>
    <x v="1"/>
    <n v="1"/>
    <n v="40.659999999999997"/>
    <x v="663"/>
    <x v="7"/>
    <x v="3"/>
    <n v="40.659999999999997"/>
    <m/>
    <m/>
    <n v="5"/>
  </r>
  <r>
    <x v="2672"/>
    <x v="523"/>
    <x v="0"/>
    <n v="1"/>
    <n v="300.08"/>
    <x v="399"/>
    <x v="9"/>
    <x v="2"/>
    <n v="300.08"/>
    <m/>
    <m/>
    <n v="7"/>
  </r>
  <r>
    <x v="2673"/>
    <x v="524"/>
    <x v="0"/>
    <n v="3"/>
    <n v="900.24"/>
    <x v="198"/>
    <x v="0"/>
    <x v="3"/>
    <n v="2700.7200000000003"/>
    <m/>
    <m/>
    <n v="5"/>
  </r>
  <r>
    <x v="2674"/>
    <x v="524"/>
    <x v="1"/>
    <n v="2"/>
    <n v="81.319999999999993"/>
    <x v="453"/>
    <x v="1"/>
    <x v="3"/>
    <n v="162.63999999999999"/>
    <m/>
    <m/>
    <n v="5"/>
  </r>
  <r>
    <x v="2675"/>
    <x v="524"/>
    <x v="5"/>
    <n v="1"/>
    <n v="600.16999999999996"/>
    <x v="617"/>
    <x v="3"/>
    <x v="4"/>
    <n v="600.16999999999996"/>
    <m/>
    <m/>
    <n v="7"/>
  </r>
  <r>
    <x v="2676"/>
    <x v="525"/>
    <x v="3"/>
    <n v="3"/>
    <n v="45.45"/>
    <x v="641"/>
    <x v="2"/>
    <x v="1"/>
    <n v="136.35000000000002"/>
    <m/>
    <m/>
    <n v="5"/>
  </r>
  <r>
    <x v="2677"/>
    <x v="525"/>
    <x v="6"/>
    <n v="2"/>
    <n v="71.680000000000007"/>
    <x v="116"/>
    <x v="5"/>
    <x v="0"/>
    <n v="143.36000000000001"/>
    <m/>
    <m/>
    <n v="5"/>
  </r>
  <r>
    <x v="2678"/>
    <x v="525"/>
    <x v="4"/>
    <n v="5"/>
    <n v="5250"/>
    <x v="215"/>
    <x v="5"/>
    <x v="0"/>
    <n v="26250"/>
    <m/>
    <m/>
    <n v="10"/>
  </r>
  <r>
    <x v="2679"/>
    <x v="526"/>
    <x v="1"/>
    <n v="3"/>
    <n v="121.98"/>
    <x v="57"/>
    <x v="9"/>
    <x v="4"/>
    <n v="365.94"/>
    <m/>
    <m/>
    <n v="5"/>
  </r>
  <r>
    <x v="2680"/>
    <x v="526"/>
    <x v="0"/>
    <n v="1"/>
    <n v="300.08"/>
    <x v="485"/>
    <x v="4"/>
    <x v="3"/>
    <n v="300.08"/>
    <m/>
    <m/>
    <n v="5"/>
  </r>
  <r>
    <x v="2681"/>
    <x v="526"/>
    <x v="0"/>
    <n v="5"/>
    <n v="1500.4"/>
    <x v="766"/>
    <x v="4"/>
    <x v="2"/>
    <n v="7502"/>
    <m/>
    <m/>
    <n v="5"/>
  </r>
  <r>
    <x v="2682"/>
    <x v="526"/>
    <x v="0"/>
    <n v="3"/>
    <n v="900.24"/>
    <x v="500"/>
    <x v="9"/>
    <x v="2"/>
    <n v="2700.7200000000003"/>
    <m/>
    <m/>
    <n v="5"/>
  </r>
  <r>
    <x v="2683"/>
    <x v="526"/>
    <x v="0"/>
    <n v="5"/>
    <n v="1500.4"/>
    <x v="702"/>
    <x v="6"/>
    <x v="2"/>
    <n v="7502"/>
    <m/>
    <m/>
    <n v="7"/>
  </r>
  <r>
    <x v="2684"/>
    <x v="526"/>
    <x v="6"/>
    <n v="3"/>
    <n v="107.52"/>
    <x v="699"/>
    <x v="9"/>
    <x v="2"/>
    <n v="322.56"/>
    <m/>
    <m/>
    <n v="7"/>
  </r>
  <r>
    <x v="2685"/>
    <x v="526"/>
    <x v="2"/>
    <n v="3"/>
    <n v="15.69"/>
    <x v="699"/>
    <x v="9"/>
    <x v="1"/>
    <n v="47.07"/>
    <m/>
    <m/>
    <n v="7"/>
  </r>
  <r>
    <x v="2686"/>
    <x v="527"/>
    <x v="0"/>
    <n v="5"/>
    <n v="1500.4"/>
    <x v="312"/>
    <x v="3"/>
    <x v="4"/>
    <n v="7502"/>
    <m/>
    <m/>
    <n v="5"/>
  </r>
  <r>
    <x v="2687"/>
    <x v="527"/>
    <x v="7"/>
    <n v="3"/>
    <n v="35.19"/>
    <x v="199"/>
    <x v="7"/>
    <x v="1"/>
    <n v="105.57"/>
    <m/>
    <m/>
    <n v="7"/>
  </r>
  <r>
    <x v="2688"/>
    <x v="527"/>
    <x v="6"/>
    <n v="4"/>
    <n v="143.36000000000001"/>
    <x v="411"/>
    <x v="1"/>
    <x v="0"/>
    <n v="573.44000000000005"/>
    <m/>
    <m/>
    <n v="7"/>
  </r>
  <r>
    <x v="2689"/>
    <x v="528"/>
    <x v="7"/>
    <n v="2"/>
    <n v="23.46"/>
    <x v="225"/>
    <x v="5"/>
    <x v="0"/>
    <n v="46.92"/>
    <m/>
    <m/>
    <n v="5"/>
  </r>
  <r>
    <x v="2690"/>
    <x v="528"/>
    <x v="1"/>
    <n v="3"/>
    <n v="121.98"/>
    <x v="527"/>
    <x v="2"/>
    <x v="2"/>
    <n v="365.94"/>
    <m/>
    <m/>
    <n v="5"/>
  </r>
  <r>
    <x v="2691"/>
    <x v="528"/>
    <x v="0"/>
    <n v="1"/>
    <n v="300.08"/>
    <x v="477"/>
    <x v="6"/>
    <x v="3"/>
    <n v="300.08"/>
    <m/>
    <m/>
    <n v="5"/>
  </r>
  <r>
    <x v="2692"/>
    <x v="528"/>
    <x v="0"/>
    <n v="4"/>
    <n v="1200.32"/>
    <x v="540"/>
    <x v="2"/>
    <x v="4"/>
    <n v="4801.28"/>
    <m/>
    <m/>
    <n v="7"/>
  </r>
  <r>
    <x v="2693"/>
    <x v="529"/>
    <x v="6"/>
    <n v="4"/>
    <n v="143.36000000000001"/>
    <x v="39"/>
    <x v="2"/>
    <x v="4"/>
    <n v="573.44000000000005"/>
    <m/>
    <m/>
    <n v="5"/>
  </r>
  <r>
    <x v="2694"/>
    <x v="529"/>
    <x v="0"/>
    <n v="5"/>
    <n v="1500.4"/>
    <x v="108"/>
    <x v="6"/>
    <x v="4"/>
    <n v="7502"/>
    <m/>
    <m/>
    <n v="5"/>
  </r>
  <r>
    <x v="2695"/>
    <x v="529"/>
    <x v="1"/>
    <n v="1"/>
    <n v="40.659999999999997"/>
    <x v="648"/>
    <x v="0"/>
    <x v="3"/>
    <n v="40.659999999999997"/>
    <m/>
    <m/>
    <n v="5"/>
  </r>
  <r>
    <x v="2696"/>
    <x v="529"/>
    <x v="2"/>
    <n v="1"/>
    <n v="5.23"/>
    <x v="151"/>
    <x v="1"/>
    <x v="3"/>
    <n v="5.23"/>
    <m/>
    <m/>
    <n v="5"/>
  </r>
  <r>
    <x v="2697"/>
    <x v="529"/>
    <x v="0"/>
    <n v="3"/>
    <n v="900.24"/>
    <x v="594"/>
    <x v="2"/>
    <x v="2"/>
    <n v="2700.7200000000003"/>
    <m/>
    <m/>
    <n v="7"/>
  </r>
  <r>
    <x v="2698"/>
    <x v="529"/>
    <x v="4"/>
    <n v="5"/>
    <n v="5250"/>
    <x v="767"/>
    <x v="6"/>
    <x v="0"/>
    <n v="26250"/>
    <m/>
    <m/>
    <n v="7"/>
  </r>
  <r>
    <x v="2699"/>
    <x v="529"/>
    <x v="6"/>
    <n v="4"/>
    <n v="143.36000000000001"/>
    <x v="692"/>
    <x v="0"/>
    <x v="3"/>
    <n v="573.44000000000005"/>
    <m/>
    <m/>
    <n v="10"/>
  </r>
  <r>
    <x v="2700"/>
    <x v="529"/>
    <x v="0"/>
    <n v="4"/>
    <n v="1200.32"/>
    <x v="246"/>
    <x v="9"/>
    <x v="0"/>
    <n v="4801.28"/>
    <m/>
    <m/>
    <n v="10"/>
  </r>
  <r>
    <x v="2701"/>
    <x v="530"/>
    <x v="3"/>
    <n v="2"/>
    <n v="30.3"/>
    <x v="505"/>
    <x v="0"/>
    <x v="2"/>
    <n v="60.6"/>
    <m/>
    <m/>
    <n v="5"/>
  </r>
  <r>
    <x v="2702"/>
    <x v="530"/>
    <x v="2"/>
    <n v="3"/>
    <n v="15.69"/>
    <x v="515"/>
    <x v="3"/>
    <x v="3"/>
    <n v="47.07"/>
    <m/>
    <m/>
    <n v="7"/>
  </r>
  <r>
    <x v="2703"/>
    <x v="530"/>
    <x v="6"/>
    <n v="2"/>
    <n v="71.680000000000007"/>
    <x v="748"/>
    <x v="5"/>
    <x v="0"/>
    <n v="143.36000000000001"/>
    <m/>
    <m/>
    <n v="7"/>
  </r>
  <r>
    <x v="2704"/>
    <x v="530"/>
    <x v="6"/>
    <n v="4"/>
    <n v="143.36000000000001"/>
    <x v="248"/>
    <x v="0"/>
    <x v="0"/>
    <n v="573.44000000000005"/>
    <m/>
    <m/>
    <n v="7"/>
  </r>
  <r>
    <x v="2705"/>
    <x v="530"/>
    <x v="0"/>
    <n v="2"/>
    <n v="600.16"/>
    <x v="353"/>
    <x v="6"/>
    <x v="4"/>
    <n v="1200.32"/>
    <m/>
    <m/>
    <n v="7"/>
  </r>
  <r>
    <x v="2706"/>
    <x v="531"/>
    <x v="6"/>
    <n v="5"/>
    <n v="179.2"/>
    <x v="83"/>
    <x v="0"/>
    <x v="2"/>
    <n v="896"/>
    <m/>
    <m/>
    <n v="5"/>
  </r>
  <r>
    <x v="2707"/>
    <x v="531"/>
    <x v="2"/>
    <n v="2"/>
    <n v="10.46"/>
    <x v="616"/>
    <x v="3"/>
    <x v="0"/>
    <n v="20.92"/>
    <m/>
    <m/>
    <n v="5"/>
  </r>
  <r>
    <x v="2708"/>
    <x v="531"/>
    <x v="1"/>
    <n v="2"/>
    <n v="81.319999999999993"/>
    <x v="663"/>
    <x v="0"/>
    <x v="0"/>
    <n v="162.63999999999999"/>
    <m/>
    <m/>
    <n v="5"/>
  </r>
  <r>
    <x v="2709"/>
    <x v="531"/>
    <x v="6"/>
    <n v="5"/>
    <n v="179.2"/>
    <x v="188"/>
    <x v="0"/>
    <x v="0"/>
    <n v="896"/>
    <m/>
    <m/>
    <n v="7"/>
  </r>
  <r>
    <x v="2710"/>
    <x v="531"/>
    <x v="0"/>
    <n v="2"/>
    <n v="600.16"/>
    <x v="751"/>
    <x v="4"/>
    <x v="0"/>
    <n v="1200.32"/>
    <m/>
    <m/>
    <n v="10"/>
  </r>
  <r>
    <x v="2711"/>
    <x v="532"/>
    <x v="1"/>
    <n v="2"/>
    <n v="81.319999999999993"/>
    <x v="144"/>
    <x v="3"/>
    <x v="1"/>
    <n v="162.63999999999999"/>
    <m/>
    <m/>
    <n v="5"/>
  </r>
  <r>
    <x v="2712"/>
    <x v="532"/>
    <x v="0"/>
    <n v="5"/>
    <n v="1500.4"/>
    <x v="469"/>
    <x v="1"/>
    <x v="1"/>
    <n v="7502"/>
    <m/>
    <m/>
    <n v="5"/>
  </r>
  <r>
    <x v="2713"/>
    <x v="532"/>
    <x v="0"/>
    <n v="1"/>
    <n v="300.08"/>
    <x v="150"/>
    <x v="1"/>
    <x v="1"/>
    <n v="300.08"/>
    <m/>
    <m/>
    <n v="5"/>
  </r>
  <r>
    <x v="2714"/>
    <x v="532"/>
    <x v="0"/>
    <n v="4"/>
    <n v="1200.32"/>
    <x v="29"/>
    <x v="1"/>
    <x v="3"/>
    <n v="4801.28"/>
    <m/>
    <m/>
    <n v="7"/>
  </r>
  <r>
    <x v="2715"/>
    <x v="533"/>
    <x v="6"/>
    <n v="2"/>
    <n v="71.680000000000007"/>
    <x v="146"/>
    <x v="0"/>
    <x v="2"/>
    <n v="143.36000000000001"/>
    <m/>
    <m/>
    <n v="5"/>
  </r>
  <r>
    <x v="2716"/>
    <x v="533"/>
    <x v="0"/>
    <n v="5"/>
    <n v="1500.4"/>
    <x v="22"/>
    <x v="8"/>
    <x v="1"/>
    <n v="7502"/>
    <m/>
    <m/>
    <n v="5"/>
  </r>
  <r>
    <x v="2717"/>
    <x v="533"/>
    <x v="2"/>
    <n v="2"/>
    <n v="10.46"/>
    <x v="288"/>
    <x v="3"/>
    <x v="3"/>
    <n v="20.92"/>
    <m/>
    <m/>
    <n v="7"/>
  </r>
  <r>
    <x v="2718"/>
    <x v="534"/>
    <x v="0"/>
    <n v="2"/>
    <n v="600.16"/>
    <x v="768"/>
    <x v="6"/>
    <x v="2"/>
    <n v="1200.32"/>
    <m/>
    <m/>
    <n v="5"/>
  </r>
  <r>
    <x v="2719"/>
    <x v="534"/>
    <x v="5"/>
    <n v="2"/>
    <n v="1200.3399999999999"/>
    <x v="610"/>
    <x v="0"/>
    <x v="1"/>
    <n v="2400.6799999999998"/>
    <m/>
    <m/>
    <n v="5"/>
  </r>
  <r>
    <x v="2720"/>
    <x v="535"/>
    <x v="0"/>
    <n v="5"/>
    <n v="1500.4"/>
    <x v="68"/>
    <x v="8"/>
    <x v="4"/>
    <n v="7502"/>
    <m/>
    <m/>
    <n v="5"/>
  </r>
  <r>
    <x v="2721"/>
    <x v="536"/>
    <x v="3"/>
    <n v="4"/>
    <n v="60.6"/>
    <x v="74"/>
    <x v="0"/>
    <x v="3"/>
    <n v="242.4"/>
    <m/>
    <m/>
    <n v="5"/>
  </r>
  <r>
    <x v="2722"/>
    <x v="536"/>
    <x v="2"/>
    <n v="4"/>
    <n v="20.92"/>
    <x v="748"/>
    <x v="5"/>
    <x v="0"/>
    <n v="83.68"/>
    <m/>
    <m/>
    <n v="7"/>
  </r>
  <r>
    <x v="2723"/>
    <x v="536"/>
    <x v="5"/>
    <n v="1"/>
    <n v="600.16999999999996"/>
    <x v="250"/>
    <x v="3"/>
    <x v="4"/>
    <n v="600.16999999999996"/>
    <m/>
    <m/>
    <n v="7"/>
  </r>
  <r>
    <x v="2724"/>
    <x v="537"/>
    <x v="0"/>
    <n v="2"/>
    <n v="600.16"/>
    <x v="478"/>
    <x v="0"/>
    <x v="1"/>
    <n v="1200.32"/>
    <m/>
    <m/>
    <n v="5"/>
  </r>
  <r>
    <x v="2725"/>
    <x v="537"/>
    <x v="2"/>
    <n v="3"/>
    <n v="15.69"/>
    <x v="687"/>
    <x v="5"/>
    <x v="1"/>
    <n v="47.07"/>
    <m/>
    <m/>
    <n v="5"/>
  </r>
  <r>
    <x v="2726"/>
    <x v="537"/>
    <x v="4"/>
    <n v="1"/>
    <n v="1050"/>
    <x v="646"/>
    <x v="2"/>
    <x v="3"/>
    <n v="1050"/>
    <m/>
    <m/>
    <n v="5"/>
  </r>
  <r>
    <x v="2727"/>
    <x v="537"/>
    <x v="1"/>
    <n v="2"/>
    <n v="81.319999999999993"/>
    <x v="310"/>
    <x v="9"/>
    <x v="2"/>
    <n v="162.63999999999999"/>
    <m/>
    <m/>
    <n v="7"/>
  </r>
  <r>
    <x v="2728"/>
    <x v="537"/>
    <x v="1"/>
    <n v="4"/>
    <n v="162.63999999999999"/>
    <x v="451"/>
    <x v="6"/>
    <x v="0"/>
    <n v="650.55999999999995"/>
    <m/>
    <m/>
    <n v="10"/>
  </r>
  <r>
    <x v="2729"/>
    <x v="537"/>
    <x v="0"/>
    <n v="2"/>
    <n v="600.16"/>
    <x v="496"/>
    <x v="4"/>
    <x v="2"/>
    <n v="1200.32"/>
    <m/>
    <m/>
    <n v="10"/>
  </r>
  <r>
    <x v="2730"/>
    <x v="538"/>
    <x v="4"/>
    <n v="4"/>
    <n v="4200"/>
    <x v="551"/>
    <x v="8"/>
    <x v="1"/>
    <n v="16800"/>
    <m/>
    <m/>
    <n v="5"/>
  </r>
  <r>
    <x v="2731"/>
    <x v="538"/>
    <x v="3"/>
    <n v="5"/>
    <n v="75.75"/>
    <x v="429"/>
    <x v="6"/>
    <x v="4"/>
    <n v="378.75"/>
    <m/>
    <m/>
    <n v="5"/>
  </r>
  <r>
    <x v="2732"/>
    <x v="538"/>
    <x v="1"/>
    <n v="1"/>
    <n v="40.659999999999997"/>
    <x v="563"/>
    <x v="6"/>
    <x v="2"/>
    <n v="40.659999999999997"/>
    <m/>
    <m/>
    <n v="5"/>
  </r>
  <r>
    <x v="2733"/>
    <x v="538"/>
    <x v="1"/>
    <n v="5"/>
    <n v="203.3"/>
    <x v="679"/>
    <x v="6"/>
    <x v="3"/>
    <n v="1016.5"/>
    <m/>
    <m/>
    <n v="7"/>
  </r>
  <r>
    <x v="2734"/>
    <x v="538"/>
    <x v="0"/>
    <n v="4"/>
    <n v="1200.32"/>
    <x v="454"/>
    <x v="1"/>
    <x v="1"/>
    <n v="4801.28"/>
    <m/>
    <m/>
    <n v="7"/>
  </r>
  <r>
    <x v="2735"/>
    <x v="538"/>
    <x v="4"/>
    <n v="3"/>
    <n v="3150"/>
    <x v="309"/>
    <x v="5"/>
    <x v="3"/>
    <n v="9450"/>
    <m/>
    <m/>
    <n v="7"/>
  </r>
  <r>
    <x v="2736"/>
    <x v="538"/>
    <x v="2"/>
    <n v="2"/>
    <n v="10.46"/>
    <x v="631"/>
    <x v="6"/>
    <x v="4"/>
    <n v="20.92"/>
    <m/>
    <m/>
    <n v="7"/>
  </r>
  <r>
    <x v="2737"/>
    <x v="538"/>
    <x v="2"/>
    <n v="3"/>
    <n v="15.69"/>
    <x v="171"/>
    <x v="0"/>
    <x v="0"/>
    <n v="47.07"/>
    <m/>
    <m/>
    <n v="10"/>
  </r>
  <r>
    <x v="2738"/>
    <x v="539"/>
    <x v="2"/>
    <n v="3"/>
    <n v="15.69"/>
    <x v="185"/>
    <x v="0"/>
    <x v="3"/>
    <n v="47.07"/>
    <m/>
    <m/>
    <n v="5"/>
  </r>
  <r>
    <x v="2739"/>
    <x v="539"/>
    <x v="2"/>
    <n v="5"/>
    <n v="26.15"/>
    <x v="310"/>
    <x v="3"/>
    <x v="3"/>
    <n v="130.75"/>
    <m/>
    <m/>
    <n v="7"/>
  </r>
  <r>
    <x v="2740"/>
    <x v="540"/>
    <x v="2"/>
    <n v="1"/>
    <n v="5.23"/>
    <x v="599"/>
    <x v="7"/>
    <x v="3"/>
    <n v="5.23"/>
    <m/>
    <m/>
    <n v="5"/>
  </r>
  <r>
    <x v="2741"/>
    <x v="540"/>
    <x v="3"/>
    <n v="4"/>
    <n v="60.6"/>
    <x v="126"/>
    <x v="9"/>
    <x v="2"/>
    <n v="242.4"/>
    <m/>
    <m/>
    <n v="5"/>
  </r>
  <r>
    <x v="2742"/>
    <x v="540"/>
    <x v="2"/>
    <n v="2"/>
    <n v="10.46"/>
    <x v="501"/>
    <x v="4"/>
    <x v="3"/>
    <n v="20.92"/>
    <m/>
    <m/>
    <n v="5"/>
  </r>
  <r>
    <x v="2743"/>
    <x v="540"/>
    <x v="0"/>
    <n v="1"/>
    <n v="300.08"/>
    <x v="357"/>
    <x v="3"/>
    <x v="4"/>
    <n v="300.08"/>
    <m/>
    <m/>
    <n v="5"/>
  </r>
  <r>
    <x v="2744"/>
    <x v="540"/>
    <x v="4"/>
    <n v="3"/>
    <n v="3150"/>
    <x v="17"/>
    <x v="7"/>
    <x v="3"/>
    <n v="9450"/>
    <m/>
    <m/>
    <n v="5"/>
  </r>
  <r>
    <x v="2745"/>
    <x v="540"/>
    <x v="1"/>
    <n v="2"/>
    <n v="81.319999999999993"/>
    <x v="107"/>
    <x v="4"/>
    <x v="1"/>
    <n v="162.63999999999999"/>
    <m/>
    <m/>
    <n v="5"/>
  </r>
  <r>
    <x v="2746"/>
    <x v="540"/>
    <x v="6"/>
    <n v="5"/>
    <n v="179.2"/>
    <x v="44"/>
    <x v="0"/>
    <x v="2"/>
    <n v="896"/>
    <m/>
    <m/>
    <n v="7"/>
  </r>
  <r>
    <x v="2747"/>
    <x v="540"/>
    <x v="0"/>
    <n v="4"/>
    <n v="1200.32"/>
    <x v="142"/>
    <x v="1"/>
    <x v="3"/>
    <n v="4801.28"/>
    <m/>
    <m/>
    <n v="7"/>
  </r>
  <r>
    <x v="2748"/>
    <x v="540"/>
    <x v="4"/>
    <n v="1"/>
    <n v="1050"/>
    <x v="625"/>
    <x v="6"/>
    <x v="3"/>
    <n v="1050"/>
    <m/>
    <m/>
    <n v="7"/>
  </r>
  <r>
    <x v="2749"/>
    <x v="540"/>
    <x v="4"/>
    <n v="5"/>
    <n v="5250"/>
    <x v="698"/>
    <x v="9"/>
    <x v="2"/>
    <n v="26250"/>
    <m/>
    <m/>
    <n v="7"/>
  </r>
  <r>
    <x v="2750"/>
    <x v="541"/>
    <x v="4"/>
    <n v="2"/>
    <n v="2100"/>
    <x v="104"/>
    <x v="3"/>
    <x v="1"/>
    <n v="4200"/>
    <m/>
    <m/>
    <n v="5"/>
  </r>
  <r>
    <x v="2751"/>
    <x v="541"/>
    <x v="2"/>
    <n v="2"/>
    <n v="10.46"/>
    <x v="127"/>
    <x v="4"/>
    <x v="3"/>
    <n v="20.92"/>
    <m/>
    <m/>
    <n v="7"/>
  </r>
  <r>
    <x v="2752"/>
    <x v="541"/>
    <x v="6"/>
    <n v="2"/>
    <n v="71.680000000000007"/>
    <x v="447"/>
    <x v="4"/>
    <x v="0"/>
    <n v="143.36000000000001"/>
    <m/>
    <m/>
    <n v="7"/>
  </r>
  <r>
    <x v="2753"/>
    <x v="541"/>
    <x v="6"/>
    <n v="1"/>
    <n v="35.840000000000003"/>
    <x v="237"/>
    <x v="0"/>
    <x v="0"/>
    <n v="35.840000000000003"/>
    <m/>
    <m/>
    <n v="7"/>
  </r>
  <r>
    <x v="2754"/>
    <x v="542"/>
    <x v="0"/>
    <n v="2"/>
    <n v="600.16"/>
    <x v="145"/>
    <x v="3"/>
    <x v="4"/>
    <n v="1200.32"/>
    <m/>
    <m/>
    <n v="5"/>
  </r>
  <r>
    <x v="2755"/>
    <x v="542"/>
    <x v="0"/>
    <n v="2"/>
    <n v="600.16"/>
    <x v="21"/>
    <x v="0"/>
    <x v="4"/>
    <n v="1200.32"/>
    <m/>
    <m/>
    <n v="5"/>
  </r>
  <r>
    <x v="2756"/>
    <x v="542"/>
    <x v="0"/>
    <n v="1"/>
    <n v="300.08"/>
    <x v="380"/>
    <x v="0"/>
    <x v="1"/>
    <n v="300.08"/>
    <m/>
    <m/>
    <n v="5"/>
  </r>
  <r>
    <x v="2757"/>
    <x v="542"/>
    <x v="6"/>
    <n v="3"/>
    <n v="107.52"/>
    <x v="381"/>
    <x v="9"/>
    <x v="4"/>
    <n v="322.56"/>
    <m/>
    <m/>
    <n v="5"/>
  </r>
  <r>
    <x v="2758"/>
    <x v="542"/>
    <x v="0"/>
    <n v="3"/>
    <n v="900.24"/>
    <x v="266"/>
    <x v="8"/>
    <x v="2"/>
    <n v="2700.7200000000003"/>
    <m/>
    <m/>
    <n v="7"/>
  </r>
  <r>
    <x v="2759"/>
    <x v="543"/>
    <x v="3"/>
    <n v="4"/>
    <n v="60.6"/>
    <x v="609"/>
    <x v="0"/>
    <x v="4"/>
    <n v="242.4"/>
    <m/>
    <m/>
    <n v="5"/>
  </r>
  <r>
    <x v="2760"/>
    <x v="543"/>
    <x v="0"/>
    <n v="2"/>
    <n v="600.16"/>
    <x v="688"/>
    <x v="6"/>
    <x v="1"/>
    <n v="1200.32"/>
    <m/>
    <m/>
    <n v="5"/>
  </r>
  <r>
    <x v="2761"/>
    <x v="543"/>
    <x v="2"/>
    <n v="1"/>
    <n v="5.23"/>
    <x v="2"/>
    <x v="0"/>
    <x v="4"/>
    <n v="5.23"/>
    <m/>
    <m/>
    <n v="7"/>
  </r>
  <r>
    <x v="2762"/>
    <x v="544"/>
    <x v="1"/>
    <n v="2"/>
    <n v="81.319999999999993"/>
    <x v="332"/>
    <x v="3"/>
    <x v="2"/>
    <n v="162.63999999999999"/>
    <m/>
    <m/>
    <n v="5"/>
  </r>
  <r>
    <x v="2763"/>
    <x v="544"/>
    <x v="1"/>
    <n v="3"/>
    <n v="121.98"/>
    <x v="541"/>
    <x v="6"/>
    <x v="0"/>
    <n v="365.94"/>
    <m/>
    <m/>
    <n v="5"/>
  </r>
  <r>
    <x v="2764"/>
    <x v="544"/>
    <x v="7"/>
    <n v="3"/>
    <n v="35.19"/>
    <x v="28"/>
    <x v="7"/>
    <x v="0"/>
    <n v="105.57"/>
    <m/>
    <m/>
    <n v="5"/>
  </r>
  <r>
    <x v="2765"/>
    <x v="544"/>
    <x v="4"/>
    <n v="2"/>
    <n v="2100"/>
    <x v="74"/>
    <x v="1"/>
    <x v="0"/>
    <n v="4200"/>
    <m/>
    <m/>
    <n v="5"/>
  </r>
  <r>
    <x v="2766"/>
    <x v="544"/>
    <x v="0"/>
    <n v="2"/>
    <n v="600.16"/>
    <x v="544"/>
    <x v="7"/>
    <x v="4"/>
    <n v="1200.32"/>
    <m/>
    <m/>
    <n v="7"/>
  </r>
  <r>
    <x v="2767"/>
    <x v="544"/>
    <x v="6"/>
    <n v="3"/>
    <n v="107.52"/>
    <x v="23"/>
    <x v="0"/>
    <x v="2"/>
    <n v="322.56"/>
    <m/>
    <m/>
    <n v="7"/>
  </r>
  <r>
    <x v="2768"/>
    <x v="544"/>
    <x v="0"/>
    <n v="1"/>
    <n v="300.08"/>
    <x v="572"/>
    <x v="3"/>
    <x v="1"/>
    <n v="300.08"/>
    <m/>
    <m/>
    <n v="7"/>
  </r>
  <r>
    <x v="2769"/>
    <x v="545"/>
    <x v="1"/>
    <n v="2"/>
    <n v="81.319999999999993"/>
    <x v="226"/>
    <x v="6"/>
    <x v="1"/>
    <n v="162.63999999999999"/>
    <m/>
    <m/>
    <n v="5"/>
  </r>
  <r>
    <x v="2770"/>
    <x v="545"/>
    <x v="1"/>
    <n v="5"/>
    <n v="203.3"/>
    <x v="596"/>
    <x v="0"/>
    <x v="4"/>
    <n v="1016.5"/>
    <m/>
    <m/>
    <n v="7"/>
  </r>
  <r>
    <x v="2771"/>
    <x v="545"/>
    <x v="0"/>
    <n v="1"/>
    <n v="300.08"/>
    <x v="12"/>
    <x v="4"/>
    <x v="0"/>
    <n v="300.08"/>
    <m/>
    <m/>
    <n v="7"/>
  </r>
  <r>
    <x v="2772"/>
    <x v="545"/>
    <x v="0"/>
    <n v="5"/>
    <n v="1500.4"/>
    <x v="256"/>
    <x v="4"/>
    <x v="3"/>
    <n v="7502"/>
    <m/>
    <m/>
    <n v="7"/>
  </r>
  <r>
    <x v="2773"/>
    <x v="546"/>
    <x v="0"/>
    <n v="3"/>
    <n v="900.24"/>
    <x v="757"/>
    <x v="0"/>
    <x v="4"/>
    <n v="2700.7200000000003"/>
    <m/>
    <m/>
    <n v="5"/>
  </r>
  <r>
    <x v="2774"/>
    <x v="546"/>
    <x v="3"/>
    <n v="4"/>
    <n v="60.6"/>
    <x v="642"/>
    <x v="1"/>
    <x v="3"/>
    <n v="242.4"/>
    <m/>
    <m/>
    <n v="5"/>
  </r>
  <r>
    <x v="2775"/>
    <x v="546"/>
    <x v="0"/>
    <n v="3"/>
    <n v="900.24"/>
    <x v="367"/>
    <x v="7"/>
    <x v="1"/>
    <n v="2700.7200000000003"/>
    <m/>
    <m/>
    <n v="7"/>
  </r>
  <r>
    <x v="2776"/>
    <x v="546"/>
    <x v="1"/>
    <n v="5"/>
    <n v="203.3"/>
    <x v="311"/>
    <x v="9"/>
    <x v="3"/>
    <n v="1016.5"/>
    <m/>
    <m/>
    <n v="10"/>
  </r>
  <r>
    <x v="2777"/>
    <x v="546"/>
    <x v="0"/>
    <n v="4"/>
    <n v="1200.32"/>
    <x v="645"/>
    <x v="1"/>
    <x v="0"/>
    <n v="4801.28"/>
    <m/>
    <m/>
    <n v="10"/>
  </r>
  <r>
    <x v="2778"/>
    <x v="547"/>
    <x v="2"/>
    <n v="2"/>
    <n v="10.46"/>
    <x v="577"/>
    <x v="3"/>
    <x v="1"/>
    <n v="20.92"/>
    <m/>
    <m/>
    <n v="7"/>
  </r>
  <r>
    <x v="2779"/>
    <x v="547"/>
    <x v="0"/>
    <n v="4"/>
    <n v="1200.32"/>
    <x v="450"/>
    <x v="6"/>
    <x v="4"/>
    <n v="4801.28"/>
    <m/>
    <m/>
    <n v="7"/>
  </r>
  <r>
    <x v="2780"/>
    <x v="547"/>
    <x v="5"/>
    <n v="2"/>
    <n v="1200.3399999999999"/>
    <x v="413"/>
    <x v="6"/>
    <x v="4"/>
    <n v="2400.6799999999998"/>
    <m/>
    <m/>
    <n v="7"/>
  </r>
  <r>
    <x v="2781"/>
    <x v="548"/>
    <x v="5"/>
    <n v="4"/>
    <n v="2400.6799999999998"/>
    <x v="345"/>
    <x v="4"/>
    <x v="2"/>
    <n v="9602.7199999999993"/>
    <m/>
    <m/>
    <n v="7"/>
  </r>
  <r>
    <x v="2782"/>
    <x v="548"/>
    <x v="3"/>
    <n v="3"/>
    <n v="45.45"/>
    <x v="23"/>
    <x v="0"/>
    <x v="2"/>
    <n v="136.35000000000002"/>
    <m/>
    <m/>
    <n v="7"/>
  </r>
  <r>
    <x v="2783"/>
    <x v="548"/>
    <x v="1"/>
    <n v="2"/>
    <n v="81.319999999999993"/>
    <x v="439"/>
    <x v="3"/>
    <x v="0"/>
    <n v="162.63999999999999"/>
    <m/>
    <m/>
    <n v="7"/>
  </r>
  <r>
    <x v="2784"/>
    <x v="548"/>
    <x v="4"/>
    <n v="5"/>
    <n v="5250"/>
    <x v="9"/>
    <x v="3"/>
    <x v="1"/>
    <n v="26250"/>
    <m/>
    <m/>
    <n v="7"/>
  </r>
  <r>
    <x v="2785"/>
    <x v="549"/>
    <x v="6"/>
    <n v="1"/>
    <n v="35.840000000000003"/>
    <x v="365"/>
    <x v="6"/>
    <x v="3"/>
    <n v="35.840000000000003"/>
    <m/>
    <m/>
    <n v="7"/>
  </r>
  <r>
    <x v="2786"/>
    <x v="549"/>
    <x v="4"/>
    <n v="3"/>
    <n v="3150"/>
    <x v="514"/>
    <x v="8"/>
    <x v="0"/>
    <n v="9450"/>
    <m/>
    <m/>
    <n v="7"/>
  </r>
  <r>
    <x v="2787"/>
    <x v="550"/>
    <x v="0"/>
    <n v="4"/>
    <n v="1200.32"/>
    <x v="168"/>
    <x v="7"/>
    <x v="1"/>
    <n v="4801.28"/>
    <m/>
    <m/>
    <n v="5"/>
  </r>
  <r>
    <x v="2788"/>
    <x v="550"/>
    <x v="1"/>
    <n v="2"/>
    <n v="81.319999999999993"/>
    <x v="40"/>
    <x v="6"/>
    <x v="0"/>
    <n v="162.63999999999999"/>
    <m/>
    <m/>
    <n v="7"/>
  </r>
  <r>
    <x v="2789"/>
    <x v="550"/>
    <x v="2"/>
    <n v="1"/>
    <n v="5.23"/>
    <x v="267"/>
    <x v="6"/>
    <x v="0"/>
    <n v="5.23"/>
    <m/>
    <m/>
    <n v="7"/>
  </r>
  <r>
    <x v="2790"/>
    <x v="550"/>
    <x v="0"/>
    <n v="3"/>
    <n v="900.24"/>
    <x v="698"/>
    <x v="6"/>
    <x v="0"/>
    <n v="2700.7200000000003"/>
    <m/>
    <m/>
    <n v="7"/>
  </r>
  <r>
    <x v="2791"/>
    <x v="550"/>
    <x v="6"/>
    <n v="5"/>
    <n v="179.2"/>
    <x v="472"/>
    <x v="2"/>
    <x v="4"/>
    <n v="896"/>
    <m/>
    <m/>
    <n v="7"/>
  </r>
  <r>
    <x v="2792"/>
    <x v="550"/>
    <x v="2"/>
    <n v="4"/>
    <n v="20.92"/>
    <x v="517"/>
    <x v="5"/>
    <x v="3"/>
    <n v="83.68"/>
    <m/>
    <m/>
    <n v="10"/>
  </r>
  <r>
    <x v="2793"/>
    <x v="550"/>
    <x v="5"/>
    <n v="2"/>
    <n v="1200.3399999999999"/>
    <x v="769"/>
    <x v="6"/>
    <x v="3"/>
    <n v="2400.6799999999998"/>
    <m/>
    <m/>
    <n v="10"/>
  </r>
  <r>
    <x v="2794"/>
    <x v="551"/>
    <x v="2"/>
    <n v="5"/>
    <n v="26.15"/>
    <x v="269"/>
    <x v="1"/>
    <x v="3"/>
    <n v="130.75"/>
    <m/>
    <m/>
    <n v="5"/>
  </r>
  <r>
    <x v="2795"/>
    <x v="551"/>
    <x v="6"/>
    <n v="5"/>
    <n v="179.2"/>
    <x v="355"/>
    <x v="6"/>
    <x v="0"/>
    <n v="896"/>
    <m/>
    <m/>
    <n v="5"/>
  </r>
  <r>
    <x v="2796"/>
    <x v="551"/>
    <x v="0"/>
    <n v="5"/>
    <n v="1500.4"/>
    <x v="471"/>
    <x v="0"/>
    <x v="3"/>
    <n v="7502"/>
    <m/>
    <m/>
    <n v="5"/>
  </r>
  <r>
    <x v="2797"/>
    <x v="551"/>
    <x v="0"/>
    <n v="1"/>
    <n v="300.08"/>
    <x v="441"/>
    <x v="4"/>
    <x v="3"/>
    <n v="300.08"/>
    <m/>
    <m/>
    <n v="10"/>
  </r>
  <r>
    <x v="2798"/>
    <x v="552"/>
    <x v="0"/>
    <n v="4"/>
    <n v="1200.32"/>
    <x v="300"/>
    <x v="7"/>
    <x v="2"/>
    <n v="4801.28"/>
    <m/>
    <m/>
    <n v="5"/>
  </r>
  <r>
    <x v="2799"/>
    <x v="552"/>
    <x v="2"/>
    <n v="1"/>
    <n v="5.23"/>
    <x v="40"/>
    <x v="7"/>
    <x v="2"/>
    <n v="5.23"/>
    <m/>
    <m/>
    <n v="7"/>
  </r>
  <r>
    <x v="2800"/>
    <x v="552"/>
    <x v="2"/>
    <n v="5"/>
    <n v="26.15"/>
    <x v="427"/>
    <x v="2"/>
    <x v="2"/>
    <n v="130.75"/>
    <m/>
    <m/>
    <n v="7"/>
  </r>
  <r>
    <x v="2801"/>
    <x v="552"/>
    <x v="1"/>
    <n v="4"/>
    <n v="162.63999999999999"/>
    <x v="544"/>
    <x v="1"/>
    <x v="2"/>
    <n v="650.55999999999995"/>
    <m/>
    <m/>
    <n v="7"/>
  </r>
  <r>
    <x v="2802"/>
    <x v="552"/>
    <x v="0"/>
    <n v="4"/>
    <n v="1200.32"/>
    <x v="25"/>
    <x v="8"/>
    <x v="3"/>
    <n v="4801.28"/>
    <m/>
    <m/>
    <n v="7"/>
  </r>
  <r>
    <x v="2803"/>
    <x v="552"/>
    <x v="7"/>
    <n v="4"/>
    <n v="46.92"/>
    <x v="770"/>
    <x v="0"/>
    <x v="0"/>
    <n v="187.68"/>
    <m/>
    <m/>
    <n v="7"/>
  </r>
  <r>
    <x v="2804"/>
    <x v="552"/>
    <x v="6"/>
    <n v="2"/>
    <n v="71.680000000000007"/>
    <x v="416"/>
    <x v="1"/>
    <x v="0"/>
    <n v="143.36000000000001"/>
    <m/>
    <m/>
    <n v="10"/>
  </r>
  <r>
    <x v="2805"/>
    <x v="553"/>
    <x v="0"/>
    <n v="1"/>
    <n v="300.08"/>
    <x v="757"/>
    <x v="4"/>
    <x v="1"/>
    <n v="300.08"/>
    <m/>
    <m/>
    <n v="5"/>
  </r>
  <r>
    <x v="2806"/>
    <x v="553"/>
    <x v="0"/>
    <n v="3"/>
    <n v="900.24"/>
    <x v="762"/>
    <x v="8"/>
    <x v="1"/>
    <n v="2700.7200000000003"/>
    <m/>
    <m/>
    <n v="5"/>
  </r>
  <r>
    <x v="2807"/>
    <x v="553"/>
    <x v="0"/>
    <n v="5"/>
    <n v="1500.4"/>
    <x v="348"/>
    <x v="3"/>
    <x v="4"/>
    <n v="7502"/>
    <m/>
    <m/>
    <n v="7"/>
  </r>
  <r>
    <x v="2808"/>
    <x v="553"/>
    <x v="2"/>
    <n v="4"/>
    <n v="20.92"/>
    <x v="539"/>
    <x v="9"/>
    <x v="1"/>
    <n v="83.68"/>
    <m/>
    <m/>
    <n v="7"/>
  </r>
  <r>
    <x v="2809"/>
    <x v="553"/>
    <x v="0"/>
    <n v="1"/>
    <n v="300.08"/>
    <x v="461"/>
    <x v="6"/>
    <x v="4"/>
    <n v="300.08"/>
    <m/>
    <m/>
    <n v="7"/>
  </r>
  <r>
    <x v="2810"/>
    <x v="553"/>
    <x v="3"/>
    <n v="5"/>
    <n v="75.75"/>
    <x v="458"/>
    <x v="0"/>
    <x v="3"/>
    <n v="378.75"/>
    <m/>
    <m/>
    <n v="7"/>
  </r>
  <r>
    <x v="2811"/>
    <x v="554"/>
    <x v="7"/>
    <n v="3"/>
    <n v="35.19"/>
    <x v="270"/>
    <x v="0"/>
    <x v="1"/>
    <n v="105.57"/>
    <m/>
    <m/>
    <n v="5"/>
  </r>
  <r>
    <x v="2812"/>
    <x v="554"/>
    <x v="7"/>
    <n v="5"/>
    <n v="58.65"/>
    <x v="613"/>
    <x v="1"/>
    <x v="4"/>
    <n v="293.25"/>
    <m/>
    <m/>
    <n v="5"/>
  </r>
  <r>
    <x v="2813"/>
    <x v="554"/>
    <x v="1"/>
    <n v="5"/>
    <n v="203.3"/>
    <x v="88"/>
    <x v="1"/>
    <x v="1"/>
    <n v="1016.5"/>
    <m/>
    <m/>
    <n v="7"/>
  </r>
  <r>
    <x v="2814"/>
    <x v="554"/>
    <x v="2"/>
    <n v="2"/>
    <n v="10.46"/>
    <x v="578"/>
    <x v="5"/>
    <x v="2"/>
    <n v="20.92"/>
    <m/>
    <m/>
    <n v="7"/>
  </r>
  <r>
    <x v="2815"/>
    <x v="554"/>
    <x v="0"/>
    <n v="5"/>
    <n v="1500.4"/>
    <x v="289"/>
    <x v="1"/>
    <x v="3"/>
    <n v="7502"/>
    <m/>
    <m/>
    <n v="7"/>
  </r>
  <r>
    <x v="2816"/>
    <x v="554"/>
    <x v="1"/>
    <n v="3"/>
    <n v="121.98"/>
    <x v="61"/>
    <x v="1"/>
    <x v="1"/>
    <n v="365.94"/>
    <m/>
    <m/>
    <n v="10"/>
  </r>
  <r>
    <x v="2817"/>
    <x v="555"/>
    <x v="1"/>
    <n v="1"/>
    <n v="40.659999999999997"/>
    <x v="80"/>
    <x v="8"/>
    <x v="2"/>
    <n v="40.659999999999997"/>
    <m/>
    <m/>
    <n v="5"/>
  </r>
  <r>
    <x v="2818"/>
    <x v="555"/>
    <x v="0"/>
    <n v="1"/>
    <n v="300.08"/>
    <x v="545"/>
    <x v="0"/>
    <x v="3"/>
    <n v="300.08"/>
    <m/>
    <m/>
    <n v="5"/>
  </r>
  <r>
    <x v="2819"/>
    <x v="555"/>
    <x v="6"/>
    <n v="2"/>
    <n v="71.680000000000007"/>
    <x v="652"/>
    <x v="6"/>
    <x v="4"/>
    <n v="143.36000000000001"/>
    <m/>
    <m/>
    <n v="5"/>
  </r>
  <r>
    <x v="2820"/>
    <x v="555"/>
    <x v="1"/>
    <n v="1"/>
    <n v="40.659999999999997"/>
    <x v="256"/>
    <x v="2"/>
    <x v="1"/>
    <n v="40.659999999999997"/>
    <m/>
    <m/>
    <n v="7"/>
  </r>
  <r>
    <x v="2821"/>
    <x v="556"/>
    <x v="7"/>
    <n v="1"/>
    <n v="11.73"/>
    <x v="212"/>
    <x v="9"/>
    <x v="3"/>
    <n v="11.73"/>
    <m/>
    <m/>
    <n v="5"/>
  </r>
  <r>
    <x v="2822"/>
    <x v="556"/>
    <x v="5"/>
    <n v="1"/>
    <n v="600.16999999999996"/>
    <x v="321"/>
    <x v="0"/>
    <x v="2"/>
    <n v="600.16999999999996"/>
    <m/>
    <m/>
    <n v="7"/>
  </r>
  <r>
    <x v="2823"/>
    <x v="556"/>
    <x v="5"/>
    <n v="2"/>
    <n v="1200.3399999999999"/>
    <x v="487"/>
    <x v="2"/>
    <x v="3"/>
    <n v="2400.6799999999998"/>
    <m/>
    <m/>
    <n v="7"/>
  </r>
  <r>
    <x v="2824"/>
    <x v="556"/>
    <x v="1"/>
    <n v="5"/>
    <n v="203.3"/>
    <x v="585"/>
    <x v="2"/>
    <x v="2"/>
    <n v="1016.5"/>
    <m/>
    <m/>
    <n v="7"/>
  </r>
  <r>
    <x v="2825"/>
    <x v="556"/>
    <x v="6"/>
    <n v="4"/>
    <n v="143.36000000000001"/>
    <x v="771"/>
    <x v="6"/>
    <x v="2"/>
    <n v="573.44000000000005"/>
    <m/>
    <m/>
    <n v="7"/>
  </r>
  <r>
    <x v="2826"/>
    <x v="556"/>
    <x v="1"/>
    <n v="3"/>
    <n v="121.98"/>
    <x v="148"/>
    <x v="4"/>
    <x v="4"/>
    <n v="365.94"/>
    <m/>
    <m/>
    <n v="7"/>
  </r>
  <r>
    <x v="2827"/>
    <x v="556"/>
    <x v="1"/>
    <n v="4"/>
    <n v="162.63999999999999"/>
    <x v="622"/>
    <x v="4"/>
    <x v="1"/>
    <n v="650.55999999999995"/>
    <m/>
    <m/>
    <n v="7"/>
  </r>
  <r>
    <x v="2828"/>
    <x v="556"/>
    <x v="2"/>
    <n v="1"/>
    <n v="5.23"/>
    <x v="53"/>
    <x v="5"/>
    <x v="2"/>
    <n v="5.23"/>
    <m/>
    <m/>
    <n v="10"/>
  </r>
  <r>
    <x v="2829"/>
    <x v="557"/>
    <x v="0"/>
    <n v="3"/>
    <n v="900.24"/>
    <x v="5"/>
    <x v="6"/>
    <x v="0"/>
    <n v="2700.7200000000003"/>
    <m/>
    <m/>
    <n v="5"/>
  </r>
  <r>
    <x v="2830"/>
    <x v="557"/>
    <x v="7"/>
    <n v="4"/>
    <n v="46.92"/>
    <x v="537"/>
    <x v="2"/>
    <x v="0"/>
    <n v="187.68"/>
    <m/>
    <m/>
    <n v="5"/>
  </r>
  <r>
    <x v="2831"/>
    <x v="557"/>
    <x v="0"/>
    <n v="3"/>
    <n v="900.24"/>
    <x v="652"/>
    <x v="0"/>
    <x v="1"/>
    <n v="2700.7200000000003"/>
    <m/>
    <m/>
    <n v="5"/>
  </r>
  <r>
    <x v="2832"/>
    <x v="557"/>
    <x v="3"/>
    <n v="3"/>
    <n v="45.45"/>
    <x v="44"/>
    <x v="6"/>
    <x v="2"/>
    <n v="136.35000000000002"/>
    <m/>
    <m/>
    <n v="7"/>
  </r>
  <r>
    <x v="2833"/>
    <x v="558"/>
    <x v="5"/>
    <n v="2"/>
    <n v="1200.3399999999999"/>
    <x v="292"/>
    <x v="5"/>
    <x v="0"/>
    <n v="2400.6799999999998"/>
    <m/>
    <m/>
    <n v="5"/>
  </r>
  <r>
    <x v="2834"/>
    <x v="558"/>
    <x v="5"/>
    <n v="1"/>
    <n v="600.16999999999996"/>
    <x v="573"/>
    <x v="2"/>
    <x v="3"/>
    <n v="600.16999999999996"/>
    <m/>
    <m/>
    <n v="7"/>
  </r>
  <r>
    <x v="2835"/>
    <x v="558"/>
    <x v="6"/>
    <n v="4"/>
    <n v="143.36000000000001"/>
    <x v="23"/>
    <x v="0"/>
    <x v="1"/>
    <n v="573.44000000000005"/>
    <m/>
    <m/>
    <n v="7"/>
  </r>
  <r>
    <x v="2836"/>
    <x v="558"/>
    <x v="1"/>
    <n v="1"/>
    <n v="40.659999999999997"/>
    <x v="255"/>
    <x v="4"/>
    <x v="3"/>
    <n v="40.659999999999997"/>
    <m/>
    <m/>
    <n v="7"/>
  </r>
  <r>
    <x v="2837"/>
    <x v="559"/>
    <x v="0"/>
    <n v="3"/>
    <n v="900.24"/>
    <x v="635"/>
    <x v="6"/>
    <x v="3"/>
    <n v="2700.7200000000003"/>
    <m/>
    <m/>
    <n v="5"/>
  </r>
  <r>
    <x v="2838"/>
    <x v="559"/>
    <x v="0"/>
    <n v="4"/>
    <n v="1200.32"/>
    <x v="541"/>
    <x v="0"/>
    <x v="4"/>
    <n v="4801.28"/>
    <m/>
    <m/>
    <n v="5"/>
  </r>
  <r>
    <x v="2839"/>
    <x v="559"/>
    <x v="5"/>
    <n v="4"/>
    <n v="2400.6799999999998"/>
    <x v="160"/>
    <x v="7"/>
    <x v="1"/>
    <n v="9602.7199999999993"/>
    <m/>
    <m/>
    <n v="7"/>
  </r>
  <r>
    <x v="2840"/>
    <x v="559"/>
    <x v="7"/>
    <n v="2"/>
    <n v="23.46"/>
    <x v="702"/>
    <x v="6"/>
    <x v="1"/>
    <n v="46.92"/>
    <m/>
    <m/>
    <n v="7"/>
  </r>
  <r>
    <x v="2841"/>
    <x v="560"/>
    <x v="0"/>
    <n v="5"/>
    <n v="1500.4"/>
    <x v="731"/>
    <x v="8"/>
    <x v="4"/>
    <n v="7502"/>
    <m/>
    <m/>
    <n v="5"/>
  </r>
  <r>
    <x v="2842"/>
    <x v="560"/>
    <x v="4"/>
    <n v="5"/>
    <n v="5250"/>
    <x v="528"/>
    <x v="1"/>
    <x v="2"/>
    <n v="26250"/>
    <m/>
    <m/>
    <n v="7"/>
  </r>
  <r>
    <x v="2843"/>
    <x v="560"/>
    <x v="3"/>
    <n v="1"/>
    <n v="15.15"/>
    <x v="772"/>
    <x v="8"/>
    <x v="0"/>
    <n v="15.15"/>
    <m/>
    <m/>
    <n v="7"/>
  </r>
  <r>
    <x v="2844"/>
    <x v="560"/>
    <x v="1"/>
    <n v="4"/>
    <n v="162.63999999999999"/>
    <x v="578"/>
    <x v="6"/>
    <x v="2"/>
    <n v="650.55999999999995"/>
    <m/>
    <m/>
    <n v="7"/>
  </r>
  <r>
    <x v="2845"/>
    <x v="560"/>
    <x v="2"/>
    <n v="5"/>
    <n v="26.15"/>
    <x v="190"/>
    <x v="8"/>
    <x v="3"/>
    <n v="130.75"/>
    <m/>
    <m/>
    <n v="7"/>
  </r>
  <r>
    <x v="2846"/>
    <x v="560"/>
    <x v="1"/>
    <n v="2"/>
    <n v="81.319999999999993"/>
    <x v="165"/>
    <x v="6"/>
    <x v="3"/>
    <n v="162.63999999999999"/>
    <m/>
    <m/>
    <n v="10"/>
  </r>
  <r>
    <x v="2847"/>
    <x v="561"/>
    <x v="2"/>
    <n v="1"/>
    <n v="5.23"/>
    <x v="304"/>
    <x v="1"/>
    <x v="4"/>
    <n v="5.23"/>
    <m/>
    <m/>
    <n v="5"/>
  </r>
  <r>
    <x v="2848"/>
    <x v="561"/>
    <x v="6"/>
    <n v="4"/>
    <n v="143.36000000000001"/>
    <x v="579"/>
    <x v="6"/>
    <x v="2"/>
    <n v="573.44000000000005"/>
    <m/>
    <m/>
    <n v="7"/>
  </r>
  <r>
    <x v="2849"/>
    <x v="561"/>
    <x v="6"/>
    <n v="4"/>
    <n v="143.36000000000001"/>
    <x v="388"/>
    <x v="6"/>
    <x v="1"/>
    <n v="573.44000000000005"/>
    <m/>
    <m/>
    <n v="7"/>
  </r>
  <r>
    <x v="2850"/>
    <x v="561"/>
    <x v="5"/>
    <n v="4"/>
    <n v="2400.6799999999998"/>
    <x v="253"/>
    <x v="8"/>
    <x v="4"/>
    <n v="9602.7199999999993"/>
    <m/>
    <m/>
    <n v="7"/>
  </r>
  <r>
    <x v="2851"/>
    <x v="561"/>
    <x v="0"/>
    <n v="5"/>
    <n v="1500.4"/>
    <x v="528"/>
    <x v="1"/>
    <x v="2"/>
    <n v="7502"/>
    <m/>
    <m/>
    <n v="7"/>
  </r>
  <r>
    <x v="2852"/>
    <x v="562"/>
    <x v="6"/>
    <n v="1"/>
    <n v="35.840000000000003"/>
    <x v="131"/>
    <x v="1"/>
    <x v="2"/>
    <n v="35.840000000000003"/>
    <m/>
    <m/>
    <n v="5"/>
  </r>
  <r>
    <x v="2853"/>
    <x v="562"/>
    <x v="0"/>
    <n v="4"/>
    <n v="1200.32"/>
    <x v="202"/>
    <x v="0"/>
    <x v="1"/>
    <n v="4801.28"/>
    <m/>
    <m/>
    <n v="5"/>
  </r>
  <r>
    <x v="2854"/>
    <x v="562"/>
    <x v="1"/>
    <n v="1"/>
    <n v="40.659999999999997"/>
    <x v="736"/>
    <x v="0"/>
    <x v="2"/>
    <n v="40.659999999999997"/>
    <m/>
    <m/>
    <n v="5"/>
  </r>
  <r>
    <x v="2855"/>
    <x v="562"/>
    <x v="0"/>
    <n v="1"/>
    <n v="300.08"/>
    <x v="773"/>
    <x v="6"/>
    <x v="4"/>
    <n v="300.08"/>
    <m/>
    <m/>
    <n v="5"/>
  </r>
  <r>
    <x v="2856"/>
    <x v="562"/>
    <x v="3"/>
    <n v="5"/>
    <n v="75.75"/>
    <x v="454"/>
    <x v="3"/>
    <x v="1"/>
    <n v="378.75"/>
    <m/>
    <m/>
    <n v="7"/>
  </r>
  <r>
    <x v="2857"/>
    <x v="562"/>
    <x v="2"/>
    <n v="5"/>
    <n v="26.15"/>
    <x v="325"/>
    <x v="1"/>
    <x v="4"/>
    <n v="130.75"/>
    <m/>
    <m/>
    <n v="7"/>
  </r>
  <r>
    <x v="2858"/>
    <x v="562"/>
    <x v="6"/>
    <n v="4"/>
    <n v="143.36000000000001"/>
    <x v="35"/>
    <x v="5"/>
    <x v="2"/>
    <n v="573.44000000000005"/>
    <m/>
    <m/>
    <n v="7"/>
  </r>
  <r>
    <x v="2859"/>
    <x v="562"/>
    <x v="0"/>
    <n v="1"/>
    <n v="300.08"/>
    <x v="125"/>
    <x v="9"/>
    <x v="3"/>
    <n v="300.08"/>
    <m/>
    <m/>
    <n v="7"/>
  </r>
  <r>
    <x v="2860"/>
    <x v="562"/>
    <x v="1"/>
    <n v="5"/>
    <n v="203.3"/>
    <x v="32"/>
    <x v="4"/>
    <x v="3"/>
    <n v="1016.5"/>
    <m/>
    <m/>
    <n v="7"/>
  </r>
  <r>
    <x v="2861"/>
    <x v="563"/>
    <x v="5"/>
    <n v="2"/>
    <n v="1200.3399999999999"/>
    <x v="724"/>
    <x v="0"/>
    <x v="2"/>
    <n v="2400.6799999999998"/>
    <m/>
    <m/>
    <n v="5"/>
  </r>
  <r>
    <x v="2862"/>
    <x v="563"/>
    <x v="2"/>
    <n v="3"/>
    <n v="15.69"/>
    <x v="554"/>
    <x v="7"/>
    <x v="2"/>
    <n v="47.07"/>
    <m/>
    <m/>
    <n v="10"/>
  </r>
  <r>
    <x v="2863"/>
    <x v="564"/>
    <x v="1"/>
    <n v="2"/>
    <n v="81.319999999999993"/>
    <x v="275"/>
    <x v="2"/>
    <x v="3"/>
    <n v="162.63999999999999"/>
    <m/>
    <m/>
    <n v="5"/>
  </r>
  <r>
    <x v="2864"/>
    <x v="564"/>
    <x v="0"/>
    <n v="5"/>
    <n v="1500.4"/>
    <x v="353"/>
    <x v="2"/>
    <x v="1"/>
    <n v="7502"/>
    <m/>
    <m/>
    <n v="7"/>
  </r>
  <r>
    <x v="2865"/>
    <x v="564"/>
    <x v="6"/>
    <n v="1"/>
    <n v="35.840000000000003"/>
    <x v="412"/>
    <x v="6"/>
    <x v="4"/>
    <n v="35.840000000000003"/>
    <m/>
    <m/>
    <n v="7"/>
  </r>
  <r>
    <x v="2866"/>
    <x v="565"/>
    <x v="1"/>
    <n v="4"/>
    <n v="162.63999999999999"/>
    <x v="184"/>
    <x v="0"/>
    <x v="3"/>
    <n v="650.55999999999995"/>
    <m/>
    <m/>
    <n v="5"/>
  </r>
  <r>
    <x v="2867"/>
    <x v="565"/>
    <x v="2"/>
    <n v="3"/>
    <n v="15.69"/>
    <x v="315"/>
    <x v="9"/>
    <x v="0"/>
    <n v="47.07"/>
    <m/>
    <m/>
    <n v="5"/>
  </r>
  <r>
    <x v="2868"/>
    <x v="565"/>
    <x v="1"/>
    <n v="1"/>
    <n v="40.659999999999997"/>
    <x v="515"/>
    <x v="6"/>
    <x v="1"/>
    <n v="40.659999999999997"/>
    <m/>
    <m/>
    <n v="7"/>
  </r>
  <r>
    <x v="2869"/>
    <x v="565"/>
    <x v="2"/>
    <n v="1"/>
    <n v="5.23"/>
    <x v="256"/>
    <x v="0"/>
    <x v="1"/>
    <n v="5.23"/>
    <m/>
    <m/>
    <n v="7"/>
  </r>
  <r>
    <x v="2870"/>
    <x v="565"/>
    <x v="1"/>
    <n v="1"/>
    <n v="40.659999999999997"/>
    <x v="592"/>
    <x v="0"/>
    <x v="1"/>
    <n v="40.659999999999997"/>
    <m/>
    <m/>
    <n v="7"/>
  </r>
  <r>
    <x v="2871"/>
    <x v="566"/>
    <x v="6"/>
    <n v="3"/>
    <n v="107.52"/>
    <x v="226"/>
    <x v="7"/>
    <x v="0"/>
    <n v="322.56"/>
    <m/>
    <m/>
    <n v="5"/>
  </r>
  <r>
    <x v="2872"/>
    <x v="566"/>
    <x v="6"/>
    <n v="1"/>
    <n v="35.840000000000003"/>
    <x v="640"/>
    <x v="1"/>
    <x v="3"/>
    <n v="35.840000000000003"/>
    <m/>
    <m/>
    <n v="7"/>
  </r>
  <r>
    <x v="2873"/>
    <x v="567"/>
    <x v="5"/>
    <n v="5"/>
    <n v="3000.85"/>
    <x v="64"/>
    <x v="0"/>
    <x v="4"/>
    <n v="15004.25"/>
    <m/>
    <m/>
    <n v="5"/>
  </r>
  <r>
    <x v="2874"/>
    <x v="567"/>
    <x v="1"/>
    <n v="5"/>
    <n v="203.3"/>
    <x v="136"/>
    <x v="0"/>
    <x v="0"/>
    <n v="1016.5"/>
    <m/>
    <m/>
    <n v="5"/>
  </r>
  <r>
    <x v="2875"/>
    <x v="567"/>
    <x v="2"/>
    <n v="2"/>
    <n v="10.46"/>
    <x v="245"/>
    <x v="1"/>
    <x v="2"/>
    <n v="20.92"/>
    <m/>
    <m/>
    <n v="5"/>
  </r>
  <r>
    <x v="2876"/>
    <x v="567"/>
    <x v="1"/>
    <n v="2"/>
    <n v="81.319999999999993"/>
    <x v="720"/>
    <x v="4"/>
    <x v="0"/>
    <n v="162.63999999999999"/>
    <m/>
    <m/>
    <n v="5"/>
  </r>
  <r>
    <x v="2877"/>
    <x v="567"/>
    <x v="1"/>
    <n v="2"/>
    <n v="81.319999999999993"/>
    <x v="579"/>
    <x v="9"/>
    <x v="0"/>
    <n v="162.63999999999999"/>
    <m/>
    <m/>
    <n v="7"/>
  </r>
  <r>
    <x v="2878"/>
    <x v="567"/>
    <x v="0"/>
    <n v="4"/>
    <n v="1200.32"/>
    <x v="540"/>
    <x v="6"/>
    <x v="4"/>
    <n v="4801.28"/>
    <m/>
    <m/>
    <n v="7"/>
  </r>
  <r>
    <x v="2879"/>
    <x v="568"/>
    <x v="5"/>
    <n v="3"/>
    <n v="1800.51"/>
    <x v="69"/>
    <x v="1"/>
    <x v="3"/>
    <n v="5401.53"/>
    <m/>
    <m/>
    <n v="5"/>
  </r>
  <r>
    <x v="2880"/>
    <x v="568"/>
    <x v="2"/>
    <n v="3"/>
    <n v="15.69"/>
    <x v="757"/>
    <x v="6"/>
    <x v="2"/>
    <n v="47.07"/>
    <m/>
    <m/>
    <n v="5"/>
  </r>
  <r>
    <x v="2881"/>
    <x v="568"/>
    <x v="6"/>
    <n v="4"/>
    <n v="143.36000000000001"/>
    <x v="774"/>
    <x v="1"/>
    <x v="3"/>
    <n v="573.44000000000005"/>
    <m/>
    <m/>
    <n v="7"/>
  </r>
  <r>
    <x v="2882"/>
    <x v="568"/>
    <x v="0"/>
    <n v="2"/>
    <n v="600.16"/>
    <x v="124"/>
    <x v="5"/>
    <x v="0"/>
    <n v="1200.32"/>
    <m/>
    <m/>
    <n v="7"/>
  </r>
  <r>
    <x v="2883"/>
    <x v="568"/>
    <x v="0"/>
    <n v="1"/>
    <n v="300.08"/>
    <x v="11"/>
    <x v="1"/>
    <x v="1"/>
    <n v="300.08"/>
    <m/>
    <m/>
    <n v="7"/>
  </r>
  <r>
    <x v="2884"/>
    <x v="569"/>
    <x v="2"/>
    <n v="5"/>
    <n v="26.15"/>
    <x v="44"/>
    <x v="0"/>
    <x v="0"/>
    <n v="130.75"/>
    <m/>
    <m/>
    <n v="7"/>
  </r>
  <r>
    <x v="2885"/>
    <x v="569"/>
    <x v="2"/>
    <n v="2"/>
    <n v="10.46"/>
    <x v="702"/>
    <x v="6"/>
    <x v="1"/>
    <n v="20.92"/>
    <m/>
    <m/>
    <n v="7"/>
  </r>
  <r>
    <x v="2886"/>
    <x v="569"/>
    <x v="2"/>
    <n v="4"/>
    <n v="20.92"/>
    <x v="451"/>
    <x v="0"/>
    <x v="4"/>
    <n v="83.68"/>
    <m/>
    <m/>
    <n v="10"/>
  </r>
  <r>
    <x v="2887"/>
    <x v="570"/>
    <x v="0"/>
    <n v="3"/>
    <n v="900.24"/>
    <x v="731"/>
    <x v="8"/>
    <x v="4"/>
    <n v="2700.7200000000003"/>
    <m/>
    <m/>
    <n v="5"/>
  </r>
  <r>
    <x v="2888"/>
    <x v="570"/>
    <x v="0"/>
    <n v="2"/>
    <n v="600.16"/>
    <x v="46"/>
    <x v="2"/>
    <x v="4"/>
    <n v="1200.32"/>
    <m/>
    <m/>
    <n v="5"/>
  </r>
  <r>
    <x v="2889"/>
    <x v="570"/>
    <x v="0"/>
    <n v="4"/>
    <n v="1200.32"/>
    <x v="569"/>
    <x v="5"/>
    <x v="1"/>
    <n v="4801.28"/>
    <m/>
    <m/>
    <n v="5"/>
  </r>
  <r>
    <x v="2890"/>
    <x v="570"/>
    <x v="5"/>
    <n v="2"/>
    <n v="1200.3399999999999"/>
    <x v="2"/>
    <x v="4"/>
    <x v="3"/>
    <n v="2400.6799999999998"/>
    <m/>
    <m/>
    <n v="7"/>
  </r>
  <r>
    <x v="2891"/>
    <x v="570"/>
    <x v="4"/>
    <n v="2"/>
    <n v="2100"/>
    <x v="754"/>
    <x v="6"/>
    <x v="1"/>
    <n v="4200"/>
    <m/>
    <m/>
    <n v="7"/>
  </r>
  <r>
    <x v="2892"/>
    <x v="570"/>
    <x v="5"/>
    <n v="5"/>
    <n v="3000.85"/>
    <x v="631"/>
    <x v="1"/>
    <x v="2"/>
    <n v="15004.25"/>
    <m/>
    <m/>
    <n v="7"/>
  </r>
  <r>
    <x v="2893"/>
    <x v="571"/>
    <x v="3"/>
    <n v="4"/>
    <n v="60.6"/>
    <x v="226"/>
    <x v="6"/>
    <x v="4"/>
    <n v="242.4"/>
    <m/>
    <m/>
    <n v="5"/>
  </r>
  <r>
    <x v="2894"/>
    <x v="571"/>
    <x v="0"/>
    <n v="2"/>
    <n v="600.16"/>
    <x v="282"/>
    <x v="5"/>
    <x v="1"/>
    <n v="1200.32"/>
    <m/>
    <m/>
    <n v="7"/>
  </r>
  <r>
    <x v="2895"/>
    <x v="572"/>
    <x v="6"/>
    <n v="3"/>
    <n v="107.52"/>
    <x v="348"/>
    <x v="5"/>
    <x v="3"/>
    <n v="322.56"/>
    <m/>
    <m/>
    <n v="7"/>
  </r>
  <r>
    <x v="2896"/>
    <x v="572"/>
    <x v="6"/>
    <n v="5"/>
    <n v="179.2"/>
    <x v="266"/>
    <x v="6"/>
    <x v="3"/>
    <n v="896"/>
    <m/>
    <m/>
    <n v="7"/>
  </r>
  <r>
    <x v="2897"/>
    <x v="572"/>
    <x v="0"/>
    <n v="3"/>
    <n v="900.24"/>
    <x v="125"/>
    <x v="6"/>
    <x v="3"/>
    <n v="2700.7200000000003"/>
    <m/>
    <m/>
    <n v="7"/>
  </r>
  <r>
    <x v="2898"/>
    <x v="573"/>
    <x v="6"/>
    <n v="4"/>
    <n v="143.36000000000001"/>
    <x v="657"/>
    <x v="6"/>
    <x v="3"/>
    <n v="573.44000000000005"/>
    <m/>
    <m/>
    <n v="5"/>
  </r>
  <r>
    <x v="2899"/>
    <x v="573"/>
    <x v="3"/>
    <n v="5"/>
    <n v="75.75"/>
    <x v="681"/>
    <x v="1"/>
    <x v="1"/>
    <n v="378.75"/>
    <m/>
    <m/>
    <n v="7"/>
  </r>
  <r>
    <x v="2900"/>
    <x v="574"/>
    <x v="4"/>
    <n v="2"/>
    <n v="2100"/>
    <x v="524"/>
    <x v="6"/>
    <x v="4"/>
    <n v="4200"/>
    <m/>
    <m/>
    <n v="5"/>
  </r>
  <r>
    <x v="2901"/>
    <x v="574"/>
    <x v="0"/>
    <n v="2"/>
    <n v="600.16"/>
    <x v="221"/>
    <x v="6"/>
    <x v="3"/>
    <n v="1200.32"/>
    <m/>
    <m/>
    <n v="5"/>
  </r>
  <r>
    <x v="2902"/>
    <x v="574"/>
    <x v="0"/>
    <n v="4"/>
    <n v="1200.32"/>
    <x v="568"/>
    <x v="6"/>
    <x v="1"/>
    <n v="4801.28"/>
    <m/>
    <m/>
    <n v="5"/>
  </r>
  <r>
    <x v="2903"/>
    <x v="574"/>
    <x v="1"/>
    <n v="4"/>
    <n v="162.63999999999999"/>
    <x v="66"/>
    <x v="0"/>
    <x v="0"/>
    <n v="650.55999999999995"/>
    <m/>
    <m/>
    <n v="7"/>
  </r>
  <r>
    <x v="2904"/>
    <x v="574"/>
    <x v="6"/>
    <n v="5"/>
    <n v="179.2"/>
    <x v="325"/>
    <x v="5"/>
    <x v="3"/>
    <n v="896"/>
    <m/>
    <m/>
    <n v="7"/>
  </r>
  <r>
    <x v="2905"/>
    <x v="574"/>
    <x v="1"/>
    <n v="4"/>
    <n v="162.63999999999999"/>
    <x v="681"/>
    <x v="6"/>
    <x v="3"/>
    <n v="650.55999999999995"/>
    <m/>
    <m/>
    <n v="7"/>
  </r>
  <r>
    <x v="2906"/>
    <x v="575"/>
    <x v="1"/>
    <n v="5"/>
    <n v="203.3"/>
    <x v="230"/>
    <x v="0"/>
    <x v="4"/>
    <n v="1016.5"/>
    <m/>
    <m/>
    <n v="5"/>
  </r>
  <r>
    <x v="2907"/>
    <x v="575"/>
    <x v="5"/>
    <n v="4"/>
    <n v="2400.6799999999998"/>
    <x v="48"/>
    <x v="0"/>
    <x v="4"/>
    <n v="9602.7199999999993"/>
    <m/>
    <m/>
    <n v="7"/>
  </r>
  <r>
    <x v="2908"/>
    <x v="575"/>
    <x v="5"/>
    <n v="5"/>
    <n v="3000.85"/>
    <x v="544"/>
    <x v="7"/>
    <x v="1"/>
    <n v="15004.25"/>
    <m/>
    <m/>
    <n v="7"/>
  </r>
  <r>
    <x v="2909"/>
    <x v="575"/>
    <x v="1"/>
    <n v="3"/>
    <n v="121.98"/>
    <x v="506"/>
    <x v="6"/>
    <x v="1"/>
    <n v="365.94"/>
    <m/>
    <m/>
    <n v="7"/>
  </r>
  <r>
    <x v="2910"/>
    <x v="575"/>
    <x v="0"/>
    <n v="2"/>
    <n v="600.16"/>
    <x v="411"/>
    <x v="0"/>
    <x v="1"/>
    <n v="1200.32"/>
    <m/>
    <m/>
    <n v="7"/>
  </r>
  <r>
    <x v="2911"/>
    <x v="575"/>
    <x v="4"/>
    <n v="4"/>
    <n v="4200"/>
    <x v="532"/>
    <x v="6"/>
    <x v="0"/>
    <n v="16800"/>
    <m/>
    <m/>
    <n v="7"/>
  </r>
  <r>
    <x v="2912"/>
    <x v="575"/>
    <x v="0"/>
    <n v="3"/>
    <n v="900.24"/>
    <x v="702"/>
    <x v="4"/>
    <x v="2"/>
    <n v="2700.7200000000003"/>
    <m/>
    <m/>
    <n v="7"/>
  </r>
  <r>
    <x v="2913"/>
    <x v="575"/>
    <x v="6"/>
    <n v="1"/>
    <n v="35.840000000000003"/>
    <x v="751"/>
    <x v="1"/>
    <x v="4"/>
    <n v="35.840000000000003"/>
    <m/>
    <m/>
    <n v="10"/>
  </r>
  <r>
    <x v="2914"/>
    <x v="575"/>
    <x v="0"/>
    <n v="3"/>
    <n v="900.24"/>
    <x v="436"/>
    <x v="6"/>
    <x v="4"/>
    <n v="2700.7200000000003"/>
    <m/>
    <m/>
    <n v="10"/>
  </r>
  <r>
    <x v="2915"/>
    <x v="576"/>
    <x v="4"/>
    <n v="3"/>
    <n v="3150"/>
    <x v="78"/>
    <x v="2"/>
    <x v="2"/>
    <n v="9450"/>
    <m/>
    <m/>
    <n v="5"/>
  </r>
  <r>
    <x v="2916"/>
    <x v="576"/>
    <x v="4"/>
    <n v="4"/>
    <n v="4200"/>
    <x v="647"/>
    <x v="1"/>
    <x v="0"/>
    <n v="16800"/>
    <m/>
    <m/>
    <n v="7"/>
  </r>
  <r>
    <x v="2917"/>
    <x v="576"/>
    <x v="6"/>
    <n v="1"/>
    <n v="35.840000000000003"/>
    <x v="281"/>
    <x v="3"/>
    <x v="1"/>
    <n v="35.840000000000003"/>
    <m/>
    <m/>
    <n v="7"/>
  </r>
  <r>
    <x v="2918"/>
    <x v="576"/>
    <x v="2"/>
    <n v="1"/>
    <n v="5.23"/>
    <x v="443"/>
    <x v="0"/>
    <x v="1"/>
    <n v="5.23"/>
    <m/>
    <m/>
    <n v="7"/>
  </r>
  <r>
    <x v="2919"/>
    <x v="577"/>
    <x v="3"/>
    <n v="1"/>
    <n v="15.15"/>
    <x v="239"/>
    <x v="1"/>
    <x v="0"/>
    <n v="15.15"/>
    <m/>
    <m/>
    <n v="5"/>
  </r>
  <r>
    <x v="2920"/>
    <x v="577"/>
    <x v="0"/>
    <n v="4"/>
    <n v="1200.32"/>
    <x v="623"/>
    <x v="9"/>
    <x v="0"/>
    <n v="4801.28"/>
    <m/>
    <m/>
    <n v="5"/>
  </r>
  <r>
    <x v="2921"/>
    <x v="577"/>
    <x v="5"/>
    <n v="3"/>
    <n v="1800.51"/>
    <x v="726"/>
    <x v="1"/>
    <x v="2"/>
    <n v="5401.53"/>
    <m/>
    <m/>
    <n v="7"/>
  </r>
  <r>
    <x v="2922"/>
    <x v="577"/>
    <x v="0"/>
    <n v="3"/>
    <n v="900.24"/>
    <x v="235"/>
    <x v="1"/>
    <x v="0"/>
    <n v="2700.7200000000003"/>
    <m/>
    <m/>
    <n v="7"/>
  </r>
  <r>
    <x v="2923"/>
    <x v="577"/>
    <x v="2"/>
    <n v="3"/>
    <n v="15.69"/>
    <x v="753"/>
    <x v="0"/>
    <x v="1"/>
    <n v="47.07"/>
    <m/>
    <m/>
    <n v="7"/>
  </r>
  <r>
    <x v="2924"/>
    <x v="577"/>
    <x v="5"/>
    <n v="1"/>
    <n v="600.16999999999996"/>
    <x v="491"/>
    <x v="0"/>
    <x v="3"/>
    <n v="600.16999999999996"/>
    <m/>
    <m/>
    <n v="7"/>
  </r>
  <r>
    <x v="2925"/>
    <x v="577"/>
    <x v="0"/>
    <n v="5"/>
    <n v="1500.4"/>
    <x v="450"/>
    <x v="0"/>
    <x v="1"/>
    <n v="7502"/>
    <m/>
    <m/>
    <n v="7"/>
  </r>
  <r>
    <x v="2926"/>
    <x v="578"/>
    <x v="0"/>
    <n v="2"/>
    <n v="600.16"/>
    <x v="757"/>
    <x v="1"/>
    <x v="0"/>
    <n v="1200.32"/>
    <m/>
    <m/>
    <n v="5"/>
  </r>
  <r>
    <x v="2927"/>
    <x v="578"/>
    <x v="6"/>
    <n v="4"/>
    <n v="143.36000000000001"/>
    <x v="502"/>
    <x v="1"/>
    <x v="3"/>
    <n v="573.44000000000005"/>
    <m/>
    <m/>
    <n v="5"/>
  </r>
  <r>
    <x v="2928"/>
    <x v="578"/>
    <x v="0"/>
    <n v="4"/>
    <n v="1200.32"/>
    <x v="540"/>
    <x v="8"/>
    <x v="1"/>
    <n v="4801.28"/>
    <m/>
    <m/>
    <n v="7"/>
  </r>
  <r>
    <x v="2929"/>
    <x v="578"/>
    <x v="0"/>
    <n v="2"/>
    <n v="600.16"/>
    <x v="601"/>
    <x v="4"/>
    <x v="4"/>
    <n v="1200.32"/>
    <m/>
    <m/>
    <n v="7"/>
  </r>
  <r>
    <x v="2930"/>
    <x v="579"/>
    <x v="4"/>
    <n v="2"/>
    <n v="2100"/>
    <x v="275"/>
    <x v="3"/>
    <x v="3"/>
    <n v="4200"/>
    <m/>
    <m/>
    <n v="5"/>
  </r>
  <r>
    <x v="2931"/>
    <x v="579"/>
    <x v="2"/>
    <n v="5"/>
    <n v="26.15"/>
    <x v="775"/>
    <x v="4"/>
    <x v="1"/>
    <n v="130.75"/>
    <m/>
    <m/>
    <n v="5"/>
  </r>
  <r>
    <x v="2932"/>
    <x v="579"/>
    <x v="6"/>
    <n v="4"/>
    <n v="143.36000000000001"/>
    <x v="688"/>
    <x v="3"/>
    <x v="3"/>
    <n v="573.44000000000005"/>
    <m/>
    <m/>
    <n v="5"/>
  </r>
  <r>
    <x v="2933"/>
    <x v="579"/>
    <x v="0"/>
    <n v="4"/>
    <n v="1200.32"/>
    <x v="326"/>
    <x v="0"/>
    <x v="2"/>
    <n v="4801.28"/>
    <m/>
    <m/>
    <n v="5"/>
  </r>
  <r>
    <x v="2934"/>
    <x v="579"/>
    <x v="7"/>
    <n v="4"/>
    <n v="46.92"/>
    <x v="585"/>
    <x v="0"/>
    <x v="2"/>
    <n v="187.68"/>
    <m/>
    <m/>
    <n v="7"/>
  </r>
  <r>
    <x v="2935"/>
    <x v="580"/>
    <x v="3"/>
    <n v="3"/>
    <n v="45.45"/>
    <x v="312"/>
    <x v="1"/>
    <x v="3"/>
    <n v="136.35000000000002"/>
    <m/>
    <m/>
    <n v="5"/>
  </r>
  <r>
    <x v="2936"/>
    <x v="580"/>
    <x v="7"/>
    <n v="5"/>
    <n v="58.65"/>
    <x v="266"/>
    <x v="4"/>
    <x v="2"/>
    <n v="293.25"/>
    <m/>
    <m/>
    <n v="7"/>
  </r>
  <r>
    <x v="2937"/>
    <x v="580"/>
    <x v="5"/>
    <n v="4"/>
    <n v="2400.6799999999998"/>
    <x v="218"/>
    <x v="4"/>
    <x v="1"/>
    <n v="9602.7199999999993"/>
    <m/>
    <m/>
    <n v="7"/>
  </r>
  <r>
    <x v="2938"/>
    <x v="581"/>
    <x v="5"/>
    <n v="2"/>
    <n v="1200.3399999999999"/>
    <x v="317"/>
    <x v="0"/>
    <x v="2"/>
    <n v="2400.6799999999998"/>
    <m/>
    <m/>
    <n v="5"/>
  </r>
  <r>
    <x v="2939"/>
    <x v="581"/>
    <x v="4"/>
    <n v="2"/>
    <n v="2100"/>
    <x v="701"/>
    <x v="0"/>
    <x v="2"/>
    <n v="4200"/>
    <m/>
    <m/>
    <n v="7"/>
  </r>
  <r>
    <x v="2940"/>
    <x v="582"/>
    <x v="6"/>
    <n v="5"/>
    <n v="179.2"/>
    <x v="541"/>
    <x v="2"/>
    <x v="0"/>
    <n v="896"/>
    <m/>
    <m/>
    <n v="5"/>
  </r>
  <r>
    <x v="2941"/>
    <x v="582"/>
    <x v="3"/>
    <n v="5"/>
    <n v="75.75"/>
    <x v="39"/>
    <x v="6"/>
    <x v="1"/>
    <n v="378.75"/>
    <m/>
    <m/>
    <n v="5"/>
  </r>
  <r>
    <x v="2942"/>
    <x v="582"/>
    <x v="1"/>
    <n v="1"/>
    <n v="40.659999999999997"/>
    <x v="208"/>
    <x v="9"/>
    <x v="3"/>
    <n v="40.659999999999997"/>
    <m/>
    <m/>
    <n v="5"/>
  </r>
  <r>
    <x v="2943"/>
    <x v="582"/>
    <x v="2"/>
    <n v="5"/>
    <n v="26.15"/>
    <x v="468"/>
    <x v="5"/>
    <x v="3"/>
    <n v="130.75"/>
    <m/>
    <m/>
    <n v="7"/>
  </r>
  <r>
    <x v="2944"/>
    <x v="582"/>
    <x v="1"/>
    <n v="1"/>
    <n v="40.659999999999997"/>
    <x v="530"/>
    <x v="4"/>
    <x v="1"/>
    <n v="40.659999999999997"/>
    <m/>
    <m/>
    <n v="7"/>
  </r>
  <r>
    <x v="2945"/>
    <x v="582"/>
    <x v="4"/>
    <n v="4"/>
    <n v="4200"/>
    <x v="772"/>
    <x v="1"/>
    <x v="3"/>
    <n v="16800"/>
    <m/>
    <m/>
    <n v="7"/>
  </r>
  <r>
    <x v="2946"/>
    <x v="583"/>
    <x v="5"/>
    <n v="3"/>
    <n v="1800.51"/>
    <x v="276"/>
    <x v="2"/>
    <x v="1"/>
    <n v="5401.53"/>
    <m/>
    <m/>
    <n v="5"/>
  </r>
  <r>
    <x v="2947"/>
    <x v="583"/>
    <x v="0"/>
    <n v="3"/>
    <n v="900.24"/>
    <x v="92"/>
    <x v="4"/>
    <x v="3"/>
    <n v="2700.7200000000003"/>
    <m/>
    <m/>
    <n v="5"/>
  </r>
  <r>
    <x v="2948"/>
    <x v="583"/>
    <x v="1"/>
    <n v="4"/>
    <n v="162.63999999999999"/>
    <x v="127"/>
    <x v="0"/>
    <x v="1"/>
    <n v="650.55999999999995"/>
    <m/>
    <m/>
    <n v="7"/>
  </r>
  <r>
    <x v="2949"/>
    <x v="583"/>
    <x v="0"/>
    <n v="2"/>
    <n v="600.16"/>
    <x v="625"/>
    <x v="1"/>
    <x v="4"/>
    <n v="1200.32"/>
    <m/>
    <m/>
    <n v="7"/>
  </r>
  <r>
    <x v="2950"/>
    <x v="583"/>
    <x v="0"/>
    <n v="1"/>
    <n v="300.08"/>
    <x v="125"/>
    <x v="4"/>
    <x v="0"/>
    <n v="300.08"/>
    <m/>
    <m/>
    <n v="7"/>
  </r>
  <r>
    <x v="2951"/>
    <x v="583"/>
    <x v="0"/>
    <n v="2"/>
    <n v="600.16"/>
    <x v="350"/>
    <x v="0"/>
    <x v="4"/>
    <n v="1200.32"/>
    <m/>
    <m/>
    <n v="7"/>
  </r>
  <r>
    <x v="2952"/>
    <x v="583"/>
    <x v="5"/>
    <n v="2"/>
    <n v="1200.3399999999999"/>
    <x v="368"/>
    <x v="6"/>
    <x v="1"/>
    <n v="2400.6799999999998"/>
    <m/>
    <m/>
    <n v="7"/>
  </r>
  <r>
    <x v="2953"/>
    <x v="583"/>
    <x v="5"/>
    <n v="5"/>
    <n v="3000.85"/>
    <x v="413"/>
    <x v="1"/>
    <x v="4"/>
    <n v="15004.25"/>
    <m/>
    <m/>
    <n v="7"/>
  </r>
  <r>
    <x v="2954"/>
    <x v="584"/>
    <x v="6"/>
    <n v="4"/>
    <n v="143.36000000000001"/>
    <x v="635"/>
    <x v="0"/>
    <x v="3"/>
    <n v="573.44000000000005"/>
    <m/>
    <m/>
    <n v="5"/>
  </r>
  <r>
    <x v="2955"/>
    <x v="584"/>
    <x v="5"/>
    <n v="3"/>
    <n v="1800.51"/>
    <x v="606"/>
    <x v="7"/>
    <x v="4"/>
    <n v="5401.53"/>
    <m/>
    <m/>
    <n v="5"/>
  </r>
  <r>
    <x v="2956"/>
    <x v="584"/>
    <x v="2"/>
    <n v="3"/>
    <n v="15.69"/>
    <x v="745"/>
    <x v="1"/>
    <x v="4"/>
    <n v="47.07"/>
    <m/>
    <m/>
    <n v="5"/>
  </r>
  <r>
    <x v="2957"/>
    <x v="584"/>
    <x v="6"/>
    <n v="3"/>
    <n v="107.52"/>
    <x v="354"/>
    <x v="0"/>
    <x v="4"/>
    <n v="322.56"/>
    <m/>
    <m/>
    <n v="5"/>
  </r>
  <r>
    <x v="2958"/>
    <x v="584"/>
    <x v="0"/>
    <n v="1"/>
    <n v="300.08"/>
    <x v="747"/>
    <x v="4"/>
    <x v="4"/>
    <n v="300.08"/>
    <m/>
    <m/>
    <n v="7"/>
  </r>
  <r>
    <x v="2959"/>
    <x v="584"/>
    <x v="6"/>
    <n v="3"/>
    <n v="107.52"/>
    <x v="608"/>
    <x v="5"/>
    <x v="3"/>
    <n v="322.56"/>
    <m/>
    <m/>
    <n v="10"/>
  </r>
  <r>
    <x v="2960"/>
    <x v="585"/>
    <x v="0"/>
    <n v="3"/>
    <n v="900.24"/>
    <x v="484"/>
    <x v="1"/>
    <x v="3"/>
    <n v="2700.7200000000003"/>
    <m/>
    <m/>
    <n v="5"/>
  </r>
  <r>
    <x v="2961"/>
    <x v="585"/>
    <x v="6"/>
    <n v="3"/>
    <n v="107.52"/>
    <x v="585"/>
    <x v="0"/>
    <x v="3"/>
    <n v="322.56"/>
    <m/>
    <m/>
    <n v="7"/>
  </r>
  <r>
    <x v="2962"/>
    <x v="585"/>
    <x v="1"/>
    <n v="2"/>
    <n v="81.319999999999993"/>
    <x v="506"/>
    <x v="1"/>
    <x v="3"/>
    <n v="162.63999999999999"/>
    <m/>
    <m/>
    <n v="7"/>
  </r>
  <r>
    <x v="2963"/>
    <x v="585"/>
    <x v="0"/>
    <n v="1"/>
    <n v="300.08"/>
    <x v="361"/>
    <x v="0"/>
    <x v="4"/>
    <n v="300.08"/>
    <m/>
    <m/>
    <n v="7"/>
  </r>
  <r>
    <x v="2964"/>
    <x v="585"/>
    <x v="0"/>
    <n v="3"/>
    <n v="900.24"/>
    <x v="776"/>
    <x v="1"/>
    <x v="2"/>
    <n v="2700.7200000000003"/>
    <m/>
    <m/>
    <n v="10"/>
  </r>
  <r>
    <x v="2965"/>
    <x v="586"/>
    <x v="0"/>
    <n v="4"/>
    <n v="1200.32"/>
    <x v="265"/>
    <x v="4"/>
    <x v="1"/>
    <n v="4801.28"/>
    <m/>
    <m/>
    <n v="5"/>
  </r>
  <r>
    <x v="2966"/>
    <x v="586"/>
    <x v="1"/>
    <n v="4"/>
    <n v="162.63999999999999"/>
    <x v="605"/>
    <x v="6"/>
    <x v="3"/>
    <n v="650.55999999999995"/>
    <m/>
    <m/>
    <n v="7"/>
  </r>
  <r>
    <x v="2967"/>
    <x v="587"/>
    <x v="0"/>
    <n v="5"/>
    <n v="1500.4"/>
    <x v="62"/>
    <x v="6"/>
    <x v="3"/>
    <n v="7502"/>
    <m/>
    <m/>
    <n v="5"/>
  </r>
  <r>
    <x v="2968"/>
    <x v="587"/>
    <x v="0"/>
    <n v="3"/>
    <n v="900.24"/>
    <x v="662"/>
    <x v="6"/>
    <x v="1"/>
    <n v="2700.7200000000003"/>
    <m/>
    <m/>
    <n v="5"/>
  </r>
  <r>
    <x v="2969"/>
    <x v="587"/>
    <x v="2"/>
    <n v="2"/>
    <n v="10.46"/>
    <x v="270"/>
    <x v="6"/>
    <x v="4"/>
    <n v="20.92"/>
    <m/>
    <m/>
    <n v="5"/>
  </r>
  <r>
    <x v="2970"/>
    <x v="587"/>
    <x v="5"/>
    <n v="5"/>
    <n v="3000.85"/>
    <x v="250"/>
    <x v="6"/>
    <x v="0"/>
    <n v="15004.25"/>
    <m/>
    <m/>
    <n v="7"/>
  </r>
  <r>
    <x v="2971"/>
    <x v="588"/>
    <x v="2"/>
    <n v="1"/>
    <n v="5.23"/>
    <x v="173"/>
    <x v="1"/>
    <x v="1"/>
    <n v="5.23"/>
    <m/>
    <m/>
    <n v="5"/>
  </r>
  <r>
    <x v="2972"/>
    <x v="588"/>
    <x v="5"/>
    <n v="4"/>
    <n v="2400.6799999999998"/>
    <x v="92"/>
    <x v="2"/>
    <x v="3"/>
    <n v="9602.7199999999993"/>
    <m/>
    <m/>
    <n v="5"/>
  </r>
  <r>
    <x v="2973"/>
    <x v="588"/>
    <x v="0"/>
    <n v="2"/>
    <n v="600.16"/>
    <x v="738"/>
    <x v="6"/>
    <x v="2"/>
    <n v="1200.32"/>
    <m/>
    <m/>
    <n v="7"/>
  </r>
  <r>
    <x v="2974"/>
    <x v="588"/>
    <x v="7"/>
    <n v="1"/>
    <n v="11.73"/>
    <x v="331"/>
    <x v="6"/>
    <x v="3"/>
    <n v="11.73"/>
    <m/>
    <m/>
    <n v="7"/>
  </r>
  <r>
    <x v="2975"/>
    <x v="589"/>
    <x v="4"/>
    <n v="3"/>
    <n v="3150"/>
    <x v="169"/>
    <x v="1"/>
    <x v="1"/>
    <n v="9450"/>
    <m/>
    <m/>
    <n v="7"/>
  </r>
  <r>
    <x v="2976"/>
    <x v="589"/>
    <x v="0"/>
    <n v="5"/>
    <n v="1500.4"/>
    <x v="570"/>
    <x v="6"/>
    <x v="2"/>
    <n v="7502"/>
    <m/>
    <m/>
    <n v="7"/>
  </r>
  <r>
    <x v="2977"/>
    <x v="589"/>
    <x v="6"/>
    <n v="1"/>
    <n v="35.840000000000003"/>
    <x v="206"/>
    <x v="1"/>
    <x v="1"/>
    <n v="35.840000000000003"/>
    <m/>
    <m/>
    <n v="7"/>
  </r>
  <r>
    <x v="2978"/>
    <x v="589"/>
    <x v="0"/>
    <n v="2"/>
    <n v="600.16"/>
    <x v="772"/>
    <x v="0"/>
    <x v="1"/>
    <n v="1200.32"/>
    <m/>
    <m/>
    <n v="7"/>
  </r>
  <r>
    <x v="2979"/>
    <x v="589"/>
    <x v="6"/>
    <n v="5"/>
    <n v="179.2"/>
    <x v="514"/>
    <x v="0"/>
    <x v="3"/>
    <n v="896"/>
    <m/>
    <m/>
    <n v="7"/>
  </r>
  <r>
    <x v="2980"/>
    <x v="590"/>
    <x v="2"/>
    <n v="3"/>
    <n v="15.69"/>
    <x v="285"/>
    <x v="4"/>
    <x v="2"/>
    <n v="47.07"/>
    <m/>
    <m/>
    <n v="5"/>
  </r>
  <r>
    <x v="2981"/>
    <x v="590"/>
    <x v="1"/>
    <n v="2"/>
    <n v="81.319999999999993"/>
    <x v="723"/>
    <x v="1"/>
    <x v="2"/>
    <n v="162.63999999999999"/>
    <m/>
    <m/>
    <n v="5"/>
  </r>
  <r>
    <x v="2982"/>
    <x v="590"/>
    <x v="0"/>
    <n v="1"/>
    <n v="300.08"/>
    <x v="217"/>
    <x v="5"/>
    <x v="2"/>
    <n v="300.08"/>
    <m/>
    <m/>
    <n v="7"/>
  </r>
  <r>
    <x v="2983"/>
    <x v="591"/>
    <x v="1"/>
    <n v="2"/>
    <n v="81.319999999999993"/>
    <x v="695"/>
    <x v="1"/>
    <x v="1"/>
    <n v="162.63999999999999"/>
    <m/>
    <m/>
    <n v="5"/>
  </r>
  <r>
    <x v="2984"/>
    <x v="591"/>
    <x v="0"/>
    <n v="3"/>
    <n v="900.24"/>
    <x v="121"/>
    <x v="9"/>
    <x v="1"/>
    <n v="2700.7200000000003"/>
    <m/>
    <m/>
    <n v="5"/>
  </r>
  <r>
    <x v="2985"/>
    <x v="591"/>
    <x v="5"/>
    <n v="5"/>
    <n v="3000.85"/>
    <x v="175"/>
    <x v="5"/>
    <x v="1"/>
    <n v="15004.25"/>
    <m/>
    <m/>
    <n v="5"/>
  </r>
  <r>
    <x v="2986"/>
    <x v="591"/>
    <x v="2"/>
    <n v="4"/>
    <n v="20.92"/>
    <x v="9"/>
    <x v="1"/>
    <x v="0"/>
    <n v="83.68"/>
    <m/>
    <m/>
    <n v="7"/>
  </r>
  <r>
    <x v="2987"/>
    <x v="591"/>
    <x v="2"/>
    <n v="4"/>
    <n v="20.92"/>
    <x v="510"/>
    <x v="6"/>
    <x v="1"/>
    <n v="83.68"/>
    <m/>
    <m/>
    <n v="7"/>
  </r>
  <r>
    <x v="2988"/>
    <x v="591"/>
    <x v="0"/>
    <n v="1"/>
    <n v="300.08"/>
    <x v="263"/>
    <x v="0"/>
    <x v="0"/>
    <n v="300.08"/>
    <m/>
    <m/>
    <n v="7"/>
  </r>
  <r>
    <x v="2989"/>
    <x v="591"/>
    <x v="1"/>
    <n v="2"/>
    <n v="81.319999999999993"/>
    <x v="256"/>
    <x v="6"/>
    <x v="2"/>
    <n v="162.63999999999999"/>
    <m/>
    <m/>
    <n v="7"/>
  </r>
  <r>
    <x v="2990"/>
    <x v="591"/>
    <x v="2"/>
    <n v="2"/>
    <n v="10.46"/>
    <x v="770"/>
    <x v="9"/>
    <x v="3"/>
    <n v="20.92"/>
    <m/>
    <m/>
    <n v="7"/>
  </r>
  <r>
    <x v="2991"/>
    <x v="591"/>
    <x v="6"/>
    <n v="5"/>
    <n v="179.2"/>
    <x v="514"/>
    <x v="0"/>
    <x v="3"/>
    <n v="896"/>
    <m/>
    <m/>
    <n v="7"/>
  </r>
  <r>
    <x v="2992"/>
    <x v="592"/>
    <x v="0"/>
    <n v="4"/>
    <n v="1200.32"/>
    <x v="292"/>
    <x v="9"/>
    <x v="0"/>
    <n v="4801.28"/>
    <m/>
    <m/>
    <n v="5"/>
  </r>
  <r>
    <x v="2993"/>
    <x v="592"/>
    <x v="7"/>
    <n v="3"/>
    <n v="35.19"/>
    <x v="557"/>
    <x v="9"/>
    <x v="2"/>
    <n v="105.57"/>
    <m/>
    <m/>
    <n v="7"/>
  </r>
  <r>
    <x v="2994"/>
    <x v="592"/>
    <x v="0"/>
    <n v="2"/>
    <n v="600.16"/>
    <x v="129"/>
    <x v="9"/>
    <x v="4"/>
    <n v="1200.32"/>
    <m/>
    <m/>
    <n v="7"/>
  </r>
  <r>
    <x v="2995"/>
    <x v="592"/>
    <x v="2"/>
    <n v="5"/>
    <n v="26.15"/>
    <x v="559"/>
    <x v="4"/>
    <x v="4"/>
    <n v="130.75"/>
    <m/>
    <m/>
    <n v="7"/>
  </r>
  <r>
    <x v="2996"/>
    <x v="592"/>
    <x v="2"/>
    <n v="2"/>
    <n v="10.46"/>
    <x v="407"/>
    <x v="0"/>
    <x v="1"/>
    <n v="20.92"/>
    <m/>
    <m/>
    <n v="7"/>
  </r>
  <r>
    <x v="2997"/>
    <x v="592"/>
    <x v="1"/>
    <n v="4"/>
    <n v="162.63999999999999"/>
    <x v="421"/>
    <x v="9"/>
    <x v="3"/>
    <n v="650.55999999999995"/>
    <m/>
    <m/>
    <n v="7"/>
  </r>
  <r>
    <x v="2998"/>
    <x v="593"/>
    <x v="5"/>
    <n v="2"/>
    <n v="1200.3399999999999"/>
    <x v="157"/>
    <x v="9"/>
    <x v="0"/>
    <n v="2400.6799999999998"/>
    <m/>
    <m/>
    <n v="5"/>
  </r>
  <r>
    <x v="2999"/>
    <x v="593"/>
    <x v="0"/>
    <n v="4"/>
    <n v="1200.32"/>
    <x v="672"/>
    <x v="1"/>
    <x v="1"/>
    <n v="4801.28"/>
    <m/>
    <m/>
    <n v="5"/>
  </r>
  <r>
    <x v="3000"/>
    <x v="593"/>
    <x v="0"/>
    <n v="5"/>
    <n v="1500.4"/>
    <x v="136"/>
    <x v="9"/>
    <x v="0"/>
    <n v="7502"/>
    <m/>
    <m/>
    <n v="5"/>
  </r>
  <r>
    <x v="3001"/>
    <x v="593"/>
    <x v="2"/>
    <n v="5"/>
    <n v="26.15"/>
    <x v="271"/>
    <x v="4"/>
    <x v="4"/>
    <n v="130.75"/>
    <m/>
    <m/>
    <n v="5"/>
  </r>
  <r>
    <x v="3002"/>
    <x v="593"/>
    <x v="1"/>
    <n v="5"/>
    <n v="203.3"/>
    <x v="108"/>
    <x v="6"/>
    <x v="1"/>
    <n v="1016.5"/>
    <m/>
    <m/>
    <n v="5"/>
  </r>
  <r>
    <x v="3003"/>
    <x v="594"/>
    <x v="2"/>
    <n v="4"/>
    <n v="20.92"/>
    <x v="27"/>
    <x v="6"/>
    <x v="2"/>
    <n v="83.68"/>
    <m/>
    <m/>
    <n v="5"/>
  </r>
  <r>
    <x v="3004"/>
    <x v="594"/>
    <x v="0"/>
    <n v="1"/>
    <n v="300.08"/>
    <x v="141"/>
    <x v="9"/>
    <x v="2"/>
    <n v="300.08"/>
    <m/>
    <m/>
    <n v="5"/>
  </r>
  <r>
    <x v="3005"/>
    <x v="594"/>
    <x v="5"/>
    <n v="4"/>
    <n v="2400.6799999999998"/>
    <x v="79"/>
    <x v="0"/>
    <x v="0"/>
    <n v="9602.7199999999993"/>
    <m/>
    <m/>
    <n v="5"/>
  </r>
  <r>
    <x v="3006"/>
    <x v="594"/>
    <x v="0"/>
    <n v="5"/>
    <n v="1500.4"/>
    <x v="47"/>
    <x v="4"/>
    <x v="2"/>
    <n v="7502"/>
    <m/>
    <m/>
    <n v="5"/>
  </r>
  <r>
    <x v="3007"/>
    <x v="594"/>
    <x v="7"/>
    <n v="1"/>
    <n v="11.73"/>
    <x v="282"/>
    <x v="0"/>
    <x v="3"/>
    <n v="11.73"/>
    <m/>
    <m/>
    <n v="7"/>
  </r>
  <r>
    <x v="3008"/>
    <x v="594"/>
    <x v="0"/>
    <n v="2"/>
    <n v="600.16"/>
    <x v="370"/>
    <x v="6"/>
    <x v="4"/>
    <n v="1200.32"/>
    <m/>
    <m/>
    <n v="7"/>
  </r>
  <r>
    <x v="3009"/>
    <x v="594"/>
    <x v="2"/>
    <n v="1"/>
    <n v="5.23"/>
    <x v="701"/>
    <x v="4"/>
    <x v="4"/>
    <n v="5.23"/>
    <m/>
    <m/>
    <n v="7"/>
  </r>
  <r>
    <x v="3010"/>
    <x v="594"/>
    <x v="6"/>
    <n v="2"/>
    <n v="71.680000000000007"/>
    <x v="480"/>
    <x v="2"/>
    <x v="2"/>
    <n v="143.36000000000001"/>
    <m/>
    <m/>
    <n v="7"/>
  </r>
  <r>
    <x v="3011"/>
    <x v="595"/>
    <x v="0"/>
    <n v="2"/>
    <n v="600.16"/>
    <x v="30"/>
    <x v="3"/>
    <x v="0"/>
    <n v="1200.32"/>
    <m/>
    <m/>
    <n v="5"/>
  </r>
  <r>
    <x v="3012"/>
    <x v="595"/>
    <x v="4"/>
    <n v="2"/>
    <n v="2100"/>
    <x v="34"/>
    <x v="6"/>
    <x v="3"/>
    <n v="4200"/>
    <m/>
    <m/>
    <n v="5"/>
  </r>
  <r>
    <x v="3013"/>
    <x v="595"/>
    <x v="2"/>
    <n v="3"/>
    <n v="15.69"/>
    <x v="141"/>
    <x v="6"/>
    <x v="0"/>
    <n v="47.07"/>
    <m/>
    <m/>
    <n v="5"/>
  </r>
  <r>
    <x v="3014"/>
    <x v="595"/>
    <x v="4"/>
    <n v="2"/>
    <n v="2100"/>
    <x v="167"/>
    <x v="5"/>
    <x v="4"/>
    <n v="4200"/>
    <m/>
    <m/>
    <n v="5"/>
  </r>
  <r>
    <x v="3015"/>
    <x v="595"/>
    <x v="2"/>
    <n v="3"/>
    <n v="15.69"/>
    <x v="480"/>
    <x v="6"/>
    <x v="2"/>
    <n v="47.07"/>
    <m/>
    <m/>
    <n v="7"/>
  </r>
  <r>
    <x v="3016"/>
    <x v="595"/>
    <x v="5"/>
    <n v="4"/>
    <n v="2400.6799999999998"/>
    <x v="705"/>
    <x v="6"/>
    <x v="4"/>
    <n v="9602.7199999999993"/>
    <m/>
    <m/>
    <n v="7"/>
  </r>
  <r>
    <x v="3017"/>
    <x v="595"/>
    <x v="1"/>
    <n v="5"/>
    <n v="203.3"/>
    <x v="620"/>
    <x v="0"/>
    <x v="0"/>
    <n v="1016.5"/>
    <m/>
    <m/>
    <n v="10"/>
  </r>
  <r>
    <x v="3018"/>
    <x v="596"/>
    <x v="3"/>
    <n v="1"/>
    <n v="15.15"/>
    <x v="314"/>
    <x v="0"/>
    <x v="0"/>
    <n v="15.15"/>
    <m/>
    <m/>
    <n v="5"/>
  </r>
  <r>
    <x v="3019"/>
    <x v="596"/>
    <x v="5"/>
    <n v="3"/>
    <n v="1800.51"/>
    <x v="735"/>
    <x v="0"/>
    <x v="0"/>
    <n v="5401.53"/>
    <m/>
    <m/>
    <n v="7"/>
  </r>
  <r>
    <x v="3020"/>
    <x v="596"/>
    <x v="0"/>
    <n v="1"/>
    <n v="300.08"/>
    <x v="659"/>
    <x v="6"/>
    <x v="0"/>
    <n v="300.08"/>
    <m/>
    <m/>
    <n v="7"/>
  </r>
  <r>
    <x v="3021"/>
    <x v="596"/>
    <x v="2"/>
    <n v="2"/>
    <n v="10.46"/>
    <x v="605"/>
    <x v="0"/>
    <x v="1"/>
    <n v="20.92"/>
    <m/>
    <m/>
    <n v="7"/>
  </r>
  <r>
    <x v="3022"/>
    <x v="596"/>
    <x v="2"/>
    <n v="5"/>
    <n v="26.15"/>
    <x v="746"/>
    <x v="6"/>
    <x v="0"/>
    <n v="130.75"/>
    <m/>
    <m/>
    <n v="10"/>
  </r>
  <r>
    <x v="3023"/>
    <x v="596"/>
    <x v="6"/>
    <n v="4"/>
    <n v="143.36000000000001"/>
    <x v="103"/>
    <x v="3"/>
    <x v="0"/>
    <n v="573.44000000000005"/>
    <m/>
    <m/>
    <n v="10"/>
  </r>
  <r>
    <x v="3024"/>
    <x v="597"/>
    <x v="0"/>
    <n v="1"/>
    <n v="300.08"/>
    <x v="240"/>
    <x v="7"/>
    <x v="0"/>
    <n v="300.08"/>
    <m/>
    <m/>
    <n v="5"/>
  </r>
  <r>
    <x v="3025"/>
    <x v="597"/>
    <x v="6"/>
    <n v="3"/>
    <n v="107.52"/>
    <x v="543"/>
    <x v="6"/>
    <x v="2"/>
    <n v="322.56"/>
    <m/>
    <m/>
    <n v="5"/>
  </r>
  <r>
    <x v="3026"/>
    <x v="597"/>
    <x v="0"/>
    <n v="3"/>
    <n v="900.24"/>
    <x v="461"/>
    <x v="5"/>
    <x v="0"/>
    <n v="2700.7200000000003"/>
    <m/>
    <m/>
    <n v="7"/>
  </r>
  <r>
    <x v="3027"/>
    <x v="597"/>
    <x v="0"/>
    <n v="1"/>
    <n v="300.08"/>
    <x v="754"/>
    <x v="0"/>
    <x v="4"/>
    <n v="300.08"/>
    <m/>
    <m/>
    <n v="7"/>
  </r>
  <r>
    <x v="3028"/>
    <x v="597"/>
    <x v="6"/>
    <n v="2"/>
    <n v="71.680000000000007"/>
    <x v="250"/>
    <x v="6"/>
    <x v="0"/>
    <n v="143.36000000000001"/>
    <m/>
    <m/>
    <n v="7"/>
  </r>
  <r>
    <x v="3029"/>
    <x v="597"/>
    <x v="0"/>
    <n v="2"/>
    <n v="600.16"/>
    <x v="42"/>
    <x v="4"/>
    <x v="3"/>
    <n v="1200.32"/>
    <m/>
    <m/>
    <n v="10"/>
  </r>
  <r>
    <x v="3030"/>
    <x v="598"/>
    <x v="3"/>
    <n v="2"/>
    <n v="30.3"/>
    <x v="45"/>
    <x v="0"/>
    <x v="1"/>
    <n v="60.6"/>
    <m/>
    <m/>
    <n v="5"/>
  </r>
  <r>
    <x v="3031"/>
    <x v="598"/>
    <x v="2"/>
    <n v="1"/>
    <n v="5.23"/>
    <x v="512"/>
    <x v="1"/>
    <x v="0"/>
    <n v="5.23"/>
    <m/>
    <m/>
    <n v="5"/>
  </r>
  <r>
    <x v="3032"/>
    <x v="598"/>
    <x v="1"/>
    <n v="2"/>
    <n v="81.319999999999993"/>
    <x v="44"/>
    <x v="0"/>
    <x v="4"/>
    <n v="162.63999999999999"/>
    <m/>
    <m/>
    <n v="7"/>
  </r>
  <r>
    <x v="3033"/>
    <x v="598"/>
    <x v="1"/>
    <n v="4"/>
    <n v="162.63999999999999"/>
    <x v="342"/>
    <x v="0"/>
    <x v="3"/>
    <n v="650.55999999999995"/>
    <m/>
    <m/>
    <n v="7"/>
  </r>
  <r>
    <x v="3034"/>
    <x v="598"/>
    <x v="2"/>
    <n v="5"/>
    <n v="26.15"/>
    <x v="353"/>
    <x v="4"/>
    <x v="2"/>
    <n v="130.75"/>
    <m/>
    <m/>
    <n v="7"/>
  </r>
  <r>
    <x v="3035"/>
    <x v="598"/>
    <x v="0"/>
    <n v="4"/>
    <n v="1200.32"/>
    <x v="777"/>
    <x v="6"/>
    <x v="1"/>
    <n v="4801.28"/>
    <m/>
    <m/>
    <n v="7"/>
  </r>
  <r>
    <x v="3036"/>
    <x v="599"/>
    <x v="2"/>
    <n v="3"/>
    <n v="15.69"/>
    <x v="474"/>
    <x v="1"/>
    <x v="4"/>
    <n v="47.07"/>
    <m/>
    <m/>
    <n v="5"/>
  </r>
  <r>
    <x v="3037"/>
    <x v="599"/>
    <x v="5"/>
    <n v="3"/>
    <n v="1800.51"/>
    <x v="138"/>
    <x v="0"/>
    <x v="1"/>
    <n v="5401.53"/>
    <m/>
    <m/>
    <n v="5"/>
  </r>
  <r>
    <x v="3038"/>
    <x v="599"/>
    <x v="2"/>
    <n v="4"/>
    <n v="20.92"/>
    <x v="325"/>
    <x v="6"/>
    <x v="0"/>
    <n v="83.68"/>
    <m/>
    <m/>
    <n v="7"/>
  </r>
  <r>
    <x v="3039"/>
    <x v="599"/>
    <x v="2"/>
    <n v="1"/>
    <n v="5.23"/>
    <x v="644"/>
    <x v="4"/>
    <x v="2"/>
    <n v="5.23"/>
    <m/>
    <m/>
    <n v="7"/>
  </r>
  <r>
    <x v="3040"/>
    <x v="599"/>
    <x v="1"/>
    <n v="3"/>
    <n v="121.98"/>
    <x v="427"/>
    <x v="6"/>
    <x v="2"/>
    <n v="365.94"/>
    <m/>
    <m/>
    <n v="7"/>
  </r>
  <r>
    <x v="3041"/>
    <x v="599"/>
    <x v="2"/>
    <n v="5"/>
    <n v="26.15"/>
    <x v="455"/>
    <x v="0"/>
    <x v="3"/>
    <n v="130.75"/>
    <m/>
    <m/>
    <n v="7"/>
  </r>
  <r>
    <x v="3042"/>
    <x v="599"/>
    <x v="3"/>
    <n v="5"/>
    <n v="75.75"/>
    <x v="262"/>
    <x v="0"/>
    <x v="0"/>
    <n v="378.75"/>
    <m/>
    <m/>
    <n v="7"/>
  </r>
  <r>
    <x v="3043"/>
    <x v="600"/>
    <x v="7"/>
    <n v="3"/>
    <n v="35.19"/>
    <x v="175"/>
    <x v="4"/>
    <x v="1"/>
    <n v="105.57"/>
    <m/>
    <m/>
    <n v="5"/>
  </r>
  <r>
    <x v="3044"/>
    <x v="600"/>
    <x v="2"/>
    <n v="1"/>
    <n v="5.23"/>
    <x v="778"/>
    <x v="1"/>
    <x v="2"/>
    <n v="5.23"/>
    <m/>
    <m/>
    <n v="7"/>
  </r>
  <r>
    <x v="3045"/>
    <x v="600"/>
    <x v="5"/>
    <n v="5"/>
    <n v="3000.85"/>
    <x v="528"/>
    <x v="9"/>
    <x v="3"/>
    <n v="15004.25"/>
    <m/>
    <m/>
    <n v="7"/>
  </r>
  <r>
    <x v="3046"/>
    <x v="600"/>
    <x v="7"/>
    <n v="1"/>
    <n v="11.73"/>
    <x v="25"/>
    <x v="0"/>
    <x v="0"/>
    <n v="11.73"/>
    <m/>
    <m/>
    <n v="7"/>
  </r>
  <r>
    <x v="3047"/>
    <x v="601"/>
    <x v="2"/>
    <n v="5"/>
    <n v="26.15"/>
    <x v="761"/>
    <x v="9"/>
    <x v="0"/>
    <n v="130.75"/>
    <m/>
    <m/>
    <n v="7"/>
  </r>
  <r>
    <x v="3048"/>
    <x v="601"/>
    <x v="0"/>
    <n v="1"/>
    <n v="300.08"/>
    <x v="329"/>
    <x v="7"/>
    <x v="0"/>
    <n v="300.08"/>
    <m/>
    <m/>
    <n v="7"/>
  </r>
  <r>
    <x v="3049"/>
    <x v="601"/>
    <x v="4"/>
    <n v="3"/>
    <n v="3150"/>
    <x v="572"/>
    <x v="6"/>
    <x v="1"/>
    <n v="9450"/>
    <m/>
    <m/>
    <n v="7"/>
  </r>
  <r>
    <x v="3050"/>
    <x v="601"/>
    <x v="1"/>
    <n v="5"/>
    <n v="203.3"/>
    <x v="607"/>
    <x v="6"/>
    <x v="2"/>
    <n v="1016.5"/>
    <m/>
    <m/>
    <n v="7"/>
  </r>
  <r>
    <x v="3051"/>
    <x v="601"/>
    <x v="1"/>
    <n v="4"/>
    <n v="162.63999999999999"/>
    <x v="246"/>
    <x v="8"/>
    <x v="3"/>
    <n v="650.55999999999995"/>
    <m/>
    <m/>
    <n v="10"/>
  </r>
  <r>
    <x v="3052"/>
    <x v="602"/>
    <x v="3"/>
    <n v="2"/>
    <n v="30.3"/>
    <x v="636"/>
    <x v="6"/>
    <x v="0"/>
    <n v="60.6"/>
    <m/>
    <m/>
    <n v="5"/>
  </r>
  <r>
    <x v="3053"/>
    <x v="602"/>
    <x v="6"/>
    <n v="3"/>
    <n v="107.52"/>
    <x v="14"/>
    <x v="6"/>
    <x v="4"/>
    <n v="322.56"/>
    <m/>
    <m/>
    <n v="5"/>
  </r>
  <r>
    <x v="3054"/>
    <x v="602"/>
    <x v="1"/>
    <n v="1"/>
    <n v="40.659999999999997"/>
    <x v="440"/>
    <x v="8"/>
    <x v="0"/>
    <n v="40.659999999999997"/>
    <m/>
    <m/>
    <n v="5"/>
  </r>
  <r>
    <x v="3055"/>
    <x v="602"/>
    <x v="0"/>
    <n v="5"/>
    <n v="1500.4"/>
    <x v="433"/>
    <x v="3"/>
    <x v="1"/>
    <n v="7502"/>
    <m/>
    <m/>
    <n v="5"/>
  </r>
  <r>
    <x v="3056"/>
    <x v="602"/>
    <x v="0"/>
    <n v="4"/>
    <n v="1200.32"/>
    <x v="756"/>
    <x v="0"/>
    <x v="3"/>
    <n v="4801.28"/>
    <m/>
    <m/>
    <n v="7"/>
  </r>
  <r>
    <x v="3057"/>
    <x v="602"/>
    <x v="5"/>
    <n v="3"/>
    <n v="1800.51"/>
    <x v="448"/>
    <x v="4"/>
    <x v="0"/>
    <n v="5401.53"/>
    <m/>
    <m/>
    <n v="7"/>
  </r>
  <r>
    <x v="3058"/>
    <x v="602"/>
    <x v="1"/>
    <n v="4"/>
    <n v="162.63999999999999"/>
    <x v="60"/>
    <x v="0"/>
    <x v="4"/>
    <n v="650.55999999999995"/>
    <m/>
    <m/>
    <n v="10"/>
  </r>
  <r>
    <x v="3059"/>
    <x v="603"/>
    <x v="0"/>
    <n v="1"/>
    <n v="300.08"/>
    <x v="34"/>
    <x v="5"/>
    <x v="1"/>
    <n v="300.08"/>
    <m/>
    <m/>
    <n v="5"/>
  </r>
  <r>
    <x v="3060"/>
    <x v="603"/>
    <x v="5"/>
    <n v="4"/>
    <n v="2400.6799999999998"/>
    <x v="569"/>
    <x v="6"/>
    <x v="1"/>
    <n v="9602.7199999999993"/>
    <m/>
    <m/>
    <n v="5"/>
  </r>
  <r>
    <x v="3061"/>
    <x v="603"/>
    <x v="0"/>
    <n v="3"/>
    <n v="900.24"/>
    <x v="503"/>
    <x v="1"/>
    <x v="1"/>
    <n v="2700.7200000000003"/>
    <m/>
    <m/>
    <n v="7"/>
  </r>
  <r>
    <x v="3062"/>
    <x v="604"/>
    <x v="1"/>
    <n v="5"/>
    <n v="203.3"/>
    <x v="39"/>
    <x v="6"/>
    <x v="0"/>
    <n v="1016.5"/>
    <m/>
    <m/>
    <n v="5"/>
  </r>
  <r>
    <x v="3063"/>
    <x v="604"/>
    <x v="6"/>
    <n v="5"/>
    <n v="179.2"/>
    <x v="463"/>
    <x v="8"/>
    <x v="1"/>
    <n v="896"/>
    <m/>
    <m/>
    <n v="7"/>
  </r>
  <r>
    <x v="3064"/>
    <x v="604"/>
    <x v="0"/>
    <n v="2"/>
    <n v="600.16"/>
    <x v="659"/>
    <x v="7"/>
    <x v="4"/>
    <n v="1200.32"/>
    <m/>
    <m/>
    <n v="7"/>
  </r>
  <r>
    <x v="3065"/>
    <x v="604"/>
    <x v="1"/>
    <n v="3"/>
    <n v="121.98"/>
    <x v="284"/>
    <x v="1"/>
    <x v="4"/>
    <n v="365.94"/>
    <m/>
    <m/>
    <n v="10"/>
  </r>
  <r>
    <x v="3066"/>
    <x v="605"/>
    <x v="2"/>
    <n v="3"/>
    <n v="15.69"/>
    <x v="635"/>
    <x v="1"/>
    <x v="4"/>
    <n v="47.07"/>
    <m/>
    <m/>
    <n v="5"/>
  </r>
  <r>
    <x v="3067"/>
    <x v="605"/>
    <x v="3"/>
    <n v="3"/>
    <n v="45.45"/>
    <x v="366"/>
    <x v="1"/>
    <x v="4"/>
    <n v="136.35000000000002"/>
    <m/>
    <m/>
    <n v="5"/>
  </r>
  <r>
    <x v="3068"/>
    <x v="605"/>
    <x v="4"/>
    <n v="5"/>
    <n v="5250"/>
    <x v="471"/>
    <x v="0"/>
    <x v="1"/>
    <n v="26250"/>
    <m/>
    <m/>
    <n v="5"/>
  </r>
  <r>
    <x v="3069"/>
    <x v="605"/>
    <x v="5"/>
    <n v="4"/>
    <n v="2400.6799999999998"/>
    <x v="729"/>
    <x v="0"/>
    <x v="2"/>
    <n v="9602.7199999999993"/>
    <m/>
    <m/>
    <n v="7"/>
  </r>
  <r>
    <x v="3070"/>
    <x v="605"/>
    <x v="3"/>
    <n v="5"/>
    <n v="75.75"/>
    <x v="344"/>
    <x v="0"/>
    <x v="3"/>
    <n v="378.75"/>
    <m/>
    <m/>
    <n v="7"/>
  </r>
  <r>
    <x v="3071"/>
    <x v="605"/>
    <x v="2"/>
    <n v="3"/>
    <n v="15.69"/>
    <x v="25"/>
    <x v="1"/>
    <x v="0"/>
    <n v="47.07"/>
    <m/>
    <m/>
    <n v="7"/>
  </r>
  <r>
    <x v="3072"/>
    <x v="606"/>
    <x v="0"/>
    <n v="4"/>
    <n v="1200.32"/>
    <x v="184"/>
    <x v="0"/>
    <x v="1"/>
    <n v="4801.28"/>
    <m/>
    <m/>
    <n v="5"/>
  </r>
  <r>
    <x v="3073"/>
    <x v="606"/>
    <x v="1"/>
    <n v="1"/>
    <n v="40.659999999999997"/>
    <x v="13"/>
    <x v="1"/>
    <x v="3"/>
    <n v="40.659999999999997"/>
    <m/>
    <m/>
    <n v="5"/>
  </r>
  <r>
    <x v="3074"/>
    <x v="606"/>
    <x v="0"/>
    <n v="5"/>
    <n v="1500.4"/>
    <x v="743"/>
    <x v="6"/>
    <x v="3"/>
    <n v="7502"/>
    <m/>
    <m/>
    <n v="5"/>
  </r>
  <r>
    <x v="3075"/>
    <x v="606"/>
    <x v="2"/>
    <n v="1"/>
    <n v="5.23"/>
    <x v="366"/>
    <x v="0"/>
    <x v="3"/>
    <n v="5.23"/>
    <m/>
    <m/>
    <n v="5"/>
  </r>
  <r>
    <x v="3076"/>
    <x v="606"/>
    <x v="0"/>
    <n v="3"/>
    <n v="900.24"/>
    <x v="460"/>
    <x v="0"/>
    <x v="4"/>
    <n v="2700.7200000000003"/>
    <m/>
    <m/>
    <n v="7"/>
  </r>
  <r>
    <x v="3077"/>
    <x v="606"/>
    <x v="1"/>
    <n v="1"/>
    <n v="40.659999999999997"/>
    <x v="407"/>
    <x v="0"/>
    <x v="0"/>
    <n v="40.659999999999997"/>
    <m/>
    <m/>
    <n v="7"/>
  </r>
  <r>
    <x v="3078"/>
    <x v="606"/>
    <x v="0"/>
    <n v="3"/>
    <n v="900.24"/>
    <x v="418"/>
    <x v="6"/>
    <x v="3"/>
    <n v="2700.7200000000003"/>
    <m/>
    <m/>
    <n v="7"/>
  </r>
  <r>
    <x v="3079"/>
    <x v="606"/>
    <x v="2"/>
    <n v="2"/>
    <n v="10.46"/>
    <x v="346"/>
    <x v="1"/>
    <x v="2"/>
    <n v="20.92"/>
    <m/>
    <m/>
    <n v="7"/>
  </r>
  <r>
    <x v="3080"/>
    <x v="607"/>
    <x v="2"/>
    <n v="1"/>
    <n v="5.23"/>
    <x v="736"/>
    <x v="1"/>
    <x v="1"/>
    <n v="5.23"/>
    <m/>
    <m/>
    <n v="5"/>
  </r>
  <r>
    <x v="3081"/>
    <x v="607"/>
    <x v="2"/>
    <n v="4"/>
    <n v="20.92"/>
    <x v="45"/>
    <x v="9"/>
    <x v="2"/>
    <n v="83.68"/>
    <m/>
    <m/>
    <n v="5"/>
  </r>
  <r>
    <x v="3082"/>
    <x v="607"/>
    <x v="1"/>
    <n v="2"/>
    <n v="81.319999999999993"/>
    <x v="593"/>
    <x v="1"/>
    <x v="1"/>
    <n v="162.63999999999999"/>
    <m/>
    <m/>
    <n v="5"/>
  </r>
  <r>
    <x v="3083"/>
    <x v="607"/>
    <x v="7"/>
    <n v="5"/>
    <n v="58.65"/>
    <x v="515"/>
    <x v="6"/>
    <x v="3"/>
    <n v="293.25"/>
    <m/>
    <m/>
    <n v="7"/>
  </r>
  <r>
    <x v="3084"/>
    <x v="607"/>
    <x v="0"/>
    <n v="2"/>
    <n v="600.16"/>
    <x v="590"/>
    <x v="9"/>
    <x v="2"/>
    <n v="1200.32"/>
    <m/>
    <m/>
    <n v="7"/>
  </r>
  <r>
    <x v="3085"/>
    <x v="607"/>
    <x v="1"/>
    <n v="4"/>
    <n v="162.63999999999999"/>
    <x v="403"/>
    <x v="6"/>
    <x v="3"/>
    <n v="650.55999999999995"/>
    <m/>
    <m/>
    <n v="10"/>
  </r>
  <r>
    <x v="3086"/>
    <x v="608"/>
    <x v="0"/>
    <n v="5"/>
    <n v="1500.4"/>
    <x v="469"/>
    <x v="0"/>
    <x v="3"/>
    <n v="7502"/>
    <m/>
    <m/>
    <n v="5"/>
  </r>
  <r>
    <x v="3087"/>
    <x v="608"/>
    <x v="2"/>
    <n v="4"/>
    <n v="20.92"/>
    <x v="677"/>
    <x v="0"/>
    <x v="0"/>
    <n v="83.68"/>
    <m/>
    <m/>
    <n v="5"/>
  </r>
  <r>
    <x v="3088"/>
    <x v="608"/>
    <x v="1"/>
    <n v="2"/>
    <n v="81.319999999999993"/>
    <x v="703"/>
    <x v="9"/>
    <x v="4"/>
    <n v="162.63999999999999"/>
    <m/>
    <m/>
    <n v="7"/>
  </r>
  <r>
    <x v="3089"/>
    <x v="608"/>
    <x v="1"/>
    <n v="5"/>
    <n v="203.3"/>
    <x v="779"/>
    <x v="1"/>
    <x v="3"/>
    <n v="1016.5"/>
    <m/>
    <m/>
    <n v="7"/>
  </r>
  <r>
    <x v="3090"/>
    <x v="608"/>
    <x v="4"/>
    <n v="5"/>
    <n v="5250"/>
    <x v="461"/>
    <x v="1"/>
    <x v="4"/>
    <n v="26250"/>
    <m/>
    <m/>
    <n v="7"/>
  </r>
  <r>
    <x v="3091"/>
    <x v="608"/>
    <x v="1"/>
    <n v="3"/>
    <n v="121.98"/>
    <x v="704"/>
    <x v="1"/>
    <x v="0"/>
    <n v="365.94"/>
    <m/>
    <m/>
    <n v="7"/>
  </r>
  <r>
    <x v="3092"/>
    <x v="608"/>
    <x v="0"/>
    <n v="1"/>
    <n v="300.08"/>
    <x v="253"/>
    <x v="1"/>
    <x v="2"/>
    <n v="300.08"/>
    <m/>
    <m/>
    <n v="7"/>
  </r>
  <r>
    <x v="3093"/>
    <x v="609"/>
    <x v="2"/>
    <n v="4"/>
    <n v="20.92"/>
    <x v="275"/>
    <x v="7"/>
    <x v="3"/>
    <n v="83.68"/>
    <m/>
    <m/>
    <n v="5"/>
  </r>
  <r>
    <x v="3094"/>
    <x v="609"/>
    <x v="7"/>
    <n v="2"/>
    <n v="23.46"/>
    <x v="264"/>
    <x v="6"/>
    <x v="0"/>
    <n v="46.92"/>
    <m/>
    <m/>
    <n v="5"/>
  </r>
  <r>
    <x v="3095"/>
    <x v="609"/>
    <x v="4"/>
    <n v="3"/>
    <n v="3150"/>
    <x v="552"/>
    <x v="9"/>
    <x v="1"/>
    <n v="9450"/>
    <m/>
    <m/>
    <n v="5"/>
  </r>
  <r>
    <x v="3096"/>
    <x v="609"/>
    <x v="2"/>
    <n v="3"/>
    <n v="15.69"/>
    <x v="353"/>
    <x v="9"/>
    <x v="3"/>
    <n v="47.07"/>
    <m/>
    <m/>
    <n v="7"/>
  </r>
  <r>
    <x v="3097"/>
    <x v="609"/>
    <x v="0"/>
    <n v="2"/>
    <n v="600.16"/>
    <x v="273"/>
    <x v="0"/>
    <x v="2"/>
    <n v="1200.32"/>
    <m/>
    <m/>
    <n v="7"/>
  </r>
  <r>
    <x v="3098"/>
    <x v="609"/>
    <x v="2"/>
    <n v="4"/>
    <n v="20.92"/>
    <x v="514"/>
    <x v="0"/>
    <x v="0"/>
    <n v="83.68"/>
    <m/>
    <m/>
    <n v="7"/>
  </r>
  <r>
    <x v="3099"/>
    <x v="610"/>
    <x v="5"/>
    <n v="5"/>
    <n v="3000.85"/>
    <x v="30"/>
    <x v="6"/>
    <x v="3"/>
    <n v="15004.25"/>
    <m/>
    <m/>
    <n v="5"/>
  </r>
  <r>
    <x v="3100"/>
    <x v="610"/>
    <x v="7"/>
    <n v="4"/>
    <n v="46.92"/>
    <x v="723"/>
    <x v="6"/>
    <x v="0"/>
    <n v="187.68"/>
    <m/>
    <m/>
    <n v="5"/>
  </r>
  <r>
    <x v="3101"/>
    <x v="610"/>
    <x v="1"/>
    <n v="3"/>
    <n v="121.98"/>
    <x v="158"/>
    <x v="7"/>
    <x v="2"/>
    <n v="365.94"/>
    <m/>
    <m/>
    <n v="5"/>
  </r>
  <r>
    <x v="3102"/>
    <x v="610"/>
    <x v="0"/>
    <n v="4"/>
    <n v="1200.32"/>
    <x v="177"/>
    <x v="6"/>
    <x v="4"/>
    <n v="4801.28"/>
    <m/>
    <m/>
    <n v="5"/>
  </r>
  <r>
    <x v="3103"/>
    <x v="610"/>
    <x v="2"/>
    <n v="2"/>
    <n v="10.46"/>
    <x v="570"/>
    <x v="1"/>
    <x v="3"/>
    <n v="20.92"/>
    <m/>
    <m/>
    <n v="7"/>
  </r>
  <r>
    <x v="3104"/>
    <x v="611"/>
    <x v="0"/>
    <n v="4"/>
    <n v="1200.32"/>
    <x v="269"/>
    <x v="0"/>
    <x v="3"/>
    <n v="4801.28"/>
    <m/>
    <m/>
    <n v="5"/>
  </r>
  <r>
    <x v="3105"/>
    <x v="611"/>
    <x v="5"/>
    <n v="3"/>
    <n v="1800.51"/>
    <x v="45"/>
    <x v="4"/>
    <x v="3"/>
    <n v="5401.53"/>
    <m/>
    <m/>
    <n v="5"/>
  </r>
  <r>
    <x v="3106"/>
    <x v="611"/>
    <x v="0"/>
    <n v="4"/>
    <n v="1200.32"/>
    <x v="164"/>
    <x v="0"/>
    <x v="4"/>
    <n v="4801.28"/>
    <m/>
    <m/>
    <n v="7"/>
  </r>
  <r>
    <x v="3107"/>
    <x v="611"/>
    <x v="1"/>
    <n v="1"/>
    <n v="40.659999999999997"/>
    <x v="260"/>
    <x v="1"/>
    <x v="1"/>
    <n v="40.659999999999997"/>
    <m/>
    <m/>
    <n v="7"/>
  </r>
  <r>
    <x v="3108"/>
    <x v="612"/>
    <x v="6"/>
    <n v="3"/>
    <n v="107.52"/>
    <x v="68"/>
    <x v="5"/>
    <x v="0"/>
    <n v="322.56"/>
    <m/>
    <m/>
    <n v="5"/>
  </r>
  <r>
    <x v="3109"/>
    <x v="612"/>
    <x v="2"/>
    <n v="3"/>
    <n v="15.69"/>
    <x v="301"/>
    <x v="5"/>
    <x v="3"/>
    <n v="47.07"/>
    <m/>
    <m/>
    <n v="5"/>
  </r>
  <r>
    <x v="3110"/>
    <x v="612"/>
    <x v="0"/>
    <n v="5"/>
    <n v="1500.4"/>
    <x v="48"/>
    <x v="0"/>
    <x v="0"/>
    <n v="7502"/>
    <m/>
    <m/>
    <n v="7"/>
  </r>
  <r>
    <x v="3111"/>
    <x v="612"/>
    <x v="0"/>
    <n v="3"/>
    <n v="900.24"/>
    <x v="393"/>
    <x v="8"/>
    <x v="1"/>
    <n v="2700.7200000000003"/>
    <m/>
    <m/>
    <n v="7"/>
  </r>
  <r>
    <x v="3112"/>
    <x v="612"/>
    <x v="1"/>
    <n v="5"/>
    <n v="203.3"/>
    <x v="142"/>
    <x v="9"/>
    <x v="4"/>
    <n v="1016.5"/>
    <m/>
    <m/>
    <n v="7"/>
  </r>
  <r>
    <x v="3113"/>
    <x v="612"/>
    <x v="6"/>
    <n v="4"/>
    <n v="143.36000000000001"/>
    <x v="405"/>
    <x v="4"/>
    <x v="1"/>
    <n v="573.44000000000005"/>
    <m/>
    <m/>
    <n v="7"/>
  </r>
  <r>
    <x v="3114"/>
    <x v="612"/>
    <x v="0"/>
    <n v="3"/>
    <n v="900.24"/>
    <x v="71"/>
    <x v="2"/>
    <x v="4"/>
    <n v="2700.7200000000003"/>
    <m/>
    <m/>
    <n v="10"/>
  </r>
  <r>
    <x v="3115"/>
    <x v="613"/>
    <x v="6"/>
    <n v="1"/>
    <n v="35.840000000000003"/>
    <x v="157"/>
    <x v="0"/>
    <x v="2"/>
    <n v="35.840000000000003"/>
    <m/>
    <m/>
    <n v="5"/>
  </r>
  <r>
    <x v="3116"/>
    <x v="613"/>
    <x v="1"/>
    <n v="2"/>
    <n v="81.319999999999993"/>
    <x v="73"/>
    <x v="4"/>
    <x v="1"/>
    <n v="162.63999999999999"/>
    <m/>
    <m/>
    <n v="5"/>
  </r>
  <r>
    <x v="3117"/>
    <x v="613"/>
    <x v="2"/>
    <n v="1"/>
    <n v="5.23"/>
    <x v="575"/>
    <x v="0"/>
    <x v="1"/>
    <n v="5.23"/>
    <m/>
    <m/>
    <n v="5"/>
  </r>
  <r>
    <x v="3118"/>
    <x v="613"/>
    <x v="3"/>
    <n v="5"/>
    <n v="75.75"/>
    <x v="101"/>
    <x v="0"/>
    <x v="0"/>
    <n v="378.75"/>
    <m/>
    <m/>
    <n v="5"/>
  </r>
  <r>
    <x v="3119"/>
    <x v="613"/>
    <x v="2"/>
    <n v="2"/>
    <n v="10.46"/>
    <x v="276"/>
    <x v="4"/>
    <x v="2"/>
    <n v="20.92"/>
    <m/>
    <m/>
    <n v="5"/>
  </r>
  <r>
    <x v="3120"/>
    <x v="613"/>
    <x v="2"/>
    <n v="5"/>
    <n v="26.15"/>
    <x v="780"/>
    <x v="6"/>
    <x v="2"/>
    <n v="130.75"/>
    <m/>
    <m/>
    <n v="10"/>
  </r>
  <r>
    <x v="3121"/>
    <x v="614"/>
    <x v="0"/>
    <n v="2"/>
    <n v="600.16"/>
    <x v="5"/>
    <x v="9"/>
    <x v="0"/>
    <n v="1200.32"/>
    <m/>
    <m/>
    <n v="5"/>
  </r>
  <r>
    <x v="3122"/>
    <x v="614"/>
    <x v="0"/>
    <n v="1"/>
    <n v="300.08"/>
    <x v="207"/>
    <x v="9"/>
    <x v="4"/>
    <n v="300.08"/>
    <m/>
    <m/>
    <n v="5"/>
  </r>
  <r>
    <x v="3123"/>
    <x v="614"/>
    <x v="1"/>
    <n v="1"/>
    <n v="40.659999999999997"/>
    <x v="374"/>
    <x v="2"/>
    <x v="1"/>
    <n v="40.659999999999997"/>
    <m/>
    <m/>
    <n v="5"/>
  </r>
  <r>
    <x v="3124"/>
    <x v="614"/>
    <x v="3"/>
    <n v="5"/>
    <n v="75.75"/>
    <x v="380"/>
    <x v="1"/>
    <x v="2"/>
    <n v="378.75"/>
    <m/>
    <m/>
    <n v="5"/>
  </r>
  <r>
    <x v="3125"/>
    <x v="614"/>
    <x v="0"/>
    <n v="3"/>
    <n v="900.24"/>
    <x v="66"/>
    <x v="1"/>
    <x v="3"/>
    <n v="2700.7200000000003"/>
    <m/>
    <m/>
    <n v="7"/>
  </r>
  <r>
    <x v="3126"/>
    <x v="614"/>
    <x v="0"/>
    <n v="2"/>
    <n v="600.16"/>
    <x v="430"/>
    <x v="0"/>
    <x v="0"/>
    <n v="1200.32"/>
    <m/>
    <m/>
    <n v="7"/>
  </r>
  <r>
    <x v="3127"/>
    <x v="614"/>
    <x v="1"/>
    <n v="5"/>
    <n v="203.3"/>
    <x v="464"/>
    <x v="3"/>
    <x v="3"/>
    <n v="1016.5"/>
    <m/>
    <m/>
    <n v="7"/>
  </r>
  <r>
    <x v="3128"/>
    <x v="615"/>
    <x v="0"/>
    <n v="5"/>
    <n v="1500.4"/>
    <x v="17"/>
    <x v="3"/>
    <x v="1"/>
    <n v="7502"/>
    <m/>
    <m/>
    <n v="5"/>
  </r>
  <r>
    <x v="3129"/>
    <x v="615"/>
    <x v="1"/>
    <n v="3"/>
    <n v="121.98"/>
    <x v="567"/>
    <x v="4"/>
    <x v="4"/>
    <n v="365.94"/>
    <m/>
    <m/>
    <n v="5"/>
  </r>
  <r>
    <x v="3130"/>
    <x v="615"/>
    <x v="0"/>
    <n v="2"/>
    <n v="600.16"/>
    <x v="262"/>
    <x v="0"/>
    <x v="0"/>
    <n v="1200.32"/>
    <m/>
    <m/>
    <n v="7"/>
  </r>
  <r>
    <x v="3131"/>
    <x v="615"/>
    <x v="0"/>
    <n v="5"/>
    <n v="1500.4"/>
    <x v="625"/>
    <x v="1"/>
    <x v="4"/>
    <n v="7502"/>
    <m/>
    <m/>
    <n v="7"/>
  </r>
  <r>
    <x v="3132"/>
    <x v="616"/>
    <x v="3"/>
    <n v="2"/>
    <n v="30.3"/>
    <x v="524"/>
    <x v="9"/>
    <x v="0"/>
    <n v="60.6"/>
    <m/>
    <m/>
    <n v="5"/>
  </r>
  <r>
    <x v="3133"/>
    <x v="616"/>
    <x v="3"/>
    <n v="4"/>
    <n v="60.6"/>
    <x v="551"/>
    <x v="8"/>
    <x v="4"/>
    <n v="242.4"/>
    <m/>
    <m/>
    <n v="5"/>
  </r>
  <r>
    <x v="3134"/>
    <x v="616"/>
    <x v="0"/>
    <n v="5"/>
    <n v="1500.4"/>
    <x v="373"/>
    <x v="9"/>
    <x v="0"/>
    <n v="7502"/>
    <m/>
    <m/>
    <n v="5"/>
  </r>
  <r>
    <x v="3135"/>
    <x v="616"/>
    <x v="0"/>
    <n v="2"/>
    <n v="600.16"/>
    <x v="282"/>
    <x v="4"/>
    <x v="4"/>
    <n v="1200.32"/>
    <m/>
    <m/>
    <n v="7"/>
  </r>
  <r>
    <x v="3136"/>
    <x v="616"/>
    <x v="5"/>
    <n v="1"/>
    <n v="600.16999999999996"/>
    <x v="148"/>
    <x v="8"/>
    <x v="3"/>
    <n v="600.16999999999996"/>
    <m/>
    <m/>
    <n v="7"/>
  </r>
  <r>
    <x v="3137"/>
    <x v="616"/>
    <x v="2"/>
    <n v="4"/>
    <n v="20.92"/>
    <x v="165"/>
    <x v="0"/>
    <x v="2"/>
    <n v="83.68"/>
    <m/>
    <m/>
    <n v="10"/>
  </r>
  <r>
    <x v="3138"/>
    <x v="616"/>
    <x v="1"/>
    <n v="2"/>
    <n v="81.319999999999993"/>
    <x v="781"/>
    <x v="9"/>
    <x v="3"/>
    <n v="162.63999999999999"/>
    <m/>
    <m/>
    <n v="10"/>
  </r>
  <r>
    <x v="3139"/>
    <x v="617"/>
    <x v="1"/>
    <n v="1"/>
    <n v="40.659999999999997"/>
    <x v="141"/>
    <x v="5"/>
    <x v="4"/>
    <n v="40.659999999999997"/>
    <m/>
    <m/>
    <n v="5"/>
  </r>
  <r>
    <x v="3140"/>
    <x v="617"/>
    <x v="6"/>
    <n v="2"/>
    <n v="71.680000000000007"/>
    <x v="110"/>
    <x v="5"/>
    <x v="4"/>
    <n v="143.36000000000001"/>
    <m/>
    <m/>
    <n v="7"/>
  </r>
  <r>
    <x v="3141"/>
    <x v="617"/>
    <x v="0"/>
    <n v="3"/>
    <n v="900.24"/>
    <x v="234"/>
    <x v="1"/>
    <x v="4"/>
    <n v="2700.7200000000003"/>
    <m/>
    <m/>
    <n v="7"/>
  </r>
  <r>
    <x v="3142"/>
    <x v="617"/>
    <x v="1"/>
    <n v="5"/>
    <n v="203.3"/>
    <x v="523"/>
    <x v="4"/>
    <x v="0"/>
    <n v="1016.5"/>
    <m/>
    <m/>
    <n v="7"/>
  </r>
  <r>
    <x v="3143"/>
    <x v="617"/>
    <x v="1"/>
    <n v="5"/>
    <n v="203.3"/>
    <x v="391"/>
    <x v="1"/>
    <x v="3"/>
    <n v="1016.5"/>
    <m/>
    <m/>
    <n v="7"/>
  </r>
  <r>
    <x v="3144"/>
    <x v="617"/>
    <x v="0"/>
    <n v="1"/>
    <n v="300.08"/>
    <x v="782"/>
    <x v="0"/>
    <x v="3"/>
    <n v="300.08"/>
    <m/>
    <m/>
    <n v="7"/>
  </r>
  <r>
    <x v="3145"/>
    <x v="618"/>
    <x v="2"/>
    <n v="4"/>
    <n v="20.92"/>
    <x v="422"/>
    <x v="2"/>
    <x v="1"/>
    <n v="83.68"/>
    <m/>
    <m/>
    <n v="5"/>
  </r>
  <r>
    <x v="3146"/>
    <x v="618"/>
    <x v="4"/>
    <n v="1"/>
    <n v="1050"/>
    <x v="66"/>
    <x v="0"/>
    <x v="2"/>
    <n v="1050"/>
    <m/>
    <m/>
    <n v="7"/>
  </r>
  <r>
    <x v="3147"/>
    <x v="618"/>
    <x v="7"/>
    <n v="4"/>
    <n v="46.92"/>
    <x v="223"/>
    <x v="6"/>
    <x v="3"/>
    <n v="187.68"/>
    <m/>
    <m/>
    <n v="7"/>
  </r>
  <r>
    <x v="3148"/>
    <x v="618"/>
    <x v="4"/>
    <n v="4"/>
    <n v="4200"/>
    <x v="350"/>
    <x v="0"/>
    <x v="0"/>
    <n v="16800"/>
    <m/>
    <m/>
    <n v="7"/>
  </r>
  <r>
    <x v="3149"/>
    <x v="618"/>
    <x v="4"/>
    <n v="3"/>
    <n v="3150"/>
    <x v="772"/>
    <x v="6"/>
    <x v="2"/>
    <n v="9450"/>
    <m/>
    <m/>
    <n v="7"/>
  </r>
  <r>
    <x v="3150"/>
    <x v="618"/>
    <x v="0"/>
    <n v="4"/>
    <n v="1200.32"/>
    <x v="692"/>
    <x v="6"/>
    <x v="1"/>
    <n v="4801.28"/>
    <m/>
    <m/>
    <n v="10"/>
  </r>
  <r>
    <x v="3151"/>
    <x v="618"/>
    <x v="1"/>
    <n v="4"/>
    <n v="162.63999999999999"/>
    <x v="751"/>
    <x v="0"/>
    <x v="4"/>
    <n v="650.55999999999995"/>
    <m/>
    <m/>
    <n v="10"/>
  </r>
  <r>
    <x v="3152"/>
    <x v="619"/>
    <x v="7"/>
    <n v="5"/>
    <n v="58.65"/>
    <x v="616"/>
    <x v="2"/>
    <x v="1"/>
    <n v="293.25"/>
    <m/>
    <m/>
    <n v="5"/>
  </r>
  <r>
    <x v="3153"/>
    <x v="619"/>
    <x v="0"/>
    <n v="3"/>
    <n v="900.24"/>
    <x v="308"/>
    <x v="0"/>
    <x v="1"/>
    <n v="2700.7200000000003"/>
    <m/>
    <m/>
    <n v="5"/>
  </r>
  <r>
    <x v="3154"/>
    <x v="619"/>
    <x v="5"/>
    <n v="5"/>
    <n v="3000.85"/>
    <x v="417"/>
    <x v="7"/>
    <x v="1"/>
    <n v="15004.25"/>
    <m/>
    <m/>
    <n v="5"/>
  </r>
  <r>
    <x v="3155"/>
    <x v="619"/>
    <x v="0"/>
    <n v="2"/>
    <n v="600.16"/>
    <x v="260"/>
    <x v="9"/>
    <x v="1"/>
    <n v="1200.32"/>
    <m/>
    <m/>
    <n v="7"/>
  </r>
  <r>
    <x v="3156"/>
    <x v="619"/>
    <x v="3"/>
    <n v="3"/>
    <n v="45.45"/>
    <x v="476"/>
    <x v="7"/>
    <x v="0"/>
    <n v="136.35000000000002"/>
    <m/>
    <m/>
    <n v="7"/>
  </r>
  <r>
    <x v="3157"/>
    <x v="619"/>
    <x v="1"/>
    <n v="5"/>
    <n v="203.3"/>
    <x v="130"/>
    <x v="2"/>
    <x v="4"/>
    <n v="1016.5"/>
    <m/>
    <m/>
    <n v="7"/>
  </r>
  <r>
    <x v="3158"/>
    <x v="619"/>
    <x v="3"/>
    <n v="3"/>
    <n v="45.45"/>
    <x v="658"/>
    <x v="0"/>
    <x v="0"/>
    <n v="136.35000000000002"/>
    <m/>
    <m/>
    <n v="10"/>
  </r>
  <r>
    <x v="3159"/>
    <x v="620"/>
    <x v="0"/>
    <n v="5"/>
    <n v="1500.4"/>
    <x v="132"/>
    <x v="0"/>
    <x v="3"/>
    <n v="7502"/>
    <m/>
    <m/>
    <n v="5"/>
  </r>
  <r>
    <x v="3160"/>
    <x v="620"/>
    <x v="0"/>
    <n v="1"/>
    <n v="300.08"/>
    <x v="688"/>
    <x v="6"/>
    <x v="3"/>
    <n v="300.08"/>
    <m/>
    <m/>
    <n v="5"/>
  </r>
  <r>
    <x v="3161"/>
    <x v="620"/>
    <x v="0"/>
    <n v="5"/>
    <n v="1500.4"/>
    <x v="87"/>
    <x v="7"/>
    <x v="4"/>
    <n v="7502"/>
    <m/>
    <m/>
    <n v="5"/>
  </r>
  <r>
    <x v="3162"/>
    <x v="620"/>
    <x v="1"/>
    <n v="4"/>
    <n v="162.63999999999999"/>
    <x v="753"/>
    <x v="1"/>
    <x v="1"/>
    <n v="650.55999999999995"/>
    <m/>
    <m/>
    <n v="7"/>
  </r>
  <r>
    <x v="3163"/>
    <x v="620"/>
    <x v="0"/>
    <n v="4"/>
    <n v="1200.32"/>
    <x v="192"/>
    <x v="9"/>
    <x v="0"/>
    <n v="4801.28"/>
    <m/>
    <m/>
    <n v="7"/>
  </r>
  <r>
    <x v="3164"/>
    <x v="620"/>
    <x v="0"/>
    <n v="1"/>
    <n v="300.08"/>
    <x v="549"/>
    <x v="7"/>
    <x v="0"/>
    <n v="300.08"/>
    <m/>
    <m/>
    <n v="7"/>
  </r>
  <r>
    <x v="3165"/>
    <x v="620"/>
    <x v="0"/>
    <n v="5"/>
    <n v="1500.4"/>
    <x v="378"/>
    <x v="0"/>
    <x v="2"/>
    <n v="7502"/>
    <m/>
    <m/>
    <n v="7"/>
  </r>
  <r>
    <x v="3166"/>
    <x v="620"/>
    <x v="7"/>
    <n v="2"/>
    <n v="23.46"/>
    <x v="540"/>
    <x v="0"/>
    <x v="1"/>
    <n v="46.92"/>
    <m/>
    <m/>
    <n v="7"/>
  </r>
  <r>
    <x v="3167"/>
    <x v="621"/>
    <x v="1"/>
    <n v="4"/>
    <n v="162.63999999999999"/>
    <x v="313"/>
    <x v="6"/>
    <x v="2"/>
    <n v="650.55999999999995"/>
    <m/>
    <m/>
    <n v="5"/>
  </r>
  <r>
    <x v="3168"/>
    <x v="621"/>
    <x v="6"/>
    <n v="2"/>
    <n v="71.680000000000007"/>
    <x v="108"/>
    <x v="0"/>
    <x v="2"/>
    <n v="143.36000000000001"/>
    <m/>
    <m/>
    <n v="5"/>
  </r>
  <r>
    <x v="3169"/>
    <x v="621"/>
    <x v="0"/>
    <n v="3"/>
    <n v="900.24"/>
    <x v="783"/>
    <x v="3"/>
    <x v="1"/>
    <n v="2700.7200000000003"/>
    <m/>
    <m/>
    <n v="7"/>
  </r>
  <r>
    <x v="3170"/>
    <x v="621"/>
    <x v="0"/>
    <n v="3"/>
    <n v="900.24"/>
    <x v="519"/>
    <x v="0"/>
    <x v="2"/>
    <n v="2700.7200000000003"/>
    <m/>
    <m/>
    <n v="10"/>
  </r>
  <r>
    <x v="3171"/>
    <x v="622"/>
    <x v="0"/>
    <n v="5"/>
    <n v="1500.4"/>
    <x v="85"/>
    <x v="0"/>
    <x v="3"/>
    <n v="7502"/>
    <m/>
    <m/>
    <n v="5"/>
  </r>
  <r>
    <x v="3172"/>
    <x v="622"/>
    <x v="1"/>
    <n v="1"/>
    <n v="40.659999999999997"/>
    <x v="324"/>
    <x v="0"/>
    <x v="3"/>
    <n v="40.659999999999997"/>
    <m/>
    <m/>
    <n v="5"/>
  </r>
  <r>
    <x v="3173"/>
    <x v="622"/>
    <x v="6"/>
    <n v="3"/>
    <n v="107.52"/>
    <x v="180"/>
    <x v="0"/>
    <x v="1"/>
    <n v="322.56"/>
    <m/>
    <m/>
    <n v="5"/>
  </r>
  <r>
    <x v="3174"/>
    <x v="622"/>
    <x v="1"/>
    <n v="4"/>
    <n v="162.63999999999999"/>
    <x v="300"/>
    <x v="6"/>
    <x v="0"/>
    <n v="650.55999999999995"/>
    <m/>
    <m/>
    <n v="5"/>
  </r>
  <r>
    <x v="3175"/>
    <x v="622"/>
    <x v="7"/>
    <n v="2"/>
    <n v="23.46"/>
    <x v="739"/>
    <x v="4"/>
    <x v="4"/>
    <n v="46.92"/>
    <m/>
    <m/>
    <n v="5"/>
  </r>
  <r>
    <x v="3176"/>
    <x v="622"/>
    <x v="0"/>
    <n v="1"/>
    <n v="300.08"/>
    <x v="209"/>
    <x v="6"/>
    <x v="4"/>
    <n v="300.08"/>
    <m/>
    <m/>
    <n v="7"/>
  </r>
  <r>
    <x v="3177"/>
    <x v="622"/>
    <x v="0"/>
    <n v="3"/>
    <n v="900.24"/>
    <x v="751"/>
    <x v="0"/>
    <x v="1"/>
    <n v="2700.7200000000003"/>
    <m/>
    <m/>
    <n v="10"/>
  </r>
  <r>
    <x v="3178"/>
    <x v="623"/>
    <x v="0"/>
    <n v="4"/>
    <n v="1200.32"/>
    <x v="175"/>
    <x v="6"/>
    <x v="1"/>
    <n v="4801.28"/>
    <m/>
    <m/>
    <n v="5"/>
  </r>
  <r>
    <x v="3179"/>
    <x v="623"/>
    <x v="0"/>
    <n v="3"/>
    <n v="900.24"/>
    <x v="505"/>
    <x v="0"/>
    <x v="4"/>
    <n v="2700.7200000000003"/>
    <m/>
    <m/>
    <n v="5"/>
  </r>
  <r>
    <x v="3180"/>
    <x v="623"/>
    <x v="1"/>
    <n v="1"/>
    <n v="40.659999999999997"/>
    <x v="546"/>
    <x v="3"/>
    <x v="2"/>
    <n v="40.659999999999997"/>
    <m/>
    <m/>
    <n v="7"/>
  </r>
  <r>
    <x v="3181"/>
    <x v="623"/>
    <x v="1"/>
    <n v="5"/>
    <n v="203.3"/>
    <x v="464"/>
    <x v="3"/>
    <x v="4"/>
    <n v="1016.5"/>
    <m/>
    <m/>
    <n v="7"/>
  </r>
  <r>
    <x v="3182"/>
    <x v="623"/>
    <x v="0"/>
    <n v="1"/>
    <n v="300.08"/>
    <x v="601"/>
    <x v="6"/>
    <x v="1"/>
    <n v="300.08"/>
    <m/>
    <m/>
    <n v="7"/>
  </r>
  <r>
    <x v="3183"/>
    <x v="623"/>
    <x v="0"/>
    <n v="3"/>
    <n v="900.24"/>
    <x v="413"/>
    <x v="9"/>
    <x v="2"/>
    <n v="2700.7200000000003"/>
    <m/>
    <m/>
    <n v="7"/>
  </r>
  <r>
    <x v="3184"/>
    <x v="624"/>
    <x v="0"/>
    <n v="5"/>
    <n v="1500.4"/>
    <x v="743"/>
    <x v="0"/>
    <x v="0"/>
    <n v="7502"/>
    <m/>
    <m/>
    <n v="5"/>
  </r>
  <r>
    <x v="3185"/>
    <x v="624"/>
    <x v="0"/>
    <n v="3"/>
    <n v="900.24"/>
    <x v="424"/>
    <x v="0"/>
    <x v="3"/>
    <n v="2700.7200000000003"/>
    <m/>
    <m/>
    <n v="5"/>
  </r>
  <r>
    <x v="3186"/>
    <x v="625"/>
    <x v="5"/>
    <n v="3"/>
    <n v="1800.51"/>
    <x v="784"/>
    <x v="7"/>
    <x v="1"/>
    <n v="5401.53"/>
    <m/>
    <m/>
    <n v="5"/>
  </r>
  <r>
    <x v="3187"/>
    <x v="625"/>
    <x v="5"/>
    <n v="3"/>
    <n v="1800.51"/>
    <x v="785"/>
    <x v="0"/>
    <x v="2"/>
    <n v="5401.53"/>
    <m/>
    <m/>
    <n v="5"/>
  </r>
  <r>
    <x v="3188"/>
    <x v="625"/>
    <x v="6"/>
    <n v="3"/>
    <n v="107.52"/>
    <x v="294"/>
    <x v="0"/>
    <x v="2"/>
    <n v="322.56"/>
    <m/>
    <m/>
    <n v="5"/>
  </r>
  <r>
    <x v="3189"/>
    <x v="625"/>
    <x v="0"/>
    <n v="4"/>
    <n v="1200.32"/>
    <x v="123"/>
    <x v="7"/>
    <x v="0"/>
    <n v="4801.28"/>
    <m/>
    <m/>
    <n v="7"/>
  </r>
  <r>
    <x v="3190"/>
    <x v="626"/>
    <x v="7"/>
    <n v="5"/>
    <n v="58.65"/>
    <x v="768"/>
    <x v="0"/>
    <x v="3"/>
    <n v="293.25"/>
    <m/>
    <m/>
    <n v="5"/>
  </r>
  <r>
    <x v="3191"/>
    <x v="626"/>
    <x v="0"/>
    <n v="5"/>
    <n v="1500.4"/>
    <x v="304"/>
    <x v="9"/>
    <x v="2"/>
    <n v="7502"/>
    <m/>
    <m/>
    <n v="5"/>
  </r>
  <r>
    <x v="3192"/>
    <x v="626"/>
    <x v="2"/>
    <n v="5"/>
    <n v="26.15"/>
    <x v="44"/>
    <x v="1"/>
    <x v="1"/>
    <n v="130.75"/>
    <m/>
    <m/>
    <n v="7"/>
  </r>
  <r>
    <x v="3193"/>
    <x v="626"/>
    <x v="1"/>
    <n v="2"/>
    <n v="81.319999999999993"/>
    <x v="544"/>
    <x v="1"/>
    <x v="3"/>
    <n v="162.63999999999999"/>
    <m/>
    <m/>
    <n v="7"/>
  </r>
  <r>
    <x v="3194"/>
    <x v="627"/>
    <x v="1"/>
    <n v="4"/>
    <n v="162.63999999999999"/>
    <x v="662"/>
    <x v="2"/>
    <x v="1"/>
    <n v="650.55999999999995"/>
    <m/>
    <m/>
    <n v="5"/>
  </r>
  <r>
    <x v="3195"/>
    <x v="627"/>
    <x v="0"/>
    <n v="4"/>
    <n v="1200.32"/>
    <x v="81"/>
    <x v="0"/>
    <x v="2"/>
    <n v="4801.28"/>
    <m/>
    <m/>
    <n v="5"/>
  </r>
  <r>
    <x v="3196"/>
    <x v="627"/>
    <x v="6"/>
    <n v="5"/>
    <n v="179.2"/>
    <x v="512"/>
    <x v="9"/>
    <x v="0"/>
    <n v="896"/>
    <m/>
    <m/>
    <n v="5"/>
  </r>
  <r>
    <x v="3197"/>
    <x v="627"/>
    <x v="0"/>
    <n v="4"/>
    <n v="1200.32"/>
    <x v="496"/>
    <x v="0"/>
    <x v="3"/>
    <n v="4801.28"/>
    <m/>
    <m/>
    <n v="10"/>
  </r>
  <r>
    <x v="3198"/>
    <x v="628"/>
    <x v="0"/>
    <n v="4"/>
    <n v="1200.32"/>
    <x v="654"/>
    <x v="6"/>
    <x v="1"/>
    <n v="4801.28"/>
    <m/>
    <m/>
    <n v="5"/>
  </r>
  <r>
    <x v="3199"/>
    <x v="628"/>
    <x v="2"/>
    <n v="4"/>
    <n v="20.92"/>
    <x v="563"/>
    <x v="6"/>
    <x v="3"/>
    <n v="83.68"/>
    <m/>
    <m/>
    <n v="5"/>
  </r>
  <r>
    <x v="3200"/>
    <x v="628"/>
    <x v="5"/>
    <n v="3"/>
    <n v="1800.51"/>
    <x v="228"/>
    <x v="4"/>
    <x v="0"/>
    <n v="5401.53"/>
    <m/>
    <m/>
    <n v="7"/>
  </r>
  <r>
    <x v="3201"/>
    <x v="628"/>
    <x v="1"/>
    <n v="1"/>
    <n v="40.659999999999997"/>
    <x v="458"/>
    <x v="7"/>
    <x v="1"/>
    <n v="40.659999999999997"/>
    <m/>
    <m/>
    <n v="7"/>
  </r>
  <r>
    <x v="3202"/>
    <x v="628"/>
    <x v="1"/>
    <n v="2"/>
    <n v="81.319999999999993"/>
    <x v="772"/>
    <x v="0"/>
    <x v="4"/>
    <n v="162.63999999999999"/>
    <m/>
    <m/>
    <n v="7"/>
  </r>
  <r>
    <x v="3203"/>
    <x v="628"/>
    <x v="1"/>
    <n v="4"/>
    <n v="162.63999999999999"/>
    <x v="219"/>
    <x v="0"/>
    <x v="0"/>
    <n v="650.55999999999995"/>
    <m/>
    <m/>
    <n v="7"/>
  </r>
  <r>
    <x v="3204"/>
    <x v="629"/>
    <x v="2"/>
    <n v="2"/>
    <n v="10.46"/>
    <x v="305"/>
    <x v="2"/>
    <x v="3"/>
    <n v="20.92"/>
    <m/>
    <m/>
    <n v="5"/>
  </r>
  <r>
    <x v="3205"/>
    <x v="629"/>
    <x v="5"/>
    <n v="4"/>
    <n v="2400.6799999999998"/>
    <x v="475"/>
    <x v="9"/>
    <x v="0"/>
    <n v="9602.7199999999993"/>
    <m/>
    <m/>
    <n v="5"/>
  </r>
  <r>
    <x v="3206"/>
    <x v="629"/>
    <x v="0"/>
    <n v="3"/>
    <n v="900.24"/>
    <x v="786"/>
    <x v="3"/>
    <x v="3"/>
    <n v="2700.7200000000003"/>
    <m/>
    <m/>
    <n v="7"/>
  </r>
  <r>
    <x v="3207"/>
    <x v="629"/>
    <x v="1"/>
    <n v="3"/>
    <n v="121.98"/>
    <x v="514"/>
    <x v="0"/>
    <x v="2"/>
    <n v="365.94"/>
    <m/>
    <m/>
    <n v="7"/>
  </r>
  <r>
    <x v="3208"/>
    <x v="629"/>
    <x v="2"/>
    <n v="4"/>
    <n v="20.92"/>
    <x v="722"/>
    <x v="9"/>
    <x v="2"/>
    <n v="83.68"/>
    <m/>
    <m/>
    <n v="10"/>
  </r>
  <r>
    <x v="3209"/>
    <x v="630"/>
    <x v="0"/>
    <n v="3"/>
    <n v="900.24"/>
    <x v="230"/>
    <x v="6"/>
    <x v="2"/>
    <n v="2700.7200000000003"/>
    <m/>
    <m/>
    <n v="5"/>
  </r>
  <r>
    <x v="3210"/>
    <x v="630"/>
    <x v="4"/>
    <n v="3"/>
    <n v="3150"/>
    <x v="212"/>
    <x v="3"/>
    <x v="4"/>
    <n v="9450"/>
    <m/>
    <m/>
    <n v="5"/>
  </r>
  <r>
    <x v="3211"/>
    <x v="630"/>
    <x v="3"/>
    <n v="5"/>
    <n v="75.75"/>
    <x v="164"/>
    <x v="6"/>
    <x v="4"/>
    <n v="378.75"/>
    <m/>
    <m/>
    <n v="7"/>
  </r>
  <r>
    <x v="3212"/>
    <x v="630"/>
    <x v="5"/>
    <n v="5"/>
    <n v="3000.85"/>
    <x v="88"/>
    <x v="0"/>
    <x v="4"/>
    <n v="15004.25"/>
    <m/>
    <m/>
    <n v="7"/>
  </r>
  <r>
    <x v="3213"/>
    <x v="630"/>
    <x v="2"/>
    <n v="1"/>
    <n v="5.23"/>
    <x v="272"/>
    <x v="6"/>
    <x v="3"/>
    <n v="5.23"/>
    <m/>
    <m/>
    <n v="7"/>
  </r>
  <r>
    <x v="3214"/>
    <x v="631"/>
    <x v="6"/>
    <n v="3"/>
    <n v="107.52"/>
    <x v="239"/>
    <x v="6"/>
    <x v="1"/>
    <n v="322.56"/>
    <m/>
    <m/>
    <n v="5"/>
  </r>
  <r>
    <x v="3215"/>
    <x v="631"/>
    <x v="0"/>
    <n v="1"/>
    <n v="300.08"/>
    <x v="787"/>
    <x v="6"/>
    <x v="1"/>
    <n v="300.08"/>
    <m/>
    <m/>
    <n v="5"/>
  </r>
  <r>
    <x v="3216"/>
    <x v="631"/>
    <x v="2"/>
    <n v="1"/>
    <n v="5.23"/>
    <x v="427"/>
    <x v="6"/>
    <x v="2"/>
    <n v="5.23"/>
    <m/>
    <m/>
    <n v="7"/>
  </r>
  <r>
    <x v="3217"/>
    <x v="631"/>
    <x v="7"/>
    <n v="5"/>
    <n v="58.65"/>
    <x v="523"/>
    <x v="2"/>
    <x v="0"/>
    <n v="293.25"/>
    <m/>
    <m/>
    <n v="7"/>
  </r>
  <r>
    <x v="3218"/>
    <x v="631"/>
    <x v="2"/>
    <n v="4"/>
    <n v="20.92"/>
    <x v="732"/>
    <x v="8"/>
    <x v="0"/>
    <n v="83.68"/>
    <m/>
    <m/>
    <n v="7"/>
  </r>
  <r>
    <x v="3219"/>
    <x v="631"/>
    <x v="3"/>
    <n v="1"/>
    <n v="15.15"/>
    <x v="346"/>
    <x v="0"/>
    <x v="0"/>
    <n v="15.15"/>
    <m/>
    <m/>
    <n v="7"/>
  </r>
  <r>
    <x v="3220"/>
    <x v="632"/>
    <x v="1"/>
    <n v="4"/>
    <n v="162.63999999999999"/>
    <x v="30"/>
    <x v="6"/>
    <x v="1"/>
    <n v="650.55999999999995"/>
    <m/>
    <m/>
    <n v="5"/>
  </r>
  <r>
    <x v="3221"/>
    <x v="632"/>
    <x v="6"/>
    <n v="4"/>
    <n v="143.36000000000001"/>
    <x v="146"/>
    <x v="4"/>
    <x v="2"/>
    <n v="573.44000000000005"/>
    <m/>
    <m/>
    <n v="5"/>
  </r>
  <r>
    <x v="3222"/>
    <x v="632"/>
    <x v="0"/>
    <n v="5"/>
    <n v="1500.4"/>
    <x v="477"/>
    <x v="0"/>
    <x v="2"/>
    <n v="7502"/>
    <m/>
    <m/>
    <n v="5"/>
  </r>
  <r>
    <x v="3223"/>
    <x v="632"/>
    <x v="6"/>
    <n v="2"/>
    <n v="71.680000000000007"/>
    <x v="129"/>
    <x v="0"/>
    <x v="1"/>
    <n v="143.36000000000001"/>
    <m/>
    <m/>
    <n v="7"/>
  </r>
  <r>
    <x v="3224"/>
    <x v="632"/>
    <x v="2"/>
    <n v="5"/>
    <n v="26.15"/>
    <x v="140"/>
    <x v="3"/>
    <x v="3"/>
    <n v="130.75"/>
    <m/>
    <m/>
    <n v="7"/>
  </r>
  <r>
    <x v="3225"/>
    <x v="633"/>
    <x v="0"/>
    <n v="5"/>
    <n v="1500.4"/>
    <x v="80"/>
    <x v="9"/>
    <x v="1"/>
    <n v="7502"/>
    <m/>
    <m/>
    <n v="5"/>
  </r>
  <r>
    <x v="3226"/>
    <x v="633"/>
    <x v="0"/>
    <n v="1"/>
    <n v="300.08"/>
    <x v="245"/>
    <x v="5"/>
    <x v="1"/>
    <n v="300.08"/>
    <m/>
    <m/>
    <n v="5"/>
  </r>
  <r>
    <x v="3227"/>
    <x v="633"/>
    <x v="1"/>
    <n v="1"/>
    <n v="40.659999999999997"/>
    <x v="389"/>
    <x v="3"/>
    <x v="3"/>
    <n v="40.659999999999997"/>
    <m/>
    <m/>
    <n v="5"/>
  </r>
  <r>
    <x v="3228"/>
    <x v="633"/>
    <x v="1"/>
    <n v="5"/>
    <n v="203.3"/>
    <x v="702"/>
    <x v="5"/>
    <x v="4"/>
    <n v="1016.5"/>
    <m/>
    <m/>
    <n v="7"/>
  </r>
  <r>
    <x v="3229"/>
    <x v="634"/>
    <x v="3"/>
    <n v="5"/>
    <n v="75.75"/>
    <x v="202"/>
    <x v="1"/>
    <x v="4"/>
    <n v="378.75"/>
    <m/>
    <m/>
    <n v="5"/>
  </r>
  <r>
    <x v="3230"/>
    <x v="634"/>
    <x v="0"/>
    <n v="2"/>
    <n v="600.16"/>
    <x v="708"/>
    <x v="6"/>
    <x v="0"/>
    <n v="1200.32"/>
    <m/>
    <m/>
    <n v="5"/>
  </r>
  <r>
    <x v="3231"/>
    <x v="634"/>
    <x v="2"/>
    <n v="3"/>
    <n v="15.69"/>
    <x v="612"/>
    <x v="9"/>
    <x v="1"/>
    <n v="47.07"/>
    <m/>
    <m/>
    <n v="7"/>
  </r>
  <r>
    <x v="3232"/>
    <x v="634"/>
    <x v="0"/>
    <n v="3"/>
    <n v="900.24"/>
    <x v="310"/>
    <x v="1"/>
    <x v="0"/>
    <n v="2700.7200000000003"/>
    <m/>
    <m/>
    <n v="7"/>
  </r>
  <r>
    <x v="3233"/>
    <x v="635"/>
    <x v="3"/>
    <n v="3"/>
    <n v="45.45"/>
    <x v="709"/>
    <x v="1"/>
    <x v="4"/>
    <n v="136.35000000000002"/>
    <m/>
    <m/>
    <n v="5"/>
  </r>
  <r>
    <x v="3234"/>
    <x v="635"/>
    <x v="7"/>
    <n v="1"/>
    <n v="11.73"/>
    <x v="509"/>
    <x v="6"/>
    <x v="3"/>
    <n v="11.73"/>
    <m/>
    <m/>
    <n v="7"/>
  </r>
  <r>
    <x v="3235"/>
    <x v="635"/>
    <x v="2"/>
    <n v="3"/>
    <n v="15.69"/>
    <x v="546"/>
    <x v="3"/>
    <x v="0"/>
    <n v="47.07"/>
    <m/>
    <m/>
    <n v="7"/>
  </r>
  <r>
    <x v="3236"/>
    <x v="635"/>
    <x v="6"/>
    <n v="1"/>
    <n v="35.840000000000003"/>
    <x v="767"/>
    <x v="6"/>
    <x v="3"/>
    <n v="35.840000000000003"/>
    <m/>
    <m/>
    <n v="7"/>
  </r>
  <r>
    <x v="3237"/>
    <x v="636"/>
    <x v="2"/>
    <n v="1"/>
    <n v="5.23"/>
    <x v="708"/>
    <x v="6"/>
    <x v="4"/>
    <n v="5.23"/>
    <m/>
    <m/>
    <n v="5"/>
  </r>
  <r>
    <x v="3238"/>
    <x v="636"/>
    <x v="6"/>
    <n v="5"/>
    <n v="179.2"/>
    <x v="532"/>
    <x v="9"/>
    <x v="2"/>
    <n v="896"/>
    <m/>
    <m/>
    <n v="7"/>
  </r>
  <r>
    <x v="3239"/>
    <x v="636"/>
    <x v="1"/>
    <n v="4"/>
    <n v="162.63999999999999"/>
    <x v="218"/>
    <x v="1"/>
    <x v="3"/>
    <n v="650.55999999999995"/>
    <m/>
    <m/>
    <n v="7"/>
  </r>
  <r>
    <x v="3240"/>
    <x v="636"/>
    <x v="5"/>
    <n v="5"/>
    <n v="3000.85"/>
    <x v="171"/>
    <x v="4"/>
    <x v="4"/>
    <n v="15004.25"/>
    <m/>
    <m/>
    <n v="10"/>
  </r>
  <r>
    <x v="3241"/>
    <x v="637"/>
    <x v="0"/>
    <n v="5"/>
    <n v="1500.4"/>
    <x v="672"/>
    <x v="6"/>
    <x v="4"/>
    <n v="7502"/>
    <m/>
    <m/>
    <n v="5"/>
  </r>
  <r>
    <x v="3242"/>
    <x v="637"/>
    <x v="0"/>
    <n v="4"/>
    <n v="1200.32"/>
    <x v="341"/>
    <x v="7"/>
    <x v="0"/>
    <n v="4801.28"/>
    <m/>
    <m/>
    <n v="5"/>
  </r>
  <r>
    <x v="3243"/>
    <x v="637"/>
    <x v="1"/>
    <n v="1"/>
    <n v="40.659999999999997"/>
    <x v="188"/>
    <x v="5"/>
    <x v="0"/>
    <n v="40.659999999999997"/>
    <m/>
    <m/>
    <n v="7"/>
  </r>
  <r>
    <x v="3244"/>
    <x v="637"/>
    <x v="2"/>
    <n v="1"/>
    <n v="5.23"/>
    <x v="679"/>
    <x v="0"/>
    <x v="1"/>
    <n v="5.23"/>
    <m/>
    <m/>
    <n v="7"/>
  </r>
  <r>
    <x v="3245"/>
    <x v="637"/>
    <x v="2"/>
    <n v="3"/>
    <n v="15.69"/>
    <x v="460"/>
    <x v="1"/>
    <x v="4"/>
    <n v="47.07"/>
    <m/>
    <m/>
    <n v="7"/>
  </r>
  <r>
    <x v="3246"/>
    <x v="637"/>
    <x v="6"/>
    <n v="2"/>
    <n v="71.680000000000007"/>
    <x v="289"/>
    <x v="3"/>
    <x v="0"/>
    <n v="143.36000000000001"/>
    <m/>
    <m/>
    <n v="7"/>
  </r>
  <r>
    <x v="3247"/>
    <x v="638"/>
    <x v="0"/>
    <n v="1"/>
    <n v="300.08"/>
    <x v="370"/>
    <x v="4"/>
    <x v="1"/>
    <n v="300.08"/>
    <m/>
    <m/>
    <n v="7"/>
  </r>
  <r>
    <x v="3248"/>
    <x v="638"/>
    <x v="2"/>
    <n v="1"/>
    <n v="5.23"/>
    <x v="722"/>
    <x v="0"/>
    <x v="3"/>
    <n v="5.23"/>
    <m/>
    <m/>
    <n v="10"/>
  </r>
  <r>
    <x v="3249"/>
    <x v="639"/>
    <x v="2"/>
    <n v="5"/>
    <n v="26.15"/>
    <x v="113"/>
    <x v="0"/>
    <x v="2"/>
    <n v="130.75"/>
    <m/>
    <m/>
    <n v="5"/>
  </r>
  <r>
    <x v="3250"/>
    <x v="639"/>
    <x v="4"/>
    <n v="2"/>
    <n v="2100"/>
    <x v="116"/>
    <x v="5"/>
    <x v="4"/>
    <n v="4200"/>
    <m/>
    <m/>
    <n v="5"/>
  </r>
  <r>
    <x v="3251"/>
    <x v="640"/>
    <x v="0"/>
    <n v="4"/>
    <n v="1200.32"/>
    <x v="268"/>
    <x v="8"/>
    <x v="4"/>
    <n v="4801.28"/>
    <m/>
    <m/>
    <n v="5"/>
  </r>
  <r>
    <x v="3252"/>
    <x v="640"/>
    <x v="1"/>
    <n v="2"/>
    <n v="81.319999999999993"/>
    <x v="518"/>
    <x v="9"/>
    <x v="3"/>
    <n v="162.63999999999999"/>
    <m/>
    <m/>
    <n v="5"/>
  </r>
  <r>
    <x v="3253"/>
    <x v="640"/>
    <x v="6"/>
    <n v="3"/>
    <n v="107.52"/>
    <x v="729"/>
    <x v="1"/>
    <x v="0"/>
    <n v="322.56"/>
    <m/>
    <m/>
    <n v="7"/>
  </r>
  <r>
    <x v="3254"/>
    <x v="640"/>
    <x v="0"/>
    <n v="2"/>
    <n v="600.16"/>
    <x v="229"/>
    <x v="5"/>
    <x v="4"/>
    <n v="1200.32"/>
    <m/>
    <m/>
    <n v="10"/>
  </r>
  <r>
    <x v="3255"/>
    <x v="640"/>
    <x v="6"/>
    <n v="4"/>
    <n v="143.36000000000001"/>
    <x v="246"/>
    <x v="6"/>
    <x v="1"/>
    <n v="573.44000000000005"/>
    <m/>
    <m/>
    <n v="10"/>
  </r>
  <r>
    <x v="3256"/>
    <x v="641"/>
    <x v="6"/>
    <n v="2"/>
    <n v="71.680000000000007"/>
    <x v="551"/>
    <x v="9"/>
    <x v="0"/>
    <n v="143.36000000000001"/>
    <m/>
    <m/>
    <n v="5"/>
  </r>
  <r>
    <x v="3257"/>
    <x v="641"/>
    <x v="5"/>
    <n v="2"/>
    <n v="1200.3399999999999"/>
    <x v="21"/>
    <x v="0"/>
    <x v="0"/>
    <n v="2400.6799999999998"/>
    <m/>
    <m/>
    <n v="5"/>
  </r>
  <r>
    <x v="3258"/>
    <x v="641"/>
    <x v="6"/>
    <n v="4"/>
    <n v="143.36000000000001"/>
    <x v="601"/>
    <x v="4"/>
    <x v="3"/>
    <n v="573.44000000000005"/>
    <m/>
    <m/>
    <n v="7"/>
  </r>
  <r>
    <x v="3259"/>
    <x v="641"/>
    <x v="1"/>
    <n v="3"/>
    <n v="121.98"/>
    <x v="712"/>
    <x v="8"/>
    <x v="4"/>
    <n v="365.94"/>
    <m/>
    <m/>
    <n v="7"/>
  </r>
  <r>
    <x v="3260"/>
    <x v="642"/>
    <x v="2"/>
    <n v="4"/>
    <n v="20.92"/>
    <x v="180"/>
    <x v="6"/>
    <x v="0"/>
    <n v="83.68"/>
    <m/>
    <m/>
    <n v="5"/>
  </r>
  <r>
    <x v="3261"/>
    <x v="642"/>
    <x v="2"/>
    <n v="2"/>
    <n v="10.46"/>
    <x v="151"/>
    <x v="4"/>
    <x v="3"/>
    <n v="20.92"/>
    <m/>
    <m/>
    <n v="5"/>
  </r>
  <r>
    <x v="3262"/>
    <x v="642"/>
    <x v="0"/>
    <n v="5"/>
    <n v="1500.4"/>
    <x v="665"/>
    <x v="6"/>
    <x v="4"/>
    <n v="7502"/>
    <m/>
    <m/>
    <n v="7"/>
  </r>
  <r>
    <x v="3263"/>
    <x v="642"/>
    <x v="6"/>
    <n v="5"/>
    <n v="179.2"/>
    <x v="633"/>
    <x v="0"/>
    <x v="0"/>
    <n v="896"/>
    <m/>
    <m/>
    <n v="7"/>
  </r>
  <r>
    <x v="3264"/>
    <x v="642"/>
    <x v="0"/>
    <n v="1"/>
    <n v="300.08"/>
    <x v="344"/>
    <x v="9"/>
    <x v="3"/>
    <n v="300.08"/>
    <m/>
    <m/>
    <n v="7"/>
  </r>
  <r>
    <x v="3265"/>
    <x v="643"/>
    <x v="0"/>
    <n v="2"/>
    <n v="600.16"/>
    <x v="85"/>
    <x v="1"/>
    <x v="4"/>
    <n v="1200.32"/>
    <m/>
    <m/>
    <n v="5"/>
  </r>
  <r>
    <x v="3266"/>
    <x v="643"/>
    <x v="1"/>
    <n v="1"/>
    <n v="40.659999999999997"/>
    <x v="619"/>
    <x v="1"/>
    <x v="0"/>
    <n v="40.659999999999997"/>
    <m/>
    <m/>
    <n v="5"/>
  </r>
  <r>
    <x v="3267"/>
    <x v="643"/>
    <x v="0"/>
    <n v="2"/>
    <n v="600.16"/>
    <x v="684"/>
    <x v="0"/>
    <x v="0"/>
    <n v="1200.32"/>
    <m/>
    <m/>
    <n v="7"/>
  </r>
  <r>
    <x v="3268"/>
    <x v="643"/>
    <x v="6"/>
    <n v="2"/>
    <n v="71.680000000000007"/>
    <x v="595"/>
    <x v="6"/>
    <x v="0"/>
    <n v="143.36000000000001"/>
    <m/>
    <m/>
    <n v="7"/>
  </r>
  <r>
    <x v="3269"/>
    <x v="643"/>
    <x v="1"/>
    <n v="2"/>
    <n v="81.319999999999993"/>
    <x v="401"/>
    <x v="1"/>
    <x v="4"/>
    <n v="162.63999999999999"/>
    <m/>
    <m/>
    <n v="7"/>
  </r>
  <r>
    <x v="3270"/>
    <x v="643"/>
    <x v="2"/>
    <n v="1"/>
    <n v="5.23"/>
    <x v="671"/>
    <x v="9"/>
    <x v="0"/>
    <n v="5.23"/>
    <m/>
    <m/>
    <n v="7"/>
  </r>
  <r>
    <x v="3271"/>
    <x v="643"/>
    <x v="0"/>
    <n v="4"/>
    <n v="1200.32"/>
    <x v="578"/>
    <x v="1"/>
    <x v="3"/>
    <n v="4801.28"/>
    <m/>
    <m/>
    <n v="7"/>
  </r>
  <r>
    <x v="3272"/>
    <x v="644"/>
    <x v="0"/>
    <n v="4"/>
    <n v="1200.32"/>
    <x v="459"/>
    <x v="0"/>
    <x v="1"/>
    <n v="4801.28"/>
    <m/>
    <m/>
    <n v="5"/>
  </r>
  <r>
    <x v="3273"/>
    <x v="644"/>
    <x v="2"/>
    <n v="2"/>
    <n v="10.46"/>
    <x v="563"/>
    <x v="8"/>
    <x v="2"/>
    <n v="20.92"/>
    <m/>
    <m/>
    <n v="5"/>
  </r>
  <r>
    <x v="3274"/>
    <x v="644"/>
    <x v="0"/>
    <n v="2"/>
    <n v="600.16"/>
    <x v="328"/>
    <x v="4"/>
    <x v="3"/>
    <n v="1200.32"/>
    <m/>
    <m/>
    <n v="5"/>
  </r>
  <r>
    <x v="3275"/>
    <x v="644"/>
    <x v="5"/>
    <n v="4"/>
    <n v="2400.6799999999998"/>
    <x v="745"/>
    <x v="1"/>
    <x v="3"/>
    <n v="9602.7199999999993"/>
    <m/>
    <m/>
    <n v="5"/>
  </r>
  <r>
    <x v="3276"/>
    <x v="644"/>
    <x v="0"/>
    <n v="2"/>
    <n v="600.16"/>
    <x v="669"/>
    <x v="1"/>
    <x v="1"/>
    <n v="1200.32"/>
    <m/>
    <m/>
    <n v="5"/>
  </r>
  <r>
    <x v="3277"/>
    <x v="644"/>
    <x v="2"/>
    <n v="1"/>
    <n v="5.23"/>
    <x v="655"/>
    <x v="6"/>
    <x v="3"/>
    <n v="5.23"/>
    <m/>
    <m/>
    <n v="5"/>
  </r>
  <r>
    <x v="3278"/>
    <x v="644"/>
    <x v="1"/>
    <n v="2"/>
    <n v="81.319999999999993"/>
    <x v="333"/>
    <x v="9"/>
    <x v="1"/>
    <n v="162.63999999999999"/>
    <m/>
    <m/>
    <n v="7"/>
  </r>
  <r>
    <x v="3279"/>
    <x v="644"/>
    <x v="0"/>
    <n v="3"/>
    <n v="900.24"/>
    <x v="707"/>
    <x v="6"/>
    <x v="0"/>
    <n v="2700.7200000000003"/>
    <m/>
    <m/>
    <n v="7"/>
  </r>
  <r>
    <x v="3280"/>
    <x v="644"/>
    <x v="1"/>
    <n v="2"/>
    <n v="81.319999999999993"/>
    <x v="439"/>
    <x v="3"/>
    <x v="1"/>
    <n v="162.63999999999999"/>
    <m/>
    <m/>
    <n v="7"/>
  </r>
  <r>
    <x v="3281"/>
    <x v="644"/>
    <x v="2"/>
    <n v="4"/>
    <n v="20.92"/>
    <x v="574"/>
    <x v="0"/>
    <x v="4"/>
    <n v="83.68"/>
    <m/>
    <m/>
    <n v="7"/>
  </r>
  <r>
    <x v="3282"/>
    <x v="644"/>
    <x v="0"/>
    <n v="2"/>
    <n v="600.16"/>
    <x v="395"/>
    <x v="1"/>
    <x v="2"/>
    <n v="1200.32"/>
    <m/>
    <m/>
    <n v="7"/>
  </r>
  <r>
    <x v="3283"/>
    <x v="645"/>
    <x v="1"/>
    <n v="1"/>
    <n v="40.659999999999997"/>
    <x v="27"/>
    <x v="6"/>
    <x v="4"/>
    <n v="40.659999999999997"/>
    <m/>
    <m/>
    <n v="5"/>
  </r>
  <r>
    <x v="3284"/>
    <x v="645"/>
    <x v="0"/>
    <n v="5"/>
    <n v="1500.4"/>
    <x v="81"/>
    <x v="8"/>
    <x v="0"/>
    <n v="7502"/>
    <m/>
    <m/>
    <n v="5"/>
  </r>
  <r>
    <x v="3285"/>
    <x v="645"/>
    <x v="1"/>
    <n v="5"/>
    <n v="203.3"/>
    <x v="708"/>
    <x v="0"/>
    <x v="2"/>
    <n v="1016.5"/>
    <m/>
    <m/>
    <n v="5"/>
  </r>
  <r>
    <x v="3286"/>
    <x v="645"/>
    <x v="0"/>
    <n v="1"/>
    <n v="300.08"/>
    <x v="88"/>
    <x v="1"/>
    <x v="0"/>
    <n v="300.08"/>
    <m/>
    <m/>
    <n v="7"/>
  </r>
  <r>
    <x v="3287"/>
    <x v="645"/>
    <x v="3"/>
    <n v="5"/>
    <n v="75.75"/>
    <x v="592"/>
    <x v="1"/>
    <x v="1"/>
    <n v="378.75"/>
    <m/>
    <m/>
    <n v="7"/>
  </r>
  <r>
    <x v="3288"/>
    <x v="646"/>
    <x v="2"/>
    <n v="1"/>
    <n v="5.23"/>
    <x v="446"/>
    <x v="9"/>
    <x v="0"/>
    <n v="5.23"/>
    <m/>
    <m/>
    <n v="5"/>
  </r>
  <r>
    <x v="3289"/>
    <x v="646"/>
    <x v="0"/>
    <n v="1"/>
    <n v="300.08"/>
    <x v="471"/>
    <x v="0"/>
    <x v="3"/>
    <n v="300.08"/>
    <m/>
    <m/>
    <n v="5"/>
  </r>
  <r>
    <x v="3290"/>
    <x v="646"/>
    <x v="0"/>
    <n v="5"/>
    <n v="1500.4"/>
    <x v="255"/>
    <x v="0"/>
    <x v="2"/>
    <n v="7502"/>
    <m/>
    <m/>
    <n v="7"/>
  </r>
  <r>
    <x v="3291"/>
    <x v="647"/>
    <x v="0"/>
    <n v="1"/>
    <n v="300.08"/>
    <x v="271"/>
    <x v="3"/>
    <x v="0"/>
    <n v="300.08"/>
    <m/>
    <m/>
    <n v="5"/>
  </r>
  <r>
    <x v="3292"/>
    <x v="647"/>
    <x v="6"/>
    <n v="3"/>
    <n v="107.52"/>
    <x v="715"/>
    <x v="6"/>
    <x v="1"/>
    <n v="322.56"/>
    <m/>
    <m/>
    <n v="7"/>
  </r>
  <r>
    <x v="3293"/>
    <x v="647"/>
    <x v="0"/>
    <n v="1"/>
    <n v="300.08"/>
    <x v="53"/>
    <x v="0"/>
    <x v="4"/>
    <n v="300.08"/>
    <m/>
    <m/>
    <n v="10"/>
  </r>
  <r>
    <x v="3294"/>
    <x v="648"/>
    <x v="3"/>
    <n v="5"/>
    <n v="75.75"/>
    <x v="775"/>
    <x v="6"/>
    <x v="3"/>
    <n v="378.75"/>
    <m/>
    <m/>
    <n v="5"/>
  </r>
  <r>
    <x v="3295"/>
    <x v="648"/>
    <x v="4"/>
    <n v="1"/>
    <n v="1050"/>
    <x v="106"/>
    <x v="8"/>
    <x v="4"/>
    <n v="1050"/>
    <m/>
    <m/>
    <n v="5"/>
  </r>
  <r>
    <x v="3296"/>
    <x v="648"/>
    <x v="1"/>
    <n v="1"/>
    <n v="40.659999999999997"/>
    <x v="417"/>
    <x v="6"/>
    <x v="3"/>
    <n v="40.659999999999997"/>
    <m/>
    <m/>
    <n v="5"/>
  </r>
  <r>
    <x v="3297"/>
    <x v="648"/>
    <x v="1"/>
    <n v="1"/>
    <n v="40.659999999999997"/>
    <x v="612"/>
    <x v="1"/>
    <x v="3"/>
    <n v="40.659999999999997"/>
    <m/>
    <m/>
    <n v="7"/>
  </r>
  <r>
    <x v="3298"/>
    <x v="648"/>
    <x v="6"/>
    <n v="4"/>
    <n v="143.36000000000001"/>
    <x v="664"/>
    <x v="9"/>
    <x v="0"/>
    <n v="573.44000000000005"/>
    <m/>
    <m/>
    <n v="7"/>
  </r>
  <r>
    <x v="3299"/>
    <x v="648"/>
    <x v="5"/>
    <n v="3"/>
    <n v="1800.51"/>
    <x v="55"/>
    <x v="1"/>
    <x v="4"/>
    <n v="5401.53"/>
    <m/>
    <m/>
    <n v="7"/>
  </r>
  <r>
    <x v="3300"/>
    <x v="648"/>
    <x v="0"/>
    <n v="5"/>
    <n v="1500.4"/>
    <x v="622"/>
    <x v="6"/>
    <x v="4"/>
    <n v="7502"/>
    <m/>
    <m/>
    <n v="7"/>
  </r>
  <r>
    <x v="3301"/>
    <x v="648"/>
    <x v="6"/>
    <n v="1"/>
    <n v="35.840000000000003"/>
    <x v="441"/>
    <x v="4"/>
    <x v="3"/>
    <n v="35.840000000000003"/>
    <m/>
    <m/>
    <n v="10"/>
  </r>
  <r>
    <x v="3302"/>
    <x v="649"/>
    <x v="5"/>
    <n v="1"/>
    <n v="600.16999999999996"/>
    <x v="730"/>
    <x v="4"/>
    <x v="1"/>
    <n v="600.16999999999996"/>
    <m/>
    <m/>
    <n v="5"/>
  </r>
  <r>
    <x v="3303"/>
    <x v="649"/>
    <x v="7"/>
    <n v="1"/>
    <n v="11.73"/>
    <x v="351"/>
    <x v="6"/>
    <x v="3"/>
    <n v="11.73"/>
    <m/>
    <m/>
    <n v="5"/>
  </r>
  <r>
    <x v="3304"/>
    <x v="649"/>
    <x v="2"/>
    <n v="1"/>
    <n v="5.23"/>
    <x v="352"/>
    <x v="1"/>
    <x v="1"/>
    <n v="5.23"/>
    <m/>
    <m/>
    <n v="5"/>
  </r>
  <r>
    <x v="3305"/>
    <x v="649"/>
    <x v="0"/>
    <n v="2"/>
    <n v="600.16"/>
    <x v="208"/>
    <x v="6"/>
    <x v="0"/>
    <n v="1200.32"/>
    <m/>
    <m/>
    <n v="5"/>
  </r>
  <r>
    <x v="3306"/>
    <x v="649"/>
    <x v="7"/>
    <n v="3"/>
    <n v="35.19"/>
    <x v="774"/>
    <x v="3"/>
    <x v="0"/>
    <n v="105.57"/>
    <m/>
    <m/>
    <n v="7"/>
  </r>
  <r>
    <x v="3307"/>
    <x v="649"/>
    <x v="2"/>
    <n v="2"/>
    <n v="10.46"/>
    <x v="441"/>
    <x v="1"/>
    <x v="3"/>
    <n v="20.92"/>
    <m/>
    <m/>
    <n v="10"/>
  </r>
  <r>
    <x v="3308"/>
    <x v="650"/>
    <x v="2"/>
    <n v="1"/>
    <n v="5.23"/>
    <x v="364"/>
    <x v="6"/>
    <x v="2"/>
    <n v="5.23"/>
    <m/>
    <m/>
    <n v="5"/>
  </r>
  <r>
    <x v="3309"/>
    <x v="650"/>
    <x v="6"/>
    <n v="1"/>
    <n v="35.840000000000003"/>
    <x v="11"/>
    <x v="0"/>
    <x v="2"/>
    <n v="35.840000000000003"/>
    <m/>
    <m/>
    <n v="7"/>
  </r>
  <r>
    <x v="3310"/>
    <x v="650"/>
    <x v="0"/>
    <n v="1"/>
    <n v="300.08"/>
    <x v="431"/>
    <x v="6"/>
    <x v="0"/>
    <n v="300.08"/>
    <m/>
    <m/>
    <n v="7"/>
  </r>
  <r>
    <x v="3311"/>
    <x v="650"/>
    <x v="7"/>
    <n v="1"/>
    <n v="11.73"/>
    <x v="786"/>
    <x v="0"/>
    <x v="4"/>
    <n v="11.73"/>
    <m/>
    <m/>
    <n v="7"/>
  </r>
  <r>
    <x v="3312"/>
    <x v="650"/>
    <x v="0"/>
    <n v="1"/>
    <n v="300.08"/>
    <x v="277"/>
    <x v="6"/>
    <x v="3"/>
    <n v="300.08"/>
    <m/>
    <m/>
    <n v="7"/>
  </r>
  <r>
    <x v="3313"/>
    <x v="650"/>
    <x v="3"/>
    <n v="2"/>
    <n v="30.3"/>
    <x v="170"/>
    <x v="9"/>
    <x v="1"/>
    <n v="60.6"/>
    <m/>
    <m/>
    <n v="10"/>
  </r>
  <r>
    <x v="3314"/>
    <x v="650"/>
    <x v="1"/>
    <n v="1"/>
    <n v="40.659999999999997"/>
    <x v="682"/>
    <x v="6"/>
    <x v="3"/>
    <n v="40.659999999999997"/>
    <m/>
    <m/>
    <n v="10"/>
  </r>
  <r>
    <x v="3315"/>
    <x v="651"/>
    <x v="0"/>
    <n v="5"/>
    <n v="1500.4"/>
    <x v="83"/>
    <x v="2"/>
    <x v="2"/>
    <n v="7502"/>
    <m/>
    <m/>
    <n v="5"/>
  </r>
  <r>
    <x v="3316"/>
    <x v="651"/>
    <x v="6"/>
    <n v="2"/>
    <n v="71.680000000000007"/>
    <x v="629"/>
    <x v="5"/>
    <x v="4"/>
    <n v="143.36000000000001"/>
    <m/>
    <m/>
    <n v="5"/>
  </r>
  <r>
    <x v="3317"/>
    <x v="651"/>
    <x v="0"/>
    <n v="1"/>
    <n v="300.08"/>
    <x v="153"/>
    <x v="0"/>
    <x v="3"/>
    <n v="300.08"/>
    <m/>
    <m/>
    <n v="7"/>
  </r>
  <r>
    <x v="3318"/>
    <x v="651"/>
    <x v="1"/>
    <n v="1"/>
    <n v="40.659999999999997"/>
    <x v="528"/>
    <x v="9"/>
    <x v="2"/>
    <n v="40.659999999999997"/>
    <m/>
    <m/>
    <n v="7"/>
  </r>
  <r>
    <x v="3319"/>
    <x v="651"/>
    <x v="5"/>
    <n v="5"/>
    <n v="3000.85"/>
    <x v="682"/>
    <x v="6"/>
    <x v="2"/>
    <n v="15004.25"/>
    <m/>
    <m/>
    <n v="10"/>
  </r>
  <r>
    <x v="3320"/>
    <x v="652"/>
    <x v="0"/>
    <n v="2"/>
    <n v="600.16"/>
    <x v="201"/>
    <x v="9"/>
    <x v="2"/>
    <n v="1200.32"/>
    <m/>
    <m/>
    <n v="5"/>
  </r>
  <r>
    <x v="3321"/>
    <x v="652"/>
    <x v="7"/>
    <n v="5"/>
    <n v="58.65"/>
    <x v="117"/>
    <x v="1"/>
    <x v="2"/>
    <n v="293.25"/>
    <m/>
    <m/>
    <n v="5"/>
  </r>
  <r>
    <x v="3322"/>
    <x v="652"/>
    <x v="0"/>
    <n v="4"/>
    <n v="1200.32"/>
    <x v="766"/>
    <x v="0"/>
    <x v="0"/>
    <n v="4801.28"/>
    <m/>
    <m/>
    <n v="5"/>
  </r>
  <r>
    <x v="3323"/>
    <x v="652"/>
    <x v="0"/>
    <n v="2"/>
    <n v="600.16"/>
    <x v="378"/>
    <x v="2"/>
    <x v="2"/>
    <n v="1200.32"/>
    <m/>
    <m/>
    <n v="7"/>
  </r>
  <r>
    <x v="3324"/>
    <x v="653"/>
    <x v="0"/>
    <n v="5"/>
    <n v="1500.4"/>
    <x v="73"/>
    <x v="3"/>
    <x v="4"/>
    <n v="7502"/>
    <m/>
    <m/>
    <n v="5"/>
  </r>
  <r>
    <x v="3325"/>
    <x v="653"/>
    <x v="6"/>
    <n v="3"/>
    <n v="107.52"/>
    <x v="147"/>
    <x v="2"/>
    <x v="3"/>
    <n v="322.56"/>
    <m/>
    <m/>
    <n v="5"/>
  </r>
  <r>
    <x v="3326"/>
    <x v="653"/>
    <x v="0"/>
    <n v="3"/>
    <n v="900.24"/>
    <x v="534"/>
    <x v="9"/>
    <x v="1"/>
    <n v="2700.7200000000003"/>
    <m/>
    <m/>
    <n v="5"/>
  </r>
  <r>
    <x v="3327"/>
    <x v="653"/>
    <x v="2"/>
    <n v="3"/>
    <n v="15.69"/>
    <x v="390"/>
    <x v="8"/>
    <x v="3"/>
    <n v="47.07"/>
    <m/>
    <m/>
    <n v="7"/>
  </r>
  <r>
    <x v="3328"/>
    <x v="653"/>
    <x v="6"/>
    <n v="2"/>
    <n v="71.680000000000007"/>
    <x v="504"/>
    <x v="0"/>
    <x v="0"/>
    <n v="143.36000000000001"/>
    <m/>
    <m/>
    <n v="7"/>
  </r>
  <r>
    <x v="3329"/>
    <x v="653"/>
    <x v="0"/>
    <n v="3"/>
    <n v="900.24"/>
    <x v="681"/>
    <x v="7"/>
    <x v="2"/>
    <n v="2700.7200000000003"/>
    <m/>
    <m/>
    <n v="7"/>
  </r>
  <r>
    <x v="3330"/>
    <x v="653"/>
    <x v="5"/>
    <n v="5"/>
    <n v="3000.85"/>
    <x v="464"/>
    <x v="6"/>
    <x v="0"/>
    <n v="15004.25"/>
    <m/>
    <m/>
    <n v="7"/>
  </r>
  <r>
    <x v="3331"/>
    <x v="654"/>
    <x v="2"/>
    <n v="4"/>
    <n v="20.92"/>
    <x v="106"/>
    <x v="6"/>
    <x v="3"/>
    <n v="83.68"/>
    <m/>
    <m/>
    <n v="5"/>
  </r>
  <r>
    <x v="3332"/>
    <x v="654"/>
    <x v="5"/>
    <n v="3"/>
    <n v="1800.51"/>
    <x v="689"/>
    <x v="5"/>
    <x v="2"/>
    <n v="5401.53"/>
    <m/>
    <m/>
    <n v="7"/>
  </r>
  <r>
    <x v="3333"/>
    <x v="654"/>
    <x v="2"/>
    <n v="5"/>
    <n v="26.15"/>
    <x v="228"/>
    <x v="6"/>
    <x v="0"/>
    <n v="130.75"/>
    <m/>
    <m/>
    <n v="7"/>
  </r>
  <r>
    <x v="3334"/>
    <x v="654"/>
    <x v="0"/>
    <n v="4"/>
    <n v="1200.32"/>
    <x v="411"/>
    <x v="4"/>
    <x v="1"/>
    <n v="4801.28"/>
    <m/>
    <m/>
    <n v="7"/>
  </r>
  <r>
    <x v="3335"/>
    <x v="654"/>
    <x v="2"/>
    <n v="2"/>
    <n v="10.46"/>
    <x v="330"/>
    <x v="3"/>
    <x v="3"/>
    <n v="20.92"/>
    <m/>
    <m/>
    <n v="7"/>
  </r>
  <r>
    <x v="3336"/>
    <x v="654"/>
    <x v="6"/>
    <n v="4"/>
    <n v="143.36000000000001"/>
    <x v="277"/>
    <x v="1"/>
    <x v="0"/>
    <n v="573.44000000000005"/>
    <m/>
    <m/>
    <n v="7"/>
  </r>
  <r>
    <x v="3337"/>
    <x v="655"/>
    <x v="1"/>
    <n v="4"/>
    <n v="162.63999999999999"/>
    <x v="269"/>
    <x v="8"/>
    <x v="3"/>
    <n v="650.55999999999995"/>
    <m/>
    <m/>
    <n v="5"/>
  </r>
  <r>
    <x v="3338"/>
    <x v="655"/>
    <x v="2"/>
    <n v="2"/>
    <n v="10.46"/>
    <x v="752"/>
    <x v="9"/>
    <x v="4"/>
    <n v="20.92"/>
    <m/>
    <m/>
    <n v="5"/>
  </r>
  <r>
    <x v="3339"/>
    <x v="655"/>
    <x v="2"/>
    <n v="2"/>
    <n v="10.46"/>
    <x v="454"/>
    <x v="6"/>
    <x v="0"/>
    <n v="20.92"/>
    <m/>
    <m/>
    <n v="7"/>
  </r>
  <r>
    <x v="3340"/>
    <x v="655"/>
    <x v="2"/>
    <n v="5"/>
    <n v="26.15"/>
    <x v="23"/>
    <x v="6"/>
    <x v="1"/>
    <n v="130.75"/>
    <m/>
    <m/>
    <n v="7"/>
  </r>
  <r>
    <x v="3341"/>
    <x v="656"/>
    <x v="1"/>
    <n v="5"/>
    <n v="203.3"/>
    <x v="414"/>
    <x v="6"/>
    <x v="3"/>
    <n v="1016.5"/>
    <m/>
    <m/>
    <n v="5"/>
  </r>
  <r>
    <x v="3342"/>
    <x v="656"/>
    <x v="1"/>
    <n v="2"/>
    <n v="81.319999999999993"/>
    <x v="327"/>
    <x v="5"/>
    <x v="1"/>
    <n v="162.63999999999999"/>
    <m/>
    <m/>
    <n v="5"/>
  </r>
  <r>
    <x v="3343"/>
    <x v="656"/>
    <x v="5"/>
    <n v="4"/>
    <n v="2400.6799999999998"/>
    <x v="653"/>
    <x v="2"/>
    <x v="0"/>
    <n v="9602.7199999999993"/>
    <m/>
    <m/>
    <n v="5"/>
  </r>
  <r>
    <x v="3344"/>
    <x v="656"/>
    <x v="5"/>
    <n v="3"/>
    <n v="1800.51"/>
    <x v="50"/>
    <x v="4"/>
    <x v="2"/>
    <n v="5401.53"/>
    <m/>
    <m/>
    <n v="10"/>
  </r>
  <r>
    <x v="3345"/>
    <x v="657"/>
    <x v="7"/>
    <n v="3"/>
    <n v="35.19"/>
    <x v="576"/>
    <x v="6"/>
    <x v="3"/>
    <n v="105.57"/>
    <m/>
    <m/>
    <n v="5"/>
  </r>
  <r>
    <x v="3346"/>
    <x v="657"/>
    <x v="0"/>
    <n v="2"/>
    <n v="600.16"/>
    <x v="744"/>
    <x v="3"/>
    <x v="4"/>
    <n v="1200.32"/>
    <m/>
    <m/>
    <n v="5"/>
  </r>
  <r>
    <x v="3347"/>
    <x v="657"/>
    <x v="2"/>
    <n v="1"/>
    <n v="5.23"/>
    <x v="47"/>
    <x v="4"/>
    <x v="4"/>
    <n v="5.23"/>
    <m/>
    <m/>
    <n v="5"/>
  </r>
  <r>
    <x v="3348"/>
    <x v="658"/>
    <x v="6"/>
    <n v="2"/>
    <n v="71.680000000000007"/>
    <x v="566"/>
    <x v="0"/>
    <x v="3"/>
    <n v="143.36000000000001"/>
    <m/>
    <m/>
    <n v="5"/>
  </r>
  <r>
    <x v="3349"/>
    <x v="658"/>
    <x v="5"/>
    <n v="2"/>
    <n v="1200.3399999999999"/>
    <x v="359"/>
    <x v="0"/>
    <x v="3"/>
    <n v="2400.6799999999998"/>
    <m/>
    <m/>
    <n v="5"/>
  </r>
  <r>
    <x v="3350"/>
    <x v="659"/>
    <x v="3"/>
    <n v="1"/>
    <n v="15.15"/>
    <x v="80"/>
    <x v="9"/>
    <x v="1"/>
    <n v="15.15"/>
    <m/>
    <m/>
    <n v="5"/>
  </r>
  <r>
    <x v="3351"/>
    <x v="659"/>
    <x v="0"/>
    <n v="4"/>
    <n v="1200.32"/>
    <x v="220"/>
    <x v="6"/>
    <x v="4"/>
    <n v="4801.28"/>
    <m/>
    <m/>
    <n v="5"/>
  </r>
  <r>
    <x v="3352"/>
    <x v="659"/>
    <x v="5"/>
    <n v="4"/>
    <n v="2400.6799999999998"/>
    <x v="261"/>
    <x v="9"/>
    <x v="0"/>
    <n v="9602.7199999999993"/>
    <m/>
    <m/>
    <n v="5"/>
  </r>
  <r>
    <x v="3353"/>
    <x v="659"/>
    <x v="2"/>
    <n v="4"/>
    <n v="20.92"/>
    <x v="59"/>
    <x v="2"/>
    <x v="1"/>
    <n v="83.68"/>
    <m/>
    <m/>
    <n v="7"/>
  </r>
  <r>
    <x v="3354"/>
    <x v="659"/>
    <x v="0"/>
    <n v="1"/>
    <n v="300.08"/>
    <x v="283"/>
    <x v="9"/>
    <x v="3"/>
    <n v="300.08"/>
    <m/>
    <m/>
    <n v="7"/>
  </r>
  <r>
    <x v="3355"/>
    <x v="659"/>
    <x v="1"/>
    <n v="2"/>
    <n v="81.319999999999993"/>
    <x v="549"/>
    <x v="6"/>
    <x v="0"/>
    <n v="162.63999999999999"/>
    <m/>
    <m/>
    <n v="7"/>
  </r>
  <r>
    <x v="3356"/>
    <x v="660"/>
    <x v="1"/>
    <n v="2"/>
    <n v="81.319999999999993"/>
    <x v="185"/>
    <x v="0"/>
    <x v="1"/>
    <n v="162.63999999999999"/>
    <m/>
    <m/>
    <n v="5"/>
  </r>
  <r>
    <x v="3357"/>
    <x v="660"/>
    <x v="0"/>
    <n v="4"/>
    <n v="1200.32"/>
    <x v="265"/>
    <x v="1"/>
    <x v="3"/>
    <n v="4801.28"/>
    <m/>
    <m/>
    <n v="5"/>
  </r>
  <r>
    <x v="3358"/>
    <x v="660"/>
    <x v="2"/>
    <n v="1"/>
    <n v="5.23"/>
    <x v="75"/>
    <x v="5"/>
    <x v="0"/>
    <n v="5.23"/>
    <m/>
    <m/>
    <n v="7"/>
  </r>
  <r>
    <x v="3359"/>
    <x v="660"/>
    <x v="0"/>
    <n v="3"/>
    <n v="900.24"/>
    <x v="506"/>
    <x v="8"/>
    <x v="1"/>
    <n v="2700.7200000000003"/>
    <m/>
    <m/>
    <n v="7"/>
  </r>
  <r>
    <x v="3360"/>
    <x v="660"/>
    <x v="3"/>
    <n v="5"/>
    <n v="75.75"/>
    <x v="273"/>
    <x v="6"/>
    <x v="1"/>
    <n v="378.75"/>
    <m/>
    <m/>
    <n v="7"/>
  </r>
  <r>
    <x v="3361"/>
    <x v="660"/>
    <x v="6"/>
    <n v="1"/>
    <n v="35.840000000000003"/>
    <x v="734"/>
    <x v="6"/>
    <x v="0"/>
    <n v="35.840000000000003"/>
    <m/>
    <m/>
    <n v="7"/>
  </r>
  <r>
    <x v="3362"/>
    <x v="661"/>
    <x v="5"/>
    <n v="1"/>
    <n v="600.16999999999996"/>
    <x v="629"/>
    <x v="4"/>
    <x v="1"/>
    <n v="600.16999999999996"/>
    <m/>
    <m/>
    <n v="5"/>
  </r>
  <r>
    <x v="3363"/>
    <x v="661"/>
    <x v="1"/>
    <n v="2"/>
    <n v="81.319999999999993"/>
    <x v="619"/>
    <x v="6"/>
    <x v="2"/>
    <n v="162.63999999999999"/>
    <m/>
    <m/>
    <n v="5"/>
  </r>
  <r>
    <x v="3364"/>
    <x v="661"/>
    <x v="0"/>
    <n v="1"/>
    <n v="300.08"/>
    <x v="576"/>
    <x v="4"/>
    <x v="3"/>
    <n v="300.08"/>
    <m/>
    <m/>
    <n v="5"/>
  </r>
  <r>
    <x v="3365"/>
    <x v="661"/>
    <x v="2"/>
    <n v="3"/>
    <n v="15.69"/>
    <x v="637"/>
    <x v="4"/>
    <x v="4"/>
    <n v="47.07"/>
    <m/>
    <m/>
    <n v="7"/>
  </r>
  <r>
    <x v="3366"/>
    <x v="661"/>
    <x v="7"/>
    <n v="4"/>
    <n v="46.92"/>
    <x v="721"/>
    <x v="3"/>
    <x v="1"/>
    <n v="187.68"/>
    <m/>
    <m/>
    <n v="7"/>
  </r>
  <r>
    <x v="3367"/>
    <x v="662"/>
    <x v="5"/>
    <n v="5"/>
    <n v="3000.85"/>
    <x v="238"/>
    <x v="1"/>
    <x v="4"/>
    <n v="15004.25"/>
    <m/>
    <m/>
    <n v="5"/>
  </r>
  <r>
    <x v="3368"/>
    <x v="662"/>
    <x v="0"/>
    <n v="3"/>
    <n v="900.24"/>
    <x v="172"/>
    <x v="0"/>
    <x v="3"/>
    <n v="2700.7200000000003"/>
    <m/>
    <m/>
    <n v="5"/>
  </r>
  <r>
    <x v="3369"/>
    <x v="662"/>
    <x v="0"/>
    <n v="4"/>
    <n v="1200.32"/>
    <x v="576"/>
    <x v="6"/>
    <x v="2"/>
    <n v="4801.28"/>
    <m/>
    <m/>
    <n v="5"/>
  </r>
  <r>
    <x v="3370"/>
    <x v="662"/>
    <x v="0"/>
    <n v="1"/>
    <n v="300.08"/>
    <x v="168"/>
    <x v="6"/>
    <x v="3"/>
    <n v="300.08"/>
    <m/>
    <m/>
    <n v="5"/>
  </r>
  <r>
    <x v="3371"/>
    <x v="662"/>
    <x v="1"/>
    <n v="5"/>
    <n v="203.3"/>
    <x v="617"/>
    <x v="5"/>
    <x v="4"/>
    <n v="1016.5"/>
    <m/>
    <m/>
    <n v="7"/>
  </r>
  <r>
    <x v="3372"/>
    <x v="662"/>
    <x v="1"/>
    <n v="2"/>
    <n v="81.319999999999993"/>
    <x v="707"/>
    <x v="0"/>
    <x v="1"/>
    <n v="162.63999999999999"/>
    <m/>
    <m/>
    <n v="7"/>
  </r>
  <r>
    <x v="3373"/>
    <x v="662"/>
    <x v="0"/>
    <n v="2"/>
    <n v="600.16"/>
    <x v="350"/>
    <x v="1"/>
    <x v="0"/>
    <n v="1200.32"/>
    <m/>
    <m/>
    <n v="7"/>
  </r>
  <r>
    <x v="3374"/>
    <x v="662"/>
    <x v="0"/>
    <n v="2"/>
    <n v="600.16"/>
    <x v="436"/>
    <x v="2"/>
    <x v="0"/>
    <n v="1200.32"/>
    <m/>
    <m/>
    <n v="10"/>
  </r>
  <r>
    <x v="3375"/>
    <x v="662"/>
    <x v="1"/>
    <n v="5"/>
    <n v="203.3"/>
    <x v="61"/>
    <x v="0"/>
    <x v="4"/>
    <n v="1016.5"/>
    <m/>
    <m/>
    <n v="10"/>
  </r>
  <r>
    <x v="3376"/>
    <x v="663"/>
    <x v="0"/>
    <n v="3"/>
    <n v="900.24"/>
    <x v="40"/>
    <x v="1"/>
    <x v="0"/>
    <n v="2700.7200000000003"/>
    <m/>
    <m/>
    <n v="7"/>
  </r>
  <r>
    <x v="3377"/>
    <x v="663"/>
    <x v="0"/>
    <n v="5"/>
    <n v="1500.4"/>
    <x v="573"/>
    <x v="7"/>
    <x v="2"/>
    <n v="7502"/>
    <m/>
    <m/>
    <n v="7"/>
  </r>
  <r>
    <x v="3378"/>
    <x v="663"/>
    <x v="1"/>
    <n v="5"/>
    <n v="203.3"/>
    <x v="127"/>
    <x v="0"/>
    <x v="2"/>
    <n v="1016.5"/>
    <m/>
    <m/>
    <n v="7"/>
  </r>
  <r>
    <x v="3379"/>
    <x v="663"/>
    <x v="5"/>
    <n v="5"/>
    <n v="3000.85"/>
    <x v="337"/>
    <x v="1"/>
    <x v="4"/>
    <n v="15004.25"/>
    <m/>
    <m/>
    <n v="7"/>
  </r>
  <r>
    <x v="3380"/>
    <x v="663"/>
    <x v="1"/>
    <n v="2"/>
    <n v="81.319999999999993"/>
    <x v="277"/>
    <x v="0"/>
    <x v="4"/>
    <n v="162.63999999999999"/>
    <m/>
    <m/>
    <n v="7"/>
  </r>
  <r>
    <x v="3381"/>
    <x v="664"/>
    <x v="7"/>
    <n v="1"/>
    <n v="11.73"/>
    <x v="383"/>
    <x v="4"/>
    <x v="4"/>
    <n v="11.73"/>
    <m/>
    <m/>
    <n v="5"/>
  </r>
  <r>
    <x v="3382"/>
    <x v="664"/>
    <x v="2"/>
    <n v="4"/>
    <n v="20.92"/>
    <x v="707"/>
    <x v="9"/>
    <x v="1"/>
    <n v="83.68"/>
    <m/>
    <m/>
    <n v="7"/>
  </r>
  <r>
    <x v="3383"/>
    <x v="664"/>
    <x v="6"/>
    <n v="2"/>
    <n v="71.680000000000007"/>
    <x v="755"/>
    <x v="9"/>
    <x v="1"/>
    <n v="143.36000000000001"/>
    <m/>
    <m/>
    <n v="7"/>
  </r>
  <r>
    <x v="3384"/>
    <x v="664"/>
    <x v="2"/>
    <n v="4"/>
    <n v="20.92"/>
    <x v="310"/>
    <x v="4"/>
    <x v="0"/>
    <n v="83.68"/>
    <m/>
    <m/>
    <n v="7"/>
  </r>
  <r>
    <x v="3385"/>
    <x v="664"/>
    <x v="0"/>
    <n v="3"/>
    <n v="900.24"/>
    <x v="161"/>
    <x v="4"/>
    <x v="3"/>
    <n v="2700.7200000000003"/>
    <m/>
    <m/>
    <n v="7"/>
  </r>
  <r>
    <x v="3386"/>
    <x v="664"/>
    <x v="1"/>
    <n v="2"/>
    <n v="81.319999999999993"/>
    <x v="718"/>
    <x v="4"/>
    <x v="0"/>
    <n v="162.63999999999999"/>
    <m/>
    <m/>
    <n v="7"/>
  </r>
  <r>
    <x v="3387"/>
    <x v="664"/>
    <x v="5"/>
    <n v="1"/>
    <n v="600.16999999999996"/>
    <x v="692"/>
    <x v="0"/>
    <x v="4"/>
    <n v="600.16999999999996"/>
    <m/>
    <m/>
    <n v="10"/>
  </r>
  <r>
    <x v="3388"/>
    <x v="665"/>
    <x v="4"/>
    <n v="5"/>
    <n v="5250"/>
    <x v="373"/>
    <x v="1"/>
    <x v="3"/>
    <n v="26250"/>
    <m/>
    <m/>
    <n v="5"/>
  </r>
  <r>
    <x v="3389"/>
    <x v="665"/>
    <x v="0"/>
    <n v="5"/>
    <n v="1500.4"/>
    <x v="129"/>
    <x v="2"/>
    <x v="2"/>
    <n v="7502"/>
    <m/>
    <m/>
    <n v="7"/>
  </r>
  <r>
    <x v="3390"/>
    <x v="665"/>
    <x v="7"/>
    <n v="3"/>
    <n v="35.19"/>
    <x v="235"/>
    <x v="3"/>
    <x v="2"/>
    <n v="105.57"/>
    <m/>
    <m/>
    <n v="7"/>
  </r>
  <r>
    <x v="3391"/>
    <x v="665"/>
    <x v="0"/>
    <n v="2"/>
    <n v="600.16"/>
    <x v="311"/>
    <x v="2"/>
    <x v="3"/>
    <n v="1200.32"/>
    <m/>
    <m/>
    <n v="10"/>
  </r>
  <r>
    <x v="3392"/>
    <x v="666"/>
    <x v="5"/>
    <n v="3"/>
    <n v="1800.51"/>
    <x v="541"/>
    <x v="0"/>
    <x v="4"/>
    <n v="5401.53"/>
    <m/>
    <m/>
    <n v="5"/>
  </r>
  <r>
    <x v="3393"/>
    <x v="666"/>
    <x v="0"/>
    <n v="1"/>
    <n v="300.08"/>
    <x v="51"/>
    <x v="5"/>
    <x v="1"/>
    <n v="300.08"/>
    <m/>
    <m/>
    <n v="7"/>
  </r>
  <r>
    <x v="3394"/>
    <x v="666"/>
    <x v="0"/>
    <n v="4"/>
    <n v="1200.32"/>
    <x v="729"/>
    <x v="0"/>
    <x v="0"/>
    <n v="4801.28"/>
    <m/>
    <m/>
    <n v="7"/>
  </r>
  <r>
    <x v="3395"/>
    <x v="666"/>
    <x v="4"/>
    <n v="3"/>
    <n v="3150"/>
    <x v="674"/>
    <x v="0"/>
    <x v="3"/>
    <n v="9450"/>
    <m/>
    <m/>
    <n v="7"/>
  </r>
  <r>
    <x v="3396"/>
    <x v="667"/>
    <x v="1"/>
    <n v="4"/>
    <n v="162.63999999999999"/>
    <x v="614"/>
    <x v="0"/>
    <x v="1"/>
    <n v="650.55999999999995"/>
    <m/>
    <m/>
    <n v="5"/>
  </r>
  <r>
    <x v="3397"/>
    <x v="667"/>
    <x v="0"/>
    <n v="1"/>
    <n v="300.08"/>
    <x v="773"/>
    <x v="2"/>
    <x v="0"/>
    <n v="300.08"/>
    <m/>
    <m/>
    <n v="5"/>
  </r>
  <r>
    <x v="3398"/>
    <x v="667"/>
    <x v="0"/>
    <n v="3"/>
    <n v="900.24"/>
    <x v="530"/>
    <x v="0"/>
    <x v="1"/>
    <n v="2700.7200000000003"/>
    <m/>
    <m/>
    <n v="7"/>
  </r>
  <r>
    <x v="3399"/>
    <x v="668"/>
    <x v="2"/>
    <n v="2"/>
    <n v="10.46"/>
    <x v="614"/>
    <x v="6"/>
    <x v="2"/>
    <n v="20.92"/>
    <m/>
    <m/>
    <n v="5"/>
  </r>
  <r>
    <x v="3400"/>
    <x v="668"/>
    <x v="0"/>
    <n v="3"/>
    <n v="900.24"/>
    <x v="758"/>
    <x v="0"/>
    <x v="3"/>
    <n v="2700.7200000000003"/>
    <m/>
    <m/>
    <n v="5"/>
  </r>
  <r>
    <x v="3401"/>
    <x v="668"/>
    <x v="6"/>
    <n v="4"/>
    <n v="143.36000000000001"/>
    <x v="189"/>
    <x v="1"/>
    <x v="3"/>
    <n v="573.44000000000005"/>
    <m/>
    <m/>
    <n v="7"/>
  </r>
  <r>
    <x v="3402"/>
    <x v="668"/>
    <x v="0"/>
    <n v="3"/>
    <n v="900.24"/>
    <x v="88"/>
    <x v="6"/>
    <x v="0"/>
    <n v="2700.7200000000003"/>
    <m/>
    <m/>
    <n v="7"/>
  </r>
  <r>
    <x v="3403"/>
    <x v="668"/>
    <x v="1"/>
    <n v="1"/>
    <n v="40.659999999999997"/>
    <x v="123"/>
    <x v="6"/>
    <x v="4"/>
    <n v="40.659999999999997"/>
    <m/>
    <m/>
    <n v="7"/>
  </r>
  <r>
    <x v="3404"/>
    <x v="668"/>
    <x v="7"/>
    <n v="4"/>
    <n v="46.92"/>
    <x v="192"/>
    <x v="5"/>
    <x v="0"/>
    <n v="187.68"/>
    <m/>
    <m/>
    <n v="7"/>
  </r>
  <r>
    <x v="3405"/>
    <x v="668"/>
    <x v="1"/>
    <n v="3"/>
    <n v="121.98"/>
    <x v="377"/>
    <x v="2"/>
    <x v="3"/>
    <n v="365.94"/>
    <m/>
    <m/>
    <n v="7"/>
  </r>
  <r>
    <x v="3406"/>
    <x v="668"/>
    <x v="5"/>
    <n v="1"/>
    <n v="600.16999999999996"/>
    <x v="200"/>
    <x v="0"/>
    <x v="1"/>
    <n v="600.16999999999996"/>
    <m/>
    <m/>
    <n v="10"/>
  </r>
  <r>
    <x v="3407"/>
    <x v="668"/>
    <x v="1"/>
    <n v="5"/>
    <n v="203.3"/>
    <x v="682"/>
    <x v="0"/>
    <x v="3"/>
    <n v="1016.5"/>
    <m/>
    <m/>
    <n v="10"/>
  </r>
  <r>
    <x v="3408"/>
    <x v="669"/>
    <x v="5"/>
    <n v="1"/>
    <n v="600.16999999999996"/>
    <x v="126"/>
    <x v="9"/>
    <x v="2"/>
    <n v="600.16999999999996"/>
    <m/>
    <m/>
    <n v="5"/>
  </r>
  <r>
    <x v="3409"/>
    <x v="669"/>
    <x v="5"/>
    <n v="5"/>
    <n v="3000.85"/>
    <x v="339"/>
    <x v="7"/>
    <x v="2"/>
    <n v="15004.25"/>
    <m/>
    <m/>
    <n v="5"/>
  </r>
  <r>
    <x v="3410"/>
    <x v="669"/>
    <x v="2"/>
    <n v="4"/>
    <n v="20.92"/>
    <x v="15"/>
    <x v="0"/>
    <x v="1"/>
    <n v="83.68"/>
    <m/>
    <m/>
    <n v="5"/>
  </r>
  <r>
    <x v="3411"/>
    <x v="669"/>
    <x v="0"/>
    <n v="2"/>
    <n v="600.16"/>
    <x v="263"/>
    <x v="0"/>
    <x v="4"/>
    <n v="1200.32"/>
    <m/>
    <m/>
    <n v="7"/>
  </r>
  <r>
    <x v="3412"/>
    <x v="670"/>
    <x v="5"/>
    <n v="5"/>
    <n v="3000.85"/>
    <x v="174"/>
    <x v="6"/>
    <x v="3"/>
    <n v="15004.25"/>
    <m/>
    <m/>
    <n v="5"/>
  </r>
  <r>
    <x v="3413"/>
    <x v="670"/>
    <x v="1"/>
    <n v="1"/>
    <n v="40.659999999999997"/>
    <x v="618"/>
    <x v="6"/>
    <x v="3"/>
    <n v="40.659999999999997"/>
    <m/>
    <m/>
    <n v="5"/>
  </r>
  <r>
    <x v="3414"/>
    <x v="670"/>
    <x v="1"/>
    <n v="3"/>
    <n v="121.98"/>
    <x v="386"/>
    <x v="6"/>
    <x v="1"/>
    <n v="365.94"/>
    <m/>
    <m/>
    <n v="5"/>
  </r>
  <r>
    <x v="3415"/>
    <x v="670"/>
    <x v="0"/>
    <n v="1"/>
    <n v="300.08"/>
    <x v="48"/>
    <x v="1"/>
    <x v="1"/>
    <n v="300.08"/>
    <m/>
    <m/>
    <n v="7"/>
  </r>
  <r>
    <x v="3416"/>
    <x v="670"/>
    <x v="1"/>
    <n v="4"/>
    <n v="162.63999999999999"/>
    <x v="407"/>
    <x v="0"/>
    <x v="2"/>
    <n v="650.55999999999995"/>
    <m/>
    <m/>
    <n v="7"/>
  </r>
  <r>
    <x v="3417"/>
    <x v="670"/>
    <x v="0"/>
    <n v="4"/>
    <n v="1200.32"/>
    <x v="297"/>
    <x v="9"/>
    <x v="0"/>
    <n v="4801.28"/>
    <m/>
    <m/>
    <n v="7"/>
  </r>
  <r>
    <x v="3418"/>
    <x v="671"/>
    <x v="0"/>
    <n v="1"/>
    <n v="300.08"/>
    <x v="599"/>
    <x v="5"/>
    <x v="3"/>
    <n v="300.08"/>
    <m/>
    <m/>
    <n v="5"/>
  </r>
  <r>
    <x v="3419"/>
    <x v="671"/>
    <x v="0"/>
    <n v="1"/>
    <n v="300.08"/>
    <x v="575"/>
    <x v="8"/>
    <x v="3"/>
    <n v="300.08"/>
    <m/>
    <m/>
    <n v="5"/>
  </r>
  <r>
    <x v="3420"/>
    <x v="671"/>
    <x v="1"/>
    <n v="5"/>
    <n v="203.3"/>
    <x v="88"/>
    <x v="5"/>
    <x v="0"/>
    <n v="1016.5"/>
    <m/>
    <m/>
    <n v="7"/>
  </r>
  <r>
    <x v="3421"/>
    <x v="671"/>
    <x v="0"/>
    <n v="3"/>
    <n v="900.24"/>
    <x v="491"/>
    <x v="0"/>
    <x v="1"/>
    <n v="2700.7200000000003"/>
    <m/>
    <m/>
    <n v="7"/>
  </r>
  <r>
    <x v="3422"/>
    <x v="671"/>
    <x v="6"/>
    <n v="1"/>
    <n v="35.840000000000003"/>
    <x v="506"/>
    <x v="0"/>
    <x v="3"/>
    <n v="35.840000000000003"/>
    <m/>
    <m/>
    <n v="7"/>
  </r>
  <r>
    <x v="3423"/>
    <x v="671"/>
    <x v="5"/>
    <n v="4"/>
    <n v="2400.6799999999998"/>
    <x v="772"/>
    <x v="1"/>
    <x v="3"/>
    <n v="9602.7199999999993"/>
    <m/>
    <m/>
    <n v="7"/>
  </r>
  <r>
    <x v="3424"/>
    <x v="672"/>
    <x v="5"/>
    <n v="4"/>
    <n v="2400.6799999999998"/>
    <x v="28"/>
    <x v="9"/>
    <x v="0"/>
    <n v="9602.7199999999993"/>
    <m/>
    <m/>
    <n v="5"/>
  </r>
  <r>
    <x v="3425"/>
    <x v="672"/>
    <x v="1"/>
    <n v="2"/>
    <n v="81.319999999999993"/>
    <x v="108"/>
    <x v="7"/>
    <x v="2"/>
    <n v="162.63999999999999"/>
    <m/>
    <m/>
    <n v="5"/>
  </r>
  <r>
    <x v="3426"/>
    <x v="672"/>
    <x v="0"/>
    <n v="3"/>
    <n v="900.24"/>
    <x v="342"/>
    <x v="9"/>
    <x v="0"/>
    <n v="2700.7200000000003"/>
    <m/>
    <m/>
    <n v="7"/>
  </r>
  <r>
    <x v="3427"/>
    <x v="672"/>
    <x v="4"/>
    <n v="4"/>
    <n v="4200"/>
    <x v="129"/>
    <x v="5"/>
    <x v="3"/>
    <n v="16800"/>
    <m/>
    <m/>
    <n v="7"/>
  </r>
  <r>
    <x v="3428"/>
    <x v="672"/>
    <x v="7"/>
    <n v="5"/>
    <n v="58.65"/>
    <x v="771"/>
    <x v="8"/>
    <x v="0"/>
    <n v="293.25"/>
    <m/>
    <m/>
    <n v="7"/>
  </r>
  <r>
    <x v="3429"/>
    <x v="672"/>
    <x v="1"/>
    <n v="1"/>
    <n v="40.659999999999997"/>
    <x v="195"/>
    <x v="9"/>
    <x v="2"/>
    <n v="40.659999999999997"/>
    <m/>
    <m/>
    <n v="7"/>
  </r>
  <r>
    <x v="3430"/>
    <x v="672"/>
    <x v="3"/>
    <n v="3"/>
    <n v="45.45"/>
    <x v="60"/>
    <x v="6"/>
    <x v="3"/>
    <n v="136.35000000000002"/>
    <m/>
    <m/>
    <n v="10"/>
  </r>
  <r>
    <x v="3431"/>
    <x v="673"/>
    <x v="0"/>
    <n v="3"/>
    <n v="900.24"/>
    <x v="163"/>
    <x v="1"/>
    <x v="3"/>
    <n v="2700.7200000000003"/>
    <m/>
    <m/>
    <n v="5"/>
  </r>
  <r>
    <x v="3432"/>
    <x v="673"/>
    <x v="6"/>
    <n v="1"/>
    <n v="35.840000000000003"/>
    <x v="555"/>
    <x v="0"/>
    <x v="4"/>
    <n v="35.840000000000003"/>
    <m/>
    <m/>
    <n v="5"/>
  </r>
  <r>
    <x v="3433"/>
    <x v="673"/>
    <x v="0"/>
    <n v="3"/>
    <n v="900.24"/>
    <x v="466"/>
    <x v="8"/>
    <x v="3"/>
    <n v="2700.7200000000003"/>
    <m/>
    <m/>
    <n v="7"/>
  </r>
  <r>
    <x v="3434"/>
    <x v="673"/>
    <x v="1"/>
    <n v="3"/>
    <n v="121.98"/>
    <x v="377"/>
    <x v="9"/>
    <x v="2"/>
    <n v="365.94"/>
    <m/>
    <m/>
    <n v="7"/>
  </r>
  <r>
    <x v="3435"/>
    <x v="673"/>
    <x v="4"/>
    <n v="4"/>
    <n v="4200"/>
    <x v="578"/>
    <x v="1"/>
    <x v="4"/>
    <n v="16800"/>
    <m/>
    <m/>
    <n v="7"/>
  </r>
  <r>
    <x v="3436"/>
    <x v="673"/>
    <x v="1"/>
    <n v="2"/>
    <n v="81.319999999999993"/>
    <x v="216"/>
    <x v="2"/>
    <x v="3"/>
    <n v="162.63999999999999"/>
    <m/>
    <m/>
    <n v="10"/>
  </r>
  <r>
    <x v="3437"/>
    <x v="674"/>
    <x v="0"/>
    <n v="1"/>
    <n v="300.08"/>
    <x v="122"/>
    <x v="0"/>
    <x v="1"/>
    <n v="300.08"/>
    <m/>
    <m/>
    <n v="5"/>
  </r>
  <r>
    <x v="3438"/>
    <x v="674"/>
    <x v="0"/>
    <n v="1"/>
    <n v="300.08"/>
    <x v="149"/>
    <x v="0"/>
    <x v="2"/>
    <n v="300.08"/>
    <m/>
    <m/>
    <n v="5"/>
  </r>
  <r>
    <x v="3439"/>
    <x v="674"/>
    <x v="7"/>
    <n v="4"/>
    <n v="46.92"/>
    <x v="679"/>
    <x v="4"/>
    <x v="4"/>
    <n v="187.68"/>
    <m/>
    <m/>
    <n v="7"/>
  </r>
  <r>
    <x v="3440"/>
    <x v="674"/>
    <x v="6"/>
    <n v="1"/>
    <n v="35.840000000000003"/>
    <x v="413"/>
    <x v="4"/>
    <x v="4"/>
    <n v="35.840000000000003"/>
    <m/>
    <m/>
    <n v="7"/>
  </r>
  <r>
    <x v="3441"/>
    <x v="674"/>
    <x v="2"/>
    <n v="2"/>
    <n v="10.46"/>
    <x v="251"/>
    <x v="4"/>
    <x v="3"/>
    <n v="20.92"/>
    <m/>
    <m/>
    <n v="10"/>
  </r>
  <r>
    <x v="3442"/>
    <x v="675"/>
    <x v="7"/>
    <n v="4"/>
    <n v="46.92"/>
    <x v="64"/>
    <x v="1"/>
    <x v="4"/>
    <n v="187.68"/>
    <m/>
    <m/>
    <n v="5"/>
  </r>
  <r>
    <x v="3443"/>
    <x v="675"/>
    <x v="1"/>
    <n v="5"/>
    <n v="203.3"/>
    <x v="609"/>
    <x v="5"/>
    <x v="0"/>
    <n v="1016.5"/>
    <m/>
    <m/>
    <n v="5"/>
  </r>
  <r>
    <x v="3444"/>
    <x v="675"/>
    <x v="0"/>
    <n v="3"/>
    <n v="900.24"/>
    <x v="656"/>
    <x v="0"/>
    <x v="3"/>
    <n v="2700.7200000000003"/>
    <m/>
    <m/>
    <n v="5"/>
  </r>
  <r>
    <x v="3445"/>
    <x v="675"/>
    <x v="2"/>
    <n v="2"/>
    <n v="10.46"/>
    <x v="410"/>
    <x v="1"/>
    <x v="4"/>
    <n v="20.92"/>
    <m/>
    <m/>
    <n v="5"/>
  </r>
  <r>
    <x v="3446"/>
    <x v="675"/>
    <x v="1"/>
    <n v="1"/>
    <n v="40.659999999999997"/>
    <x v="393"/>
    <x v="6"/>
    <x v="4"/>
    <n v="40.659999999999997"/>
    <m/>
    <m/>
    <n v="7"/>
  </r>
  <r>
    <x v="3447"/>
    <x v="675"/>
    <x v="3"/>
    <n v="3"/>
    <n v="45.45"/>
    <x v="585"/>
    <x v="0"/>
    <x v="0"/>
    <n v="136.35000000000002"/>
    <m/>
    <m/>
    <n v="7"/>
  </r>
  <r>
    <x v="3448"/>
    <x v="676"/>
    <x v="0"/>
    <n v="4"/>
    <n v="1200.32"/>
    <x v="662"/>
    <x v="4"/>
    <x v="4"/>
    <n v="4801.28"/>
    <m/>
    <m/>
    <n v="5"/>
  </r>
  <r>
    <x v="3449"/>
    <x v="676"/>
    <x v="4"/>
    <n v="3"/>
    <n v="3150"/>
    <x v="424"/>
    <x v="1"/>
    <x v="1"/>
    <n v="9450"/>
    <m/>
    <m/>
    <n v="5"/>
  </r>
  <r>
    <x v="3450"/>
    <x v="676"/>
    <x v="0"/>
    <n v="5"/>
    <n v="1500.4"/>
    <x v="341"/>
    <x v="3"/>
    <x v="4"/>
    <n v="7502"/>
    <m/>
    <m/>
    <n v="5"/>
  </r>
  <r>
    <x v="3451"/>
    <x v="676"/>
    <x v="3"/>
    <n v="3"/>
    <n v="45.45"/>
    <x v="20"/>
    <x v="1"/>
    <x v="2"/>
    <n v="136.35000000000002"/>
    <m/>
    <m/>
    <n v="7"/>
  </r>
  <r>
    <x v="3452"/>
    <x v="676"/>
    <x v="1"/>
    <n v="3"/>
    <n v="121.98"/>
    <x v="658"/>
    <x v="0"/>
    <x v="2"/>
    <n v="365.94"/>
    <m/>
    <m/>
    <n v="10"/>
  </r>
  <r>
    <x v="3453"/>
    <x v="676"/>
    <x v="0"/>
    <n v="4"/>
    <n v="1200.32"/>
    <x v="441"/>
    <x v="4"/>
    <x v="1"/>
    <n v="4801.28"/>
    <m/>
    <m/>
    <n v="10"/>
  </r>
  <r>
    <x v="3454"/>
    <x v="676"/>
    <x v="0"/>
    <n v="2"/>
    <n v="600.16"/>
    <x v="216"/>
    <x v="0"/>
    <x v="3"/>
    <n v="1200.32"/>
    <m/>
    <m/>
    <n v="10"/>
  </r>
  <r>
    <x v="3455"/>
    <x v="677"/>
    <x v="7"/>
    <n v="4"/>
    <n v="46.92"/>
    <x v="399"/>
    <x v="9"/>
    <x v="3"/>
    <n v="187.68"/>
    <m/>
    <m/>
    <n v="7"/>
  </r>
  <r>
    <x v="3456"/>
    <x v="678"/>
    <x v="0"/>
    <n v="4"/>
    <n v="1200.32"/>
    <x v="104"/>
    <x v="0"/>
    <x v="2"/>
    <n v="4801.28"/>
    <m/>
    <m/>
    <n v="5"/>
  </r>
  <r>
    <x v="3457"/>
    <x v="678"/>
    <x v="7"/>
    <n v="5"/>
    <n v="58.65"/>
    <x v="75"/>
    <x v="9"/>
    <x v="0"/>
    <n v="293.25"/>
    <m/>
    <m/>
    <n v="7"/>
  </r>
  <r>
    <x v="3458"/>
    <x v="678"/>
    <x v="1"/>
    <n v="5"/>
    <n v="203.3"/>
    <x v="584"/>
    <x v="9"/>
    <x v="1"/>
    <n v="1016.5"/>
    <m/>
    <m/>
    <n v="7"/>
  </r>
  <r>
    <x v="3459"/>
    <x v="679"/>
    <x v="0"/>
    <n v="1"/>
    <n v="300.08"/>
    <x v="650"/>
    <x v="9"/>
    <x v="4"/>
    <n v="300.08"/>
    <m/>
    <m/>
    <n v="5"/>
  </r>
  <r>
    <x v="3460"/>
    <x v="679"/>
    <x v="3"/>
    <n v="4"/>
    <n v="60.6"/>
    <x v="106"/>
    <x v="1"/>
    <x v="2"/>
    <n v="242.4"/>
    <m/>
    <m/>
    <n v="5"/>
  </r>
  <r>
    <x v="3461"/>
    <x v="679"/>
    <x v="0"/>
    <n v="3"/>
    <n v="900.24"/>
    <x v="272"/>
    <x v="6"/>
    <x v="4"/>
    <n v="2700.7200000000003"/>
    <m/>
    <m/>
    <n v="7"/>
  </r>
  <r>
    <x v="3462"/>
    <x v="680"/>
    <x v="1"/>
    <n v="5"/>
    <n v="203.3"/>
    <x v="77"/>
    <x v="8"/>
    <x v="2"/>
    <n v="1016.5"/>
    <m/>
    <m/>
    <n v="5"/>
  </r>
  <r>
    <x v="3463"/>
    <x v="680"/>
    <x v="5"/>
    <n v="3"/>
    <n v="1800.51"/>
    <x v="523"/>
    <x v="1"/>
    <x v="3"/>
    <n v="5401.53"/>
    <m/>
    <m/>
    <n v="7"/>
  </r>
  <r>
    <x v="3464"/>
    <x v="680"/>
    <x v="0"/>
    <n v="4"/>
    <n v="1200.32"/>
    <x v="504"/>
    <x v="8"/>
    <x v="2"/>
    <n v="4801.28"/>
    <m/>
    <m/>
    <n v="7"/>
  </r>
  <r>
    <x v="3465"/>
    <x v="681"/>
    <x v="2"/>
    <n v="2"/>
    <n v="10.46"/>
    <x v="235"/>
    <x v="6"/>
    <x v="3"/>
    <n v="20.92"/>
    <m/>
    <m/>
    <n v="7"/>
  </r>
  <r>
    <x v="3466"/>
    <x v="681"/>
    <x v="6"/>
    <n v="1"/>
    <n v="35.840000000000003"/>
    <x v="9"/>
    <x v="8"/>
    <x v="3"/>
    <n v="35.840000000000003"/>
    <m/>
    <m/>
    <n v="7"/>
  </r>
  <r>
    <x v="3467"/>
    <x v="681"/>
    <x v="0"/>
    <n v="5"/>
    <n v="1500.4"/>
    <x v="693"/>
    <x v="1"/>
    <x v="2"/>
    <n v="7502"/>
    <m/>
    <m/>
    <n v="10"/>
  </r>
  <r>
    <x v="3468"/>
    <x v="682"/>
    <x v="7"/>
    <n v="5"/>
    <n v="58.65"/>
    <x v="317"/>
    <x v="1"/>
    <x v="4"/>
    <n v="293.25"/>
    <m/>
    <m/>
    <n v="5"/>
  </r>
  <r>
    <x v="3469"/>
    <x v="682"/>
    <x v="0"/>
    <n v="3"/>
    <n v="900.24"/>
    <x v="614"/>
    <x v="7"/>
    <x v="4"/>
    <n v="2700.7200000000003"/>
    <m/>
    <m/>
    <n v="5"/>
  </r>
  <r>
    <x v="3470"/>
    <x v="682"/>
    <x v="7"/>
    <n v="3"/>
    <n v="35.19"/>
    <x v="784"/>
    <x v="2"/>
    <x v="2"/>
    <n v="105.57"/>
    <m/>
    <m/>
    <n v="5"/>
  </r>
  <r>
    <x v="3471"/>
    <x v="682"/>
    <x v="2"/>
    <n v="1"/>
    <n v="5.23"/>
    <x v="242"/>
    <x v="4"/>
    <x v="0"/>
    <n v="5.23"/>
    <m/>
    <m/>
    <n v="5"/>
  </r>
  <r>
    <x v="3472"/>
    <x v="682"/>
    <x v="2"/>
    <n v="5"/>
    <n v="26.15"/>
    <x v="364"/>
    <x v="1"/>
    <x v="1"/>
    <n v="130.75"/>
    <m/>
    <m/>
    <n v="5"/>
  </r>
  <r>
    <x v="3473"/>
    <x v="682"/>
    <x v="1"/>
    <n v="3"/>
    <n v="121.98"/>
    <x v="435"/>
    <x v="0"/>
    <x v="0"/>
    <n v="365.94"/>
    <m/>
    <m/>
    <n v="5"/>
  </r>
  <r>
    <x v="3474"/>
    <x v="682"/>
    <x v="7"/>
    <n v="1"/>
    <n v="11.73"/>
    <x v="181"/>
    <x v="0"/>
    <x v="4"/>
    <n v="11.73"/>
    <m/>
    <m/>
    <n v="7"/>
  </r>
  <r>
    <x v="3475"/>
    <x v="682"/>
    <x v="2"/>
    <n v="3"/>
    <n v="15.69"/>
    <x v="267"/>
    <x v="6"/>
    <x v="3"/>
    <n v="47.07"/>
    <m/>
    <m/>
    <n v="7"/>
  </r>
  <r>
    <x v="3476"/>
    <x v="683"/>
    <x v="0"/>
    <n v="1"/>
    <n v="300.08"/>
    <x v="307"/>
    <x v="4"/>
    <x v="3"/>
    <n v="300.08"/>
    <m/>
    <m/>
    <n v="5"/>
  </r>
  <r>
    <x v="3477"/>
    <x v="683"/>
    <x v="6"/>
    <n v="2"/>
    <n v="71.680000000000007"/>
    <x v="544"/>
    <x v="1"/>
    <x v="3"/>
    <n v="143.36000000000001"/>
    <m/>
    <m/>
    <n v="7"/>
  </r>
  <r>
    <x v="3478"/>
    <x v="683"/>
    <x v="0"/>
    <n v="2"/>
    <n v="600.16"/>
    <x v="675"/>
    <x v="4"/>
    <x v="1"/>
    <n v="1200.32"/>
    <m/>
    <m/>
    <n v="7"/>
  </r>
  <r>
    <x v="3479"/>
    <x v="683"/>
    <x v="1"/>
    <n v="4"/>
    <n v="162.63999999999999"/>
    <x v="482"/>
    <x v="0"/>
    <x v="4"/>
    <n v="650.55999999999995"/>
    <m/>
    <m/>
    <n v="10"/>
  </r>
  <r>
    <x v="3480"/>
    <x v="684"/>
    <x v="3"/>
    <n v="1"/>
    <n v="15.15"/>
    <x v="389"/>
    <x v="7"/>
    <x v="2"/>
    <n v="15.15"/>
    <m/>
    <m/>
    <n v="5"/>
  </r>
  <r>
    <x v="3481"/>
    <x v="684"/>
    <x v="1"/>
    <n v="4"/>
    <n v="162.63999999999999"/>
    <x v="236"/>
    <x v="1"/>
    <x v="3"/>
    <n v="650.55999999999995"/>
    <m/>
    <m/>
    <n v="7"/>
  </r>
  <r>
    <x v="3482"/>
    <x v="684"/>
    <x v="7"/>
    <n v="3"/>
    <n v="35.19"/>
    <x v="363"/>
    <x v="4"/>
    <x v="3"/>
    <n v="105.57"/>
    <m/>
    <m/>
    <n v="7"/>
  </r>
  <r>
    <x v="3483"/>
    <x v="684"/>
    <x v="0"/>
    <n v="2"/>
    <n v="600.16"/>
    <x v="403"/>
    <x v="9"/>
    <x v="3"/>
    <n v="1200.32"/>
    <m/>
    <m/>
    <n v="10"/>
  </r>
  <r>
    <x v="3484"/>
    <x v="685"/>
    <x v="6"/>
    <n v="1"/>
    <n v="35.840000000000003"/>
    <x v="204"/>
    <x v="3"/>
    <x v="1"/>
    <n v="35.840000000000003"/>
    <m/>
    <m/>
    <n v="5"/>
  </r>
  <r>
    <x v="3485"/>
    <x v="685"/>
    <x v="0"/>
    <n v="1"/>
    <n v="300.08"/>
    <x v="302"/>
    <x v="4"/>
    <x v="4"/>
    <n v="300.08"/>
    <m/>
    <m/>
    <n v="5"/>
  </r>
  <r>
    <x v="3486"/>
    <x v="685"/>
    <x v="1"/>
    <n v="4"/>
    <n v="162.63999999999999"/>
    <x v="486"/>
    <x v="5"/>
    <x v="3"/>
    <n v="650.55999999999995"/>
    <m/>
    <m/>
    <n v="7"/>
  </r>
  <r>
    <x v="3487"/>
    <x v="685"/>
    <x v="7"/>
    <n v="1"/>
    <n v="11.73"/>
    <x v="719"/>
    <x v="9"/>
    <x v="2"/>
    <n v="11.73"/>
    <m/>
    <m/>
    <n v="7"/>
  </r>
  <r>
    <x v="3488"/>
    <x v="686"/>
    <x v="7"/>
    <n v="3"/>
    <n v="35.19"/>
    <x v="483"/>
    <x v="0"/>
    <x v="0"/>
    <n v="105.57"/>
    <m/>
    <m/>
    <n v="5"/>
  </r>
  <r>
    <x v="3489"/>
    <x v="686"/>
    <x v="1"/>
    <n v="2"/>
    <n v="81.319999999999993"/>
    <x v="231"/>
    <x v="9"/>
    <x v="3"/>
    <n v="162.63999999999999"/>
    <m/>
    <m/>
    <n v="5"/>
  </r>
  <r>
    <x v="3490"/>
    <x v="686"/>
    <x v="1"/>
    <n v="3"/>
    <n v="121.98"/>
    <x v="644"/>
    <x v="1"/>
    <x v="1"/>
    <n v="365.94"/>
    <m/>
    <m/>
    <n v="7"/>
  </r>
  <r>
    <x v="3491"/>
    <x v="686"/>
    <x v="2"/>
    <n v="1"/>
    <n v="5.23"/>
    <x v="336"/>
    <x v="4"/>
    <x v="4"/>
    <n v="5.23"/>
    <m/>
    <m/>
    <n v="7"/>
  </r>
  <r>
    <x v="3492"/>
    <x v="686"/>
    <x v="5"/>
    <n v="3"/>
    <n v="1800.51"/>
    <x v="361"/>
    <x v="2"/>
    <x v="2"/>
    <n v="5401.53"/>
    <m/>
    <m/>
    <n v="7"/>
  </r>
  <r>
    <x v="3493"/>
    <x v="686"/>
    <x v="4"/>
    <n v="5"/>
    <n v="5250"/>
    <x v="214"/>
    <x v="6"/>
    <x v="2"/>
    <n v="26250"/>
    <m/>
    <m/>
    <n v="7"/>
  </r>
  <r>
    <x v="3494"/>
    <x v="686"/>
    <x v="3"/>
    <n v="3"/>
    <n v="45.45"/>
    <x v="229"/>
    <x v="6"/>
    <x v="4"/>
    <n v="136.35000000000002"/>
    <m/>
    <m/>
    <n v="10"/>
  </r>
  <r>
    <x v="3495"/>
    <x v="687"/>
    <x v="5"/>
    <n v="3"/>
    <n v="1800.51"/>
    <x v="351"/>
    <x v="4"/>
    <x v="3"/>
    <n v="5401.53"/>
    <m/>
    <m/>
    <n v="5"/>
  </r>
  <r>
    <x v="3496"/>
    <x v="687"/>
    <x v="0"/>
    <n v="2"/>
    <n v="600.16"/>
    <x v="307"/>
    <x v="6"/>
    <x v="1"/>
    <n v="1200.32"/>
    <m/>
    <m/>
    <n v="5"/>
  </r>
  <r>
    <x v="3497"/>
    <x v="687"/>
    <x v="2"/>
    <n v="2"/>
    <n v="10.46"/>
    <x v="600"/>
    <x v="9"/>
    <x v="2"/>
    <n v="20.92"/>
    <m/>
    <m/>
    <n v="5"/>
  </r>
  <r>
    <x v="3498"/>
    <x v="687"/>
    <x v="3"/>
    <n v="4"/>
    <n v="60.6"/>
    <x v="430"/>
    <x v="1"/>
    <x v="2"/>
    <n v="242.4"/>
    <m/>
    <m/>
    <n v="7"/>
  </r>
  <r>
    <x v="3499"/>
    <x v="687"/>
    <x v="0"/>
    <n v="5"/>
    <n v="1500.4"/>
    <x v="685"/>
    <x v="8"/>
    <x v="2"/>
    <n v="7502"/>
    <m/>
    <m/>
    <n v="7"/>
  </r>
  <r>
    <x v="3500"/>
    <x v="687"/>
    <x v="0"/>
    <n v="3"/>
    <n v="900.24"/>
    <x v="421"/>
    <x v="6"/>
    <x v="4"/>
    <n v="2700.7200000000003"/>
    <m/>
    <m/>
    <n v="7"/>
  </r>
  <r>
    <x v="3501"/>
    <x v="687"/>
    <x v="6"/>
    <n v="2"/>
    <n v="71.680000000000007"/>
    <x v="601"/>
    <x v="6"/>
    <x v="4"/>
    <n v="143.36000000000001"/>
    <m/>
    <m/>
    <n v="7"/>
  </r>
  <r>
    <x v="3502"/>
    <x v="688"/>
    <x v="0"/>
    <n v="1"/>
    <n v="300.08"/>
    <x v="14"/>
    <x v="4"/>
    <x v="2"/>
    <n v="300.08"/>
    <m/>
    <m/>
    <n v="5"/>
  </r>
  <r>
    <x v="3503"/>
    <x v="688"/>
    <x v="1"/>
    <n v="3"/>
    <n v="121.98"/>
    <x v="745"/>
    <x v="0"/>
    <x v="1"/>
    <n v="365.94"/>
    <m/>
    <m/>
    <n v="5"/>
  </r>
  <r>
    <x v="3504"/>
    <x v="688"/>
    <x v="0"/>
    <n v="2"/>
    <n v="600.16"/>
    <x v="652"/>
    <x v="8"/>
    <x v="4"/>
    <n v="1200.32"/>
    <m/>
    <m/>
    <n v="5"/>
  </r>
  <r>
    <x v="3505"/>
    <x v="688"/>
    <x v="1"/>
    <n v="5"/>
    <n v="203.3"/>
    <x v="646"/>
    <x v="9"/>
    <x v="0"/>
    <n v="1016.5"/>
    <m/>
    <m/>
    <n v="5"/>
  </r>
  <r>
    <x v="3506"/>
    <x v="688"/>
    <x v="6"/>
    <n v="5"/>
    <n v="179.2"/>
    <x v="558"/>
    <x v="6"/>
    <x v="3"/>
    <n v="896"/>
    <m/>
    <m/>
    <n v="7"/>
  </r>
  <r>
    <x v="3507"/>
    <x v="688"/>
    <x v="6"/>
    <n v="1"/>
    <n v="35.840000000000003"/>
    <x v="561"/>
    <x v="1"/>
    <x v="1"/>
    <n v="35.840000000000003"/>
    <m/>
    <m/>
    <n v="7"/>
  </r>
  <r>
    <x v="3508"/>
    <x v="688"/>
    <x v="0"/>
    <n v="5"/>
    <n v="1500.4"/>
    <x v="705"/>
    <x v="1"/>
    <x v="4"/>
    <n v="7502"/>
    <m/>
    <m/>
    <n v="7"/>
  </r>
  <r>
    <x v="3509"/>
    <x v="689"/>
    <x v="4"/>
    <n v="5"/>
    <n v="5250"/>
    <x v="126"/>
    <x v="9"/>
    <x v="2"/>
    <n v="26250"/>
    <m/>
    <m/>
    <n v="5"/>
  </r>
  <r>
    <x v="3510"/>
    <x v="689"/>
    <x v="5"/>
    <n v="4"/>
    <n v="2400.6799999999998"/>
    <x v="293"/>
    <x v="9"/>
    <x v="2"/>
    <n v="9602.7199999999993"/>
    <m/>
    <m/>
    <n v="5"/>
  </r>
  <r>
    <x v="3511"/>
    <x v="689"/>
    <x v="0"/>
    <n v="3"/>
    <n v="900.24"/>
    <x v="501"/>
    <x v="9"/>
    <x v="3"/>
    <n v="2700.7200000000003"/>
    <m/>
    <m/>
    <n v="5"/>
  </r>
  <r>
    <x v="3512"/>
    <x v="689"/>
    <x v="0"/>
    <n v="4"/>
    <n v="1200.32"/>
    <x v="285"/>
    <x v="9"/>
    <x v="1"/>
    <n v="4801.28"/>
    <m/>
    <m/>
    <n v="5"/>
  </r>
  <r>
    <x v="3513"/>
    <x v="689"/>
    <x v="0"/>
    <n v="1"/>
    <n v="300.08"/>
    <x v="373"/>
    <x v="3"/>
    <x v="0"/>
    <n v="300.08"/>
    <m/>
    <m/>
    <n v="5"/>
  </r>
  <r>
    <x v="3514"/>
    <x v="689"/>
    <x v="2"/>
    <n v="2"/>
    <n v="10.46"/>
    <x v="340"/>
    <x v="0"/>
    <x v="1"/>
    <n v="20.92"/>
    <m/>
    <m/>
    <n v="7"/>
  </r>
  <r>
    <x v="3515"/>
    <x v="689"/>
    <x v="0"/>
    <n v="4"/>
    <n v="1200.32"/>
    <x v="733"/>
    <x v="1"/>
    <x v="2"/>
    <n v="4801.28"/>
    <m/>
    <m/>
    <n v="7"/>
  </r>
  <r>
    <x v="3516"/>
    <x v="689"/>
    <x v="1"/>
    <n v="1"/>
    <n v="40.659999999999997"/>
    <x v="592"/>
    <x v="4"/>
    <x v="1"/>
    <n v="40.659999999999997"/>
    <m/>
    <m/>
    <n v="7"/>
  </r>
  <r>
    <x v="3517"/>
    <x v="690"/>
    <x v="2"/>
    <n v="3"/>
    <n v="15.69"/>
    <x v="38"/>
    <x v="9"/>
    <x v="0"/>
    <n v="47.07"/>
    <m/>
    <m/>
    <n v="5"/>
  </r>
  <r>
    <x v="3518"/>
    <x v="690"/>
    <x v="5"/>
    <n v="3"/>
    <n v="1800.51"/>
    <x v="228"/>
    <x v="4"/>
    <x v="3"/>
    <n v="5401.53"/>
    <m/>
    <m/>
    <n v="7"/>
  </r>
  <r>
    <x v="3519"/>
    <x v="691"/>
    <x v="5"/>
    <n v="5"/>
    <n v="3000.85"/>
    <x v="568"/>
    <x v="1"/>
    <x v="3"/>
    <n v="15004.25"/>
    <m/>
    <m/>
    <n v="5"/>
  </r>
  <r>
    <x v="3520"/>
    <x v="691"/>
    <x v="6"/>
    <n v="3"/>
    <n v="107.52"/>
    <x v="10"/>
    <x v="5"/>
    <x v="1"/>
    <n v="322.56"/>
    <m/>
    <m/>
    <n v="5"/>
  </r>
  <r>
    <x v="3521"/>
    <x v="691"/>
    <x v="2"/>
    <n v="1"/>
    <n v="5.23"/>
    <x v="286"/>
    <x v="9"/>
    <x v="2"/>
    <n v="5.23"/>
    <m/>
    <m/>
    <n v="5"/>
  </r>
  <r>
    <x v="3522"/>
    <x v="691"/>
    <x v="1"/>
    <n v="4"/>
    <n v="162.63999999999999"/>
    <x v="191"/>
    <x v="5"/>
    <x v="1"/>
    <n v="650.55999999999995"/>
    <m/>
    <m/>
    <n v="7"/>
  </r>
  <r>
    <x v="3523"/>
    <x v="692"/>
    <x v="0"/>
    <n v="5"/>
    <n v="1500.4"/>
    <x v="454"/>
    <x v="7"/>
    <x v="2"/>
    <n v="7502"/>
    <m/>
    <m/>
    <n v="7"/>
  </r>
  <r>
    <x v="3524"/>
    <x v="692"/>
    <x v="0"/>
    <n v="3"/>
    <n v="900.24"/>
    <x v="309"/>
    <x v="9"/>
    <x v="3"/>
    <n v="2700.7200000000003"/>
    <m/>
    <m/>
    <n v="7"/>
  </r>
  <r>
    <x v="3525"/>
    <x v="692"/>
    <x v="0"/>
    <n v="2"/>
    <n v="600.16"/>
    <x v="418"/>
    <x v="2"/>
    <x v="1"/>
    <n v="1200.32"/>
    <m/>
    <m/>
    <n v="7"/>
  </r>
  <r>
    <x v="3526"/>
    <x v="692"/>
    <x v="1"/>
    <n v="3"/>
    <n v="121.98"/>
    <x v="195"/>
    <x v="0"/>
    <x v="1"/>
    <n v="365.94"/>
    <m/>
    <m/>
    <n v="7"/>
  </r>
  <r>
    <x v="3527"/>
    <x v="692"/>
    <x v="2"/>
    <n v="3"/>
    <n v="15.69"/>
    <x v="755"/>
    <x v="7"/>
    <x v="4"/>
    <n v="47.07"/>
    <m/>
    <m/>
    <n v="7"/>
  </r>
  <r>
    <x v="3528"/>
    <x v="692"/>
    <x v="7"/>
    <n v="5"/>
    <n v="58.65"/>
    <x v="54"/>
    <x v="6"/>
    <x v="0"/>
    <n v="293.25"/>
    <m/>
    <m/>
    <n v="10"/>
  </r>
  <r>
    <x v="3529"/>
    <x v="693"/>
    <x v="0"/>
    <n v="4"/>
    <n v="1200.32"/>
    <x v="278"/>
    <x v="1"/>
    <x v="1"/>
    <n v="4801.28"/>
    <m/>
    <m/>
    <n v="5"/>
  </r>
  <r>
    <x v="3530"/>
    <x v="693"/>
    <x v="0"/>
    <n v="2"/>
    <n v="600.16"/>
    <x v="257"/>
    <x v="1"/>
    <x v="3"/>
    <n v="1200.32"/>
    <m/>
    <m/>
    <n v="5"/>
  </r>
  <r>
    <x v="3531"/>
    <x v="693"/>
    <x v="0"/>
    <n v="2"/>
    <n v="600.16"/>
    <x v="652"/>
    <x v="6"/>
    <x v="2"/>
    <n v="1200.32"/>
    <m/>
    <m/>
    <n v="5"/>
  </r>
  <r>
    <x v="3532"/>
    <x v="693"/>
    <x v="1"/>
    <n v="3"/>
    <n v="121.98"/>
    <x v="564"/>
    <x v="8"/>
    <x v="2"/>
    <n v="365.94"/>
    <m/>
    <m/>
    <n v="7"/>
  </r>
  <r>
    <x v="3533"/>
    <x v="694"/>
    <x v="5"/>
    <n v="1"/>
    <n v="600.16999999999996"/>
    <x v="198"/>
    <x v="1"/>
    <x v="1"/>
    <n v="600.16999999999996"/>
    <m/>
    <m/>
    <n v="5"/>
  </r>
  <r>
    <x v="3534"/>
    <x v="694"/>
    <x v="1"/>
    <n v="1"/>
    <n v="40.659999999999997"/>
    <x v="618"/>
    <x v="6"/>
    <x v="2"/>
    <n v="40.659999999999997"/>
    <m/>
    <m/>
    <n v="5"/>
  </r>
  <r>
    <x v="3535"/>
    <x v="694"/>
    <x v="0"/>
    <n v="4"/>
    <n v="1200.32"/>
    <x v="600"/>
    <x v="6"/>
    <x v="4"/>
    <n v="4801.28"/>
    <m/>
    <m/>
    <n v="5"/>
  </r>
  <r>
    <x v="3536"/>
    <x v="694"/>
    <x v="5"/>
    <n v="4"/>
    <n v="2400.6799999999998"/>
    <x v="367"/>
    <x v="2"/>
    <x v="4"/>
    <n v="9602.7199999999993"/>
    <m/>
    <m/>
    <n v="7"/>
  </r>
  <r>
    <x v="3537"/>
    <x v="695"/>
    <x v="0"/>
    <n v="2"/>
    <n v="600.16"/>
    <x v="245"/>
    <x v="7"/>
    <x v="2"/>
    <n v="1200.32"/>
    <m/>
    <m/>
    <n v="5"/>
  </r>
  <r>
    <x v="3538"/>
    <x v="695"/>
    <x v="6"/>
    <n v="2"/>
    <n v="71.680000000000007"/>
    <x v="138"/>
    <x v="1"/>
    <x v="4"/>
    <n v="143.36000000000001"/>
    <m/>
    <m/>
    <n v="5"/>
  </r>
  <r>
    <x v="3539"/>
    <x v="695"/>
    <x v="1"/>
    <n v="2"/>
    <n v="81.319999999999993"/>
    <x v="380"/>
    <x v="1"/>
    <x v="1"/>
    <n v="162.63999999999999"/>
    <m/>
    <m/>
    <n v="5"/>
  </r>
  <r>
    <x v="3540"/>
    <x v="695"/>
    <x v="1"/>
    <n v="1"/>
    <n v="40.659999999999997"/>
    <x v="557"/>
    <x v="3"/>
    <x v="0"/>
    <n v="40.659999999999997"/>
    <m/>
    <m/>
    <n v="7"/>
  </r>
  <r>
    <x v="3541"/>
    <x v="695"/>
    <x v="0"/>
    <n v="1"/>
    <n v="300.08"/>
    <x v="660"/>
    <x v="7"/>
    <x v="3"/>
    <n v="300.08"/>
    <m/>
    <m/>
    <n v="7"/>
  </r>
  <r>
    <x v="3542"/>
    <x v="695"/>
    <x v="5"/>
    <n v="1"/>
    <n v="600.16999999999996"/>
    <x v="118"/>
    <x v="0"/>
    <x v="0"/>
    <n v="600.16999999999996"/>
    <m/>
    <m/>
    <n v="7"/>
  </r>
  <r>
    <x v="3543"/>
    <x v="695"/>
    <x v="1"/>
    <n v="3"/>
    <n v="121.98"/>
    <x v="254"/>
    <x v="9"/>
    <x v="0"/>
    <n v="365.94"/>
    <m/>
    <m/>
    <n v="7"/>
  </r>
  <r>
    <x v="3544"/>
    <x v="695"/>
    <x v="0"/>
    <n v="2"/>
    <n v="600.16"/>
    <x v="211"/>
    <x v="2"/>
    <x v="3"/>
    <n v="1200.32"/>
    <m/>
    <m/>
    <n v="10"/>
  </r>
  <r>
    <x v="3545"/>
    <x v="696"/>
    <x v="6"/>
    <n v="1"/>
    <n v="35.840000000000003"/>
    <x v="692"/>
    <x v="9"/>
    <x v="4"/>
    <n v="35.840000000000003"/>
    <m/>
    <m/>
    <n v="10"/>
  </r>
  <r>
    <x v="3546"/>
    <x v="696"/>
    <x v="0"/>
    <n v="3"/>
    <n v="900.24"/>
    <x v="769"/>
    <x v="1"/>
    <x v="4"/>
    <n v="2700.7200000000003"/>
    <m/>
    <m/>
    <n v="10"/>
  </r>
  <r>
    <x v="3547"/>
    <x v="697"/>
    <x v="2"/>
    <n v="2"/>
    <n v="10.46"/>
    <x v="543"/>
    <x v="1"/>
    <x v="0"/>
    <n v="20.92"/>
    <m/>
    <m/>
    <n v="5"/>
  </r>
  <r>
    <x v="3548"/>
    <x v="697"/>
    <x v="3"/>
    <n v="5"/>
    <n v="75.75"/>
    <x v="644"/>
    <x v="6"/>
    <x v="3"/>
    <n v="378.75"/>
    <m/>
    <m/>
    <n v="7"/>
  </r>
  <r>
    <x v="3549"/>
    <x v="697"/>
    <x v="0"/>
    <n v="4"/>
    <n v="1200.32"/>
    <x v="596"/>
    <x v="1"/>
    <x v="2"/>
    <n v="4801.28"/>
    <m/>
    <m/>
    <n v="7"/>
  </r>
  <r>
    <x v="3550"/>
    <x v="697"/>
    <x v="1"/>
    <n v="2"/>
    <n v="81.319999999999993"/>
    <x v="266"/>
    <x v="3"/>
    <x v="1"/>
    <n v="162.63999999999999"/>
    <m/>
    <m/>
    <n v="7"/>
  </r>
  <r>
    <x v="3551"/>
    <x v="698"/>
    <x v="6"/>
    <n v="4"/>
    <n v="143.36000000000001"/>
    <x v="784"/>
    <x v="0"/>
    <x v="2"/>
    <n v="573.44000000000005"/>
    <m/>
    <m/>
    <n v="5"/>
  </r>
  <r>
    <x v="3552"/>
    <x v="698"/>
    <x v="7"/>
    <n v="1"/>
    <n v="11.73"/>
    <x v="300"/>
    <x v="0"/>
    <x v="3"/>
    <n v="11.73"/>
    <m/>
    <m/>
    <n v="5"/>
  </r>
  <r>
    <x v="3553"/>
    <x v="698"/>
    <x v="5"/>
    <n v="3"/>
    <n v="1800.51"/>
    <x v="410"/>
    <x v="0"/>
    <x v="0"/>
    <n v="5401.53"/>
    <m/>
    <m/>
    <n v="5"/>
  </r>
  <r>
    <x v="3554"/>
    <x v="698"/>
    <x v="1"/>
    <n v="1"/>
    <n v="40.659999999999997"/>
    <x v="336"/>
    <x v="9"/>
    <x v="4"/>
    <n v="40.659999999999997"/>
    <m/>
    <m/>
    <n v="7"/>
  </r>
  <r>
    <x v="3555"/>
    <x v="699"/>
    <x v="1"/>
    <n v="4"/>
    <n v="162.63999999999999"/>
    <x v="422"/>
    <x v="0"/>
    <x v="2"/>
    <n v="650.55999999999995"/>
    <m/>
    <m/>
    <n v="5"/>
  </r>
  <r>
    <x v="3556"/>
    <x v="699"/>
    <x v="6"/>
    <n v="5"/>
    <n v="179.2"/>
    <x v="537"/>
    <x v="9"/>
    <x v="0"/>
    <n v="896"/>
    <m/>
    <m/>
    <n v="5"/>
  </r>
  <r>
    <x v="3557"/>
    <x v="699"/>
    <x v="0"/>
    <n v="3"/>
    <n v="900.24"/>
    <x v="357"/>
    <x v="0"/>
    <x v="2"/>
    <n v="2700.7200000000003"/>
    <m/>
    <m/>
    <n v="5"/>
  </r>
  <r>
    <x v="3558"/>
    <x v="699"/>
    <x v="0"/>
    <n v="5"/>
    <n v="1500.4"/>
    <x v="294"/>
    <x v="6"/>
    <x v="4"/>
    <n v="7502"/>
    <m/>
    <m/>
    <n v="5"/>
  </r>
  <r>
    <x v="3559"/>
    <x v="699"/>
    <x v="5"/>
    <n v="3"/>
    <n v="1800.51"/>
    <x v="358"/>
    <x v="7"/>
    <x v="0"/>
    <n v="5401.53"/>
    <m/>
    <m/>
    <n v="5"/>
  </r>
  <r>
    <x v="3560"/>
    <x v="699"/>
    <x v="3"/>
    <n v="5"/>
    <n v="75.75"/>
    <x v="655"/>
    <x v="1"/>
    <x v="2"/>
    <n v="378.75"/>
    <m/>
    <m/>
    <n v="5"/>
  </r>
  <r>
    <x v="3561"/>
    <x v="699"/>
    <x v="2"/>
    <n v="3"/>
    <n v="15.69"/>
    <x v="689"/>
    <x v="9"/>
    <x v="1"/>
    <n v="47.07"/>
    <m/>
    <m/>
    <n v="7"/>
  </r>
  <r>
    <x v="3562"/>
    <x v="699"/>
    <x v="1"/>
    <n v="1"/>
    <n v="40.659999999999997"/>
    <x v="689"/>
    <x v="7"/>
    <x v="4"/>
    <n v="40.659999999999997"/>
    <m/>
    <m/>
    <n v="7"/>
  </r>
  <r>
    <x v="3563"/>
    <x v="699"/>
    <x v="0"/>
    <n v="4"/>
    <n v="1200.32"/>
    <x v="594"/>
    <x v="7"/>
    <x v="0"/>
    <n v="4801.28"/>
    <m/>
    <m/>
    <n v="7"/>
  </r>
  <r>
    <x v="3564"/>
    <x v="700"/>
    <x v="6"/>
    <n v="3"/>
    <n v="107.52"/>
    <x v="187"/>
    <x v="4"/>
    <x v="0"/>
    <n v="322.56"/>
    <m/>
    <m/>
    <n v="5"/>
  </r>
  <r>
    <x v="3565"/>
    <x v="700"/>
    <x v="6"/>
    <n v="3"/>
    <n v="107.52"/>
    <x v="206"/>
    <x v="2"/>
    <x v="4"/>
    <n v="322.56"/>
    <m/>
    <m/>
    <n v="7"/>
  </r>
  <r>
    <x v="3566"/>
    <x v="700"/>
    <x v="1"/>
    <n v="1"/>
    <n v="40.659999999999997"/>
    <x v="178"/>
    <x v="4"/>
    <x v="4"/>
    <n v="40.659999999999997"/>
    <m/>
    <m/>
    <n v="7"/>
  </r>
  <r>
    <x v="3567"/>
    <x v="700"/>
    <x v="2"/>
    <n v="4"/>
    <n v="20.92"/>
    <x v="601"/>
    <x v="6"/>
    <x v="0"/>
    <n v="83.68"/>
    <m/>
    <m/>
    <n v="7"/>
  </r>
  <r>
    <x v="3568"/>
    <x v="701"/>
    <x v="5"/>
    <n v="4"/>
    <n v="2400.6799999999998"/>
    <x v="319"/>
    <x v="1"/>
    <x v="0"/>
    <n v="9602.7199999999993"/>
    <m/>
    <m/>
    <n v="5"/>
  </r>
  <r>
    <x v="3569"/>
    <x v="701"/>
    <x v="0"/>
    <n v="2"/>
    <n v="600.16"/>
    <x v="312"/>
    <x v="6"/>
    <x v="1"/>
    <n v="1200.32"/>
    <m/>
    <m/>
    <n v="5"/>
  </r>
  <r>
    <x v="3570"/>
    <x v="701"/>
    <x v="7"/>
    <n v="1"/>
    <n v="11.73"/>
    <x v="613"/>
    <x v="1"/>
    <x v="4"/>
    <n v="11.73"/>
    <m/>
    <m/>
    <n v="5"/>
  </r>
  <r>
    <x v="3571"/>
    <x v="701"/>
    <x v="2"/>
    <n v="5"/>
    <n v="26.15"/>
    <x v="569"/>
    <x v="1"/>
    <x v="2"/>
    <n v="130.75"/>
    <m/>
    <m/>
    <n v="5"/>
  </r>
  <r>
    <x v="3572"/>
    <x v="701"/>
    <x v="1"/>
    <n v="2"/>
    <n v="81.319999999999993"/>
    <x v="530"/>
    <x v="8"/>
    <x v="2"/>
    <n v="162.63999999999999"/>
    <m/>
    <m/>
    <n v="7"/>
  </r>
  <r>
    <x v="3573"/>
    <x v="701"/>
    <x v="6"/>
    <n v="5"/>
    <n v="179.2"/>
    <x v="56"/>
    <x v="4"/>
    <x v="4"/>
    <n v="896"/>
    <m/>
    <m/>
    <n v="7"/>
  </r>
  <r>
    <x v="3574"/>
    <x v="701"/>
    <x v="6"/>
    <n v="4"/>
    <n v="143.36000000000001"/>
    <x v="24"/>
    <x v="0"/>
    <x v="0"/>
    <n v="573.44000000000005"/>
    <m/>
    <m/>
    <n v="7"/>
  </r>
  <r>
    <x v="3575"/>
    <x v="702"/>
    <x v="1"/>
    <n v="4"/>
    <n v="162.63999999999999"/>
    <x v="312"/>
    <x v="4"/>
    <x v="2"/>
    <n v="650.55999999999995"/>
    <m/>
    <m/>
    <n v="5"/>
  </r>
  <r>
    <x v="3576"/>
    <x v="702"/>
    <x v="0"/>
    <n v="1"/>
    <n v="300.08"/>
    <x v="632"/>
    <x v="6"/>
    <x v="0"/>
    <n v="300.08"/>
    <m/>
    <m/>
    <n v="5"/>
  </r>
  <r>
    <x v="3577"/>
    <x v="702"/>
    <x v="1"/>
    <n v="1"/>
    <n v="40.659999999999997"/>
    <x v="430"/>
    <x v="8"/>
    <x v="3"/>
    <n v="40.659999999999997"/>
    <m/>
    <m/>
    <n v="7"/>
  </r>
  <r>
    <x v="3578"/>
    <x v="703"/>
    <x v="0"/>
    <n v="5"/>
    <n v="1500.4"/>
    <x v="525"/>
    <x v="6"/>
    <x v="2"/>
    <n v="7502"/>
    <m/>
    <m/>
    <n v="5"/>
  </r>
  <r>
    <x v="3579"/>
    <x v="703"/>
    <x v="5"/>
    <n v="2"/>
    <n v="1200.3399999999999"/>
    <x v="727"/>
    <x v="6"/>
    <x v="2"/>
    <n v="2400.6799999999998"/>
    <m/>
    <m/>
    <n v="10"/>
  </r>
  <r>
    <x v="3580"/>
    <x v="704"/>
    <x v="0"/>
    <n v="2"/>
    <n v="600.16"/>
    <x v="445"/>
    <x v="0"/>
    <x v="4"/>
    <n v="1200.32"/>
    <m/>
    <m/>
    <n v="5"/>
  </r>
  <r>
    <x v="3581"/>
    <x v="704"/>
    <x v="1"/>
    <n v="4"/>
    <n v="162.63999999999999"/>
    <x v="768"/>
    <x v="6"/>
    <x v="2"/>
    <n v="650.55999999999995"/>
    <m/>
    <m/>
    <n v="5"/>
  </r>
  <r>
    <x v="3582"/>
    <x v="704"/>
    <x v="2"/>
    <n v="3"/>
    <n v="15.69"/>
    <x v="676"/>
    <x v="6"/>
    <x v="4"/>
    <n v="47.07"/>
    <m/>
    <m/>
    <n v="5"/>
  </r>
  <r>
    <x v="3583"/>
    <x v="704"/>
    <x v="5"/>
    <n v="5"/>
    <n v="3000.85"/>
    <x v="724"/>
    <x v="4"/>
    <x v="0"/>
    <n v="15004.25"/>
    <m/>
    <m/>
    <n v="5"/>
  </r>
  <r>
    <x v="3584"/>
    <x v="704"/>
    <x v="5"/>
    <n v="1"/>
    <n v="600.16999999999996"/>
    <x v="697"/>
    <x v="4"/>
    <x v="3"/>
    <n v="600.16999999999996"/>
    <m/>
    <m/>
    <n v="5"/>
  </r>
  <r>
    <x v="3585"/>
    <x v="704"/>
    <x v="0"/>
    <n v="3"/>
    <n v="900.24"/>
    <x v="329"/>
    <x v="8"/>
    <x v="0"/>
    <n v="2700.7200000000003"/>
    <m/>
    <m/>
    <n v="7"/>
  </r>
  <r>
    <x v="3586"/>
    <x v="704"/>
    <x v="0"/>
    <n v="3"/>
    <n v="900.24"/>
    <x v="637"/>
    <x v="4"/>
    <x v="4"/>
    <n v="2700.7200000000003"/>
    <m/>
    <m/>
    <n v="7"/>
  </r>
  <r>
    <x v="3587"/>
    <x v="704"/>
    <x v="6"/>
    <n v="2"/>
    <n v="71.680000000000007"/>
    <x v="658"/>
    <x v="9"/>
    <x v="2"/>
    <n v="143.36000000000001"/>
    <m/>
    <m/>
    <n v="10"/>
  </r>
  <r>
    <x v="3588"/>
    <x v="705"/>
    <x v="1"/>
    <n v="2"/>
    <n v="81.319999999999993"/>
    <x v="784"/>
    <x v="4"/>
    <x v="3"/>
    <n v="162.63999999999999"/>
    <m/>
    <m/>
    <n v="5"/>
  </r>
  <r>
    <x v="3589"/>
    <x v="705"/>
    <x v="6"/>
    <n v="3"/>
    <n v="107.52"/>
    <x v="59"/>
    <x v="6"/>
    <x v="2"/>
    <n v="322.56"/>
    <m/>
    <m/>
    <n v="7"/>
  </r>
  <r>
    <x v="3590"/>
    <x v="705"/>
    <x v="7"/>
    <n v="3"/>
    <n v="35.19"/>
    <x v="622"/>
    <x v="6"/>
    <x v="3"/>
    <n v="105.57"/>
    <m/>
    <m/>
    <n v="7"/>
  </r>
  <r>
    <x v="3591"/>
    <x v="706"/>
    <x v="0"/>
    <n v="3"/>
    <n v="900.24"/>
    <x v="238"/>
    <x v="0"/>
    <x v="4"/>
    <n v="2700.7200000000003"/>
    <m/>
    <m/>
    <n v="5"/>
  </r>
  <r>
    <x v="3592"/>
    <x v="706"/>
    <x v="0"/>
    <n v="2"/>
    <n v="600.16"/>
    <x v="648"/>
    <x v="1"/>
    <x v="0"/>
    <n v="1200.32"/>
    <m/>
    <m/>
    <n v="5"/>
  </r>
  <r>
    <x v="3593"/>
    <x v="706"/>
    <x v="0"/>
    <n v="5"/>
    <n v="1500.4"/>
    <x v="205"/>
    <x v="9"/>
    <x v="4"/>
    <n v="7502"/>
    <m/>
    <m/>
    <n v="7"/>
  </r>
  <r>
    <x v="3594"/>
    <x v="706"/>
    <x v="2"/>
    <n v="5"/>
    <n v="26.15"/>
    <x v="753"/>
    <x v="0"/>
    <x v="2"/>
    <n v="130.75"/>
    <m/>
    <m/>
    <n v="7"/>
  </r>
  <r>
    <x v="3595"/>
    <x v="706"/>
    <x v="2"/>
    <n v="3"/>
    <n v="15.69"/>
    <x v="617"/>
    <x v="4"/>
    <x v="4"/>
    <n v="47.07"/>
    <m/>
    <m/>
    <n v="7"/>
  </r>
  <r>
    <x v="3596"/>
    <x v="706"/>
    <x v="2"/>
    <n v="1"/>
    <n v="5.23"/>
    <x v="444"/>
    <x v="6"/>
    <x v="0"/>
    <n v="5.23"/>
    <m/>
    <m/>
    <n v="7"/>
  </r>
  <r>
    <x v="3597"/>
    <x v="706"/>
    <x v="5"/>
    <n v="4"/>
    <n v="2400.6799999999998"/>
    <x v="548"/>
    <x v="0"/>
    <x v="1"/>
    <n v="9602.7199999999993"/>
    <m/>
    <m/>
    <n v="7"/>
  </r>
  <r>
    <x v="3598"/>
    <x v="706"/>
    <x v="5"/>
    <n v="4"/>
    <n v="2400.6799999999998"/>
    <x v="712"/>
    <x v="6"/>
    <x v="3"/>
    <n v="9602.7199999999993"/>
    <m/>
    <m/>
    <n v="7"/>
  </r>
  <r>
    <x v="3599"/>
    <x v="706"/>
    <x v="0"/>
    <n v="2"/>
    <n v="600.16"/>
    <x v="215"/>
    <x v="5"/>
    <x v="4"/>
    <n v="1200.32"/>
    <m/>
    <m/>
    <n v="10"/>
  </r>
  <r>
    <x v="3600"/>
    <x v="707"/>
    <x v="1"/>
    <n v="1"/>
    <n v="40.659999999999997"/>
    <x v="522"/>
    <x v="0"/>
    <x v="2"/>
    <n v="40.659999999999997"/>
    <m/>
    <m/>
    <n v="5"/>
  </r>
  <r>
    <x v="3601"/>
    <x v="707"/>
    <x v="0"/>
    <n v="5"/>
    <n v="1500.4"/>
    <x v="367"/>
    <x v="6"/>
    <x v="3"/>
    <n v="7502"/>
    <m/>
    <m/>
    <n v="7"/>
  </r>
  <r>
    <x v="3602"/>
    <x v="707"/>
    <x v="0"/>
    <n v="5"/>
    <n v="1500.4"/>
    <x v="416"/>
    <x v="0"/>
    <x v="3"/>
    <n v="7502"/>
    <m/>
    <m/>
    <n v="10"/>
  </r>
  <r>
    <x v="3603"/>
    <x v="707"/>
    <x v="0"/>
    <n v="4"/>
    <n v="1200.32"/>
    <x v="54"/>
    <x v="2"/>
    <x v="3"/>
    <n v="4801.28"/>
    <m/>
    <m/>
    <n v="10"/>
  </r>
  <r>
    <x v="3604"/>
    <x v="708"/>
    <x v="2"/>
    <n v="5"/>
    <n v="26.15"/>
    <x v="663"/>
    <x v="7"/>
    <x v="0"/>
    <n v="130.75"/>
    <m/>
    <m/>
    <n v="5"/>
  </r>
  <r>
    <x v="3605"/>
    <x v="708"/>
    <x v="2"/>
    <n v="1"/>
    <n v="5.23"/>
    <x v="467"/>
    <x v="2"/>
    <x v="1"/>
    <n v="5.23"/>
    <m/>
    <m/>
    <n v="7"/>
  </r>
  <r>
    <x v="3606"/>
    <x v="708"/>
    <x v="0"/>
    <n v="5"/>
    <n v="1500.4"/>
    <x v="181"/>
    <x v="0"/>
    <x v="1"/>
    <n v="7502"/>
    <m/>
    <m/>
    <n v="7"/>
  </r>
  <r>
    <x v="3607"/>
    <x v="708"/>
    <x v="0"/>
    <n v="4"/>
    <n v="1200.32"/>
    <x v="236"/>
    <x v="4"/>
    <x v="2"/>
    <n v="4801.28"/>
    <m/>
    <m/>
    <n v="7"/>
  </r>
  <r>
    <x v="3608"/>
    <x v="708"/>
    <x v="5"/>
    <n v="2"/>
    <n v="1200.3399999999999"/>
    <x v="439"/>
    <x v="1"/>
    <x v="1"/>
    <n v="2400.6799999999998"/>
    <m/>
    <m/>
    <n v="7"/>
  </r>
  <r>
    <x v="3609"/>
    <x v="709"/>
    <x v="6"/>
    <n v="3"/>
    <n v="107.52"/>
    <x v="204"/>
    <x v="7"/>
    <x v="2"/>
    <n v="322.56"/>
    <m/>
    <m/>
    <n v="5"/>
  </r>
  <r>
    <x v="3610"/>
    <x v="709"/>
    <x v="1"/>
    <n v="5"/>
    <n v="203.3"/>
    <x v="218"/>
    <x v="6"/>
    <x v="4"/>
    <n v="1016.5"/>
    <m/>
    <m/>
    <n v="7"/>
  </r>
  <r>
    <x v="3611"/>
    <x v="709"/>
    <x v="2"/>
    <n v="2"/>
    <n v="10.46"/>
    <x v="310"/>
    <x v="0"/>
    <x v="0"/>
    <n v="20.92"/>
    <m/>
    <m/>
    <n v="7"/>
  </r>
  <r>
    <x v="3612"/>
    <x v="710"/>
    <x v="1"/>
    <n v="3"/>
    <n v="121.98"/>
    <x v="446"/>
    <x v="0"/>
    <x v="1"/>
    <n v="365.94"/>
    <m/>
    <m/>
    <n v="5"/>
  </r>
  <r>
    <x v="3613"/>
    <x v="710"/>
    <x v="2"/>
    <n v="5"/>
    <n v="26.15"/>
    <x v="623"/>
    <x v="5"/>
    <x v="4"/>
    <n v="130.75"/>
    <m/>
    <m/>
    <n v="5"/>
  </r>
  <r>
    <x v="3614"/>
    <x v="710"/>
    <x v="1"/>
    <n v="5"/>
    <n v="203.3"/>
    <x v="538"/>
    <x v="3"/>
    <x v="2"/>
    <n v="1016.5"/>
    <m/>
    <m/>
    <n v="5"/>
  </r>
  <r>
    <x v="3615"/>
    <x v="710"/>
    <x v="2"/>
    <n v="4"/>
    <n v="20.92"/>
    <x v="91"/>
    <x v="7"/>
    <x v="2"/>
    <n v="83.68"/>
    <m/>
    <m/>
    <n v="5"/>
  </r>
  <r>
    <x v="3616"/>
    <x v="710"/>
    <x v="3"/>
    <n v="1"/>
    <n v="15.15"/>
    <x v="265"/>
    <x v="8"/>
    <x v="3"/>
    <n v="15.15"/>
    <m/>
    <m/>
    <n v="5"/>
  </r>
  <r>
    <x v="3617"/>
    <x v="710"/>
    <x v="5"/>
    <n v="1"/>
    <n v="600.16999999999996"/>
    <x v="48"/>
    <x v="6"/>
    <x v="4"/>
    <n v="600.16999999999996"/>
    <m/>
    <m/>
    <n v="7"/>
  </r>
  <r>
    <x v="3618"/>
    <x v="710"/>
    <x v="2"/>
    <n v="4"/>
    <n v="20.92"/>
    <x v="539"/>
    <x v="4"/>
    <x v="2"/>
    <n v="83.68"/>
    <m/>
    <m/>
    <n v="7"/>
  </r>
  <r>
    <x v="3619"/>
    <x v="710"/>
    <x v="2"/>
    <n v="5"/>
    <n v="26.15"/>
    <x v="405"/>
    <x v="5"/>
    <x v="0"/>
    <n v="130.75"/>
    <m/>
    <m/>
    <n v="7"/>
  </r>
  <r>
    <x v="3620"/>
    <x v="711"/>
    <x v="0"/>
    <n v="2"/>
    <n v="600.16"/>
    <x v="312"/>
    <x v="6"/>
    <x v="2"/>
    <n v="1200.32"/>
    <m/>
    <m/>
    <n v="5"/>
  </r>
  <r>
    <x v="3621"/>
    <x v="711"/>
    <x v="1"/>
    <n v="1"/>
    <n v="40.659999999999997"/>
    <x v="206"/>
    <x v="0"/>
    <x v="2"/>
    <n v="40.659999999999997"/>
    <m/>
    <m/>
    <n v="7"/>
  </r>
  <r>
    <x v="3622"/>
    <x v="711"/>
    <x v="0"/>
    <n v="3"/>
    <n v="900.24"/>
    <x v="721"/>
    <x v="4"/>
    <x v="4"/>
    <n v="2700.7200000000003"/>
    <m/>
    <m/>
    <n v="7"/>
  </r>
  <r>
    <x v="3623"/>
    <x v="711"/>
    <x v="5"/>
    <n v="3"/>
    <n v="1800.51"/>
    <x v="447"/>
    <x v="8"/>
    <x v="1"/>
    <n v="5401.53"/>
    <m/>
    <m/>
    <n v="7"/>
  </r>
  <r>
    <x v="3624"/>
    <x v="712"/>
    <x v="0"/>
    <n v="1"/>
    <n v="300.08"/>
    <x v="17"/>
    <x v="6"/>
    <x v="3"/>
    <n v="300.08"/>
    <m/>
    <m/>
    <n v="5"/>
  </r>
  <r>
    <x v="3625"/>
    <x v="712"/>
    <x v="2"/>
    <n v="1"/>
    <n v="5.23"/>
    <x v="410"/>
    <x v="3"/>
    <x v="4"/>
    <n v="5.23"/>
    <m/>
    <m/>
    <n v="5"/>
  </r>
  <r>
    <x v="3626"/>
    <x v="712"/>
    <x v="0"/>
    <n v="2"/>
    <n v="600.16"/>
    <x v="663"/>
    <x v="3"/>
    <x v="0"/>
    <n v="1200.32"/>
    <m/>
    <m/>
    <n v="5"/>
  </r>
  <r>
    <x v="3627"/>
    <x v="712"/>
    <x v="3"/>
    <n v="2"/>
    <n v="30.3"/>
    <x v="788"/>
    <x v="5"/>
    <x v="4"/>
    <n v="60.6"/>
    <m/>
    <m/>
    <n v="7"/>
  </r>
  <r>
    <x v="3628"/>
    <x v="712"/>
    <x v="5"/>
    <n v="5"/>
    <n v="3000.85"/>
    <x v="181"/>
    <x v="4"/>
    <x v="3"/>
    <n v="15004.25"/>
    <m/>
    <m/>
    <n v="7"/>
  </r>
  <r>
    <x v="3629"/>
    <x v="712"/>
    <x v="6"/>
    <n v="5"/>
    <n v="179.2"/>
    <x v="699"/>
    <x v="1"/>
    <x v="0"/>
    <n v="896"/>
    <m/>
    <m/>
    <n v="7"/>
  </r>
  <r>
    <x v="3630"/>
    <x v="712"/>
    <x v="6"/>
    <n v="4"/>
    <n v="143.36000000000001"/>
    <x v="53"/>
    <x v="8"/>
    <x v="2"/>
    <n v="573.44000000000005"/>
    <m/>
    <m/>
    <n v="10"/>
  </r>
  <r>
    <x v="3631"/>
    <x v="712"/>
    <x v="4"/>
    <n v="4"/>
    <n v="4200"/>
    <x v="71"/>
    <x v="1"/>
    <x v="0"/>
    <n v="16800"/>
    <m/>
    <m/>
    <n v="10"/>
  </r>
  <r>
    <x v="3632"/>
    <x v="713"/>
    <x v="6"/>
    <n v="2"/>
    <n v="71.680000000000007"/>
    <x v="257"/>
    <x v="1"/>
    <x v="1"/>
    <n v="143.36000000000001"/>
    <m/>
    <m/>
    <n v="5"/>
  </r>
  <r>
    <x v="3633"/>
    <x v="713"/>
    <x v="5"/>
    <n v="2"/>
    <n v="1200.3399999999999"/>
    <x v="774"/>
    <x v="6"/>
    <x v="1"/>
    <n v="2400.6799999999998"/>
    <m/>
    <m/>
    <n v="7"/>
  </r>
  <r>
    <x v="3634"/>
    <x v="713"/>
    <x v="3"/>
    <n v="4"/>
    <n v="60.6"/>
    <x v="385"/>
    <x v="4"/>
    <x v="0"/>
    <n v="242.4"/>
    <m/>
    <m/>
    <n v="10"/>
  </r>
  <r>
    <x v="3635"/>
    <x v="714"/>
    <x v="1"/>
    <n v="4"/>
    <n v="162.63999999999999"/>
    <x v="730"/>
    <x v="0"/>
    <x v="0"/>
    <n v="650.55999999999995"/>
    <m/>
    <m/>
    <n v="5"/>
  </r>
  <r>
    <x v="3636"/>
    <x v="714"/>
    <x v="7"/>
    <n v="1"/>
    <n v="11.73"/>
    <x v="789"/>
    <x v="6"/>
    <x v="4"/>
    <n v="11.73"/>
    <m/>
    <m/>
    <n v="5"/>
  </r>
  <r>
    <x v="3637"/>
    <x v="714"/>
    <x v="0"/>
    <n v="5"/>
    <n v="1500.4"/>
    <x v="308"/>
    <x v="0"/>
    <x v="3"/>
    <n v="7502"/>
    <m/>
    <m/>
    <n v="5"/>
  </r>
  <r>
    <x v="3638"/>
    <x v="715"/>
    <x v="0"/>
    <n v="2"/>
    <n v="600.16"/>
    <x v="547"/>
    <x v="6"/>
    <x v="0"/>
    <n v="1200.32"/>
    <m/>
    <m/>
    <n v="7"/>
  </r>
  <r>
    <x v="3639"/>
    <x v="715"/>
    <x v="0"/>
    <n v="1"/>
    <n v="300.08"/>
    <x v="289"/>
    <x v="4"/>
    <x v="4"/>
    <n v="300.08"/>
    <m/>
    <m/>
    <n v="7"/>
  </r>
  <r>
    <x v="3640"/>
    <x v="716"/>
    <x v="6"/>
    <n v="2"/>
    <n v="71.680000000000007"/>
    <x v="435"/>
    <x v="0"/>
    <x v="4"/>
    <n v="143.36000000000001"/>
    <m/>
    <m/>
    <n v="5"/>
  </r>
  <r>
    <x v="3641"/>
    <x v="716"/>
    <x v="2"/>
    <n v="1"/>
    <n v="5.23"/>
    <x v="762"/>
    <x v="0"/>
    <x v="4"/>
    <n v="5.23"/>
    <m/>
    <m/>
    <n v="5"/>
  </r>
  <r>
    <x v="3642"/>
    <x v="716"/>
    <x v="4"/>
    <n v="1"/>
    <n v="1050"/>
    <x v="468"/>
    <x v="9"/>
    <x v="4"/>
    <n v="1050"/>
    <m/>
    <m/>
    <n v="7"/>
  </r>
  <r>
    <x v="3643"/>
    <x v="716"/>
    <x v="0"/>
    <n v="3"/>
    <n v="900.24"/>
    <x v="464"/>
    <x v="5"/>
    <x v="2"/>
    <n v="2700.7200000000003"/>
    <m/>
    <m/>
    <n v="7"/>
  </r>
  <r>
    <x v="3644"/>
    <x v="717"/>
    <x v="1"/>
    <n v="5"/>
    <n v="203.3"/>
    <x v="437"/>
    <x v="3"/>
    <x v="3"/>
    <n v="1016.5"/>
    <m/>
    <m/>
    <n v="5"/>
  </r>
  <r>
    <x v="3645"/>
    <x v="717"/>
    <x v="0"/>
    <n v="4"/>
    <n v="1200.32"/>
    <x v="680"/>
    <x v="9"/>
    <x v="3"/>
    <n v="4801.28"/>
    <m/>
    <m/>
    <n v="5"/>
  </r>
  <r>
    <x v="3646"/>
    <x v="717"/>
    <x v="2"/>
    <n v="5"/>
    <n v="26.15"/>
    <x v="790"/>
    <x v="0"/>
    <x v="3"/>
    <n v="130.75"/>
    <m/>
    <m/>
    <n v="5"/>
  </r>
  <r>
    <x v="3647"/>
    <x v="717"/>
    <x v="2"/>
    <n v="1"/>
    <n v="5.23"/>
    <x v="324"/>
    <x v="6"/>
    <x v="3"/>
    <n v="5.23"/>
    <m/>
    <m/>
    <n v="5"/>
  </r>
  <r>
    <x v="3648"/>
    <x v="718"/>
    <x v="7"/>
    <n v="3"/>
    <n v="35.19"/>
    <x v="672"/>
    <x v="3"/>
    <x v="2"/>
    <n v="105.57"/>
    <m/>
    <m/>
    <n v="5"/>
  </r>
  <r>
    <x v="3649"/>
    <x v="718"/>
    <x v="0"/>
    <n v="5"/>
    <n v="1500.4"/>
    <x v="173"/>
    <x v="6"/>
    <x v="0"/>
    <n v="7502"/>
    <m/>
    <m/>
    <n v="5"/>
  </r>
  <r>
    <x v="3650"/>
    <x v="718"/>
    <x v="0"/>
    <n v="5"/>
    <n v="1500.4"/>
    <x v="90"/>
    <x v="6"/>
    <x v="3"/>
    <n v="7502"/>
    <m/>
    <m/>
    <n v="5"/>
  </r>
  <r>
    <x v="3651"/>
    <x v="718"/>
    <x v="6"/>
    <n v="2"/>
    <n v="71.680000000000007"/>
    <x v="720"/>
    <x v="7"/>
    <x v="4"/>
    <n v="143.36000000000001"/>
    <m/>
    <m/>
    <n v="5"/>
  </r>
  <r>
    <x v="3652"/>
    <x v="718"/>
    <x v="4"/>
    <n v="5"/>
    <n v="5250"/>
    <x v="779"/>
    <x v="2"/>
    <x v="3"/>
    <n v="26250"/>
    <m/>
    <m/>
    <n v="7"/>
  </r>
  <r>
    <x v="3653"/>
    <x v="719"/>
    <x v="1"/>
    <n v="4"/>
    <n v="162.63999999999999"/>
    <x v="396"/>
    <x v="6"/>
    <x v="0"/>
    <n v="650.55999999999995"/>
    <m/>
    <m/>
    <n v="5"/>
  </r>
  <r>
    <x v="3654"/>
    <x v="719"/>
    <x v="6"/>
    <n v="1"/>
    <n v="35.840000000000003"/>
    <x v="209"/>
    <x v="0"/>
    <x v="4"/>
    <n v="35.840000000000003"/>
    <m/>
    <m/>
    <n v="7"/>
  </r>
  <r>
    <x v="3655"/>
    <x v="719"/>
    <x v="0"/>
    <n v="2"/>
    <n v="600.16"/>
    <x v="119"/>
    <x v="6"/>
    <x v="4"/>
    <n v="1200.32"/>
    <m/>
    <m/>
    <n v="7"/>
  </r>
  <r>
    <x v="3656"/>
    <x v="720"/>
    <x v="5"/>
    <n v="2"/>
    <n v="1200.3399999999999"/>
    <x v="550"/>
    <x v="6"/>
    <x v="3"/>
    <n v="2400.6799999999998"/>
    <m/>
    <m/>
    <n v="5"/>
  </r>
  <r>
    <x v="3657"/>
    <x v="720"/>
    <x v="2"/>
    <n v="4"/>
    <n v="20.92"/>
    <x v="179"/>
    <x v="1"/>
    <x v="4"/>
    <n v="83.68"/>
    <m/>
    <m/>
    <n v="5"/>
  </r>
  <r>
    <x v="3658"/>
    <x v="720"/>
    <x v="0"/>
    <n v="2"/>
    <n v="600.16"/>
    <x v="323"/>
    <x v="2"/>
    <x v="4"/>
    <n v="1200.32"/>
    <m/>
    <m/>
    <n v="7"/>
  </r>
  <r>
    <x v="3659"/>
    <x v="720"/>
    <x v="0"/>
    <n v="3"/>
    <n v="900.24"/>
    <x v="267"/>
    <x v="3"/>
    <x v="4"/>
    <n v="2700.7200000000003"/>
    <m/>
    <m/>
    <n v="7"/>
  </r>
  <r>
    <x v="3660"/>
    <x v="720"/>
    <x v="5"/>
    <n v="1"/>
    <n v="600.16999999999996"/>
    <x v="37"/>
    <x v="5"/>
    <x v="2"/>
    <n v="600.16999999999996"/>
    <m/>
    <m/>
    <n v="7"/>
  </r>
  <r>
    <x v="3661"/>
    <x v="720"/>
    <x v="2"/>
    <n v="4"/>
    <n v="20.92"/>
    <x v="178"/>
    <x v="9"/>
    <x v="4"/>
    <n v="83.68"/>
    <m/>
    <m/>
    <n v="7"/>
  </r>
  <r>
    <x v="3662"/>
    <x v="720"/>
    <x v="6"/>
    <n v="4"/>
    <n v="143.36000000000001"/>
    <x v="482"/>
    <x v="0"/>
    <x v="0"/>
    <n v="573.44000000000005"/>
    <m/>
    <m/>
    <n v="10"/>
  </r>
  <r>
    <x v="3663"/>
    <x v="721"/>
    <x v="6"/>
    <n v="4"/>
    <n v="143.36000000000001"/>
    <x v="536"/>
    <x v="0"/>
    <x v="4"/>
    <n v="573.44000000000005"/>
    <m/>
    <m/>
    <n v="5"/>
  </r>
  <r>
    <x v="3664"/>
    <x v="721"/>
    <x v="6"/>
    <n v="2"/>
    <n v="71.680000000000007"/>
    <x v="616"/>
    <x v="1"/>
    <x v="1"/>
    <n v="143.36000000000001"/>
    <m/>
    <m/>
    <n v="5"/>
  </r>
  <r>
    <x v="3665"/>
    <x v="721"/>
    <x v="1"/>
    <n v="5"/>
    <n v="203.3"/>
    <x v="507"/>
    <x v="1"/>
    <x v="0"/>
    <n v="1016.5"/>
    <m/>
    <m/>
    <n v="7"/>
  </r>
  <r>
    <x v="3666"/>
    <x v="721"/>
    <x v="6"/>
    <n v="3"/>
    <n v="107.52"/>
    <x v="227"/>
    <x v="6"/>
    <x v="2"/>
    <n v="322.56"/>
    <m/>
    <m/>
    <n v="7"/>
  </r>
  <r>
    <x v="3667"/>
    <x v="721"/>
    <x v="5"/>
    <n v="3"/>
    <n v="1800.51"/>
    <x v="760"/>
    <x v="4"/>
    <x v="1"/>
    <n v="5401.53"/>
    <m/>
    <m/>
    <n v="7"/>
  </r>
  <r>
    <x v="3668"/>
    <x v="721"/>
    <x v="0"/>
    <n v="2"/>
    <n v="600.16"/>
    <x v="532"/>
    <x v="0"/>
    <x v="1"/>
    <n v="1200.32"/>
    <m/>
    <m/>
    <n v="7"/>
  </r>
  <r>
    <x v="3669"/>
    <x v="721"/>
    <x v="7"/>
    <n v="3"/>
    <n v="35.19"/>
    <x v="337"/>
    <x v="6"/>
    <x v="1"/>
    <n v="105.57"/>
    <m/>
    <m/>
    <n v="7"/>
  </r>
  <r>
    <x v="3670"/>
    <x v="721"/>
    <x v="1"/>
    <n v="1"/>
    <n v="40.659999999999997"/>
    <x v="444"/>
    <x v="5"/>
    <x v="4"/>
    <n v="40.659999999999997"/>
    <m/>
    <m/>
    <n v="7"/>
  </r>
  <r>
    <x v="3671"/>
    <x v="722"/>
    <x v="0"/>
    <n v="5"/>
    <n v="1500.4"/>
    <x v="293"/>
    <x v="1"/>
    <x v="0"/>
    <n v="7502"/>
    <m/>
    <m/>
    <n v="5"/>
  </r>
  <r>
    <x v="3672"/>
    <x v="722"/>
    <x v="7"/>
    <n v="3"/>
    <n v="35.19"/>
    <x v="487"/>
    <x v="0"/>
    <x v="1"/>
    <n v="105.57"/>
    <m/>
    <m/>
    <n v="7"/>
  </r>
  <r>
    <x v="3673"/>
    <x v="722"/>
    <x v="5"/>
    <n v="5"/>
    <n v="3000.85"/>
    <x v="193"/>
    <x v="7"/>
    <x v="1"/>
    <n v="15004.25"/>
    <m/>
    <m/>
    <n v="7"/>
  </r>
  <r>
    <x v="3674"/>
    <x v="722"/>
    <x v="6"/>
    <n v="1"/>
    <n v="35.840000000000003"/>
    <x v="36"/>
    <x v="9"/>
    <x v="2"/>
    <n v="35.840000000000003"/>
    <m/>
    <m/>
    <n v="7"/>
  </r>
  <r>
    <x v="3675"/>
    <x v="722"/>
    <x v="1"/>
    <n v="1"/>
    <n v="40.659999999999997"/>
    <x v="472"/>
    <x v="0"/>
    <x v="3"/>
    <n v="40.659999999999997"/>
    <m/>
    <m/>
    <n v="7"/>
  </r>
  <r>
    <x v="3676"/>
    <x v="722"/>
    <x v="6"/>
    <n v="5"/>
    <n v="179.2"/>
    <x v="412"/>
    <x v="6"/>
    <x v="2"/>
    <n v="896"/>
    <m/>
    <m/>
    <n v="7"/>
  </r>
  <r>
    <x v="3677"/>
    <x v="722"/>
    <x v="7"/>
    <n v="3"/>
    <n v="35.19"/>
    <x v="197"/>
    <x v="4"/>
    <x v="0"/>
    <n v="105.57"/>
    <m/>
    <m/>
    <n v="10"/>
  </r>
  <r>
    <x v="3678"/>
    <x v="723"/>
    <x v="0"/>
    <n v="3"/>
    <n v="900.24"/>
    <x v="609"/>
    <x v="6"/>
    <x v="1"/>
    <n v="2700.7200000000003"/>
    <m/>
    <m/>
    <n v="5"/>
  </r>
  <r>
    <x v="3679"/>
    <x v="723"/>
    <x v="7"/>
    <n v="5"/>
    <n v="58.65"/>
    <x v="563"/>
    <x v="2"/>
    <x v="4"/>
    <n v="293.25"/>
    <m/>
    <m/>
    <n v="5"/>
  </r>
  <r>
    <x v="3680"/>
    <x v="723"/>
    <x v="0"/>
    <n v="1"/>
    <n v="300.08"/>
    <x v="787"/>
    <x v="9"/>
    <x v="3"/>
    <n v="300.08"/>
    <m/>
    <m/>
    <n v="5"/>
  </r>
  <r>
    <x v="3681"/>
    <x v="723"/>
    <x v="0"/>
    <n v="1"/>
    <n v="300.08"/>
    <x v="460"/>
    <x v="9"/>
    <x v="3"/>
    <n v="300.08"/>
    <m/>
    <m/>
    <n v="7"/>
  </r>
  <r>
    <x v="3682"/>
    <x v="723"/>
    <x v="5"/>
    <n v="5"/>
    <n v="3000.85"/>
    <x v="664"/>
    <x v="0"/>
    <x v="1"/>
    <n v="15004.25"/>
    <m/>
    <m/>
    <n v="7"/>
  </r>
  <r>
    <x v="3683"/>
    <x v="723"/>
    <x v="0"/>
    <n v="5"/>
    <n v="1500.4"/>
    <x v="574"/>
    <x v="0"/>
    <x v="1"/>
    <n v="7502"/>
    <m/>
    <m/>
    <n v="7"/>
  </r>
  <r>
    <x v="3684"/>
    <x v="723"/>
    <x v="6"/>
    <n v="1"/>
    <n v="35.840000000000003"/>
    <x v="764"/>
    <x v="6"/>
    <x v="1"/>
    <n v="35.840000000000003"/>
    <m/>
    <m/>
    <n v="7"/>
  </r>
  <r>
    <x v="3685"/>
    <x v="724"/>
    <x v="0"/>
    <n v="4"/>
    <n v="1200.32"/>
    <x v="397"/>
    <x v="0"/>
    <x v="3"/>
    <n v="4801.28"/>
    <m/>
    <m/>
    <n v="5"/>
  </r>
  <r>
    <x v="3686"/>
    <x v="724"/>
    <x v="2"/>
    <n v="3"/>
    <n v="15.69"/>
    <x v="186"/>
    <x v="1"/>
    <x v="4"/>
    <n v="47.07"/>
    <m/>
    <m/>
    <n v="5"/>
  </r>
  <r>
    <x v="3687"/>
    <x v="724"/>
    <x v="2"/>
    <n v="1"/>
    <n v="5.23"/>
    <x v="424"/>
    <x v="6"/>
    <x v="1"/>
    <n v="5.23"/>
    <m/>
    <m/>
    <n v="5"/>
  </r>
  <r>
    <x v="3688"/>
    <x v="724"/>
    <x v="1"/>
    <n v="3"/>
    <n v="121.98"/>
    <x v="100"/>
    <x v="1"/>
    <x v="4"/>
    <n v="365.94"/>
    <m/>
    <m/>
    <n v="5"/>
  </r>
  <r>
    <x v="3689"/>
    <x v="724"/>
    <x v="0"/>
    <n v="5"/>
    <n v="1500.4"/>
    <x v="571"/>
    <x v="4"/>
    <x v="3"/>
    <n v="7502"/>
    <m/>
    <m/>
    <n v="5"/>
  </r>
  <r>
    <x v="3690"/>
    <x v="724"/>
    <x v="6"/>
    <n v="5"/>
    <n v="179.2"/>
    <x v="226"/>
    <x v="6"/>
    <x v="1"/>
    <n v="896"/>
    <m/>
    <m/>
    <n v="5"/>
  </r>
  <r>
    <x v="3691"/>
    <x v="724"/>
    <x v="0"/>
    <n v="3"/>
    <n v="900.24"/>
    <x v="109"/>
    <x v="2"/>
    <x v="2"/>
    <n v="2700.7200000000003"/>
    <m/>
    <m/>
    <n v="7"/>
  </r>
  <r>
    <x v="3692"/>
    <x v="724"/>
    <x v="2"/>
    <n v="2"/>
    <n v="10.46"/>
    <x v="625"/>
    <x v="1"/>
    <x v="1"/>
    <n v="20.92"/>
    <m/>
    <m/>
    <n v="7"/>
  </r>
  <r>
    <x v="3693"/>
    <x v="724"/>
    <x v="1"/>
    <n v="4"/>
    <n v="162.63999999999999"/>
    <x v="394"/>
    <x v="0"/>
    <x v="1"/>
    <n v="650.55999999999995"/>
    <m/>
    <m/>
    <n v="7"/>
  </r>
  <r>
    <x v="3694"/>
    <x v="724"/>
    <x v="0"/>
    <n v="1"/>
    <n v="300.08"/>
    <x v="26"/>
    <x v="9"/>
    <x v="3"/>
    <n v="300.08"/>
    <m/>
    <m/>
    <n v="10"/>
  </r>
  <r>
    <x v="3695"/>
    <x v="725"/>
    <x v="2"/>
    <n v="2"/>
    <n v="10.46"/>
    <x v="105"/>
    <x v="0"/>
    <x v="4"/>
    <n v="20.92"/>
    <m/>
    <m/>
    <n v="5"/>
  </r>
  <r>
    <x v="3696"/>
    <x v="725"/>
    <x v="2"/>
    <n v="2"/>
    <n v="10.46"/>
    <x v="424"/>
    <x v="1"/>
    <x v="2"/>
    <n v="20.92"/>
    <m/>
    <m/>
    <n v="5"/>
  </r>
  <r>
    <x v="3697"/>
    <x v="725"/>
    <x v="6"/>
    <n v="2"/>
    <n v="71.680000000000007"/>
    <x v="479"/>
    <x v="1"/>
    <x v="0"/>
    <n v="143.36000000000001"/>
    <m/>
    <m/>
    <n v="5"/>
  </r>
  <r>
    <x v="3698"/>
    <x v="725"/>
    <x v="2"/>
    <n v="1"/>
    <n v="5.23"/>
    <x v="735"/>
    <x v="0"/>
    <x v="0"/>
    <n v="5.23"/>
    <m/>
    <m/>
    <n v="7"/>
  </r>
  <r>
    <x v="3699"/>
    <x v="725"/>
    <x v="2"/>
    <n v="4"/>
    <n v="20.92"/>
    <x v="127"/>
    <x v="6"/>
    <x v="4"/>
    <n v="83.68"/>
    <m/>
    <m/>
    <n v="7"/>
  </r>
  <r>
    <x v="3700"/>
    <x v="725"/>
    <x v="1"/>
    <n v="5"/>
    <n v="203.3"/>
    <x v="197"/>
    <x v="0"/>
    <x v="0"/>
    <n v="1016.5"/>
    <m/>
    <m/>
    <n v="10"/>
  </r>
  <r>
    <x v="3701"/>
    <x v="726"/>
    <x v="1"/>
    <n v="4"/>
    <n v="162.63999999999999"/>
    <x v="453"/>
    <x v="2"/>
    <x v="2"/>
    <n v="650.55999999999995"/>
    <m/>
    <m/>
    <n v="5"/>
  </r>
  <r>
    <x v="3702"/>
    <x v="726"/>
    <x v="4"/>
    <n v="2"/>
    <n v="2100"/>
    <x v="606"/>
    <x v="8"/>
    <x v="1"/>
    <n v="4200"/>
    <m/>
    <m/>
    <n v="5"/>
  </r>
  <r>
    <x v="3703"/>
    <x v="726"/>
    <x v="1"/>
    <n v="3"/>
    <n v="121.98"/>
    <x v="676"/>
    <x v="9"/>
    <x v="4"/>
    <n v="365.94"/>
    <m/>
    <m/>
    <n v="5"/>
  </r>
  <r>
    <x v="3704"/>
    <x v="726"/>
    <x v="6"/>
    <n v="1"/>
    <n v="35.840000000000003"/>
    <x v="502"/>
    <x v="5"/>
    <x v="0"/>
    <n v="35.840000000000003"/>
    <m/>
    <m/>
    <n v="5"/>
  </r>
  <r>
    <x v="3705"/>
    <x v="726"/>
    <x v="0"/>
    <n v="5"/>
    <n v="1500.4"/>
    <x v="195"/>
    <x v="4"/>
    <x v="1"/>
    <n v="7502"/>
    <m/>
    <m/>
    <n v="7"/>
  </r>
  <r>
    <x v="3706"/>
    <x v="727"/>
    <x v="3"/>
    <n v="5"/>
    <n v="75.75"/>
    <x v="445"/>
    <x v="7"/>
    <x v="4"/>
    <n v="378.75"/>
    <m/>
    <m/>
    <n v="5"/>
  </r>
  <r>
    <x v="3707"/>
    <x v="727"/>
    <x v="0"/>
    <n v="5"/>
    <n v="1500.4"/>
    <x v="493"/>
    <x v="9"/>
    <x v="1"/>
    <n v="7502"/>
    <m/>
    <m/>
    <n v="5"/>
  </r>
  <r>
    <x v="3708"/>
    <x v="727"/>
    <x v="0"/>
    <n v="5"/>
    <n v="1500.4"/>
    <x v="697"/>
    <x v="6"/>
    <x v="3"/>
    <n v="7502"/>
    <m/>
    <m/>
    <n v="5"/>
  </r>
  <r>
    <x v="3709"/>
    <x v="727"/>
    <x v="0"/>
    <n v="3"/>
    <n v="900.24"/>
    <x v="404"/>
    <x v="7"/>
    <x v="2"/>
    <n v="2700.7200000000003"/>
    <m/>
    <m/>
    <n v="7"/>
  </r>
  <r>
    <x v="3710"/>
    <x v="727"/>
    <x v="5"/>
    <n v="1"/>
    <n v="600.16999999999996"/>
    <x v="617"/>
    <x v="8"/>
    <x v="0"/>
    <n v="600.16999999999996"/>
    <m/>
    <m/>
    <n v="7"/>
  </r>
  <r>
    <x v="3711"/>
    <x v="728"/>
    <x v="2"/>
    <n v="5"/>
    <n v="26.15"/>
    <x v="535"/>
    <x v="8"/>
    <x v="0"/>
    <n v="130.75"/>
    <m/>
    <m/>
    <n v="5"/>
  </r>
  <r>
    <x v="3712"/>
    <x v="728"/>
    <x v="0"/>
    <n v="5"/>
    <n v="1500.4"/>
    <x v="527"/>
    <x v="4"/>
    <x v="3"/>
    <n v="7502"/>
    <m/>
    <m/>
    <n v="5"/>
  </r>
  <r>
    <x v="3713"/>
    <x v="728"/>
    <x v="0"/>
    <n v="1"/>
    <n v="300.08"/>
    <x v="30"/>
    <x v="0"/>
    <x v="2"/>
    <n v="300.08"/>
    <m/>
    <m/>
    <n v="5"/>
  </r>
  <r>
    <x v="3714"/>
    <x v="728"/>
    <x v="6"/>
    <n v="2"/>
    <n v="71.680000000000007"/>
    <x v="69"/>
    <x v="2"/>
    <x v="2"/>
    <n v="143.36000000000001"/>
    <m/>
    <m/>
    <n v="5"/>
  </r>
  <r>
    <x v="3715"/>
    <x v="728"/>
    <x v="0"/>
    <n v="5"/>
    <n v="1500.4"/>
    <x v="612"/>
    <x v="7"/>
    <x v="0"/>
    <n v="7502"/>
    <m/>
    <m/>
    <n v="7"/>
  </r>
  <r>
    <x v="3716"/>
    <x v="728"/>
    <x v="2"/>
    <n v="2"/>
    <n v="10.46"/>
    <x v="93"/>
    <x v="6"/>
    <x v="3"/>
    <n v="20.92"/>
    <m/>
    <m/>
    <n v="7"/>
  </r>
  <r>
    <x v="3717"/>
    <x v="728"/>
    <x v="0"/>
    <n v="3"/>
    <n v="900.24"/>
    <x v="284"/>
    <x v="9"/>
    <x v="2"/>
    <n v="2700.7200000000003"/>
    <m/>
    <m/>
    <n v="10"/>
  </r>
  <r>
    <x v="3718"/>
    <x v="729"/>
    <x v="7"/>
    <n v="5"/>
    <n v="58.65"/>
    <x v="84"/>
    <x v="3"/>
    <x v="0"/>
    <n v="293.25"/>
    <m/>
    <m/>
    <n v="5"/>
  </r>
  <r>
    <x v="3719"/>
    <x v="729"/>
    <x v="6"/>
    <n v="4"/>
    <n v="143.36000000000001"/>
    <x v="405"/>
    <x v="3"/>
    <x v="4"/>
    <n v="573.44000000000005"/>
    <m/>
    <m/>
    <n v="7"/>
  </r>
  <r>
    <x v="3720"/>
    <x v="729"/>
    <x v="0"/>
    <n v="1"/>
    <n v="300.08"/>
    <x v="439"/>
    <x v="4"/>
    <x v="2"/>
    <n v="300.08"/>
    <m/>
    <m/>
    <n v="7"/>
  </r>
  <r>
    <x v="3721"/>
    <x v="730"/>
    <x v="0"/>
    <n v="4"/>
    <n v="1200.32"/>
    <x v="700"/>
    <x v="0"/>
    <x v="2"/>
    <n v="4801.28"/>
    <m/>
    <m/>
    <n v="7"/>
  </r>
  <r>
    <x v="3722"/>
    <x v="730"/>
    <x v="0"/>
    <n v="5"/>
    <n v="1500.4"/>
    <x v="665"/>
    <x v="8"/>
    <x v="3"/>
    <n v="7502"/>
    <m/>
    <m/>
    <n v="7"/>
  </r>
  <r>
    <x v="3723"/>
    <x v="730"/>
    <x v="5"/>
    <n v="2"/>
    <n v="1200.3399999999999"/>
    <x v="514"/>
    <x v="8"/>
    <x v="4"/>
    <n v="2400.6799999999998"/>
    <m/>
    <m/>
    <n v="7"/>
  </r>
  <r>
    <x v="3724"/>
    <x v="731"/>
    <x v="1"/>
    <n v="4"/>
    <n v="162.63999999999999"/>
    <x v="90"/>
    <x v="2"/>
    <x v="1"/>
    <n v="650.55999999999995"/>
    <m/>
    <m/>
    <n v="5"/>
  </r>
  <r>
    <x v="3725"/>
    <x v="731"/>
    <x v="5"/>
    <n v="2"/>
    <n v="1200.3399999999999"/>
    <x v="374"/>
    <x v="6"/>
    <x v="0"/>
    <n v="2400.6799999999998"/>
    <m/>
    <m/>
    <n v="5"/>
  </r>
  <r>
    <x v="3726"/>
    <x v="731"/>
    <x v="5"/>
    <n v="3"/>
    <n v="1800.51"/>
    <x v="427"/>
    <x v="9"/>
    <x v="4"/>
    <n v="5401.53"/>
    <m/>
    <m/>
    <n v="7"/>
  </r>
  <r>
    <x v="3727"/>
    <x v="731"/>
    <x v="7"/>
    <n v="2"/>
    <n v="23.46"/>
    <x v="61"/>
    <x v="6"/>
    <x v="1"/>
    <n v="46.92"/>
    <m/>
    <m/>
    <n v="10"/>
  </r>
  <r>
    <x v="3728"/>
    <x v="732"/>
    <x v="5"/>
    <n v="3"/>
    <n v="1800.51"/>
    <x v="202"/>
    <x v="1"/>
    <x v="2"/>
    <n v="5401.53"/>
    <m/>
    <m/>
    <n v="5"/>
  </r>
  <r>
    <x v="3729"/>
    <x v="732"/>
    <x v="1"/>
    <n v="1"/>
    <n v="40.659999999999997"/>
    <x v="163"/>
    <x v="9"/>
    <x v="1"/>
    <n v="40.659999999999997"/>
    <m/>
    <m/>
    <n v="5"/>
  </r>
  <r>
    <x v="3730"/>
    <x v="733"/>
    <x v="5"/>
    <n v="5"/>
    <n v="3000.85"/>
    <x v="80"/>
    <x v="3"/>
    <x v="4"/>
    <n v="15004.25"/>
    <m/>
    <m/>
    <n v="5"/>
  </r>
  <r>
    <x v="3731"/>
    <x v="733"/>
    <x v="1"/>
    <n v="4"/>
    <n v="162.63999999999999"/>
    <x v="359"/>
    <x v="6"/>
    <x v="3"/>
    <n v="650.55999999999995"/>
    <m/>
    <m/>
    <n v="5"/>
  </r>
  <r>
    <x v="3732"/>
    <x v="733"/>
    <x v="0"/>
    <n v="2"/>
    <n v="600.16"/>
    <x v="500"/>
    <x v="9"/>
    <x v="4"/>
    <n v="1200.32"/>
    <m/>
    <m/>
    <n v="5"/>
  </r>
  <r>
    <x v="3733"/>
    <x v="733"/>
    <x v="2"/>
    <n v="1"/>
    <n v="5.23"/>
    <x v="463"/>
    <x v="5"/>
    <x v="2"/>
    <n v="5.23"/>
    <m/>
    <m/>
    <n v="7"/>
  </r>
  <r>
    <x v="3734"/>
    <x v="733"/>
    <x v="1"/>
    <n v="4"/>
    <n v="162.63999999999999"/>
    <x v="353"/>
    <x v="5"/>
    <x v="4"/>
    <n v="650.55999999999995"/>
    <m/>
    <m/>
    <n v="7"/>
  </r>
  <r>
    <x v="3735"/>
    <x v="733"/>
    <x v="0"/>
    <n v="3"/>
    <n v="900.24"/>
    <x v="26"/>
    <x v="6"/>
    <x v="3"/>
    <n v="2700.7200000000003"/>
    <m/>
    <m/>
    <n v="10"/>
  </r>
  <r>
    <x v="3736"/>
    <x v="734"/>
    <x v="5"/>
    <n v="4"/>
    <n v="2400.6799999999998"/>
    <x v="144"/>
    <x v="7"/>
    <x v="0"/>
    <n v="9602.7199999999993"/>
    <m/>
    <m/>
    <n v="5"/>
  </r>
  <r>
    <x v="3737"/>
    <x v="734"/>
    <x v="0"/>
    <n v="4"/>
    <n v="1200.32"/>
    <x v="610"/>
    <x v="1"/>
    <x v="3"/>
    <n v="4801.28"/>
    <m/>
    <m/>
    <n v="5"/>
  </r>
  <r>
    <x v="3738"/>
    <x v="734"/>
    <x v="2"/>
    <n v="3"/>
    <n v="15.69"/>
    <x v="641"/>
    <x v="9"/>
    <x v="0"/>
    <n v="47.07"/>
    <m/>
    <m/>
    <n v="5"/>
  </r>
  <r>
    <x v="3739"/>
    <x v="734"/>
    <x v="0"/>
    <n v="4"/>
    <n v="1200.32"/>
    <x v="123"/>
    <x v="4"/>
    <x v="2"/>
    <n v="4801.28"/>
    <m/>
    <m/>
    <n v="7"/>
  </r>
  <r>
    <x v="3740"/>
    <x v="734"/>
    <x v="0"/>
    <n v="5"/>
    <n v="1500.4"/>
    <x v="791"/>
    <x v="5"/>
    <x v="4"/>
    <n v="7502"/>
    <m/>
    <m/>
    <n v="7"/>
  </r>
  <r>
    <x v="3741"/>
    <x v="734"/>
    <x v="0"/>
    <n v="5"/>
    <n v="1500.4"/>
    <x v="769"/>
    <x v="4"/>
    <x v="4"/>
    <n v="7502"/>
    <m/>
    <m/>
    <n v="10"/>
  </r>
  <r>
    <x v="3742"/>
    <x v="735"/>
    <x v="0"/>
    <n v="3"/>
    <n v="900.24"/>
    <x v="193"/>
    <x v="5"/>
    <x v="3"/>
    <n v="2700.7200000000003"/>
    <m/>
    <m/>
    <n v="7"/>
  </r>
  <r>
    <x v="3743"/>
    <x v="736"/>
    <x v="6"/>
    <n v="4"/>
    <n v="143.36000000000001"/>
    <x v="639"/>
    <x v="7"/>
    <x v="3"/>
    <n v="573.44000000000005"/>
    <m/>
    <m/>
    <n v="5"/>
  </r>
  <r>
    <x v="3744"/>
    <x v="736"/>
    <x v="0"/>
    <n v="3"/>
    <n v="900.24"/>
    <x v="87"/>
    <x v="2"/>
    <x v="3"/>
    <n v="2700.7200000000003"/>
    <m/>
    <m/>
    <n v="5"/>
  </r>
  <r>
    <x v="3745"/>
    <x v="736"/>
    <x v="3"/>
    <n v="3"/>
    <n v="45.45"/>
    <x v="777"/>
    <x v="6"/>
    <x v="3"/>
    <n v="136.35000000000002"/>
    <m/>
    <m/>
    <n v="7"/>
  </r>
  <r>
    <x v="3746"/>
    <x v="736"/>
    <x v="0"/>
    <n v="3"/>
    <n v="900.24"/>
    <x v="553"/>
    <x v="7"/>
    <x v="3"/>
    <n v="2700.7200000000003"/>
    <m/>
    <m/>
    <n v="7"/>
  </r>
  <r>
    <x v="3747"/>
    <x v="737"/>
    <x v="2"/>
    <n v="1"/>
    <n v="5.23"/>
    <x v="202"/>
    <x v="8"/>
    <x v="2"/>
    <n v="5.23"/>
    <m/>
    <m/>
    <n v="5"/>
  </r>
  <r>
    <x v="3748"/>
    <x v="737"/>
    <x v="1"/>
    <n v="1"/>
    <n v="40.659999999999997"/>
    <x v="670"/>
    <x v="1"/>
    <x v="2"/>
    <n v="40.659999999999997"/>
    <m/>
    <m/>
    <n v="5"/>
  </r>
  <r>
    <x v="3749"/>
    <x v="737"/>
    <x v="0"/>
    <n v="3"/>
    <n v="900.24"/>
    <x v="22"/>
    <x v="6"/>
    <x v="4"/>
    <n v="2700.7200000000003"/>
    <m/>
    <m/>
    <n v="5"/>
  </r>
  <r>
    <x v="3750"/>
    <x v="737"/>
    <x v="1"/>
    <n v="1"/>
    <n v="40.659999999999997"/>
    <x v="362"/>
    <x v="9"/>
    <x v="4"/>
    <n v="40.659999999999997"/>
    <m/>
    <m/>
    <n v="7"/>
  </r>
  <r>
    <x v="3751"/>
    <x v="737"/>
    <x v="0"/>
    <n v="2"/>
    <n v="600.16"/>
    <x v="190"/>
    <x v="6"/>
    <x v="3"/>
    <n v="1200.32"/>
    <m/>
    <m/>
    <n v="7"/>
  </r>
  <r>
    <x v="3752"/>
    <x v="737"/>
    <x v="2"/>
    <n v="2"/>
    <n v="10.46"/>
    <x v="60"/>
    <x v="6"/>
    <x v="2"/>
    <n v="20.92"/>
    <m/>
    <m/>
    <n v="10"/>
  </r>
  <r>
    <x v="3753"/>
    <x v="737"/>
    <x v="2"/>
    <n v="2"/>
    <n v="10.46"/>
    <x v="780"/>
    <x v="1"/>
    <x v="0"/>
    <n v="20.92"/>
    <m/>
    <m/>
    <n v="10"/>
  </r>
  <r>
    <x v="3754"/>
    <x v="738"/>
    <x v="2"/>
    <n v="4"/>
    <n v="20.92"/>
    <x v="63"/>
    <x v="1"/>
    <x v="0"/>
    <n v="83.68"/>
    <m/>
    <m/>
    <n v="5"/>
  </r>
  <r>
    <x v="3755"/>
    <x v="738"/>
    <x v="1"/>
    <n v="4"/>
    <n v="162.63999999999999"/>
    <x v="137"/>
    <x v="6"/>
    <x v="0"/>
    <n v="650.55999999999995"/>
    <m/>
    <m/>
    <n v="5"/>
  </r>
  <r>
    <x v="3756"/>
    <x v="738"/>
    <x v="1"/>
    <n v="5"/>
    <n v="203.3"/>
    <x v="109"/>
    <x v="4"/>
    <x v="4"/>
    <n v="1016.5"/>
    <m/>
    <m/>
    <n v="7"/>
  </r>
  <r>
    <x v="3757"/>
    <x v="738"/>
    <x v="2"/>
    <n v="3"/>
    <n v="15.69"/>
    <x v="110"/>
    <x v="6"/>
    <x v="0"/>
    <n v="47.07"/>
    <m/>
    <m/>
    <n v="7"/>
  </r>
  <r>
    <x v="3758"/>
    <x v="738"/>
    <x v="5"/>
    <n v="1"/>
    <n v="600.16999999999996"/>
    <x v="420"/>
    <x v="6"/>
    <x v="2"/>
    <n v="600.16999999999996"/>
    <m/>
    <m/>
    <n v="7"/>
  </r>
  <r>
    <x v="3759"/>
    <x v="738"/>
    <x v="2"/>
    <n v="2"/>
    <n v="10.46"/>
    <x v="378"/>
    <x v="1"/>
    <x v="0"/>
    <n v="20.92"/>
    <m/>
    <m/>
    <n v="7"/>
  </r>
  <r>
    <x v="3760"/>
    <x v="739"/>
    <x v="4"/>
    <n v="5"/>
    <n v="5250"/>
    <x v="438"/>
    <x v="0"/>
    <x v="1"/>
    <n v="26250"/>
    <m/>
    <m/>
    <n v="5"/>
  </r>
  <r>
    <x v="3761"/>
    <x v="739"/>
    <x v="0"/>
    <n v="5"/>
    <n v="1500.4"/>
    <x v="338"/>
    <x v="9"/>
    <x v="3"/>
    <n v="7502"/>
    <m/>
    <m/>
    <n v="5"/>
  </r>
  <r>
    <x v="3762"/>
    <x v="739"/>
    <x v="0"/>
    <n v="3"/>
    <n v="900.24"/>
    <x v="556"/>
    <x v="5"/>
    <x v="1"/>
    <n v="2700.7200000000003"/>
    <m/>
    <m/>
    <n v="5"/>
  </r>
  <r>
    <x v="3763"/>
    <x v="739"/>
    <x v="2"/>
    <n v="3"/>
    <n v="15.69"/>
    <x v="124"/>
    <x v="1"/>
    <x v="2"/>
    <n v="47.07"/>
    <m/>
    <m/>
    <n v="7"/>
  </r>
  <r>
    <x v="3764"/>
    <x v="739"/>
    <x v="6"/>
    <n v="3"/>
    <n v="107.52"/>
    <x v="411"/>
    <x v="6"/>
    <x v="0"/>
    <n v="322.56"/>
    <m/>
    <m/>
    <n v="7"/>
  </r>
  <r>
    <x v="3765"/>
    <x v="739"/>
    <x v="5"/>
    <n v="3"/>
    <n v="1800.51"/>
    <x v="403"/>
    <x v="7"/>
    <x v="1"/>
    <n v="5401.53"/>
    <m/>
    <m/>
    <n v="10"/>
  </r>
  <r>
    <x v="3766"/>
    <x v="740"/>
    <x v="1"/>
    <n v="2"/>
    <n v="81.319999999999993"/>
    <x v="143"/>
    <x v="6"/>
    <x v="0"/>
    <n v="162.63999999999999"/>
    <m/>
    <m/>
    <n v="5"/>
  </r>
  <r>
    <x v="3767"/>
    <x v="740"/>
    <x v="5"/>
    <n v="4"/>
    <n v="2400.6799999999998"/>
    <x v="635"/>
    <x v="9"/>
    <x v="1"/>
    <n v="9602.7199999999993"/>
    <m/>
    <m/>
    <n v="5"/>
  </r>
  <r>
    <x v="3768"/>
    <x v="740"/>
    <x v="0"/>
    <n v="5"/>
    <n v="1500.4"/>
    <x v="174"/>
    <x v="9"/>
    <x v="1"/>
    <n v="7502"/>
    <m/>
    <m/>
    <n v="5"/>
  </r>
  <r>
    <x v="3769"/>
    <x v="740"/>
    <x v="1"/>
    <n v="5"/>
    <n v="203.3"/>
    <x v="74"/>
    <x v="0"/>
    <x v="1"/>
    <n v="1016.5"/>
    <m/>
    <m/>
    <n v="5"/>
  </r>
  <r>
    <x v="3770"/>
    <x v="740"/>
    <x v="5"/>
    <n v="2"/>
    <n v="1200.3399999999999"/>
    <x v="396"/>
    <x v="6"/>
    <x v="1"/>
    <n v="2400.6799999999998"/>
    <m/>
    <m/>
    <n v="5"/>
  </r>
  <r>
    <x v="3771"/>
    <x v="740"/>
    <x v="0"/>
    <n v="5"/>
    <n v="1500.4"/>
    <x v="151"/>
    <x v="6"/>
    <x v="4"/>
    <n v="7502"/>
    <m/>
    <m/>
    <n v="5"/>
  </r>
  <r>
    <x v="3772"/>
    <x v="741"/>
    <x v="0"/>
    <n v="4"/>
    <n v="1200.32"/>
    <x v="63"/>
    <x v="6"/>
    <x v="0"/>
    <n v="4801.28"/>
    <m/>
    <m/>
    <n v="5"/>
  </r>
  <r>
    <x v="3773"/>
    <x v="741"/>
    <x v="2"/>
    <n v="4"/>
    <n v="20.92"/>
    <x v="356"/>
    <x v="6"/>
    <x v="4"/>
    <n v="83.68"/>
    <m/>
    <m/>
    <n v="7"/>
  </r>
  <r>
    <x v="3774"/>
    <x v="741"/>
    <x v="4"/>
    <n v="1"/>
    <n v="1050"/>
    <x v="418"/>
    <x v="4"/>
    <x v="0"/>
    <n v="1050"/>
    <m/>
    <m/>
    <n v="7"/>
  </r>
  <r>
    <x v="3775"/>
    <x v="742"/>
    <x v="2"/>
    <n v="2"/>
    <n v="10.46"/>
    <x v="445"/>
    <x v="3"/>
    <x v="1"/>
    <n v="20.92"/>
    <m/>
    <m/>
    <n v="5"/>
  </r>
  <r>
    <x v="3776"/>
    <x v="742"/>
    <x v="0"/>
    <n v="4"/>
    <n v="1200.32"/>
    <x v="224"/>
    <x v="0"/>
    <x v="2"/>
    <n v="4801.28"/>
    <m/>
    <m/>
    <n v="5"/>
  </r>
  <r>
    <x v="3777"/>
    <x v="742"/>
    <x v="0"/>
    <n v="1"/>
    <n v="300.08"/>
    <x v="39"/>
    <x v="9"/>
    <x v="0"/>
    <n v="300.08"/>
    <m/>
    <m/>
    <n v="5"/>
  </r>
  <r>
    <x v="3778"/>
    <x v="742"/>
    <x v="0"/>
    <n v="4"/>
    <n v="1200.32"/>
    <x v="507"/>
    <x v="0"/>
    <x v="4"/>
    <n v="4801.28"/>
    <m/>
    <m/>
    <n v="7"/>
  </r>
  <r>
    <x v="3779"/>
    <x v="742"/>
    <x v="5"/>
    <n v="3"/>
    <n v="1800.51"/>
    <x v="487"/>
    <x v="6"/>
    <x v="3"/>
    <n v="5401.53"/>
    <m/>
    <m/>
    <n v="7"/>
  </r>
  <r>
    <x v="3780"/>
    <x v="742"/>
    <x v="5"/>
    <n v="5"/>
    <n v="3000.85"/>
    <x v="511"/>
    <x v="7"/>
    <x v="4"/>
    <n v="15004.25"/>
    <m/>
    <m/>
    <n v="7"/>
  </r>
  <r>
    <x v="3781"/>
    <x v="742"/>
    <x v="4"/>
    <n v="3"/>
    <n v="3150"/>
    <x v="382"/>
    <x v="1"/>
    <x v="4"/>
    <n v="9450"/>
    <m/>
    <m/>
    <n v="7"/>
  </r>
  <r>
    <x v="3782"/>
    <x v="742"/>
    <x v="2"/>
    <n v="5"/>
    <n v="26.15"/>
    <x v="412"/>
    <x v="1"/>
    <x v="4"/>
    <n v="130.75"/>
    <m/>
    <m/>
    <n v="7"/>
  </r>
  <r>
    <x v="3783"/>
    <x v="743"/>
    <x v="5"/>
    <n v="5"/>
    <n v="3000.85"/>
    <x v="201"/>
    <x v="0"/>
    <x v="2"/>
    <n v="15004.25"/>
    <m/>
    <m/>
    <n v="5"/>
  </r>
  <r>
    <x v="3784"/>
    <x v="743"/>
    <x v="5"/>
    <n v="5"/>
    <n v="3000.85"/>
    <x v="664"/>
    <x v="1"/>
    <x v="1"/>
    <n v="15004.25"/>
    <m/>
    <m/>
    <n v="7"/>
  </r>
  <r>
    <x v="3785"/>
    <x v="743"/>
    <x v="5"/>
    <n v="2"/>
    <n v="1200.3399999999999"/>
    <x v="770"/>
    <x v="4"/>
    <x v="0"/>
    <n v="2400.6799999999998"/>
    <m/>
    <m/>
    <n v="7"/>
  </r>
  <r>
    <x v="3786"/>
    <x v="744"/>
    <x v="6"/>
    <n v="1"/>
    <n v="35.840000000000003"/>
    <x v="104"/>
    <x v="1"/>
    <x v="0"/>
    <n v="35.840000000000003"/>
    <m/>
    <m/>
    <n v="5"/>
  </r>
  <r>
    <x v="3787"/>
    <x v="744"/>
    <x v="1"/>
    <n v="4"/>
    <n v="162.63999999999999"/>
    <x v="599"/>
    <x v="6"/>
    <x v="3"/>
    <n v="650.55999999999995"/>
    <m/>
    <m/>
    <n v="5"/>
  </r>
  <r>
    <x v="3788"/>
    <x v="744"/>
    <x v="6"/>
    <n v="3"/>
    <n v="107.52"/>
    <x v="275"/>
    <x v="1"/>
    <x v="4"/>
    <n v="322.56"/>
    <m/>
    <m/>
    <n v="5"/>
  </r>
  <r>
    <x v="3789"/>
    <x v="744"/>
    <x v="0"/>
    <n v="4"/>
    <n v="1200.32"/>
    <x v="618"/>
    <x v="1"/>
    <x v="0"/>
    <n v="4801.28"/>
    <m/>
    <m/>
    <n v="5"/>
  </r>
  <r>
    <x v="3790"/>
    <x v="744"/>
    <x v="2"/>
    <n v="5"/>
    <n v="26.15"/>
    <x v="613"/>
    <x v="0"/>
    <x v="4"/>
    <n v="130.75"/>
    <m/>
    <m/>
    <n v="5"/>
  </r>
  <r>
    <x v="3791"/>
    <x v="744"/>
    <x v="0"/>
    <n v="1"/>
    <n v="300.08"/>
    <x v="66"/>
    <x v="0"/>
    <x v="2"/>
    <n v="300.08"/>
    <m/>
    <m/>
    <n v="7"/>
  </r>
  <r>
    <x v="3792"/>
    <x v="744"/>
    <x v="0"/>
    <n v="3"/>
    <n v="900.24"/>
    <x v="591"/>
    <x v="4"/>
    <x v="3"/>
    <n v="2700.7200000000003"/>
    <m/>
    <m/>
    <n v="7"/>
  </r>
  <r>
    <x v="3793"/>
    <x v="744"/>
    <x v="0"/>
    <n v="5"/>
    <n v="1500.4"/>
    <x v="530"/>
    <x v="9"/>
    <x v="4"/>
    <n v="7502"/>
    <m/>
    <m/>
    <n v="7"/>
  </r>
  <r>
    <x v="3794"/>
    <x v="744"/>
    <x v="2"/>
    <n v="1"/>
    <n v="5.23"/>
    <x v="267"/>
    <x v="6"/>
    <x v="2"/>
    <n v="5.23"/>
    <m/>
    <m/>
    <n v="7"/>
  </r>
  <r>
    <x v="3795"/>
    <x v="744"/>
    <x v="5"/>
    <n v="1"/>
    <n v="600.16999999999996"/>
    <x v="481"/>
    <x v="4"/>
    <x v="1"/>
    <n v="600.16999999999996"/>
    <m/>
    <m/>
    <n v="7"/>
  </r>
  <r>
    <x v="3796"/>
    <x v="744"/>
    <x v="1"/>
    <n v="3"/>
    <n v="121.98"/>
    <x v="200"/>
    <x v="4"/>
    <x v="3"/>
    <n v="365.94"/>
    <m/>
    <m/>
    <n v="10"/>
  </r>
  <r>
    <x v="3797"/>
    <x v="745"/>
    <x v="5"/>
    <n v="2"/>
    <n v="1200.3399999999999"/>
    <x v="414"/>
    <x v="3"/>
    <x v="0"/>
    <n v="2400.6799999999998"/>
    <m/>
    <m/>
    <n v="5"/>
  </r>
  <r>
    <x v="3798"/>
    <x v="745"/>
    <x v="1"/>
    <n v="5"/>
    <n v="203.3"/>
    <x v="543"/>
    <x v="1"/>
    <x v="4"/>
    <n v="1016.5"/>
    <m/>
    <m/>
    <n v="5"/>
  </r>
  <r>
    <x v="3799"/>
    <x v="746"/>
    <x v="7"/>
    <n v="5"/>
    <n v="58.65"/>
    <x v="478"/>
    <x v="9"/>
    <x v="2"/>
    <n v="293.25"/>
    <m/>
    <m/>
    <n v="5"/>
  </r>
  <r>
    <x v="3800"/>
    <x v="746"/>
    <x v="2"/>
    <n v="4"/>
    <n v="20.92"/>
    <x v="582"/>
    <x v="4"/>
    <x v="4"/>
    <n v="83.68"/>
    <m/>
    <m/>
    <n v="5"/>
  </r>
  <r>
    <x v="3801"/>
    <x v="746"/>
    <x v="0"/>
    <n v="2"/>
    <n v="600.16"/>
    <x v="641"/>
    <x v="4"/>
    <x v="0"/>
    <n v="1200.32"/>
    <m/>
    <m/>
    <n v="5"/>
  </r>
  <r>
    <x v="3802"/>
    <x v="746"/>
    <x v="3"/>
    <n v="3"/>
    <n v="45.45"/>
    <x v="138"/>
    <x v="6"/>
    <x v="2"/>
    <n v="136.35000000000002"/>
    <m/>
    <m/>
    <n v="5"/>
  </r>
  <r>
    <x v="3803"/>
    <x v="746"/>
    <x v="0"/>
    <n v="4"/>
    <n v="1200.32"/>
    <x v="92"/>
    <x v="9"/>
    <x v="1"/>
    <n v="4801.28"/>
    <m/>
    <m/>
    <n v="5"/>
  </r>
  <r>
    <x v="3804"/>
    <x v="746"/>
    <x v="0"/>
    <n v="2"/>
    <n v="600.16"/>
    <x v="647"/>
    <x v="6"/>
    <x v="1"/>
    <n v="1200.32"/>
    <m/>
    <m/>
    <n v="7"/>
  </r>
  <r>
    <x v="3805"/>
    <x v="746"/>
    <x v="3"/>
    <n v="4"/>
    <n v="60.6"/>
    <x v="454"/>
    <x v="6"/>
    <x v="1"/>
    <n v="242.4"/>
    <m/>
    <m/>
    <n v="7"/>
  </r>
  <r>
    <x v="3806"/>
    <x v="746"/>
    <x v="6"/>
    <n v="4"/>
    <n v="143.36000000000001"/>
    <x v="11"/>
    <x v="4"/>
    <x v="2"/>
    <n v="573.44000000000005"/>
    <m/>
    <m/>
    <n v="7"/>
  </r>
  <r>
    <x v="3807"/>
    <x v="746"/>
    <x v="4"/>
    <n v="4"/>
    <n v="4200"/>
    <x v="764"/>
    <x v="6"/>
    <x v="2"/>
    <n v="16800"/>
    <m/>
    <m/>
    <n v="7"/>
  </r>
  <r>
    <x v="3808"/>
    <x v="746"/>
    <x v="1"/>
    <n v="4"/>
    <n v="162.63999999999999"/>
    <x v="170"/>
    <x v="1"/>
    <x v="1"/>
    <n v="650.55999999999995"/>
    <m/>
    <m/>
    <n v="10"/>
  </r>
  <r>
    <x v="3809"/>
    <x v="747"/>
    <x v="0"/>
    <n v="1"/>
    <n v="300.08"/>
    <x v="27"/>
    <x v="6"/>
    <x v="1"/>
    <n v="300.08"/>
    <m/>
    <m/>
    <n v="5"/>
  </r>
  <r>
    <x v="3810"/>
    <x v="747"/>
    <x v="0"/>
    <n v="1"/>
    <n v="300.08"/>
    <x v="192"/>
    <x v="6"/>
    <x v="2"/>
    <n v="300.08"/>
    <m/>
    <m/>
    <n v="7"/>
  </r>
  <r>
    <x v="3811"/>
    <x v="748"/>
    <x v="0"/>
    <n v="1"/>
    <n v="300.08"/>
    <x v="688"/>
    <x v="0"/>
    <x v="0"/>
    <n v="300.08"/>
    <m/>
    <m/>
    <n v="5"/>
  </r>
  <r>
    <x v="3812"/>
    <x v="748"/>
    <x v="5"/>
    <n v="5"/>
    <n v="3000.85"/>
    <x v="229"/>
    <x v="6"/>
    <x v="1"/>
    <n v="15004.25"/>
    <m/>
    <m/>
    <n v="10"/>
  </r>
  <r>
    <x v="3813"/>
    <x v="749"/>
    <x v="0"/>
    <n v="5"/>
    <n v="1500.4"/>
    <x v="293"/>
    <x v="1"/>
    <x v="1"/>
    <n v="7502"/>
    <m/>
    <m/>
    <n v="5"/>
  </r>
  <r>
    <x v="3814"/>
    <x v="749"/>
    <x v="2"/>
    <n v="5"/>
    <n v="26.15"/>
    <x v="609"/>
    <x v="0"/>
    <x v="4"/>
    <n v="130.75"/>
    <m/>
    <m/>
    <n v="5"/>
  </r>
  <r>
    <x v="3815"/>
    <x v="749"/>
    <x v="0"/>
    <n v="2"/>
    <n v="600.16"/>
    <x v="79"/>
    <x v="1"/>
    <x v="3"/>
    <n v="1200.32"/>
    <m/>
    <m/>
    <n v="5"/>
  </r>
  <r>
    <x v="3816"/>
    <x v="749"/>
    <x v="5"/>
    <n v="5"/>
    <n v="3000.85"/>
    <x v="267"/>
    <x v="4"/>
    <x v="0"/>
    <n v="15004.25"/>
    <m/>
    <m/>
    <n v="7"/>
  </r>
  <r>
    <x v="3817"/>
    <x v="749"/>
    <x v="0"/>
    <n v="5"/>
    <n v="1500.4"/>
    <x v="528"/>
    <x v="2"/>
    <x v="2"/>
    <n v="7502"/>
    <m/>
    <m/>
    <n v="7"/>
  </r>
  <r>
    <x v="3818"/>
    <x v="750"/>
    <x v="1"/>
    <n v="2"/>
    <n v="81.319999999999993"/>
    <x v="673"/>
    <x v="8"/>
    <x v="1"/>
    <n v="162.63999999999999"/>
    <m/>
    <m/>
    <n v="7"/>
  </r>
  <r>
    <x v="3819"/>
    <x v="750"/>
    <x v="0"/>
    <n v="1"/>
    <n v="300.08"/>
    <x v="643"/>
    <x v="6"/>
    <x v="4"/>
    <n v="300.08"/>
    <m/>
    <m/>
    <n v="7"/>
  </r>
  <r>
    <x v="3820"/>
    <x v="751"/>
    <x v="6"/>
    <n v="1"/>
    <n v="35.840000000000003"/>
    <x v="616"/>
    <x v="5"/>
    <x v="2"/>
    <n v="35.840000000000003"/>
    <m/>
    <m/>
    <n v="5"/>
  </r>
  <r>
    <x v="3821"/>
    <x v="751"/>
    <x v="2"/>
    <n v="5"/>
    <n v="26.15"/>
    <x v="212"/>
    <x v="4"/>
    <x v="4"/>
    <n v="130.75"/>
    <m/>
    <m/>
    <n v="5"/>
  </r>
  <r>
    <x v="3822"/>
    <x v="751"/>
    <x v="0"/>
    <n v="1"/>
    <n v="300.08"/>
    <x v="576"/>
    <x v="4"/>
    <x v="1"/>
    <n v="300.08"/>
    <m/>
    <m/>
    <n v="5"/>
  </r>
  <r>
    <x v="3823"/>
    <x v="751"/>
    <x v="4"/>
    <n v="1"/>
    <n v="1050"/>
    <x v="222"/>
    <x v="4"/>
    <x v="1"/>
    <n v="1050"/>
    <m/>
    <m/>
    <n v="7"/>
  </r>
  <r>
    <x v="3824"/>
    <x v="751"/>
    <x v="6"/>
    <n v="5"/>
    <n v="179.2"/>
    <x v="588"/>
    <x v="6"/>
    <x v="2"/>
    <n v="896"/>
    <m/>
    <m/>
    <n v="7"/>
  </r>
  <r>
    <x v="3825"/>
    <x v="751"/>
    <x v="2"/>
    <n v="2"/>
    <n v="10.46"/>
    <x v="764"/>
    <x v="4"/>
    <x v="3"/>
    <n v="20.92"/>
    <m/>
    <m/>
    <n v="7"/>
  </r>
  <r>
    <x v="3826"/>
    <x v="752"/>
    <x v="0"/>
    <n v="4"/>
    <n v="1200.32"/>
    <x v="244"/>
    <x v="4"/>
    <x v="2"/>
    <n v="4801.28"/>
    <m/>
    <m/>
    <n v="5"/>
  </r>
  <r>
    <x v="3827"/>
    <x v="752"/>
    <x v="5"/>
    <n v="5"/>
    <n v="3000.85"/>
    <x v="745"/>
    <x v="9"/>
    <x v="1"/>
    <n v="15004.25"/>
    <m/>
    <m/>
    <n v="5"/>
  </r>
  <r>
    <x v="3828"/>
    <x v="752"/>
    <x v="7"/>
    <n v="2"/>
    <n v="23.46"/>
    <x v="574"/>
    <x v="6"/>
    <x v="0"/>
    <n v="46.92"/>
    <m/>
    <m/>
    <n v="7"/>
  </r>
  <r>
    <x v="3829"/>
    <x v="752"/>
    <x v="6"/>
    <n v="5"/>
    <n v="179.2"/>
    <x v="402"/>
    <x v="7"/>
    <x v="2"/>
    <n v="896"/>
    <m/>
    <m/>
    <n v="10"/>
  </r>
  <r>
    <x v="3830"/>
    <x v="753"/>
    <x v="2"/>
    <n v="5"/>
    <n v="26.15"/>
    <x v="453"/>
    <x v="7"/>
    <x v="4"/>
    <n v="130.75"/>
    <m/>
    <m/>
    <n v="5"/>
  </r>
  <r>
    <x v="3831"/>
    <x v="753"/>
    <x v="5"/>
    <n v="4"/>
    <n v="2400.6799999999998"/>
    <x v="45"/>
    <x v="6"/>
    <x v="3"/>
    <n v="9602.7199999999993"/>
    <m/>
    <m/>
    <n v="5"/>
  </r>
  <r>
    <x v="3832"/>
    <x v="753"/>
    <x v="6"/>
    <n v="4"/>
    <n v="143.36000000000001"/>
    <x v="460"/>
    <x v="8"/>
    <x v="3"/>
    <n v="573.44000000000005"/>
    <m/>
    <m/>
    <n v="7"/>
  </r>
  <r>
    <x v="3833"/>
    <x v="753"/>
    <x v="1"/>
    <n v="3"/>
    <n v="121.98"/>
    <x v="581"/>
    <x v="6"/>
    <x v="3"/>
    <n v="365.94"/>
    <m/>
    <m/>
    <n v="7"/>
  </r>
  <r>
    <x v="3834"/>
    <x v="753"/>
    <x v="0"/>
    <n v="4"/>
    <n v="1200.32"/>
    <x v="499"/>
    <x v="5"/>
    <x v="4"/>
    <n v="4801.28"/>
    <m/>
    <m/>
    <n v="7"/>
  </r>
  <r>
    <x v="3835"/>
    <x v="754"/>
    <x v="0"/>
    <n v="1"/>
    <n v="300.08"/>
    <x v="314"/>
    <x v="0"/>
    <x v="2"/>
    <n v="300.08"/>
    <m/>
    <m/>
    <n v="5"/>
  </r>
  <r>
    <x v="3836"/>
    <x v="754"/>
    <x v="0"/>
    <n v="1"/>
    <n v="300.08"/>
    <x v="567"/>
    <x v="6"/>
    <x v="4"/>
    <n v="300.08"/>
    <m/>
    <m/>
    <n v="5"/>
  </r>
  <r>
    <x v="3837"/>
    <x v="754"/>
    <x v="0"/>
    <n v="3"/>
    <n v="900.24"/>
    <x v="178"/>
    <x v="0"/>
    <x v="2"/>
    <n v="2700.7200000000003"/>
    <m/>
    <m/>
    <n v="7"/>
  </r>
  <r>
    <x v="3838"/>
    <x v="755"/>
    <x v="1"/>
    <n v="5"/>
    <n v="203.3"/>
    <x v="465"/>
    <x v="0"/>
    <x v="2"/>
    <n v="1016.5"/>
    <m/>
    <m/>
    <n v="5"/>
  </r>
  <r>
    <x v="3839"/>
    <x v="755"/>
    <x v="2"/>
    <n v="2"/>
    <n v="10.46"/>
    <x v="172"/>
    <x v="4"/>
    <x v="2"/>
    <n v="20.92"/>
    <m/>
    <m/>
    <n v="5"/>
  </r>
  <r>
    <x v="3840"/>
    <x v="755"/>
    <x v="4"/>
    <n v="5"/>
    <n v="5250"/>
    <x v="109"/>
    <x v="9"/>
    <x v="2"/>
    <n v="26250"/>
    <m/>
    <m/>
    <n v="7"/>
  </r>
  <r>
    <x v="3841"/>
    <x v="756"/>
    <x v="0"/>
    <n v="5"/>
    <n v="1500.4"/>
    <x v="121"/>
    <x v="3"/>
    <x v="4"/>
    <n v="7502"/>
    <m/>
    <m/>
    <n v="5"/>
  </r>
  <r>
    <x v="3842"/>
    <x v="756"/>
    <x v="0"/>
    <n v="2"/>
    <n v="600.16"/>
    <x v="279"/>
    <x v="2"/>
    <x v="0"/>
    <n v="1200.32"/>
    <m/>
    <m/>
    <n v="5"/>
  </r>
  <r>
    <x v="3843"/>
    <x v="756"/>
    <x v="6"/>
    <n v="2"/>
    <n v="71.680000000000007"/>
    <x v="606"/>
    <x v="6"/>
    <x v="3"/>
    <n v="143.36000000000001"/>
    <m/>
    <m/>
    <n v="5"/>
  </r>
  <r>
    <x v="3844"/>
    <x v="756"/>
    <x v="2"/>
    <n v="4"/>
    <n v="20.92"/>
    <x v="37"/>
    <x v="8"/>
    <x v="2"/>
    <n v="83.68"/>
    <m/>
    <m/>
    <n v="7"/>
  </r>
  <r>
    <x v="3845"/>
    <x v="756"/>
    <x v="6"/>
    <n v="1"/>
    <n v="35.840000000000003"/>
    <x v="586"/>
    <x v="5"/>
    <x v="3"/>
    <n v="35.840000000000003"/>
    <m/>
    <m/>
    <n v="10"/>
  </r>
  <r>
    <x v="3846"/>
    <x v="757"/>
    <x v="0"/>
    <n v="5"/>
    <n v="1500.4"/>
    <x v="133"/>
    <x v="1"/>
    <x v="1"/>
    <n v="7502"/>
    <m/>
    <m/>
    <n v="5"/>
  </r>
  <r>
    <x v="3847"/>
    <x v="757"/>
    <x v="6"/>
    <n v="5"/>
    <n v="179.2"/>
    <x v="617"/>
    <x v="6"/>
    <x v="4"/>
    <n v="896"/>
    <m/>
    <m/>
    <n v="7"/>
  </r>
  <r>
    <x v="3848"/>
    <x v="757"/>
    <x v="5"/>
    <n v="3"/>
    <n v="1800.51"/>
    <x v="119"/>
    <x v="0"/>
    <x v="2"/>
    <n v="5401.53"/>
    <m/>
    <m/>
    <n v="7"/>
  </r>
  <r>
    <x v="3849"/>
    <x v="757"/>
    <x v="3"/>
    <n v="4"/>
    <n v="60.6"/>
    <x v="119"/>
    <x v="3"/>
    <x v="2"/>
    <n v="242.4"/>
    <m/>
    <m/>
    <n v="7"/>
  </r>
  <r>
    <x v="3850"/>
    <x v="757"/>
    <x v="5"/>
    <n v="3"/>
    <n v="1800.51"/>
    <x v="476"/>
    <x v="0"/>
    <x v="1"/>
    <n v="5401.53"/>
    <m/>
    <m/>
    <n v="7"/>
  </r>
  <r>
    <x v="3851"/>
    <x v="758"/>
    <x v="0"/>
    <n v="3"/>
    <n v="900.24"/>
    <x v="104"/>
    <x v="0"/>
    <x v="0"/>
    <n v="2700.7200000000003"/>
    <m/>
    <m/>
    <n v="5"/>
  </r>
  <r>
    <x v="3852"/>
    <x v="758"/>
    <x v="5"/>
    <n v="2"/>
    <n v="1200.3399999999999"/>
    <x v="515"/>
    <x v="1"/>
    <x v="2"/>
    <n v="2400.6799999999998"/>
    <m/>
    <m/>
    <n v="7"/>
  </r>
  <r>
    <x v="3853"/>
    <x v="758"/>
    <x v="0"/>
    <n v="5"/>
    <n v="1500.4"/>
    <x v="160"/>
    <x v="1"/>
    <x v="1"/>
    <n v="7502"/>
    <m/>
    <m/>
    <n v="7"/>
  </r>
  <r>
    <x v="3854"/>
    <x v="758"/>
    <x v="1"/>
    <n v="3"/>
    <n v="121.98"/>
    <x v="124"/>
    <x v="5"/>
    <x v="0"/>
    <n v="365.94"/>
    <m/>
    <m/>
    <n v="7"/>
  </r>
  <r>
    <x v="3855"/>
    <x v="759"/>
    <x v="2"/>
    <n v="3"/>
    <n v="15.69"/>
    <x v="292"/>
    <x v="9"/>
    <x v="3"/>
    <n v="47.07"/>
    <m/>
    <m/>
    <n v="5"/>
  </r>
  <r>
    <x v="3856"/>
    <x v="759"/>
    <x v="6"/>
    <n v="1"/>
    <n v="35.840000000000003"/>
    <x v="290"/>
    <x v="4"/>
    <x v="2"/>
    <n v="35.840000000000003"/>
    <m/>
    <m/>
    <n v="5"/>
  </r>
  <r>
    <x v="3857"/>
    <x v="759"/>
    <x v="0"/>
    <n v="2"/>
    <n v="600.16"/>
    <x v="559"/>
    <x v="2"/>
    <x v="4"/>
    <n v="1200.32"/>
    <m/>
    <m/>
    <n v="7"/>
  </r>
  <r>
    <x v="3858"/>
    <x v="759"/>
    <x v="2"/>
    <n v="1"/>
    <n v="5.23"/>
    <x v="350"/>
    <x v="6"/>
    <x v="3"/>
    <n v="5.23"/>
    <m/>
    <m/>
    <n v="7"/>
  </r>
  <r>
    <x v="3859"/>
    <x v="759"/>
    <x v="0"/>
    <n v="3"/>
    <n v="900.24"/>
    <x v="658"/>
    <x v="8"/>
    <x v="0"/>
    <n v="2700.7200000000003"/>
    <m/>
    <m/>
    <n v="10"/>
  </r>
  <r>
    <x v="3860"/>
    <x v="760"/>
    <x v="0"/>
    <n v="3"/>
    <n v="900.24"/>
    <x v="168"/>
    <x v="2"/>
    <x v="4"/>
    <n v="2700.7200000000003"/>
    <m/>
    <m/>
    <n v="5"/>
  </r>
  <r>
    <x v="3861"/>
    <x v="760"/>
    <x v="3"/>
    <n v="3"/>
    <n v="45.45"/>
    <x v="643"/>
    <x v="1"/>
    <x v="3"/>
    <n v="136.35000000000002"/>
    <m/>
    <m/>
    <n v="7"/>
  </r>
  <r>
    <x v="3862"/>
    <x v="760"/>
    <x v="0"/>
    <n v="1"/>
    <n v="300.08"/>
    <x v="165"/>
    <x v="6"/>
    <x v="4"/>
    <n v="300.08"/>
    <m/>
    <m/>
    <n v="10"/>
  </r>
  <r>
    <x v="3863"/>
    <x v="760"/>
    <x v="1"/>
    <n v="3"/>
    <n v="121.98"/>
    <x v="682"/>
    <x v="9"/>
    <x v="2"/>
    <n v="365.94"/>
    <m/>
    <m/>
    <n v="10"/>
  </r>
  <r>
    <x v="3864"/>
    <x v="760"/>
    <x v="0"/>
    <n v="1"/>
    <n v="300.08"/>
    <x v="216"/>
    <x v="8"/>
    <x v="4"/>
    <n v="300.08"/>
    <m/>
    <m/>
    <n v="10"/>
  </r>
  <r>
    <x v="3865"/>
    <x v="761"/>
    <x v="4"/>
    <n v="4"/>
    <n v="4200"/>
    <x v="240"/>
    <x v="4"/>
    <x v="0"/>
    <n v="16800"/>
    <m/>
    <m/>
    <n v="5"/>
  </r>
  <r>
    <x v="3866"/>
    <x v="761"/>
    <x v="0"/>
    <n v="4"/>
    <n v="1200.32"/>
    <x v="505"/>
    <x v="5"/>
    <x v="3"/>
    <n v="4801.28"/>
    <m/>
    <m/>
    <n v="5"/>
  </r>
  <r>
    <x v="3867"/>
    <x v="761"/>
    <x v="0"/>
    <n v="1"/>
    <n v="300.08"/>
    <x v="296"/>
    <x v="0"/>
    <x v="0"/>
    <n v="300.08"/>
    <m/>
    <m/>
    <n v="5"/>
  </r>
  <r>
    <x v="3868"/>
    <x v="761"/>
    <x v="0"/>
    <n v="5"/>
    <n v="1500.4"/>
    <x v="404"/>
    <x v="6"/>
    <x v="3"/>
    <n v="7502"/>
    <m/>
    <m/>
    <n v="7"/>
  </r>
  <r>
    <x v="3869"/>
    <x v="761"/>
    <x v="5"/>
    <n v="2"/>
    <n v="1200.3399999999999"/>
    <x v="630"/>
    <x v="6"/>
    <x v="0"/>
    <n v="2400.6799999999998"/>
    <m/>
    <m/>
    <n v="7"/>
  </r>
  <r>
    <x v="3870"/>
    <x v="762"/>
    <x v="0"/>
    <n v="3"/>
    <n v="900.24"/>
    <x v="790"/>
    <x v="9"/>
    <x v="2"/>
    <n v="2700.7200000000003"/>
    <m/>
    <m/>
    <n v="5"/>
  </r>
  <r>
    <x v="3871"/>
    <x v="762"/>
    <x v="7"/>
    <n v="5"/>
    <n v="58.65"/>
    <x v="642"/>
    <x v="8"/>
    <x v="1"/>
    <n v="293.25"/>
    <m/>
    <m/>
    <n v="5"/>
  </r>
  <r>
    <x v="3872"/>
    <x v="762"/>
    <x v="2"/>
    <n v="4"/>
    <n v="20.92"/>
    <x v="177"/>
    <x v="6"/>
    <x v="1"/>
    <n v="83.68"/>
    <m/>
    <m/>
    <n v="5"/>
  </r>
  <r>
    <x v="3873"/>
    <x v="762"/>
    <x v="0"/>
    <n v="3"/>
    <n v="900.24"/>
    <x v="91"/>
    <x v="9"/>
    <x v="3"/>
    <n v="2700.7200000000003"/>
    <m/>
    <m/>
    <n v="5"/>
  </r>
  <r>
    <x v="3874"/>
    <x v="762"/>
    <x v="6"/>
    <n v="2"/>
    <n v="71.680000000000007"/>
    <x v="689"/>
    <x v="6"/>
    <x v="2"/>
    <n v="143.36000000000001"/>
    <m/>
    <m/>
    <n v="7"/>
  </r>
  <r>
    <x v="3875"/>
    <x v="762"/>
    <x v="6"/>
    <n v="2"/>
    <n v="71.680000000000007"/>
    <x v="735"/>
    <x v="4"/>
    <x v="4"/>
    <n v="143.36000000000001"/>
    <m/>
    <m/>
    <n v="7"/>
  </r>
  <r>
    <x v="3876"/>
    <x v="762"/>
    <x v="4"/>
    <n v="5"/>
    <n v="5250"/>
    <x v="701"/>
    <x v="2"/>
    <x v="3"/>
    <n v="26250"/>
    <m/>
    <m/>
    <n v="7"/>
  </r>
  <r>
    <x v="3877"/>
    <x v="762"/>
    <x v="0"/>
    <n v="1"/>
    <n v="300.08"/>
    <x v="94"/>
    <x v="9"/>
    <x v="0"/>
    <n v="300.08"/>
    <m/>
    <m/>
    <n v="7"/>
  </r>
  <r>
    <x v="3878"/>
    <x v="762"/>
    <x v="5"/>
    <n v="5"/>
    <n v="3000.85"/>
    <x v="496"/>
    <x v="9"/>
    <x v="0"/>
    <n v="15004.25"/>
    <m/>
    <m/>
    <n v="10"/>
  </r>
  <r>
    <x v="3879"/>
    <x v="763"/>
    <x v="6"/>
    <n v="4"/>
    <n v="143.36000000000001"/>
    <x v="593"/>
    <x v="1"/>
    <x v="0"/>
    <n v="573.44000000000005"/>
    <m/>
    <m/>
    <n v="5"/>
  </r>
  <r>
    <x v="3880"/>
    <x v="763"/>
    <x v="2"/>
    <n v="1"/>
    <n v="5.23"/>
    <x v="742"/>
    <x v="3"/>
    <x v="0"/>
    <n v="5.23"/>
    <m/>
    <m/>
    <n v="7"/>
  </r>
  <r>
    <x v="3881"/>
    <x v="763"/>
    <x v="5"/>
    <n v="5"/>
    <n v="3000.85"/>
    <x v="510"/>
    <x v="2"/>
    <x v="4"/>
    <n v="15004.25"/>
    <m/>
    <m/>
    <n v="7"/>
  </r>
  <r>
    <x v="3882"/>
    <x v="763"/>
    <x v="1"/>
    <n v="2"/>
    <n v="81.319999999999993"/>
    <x v="67"/>
    <x v="1"/>
    <x v="1"/>
    <n v="162.63999999999999"/>
    <m/>
    <m/>
    <n v="7"/>
  </r>
  <r>
    <x v="3883"/>
    <x v="763"/>
    <x v="0"/>
    <n v="1"/>
    <n v="300.08"/>
    <x v="416"/>
    <x v="3"/>
    <x v="4"/>
    <n v="300.08"/>
    <m/>
    <m/>
    <n v="10"/>
  </r>
  <r>
    <x v="3884"/>
    <x v="763"/>
    <x v="0"/>
    <n v="1"/>
    <n v="300.08"/>
    <x v="26"/>
    <x v="2"/>
    <x v="1"/>
    <n v="300.08"/>
    <m/>
    <m/>
    <n v="10"/>
  </r>
  <r>
    <x v="3885"/>
    <x v="764"/>
    <x v="0"/>
    <n v="1"/>
    <n v="300.08"/>
    <x v="414"/>
    <x v="6"/>
    <x v="3"/>
    <n v="300.08"/>
    <m/>
    <m/>
    <n v="5"/>
  </r>
  <r>
    <x v="3886"/>
    <x v="764"/>
    <x v="1"/>
    <n v="1"/>
    <n v="40.659999999999997"/>
    <x v="462"/>
    <x v="1"/>
    <x v="1"/>
    <n v="40.659999999999997"/>
    <m/>
    <m/>
    <n v="5"/>
  </r>
  <r>
    <x v="3887"/>
    <x v="764"/>
    <x v="6"/>
    <n v="2"/>
    <n v="71.680000000000007"/>
    <x v="742"/>
    <x v="4"/>
    <x v="2"/>
    <n v="143.36000000000001"/>
    <m/>
    <m/>
    <n v="7"/>
  </r>
  <r>
    <x v="3888"/>
    <x v="764"/>
    <x v="2"/>
    <n v="3"/>
    <n v="15.69"/>
    <x v="182"/>
    <x v="1"/>
    <x v="2"/>
    <n v="47.07"/>
    <m/>
    <m/>
    <n v="7"/>
  </r>
  <r>
    <x v="3889"/>
    <x v="765"/>
    <x v="0"/>
    <n v="5"/>
    <n v="1500.4"/>
    <x v="768"/>
    <x v="6"/>
    <x v="0"/>
    <n v="7502"/>
    <m/>
    <m/>
    <n v="5"/>
  </r>
  <r>
    <x v="3890"/>
    <x v="765"/>
    <x v="0"/>
    <n v="4"/>
    <n v="1200.32"/>
    <x v="18"/>
    <x v="0"/>
    <x v="2"/>
    <n v="4801.28"/>
    <m/>
    <m/>
    <n v="7"/>
  </r>
  <r>
    <x v="3891"/>
    <x v="765"/>
    <x v="0"/>
    <n v="2"/>
    <n v="600.16"/>
    <x v="463"/>
    <x v="9"/>
    <x v="1"/>
    <n v="1200.32"/>
    <m/>
    <m/>
    <n v="7"/>
  </r>
  <r>
    <x v="3892"/>
    <x v="765"/>
    <x v="0"/>
    <n v="1"/>
    <n v="300.08"/>
    <x v="621"/>
    <x v="6"/>
    <x v="0"/>
    <n v="300.08"/>
    <m/>
    <m/>
    <n v="7"/>
  </r>
  <r>
    <x v="3893"/>
    <x v="765"/>
    <x v="6"/>
    <n v="3"/>
    <n v="107.52"/>
    <x v="219"/>
    <x v="1"/>
    <x v="1"/>
    <n v="322.56"/>
    <m/>
    <m/>
    <n v="7"/>
  </r>
  <r>
    <x v="3894"/>
    <x v="765"/>
    <x v="5"/>
    <n v="2"/>
    <n v="1200.3399999999999"/>
    <x v="718"/>
    <x v="9"/>
    <x v="1"/>
    <n v="2400.6799999999998"/>
    <m/>
    <m/>
    <n v="7"/>
  </r>
  <r>
    <x v="3895"/>
    <x v="765"/>
    <x v="2"/>
    <n v="2"/>
    <n v="10.46"/>
    <x v="734"/>
    <x v="6"/>
    <x v="0"/>
    <n v="20.92"/>
    <m/>
    <m/>
    <n v="7"/>
  </r>
  <r>
    <x v="3896"/>
    <x v="766"/>
    <x v="6"/>
    <n v="5"/>
    <n v="179.2"/>
    <x v="484"/>
    <x v="0"/>
    <x v="3"/>
    <n v="896"/>
    <m/>
    <m/>
    <n v="5"/>
  </r>
  <r>
    <x v="3897"/>
    <x v="766"/>
    <x v="2"/>
    <n v="5"/>
    <n v="26.15"/>
    <x v="315"/>
    <x v="6"/>
    <x v="0"/>
    <n v="130.75"/>
    <m/>
    <m/>
    <n v="5"/>
  </r>
  <r>
    <x v="3898"/>
    <x v="766"/>
    <x v="6"/>
    <n v="3"/>
    <n v="107.52"/>
    <x v="632"/>
    <x v="6"/>
    <x v="2"/>
    <n v="322.56"/>
    <m/>
    <m/>
    <n v="5"/>
  </r>
  <r>
    <x v="3899"/>
    <x v="766"/>
    <x v="5"/>
    <n v="4"/>
    <n v="2400.6799999999998"/>
    <x v="496"/>
    <x v="6"/>
    <x v="0"/>
    <n v="9602.7199999999993"/>
    <m/>
    <m/>
    <n v="10"/>
  </r>
  <r>
    <x v="3900"/>
    <x v="767"/>
    <x v="0"/>
    <n v="3"/>
    <n v="900.24"/>
    <x v="538"/>
    <x v="4"/>
    <x v="3"/>
    <n v="2700.7200000000003"/>
    <m/>
    <m/>
    <n v="5"/>
  </r>
  <r>
    <x v="3901"/>
    <x v="767"/>
    <x v="6"/>
    <n v="1"/>
    <n v="35.840000000000003"/>
    <x v="694"/>
    <x v="8"/>
    <x v="3"/>
    <n v="35.840000000000003"/>
    <m/>
    <m/>
    <n v="5"/>
  </r>
  <r>
    <x v="3902"/>
    <x v="767"/>
    <x v="4"/>
    <n v="1"/>
    <n v="1050"/>
    <x v="333"/>
    <x v="9"/>
    <x v="3"/>
    <n v="1050"/>
    <m/>
    <m/>
    <n v="7"/>
  </r>
  <r>
    <x v="3903"/>
    <x v="767"/>
    <x v="5"/>
    <n v="2"/>
    <n v="1200.3399999999999"/>
    <x v="559"/>
    <x v="1"/>
    <x v="4"/>
    <n v="2400.6799999999998"/>
    <m/>
    <m/>
    <n v="7"/>
  </r>
  <r>
    <x v="3904"/>
    <x v="767"/>
    <x v="1"/>
    <n v="3"/>
    <n v="121.98"/>
    <x v="686"/>
    <x v="0"/>
    <x v="3"/>
    <n v="365.94"/>
    <m/>
    <m/>
    <n v="7"/>
  </r>
  <r>
    <x v="3905"/>
    <x v="767"/>
    <x v="5"/>
    <n v="1"/>
    <n v="600.16999999999996"/>
    <x v="402"/>
    <x v="6"/>
    <x v="0"/>
    <n v="600.16999999999996"/>
    <m/>
    <m/>
    <n v="10"/>
  </r>
  <r>
    <x v="3906"/>
    <x v="767"/>
    <x v="0"/>
    <n v="2"/>
    <n v="600.16"/>
    <x v="53"/>
    <x v="0"/>
    <x v="4"/>
    <n v="1200.32"/>
    <m/>
    <m/>
    <n v="10"/>
  </r>
  <r>
    <x v="3907"/>
    <x v="768"/>
    <x v="0"/>
    <n v="1"/>
    <n v="300.08"/>
    <x v="582"/>
    <x v="5"/>
    <x v="3"/>
    <n v="300.08"/>
    <m/>
    <m/>
    <n v="5"/>
  </r>
  <r>
    <x v="3908"/>
    <x v="768"/>
    <x v="4"/>
    <n v="2"/>
    <n v="2100"/>
    <x v="716"/>
    <x v="7"/>
    <x v="0"/>
    <n v="4200"/>
    <m/>
    <m/>
    <n v="7"/>
  </r>
  <r>
    <x v="3909"/>
    <x v="769"/>
    <x v="0"/>
    <n v="1"/>
    <n v="300.08"/>
    <x v="653"/>
    <x v="0"/>
    <x v="0"/>
    <n v="300.08"/>
    <m/>
    <m/>
    <n v="5"/>
  </r>
  <r>
    <x v="3910"/>
    <x v="769"/>
    <x v="3"/>
    <n v="2"/>
    <n v="30.3"/>
    <x v="759"/>
    <x v="0"/>
    <x v="4"/>
    <n v="60.6"/>
    <m/>
    <m/>
    <n v="7"/>
  </r>
  <r>
    <x v="3911"/>
    <x v="769"/>
    <x v="1"/>
    <n v="5"/>
    <n v="203.3"/>
    <x v="607"/>
    <x v="7"/>
    <x v="1"/>
    <n v="1016.5"/>
    <m/>
    <m/>
    <n v="7"/>
  </r>
  <r>
    <x v="3912"/>
    <x v="770"/>
    <x v="2"/>
    <n v="4"/>
    <n v="20.92"/>
    <x v="264"/>
    <x v="1"/>
    <x v="0"/>
    <n v="83.68"/>
    <m/>
    <m/>
    <n v="5"/>
  </r>
  <r>
    <x v="3913"/>
    <x v="770"/>
    <x v="0"/>
    <n v="3"/>
    <n v="900.24"/>
    <x v="89"/>
    <x v="5"/>
    <x v="4"/>
    <n v="2700.7200000000003"/>
    <m/>
    <m/>
    <n v="5"/>
  </r>
  <r>
    <x v="3914"/>
    <x v="770"/>
    <x v="7"/>
    <n v="4"/>
    <n v="46.92"/>
    <x v="629"/>
    <x v="1"/>
    <x v="4"/>
    <n v="187.68"/>
    <m/>
    <m/>
    <n v="5"/>
  </r>
  <r>
    <x v="3915"/>
    <x v="770"/>
    <x v="1"/>
    <n v="2"/>
    <n v="81.319999999999993"/>
    <x v="373"/>
    <x v="0"/>
    <x v="2"/>
    <n v="162.63999999999999"/>
    <m/>
    <m/>
    <n v="5"/>
  </r>
  <r>
    <x v="3916"/>
    <x v="770"/>
    <x v="0"/>
    <n v="3"/>
    <n v="900.24"/>
    <x v="543"/>
    <x v="1"/>
    <x v="1"/>
    <n v="2700.7200000000003"/>
    <m/>
    <m/>
    <n v="5"/>
  </r>
  <r>
    <x v="3917"/>
    <x v="770"/>
    <x v="7"/>
    <n v="3"/>
    <n v="35.19"/>
    <x v="726"/>
    <x v="6"/>
    <x v="2"/>
    <n v="105.57"/>
    <m/>
    <m/>
    <n v="7"/>
  </r>
  <r>
    <x v="3918"/>
    <x v="770"/>
    <x v="5"/>
    <n v="1"/>
    <n v="600.16999999999996"/>
    <x v="50"/>
    <x v="5"/>
    <x v="4"/>
    <n v="600.16999999999996"/>
    <m/>
    <m/>
    <n v="10"/>
  </r>
  <r>
    <x v="3919"/>
    <x v="770"/>
    <x v="2"/>
    <n v="2"/>
    <n v="10.46"/>
    <x v="53"/>
    <x v="6"/>
    <x v="0"/>
    <n v="20.92"/>
    <m/>
    <m/>
    <n v="10"/>
  </r>
  <r>
    <x v="3920"/>
    <x v="771"/>
    <x v="1"/>
    <n v="2"/>
    <n v="81.319999999999993"/>
    <x v="743"/>
    <x v="6"/>
    <x v="0"/>
    <n v="162.63999999999999"/>
    <m/>
    <m/>
    <n v="5"/>
  </r>
  <r>
    <x v="3921"/>
    <x v="771"/>
    <x v="2"/>
    <n v="5"/>
    <n v="26.15"/>
    <x v="758"/>
    <x v="1"/>
    <x v="2"/>
    <n v="130.75"/>
    <m/>
    <m/>
    <n v="5"/>
  </r>
  <r>
    <x v="3922"/>
    <x v="771"/>
    <x v="0"/>
    <n v="4"/>
    <n v="1200.32"/>
    <x v="16"/>
    <x v="9"/>
    <x v="4"/>
    <n v="4801.28"/>
    <m/>
    <m/>
    <n v="7"/>
  </r>
  <r>
    <x v="3923"/>
    <x v="771"/>
    <x v="2"/>
    <n v="2"/>
    <n v="10.46"/>
    <x v="349"/>
    <x v="4"/>
    <x v="0"/>
    <n v="20.92"/>
    <m/>
    <m/>
    <n v="7"/>
  </r>
  <r>
    <x v="3924"/>
    <x v="771"/>
    <x v="6"/>
    <n v="3"/>
    <n v="107.52"/>
    <x v="427"/>
    <x v="4"/>
    <x v="4"/>
    <n v="322.56"/>
    <m/>
    <m/>
    <n v="7"/>
  </r>
  <r>
    <x v="3925"/>
    <x v="771"/>
    <x v="5"/>
    <n v="3"/>
    <n v="1800.51"/>
    <x v="343"/>
    <x v="9"/>
    <x v="4"/>
    <n v="5401.53"/>
    <m/>
    <m/>
    <n v="7"/>
  </r>
  <r>
    <x v="3926"/>
    <x v="771"/>
    <x v="7"/>
    <n v="1"/>
    <n v="11.73"/>
    <x v="360"/>
    <x v="5"/>
    <x v="4"/>
    <n v="11.73"/>
    <m/>
    <m/>
    <n v="7"/>
  </r>
  <r>
    <x v="3927"/>
    <x v="771"/>
    <x v="0"/>
    <n v="4"/>
    <n v="1200.32"/>
    <x v="771"/>
    <x v="6"/>
    <x v="3"/>
    <n v="4801.28"/>
    <m/>
    <m/>
    <n v="7"/>
  </r>
  <r>
    <x v="3928"/>
    <x v="772"/>
    <x v="5"/>
    <n v="2"/>
    <n v="1200.3399999999999"/>
    <x v="312"/>
    <x v="0"/>
    <x v="4"/>
    <n v="2400.6799999999998"/>
    <m/>
    <m/>
    <n v="5"/>
  </r>
  <r>
    <x v="3929"/>
    <x v="772"/>
    <x v="4"/>
    <n v="3"/>
    <n v="3150"/>
    <x v="648"/>
    <x v="3"/>
    <x v="1"/>
    <n v="9450"/>
    <m/>
    <m/>
    <n v="5"/>
  </r>
  <r>
    <x v="3930"/>
    <x v="772"/>
    <x v="6"/>
    <n v="3"/>
    <n v="107.52"/>
    <x v="742"/>
    <x v="5"/>
    <x v="2"/>
    <n v="322.56"/>
    <m/>
    <m/>
    <n v="7"/>
  </r>
  <r>
    <x v="3931"/>
    <x v="772"/>
    <x v="1"/>
    <n v="5"/>
    <n v="203.3"/>
    <x v="169"/>
    <x v="6"/>
    <x v="1"/>
    <n v="1016.5"/>
    <m/>
    <m/>
    <n v="7"/>
  </r>
  <r>
    <x v="3932"/>
    <x v="772"/>
    <x v="5"/>
    <n v="2"/>
    <n v="1200.3399999999999"/>
    <x v="681"/>
    <x v="0"/>
    <x v="3"/>
    <n v="2400.6799999999998"/>
    <m/>
    <m/>
    <n v="7"/>
  </r>
  <r>
    <x v="3933"/>
    <x v="772"/>
    <x v="7"/>
    <n v="2"/>
    <n v="23.46"/>
    <x v="542"/>
    <x v="0"/>
    <x v="0"/>
    <n v="46.92"/>
    <m/>
    <m/>
    <n v="7"/>
  </r>
  <r>
    <x v="3934"/>
    <x v="773"/>
    <x v="0"/>
    <n v="4"/>
    <n v="1200.32"/>
    <x v="220"/>
    <x v="1"/>
    <x v="3"/>
    <n v="4801.28"/>
    <m/>
    <m/>
    <n v="5"/>
  </r>
  <r>
    <x v="3935"/>
    <x v="773"/>
    <x v="0"/>
    <n v="2"/>
    <n v="600.16"/>
    <x v="112"/>
    <x v="9"/>
    <x v="1"/>
    <n v="1200.32"/>
    <m/>
    <m/>
    <n v="5"/>
  </r>
  <r>
    <x v="3936"/>
    <x v="773"/>
    <x v="0"/>
    <n v="1"/>
    <n v="300.08"/>
    <x v="144"/>
    <x v="6"/>
    <x v="1"/>
    <n v="300.08"/>
    <m/>
    <m/>
    <n v="5"/>
  </r>
  <r>
    <x v="3937"/>
    <x v="773"/>
    <x v="5"/>
    <n v="4"/>
    <n v="2400.6799999999998"/>
    <x v="144"/>
    <x v="4"/>
    <x v="0"/>
    <n v="9602.7199999999993"/>
    <m/>
    <m/>
    <n v="5"/>
  </r>
  <r>
    <x v="3938"/>
    <x v="773"/>
    <x v="0"/>
    <n v="5"/>
    <n v="1500.4"/>
    <x v="33"/>
    <x v="7"/>
    <x v="4"/>
    <n v="7502"/>
    <m/>
    <m/>
    <n v="5"/>
  </r>
  <r>
    <x v="3939"/>
    <x v="773"/>
    <x v="6"/>
    <n v="2"/>
    <n v="71.680000000000007"/>
    <x v="101"/>
    <x v="2"/>
    <x v="1"/>
    <n v="143.36000000000001"/>
    <m/>
    <m/>
    <n v="5"/>
  </r>
  <r>
    <x v="3940"/>
    <x v="773"/>
    <x v="1"/>
    <n v="4"/>
    <n v="162.63999999999999"/>
    <x v="747"/>
    <x v="2"/>
    <x v="2"/>
    <n v="650.55999999999995"/>
    <m/>
    <m/>
    <n v="7"/>
  </r>
  <r>
    <x v="3941"/>
    <x v="773"/>
    <x v="5"/>
    <n v="4"/>
    <n v="2400.6799999999998"/>
    <x v="345"/>
    <x v="6"/>
    <x v="0"/>
    <n v="9602.7199999999993"/>
    <m/>
    <m/>
    <n v="7"/>
  </r>
  <r>
    <x v="3942"/>
    <x v="773"/>
    <x v="1"/>
    <n v="1"/>
    <n v="40.659999999999997"/>
    <x v="546"/>
    <x v="1"/>
    <x v="2"/>
    <n v="40.659999999999997"/>
    <m/>
    <m/>
    <n v="7"/>
  </r>
  <r>
    <x v="3943"/>
    <x v="773"/>
    <x v="2"/>
    <n v="4"/>
    <n v="20.92"/>
    <x v="412"/>
    <x v="9"/>
    <x v="3"/>
    <n v="83.68"/>
    <m/>
    <m/>
    <n v="7"/>
  </r>
  <r>
    <x v="3944"/>
    <x v="774"/>
    <x v="1"/>
    <n v="4"/>
    <n v="162.63999999999999"/>
    <x v="99"/>
    <x v="0"/>
    <x v="0"/>
    <n v="650.55999999999995"/>
    <m/>
    <m/>
    <n v="5"/>
  </r>
  <r>
    <x v="3945"/>
    <x v="774"/>
    <x v="0"/>
    <n v="5"/>
    <n v="1500.4"/>
    <x v="245"/>
    <x v="0"/>
    <x v="4"/>
    <n v="7502"/>
    <m/>
    <m/>
    <n v="5"/>
  </r>
  <r>
    <x v="3946"/>
    <x v="774"/>
    <x v="5"/>
    <n v="4"/>
    <n v="2400.6799999999998"/>
    <x v="775"/>
    <x v="5"/>
    <x v="1"/>
    <n v="9602.7199999999993"/>
    <m/>
    <m/>
    <n v="5"/>
  </r>
  <r>
    <x v="3947"/>
    <x v="774"/>
    <x v="0"/>
    <n v="1"/>
    <n v="300.08"/>
    <x v="505"/>
    <x v="8"/>
    <x v="0"/>
    <n v="300.08"/>
    <m/>
    <m/>
    <n v="5"/>
  </r>
  <r>
    <x v="3948"/>
    <x v="774"/>
    <x v="3"/>
    <n v="4"/>
    <n v="60.6"/>
    <x v="329"/>
    <x v="1"/>
    <x v="4"/>
    <n v="242.4"/>
    <m/>
    <m/>
    <n v="7"/>
  </r>
  <r>
    <x v="3949"/>
    <x v="774"/>
    <x v="5"/>
    <n v="4"/>
    <n v="2400.6799999999998"/>
    <x v="532"/>
    <x v="0"/>
    <x v="2"/>
    <n v="9602.7199999999993"/>
    <m/>
    <m/>
    <n v="7"/>
  </r>
  <r>
    <x v="3950"/>
    <x v="774"/>
    <x v="7"/>
    <n v="5"/>
    <n v="58.65"/>
    <x v="682"/>
    <x v="0"/>
    <x v="2"/>
    <n v="293.25"/>
    <m/>
    <m/>
    <n v="10"/>
  </r>
  <r>
    <x v="3951"/>
    <x v="775"/>
    <x v="2"/>
    <n v="3"/>
    <n v="15.69"/>
    <x v="672"/>
    <x v="0"/>
    <x v="3"/>
    <n v="47.07"/>
    <m/>
    <m/>
    <n v="5"/>
  </r>
  <r>
    <x v="3952"/>
    <x v="775"/>
    <x v="1"/>
    <n v="3"/>
    <n v="121.98"/>
    <x v="562"/>
    <x v="6"/>
    <x v="2"/>
    <n v="365.94"/>
    <m/>
    <m/>
    <n v="5"/>
  </r>
  <r>
    <x v="3953"/>
    <x v="775"/>
    <x v="0"/>
    <n v="3"/>
    <n v="900.24"/>
    <x v="166"/>
    <x v="6"/>
    <x v="1"/>
    <n v="2700.7200000000003"/>
    <m/>
    <m/>
    <n v="5"/>
  </r>
  <r>
    <x v="3954"/>
    <x v="775"/>
    <x v="6"/>
    <n v="4"/>
    <n v="143.36000000000001"/>
    <x v="22"/>
    <x v="2"/>
    <x v="1"/>
    <n v="573.44000000000005"/>
    <m/>
    <m/>
    <n v="5"/>
  </r>
  <r>
    <x v="3955"/>
    <x v="775"/>
    <x v="7"/>
    <n v="3"/>
    <n v="35.19"/>
    <x v="164"/>
    <x v="8"/>
    <x v="4"/>
    <n v="105.57"/>
    <m/>
    <m/>
    <n v="7"/>
  </r>
  <r>
    <x v="3956"/>
    <x v="775"/>
    <x v="0"/>
    <n v="1"/>
    <n v="300.08"/>
    <x v="436"/>
    <x v="6"/>
    <x v="3"/>
    <n v="300.08"/>
    <m/>
    <m/>
    <n v="10"/>
  </r>
  <r>
    <x v="3957"/>
    <x v="776"/>
    <x v="0"/>
    <n v="2"/>
    <n v="600.16"/>
    <x v="64"/>
    <x v="8"/>
    <x v="3"/>
    <n v="1200.32"/>
    <m/>
    <m/>
    <n v="5"/>
  </r>
  <r>
    <x v="3958"/>
    <x v="776"/>
    <x v="0"/>
    <n v="5"/>
    <n v="1500.4"/>
    <x v="541"/>
    <x v="6"/>
    <x v="0"/>
    <n v="7502"/>
    <m/>
    <m/>
    <n v="5"/>
  </r>
  <r>
    <x v="3959"/>
    <x v="776"/>
    <x v="0"/>
    <n v="1"/>
    <n v="300.08"/>
    <x v="584"/>
    <x v="7"/>
    <x v="4"/>
    <n v="300.08"/>
    <m/>
    <m/>
    <n v="7"/>
  </r>
  <r>
    <x v="3960"/>
    <x v="776"/>
    <x v="1"/>
    <n v="3"/>
    <n v="121.98"/>
    <x v="675"/>
    <x v="4"/>
    <x v="4"/>
    <n v="365.94"/>
    <m/>
    <m/>
    <n v="7"/>
  </r>
  <r>
    <x v="3961"/>
    <x v="776"/>
    <x v="1"/>
    <n v="2"/>
    <n v="81.319999999999993"/>
    <x v="256"/>
    <x v="1"/>
    <x v="3"/>
    <n v="162.63999999999999"/>
    <m/>
    <m/>
    <n v="7"/>
  </r>
  <r>
    <x v="3962"/>
    <x v="777"/>
    <x v="0"/>
    <n v="4"/>
    <n v="1200.32"/>
    <x v="525"/>
    <x v="0"/>
    <x v="1"/>
    <n v="4801.28"/>
    <m/>
    <m/>
    <n v="5"/>
  </r>
  <r>
    <x v="3963"/>
    <x v="777"/>
    <x v="5"/>
    <n v="5"/>
    <n v="3000.85"/>
    <x v="663"/>
    <x v="6"/>
    <x v="4"/>
    <n v="15004.25"/>
    <m/>
    <m/>
    <n v="5"/>
  </r>
  <r>
    <x v="3964"/>
    <x v="777"/>
    <x v="0"/>
    <n v="2"/>
    <n v="600.16"/>
    <x v="707"/>
    <x v="0"/>
    <x v="4"/>
    <n v="1200.32"/>
    <m/>
    <m/>
    <n v="7"/>
  </r>
  <r>
    <x v="3965"/>
    <x v="777"/>
    <x v="0"/>
    <n v="2"/>
    <n v="600.16"/>
    <x v="592"/>
    <x v="1"/>
    <x v="4"/>
    <n v="1200.32"/>
    <m/>
    <m/>
    <n v="7"/>
  </r>
  <r>
    <x v="3966"/>
    <x v="778"/>
    <x v="6"/>
    <n v="2"/>
    <n v="71.680000000000007"/>
    <x v="216"/>
    <x v="2"/>
    <x v="4"/>
    <n v="143.36000000000001"/>
    <m/>
    <m/>
    <n v="10"/>
  </r>
  <r>
    <x v="3967"/>
    <x v="778"/>
    <x v="0"/>
    <n v="3"/>
    <n v="900.24"/>
    <x v="765"/>
    <x v="3"/>
    <x v="4"/>
    <n v="2700.7200000000003"/>
    <m/>
    <m/>
    <n v="10"/>
  </r>
  <r>
    <x v="3968"/>
    <x v="779"/>
    <x v="1"/>
    <n v="5"/>
    <n v="203.3"/>
    <x v="268"/>
    <x v="9"/>
    <x v="1"/>
    <n v="1016.5"/>
    <m/>
    <m/>
    <n v="5"/>
  </r>
  <r>
    <x v="3969"/>
    <x v="779"/>
    <x v="1"/>
    <n v="1"/>
    <n v="40.659999999999997"/>
    <x v="505"/>
    <x v="7"/>
    <x v="1"/>
    <n v="40.659999999999997"/>
    <m/>
    <m/>
    <n v="5"/>
  </r>
  <r>
    <x v="3970"/>
    <x v="779"/>
    <x v="7"/>
    <n v="2"/>
    <n v="23.46"/>
    <x v="315"/>
    <x v="9"/>
    <x v="3"/>
    <n v="46.92"/>
    <m/>
    <m/>
    <n v="5"/>
  </r>
  <r>
    <x v="3971"/>
    <x v="779"/>
    <x v="5"/>
    <n v="3"/>
    <n v="1800.51"/>
    <x v="507"/>
    <x v="4"/>
    <x v="1"/>
    <n v="5401.53"/>
    <m/>
    <m/>
    <n v="7"/>
  </r>
  <r>
    <x v="3972"/>
    <x v="779"/>
    <x v="0"/>
    <n v="4"/>
    <n v="1200.32"/>
    <x v="430"/>
    <x v="4"/>
    <x v="1"/>
    <n v="4801.28"/>
    <m/>
    <m/>
    <n v="7"/>
  </r>
  <r>
    <x v="3973"/>
    <x v="779"/>
    <x v="1"/>
    <n v="5"/>
    <n v="203.3"/>
    <x v="288"/>
    <x v="9"/>
    <x v="4"/>
    <n v="1016.5"/>
    <m/>
    <m/>
    <n v="7"/>
  </r>
  <r>
    <x v="3974"/>
    <x v="780"/>
    <x v="1"/>
    <n v="5"/>
    <n v="203.3"/>
    <x v="224"/>
    <x v="0"/>
    <x v="1"/>
    <n v="1016.5"/>
    <m/>
    <m/>
    <n v="5"/>
  </r>
  <r>
    <x v="3975"/>
    <x v="780"/>
    <x v="1"/>
    <n v="1"/>
    <n v="40.659999999999997"/>
    <x v="78"/>
    <x v="0"/>
    <x v="2"/>
    <n v="40.659999999999997"/>
    <m/>
    <m/>
    <n v="5"/>
  </r>
  <r>
    <x v="3976"/>
    <x v="780"/>
    <x v="1"/>
    <n v="4"/>
    <n v="162.63999999999999"/>
    <x v="723"/>
    <x v="5"/>
    <x v="0"/>
    <n v="650.55999999999995"/>
    <m/>
    <m/>
    <n v="5"/>
  </r>
  <r>
    <x v="3977"/>
    <x v="780"/>
    <x v="2"/>
    <n v="3"/>
    <n v="15.69"/>
    <x v="487"/>
    <x v="1"/>
    <x v="3"/>
    <n v="47.07"/>
    <m/>
    <m/>
    <n v="7"/>
  </r>
  <r>
    <x v="3978"/>
    <x v="780"/>
    <x v="5"/>
    <n v="4"/>
    <n v="2400.6799999999998"/>
    <x v="31"/>
    <x v="6"/>
    <x v="4"/>
    <n v="9602.7199999999993"/>
    <m/>
    <m/>
    <n v="7"/>
  </r>
  <r>
    <x v="3979"/>
    <x v="780"/>
    <x v="0"/>
    <n v="4"/>
    <n v="1200.32"/>
    <x v="671"/>
    <x v="4"/>
    <x v="2"/>
    <n v="4801.28"/>
    <m/>
    <m/>
    <n v="7"/>
  </r>
  <r>
    <x v="3980"/>
    <x v="781"/>
    <x v="0"/>
    <n v="5"/>
    <n v="1500.4"/>
    <x v="518"/>
    <x v="0"/>
    <x v="2"/>
    <n v="7502"/>
    <m/>
    <m/>
    <n v="5"/>
  </r>
  <r>
    <x v="3981"/>
    <x v="781"/>
    <x v="0"/>
    <n v="4"/>
    <n v="1200.32"/>
    <x v="543"/>
    <x v="4"/>
    <x v="4"/>
    <n v="4801.28"/>
    <m/>
    <m/>
    <n v="5"/>
  </r>
  <r>
    <x v="3982"/>
    <x v="781"/>
    <x v="0"/>
    <n v="2"/>
    <n v="600.16"/>
    <x v="6"/>
    <x v="9"/>
    <x v="3"/>
    <n v="1200.32"/>
    <m/>
    <m/>
    <n v="7"/>
  </r>
  <r>
    <x v="3983"/>
    <x v="781"/>
    <x v="5"/>
    <n v="1"/>
    <n v="600.16999999999996"/>
    <x v="532"/>
    <x v="9"/>
    <x v="3"/>
    <n v="600.16999999999996"/>
    <m/>
    <m/>
    <n v="7"/>
  </r>
  <r>
    <x v="3984"/>
    <x v="781"/>
    <x v="0"/>
    <n v="3"/>
    <n v="900.24"/>
    <x v="470"/>
    <x v="1"/>
    <x v="1"/>
    <n v="2700.7200000000003"/>
    <m/>
    <m/>
    <n v="7"/>
  </r>
  <r>
    <x v="3985"/>
    <x v="781"/>
    <x v="6"/>
    <n v="4"/>
    <n v="143.36000000000001"/>
    <x v="511"/>
    <x v="0"/>
    <x v="2"/>
    <n v="573.44000000000005"/>
    <m/>
    <m/>
    <n v="7"/>
  </r>
  <r>
    <x v="3986"/>
    <x v="781"/>
    <x v="1"/>
    <n v="3"/>
    <n v="121.98"/>
    <x v="436"/>
    <x v="9"/>
    <x v="4"/>
    <n v="365.94"/>
    <m/>
    <m/>
    <n v="10"/>
  </r>
  <r>
    <x v="3987"/>
    <x v="782"/>
    <x v="1"/>
    <n v="5"/>
    <n v="203.3"/>
    <x v="743"/>
    <x v="4"/>
    <x v="4"/>
    <n v="1016.5"/>
    <m/>
    <m/>
    <n v="5"/>
  </r>
  <r>
    <x v="3988"/>
    <x v="782"/>
    <x v="7"/>
    <n v="2"/>
    <n v="23.46"/>
    <x v="632"/>
    <x v="6"/>
    <x v="2"/>
    <n v="46.92"/>
    <m/>
    <m/>
    <n v="5"/>
  </r>
  <r>
    <x v="3989"/>
    <x v="782"/>
    <x v="2"/>
    <n v="3"/>
    <n v="15.69"/>
    <x v="352"/>
    <x v="9"/>
    <x v="0"/>
    <n v="47.07"/>
    <m/>
    <m/>
    <n v="5"/>
  </r>
  <r>
    <x v="3990"/>
    <x v="782"/>
    <x v="6"/>
    <n v="2"/>
    <n v="71.680000000000007"/>
    <x v="187"/>
    <x v="0"/>
    <x v="4"/>
    <n v="143.36000000000001"/>
    <m/>
    <m/>
    <n v="5"/>
  </r>
  <r>
    <x v="3991"/>
    <x v="782"/>
    <x v="0"/>
    <n v="4"/>
    <n v="1200.32"/>
    <x v="233"/>
    <x v="0"/>
    <x v="4"/>
    <n v="4801.28"/>
    <m/>
    <m/>
    <n v="5"/>
  </r>
  <r>
    <x v="3992"/>
    <x v="782"/>
    <x v="0"/>
    <n v="1"/>
    <n v="300.08"/>
    <x v="59"/>
    <x v="0"/>
    <x v="4"/>
    <n v="300.08"/>
    <m/>
    <m/>
    <n v="7"/>
  </r>
  <r>
    <x v="3993"/>
    <x v="782"/>
    <x v="0"/>
    <n v="2"/>
    <n v="600.16"/>
    <x v="741"/>
    <x v="0"/>
    <x v="2"/>
    <n v="1200.32"/>
    <m/>
    <m/>
    <n v="10"/>
  </r>
  <r>
    <x v="3994"/>
    <x v="783"/>
    <x v="5"/>
    <n v="2"/>
    <n v="1200.3399999999999"/>
    <x v="72"/>
    <x v="4"/>
    <x v="0"/>
    <n v="2400.6799999999998"/>
    <m/>
    <m/>
    <n v="5"/>
  </r>
  <r>
    <x v="3995"/>
    <x v="783"/>
    <x v="1"/>
    <n v="5"/>
    <n v="203.3"/>
    <x v="168"/>
    <x v="0"/>
    <x v="0"/>
    <n v="1016.5"/>
    <m/>
    <m/>
    <n v="5"/>
  </r>
  <r>
    <x v="3996"/>
    <x v="783"/>
    <x v="0"/>
    <n v="5"/>
    <n v="1500.4"/>
    <x v="6"/>
    <x v="6"/>
    <x v="4"/>
    <n v="7502"/>
    <m/>
    <m/>
    <n v="7"/>
  </r>
  <r>
    <x v="3997"/>
    <x v="784"/>
    <x v="1"/>
    <n v="1"/>
    <n v="40.659999999999997"/>
    <x v="494"/>
    <x v="0"/>
    <x v="3"/>
    <n v="40.659999999999997"/>
    <m/>
    <m/>
    <n v="5"/>
  </r>
  <r>
    <x v="3998"/>
    <x v="784"/>
    <x v="0"/>
    <n v="1"/>
    <n v="300.08"/>
    <x v="773"/>
    <x v="4"/>
    <x v="4"/>
    <n v="300.08"/>
    <m/>
    <m/>
    <n v="5"/>
  </r>
  <r>
    <x v="3999"/>
    <x v="784"/>
    <x v="7"/>
    <n v="2"/>
    <n v="23.46"/>
    <x v="516"/>
    <x v="0"/>
    <x v="0"/>
    <n v="46.92"/>
    <m/>
    <m/>
    <n v="7"/>
  </r>
  <r>
    <x v="4000"/>
    <x v="784"/>
    <x v="1"/>
    <n v="3"/>
    <n v="121.98"/>
    <x v="703"/>
    <x v="5"/>
    <x v="3"/>
    <n v="365.94"/>
    <m/>
    <m/>
    <n v="7"/>
  </r>
  <r>
    <x v="4001"/>
    <x v="784"/>
    <x v="0"/>
    <n v="3"/>
    <n v="900.24"/>
    <x v="611"/>
    <x v="0"/>
    <x v="2"/>
    <n v="2700.7200000000003"/>
    <m/>
    <m/>
    <n v="7"/>
  </r>
  <r>
    <x v="4002"/>
    <x v="784"/>
    <x v="0"/>
    <n v="2"/>
    <n v="600.16"/>
    <x v="718"/>
    <x v="7"/>
    <x v="2"/>
    <n v="1200.32"/>
    <m/>
    <m/>
    <n v="7"/>
  </r>
  <r>
    <x v="4003"/>
    <x v="785"/>
    <x v="0"/>
    <n v="3"/>
    <n v="900.24"/>
    <x v="157"/>
    <x v="6"/>
    <x v="2"/>
    <n v="2700.7200000000003"/>
    <m/>
    <m/>
    <n v="5"/>
  </r>
  <r>
    <x v="4004"/>
    <x v="785"/>
    <x v="6"/>
    <n v="2"/>
    <n v="71.680000000000007"/>
    <x v="175"/>
    <x v="2"/>
    <x v="2"/>
    <n v="143.36000000000001"/>
    <m/>
    <m/>
    <n v="5"/>
  </r>
  <r>
    <x v="4005"/>
    <x v="785"/>
    <x v="0"/>
    <n v="1"/>
    <n v="300.08"/>
    <x v="639"/>
    <x v="9"/>
    <x v="1"/>
    <n v="300.08"/>
    <m/>
    <m/>
    <n v="5"/>
  </r>
  <r>
    <x v="4006"/>
    <x v="785"/>
    <x v="7"/>
    <n v="2"/>
    <n v="23.46"/>
    <x v="82"/>
    <x v="0"/>
    <x v="4"/>
    <n v="46.92"/>
    <m/>
    <m/>
    <n v="5"/>
  </r>
  <r>
    <x v="4007"/>
    <x v="785"/>
    <x v="2"/>
    <n v="4"/>
    <n v="20.92"/>
    <x v="691"/>
    <x v="9"/>
    <x v="3"/>
    <n v="83.68"/>
    <m/>
    <m/>
    <n v="7"/>
  </r>
  <r>
    <x v="4008"/>
    <x v="785"/>
    <x v="6"/>
    <n v="2"/>
    <n v="71.680000000000007"/>
    <x v="235"/>
    <x v="6"/>
    <x v="0"/>
    <n v="143.36000000000001"/>
    <m/>
    <m/>
    <n v="7"/>
  </r>
  <r>
    <x v="4009"/>
    <x v="785"/>
    <x v="6"/>
    <n v="3"/>
    <n v="107.52"/>
    <x v="272"/>
    <x v="9"/>
    <x v="4"/>
    <n v="322.56"/>
    <m/>
    <m/>
    <n v="7"/>
  </r>
  <r>
    <x v="4010"/>
    <x v="786"/>
    <x v="2"/>
    <n v="1"/>
    <n v="5.23"/>
    <x v="209"/>
    <x v="0"/>
    <x v="1"/>
    <n v="5.23"/>
    <m/>
    <m/>
    <n v="7"/>
  </r>
  <r>
    <x v="4011"/>
    <x v="787"/>
    <x v="0"/>
    <n v="3"/>
    <n v="900.24"/>
    <x v="552"/>
    <x v="9"/>
    <x v="0"/>
    <n v="2700.7200000000003"/>
    <m/>
    <m/>
    <n v="5"/>
  </r>
  <r>
    <x v="4012"/>
    <x v="787"/>
    <x v="2"/>
    <n v="5"/>
    <n v="26.15"/>
    <x v="100"/>
    <x v="9"/>
    <x v="0"/>
    <n v="130.75"/>
    <m/>
    <m/>
    <n v="5"/>
  </r>
  <r>
    <x v="4013"/>
    <x v="787"/>
    <x v="2"/>
    <n v="4"/>
    <n v="20.92"/>
    <x v="296"/>
    <x v="6"/>
    <x v="2"/>
    <n v="83.68"/>
    <m/>
    <m/>
    <n v="5"/>
  </r>
  <r>
    <x v="4014"/>
    <x v="787"/>
    <x v="6"/>
    <n v="4"/>
    <n v="143.36000000000001"/>
    <x v="466"/>
    <x v="2"/>
    <x v="3"/>
    <n v="573.44000000000005"/>
    <m/>
    <m/>
    <n v="7"/>
  </r>
  <r>
    <x v="4015"/>
    <x v="787"/>
    <x v="1"/>
    <n v="2"/>
    <n v="81.319999999999993"/>
    <x v="783"/>
    <x v="6"/>
    <x v="1"/>
    <n v="162.63999999999999"/>
    <m/>
    <m/>
    <n v="7"/>
  </r>
  <r>
    <x v="4016"/>
    <x v="788"/>
    <x v="0"/>
    <n v="1"/>
    <n v="300.08"/>
    <x v="422"/>
    <x v="1"/>
    <x v="0"/>
    <n v="300.08"/>
    <m/>
    <m/>
    <n v="5"/>
  </r>
  <r>
    <x v="4017"/>
    <x v="788"/>
    <x v="0"/>
    <n v="2"/>
    <n v="600.16"/>
    <x v="126"/>
    <x v="3"/>
    <x v="2"/>
    <n v="1200.32"/>
    <m/>
    <m/>
    <n v="5"/>
  </r>
  <r>
    <x v="4018"/>
    <x v="788"/>
    <x v="3"/>
    <n v="4"/>
    <n v="60.6"/>
    <x v="429"/>
    <x v="1"/>
    <x v="2"/>
    <n v="242.4"/>
    <m/>
    <m/>
    <n v="5"/>
  </r>
  <r>
    <x v="4019"/>
    <x v="788"/>
    <x v="0"/>
    <n v="5"/>
    <n v="1500.4"/>
    <x v="425"/>
    <x v="9"/>
    <x v="4"/>
    <n v="7502"/>
    <m/>
    <m/>
    <n v="5"/>
  </r>
  <r>
    <x v="4020"/>
    <x v="789"/>
    <x v="0"/>
    <n v="3"/>
    <n v="900.24"/>
    <x v="768"/>
    <x v="6"/>
    <x v="4"/>
    <n v="2700.7200000000003"/>
    <m/>
    <m/>
    <n v="5"/>
  </r>
  <r>
    <x v="4021"/>
    <x v="789"/>
    <x v="1"/>
    <n v="4"/>
    <n v="162.63999999999999"/>
    <x v="719"/>
    <x v="4"/>
    <x v="4"/>
    <n v="650.55999999999995"/>
    <m/>
    <m/>
    <n v="7"/>
  </r>
  <r>
    <x v="4022"/>
    <x v="789"/>
    <x v="6"/>
    <n v="4"/>
    <n v="143.36000000000001"/>
    <x v="402"/>
    <x v="6"/>
    <x v="3"/>
    <n v="573.44000000000005"/>
    <m/>
    <m/>
    <n v="10"/>
  </r>
  <r>
    <x v="4023"/>
    <x v="789"/>
    <x v="1"/>
    <n v="2"/>
    <n v="81.319999999999993"/>
    <x v="693"/>
    <x v="1"/>
    <x v="4"/>
    <n v="162.63999999999999"/>
    <m/>
    <m/>
    <n v="10"/>
  </r>
  <r>
    <x v="4024"/>
    <x v="790"/>
    <x v="1"/>
    <n v="3"/>
    <n v="121.98"/>
    <x v="144"/>
    <x v="7"/>
    <x v="0"/>
    <n v="365.94"/>
    <m/>
    <m/>
    <n v="5"/>
  </r>
  <r>
    <x v="4025"/>
    <x v="790"/>
    <x v="6"/>
    <n v="1"/>
    <n v="35.840000000000003"/>
    <x v="417"/>
    <x v="0"/>
    <x v="0"/>
    <n v="35.840000000000003"/>
    <m/>
    <m/>
    <n v="5"/>
  </r>
  <r>
    <x v="4026"/>
    <x v="790"/>
    <x v="3"/>
    <n v="5"/>
    <n v="75.75"/>
    <x v="581"/>
    <x v="9"/>
    <x v="1"/>
    <n v="378.75"/>
    <m/>
    <m/>
    <n v="7"/>
  </r>
  <r>
    <x v="4027"/>
    <x v="790"/>
    <x v="0"/>
    <n v="2"/>
    <n v="600.16"/>
    <x v="409"/>
    <x v="6"/>
    <x v="1"/>
    <n v="1200.32"/>
    <m/>
    <m/>
    <n v="7"/>
  </r>
  <r>
    <x v="4028"/>
    <x v="790"/>
    <x v="1"/>
    <n v="1"/>
    <n v="40.659999999999997"/>
    <x v="214"/>
    <x v="9"/>
    <x v="1"/>
    <n v="40.659999999999997"/>
    <m/>
    <m/>
    <n v="7"/>
  </r>
  <r>
    <x v="4029"/>
    <x v="790"/>
    <x v="2"/>
    <n v="3"/>
    <n v="15.69"/>
    <x v="395"/>
    <x v="9"/>
    <x v="4"/>
    <n v="47.07"/>
    <m/>
    <m/>
    <n v="7"/>
  </r>
  <r>
    <x v="4030"/>
    <x v="791"/>
    <x v="5"/>
    <n v="1"/>
    <n v="600.16999999999996"/>
    <x v="167"/>
    <x v="6"/>
    <x v="2"/>
    <n v="600.16999999999996"/>
    <m/>
    <m/>
    <n v="5"/>
  </r>
  <r>
    <x v="4031"/>
    <x v="791"/>
    <x v="2"/>
    <n v="4"/>
    <n v="20.92"/>
    <x v="594"/>
    <x v="4"/>
    <x v="2"/>
    <n v="83.68"/>
    <m/>
    <m/>
    <n v="7"/>
  </r>
  <r>
    <x v="4032"/>
    <x v="791"/>
    <x v="2"/>
    <n v="2"/>
    <n v="10.46"/>
    <x v="281"/>
    <x v="0"/>
    <x v="0"/>
    <n v="20.92"/>
    <m/>
    <m/>
    <n v="7"/>
  </r>
  <r>
    <x v="4033"/>
    <x v="791"/>
    <x v="5"/>
    <n v="1"/>
    <n v="600.16999999999996"/>
    <x v="169"/>
    <x v="4"/>
    <x v="2"/>
    <n v="600.16999999999996"/>
    <m/>
    <m/>
    <n v="7"/>
  </r>
  <r>
    <x v="4034"/>
    <x v="792"/>
    <x v="0"/>
    <n v="5"/>
    <n v="1500.4"/>
    <x v="457"/>
    <x v="0"/>
    <x v="0"/>
    <n v="7502"/>
    <m/>
    <m/>
    <n v="5"/>
  </r>
  <r>
    <x v="4035"/>
    <x v="792"/>
    <x v="6"/>
    <n v="5"/>
    <n v="179.2"/>
    <x v="638"/>
    <x v="1"/>
    <x v="4"/>
    <n v="896"/>
    <m/>
    <m/>
    <n v="5"/>
  </r>
  <r>
    <x v="4036"/>
    <x v="792"/>
    <x v="3"/>
    <n v="1"/>
    <n v="15.15"/>
    <x v="720"/>
    <x v="0"/>
    <x v="2"/>
    <n v="15.15"/>
    <m/>
    <m/>
    <n v="5"/>
  </r>
  <r>
    <x v="4037"/>
    <x v="792"/>
    <x v="0"/>
    <n v="5"/>
    <n v="1500.4"/>
    <x v="700"/>
    <x v="4"/>
    <x v="4"/>
    <n v="7502"/>
    <m/>
    <m/>
    <n v="7"/>
  </r>
  <r>
    <x v="4038"/>
    <x v="792"/>
    <x v="1"/>
    <n v="2"/>
    <n v="81.319999999999993"/>
    <x v="542"/>
    <x v="4"/>
    <x v="4"/>
    <n v="162.63999999999999"/>
    <m/>
    <m/>
    <n v="7"/>
  </r>
  <r>
    <x v="4039"/>
    <x v="792"/>
    <x v="2"/>
    <n v="2"/>
    <n v="10.46"/>
    <x v="277"/>
    <x v="9"/>
    <x v="0"/>
    <n v="20.92"/>
    <m/>
    <m/>
    <n v="7"/>
  </r>
  <r>
    <x v="4040"/>
    <x v="792"/>
    <x v="4"/>
    <n v="3"/>
    <n v="3150"/>
    <x v="299"/>
    <x v="4"/>
    <x v="3"/>
    <n v="9450"/>
    <m/>
    <m/>
    <n v="10"/>
  </r>
  <r>
    <x v="4041"/>
    <x v="793"/>
    <x v="7"/>
    <n v="3"/>
    <n v="35.19"/>
    <x v="224"/>
    <x v="0"/>
    <x v="2"/>
    <n v="105.57"/>
    <m/>
    <m/>
    <n v="5"/>
  </r>
  <r>
    <x v="4042"/>
    <x v="793"/>
    <x v="7"/>
    <n v="3"/>
    <n v="35.19"/>
    <x v="276"/>
    <x v="2"/>
    <x v="1"/>
    <n v="105.57"/>
    <m/>
    <m/>
    <n v="5"/>
  </r>
  <r>
    <x v="4043"/>
    <x v="793"/>
    <x v="1"/>
    <n v="4"/>
    <n v="162.63999999999999"/>
    <x v="466"/>
    <x v="1"/>
    <x v="2"/>
    <n v="650.55999999999995"/>
    <m/>
    <m/>
    <n v="7"/>
  </r>
  <r>
    <x v="4044"/>
    <x v="793"/>
    <x v="1"/>
    <n v="5"/>
    <n v="203.3"/>
    <x v="685"/>
    <x v="0"/>
    <x v="2"/>
    <n v="1016.5"/>
    <m/>
    <m/>
    <n v="7"/>
  </r>
  <r>
    <x v="4045"/>
    <x v="793"/>
    <x v="0"/>
    <n v="4"/>
    <n v="1200.32"/>
    <x v="690"/>
    <x v="9"/>
    <x v="3"/>
    <n v="4801.28"/>
    <m/>
    <m/>
    <n v="7"/>
  </r>
  <r>
    <x v="4046"/>
    <x v="793"/>
    <x v="0"/>
    <n v="3"/>
    <n v="900.24"/>
    <x v="119"/>
    <x v="0"/>
    <x v="3"/>
    <n v="2700.7200000000003"/>
    <m/>
    <m/>
    <n v="7"/>
  </r>
  <r>
    <x v="4047"/>
    <x v="793"/>
    <x v="1"/>
    <n v="1"/>
    <n v="40.659999999999997"/>
    <x v="346"/>
    <x v="5"/>
    <x v="0"/>
    <n v="40.659999999999997"/>
    <m/>
    <m/>
    <n v="7"/>
  </r>
  <r>
    <x v="4048"/>
    <x v="794"/>
    <x v="0"/>
    <n v="4"/>
    <n v="1200.32"/>
    <x v="754"/>
    <x v="0"/>
    <x v="4"/>
    <n v="4801.28"/>
    <m/>
    <m/>
    <n v="7"/>
  </r>
  <r>
    <x v="4049"/>
    <x v="794"/>
    <x v="0"/>
    <n v="5"/>
    <n v="1500.4"/>
    <x v="554"/>
    <x v="9"/>
    <x v="1"/>
    <n v="7502"/>
    <m/>
    <m/>
    <n v="10"/>
  </r>
  <r>
    <x v="4050"/>
    <x v="794"/>
    <x v="2"/>
    <n v="2"/>
    <n v="10.46"/>
    <x v="780"/>
    <x v="6"/>
    <x v="1"/>
    <n v="20.92"/>
    <m/>
    <m/>
    <n v="10"/>
  </r>
  <r>
    <x v="4051"/>
    <x v="795"/>
    <x v="3"/>
    <n v="2"/>
    <n v="30.3"/>
    <x v="384"/>
    <x v="6"/>
    <x v="1"/>
    <n v="60.6"/>
    <m/>
    <m/>
    <n v="7"/>
  </r>
  <r>
    <x v="4052"/>
    <x v="795"/>
    <x v="3"/>
    <n v="1"/>
    <n v="15.15"/>
    <x v="20"/>
    <x v="7"/>
    <x v="4"/>
    <n v="15.15"/>
    <m/>
    <m/>
    <n v="7"/>
  </r>
  <r>
    <x v="4053"/>
    <x v="796"/>
    <x v="2"/>
    <n v="4"/>
    <n v="20.92"/>
    <x v="348"/>
    <x v="9"/>
    <x v="4"/>
    <n v="83.68"/>
    <m/>
    <m/>
    <n v="7"/>
  </r>
  <r>
    <x v="4054"/>
    <x v="796"/>
    <x v="0"/>
    <n v="2"/>
    <n v="600.16"/>
    <x v="779"/>
    <x v="1"/>
    <x v="1"/>
    <n v="1200.32"/>
    <m/>
    <m/>
    <n v="7"/>
  </r>
  <r>
    <x v="4055"/>
    <x v="796"/>
    <x v="7"/>
    <n v="3"/>
    <n v="35.19"/>
    <x v="356"/>
    <x v="6"/>
    <x v="1"/>
    <n v="105.57"/>
    <m/>
    <m/>
    <n v="7"/>
  </r>
  <r>
    <x v="4056"/>
    <x v="796"/>
    <x v="6"/>
    <n v="3"/>
    <n v="107.52"/>
    <x v="760"/>
    <x v="1"/>
    <x v="2"/>
    <n v="322.56"/>
    <m/>
    <m/>
    <n v="7"/>
  </r>
  <r>
    <x v="4057"/>
    <x v="797"/>
    <x v="1"/>
    <n v="1"/>
    <n v="40.659999999999997"/>
    <x v="225"/>
    <x v="0"/>
    <x v="3"/>
    <n v="40.659999999999997"/>
    <m/>
    <m/>
    <n v="5"/>
  </r>
  <r>
    <x v="4058"/>
    <x v="797"/>
    <x v="1"/>
    <n v="1"/>
    <n v="40.659999999999997"/>
    <x v="524"/>
    <x v="6"/>
    <x v="1"/>
    <n v="40.659999999999997"/>
    <m/>
    <m/>
    <n v="5"/>
  </r>
  <r>
    <x v="4059"/>
    <x v="797"/>
    <x v="6"/>
    <n v="1"/>
    <n v="35.840000000000003"/>
    <x v="724"/>
    <x v="3"/>
    <x v="3"/>
    <n v="35.840000000000003"/>
    <m/>
    <m/>
    <n v="5"/>
  </r>
  <r>
    <x v="4060"/>
    <x v="797"/>
    <x v="3"/>
    <n v="2"/>
    <n v="30.3"/>
    <x v="353"/>
    <x v="0"/>
    <x v="1"/>
    <n v="60.6"/>
    <m/>
    <m/>
    <n v="7"/>
  </r>
  <r>
    <x v="4061"/>
    <x v="797"/>
    <x v="0"/>
    <n v="2"/>
    <n v="600.16"/>
    <x v="35"/>
    <x v="6"/>
    <x v="0"/>
    <n v="1200.32"/>
    <m/>
    <m/>
    <n v="7"/>
  </r>
  <r>
    <x v="4062"/>
    <x v="797"/>
    <x v="5"/>
    <n v="4"/>
    <n v="2400.6799999999998"/>
    <x v="3"/>
    <x v="2"/>
    <x v="3"/>
    <n v="9602.7199999999993"/>
    <m/>
    <m/>
    <n v="7"/>
  </r>
  <r>
    <x v="4063"/>
    <x v="797"/>
    <x v="6"/>
    <n v="4"/>
    <n v="143.36000000000001"/>
    <x v="419"/>
    <x v="1"/>
    <x v="0"/>
    <n v="573.44000000000005"/>
    <m/>
    <m/>
    <n v="7"/>
  </r>
  <r>
    <x v="4064"/>
    <x v="797"/>
    <x v="2"/>
    <n v="2"/>
    <n v="10.46"/>
    <x v="554"/>
    <x v="6"/>
    <x v="3"/>
    <n v="20.92"/>
    <m/>
    <m/>
    <n v="10"/>
  </r>
  <r>
    <x v="4065"/>
    <x v="798"/>
    <x v="1"/>
    <n v="5"/>
    <n v="203.3"/>
    <x v="305"/>
    <x v="1"/>
    <x v="2"/>
    <n v="1016.5"/>
    <m/>
    <m/>
    <n v="5"/>
  </r>
  <r>
    <x v="4066"/>
    <x v="798"/>
    <x v="0"/>
    <n v="1"/>
    <n v="300.08"/>
    <x v="622"/>
    <x v="4"/>
    <x v="3"/>
    <n v="300.08"/>
    <m/>
    <m/>
    <n v="7"/>
  </r>
  <r>
    <x v="4067"/>
    <x v="799"/>
    <x v="0"/>
    <n v="2"/>
    <n v="600.16"/>
    <x v="245"/>
    <x v="0"/>
    <x v="3"/>
    <n v="1200.32"/>
    <m/>
    <m/>
    <n v="5"/>
  </r>
  <r>
    <x v="4068"/>
    <x v="799"/>
    <x v="6"/>
    <n v="1"/>
    <n v="35.840000000000003"/>
    <x v="207"/>
    <x v="0"/>
    <x v="2"/>
    <n v="35.840000000000003"/>
    <m/>
    <m/>
    <n v="5"/>
  </r>
  <r>
    <x v="4069"/>
    <x v="799"/>
    <x v="6"/>
    <n v="5"/>
    <n v="179.2"/>
    <x v="215"/>
    <x v="1"/>
    <x v="0"/>
    <n v="896"/>
    <m/>
    <m/>
    <n v="10"/>
  </r>
  <r>
    <x v="4070"/>
    <x v="799"/>
    <x v="0"/>
    <n v="3"/>
    <n v="900.24"/>
    <x v="529"/>
    <x v="6"/>
    <x v="3"/>
    <n v="2700.7200000000003"/>
    <m/>
    <m/>
    <n v="10"/>
  </r>
  <r>
    <x v="4071"/>
    <x v="799"/>
    <x v="0"/>
    <n v="3"/>
    <n v="900.24"/>
    <x v="628"/>
    <x v="5"/>
    <x v="3"/>
    <n v="2700.7200000000003"/>
    <m/>
    <m/>
    <n v="10"/>
  </r>
  <r>
    <x v="4072"/>
    <x v="800"/>
    <x v="4"/>
    <n v="3"/>
    <n v="3150"/>
    <x v="65"/>
    <x v="9"/>
    <x v="4"/>
    <n v="9450"/>
    <m/>
    <m/>
    <n v="5"/>
  </r>
  <r>
    <x v="4073"/>
    <x v="800"/>
    <x v="6"/>
    <n v="2"/>
    <n v="71.680000000000007"/>
    <x v="505"/>
    <x v="0"/>
    <x v="2"/>
    <n v="143.36000000000001"/>
    <m/>
    <m/>
    <n v="5"/>
  </r>
  <r>
    <x v="4074"/>
    <x v="800"/>
    <x v="2"/>
    <n v="4"/>
    <n v="20.92"/>
    <x v="742"/>
    <x v="2"/>
    <x v="1"/>
    <n v="83.68"/>
    <m/>
    <m/>
    <n v="7"/>
  </r>
  <r>
    <x v="4075"/>
    <x v="800"/>
    <x v="0"/>
    <n v="1"/>
    <n v="300.08"/>
    <x v="419"/>
    <x v="0"/>
    <x v="2"/>
    <n v="300.08"/>
    <m/>
    <m/>
    <n v="7"/>
  </r>
  <r>
    <x v="4076"/>
    <x v="801"/>
    <x v="6"/>
    <n v="3"/>
    <n v="107.52"/>
    <x v="89"/>
    <x v="6"/>
    <x v="4"/>
    <n v="322.56"/>
    <m/>
    <m/>
    <n v="5"/>
  </r>
  <r>
    <x v="4077"/>
    <x v="801"/>
    <x v="1"/>
    <n v="1"/>
    <n v="40.659999999999997"/>
    <x v="159"/>
    <x v="1"/>
    <x v="2"/>
    <n v="40.659999999999997"/>
    <m/>
    <m/>
    <n v="5"/>
  </r>
  <r>
    <x v="4078"/>
    <x v="801"/>
    <x v="0"/>
    <n v="3"/>
    <n v="900.24"/>
    <x v="646"/>
    <x v="6"/>
    <x v="0"/>
    <n v="2700.7200000000003"/>
    <m/>
    <m/>
    <n v="5"/>
  </r>
  <r>
    <x v="4079"/>
    <x v="801"/>
    <x v="4"/>
    <n v="4"/>
    <n v="4200"/>
    <x v="259"/>
    <x v="6"/>
    <x v="3"/>
    <n v="16800"/>
    <m/>
    <m/>
    <n v="7"/>
  </r>
  <r>
    <x v="4080"/>
    <x v="801"/>
    <x v="4"/>
    <n v="3"/>
    <n v="3150"/>
    <x v="782"/>
    <x v="2"/>
    <x v="0"/>
    <n v="9450"/>
    <m/>
    <m/>
    <n v="7"/>
  </r>
  <r>
    <x v="4081"/>
    <x v="801"/>
    <x v="0"/>
    <n v="1"/>
    <n v="300.08"/>
    <x v="310"/>
    <x v="1"/>
    <x v="4"/>
    <n v="300.08"/>
    <m/>
    <m/>
    <n v="7"/>
  </r>
  <r>
    <x v="4082"/>
    <x v="801"/>
    <x v="1"/>
    <n v="5"/>
    <n v="203.3"/>
    <x v="71"/>
    <x v="6"/>
    <x v="1"/>
    <n v="1016.5"/>
    <m/>
    <m/>
    <n v="10"/>
  </r>
  <r>
    <x v="4083"/>
    <x v="802"/>
    <x v="1"/>
    <n v="1"/>
    <n v="40.659999999999997"/>
    <x v="736"/>
    <x v="7"/>
    <x v="3"/>
    <n v="40.659999999999997"/>
    <m/>
    <m/>
    <n v="5"/>
  </r>
  <r>
    <x v="4084"/>
    <x v="802"/>
    <x v="2"/>
    <n v="1"/>
    <n v="5.23"/>
    <x v="314"/>
    <x v="2"/>
    <x v="0"/>
    <n v="5.23"/>
    <m/>
    <m/>
    <n v="5"/>
  </r>
  <r>
    <x v="4085"/>
    <x v="802"/>
    <x v="6"/>
    <n v="1"/>
    <n v="35.840000000000003"/>
    <x v="717"/>
    <x v="3"/>
    <x v="2"/>
    <n v="35.840000000000003"/>
    <m/>
    <m/>
    <n v="5"/>
  </r>
  <r>
    <x v="4086"/>
    <x v="802"/>
    <x v="1"/>
    <n v="4"/>
    <n v="162.63999999999999"/>
    <x v="48"/>
    <x v="6"/>
    <x v="0"/>
    <n v="650.55999999999995"/>
    <m/>
    <m/>
    <n v="7"/>
  </r>
  <r>
    <x v="4087"/>
    <x v="802"/>
    <x v="1"/>
    <n v="5"/>
    <n v="203.3"/>
    <x v="140"/>
    <x v="1"/>
    <x v="2"/>
    <n v="1016.5"/>
    <m/>
    <m/>
    <n v="7"/>
  </r>
  <r>
    <x v="4088"/>
    <x v="803"/>
    <x v="7"/>
    <n v="4"/>
    <n v="46.92"/>
    <x v="220"/>
    <x v="0"/>
    <x v="1"/>
    <n v="187.68"/>
    <m/>
    <m/>
    <n v="5"/>
  </r>
  <r>
    <x v="4089"/>
    <x v="803"/>
    <x v="5"/>
    <n v="2"/>
    <n v="1200.3399999999999"/>
    <x v="650"/>
    <x v="4"/>
    <x v="1"/>
    <n v="2400.6799999999998"/>
    <m/>
    <m/>
    <n v="5"/>
  </r>
  <r>
    <x v="4090"/>
    <x v="803"/>
    <x v="2"/>
    <n v="3"/>
    <n v="15.69"/>
    <x v="551"/>
    <x v="4"/>
    <x v="3"/>
    <n v="47.07"/>
    <m/>
    <m/>
    <n v="5"/>
  </r>
  <r>
    <x v="4091"/>
    <x v="803"/>
    <x v="0"/>
    <n v="1"/>
    <n v="300.08"/>
    <x v="261"/>
    <x v="6"/>
    <x v="4"/>
    <n v="300.08"/>
    <m/>
    <m/>
    <n v="5"/>
  </r>
  <r>
    <x v="4092"/>
    <x v="803"/>
    <x v="5"/>
    <n v="2"/>
    <n v="1200.3399999999999"/>
    <x v="355"/>
    <x v="4"/>
    <x v="1"/>
    <n v="2400.6799999999998"/>
    <m/>
    <m/>
    <n v="5"/>
  </r>
  <r>
    <x v="4093"/>
    <x v="803"/>
    <x v="7"/>
    <n v="5"/>
    <n v="58.65"/>
    <x v="276"/>
    <x v="1"/>
    <x v="0"/>
    <n v="293.25"/>
    <m/>
    <m/>
    <n v="5"/>
  </r>
  <r>
    <x v="4094"/>
    <x v="803"/>
    <x v="0"/>
    <n v="5"/>
    <n v="1500.4"/>
    <x v="766"/>
    <x v="6"/>
    <x v="3"/>
    <n v="7502"/>
    <m/>
    <m/>
    <n v="5"/>
  </r>
  <r>
    <x v="4095"/>
    <x v="803"/>
    <x v="0"/>
    <n v="1"/>
    <n v="300.08"/>
    <x v="460"/>
    <x v="7"/>
    <x v="4"/>
    <n v="300.08"/>
    <m/>
    <m/>
    <n v="7"/>
  </r>
  <r>
    <x v="4096"/>
    <x v="804"/>
    <x v="0"/>
    <n v="3"/>
    <n v="900.24"/>
    <x v="785"/>
    <x v="5"/>
    <x v="0"/>
    <n v="2700.7200000000003"/>
    <m/>
    <m/>
    <n v="5"/>
  </r>
  <r>
    <x v="4097"/>
    <x v="804"/>
    <x v="6"/>
    <n v="1"/>
    <n v="35.840000000000003"/>
    <x v="17"/>
    <x v="6"/>
    <x v="2"/>
    <n v="35.840000000000003"/>
    <m/>
    <m/>
    <n v="5"/>
  </r>
  <r>
    <x v="4098"/>
    <x v="804"/>
    <x v="2"/>
    <n v="1"/>
    <n v="5.23"/>
    <x v="500"/>
    <x v="0"/>
    <x v="0"/>
    <n v="5.23"/>
    <m/>
    <m/>
    <n v="5"/>
  </r>
  <r>
    <x v="4099"/>
    <x v="804"/>
    <x v="1"/>
    <n v="4"/>
    <n v="162.63999999999999"/>
    <x v="685"/>
    <x v="4"/>
    <x v="0"/>
    <n v="650.55999999999995"/>
    <m/>
    <m/>
    <n v="7"/>
  </r>
  <r>
    <x v="4100"/>
    <x v="804"/>
    <x v="6"/>
    <n v="3"/>
    <n v="107.52"/>
    <x v="394"/>
    <x v="1"/>
    <x v="1"/>
    <n v="322.56"/>
    <m/>
    <m/>
    <n v="7"/>
  </r>
  <r>
    <x v="4101"/>
    <x v="804"/>
    <x v="0"/>
    <n v="2"/>
    <n v="600.16"/>
    <x v="382"/>
    <x v="1"/>
    <x v="1"/>
    <n v="1200.32"/>
    <m/>
    <m/>
    <n v="7"/>
  </r>
  <r>
    <x v="4102"/>
    <x v="804"/>
    <x v="0"/>
    <n v="5"/>
    <n v="1500.4"/>
    <x v="436"/>
    <x v="9"/>
    <x v="3"/>
    <n v="7502"/>
    <m/>
    <m/>
    <n v="10"/>
  </r>
  <r>
    <x v="4103"/>
    <x v="804"/>
    <x v="0"/>
    <n v="1"/>
    <n v="300.08"/>
    <x v="211"/>
    <x v="6"/>
    <x v="3"/>
    <n v="300.08"/>
    <m/>
    <m/>
    <n v="10"/>
  </r>
  <r>
    <x v="4104"/>
    <x v="805"/>
    <x v="0"/>
    <n v="2"/>
    <n v="600.16"/>
    <x v="10"/>
    <x v="4"/>
    <x v="1"/>
    <n v="1200.32"/>
    <m/>
    <m/>
    <n v="5"/>
  </r>
  <r>
    <x v="4105"/>
    <x v="805"/>
    <x v="0"/>
    <n v="5"/>
    <n v="1500.4"/>
    <x v="302"/>
    <x v="0"/>
    <x v="1"/>
    <n v="7502"/>
    <m/>
    <m/>
    <n v="5"/>
  </r>
  <r>
    <x v="4106"/>
    <x v="805"/>
    <x v="0"/>
    <n v="2"/>
    <n v="600.16"/>
    <x v="349"/>
    <x v="0"/>
    <x v="1"/>
    <n v="1200.32"/>
    <m/>
    <m/>
    <n v="7"/>
  </r>
  <r>
    <x v="4107"/>
    <x v="806"/>
    <x v="1"/>
    <n v="5"/>
    <n v="203.3"/>
    <x v="374"/>
    <x v="8"/>
    <x v="4"/>
    <n v="1016.5"/>
    <m/>
    <m/>
    <n v="5"/>
  </r>
  <r>
    <x v="4108"/>
    <x v="806"/>
    <x v="2"/>
    <n v="3"/>
    <n v="15.69"/>
    <x v="652"/>
    <x v="0"/>
    <x v="0"/>
    <n v="47.07"/>
    <m/>
    <m/>
    <n v="5"/>
  </r>
  <r>
    <x v="4109"/>
    <x v="806"/>
    <x v="1"/>
    <n v="5"/>
    <n v="203.3"/>
    <x v="707"/>
    <x v="0"/>
    <x v="0"/>
    <n v="1016.5"/>
    <m/>
    <m/>
    <n v="7"/>
  </r>
  <r>
    <x v="4110"/>
    <x v="806"/>
    <x v="1"/>
    <n v="3"/>
    <n v="121.98"/>
    <x v="379"/>
    <x v="1"/>
    <x v="0"/>
    <n v="365.94"/>
    <m/>
    <m/>
    <n v="10"/>
  </r>
  <r>
    <x v="4111"/>
    <x v="807"/>
    <x v="0"/>
    <n v="4"/>
    <n v="1200.32"/>
    <x v="632"/>
    <x v="1"/>
    <x v="3"/>
    <n v="4801.28"/>
    <m/>
    <m/>
    <n v="5"/>
  </r>
  <r>
    <x v="4112"/>
    <x v="807"/>
    <x v="7"/>
    <n v="5"/>
    <n v="58.65"/>
    <x v="690"/>
    <x v="4"/>
    <x v="3"/>
    <n v="293.25"/>
    <m/>
    <m/>
    <n v="7"/>
  </r>
  <r>
    <x v="4113"/>
    <x v="808"/>
    <x v="0"/>
    <n v="2"/>
    <n v="600.16"/>
    <x v="676"/>
    <x v="0"/>
    <x v="2"/>
    <n v="1200.32"/>
    <m/>
    <m/>
    <n v="5"/>
  </r>
  <r>
    <x v="4114"/>
    <x v="808"/>
    <x v="1"/>
    <n v="3"/>
    <n v="121.98"/>
    <x v="95"/>
    <x v="3"/>
    <x v="0"/>
    <n v="365.94"/>
    <m/>
    <m/>
    <n v="5"/>
  </r>
  <r>
    <x v="4115"/>
    <x v="808"/>
    <x v="0"/>
    <n v="1"/>
    <n v="300.08"/>
    <x v="168"/>
    <x v="6"/>
    <x v="0"/>
    <n v="300.08"/>
    <m/>
    <m/>
    <n v="5"/>
  </r>
  <r>
    <x v="4116"/>
    <x v="808"/>
    <x v="0"/>
    <n v="1"/>
    <n v="300.08"/>
    <x v="93"/>
    <x v="9"/>
    <x v="0"/>
    <n v="300.08"/>
    <m/>
    <m/>
    <n v="7"/>
  </r>
  <r>
    <x v="4117"/>
    <x v="808"/>
    <x v="0"/>
    <n v="3"/>
    <n v="900.24"/>
    <x v="340"/>
    <x v="4"/>
    <x v="3"/>
    <n v="2700.7200000000003"/>
    <m/>
    <m/>
    <n v="7"/>
  </r>
  <r>
    <x v="4118"/>
    <x v="808"/>
    <x v="5"/>
    <n v="3"/>
    <n v="1800.51"/>
    <x v="542"/>
    <x v="4"/>
    <x v="1"/>
    <n v="5401.53"/>
    <m/>
    <m/>
    <n v="7"/>
  </r>
  <r>
    <x v="4119"/>
    <x v="808"/>
    <x v="4"/>
    <n v="1"/>
    <n v="1050"/>
    <x v="671"/>
    <x v="6"/>
    <x v="3"/>
    <n v="1050"/>
    <m/>
    <m/>
    <n v="7"/>
  </r>
  <r>
    <x v="4120"/>
    <x v="809"/>
    <x v="0"/>
    <n v="1"/>
    <n v="300.08"/>
    <x v="270"/>
    <x v="6"/>
    <x v="3"/>
    <n v="300.08"/>
    <m/>
    <m/>
    <n v="5"/>
  </r>
  <r>
    <x v="4121"/>
    <x v="809"/>
    <x v="1"/>
    <n v="2"/>
    <n v="81.319999999999993"/>
    <x v="43"/>
    <x v="4"/>
    <x v="1"/>
    <n v="162.63999999999999"/>
    <m/>
    <m/>
    <n v="5"/>
  </r>
  <r>
    <x v="4122"/>
    <x v="809"/>
    <x v="5"/>
    <n v="5"/>
    <n v="3000.85"/>
    <x v="505"/>
    <x v="6"/>
    <x v="0"/>
    <n v="15004.25"/>
    <m/>
    <m/>
    <n v="5"/>
  </r>
  <r>
    <x v="4123"/>
    <x v="809"/>
    <x v="7"/>
    <n v="5"/>
    <n v="58.65"/>
    <x v="339"/>
    <x v="2"/>
    <x v="0"/>
    <n v="293.25"/>
    <m/>
    <m/>
    <n v="5"/>
  </r>
  <r>
    <x v="4124"/>
    <x v="809"/>
    <x v="0"/>
    <n v="4"/>
    <n v="1200.32"/>
    <x v="177"/>
    <x v="0"/>
    <x v="4"/>
    <n v="4801.28"/>
    <m/>
    <m/>
    <n v="5"/>
  </r>
  <r>
    <x v="4125"/>
    <x v="809"/>
    <x v="0"/>
    <n v="2"/>
    <n v="600.16"/>
    <x v="752"/>
    <x v="1"/>
    <x v="1"/>
    <n v="1200.32"/>
    <m/>
    <m/>
    <n v="5"/>
  </r>
  <r>
    <x v="4126"/>
    <x v="809"/>
    <x v="0"/>
    <n v="3"/>
    <n v="900.24"/>
    <x v="779"/>
    <x v="7"/>
    <x v="0"/>
    <n v="2700.7200000000003"/>
    <m/>
    <m/>
    <n v="7"/>
  </r>
  <r>
    <x v="4127"/>
    <x v="809"/>
    <x v="1"/>
    <n v="4"/>
    <n v="162.63999999999999"/>
    <x v="755"/>
    <x v="1"/>
    <x v="4"/>
    <n v="650.55999999999995"/>
    <m/>
    <m/>
    <n v="7"/>
  </r>
  <r>
    <x v="4128"/>
    <x v="810"/>
    <x v="1"/>
    <n v="4"/>
    <n v="162.63999999999999"/>
    <x v="158"/>
    <x v="8"/>
    <x v="3"/>
    <n v="650.55999999999995"/>
    <m/>
    <m/>
    <n v="5"/>
  </r>
  <r>
    <x v="4129"/>
    <x v="810"/>
    <x v="6"/>
    <n v="2"/>
    <n v="71.680000000000007"/>
    <x v="462"/>
    <x v="7"/>
    <x v="4"/>
    <n v="143.36000000000001"/>
    <m/>
    <m/>
    <n v="5"/>
  </r>
  <r>
    <x v="4130"/>
    <x v="810"/>
    <x v="1"/>
    <n v="4"/>
    <n v="162.63999999999999"/>
    <x v="752"/>
    <x v="3"/>
    <x v="0"/>
    <n v="650.55999999999995"/>
    <m/>
    <m/>
    <n v="5"/>
  </r>
  <r>
    <x v="4131"/>
    <x v="810"/>
    <x v="0"/>
    <n v="1"/>
    <n v="300.08"/>
    <x v="147"/>
    <x v="0"/>
    <x v="4"/>
    <n v="300.08"/>
    <m/>
    <m/>
    <n v="5"/>
  </r>
  <r>
    <x v="4132"/>
    <x v="811"/>
    <x v="2"/>
    <n v="2"/>
    <n v="10.46"/>
    <x v="784"/>
    <x v="9"/>
    <x v="3"/>
    <n v="20.92"/>
    <m/>
    <m/>
    <n v="5"/>
  </r>
  <r>
    <x v="4133"/>
    <x v="811"/>
    <x v="2"/>
    <n v="5"/>
    <n v="26.15"/>
    <x v="158"/>
    <x v="4"/>
    <x v="4"/>
    <n v="130.75"/>
    <m/>
    <m/>
    <n v="5"/>
  </r>
  <r>
    <x v="4134"/>
    <x v="811"/>
    <x v="6"/>
    <n v="5"/>
    <n v="179.2"/>
    <x v="584"/>
    <x v="6"/>
    <x v="3"/>
    <n v="896"/>
    <m/>
    <m/>
    <n v="7"/>
  </r>
  <r>
    <x v="4135"/>
    <x v="812"/>
    <x v="0"/>
    <n v="4"/>
    <n v="1200.32"/>
    <x v="766"/>
    <x v="1"/>
    <x v="3"/>
    <n v="4801.28"/>
    <m/>
    <m/>
    <n v="5"/>
  </r>
  <r>
    <x v="4136"/>
    <x v="812"/>
    <x v="0"/>
    <n v="2"/>
    <n v="600.16"/>
    <x v="739"/>
    <x v="0"/>
    <x v="1"/>
    <n v="1200.32"/>
    <m/>
    <m/>
    <n v="5"/>
  </r>
  <r>
    <x v="4137"/>
    <x v="813"/>
    <x v="0"/>
    <n v="2"/>
    <n v="600.16"/>
    <x v="159"/>
    <x v="0"/>
    <x v="0"/>
    <n v="1200.32"/>
    <m/>
    <m/>
    <n v="5"/>
  </r>
  <r>
    <x v="4138"/>
    <x v="813"/>
    <x v="4"/>
    <n v="3"/>
    <n v="3150"/>
    <x v="619"/>
    <x v="0"/>
    <x v="1"/>
    <n v="9450"/>
    <m/>
    <m/>
    <n v="5"/>
  </r>
  <r>
    <x v="4139"/>
    <x v="813"/>
    <x v="1"/>
    <n v="4"/>
    <n v="162.63999999999999"/>
    <x v="100"/>
    <x v="4"/>
    <x v="2"/>
    <n v="650.55999999999995"/>
    <m/>
    <m/>
    <n v="5"/>
  </r>
  <r>
    <x v="4140"/>
    <x v="813"/>
    <x v="1"/>
    <n v="3"/>
    <n v="121.98"/>
    <x v="787"/>
    <x v="0"/>
    <x v="1"/>
    <n v="365.94"/>
    <m/>
    <m/>
    <n v="5"/>
  </r>
  <r>
    <x v="4141"/>
    <x v="813"/>
    <x v="6"/>
    <n v="2"/>
    <n v="71.680000000000007"/>
    <x v="435"/>
    <x v="6"/>
    <x v="1"/>
    <n v="143.36000000000001"/>
    <m/>
    <m/>
    <n v="5"/>
  </r>
  <r>
    <x v="4142"/>
    <x v="813"/>
    <x v="7"/>
    <n v="1"/>
    <n v="11.73"/>
    <x v="588"/>
    <x v="2"/>
    <x v="2"/>
    <n v="11.73"/>
    <m/>
    <m/>
    <n v="7"/>
  </r>
  <r>
    <x v="4143"/>
    <x v="814"/>
    <x v="1"/>
    <n v="1"/>
    <n v="40.659999999999997"/>
    <x v="292"/>
    <x v="2"/>
    <x v="3"/>
    <n v="40.659999999999997"/>
    <m/>
    <m/>
    <n v="5"/>
  </r>
  <r>
    <x v="4144"/>
    <x v="814"/>
    <x v="0"/>
    <n v="1"/>
    <n v="300.08"/>
    <x v="65"/>
    <x v="1"/>
    <x v="0"/>
    <n v="300.08"/>
    <m/>
    <m/>
    <n v="5"/>
  </r>
  <r>
    <x v="4145"/>
    <x v="814"/>
    <x v="6"/>
    <n v="5"/>
    <n v="179.2"/>
    <x v="28"/>
    <x v="4"/>
    <x v="0"/>
    <n v="896"/>
    <m/>
    <m/>
    <n v="5"/>
  </r>
  <r>
    <x v="4146"/>
    <x v="814"/>
    <x v="6"/>
    <n v="5"/>
    <n v="179.2"/>
    <x v="364"/>
    <x v="2"/>
    <x v="0"/>
    <n v="896"/>
    <m/>
    <m/>
    <n v="5"/>
  </r>
  <r>
    <x v="4147"/>
    <x v="814"/>
    <x v="5"/>
    <n v="4"/>
    <n v="2400.6799999999998"/>
    <x v="543"/>
    <x v="3"/>
    <x v="4"/>
    <n v="9602.7199999999993"/>
    <m/>
    <m/>
    <n v="5"/>
  </r>
  <r>
    <x v="4148"/>
    <x v="814"/>
    <x v="2"/>
    <n v="4"/>
    <n v="20.92"/>
    <x v="394"/>
    <x v="0"/>
    <x v="4"/>
    <n v="83.68"/>
    <m/>
    <m/>
    <n v="7"/>
  </r>
  <r>
    <x v="4149"/>
    <x v="814"/>
    <x v="2"/>
    <n v="3"/>
    <n v="15.69"/>
    <x v="542"/>
    <x v="1"/>
    <x v="3"/>
    <n v="47.07"/>
    <m/>
    <m/>
    <n v="7"/>
  </r>
  <r>
    <x v="4150"/>
    <x v="814"/>
    <x v="0"/>
    <n v="4"/>
    <n v="1200.32"/>
    <x v="310"/>
    <x v="8"/>
    <x v="3"/>
    <n v="4801.28"/>
    <m/>
    <m/>
    <n v="7"/>
  </r>
  <r>
    <x v="4151"/>
    <x v="815"/>
    <x v="0"/>
    <n v="5"/>
    <n v="1500.4"/>
    <x v="736"/>
    <x v="3"/>
    <x v="1"/>
    <n v="7502"/>
    <m/>
    <m/>
    <n v="5"/>
  </r>
  <r>
    <x v="4152"/>
    <x v="815"/>
    <x v="0"/>
    <n v="1"/>
    <n v="300.08"/>
    <x v="285"/>
    <x v="0"/>
    <x v="0"/>
    <n v="300.08"/>
    <m/>
    <m/>
    <n v="5"/>
  </r>
  <r>
    <x v="4153"/>
    <x v="815"/>
    <x v="1"/>
    <n v="4"/>
    <n v="162.63999999999999"/>
    <x v="58"/>
    <x v="8"/>
    <x v="2"/>
    <n v="650.55999999999995"/>
    <m/>
    <m/>
    <n v="5"/>
  </r>
  <r>
    <x v="4154"/>
    <x v="815"/>
    <x v="0"/>
    <n v="2"/>
    <n v="600.16"/>
    <x v="762"/>
    <x v="4"/>
    <x v="2"/>
    <n v="1200.32"/>
    <m/>
    <m/>
    <n v="5"/>
  </r>
  <r>
    <x v="4155"/>
    <x v="815"/>
    <x v="2"/>
    <n v="2"/>
    <n v="10.46"/>
    <x v="377"/>
    <x v="7"/>
    <x v="0"/>
    <n v="20.92"/>
    <m/>
    <m/>
    <n v="7"/>
  </r>
  <r>
    <x v="4156"/>
    <x v="816"/>
    <x v="0"/>
    <n v="2"/>
    <n v="600.16"/>
    <x v="678"/>
    <x v="6"/>
    <x v="2"/>
    <n v="1200.32"/>
    <m/>
    <m/>
    <n v="5"/>
  </r>
  <r>
    <x v="4157"/>
    <x v="816"/>
    <x v="1"/>
    <n v="4"/>
    <n v="162.63999999999999"/>
    <x v="336"/>
    <x v="0"/>
    <x v="3"/>
    <n v="650.55999999999995"/>
    <m/>
    <m/>
    <n v="7"/>
  </r>
  <r>
    <x v="4158"/>
    <x v="816"/>
    <x v="0"/>
    <n v="5"/>
    <n v="1500.4"/>
    <x v="7"/>
    <x v="0"/>
    <x v="1"/>
    <n v="7502"/>
    <m/>
    <m/>
    <n v="7"/>
  </r>
  <r>
    <x v="4159"/>
    <x v="816"/>
    <x v="2"/>
    <n v="5"/>
    <n v="26.15"/>
    <x v="12"/>
    <x v="4"/>
    <x v="3"/>
    <n v="130.75"/>
    <m/>
    <m/>
    <n v="7"/>
  </r>
  <r>
    <x v="4160"/>
    <x v="816"/>
    <x v="2"/>
    <n v="4"/>
    <n v="20.92"/>
    <x v="331"/>
    <x v="9"/>
    <x v="4"/>
    <n v="83.68"/>
    <m/>
    <m/>
    <n v="7"/>
  </r>
  <r>
    <x v="4161"/>
    <x v="816"/>
    <x v="6"/>
    <n v="1"/>
    <n v="35.840000000000003"/>
    <x v="284"/>
    <x v="1"/>
    <x v="1"/>
    <n v="35.840000000000003"/>
    <m/>
    <m/>
    <n v="10"/>
  </r>
  <r>
    <x v="4162"/>
    <x v="817"/>
    <x v="0"/>
    <n v="5"/>
    <n v="1500.4"/>
    <x v="422"/>
    <x v="6"/>
    <x v="2"/>
    <n v="7502"/>
    <m/>
    <m/>
    <n v="5"/>
  </r>
  <r>
    <x v="4163"/>
    <x v="817"/>
    <x v="5"/>
    <n v="3"/>
    <n v="1800.51"/>
    <x v="537"/>
    <x v="0"/>
    <x v="2"/>
    <n v="5401.53"/>
    <m/>
    <m/>
    <n v="5"/>
  </r>
  <r>
    <x v="4164"/>
    <x v="817"/>
    <x v="1"/>
    <n v="2"/>
    <n v="81.319999999999993"/>
    <x v="82"/>
    <x v="9"/>
    <x v="2"/>
    <n v="162.63999999999999"/>
    <m/>
    <m/>
    <n v="5"/>
  </r>
  <r>
    <x v="4165"/>
    <x v="817"/>
    <x v="7"/>
    <n v="2"/>
    <n v="23.46"/>
    <x v="560"/>
    <x v="2"/>
    <x v="0"/>
    <n v="46.92"/>
    <m/>
    <m/>
    <n v="5"/>
  </r>
  <r>
    <x v="4166"/>
    <x v="817"/>
    <x v="2"/>
    <n v="4"/>
    <n v="20.92"/>
    <x v="75"/>
    <x v="2"/>
    <x v="2"/>
    <n v="83.68"/>
    <m/>
    <m/>
    <n v="7"/>
  </r>
  <r>
    <x v="4167"/>
    <x v="817"/>
    <x v="0"/>
    <n v="1"/>
    <n v="300.08"/>
    <x v="443"/>
    <x v="5"/>
    <x v="2"/>
    <n v="300.08"/>
    <m/>
    <m/>
    <n v="7"/>
  </r>
  <r>
    <x v="4168"/>
    <x v="817"/>
    <x v="2"/>
    <n v="2"/>
    <n v="10.46"/>
    <x v="32"/>
    <x v="9"/>
    <x v="2"/>
    <n v="20.92"/>
    <m/>
    <m/>
    <n v="7"/>
  </r>
  <r>
    <x v="4169"/>
    <x v="817"/>
    <x v="0"/>
    <n v="1"/>
    <n v="300.08"/>
    <x v="554"/>
    <x v="6"/>
    <x v="1"/>
    <n v="300.08"/>
    <m/>
    <m/>
    <n v="10"/>
  </r>
  <r>
    <x v="4170"/>
    <x v="818"/>
    <x v="0"/>
    <n v="5"/>
    <n v="1500.4"/>
    <x v="372"/>
    <x v="0"/>
    <x v="2"/>
    <n v="7502"/>
    <m/>
    <m/>
    <n v="5"/>
  </r>
  <r>
    <x v="4171"/>
    <x v="818"/>
    <x v="1"/>
    <n v="3"/>
    <n v="121.98"/>
    <x v="562"/>
    <x v="1"/>
    <x v="1"/>
    <n v="365.94"/>
    <m/>
    <m/>
    <n v="5"/>
  </r>
  <r>
    <x v="4172"/>
    <x v="818"/>
    <x v="4"/>
    <n v="4"/>
    <n v="4200"/>
    <x v="525"/>
    <x v="9"/>
    <x v="4"/>
    <n v="16800"/>
    <m/>
    <m/>
    <n v="5"/>
  </r>
  <r>
    <x v="4173"/>
    <x v="819"/>
    <x v="7"/>
    <n v="2"/>
    <n v="23.46"/>
    <x v="614"/>
    <x v="0"/>
    <x v="4"/>
    <n v="46.92"/>
    <m/>
    <m/>
    <n v="5"/>
  </r>
  <r>
    <x v="4174"/>
    <x v="819"/>
    <x v="2"/>
    <n v="1"/>
    <n v="5.23"/>
    <x v="758"/>
    <x v="0"/>
    <x v="4"/>
    <n v="5.23"/>
    <m/>
    <m/>
    <n v="5"/>
  </r>
  <r>
    <x v="4175"/>
    <x v="819"/>
    <x v="1"/>
    <n v="2"/>
    <n v="81.319999999999993"/>
    <x v="232"/>
    <x v="9"/>
    <x v="4"/>
    <n v="162.63999999999999"/>
    <m/>
    <m/>
    <n v="5"/>
  </r>
  <r>
    <x v="4176"/>
    <x v="819"/>
    <x v="0"/>
    <n v="4"/>
    <n v="1200.32"/>
    <x v="135"/>
    <x v="0"/>
    <x v="2"/>
    <n v="4801.28"/>
    <m/>
    <m/>
    <n v="7"/>
  </r>
  <r>
    <x v="4177"/>
    <x v="820"/>
    <x v="2"/>
    <n v="3"/>
    <n v="15.69"/>
    <x v="479"/>
    <x v="8"/>
    <x v="3"/>
    <n v="47.07"/>
    <m/>
    <m/>
    <n v="5"/>
  </r>
  <r>
    <x v="4178"/>
    <x v="820"/>
    <x v="0"/>
    <n v="1"/>
    <n v="300.08"/>
    <x v="617"/>
    <x v="6"/>
    <x v="4"/>
    <n v="300.08"/>
    <m/>
    <m/>
    <n v="7"/>
  </r>
  <r>
    <x v="4179"/>
    <x v="820"/>
    <x v="4"/>
    <n v="5"/>
    <n v="5250"/>
    <x v="200"/>
    <x v="0"/>
    <x v="0"/>
    <n v="26250"/>
    <m/>
    <m/>
    <n v="10"/>
  </r>
  <r>
    <x v="4180"/>
    <x v="820"/>
    <x v="2"/>
    <n v="3"/>
    <n v="15.69"/>
    <x v="746"/>
    <x v="9"/>
    <x v="1"/>
    <n v="47.07"/>
    <m/>
    <m/>
    <n v="10"/>
  </r>
  <r>
    <x v="4181"/>
    <x v="821"/>
    <x v="0"/>
    <n v="5"/>
    <n v="1500.4"/>
    <x v="225"/>
    <x v="2"/>
    <x v="1"/>
    <n v="7502"/>
    <m/>
    <m/>
    <n v="5"/>
  </r>
  <r>
    <x v="4182"/>
    <x v="821"/>
    <x v="0"/>
    <n v="3"/>
    <n v="900.24"/>
    <x v="77"/>
    <x v="1"/>
    <x v="3"/>
    <n v="2700.7200000000003"/>
    <m/>
    <m/>
    <n v="5"/>
  </r>
  <r>
    <x v="4183"/>
    <x v="821"/>
    <x v="0"/>
    <n v="4"/>
    <n v="1200.32"/>
    <x v="86"/>
    <x v="0"/>
    <x v="3"/>
    <n v="4801.28"/>
    <m/>
    <m/>
    <n v="5"/>
  </r>
  <r>
    <x v="4184"/>
    <x v="821"/>
    <x v="0"/>
    <n v="3"/>
    <n v="900.24"/>
    <x v="497"/>
    <x v="5"/>
    <x v="4"/>
    <n v="2700.7200000000003"/>
    <m/>
    <m/>
    <n v="5"/>
  </r>
  <r>
    <x v="4185"/>
    <x v="821"/>
    <x v="1"/>
    <n v="3"/>
    <n v="121.98"/>
    <x v="507"/>
    <x v="0"/>
    <x v="2"/>
    <n v="365.94"/>
    <m/>
    <m/>
    <n v="7"/>
  </r>
  <r>
    <x v="4186"/>
    <x v="821"/>
    <x v="5"/>
    <n v="2"/>
    <n v="1200.3399999999999"/>
    <x v="110"/>
    <x v="4"/>
    <x v="4"/>
    <n v="2400.6799999999998"/>
    <m/>
    <m/>
    <n v="7"/>
  </r>
  <r>
    <x v="4187"/>
    <x v="821"/>
    <x v="0"/>
    <n v="4"/>
    <n v="1200.32"/>
    <x v="701"/>
    <x v="6"/>
    <x v="4"/>
    <n v="4801.28"/>
    <m/>
    <m/>
    <n v="7"/>
  </r>
  <r>
    <x v="4188"/>
    <x v="822"/>
    <x v="6"/>
    <n v="2"/>
    <n v="71.680000000000007"/>
    <x v="5"/>
    <x v="4"/>
    <x v="0"/>
    <n v="143.36000000000001"/>
    <m/>
    <m/>
    <n v="5"/>
  </r>
  <r>
    <x v="4189"/>
    <x v="822"/>
    <x v="4"/>
    <n v="2"/>
    <n v="2100"/>
    <x v="784"/>
    <x v="5"/>
    <x v="1"/>
    <n v="4200"/>
    <m/>
    <m/>
    <n v="5"/>
  </r>
  <r>
    <x v="4190"/>
    <x v="822"/>
    <x v="0"/>
    <n v="2"/>
    <n v="600.16"/>
    <x v="163"/>
    <x v="2"/>
    <x v="2"/>
    <n v="1200.32"/>
    <m/>
    <m/>
    <n v="5"/>
  </r>
  <r>
    <x v="4191"/>
    <x v="822"/>
    <x v="2"/>
    <n v="4"/>
    <n v="20.92"/>
    <x v="552"/>
    <x v="1"/>
    <x v="1"/>
    <n v="83.68"/>
    <m/>
    <m/>
    <n v="5"/>
  </r>
  <r>
    <x v="4192"/>
    <x v="822"/>
    <x v="6"/>
    <n v="1"/>
    <n v="35.840000000000003"/>
    <x v="477"/>
    <x v="7"/>
    <x v="4"/>
    <n v="35.840000000000003"/>
    <m/>
    <m/>
    <n v="5"/>
  </r>
  <r>
    <x v="4193"/>
    <x v="822"/>
    <x v="0"/>
    <n v="4"/>
    <n v="1200.32"/>
    <x v="111"/>
    <x v="0"/>
    <x v="2"/>
    <n v="4801.28"/>
    <m/>
    <m/>
    <n v="7"/>
  </r>
  <r>
    <x v="4194"/>
    <x v="822"/>
    <x v="0"/>
    <n v="3"/>
    <n v="900.24"/>
    <x v="548"/>
    <x v="6"/>
    <x v="0"/>
    <n v="2700.7200000000003"/>
    <m/>
    <m/>
    <n v="7"/>
  </r>
  <r>
    <x v="4195"/>
    <x v="822"/>
    <x v="3"/>
    <n v="5"/>
    <n v="75.75"/>
    <x v="20"/>
    <x v="6"/>
    <x v="2"/>
    <n v="378.75"/>
    <m/>
    <m/>
    <n v="7"/>
  </r>
  <r>
    <x v="4196"/>
    <x v="823"/>
    <x v="1"/>
    <n v="3"/>
    <n v="121.98"/>
    <x v="397"/>
    <x v="3"/>
    <x v="0"/>
    <n v="365.94"/>
    <m/>
    <m/>
    <n v="5"/>
  </r>
  <r>
    <x v="4197"/>
    <x v="823"/>
    <x v="0"/>
    <n v="4"/>
    <n v="1200.32"/>
    <x v="201"/>
    <x v="0"/>
    <x v="4"/>
    <n v="4801.28"/>
    <m/>
    <m/>
    <n v="5"/>
  </r>
  <r>
    <x v="4198"/>
    <x v="823"/>
    <x v="1"/>
    <n v="1"/>
    <n v="40.659999999999997"/>
    <x v="593"/>
    <x v="1"/>
    <x v="2"/>
    <n v="40.659999999999997"/>
    <m/>
    <m/>
    <n v="5"/>
  </r>
  <r>
    <x v="4199"/>
    <x v="823"/>
    <x v="7"/>
    <n v="1"/>
    <n v="11.73"/>
    <x v="544"/>
    <x v="0"/>
    <x v="1"/>
    <n v="11.73"/>
    <m/>
    <m/>
    <n v="7"/>
  </r>
  <r>
    <x v="4200"/>
    <x v="823"/>
    <x v="7"/>
    <n v="3"/>
    <n v="35.19"/>
    <x v="139"/>
    <x v="7"/>
    <x v="1"/>
    <n v="105.57"/>
    <m/>
    <m/>
    <n v="7"/>
  </r>
  <r>
    <x v="4201"/>
    <x v="823"/>
    <x v="2"/>
    <n v="4"/>
    <n v="20.92"/>
    <x v="190"/>
    <x v="1"/>
    <x v="4"/>
    <n v="83.68"/>
    <m/>
    <m/>
    <n v="7"/>
  </r>
  <r>
    <x v="4202"/>
    <x v="824"/>
    <x v="0"/>
    <n v="5"/>
    <n v="1500.4"/>
    <x v="65"/>
    <x v="6"/>
    <x v="0"/>
    <n v="7502"/>
    <m/>
    <m/>
    <n v="5"/>
  </r>
  <r>
    <x v="4203"/>
    <x v="824"/>
    <x v="1"/>
    <n v="5"/>
    <n v="203.3"/>
    <x v="17"/>
    <x v="9"/>
    <x v="4"/>
    <n v="1016.5"/>
    <m/>
    <m/>
    <n v="5"/>
  </r>
  <r>
    <x v="4204"/>
    <x v="824"/>
    <x v="6"/>
    <n v="4"/>
    <n v="143.36000000000001"/>
    <x v="587"/>
    <x v="1"/>
    <x v="1"/>
    <n v="573.44000000000005"/>
    <m/>
    <m/>
    <n v="5"/>
  </r>
  <r>
    <x v="4205"/>
    <x v="824"/>
    <x v="1"/>
    <n v="4"/>
    <n v="162.63999999999999"/>
    <x v="381"/>
    <x v="0"/>
    <x v="2"/>
    <n v="650.55999999999995"/>
    <m/>
    <m/>
    <n v="5"/>
  </r>
  <r>
    <x v="4206"/>
    <x v="824"/>
    <x v="7"/>
    <n v="1"/>
    <n v="11.73"/>
    <x v="449"/>
    <x v="9"/>
    <x v="2"/>
    <n v="11.73"/>
    <m/>
    <m/>
    <n v="7"/>
  </r>
  <r>
    <x v="4207"/>
    <x v="824"/>
    <x v="0"/>
    <n v="3"/>
    <n v="900.24"/>
    <x v="413"/>
    <x v="3"/>
    <x v="2"/>
    <n v="2700.7200000000003"/>
    <m/>
    <m/>
    <n v="7"/>
  </r>
  <r>
    <x v="4208"/>
    <x v="825"/>
    <x v="7"/>
    <n v="2"/>
    <n v="23.46"/>
    <x v="535"/>
    <x v="5"/>
    <x v="0"/>
    <n v="46.92"/>
    <m/>
    <m/>
    <n v="5"/>
  </r>
  <r>
    <x v="4209"/>
    <x v="825"/>
    <x v="5"/>
    <n v="1"/>
    <n v="600.16999999999996"/>
    <x v="264"/>
    <x v="1"/>
    <x v="3"/>
    <n v="600.16999999999996"/>
    <m/>
    <m/>
    <n v="5"/>
  </r>
  <r>
    <x v="4210"/>
    <x v="825"/>
    <x v="5"/>
    <n v="3"/>
    <n v="1800.51"/>
    <x v="27"/>
    <x v="5"/>
    <x v="4"/>
    <n v="5401.53"/>
    <m/>
    <m/>
    <n v="5"/>
  </r>
  <r>
    <x v="4211"/>
    <x v="825"/>
    <x v="0"/>
    <n v="1"/>
    <n v="300.08"/>
    <x v="366"/>
    <x v="1"/>
    <x v="2"/>
    <n v="300.08"/>
    <m/>
    <m/>
    <n v="5"/>
  </r>
  <r>
    <x v="4212"/>
    <x v="825"/>
    <x v="2"/>
    <n v="4"/>
    <n v="20.92"/>
    <x v="744"/>
    <x v="0"/>
    <x v="2"/>
    <n v="83.68"/>
    <m/>
    <m/>
    <n v="5"/>
  </r>
  <r>
    <x v="4213"/>
    <x v="825"/>
    <x v="5"/>
    <n v="4"/>
    <n v="2400.6799999999998"/>
    <x v="604"/>
    <x v="1"/>
    <x v="3"/>
    <n v="9602.7199999999993"/>
    <m/>
    <m/>
    <n v="5"/>
  </r>
  <r>
    <x v="4214"/>
    <x v="825"/>
    <x v="0"/>
    <n v="2"/>
    <n v="600.16"/>
    <x v="142"/>
    <x v="5"/>
    <x v="0"/>
    <n v="1200.32"/>
    <m/>
    <m/>
    <n v="7"/>
  </r>
  <r>
    <x v="4215"/>
    <x v="826"/>
    <x v="2"/>
    <n v="4"/>
    <n v="20.92"/>
    <x v="57"/>
    <x v="3"/>
    <x v="2"/>
    <n v="83.68"/>
    <m/>
    <m/>
    <n v="5"/>
  </r>
  <r>
    <x v="4216"/>
    <x v="826"/>
    <x v="2"/>
    <n v="2"/>
    <n v="10.46"/>
    <x v="33"/>
    <x v="6"/>
    <x v="1"/>
    <n v="20.92"/>
    <m/>
    <m/>
    <n v="5"/>
  </r>
  <r>
    <x v="4217"/>
    <x v="826"/>
    <x v="7"/>
    <n v="2"/>
    <n v="23.46"/>
    <x v="145"/>
    <x v="9"/>
    <x v="3"/>
    <n v="46.92"/>
    <m/>
    <m/>
    <n v="5"/>
  </r>
  <r>
    <x v="4218"/>
    <x v="826"/>
    <x v="7"/>
    <n v="4"/>
    <n v="46.92"/>
    <x v="396"/>
    <x v="1"/>
    <x v="1"/>
    <n v="187.68"/>
    <m/>
    <m/>
    <n v="5"/>
  </r>
  <r>
    <x v="4219"/>
    <x v="826"/>
    <x v="0"/>
    <n v="5"/>
    <n v="1500.4"/>
    <x v="16"/>
    <x v="1"/>
    <x v="0"/>
    <n v="7502"/>
    <m/>
    <m/>
    <n v="7"/>
  </r>
  <r>
    <x v="4220"/>
    <x v="826"/>
    <x v="0"/>
    <n v="3"/>
    <n v="900.24"/>
    <x v="411"/>
    <x v="9"/>
    <x v="1"/>
    <n v="2700.7200000000003"/>
    <m/>
    <m/>
    <n v="7"/>
  </r>
  <r>
    <x v="4221"/>
    <x v="826"/>
    <x v="3"/>
    <n v="5"/>
    <n v="75.75"/>
    <x v="428"/>
    <x v="0"/>
    <x v="4"/>
    <n v="378.75"/>
    <m/>
    <m/>
    <n v="7"/>
  </r>
  <r>
    <x v="4222"/>
    <x v="826"/>
    <x v="0"/>
    <n v="2"/>
    <n v="600.16"/>
    <x v="496"/>
    <x v="4"/>
    <x v="2"/>
    <n v="1200.32"/>
    <m/>
    <m/>
    <n v="10"/>
  </r>
  <r>
    <x v="4223"/>
    <x v="826"/>
    <x v="4"/>
    <n v="2"/>
    <n v="2100"/>
    <x v="379"/>
    <x v="5"/>
    <x v="0"/>
    <n v="4200"/>
    <m/>
    <m/>
    <n v="10"/>
  </r>
  <r>
    <x v="4224"/>
    <x v="827"/>
    <x v="0"/>
    <n v="3"/>
    <n v="900.24"/>
    <x v="261"/>
    <x v="8"/>
    <x v="2"/>
    <n v="2700.7200000000003"/>
    <m/>
    <m/>
    <n v="5"/>
  </r>
  <r>
    <x v="4225"/>
    <x v="827"/>
    <x v="5"/>
    <n v="3"/>
    <n v="1800.51"/>
    <x v="230"/>
    <x v="4"/>
    <x v="0"/>
    <n v="5401.53"/>
    <m/>
    <m/>
    <n v="5"/>
  </r>
  <r>
    <x v="4226"/>
    <x v="827"/>
    <x v="0"/>
    <n v="4"/>
    <n v="1200.32"/>
    <x v="406"/>
    <x v="0"/>
    <x v="2"/>
    <n v="4801.28"/>
    <m/>
    <m/>
    <n v="5"/>
  </r>
  <r>
    <x v="4227"/>
    <x v="827"/>
    <x v="2"/>
    <n v="3"/>
    <n v="15.69"/>
    <x v="475"/>
    <x v="1"/>
    <x v="3"/>
    <n v="47.07"/>
    <m/>
    <m/>
    <n v="5"/>
  </r>
  <r>
    <x v="4228"/>
    <x v="827"/>
    <x v="0"/>
    <n v="2"/>
    <n v="600.16"/>
    <x v="353"/>
    <x v="9"/>
    <x v="2"/>
    <n v="1200.32"/>
    <m/>
    <m/>
    <n v="7"/>
  </r>
  <r>
    <x v="4229"/>
    <x v="827"/>
    <x v="1"/>
    <n v="1"/>
    <n v="40.659999999999997"/>
    <x v="37"/>
    <x v="4"/>
    <x v="1"/>
    <n v="40.659999999999997"/>
    <m/>
    <m/>
    <n v="7"/>
  </r>
  <r>
    <x v="4230"/>
    <x v="827"/>
    <x v="0"/>
    <n v="1"/>
    <n v="300.08"/>
    <x v="780"/>
    <x v="9"/>
    <x v="1"/>
    <n v="300.08"/>
    <m/>
    <m/>
    <n v="10"/>
  </r>
  <r>
    <x v="4231"/>
    <x v="828"/>
    <x v="5"/>
    <n v="2"/>
    <n v="1200.3399999999999"/>
    <x v="567"/>
    <x v="5"/>
    <x v="4"/>
    <n v="2400.6799999999998"/>
    <m/>
    <m/>
    <n v="5"/>
  </r>
  <r>
    <x v="4232"/>
    <x v="828"/>
    <x v="2"/>
    <n v="3"/>
    <n v="15.69"/>
    <x v="411"/>
    <x v="1"/>
    <x v="4"/>
    <n v="47.07"/>
    <m/>
    <m/>
    <n v="7"/>
  </r>
  <r>
    <x v="4233"/>
    <x v="828"/>
    <x v="1"/>
    <n v="4"/>
    <n v="162.63999999999999"/>
    <x v="363"/>
    <x v="4"/>
    <x v="0"/>
    <n v="650.55999999999995"/>
    <m/>
    <m/>
    <n v="7"/>
  </r>
  <r>
    <x v="4234"/>
    <x v="828"/>
    <x v="1"/>
    <n v="5"/>
    <n v="203.3"/>
    <x v="529"/>
    <x v="6"/>
    <x v="4"/>
    <n v="1016.5"/>
    <m/>
    <m/>
    <n v="10"/>
  </r>
  <r>
    <x v="4235"/>
    <x v="829"/>
    <x v="6"/>
    <n v="1"/>
    <n v="35.840000000000003"/>
    <x v="494"/>
    <x v="8"/>
    <x v="2"/>
    <n v="35.840000000000003"/>
    <m/>
    <m/>
    <n v="5"/>
  </r>
  <r>
    <x v="4236"/>
    <x v="829"/>
    <x v="1"/>
    <n v="5"/>
    <n v="203.3"/>
    <x v="65"/>
    <x v="7"/>
    <x v="0"/>
    <n v="1016.5"/>
    <m/>
    <m/>
    <n v="5"/>
  </r>
  <r>
    <x v="4237"/>
    <x v="829"/>
    <x v="3"/>
    <n v="3"/>
    <n v="45.45"/>
    <x v="728"/>
    <x v="0"/>
    <x v="0"/>
    <n v="136.35000000000002"/>
    <m/>
    <m/>
    <n v="5"/>
  </r>
  <r>
    <x v="4238"/>
    <x v="829"/>
    <x v="2"/>
    <n v="3"/>
    <n v="15.69"/>
    <x v="322"/>
    <x v="1"/>
    <x v="0"/>
    <n v="47.07"/>
    <m/>
    <m/>
    <n v="7"/>
  </r>
  <r>
    <x v="4239"/>
    <x v="829"/>
    <x v="0"/>
    <n v="2"/>
    <n v="600.16"/>
    <x v="20"/>
    <x v="0"/>
    <x v="3"/>
    <n v="1200.32"/>
    <m/>
    <m/>
    <n v="7"/>
  </r>
  <r>
    <x v="4240"/>
    <x v="829"/>
    <x v="1"/>
    <n v="3"/>
    <n v="121.98"/>
    <x v="519"/>
    <x v="8"/>
    <x v="1"/>
    <n v="365.94"/>
    <m/>
    <m/>
    <n v="10"/>
  </r>
  <r>
    <x v="4241"/>
    <x v="830"/>
    <x v="6"/>
    <n v="1"/>
    <n v="35.840000000000003"/>
    <x v="358"/>
    <x v="6"/>
    <x v="4"/>
    <n v="35.840000000000003"/>
    <m/>
    <m/>
    <n v="5"/>
  </r>
  <r>
    <x v="4242"/>
    <x v="830"/>
    <x v="2"/>
    <n v="5"/>
    <n v="26.15"/>
    <x v="756"/>
    <x v="9"/>
    <x v="4"/>
    <n v="130.75"/>
    <m/>
    <m/>
    <n v="7"/>
  </r>
  <r>
    <x v="4243"/>
    <x v="830"/>
    <x v="6"/>
    <n v="4"/>
    <n v="143.36000000000001"/>
    <x v="634"/>
    <x v="4"/>
    <x v="2"/>
    <n v="573.44000000000005"/>
    <m/>
    <m/>
    <n v="7"/>
  </r>
  <r>
    <x v="4244"/>
    <x v="830"/>
    <x v="0"/>
    <n v="4"/>
    <n v="1200.32"/>
    <x v="7"/>
    <x v="0"/>
    <x v="3"/>
    <n v="4801.28"/>
    <m/>
    <m/>
    <n v="7"/>
  </r>
  <r>
    <x v="4245"/>
    <x v="831"/>
    <x v="0"/>
    <n v="2"/>
    <n v="600.16"/>
    <x v="106"/>
    <x v="1"/>
    <x v="3"/>
    <n v="1200.32"/>
    <m/>
    <m/>
    <n v="5"/>
  </r>
  <r>
    <x v="4246"/>
    <x v="831"/>
    <x v="0"/>
    <n v="2"/>
    <n v="600.16"/>
    <x v="766"/>
    <x v="6"/>
    <x v="0"/>
    <n v="1200.32"/>
    <m/>
    <m/>
    <n v="5"/>
  </r>
  <r>
    <x v="4247"/>
    <x v="831"/>
    <x v="0"/>
    <n v="4"/>
    <n v="1200.32"/>
    <x v="475"/>
    <x v="1"/>
    <x v="0"/>
    <n v="4801.28"/>
    <m/>
    <m/>
    <n v="5"/>
  </r>
  <r>
    <x v="4248"/>
    <x v="831"/>
    <x v="1"/>
    <n v="5"/>
    <n v="203.3"/>
    <x v="399"/>
    <x v="4"/>
    <x v="4"/>
    <n v="1016.5"/>
    <m/>
    <m/>
    <n v="7"/>
  </r>
  <r>
    <x v="4249"/>
    <x v="831"/>
    <x v="0"/>
    <n v="5"/>
    <n v="1500.4"/>
    <x v="399"/>
    <x v="0"/>
    <x v="2"/>
    <n v="7502"/>
    <m/>
    <m/>
    <n v="7"/>
  </r>
  <r>
    <x v="4250"/>
    <x v="831"/>
    <x v="7"/>
    <n v="1"/>
    <n v="11.73"/>
    <x v="507"/>
    <x v="5"/>
    <x v="3"/>
    <n v="11.73"/>
    <m/>
    <m/>
    <n v="7"/>
  </r>
  <r>
    <x v="4251"/>
    <x v="831"/>
    <x v="0"/>
    <n v="1"/>
    <n v="300.08"/>
    <x v="549"/>
    <x v="8"/>
    <x v="3"/>
    <n v="300.08"/>
    <m/>
    <m/>
    <n v="7"/>
  </r>
  <r>
    <x v="4252"/>
    <x v="831"/>
    <x v="0"/>
    <n v="3"/>
    <n v="900.24"/>
    <x v="472"/>
    <x v="7"/>
    <x v="4"/>
    <n v="2700.7200000000003"/>
    <m/>
    <m/>
    <n v="7"/>
  </r>
  <r>
    <x v="4253"/>
    <x v="832"/>
    <x v="1"/>
    <n v="3"/>
    <n v="121.98"/>
    <x v="475"/>
    <x v="4"/>
    <x v="0"/>
    <n v="365.94"/>
    <m/>
    <m/>
    <n v="5"/>
  </r>
  <r>
    <x v="4254"/>
    <x v="832"/>
    <x v="0"/>
    <n v="1"/>
    <n v="300.08"/>
    <x v="539"/>
    <x v="6"/>
    <x v="3"/>
    <n v="300.08"/>
    <m/>
    <m/>
    <n v="7"/>
  </r>
  <r>
    <x v="4255"/>
    <x v="832"/>
    <x v="0"/>
    <n v="1"/>
    <n v="300.08"/>
    <x v="24"/>
    <x v="0"/>
    <x v="1"/>
    <n v="300.08"/>
    <m/>
    <m/>
    <n v="7"/>
  </r>
  <r>
    <x v="4256"/>
    <x v="833"/>
    <x v="1"/>
    <n v="1"/>
    <n v="40.659999999999997"/>
    <x v="30"/>
    <x v="0"/>
    <x v="0"/>
    <n v="40.659999999999997"/>
    <m/>
    <m/>
    <n v="5"/>
  </r>
  <r>
    <x v="4257"/>
    <x v="833"/>
    <x v="2"/>
    <n v="4"/>
    <n v="20.92"/>
    <x v="716"/>
    <x v="1"/>
    <x v="3"/>
    <n v="83.68"/>
    <m/>
    <m/>
    <n v="7"/>
  </r>
  <r>
    <x v="4258"/>
    <x v="833"/>
    <x v="2"/>
    <n v="3"/>
    <n v="15.69"/>
    <x v="216"/>
    <x v="6"/>
    <x v="4"/>
    <n v="47.07"/>
    <m/>
    <m/>
    <n v="10"/>
  </r>
  <r>
    <x v="4259"/>
    <x v="834"/>
    <x v="5"/>
    <n v="5"/>
    <n v="3000.85"/>
    <x v="695"/>
    <x v="9"/>
    <x v="3"/>
    <n v="15004.25"/>
    <m/>
    <m/>
    <n v="5"/>
  </r>
  <r>
    <x v="4260"/>
    <x v="834"/>
    <x v="0"/>
    <n v="1"/>
    <n v="300.08"/>
    <x v="338"/>
    <x v="0"/>
    <x v="2"/>
    <n v="300.08"/>
    <m/>
    <m/>
    <n v="5"/>
  </r>
  <r>
    <x v="4261"/>
    <x v="834"/>
    <x v="0"/>
    <n v="1"/>
    <n v="300.08"/>
    <x v="34"/>
    <x v="8"/>
    <x v="4"/>
    <n v="300.08"/>
    <m/>
    <m/>
    <n v="5"/>
  </r>
  <r>
    <x v="4262"/>
    <x v="834"/>
    <x v="0"/>
    <n v="3"/>
    <n v="900.24"/>
    <x v="31"/>
    <x v="0"/>
    <x v="3"/>
    <n v="2700.7200000000003"/>
    <m/>
    <m/>
    <n v="7"/>
  </r>
  <r>
    <x v="4263"/>
    <x v="834"/>
    <x v="2"/>
    <n v="3"/>
    <n v="15.69"/>
    <x v="620"/>
    <x v="0"/>
    <x v="3"/>
    <n v="47.07"/>
    <m/>
    <m/>
    <n v="10"/>
  </r>
  <r>
    <x v="4264"/>
    <x v="834"/>
    <x v="3"/>
    <n v="2"/>
    <n v="30.3"/>
    <x v="765"/>
    <x v="6"/>
    <x v="4"/>
    <n v="60.6"/>
    <m/>
    <m/>
    <n v="10"/>
  </r>
  <r>
    <x v="4265"/>
    <x v="835"/>
    <x v="0"/>
    <n v="3"/>
    <n v="900.24"/>
    <x v="65"/>
    <x v="3"/>
    <x v="3"/>
    <n v="2700.7200000000003"/>
    <m/>
    <m/>
    <n v="5"/>
  </r>
  <r>
    <x v="4266"/>
    <x v="835"/>
    <x v="1"/>
    <n v="3"/>
    <n v="121.98"/>
    <x v="163"/>
    <x v="7"/>
    <x v="3"/>
    <n v="365.94"/>
    <m/>
    <m/>
    <n v="5"/>
  </r>
  <r>
    <x v="4267"/>
    <x v="836"/>
    <x v="2"/>
    <n v="3"/>
    <n v="15.69"/>
    <x v="492"/>
    <x v="6"/>
    <x v="1"/>
    <n v="47.07"/>
    <m/>
    <m/>
    <n v="5"/>
  </r>
  <r>
    <x v="4268"/>
    <x v="836"/>
    <x v="0"/>
    <n v="2"/>
    <n v="600.16"/>
    <x v="538"/>
    <x v="1"/>
    <x v="1"/>
    <n v="1200.32"/>
    <m/>
    <m/>
    <n v="5"/>
  </r>
  <r>
    <x v="4269"/>
    <x v="836"/>
    <x v="5"/>
    <n v="2"/>
    <n v="1200.3399999999999"/>
    <x v="725"/>
    <x v="6"/>
    <x v="3"/>
    <n v="2400.6799999999998"/>
    <m/>
    <m/>
    <n v="5"/>
  </r>
  <r>
    <x v="4270"/>
    <x v="836"/>
    <x v="0"/>
    <n v="3"/>
    <n v="900.24"/>
    <x v="404"/>
    <x v="8"/>
    <x v="0"/>
    <n v="2700.7200000000003"/>
    <m/>
    <m/>
    <n v="7"/>
  </r>
  <r>
    <x v="4271"/>
    <x v="836"/>
    <x v="5"/>
    <n v="1"/>
    <n v="600.16999999999996"/>
    <x v="331"/>
    <x v="1"/>
    <x v="0"/>
    <n v="600.16999999999996"/>
    <m/>
    <m/>
    <n v="7"/>
  </r>
  <r>
    <x v="4272"/>
    <x v="836"/>
    <x v="0"/>
    <n v="2"/>
    <n v="600.16"/>
    <x v="472"/>
    <x v="1"/>
    <x v="4"/>
    <n v="1200.32"/>
    <m/>
    <m/>
    <n v="7"/>
  </r>
  <r>
    <x v="4273"/>
    <x v="837"/>
    <x v="0"/>
    <n v="2"/>
    <n v="600.16"/>
    <x v="95"/>
    <x v="9"/>
    <x v="1"/>
    <n v="1200.32"/>
    <m/>
    <m/>
    <n v="5"/>
  </r>
  <r>
    <x v="4274"/>
    <x v="837"/>
    <x v="1"/>
    <n v="4"/>
    <n v="162.63999999999999"/>
    <x v="300"/>
    <x v="6"/>
    <x v="1"/>
    <n v="650.55999999999995"/>
    <m/>
    <m/>
    <n v="5"/>
  </r>
  <r>
    <x v="4275"/>
    <x v="837"/>
    <x v="6"/>
    <n v="1"/>
    <n v="35.840000000000003"/>
    <x v="210"/>
    <x v="6"/>
    <x v="1"/>
    <n v="35.840000000000003"/>
    <m/>
    <m/>
    <n v="7"/>
  </r>
  <r>
    <x v="4276"/>
    <x v="837"/>
    <x v="7"/>
    <n v="1"/>
    <n v="11.73"/>
    <x v="510"/>
    <x v="8"/>
    <x v="0"/>
    <n v="11.73"/>
    <m/>
    <m/>
    <n v="7"/>
  </r>
  <r>
    <x v="4277"/>
    <x v="838"/>
    <x v="1"/>
    <n v="5"/>
    <n v="203.3"/>
    <x v="749"/>
    <x v="3"/>
    <x v="0"/>
    <n v="1016.5"/>
    <m/>
    <m/>
    <n v="5"/>
  </r>
  <r>
    <x v="4278"/>
    <x v="838"/>
    <x v="0"/>
    <n v="5"/>
    <n v="1500.4"/>
    <x v="498"/>
    <x v="0"/>
    <x v="1"/>
    <n v="7502"/>
    <m/>
    <m/>
    <n v="5"/>
  </r>
  <r>
    <x v="4279"/>
    <x v="838"/>
    <x v="0"/>
    <n v="4"/>
    <n v="1200.32"/>
    <x v="73"/>
    <x v="1"/>
    <x v="1"/>
    <n v="4801.28"/>
    <m/>
    <m/>
    <n v="5"/>
  </r>
  <r>
    <x v="4280"/>
    <x v="838"/>
    <x v="4"/>
    <n v="5"/>
    <n v="5250"/>
    <x v="455"/>
    <x v="7"/>
    <x v="2"/>
    <n v="26250"/>
    <m/>
    <m/>
    <n v="7"/>
  </r>
  <r>
    <x v="4281"/>
    <x v="839"/>
    <x v="5"/>
    <n v="4"/>
    <n v="2400.6799999999998"/>
    <x v="494"/>
    <x v="0"/>
    <x v="1"/>
    <n v="9602.7199999999993"/>
    <m/>
    <m/>
    <n v="5"/>
  </r>
  <r>
    <x v="4282"/>
    <x v="839"/>
    <x v="0"/>
    <n v="2"/>
    <n v="600.16"/>
    <x v="257"/>
    <x v="8"/>
    <x v="0"/>
    <n v="1200.32"/>
    <m/>
    <m/>
    <n v="5"/>
  </r>
  <r>
    <x v="4283"/>
    <x v="839"/>
    <x v="5"/>
    <n v="3"/>
    <n v="1800.51"/>
    <x v="473"/>
    <x v="6"/>
    <x v="0"/>
    <n v="5401.53"/>
    <m/>
    <m/>
    <n v="5"/>
  </r>
  <r>
    <x v="4284"/>
    <x v="840"/>
    <x v="5"/>
    <n v="2"/>
    <n v="1200.3399999999999"/>
    <x v="34"/>
    <x v="7"/>
    <x v="2"/>
    <n v="2400.6799999999998"/>
    <m/>
    <m/>
    <n v="5"/>
  </r>
  <r>
    <x v="4285"/>
    <x v="840"/>
    <x v="7"/>
    <n v="5"/>
    <n v="58.65"/>
    <x v="560"/>
    <x v="0"/>
    <x v="0"/>
    <n v="293.25"/>
    <m/>
    <m/>
    <n v="5"/>
  </r>
  <r>
    <x v="4286"/>
    <x v="840"/>
    <x v="2"/>
    <n v="2"/>
    <n v="10.46"/>
    <x v="684"/>
    <x v="1"/>
    <x v="0"/>
    <n v="20.92"/>
    <m/>
    <m/>
    <n v="7"/>
  </r>
  <r>
    <x v="4287"/>
    <x v="841"/>
    <x v="1"/>
    <n v="1"/>
    <n v="40.659999999999997"/>
    <x v="492"/>
    <x v="7"/>
    <x v="0"/>
    <n v="40.659999999999997"/>
    <m/>
    <m/>
    <n v="5"/>
  </r>
  <r>
    <x v="4288"/>
    <x v="841"/>
    <x v="0"/>
    <n v="4"/>
    <n v="1200.32"/>
    <x v="18"/>
    <x v="0"/>
    <x v="3"/>
    <n v="4801.28"/>
    <m/>
    <m/>
    <n v="7"/>
  </r>
  <r>
    <x v="4289"/>
    <x v="841"/>
    <x v="3"/>
    <n v="3"/>
    <n v="45.45"/>
    <x v="218"/>
    <x v="1"/>
    <x v="3"/>
    <n v="136.35000000000002"/>
    <m/>
    <m/>
    <n v="7"/>
  </r>
  <r>
    <x v="4290"/>
    <x v="841"/>
    <x v="2"/>
    <n v="5"/>
    <n v="26.15"/>
    <x v="171"/>
    <x v="1"/>
    <x v="4"/>
    <n v="130.75"/>
    <m/>
    <m/>
    <n v="10"/>
  </r>
  <r>
    <x v="4291"/>
    <x v="842"/>
    <x v="5"/>
    <n v="3"/>
    <n v="1800.51"/>
    <x v="115"/>
    <x v="6"/>
    <x v="0"/>
    <n v="5401.53"/>
    <m/>
    <m/>
    <n v="5"/>
  </r>
  <r>
    <x v="4292"/>
    <x v="842"/>
    <x v="0"/>
    <n v="4"/>
    <n v="1200.32"/>
    <x v="92"/>
    <x v="3"/>
    <x v="0"/>
    <n v="4801.28"/>
    <m/>
    <m/>
    <n v="5"/>
  </r>
  <r>
    <x v="4293"/>
    <x v="842"/>
    <x v="1"/>
    <n v="2"/>
    <n v="81.319999999999993"/>
    <x v="522"/>
    <x v="6"/>
    <x v="4"/>
    <n v="162.63999999999999"/>
    <m/>
    <m/>
    <n v="5"/>
  </r>
  <r>
    <x v="4294"/>
    <x v="842"/>
    <x v="1"/>
    <n v="4"/>
    <n v="162.63999999999999"/>
    <x v="241"/>
    <x v="8"/>
    <x v="0"/>
    <n v="650.55999999999995"/>
    <m/>
    <m/>
    <n v="7"/>
  </r>
  <r>
    <x v="4295"/>
    <x v="842"/>
    <x v="0"/>
    <n v="3"/>
    <n v="900.24"/>
    <x v="192"/>
    <x v="4"/>
    <x v="0"/>
    <n v="2700.7200000000003"/>
    <m/>
    <m/>
    <n v="7"/>
  </r>
  <r>
    <x v="4296"/>
    <x v="842"/>
    <x v="3"/>
    <n v="4"/>
    <n v="60.6"/>
    <x v="428"/>
    <x v="6"/>
    <x v="2"/>
    <n v="242.4"/>
    <m/>
    <m/>
    <n v="7"/>
  </r>
  <r>
    <x v="4297"/>
    <x v="843"/>
    <x v="6"/>
    <n v="3"/>
    <n v="107.52"/>
    <x v="244"/>
    <x v="6"/>
    <x v="3"/>
    <n v="322.56"/>
    <m/>
    <m/>
    <n v="5"/>
  </r>
  <r>
    <x v="4298"/>
    <x v="843"/>
    <x v="6"/>
    <n v="1"/>
    <n v="35.840000000000003"/>
    <x v="766"/>
    <x v="0"/>
    <x v="2"/>
    <n v="35.840000000000003"/>
    <m/>
    <m/>
    <n v="5"/>
  </r>
  <r>
    <x v="4299"/>
    <x v="843"/>
    <x v="1"/>
    <n v="3"/>
    <n v="121.98"/>
    <x v="46"/>
    <x v="6"/>
    <x v="0"/>
    <n v="365.94"/>
    <m/>
    <m/>
    <n v="5"/>
  </r>
  <r>
    <x v="4300"/>
    <x v="843"/>
    <x v="6"/>
    <n v="5"/>
    <n v="179.2"/>
    <x v="488"/>
    <x v="4"/>
    <x v="2"/>
    <n v="896"/>
    <m/>
    <m/>
    <n v="7"/>
  </r>
  <r>
    <x v="4301"/>
    <x v="843"/>
    <x v="0"/>
    <n v="1"/>
    <n v="300.08"/>
    <x v="323"/>
    <x v="6"/>
    <x v="2"/>
    <n v="300.08"/>
    <m/>
    <m/>
    <n v="7"/>
  </r>
  <r>
    <x v="4302"/>
    <x v="843"/>
    <x v="0"/>
    <n v="4"/>
    <n v="1200.32"/>
    <x v="49"/>
    <x v="6"/>
    <x v="3"/>
    <n v="4801.28"/>
    <m/>
    <m/>
    <n v="7"/>
  </r>
  <r>
    <x v="4303"/>
    <x v="843"/>
    <x v="3"/>
    <n v="5"/>
    <n v="75.75"/>
    <x v="423"/>
    <x v="6"/>
    <x v="3"/>
    <n v="378.75"/>
    <m/>
    <m/>
    <n v="10"/>
  </r>
  <r>
    <x v="4304"/>
    <x v="844"/>
    <x v="3"/>
    <n v="4"/>
    <n v="60.6"/>
    <x v="121"/>
    <x v="1"/>
    <x v="4"/>
    <n v="242.4"/>
    <m/>
    <m/>
    <n v="5"/>
  </r>
  <r>
    <x v="4305"/>
    <x v="844"/>
    <x v="5"/>
    <n v="2"/>
    <n v="1200.3399999999999"/>
    <x v="306"/>
    <x v="2"/>
    <x v="3"/>
    <n v="2400.6799999999998"/>
    <m/>
    <m/>
    <n v="5"/>
  </r>
  <r>
    <x v="4306"/>
    <x v="844"/>
    <x v="2"/>
    <n v="4"/>
    <n v="20.92"/>
    <x v="655"/>
    <x v="2"/>
    <x v="0"/>
    <n v="83.68"/>
    <m/>
    <m/>
    <n v="5"/>
  </r>
  <r>
    <x v="4307"/>
    <x v="844"/>
    <x v="1"/>
    <n v="3"/>
    <n v="121.98"/>
    <x v="489"/>
    <x v="0"/>
    <x v="0"/>
    <n v="365.94"/>
    <m/>
    <m/>
    <n v="7"/>
  </r>
  <r>
    <x v="4308"/>
    <x v="844"/>
    <x v="0"/>
    <n v="5"/>
    <n v="1500.4"/>
    <x v="548"/>
    <x v="7"/>
    <x v="1"/>
    <n v="7502"/>
    <m/>
    <m/>
    <n v="7"/>
  </r>
  <r>
    <x v="4309"/>
    <x v="845"/>
    <x v="0"/>
    <n v="5"/>
    <n v="1500.4"/>
    <x v="132"/>
    <x v="7"/>
    <x v="4"/>
    <n v="7502"/>
    <m/>
    <m/>
    <n v="5"/>
  </r>
  <r>
    <x v="4310"/>
    <x v="845"/>
    <x v="4"/>
    <n v="2"/>
    <n v="2100"/>
    <x v="231"/>
    <x v="6"/>
    <x v="1"/>
    <n v="4200"/>
    <m/>
    <m/>
    <n v="5"/>
  </r>
  <r>
    <x v="4311"/>
    <x v="845"/>
    <x v="0"/>
    <n v="3"/>
    <n v="900.24"/>
    <x v="58"/>
    <x v="0"/>
    <x v="2"/>
    <n v="2700.7200000000003"/>
    <m/>
    <m/>
    <n v="5"/>
  </r>
  <r>
    <x v="4312"/>
    <x v="845"/>
    <x v="7"/>
    <n v="2"/>
    <n v="23.46"/>
    <x v="23"/>
    <x v="5"/>
    <x v="3"/>
    <n v="46.92"/>
    <m/>
    <m/>
    <n v="7"/>
  </r>
  <r>
    <x v="4313"/>
    <x v="845"/>
    <x v="5"/>
    <n v="1"/>
    <n v="600.16999999999996"/>
    <x v="7"/>
    <x v="9"/>
    <x v="0"/>
    <n v="600.16999999999996"/>
    <m/>
    <m/>
    <n v="7"/>
  </r>
  <r>
    <x v="4314"/>
    <x v="846"/>
    <x v="0"/>
    <n v="1"/>
    <n v="300.08"/>
    <x v="526"/>
    <x v="4"/>
    <x v="1"/>
    <n v="300.08"/>
    <m/>
    <m/>
    <n v="5"/>
  </r>
  <r>
    <x v="4315"/>
    <x v="846"/>
    <x v="5"/>
    <n v="1"/>
    <n v="600.16999999999996"/>
    <x v="33"/>
    <x v="0"/>
    <x v="3"/>
    <n v="600.16999999999996"/>
    <m/>
    <m/>
    <n v="5"/>
  </r>
  <r>
    <x v="4316"/>
    <x v="846"/>
    <x v="6"/>
    <n v="3"/>
    <n v="107.52"/>
    <x v="792"/>
    <x v="1"/>
    <x v="3"/>
    <n v="322.56"/>
    <m/>
    <m/>
    <n v="5"/>
  </r>
  <r>
    <x v="4317"/>
    <x v="846"/>
    <x v="0"/>
    <n v="2"/>
    <n v="600.16"/>
    <x v="396"/>
    <x v="6"/>
    <x v="2"/>
    <n v="1200.32"/>
    <m/>
    <m/>
    <n v="5"/>
  </r>
  <r>
    <x v="4318"/>
    <x v="846"/>
    <x v="0"/>
    <n v="5"/>
    <n v="1500.4"/>
    <x v="375"/>
    <x v="6"/>
    <x v="0"/>
    <n v="7502"/>
    <m/>
    <m/>
    <n v="5"/>
  </r>
  <r>
    <x v="4319"/>
    <x v="847"/>
    <x v="0"/>
    <n v="5"/>
    <n v="1500.4"/>
    <x v="62"/>
    <x v="0"/>
    <x v="2"/>
    <n v="7502"/>
    <m/>
    <m/>
    <n v="5"/>
  </r>
  <r>
    <x v="4320"/>
    <x v="847"/>
    <x v="1"/>
    <n v="3"/>
    <n v="121.98"/>
    <x v="275"/>
    <x v="4"/>
    <x v="3"/>
    <n v="365.94"/>
    <m/>
    <m/>
    <n v="5"/>
  </r>
  <r>
    <x v="4321"/>
    <x v="847"/>
    <x v="1"/>
    <n v="3"/>
    <n v="121.98"/>
    <x v="731"/>
    <x v="1"/>
    <x v="3"/>
    <n v="365.94"/>
    <m/>
    <m/>
    <n v="5"/>
  </r>
  <r>
    <x v="4322"/>
    <x v="847"/>
    <x v="0"/>
    <n v="1"/>
    <n v="300.08"/>
    <x v="381"/>
    <x v="6"/>
    <x v="0"/>
    <n v="300.08"/>
    <m/>
    <m/>
    <n v="5"/>
  </r>
  <r>
    <x v="4323"/>
    <x v="847"/>
    <x v="1"/>
    <n v="4"/>
    <n v="162.63999999999999"/>
    <x v="591"/>
    <x v="8"/>
    <x v="2"/>
    <n v="650.55999999999995"/>
    <m/>
    <m/>
    <n v="7"/>
  </r>
  <r>
    <x v="4324"/>
    <x v="847"/>
    <x v="5"/>
    <n v="3"/>
    <n v="1800.51"/>
    <x v="205"/>
    <x v="8"/>
    <x v="1"/>
    <n v="5401.53"/>
    <m/>
    <m/>
    <n v="7"/>
  </r>
  <r>
    <x v="4325"/>
    <x v="847"/>
    <x v="6"/>
    <n v="4"/>
    <n v="143.36000000000001"/>
    <x v="223"/>
    <x v="1"/>
    <x v="4"/>
    <n v="573.44000000000005"/>
    <m/>
    <m/>
    <n v="7"/>
  </r>
  <r>
    <x v="4326"/>
    <x v="848"/>
    <x v="6"/>
    <n v="2"/>
    <n v="71.680000000000007"/>
    <x v="632"/>
    <x v="3"/>
    <x v="0"/>
    <n v="143.36000000000001"/>
    <m/>
    <m/>
    <n v="5"/>
  </r>
  <r>
    <x v="4327"/>
    <x v="848"/>
    <x v="2"/>
    <n v="4"/>
    <n v="20.92"/>
    <x v="560"/>
    <x v="5"/>
    <x v="2"/>
    <n v="83.68"/>
    <m/>
    <m/>
    <n v="5"/>
  </r>
  <r>
    <x v="4328"/>
    <x v="848"/>
    <x v="2"/>
    <n v="5"/>
    <n v="26.15"/>
    <x v="205"/>
    <x v="1"/>
    <x v="2"/>
    <n v="130.75"/>
    <m/>
    <m/>
    <n v="7"/>
  </r>
  <r>
    <x v="4329"/>
    <x v="848"/>
    <x v="4"/>
    <n v="1"/>
    <n v="1050"/>
    <x v="793"/>
    <x v="1"/>
    <x v="4"/>
    <n v="1050"/>
    <m/>
    <m/>
    <n v="10"/>
  </r>
  <r>
    <x v="4330"/>
    <x v="848"/>
    <x v="0"/>
    <n v="4"/>
    <n v="1200.32"/>
    <x v="682"/>
    <x v="0"/>
    <x v="4"/>
    <n v="4801.28"/>
    <m/>
    <m/>
    <n v="10"/>
  </r>
  <r>
    <x v="4331"/>
    <x v="849"/>
    <x v="0"/>
    <n v="1"/>
    <n v="300.08"/>
    <x v="64"/>
    <x v="0"/>
    <x v="3"/>
    <n v="300.08"/>
    <m/>
    <m/>
    <n v="5"/>
  </r>
  <r>
    <x v="4332"/>
    <x v="849"/>
    <x v="6"/>
    <n v="4"/>
    <n v="143.36000000000001"/>
    <x v="438"/>
    <x v="0"/>
    <x v="2"/>
    <n v="573.44000000000005"/>
    <m/>
    <m/>
    <n v="5"/>
  </r>
  <r>
    <x v="4333"/>
    <x v="849"/>
    <x v="0"/>
    <n v="4"/>
    <n v="1200.32"/>
    <x v="265"/>
    <x v="9"/>
    <x v="0"/>
    <n v="4801.28"/>
    <m/>
    <m/>
    <n v="5"/>
  </r>
  <r>
    <x v="4334"/>
    <x v="849"/>
    <x v="4"/>
    <n v="4"/>
    <n v="4200"/>
    <x v="35"/>
    <x v="0"/>
    <x v="0"/>
    <n v="16800"/>
    <m/>
    <m/>
    <n v="7"/>
  </r>
  <r>
    <x v="4335"/>
    <x v="849"/>
    <x v="0"/>
    <n v="5"/>
    <n v="1500.4"/>
    <x v="263"/>
    <x v="0"/>
    <x v="4"/>
    <n v="7502"/>
    <m/>
    <m/>
    <n v="7"/>
  </r>
  <r>
    <x v="4336"/>
    <x v="849"/>
    <x v="0"/>
    <n v="1"/>
    <n v="300.08"/>
    <x v="481"/>
    <x v="0"/>
    <x v="2"/>
    <n v="300.08"/>
    <m/>
    <m/>
    <n v="7"/>
  </r>
  <r>
    <x v="4337"/>
    <x v="849"/>
    <x v="2"/>
    <n v="3"/>
    <n v="15.69"/>
    <x v="103"/>
    <x v="7"/>
    <x v="1"/>
    <n v="47.07"/>
    <m/>
    <m/>
    <n v="10"/>
  </r>
  <r>
    <x v="4338"/>
    <x v="850"/>
    <x v="5"/>
    <n v="2"/>
    <n v="1200.3399999999999"/>
    <x v="420"/>
    <x v="0"/>
    <x v="3"/>
    <n v="2400.6799999999998"/>
    <m/>
    <m/>
    <n v="7"/>
  </r>
  <r>
    <x v="4339"/>
    <x v="850"/>
    <x v="0"/>
    <n v="2"/>
    <n v="600.16"/>
    <x v="25"/>
    <x v="0"/>
    <x v="1"/>
    <n v="1200.32"/>
    <m/>
    <m/>
    <n v="7"/>
  </r>
  <r>
    <x v="4340"/>
    <x v="850"/>
    <x v="0"/>
    <n v="1"/>
    <n v="300.08"/>
    <x v="553"/>
    <x v="4"/>
    <x v="4"/>
    <n v="300.08"/>
    <m/>
    <m/>
    <n v="7"/>
  </r>
  <r>
    <x v="4341"/>
    <x v="851"/>
    <x v="3"/>
    <n v="4"/>
    <n v="60.6"/>
    <x v="137"/>
    <x v="1"/>
    <x v="4"/>
    <n v="242.4"/>
    <m/>
    <m/>
    <n v="5"/>
  </r>
  <r>
    <x v="4342"/>
    <x v="851"/>
    <x v="0"/>
    <n v="2"/>
    <n v="600.16"/>
    <x v="724"/>
    <x v="6"/>
    <x v="4"/>
    <n v="1200.32"/>
    <m/>
    <m/>
    <n v="5"/>
  </r>
  <r>
    <x v="4343"/>
    <x v="851"/>
    <x v="4"/>
    <n v="3"/>
    <n v="3150"/>
    <x v="364"/>
    <x v="1"/>
    <x v="3"/>
    <n v="9450"/>
    <m/>
    <m/>
    <n v="5"/>
  </r>
  <r>
    <x v="4344"/>
    <x v="851"/>
    <x v="0"/>
    <n v="2"/>
    <n v="600.16"/>
    <x v="323"/>
    <x v="3"/>
    <x v="1"/>
    <n v="1200.32"/>
    <m/>
    <m/>
    <n v="7"/>
  </r>
  <r>
    <x v="4345"/>
    <x v="851"/>
    <x v="2"/>
    <n v="1"/>
    <n v="5.23"/>
    <x v="444"/>
    <x v="0"/>
    <x v="0"/>
    <n v="5.23"/>
    <m/>
    <m/>
    <n v="7"/>
  </r>
  <r>
    <x v="4346"/>
    <x v="851"/>
    <x v="0"/>
    <n v="1"/>
    <n v="300.08"/>
    <x v="780"/>
    <x v="1"/>
    <x v="1"/>
    <n v="300.08"/>
    <m/>
    <m/>
    <n v="10"/>
  </r>
  <r>
    <x v="4347"/>
    <x v="852"/>
    <x v="0"/>
    <n v="2"/>
    <n v="600.16"/>
    <x v="696"/>
    <x v="0"/>
    <x v="1"/>
    <n v="1200.32"/>
    <m/>
    <m/>
    <n v="5"/>
  </r>
  <r>
    <x v="4348"/>
    <x v="852"/>
    <x v="0"/>
    <n v="2"/>
    <n v="600.16"/>
    <x v="245"/>
    <x v="6"/>
    <x v="3"/>
    <n v="1200.32"/>
    <m/>
    <m/>
    <n v="5"/>
  </r>
  <r>
    <x v="4349"/>
    <x v="852"/>
    <x v="0"/>
    <n v="4"/>
    <n v="1200.32"/>
    <x v="27"/>
    <x v="5"/>
    <x v="4"/>
    <n v="4801.28"/>
    <m/>
    <m/>
    <n v="5"/>
  </r>
  <r>
    <x v="4350"/>
    <x v="852"/>
    <x v="1"/>
    <n v="4"/>
    <n v="162.63999999999999"/>
    <x v="364"/>
    <x v="6"/>
    <x v="0"/>
    <n v="650.55999999999995"/>
    <m/>
    <m/>
    <n v="5"/>
  </r>
  <r>
    <x v="4351"/>
    <x v="852"/>
    <x v="2"/>
    <n v="3"/>
    <n v="15.69"/>
    <x v="512"/>
    <x v="4"/>
    <x v="3"/>
    <n v="47.07"/>
    <m/>
    <m/>
    <n v="5"/>
  </r>
  <r>
    <x v="4352"/>
    <x v="852"/>
    <x v="1"/>
    <n v="4"/>
    <n v="162.63999999999999"/>
    <x v="280"/>
    <x v="6"/>
    <x v="2"/>
    <n v="650.55999999999995"/>
    <m/>
    <m/>
    <n v="7"/>
  </r>
  <r>
    <x v="4353"/>
    <x v="852"/>
    <x v="6"/>
    <n v="2"/>
    <n v="71.680000000000007"/>
    <x v="348"/>
    <x v="1"/>
    <x v="4"/>
    <n v="143.36000000000001"/>
    <m/>
    <m/>
    <n v="7"/>
  </r>
  <r>
    <x v="4354"/>
    <x v="852"/>
    <x v="0"/>
    <n v="2"/>
    <n v="600.16"/>
    <x v="620"/>
    <x v="0"/>
    <x v="4"/>
    <n v="1200.32"/>
    <m/>
    <m/>
    <n v="10"/>
  </r>
  <r>
    <x v="4355"/>
    <x v="853"/>
    <x v="7"/>
    <n v="4"/>
    <n v="46.92"/>
    <x v="292"/>
    <x v="4"/>
    <x v="2"/>
    <n v="187.68"/>
    <m/>
    <m/>
    <n v="5"/>
  </r>
  <r>
    <x v="4356"/>
    <x v="853"/>
    <x v="3"/>
    <n v="1"/>
    <n v="15.15"/>
    <x v="670"/>
    <x v="4"/>
    <x v="1"/>
    <n v="15.15"/>
    <m/>
    <m/>
    <n v="5"/>
  </r>
  <r>
    <x v="4357"/>
    <x v="853"/>
    <x v="0"/>
    <n v="5"/>
    <n v="1500.4"/>
    <x v="340"/>
    <x v="9"/>
    <x v="4"/>
    <n v="7502"/>
    <m/>
    <m/>
    <n v="7"/>
  </r>
  <r>
    <x v="4358"/>
    <x v="853"/>
    <x v="1"/>
    <n v="4"/>
    <n v="162.63999999999999"/>
    <x v="558"/>
    <x v="8"/>
    <x v="1"/>
    <n v="650.55999999999995"/>
    <m/>
    <m/>
    <n v="7"/>
  </r>
  <r>
    <x v="4359"/>
    <x v="854"/>
    <x v="1"/>
    <n v="1"/>
    <n v="40.659999999999997"/>
    <x v="175"/>
    <x v="3"/>
    <x v="0"/>
    <n v="40.659999999999997"/>
    <m/>
    <m/>
    <n v="5"/>
  </r>
  <r>
    <x v="4360"/>
    <x v="854"/>
    <x v="4"/>
    <n v="3"/>
    <n v="3150"/>
    <x v="305"/>
    <x v="6"/>
    <x v="3"/>
    <n v="9450"/>
    <m/>
    <m/>
    <n v="5"/>
  </r>
  <r>
    <x v="4361"/>
    <x v="854"/>
    <x v="0"/>
    <n v="1"/>
    <n v="300.08"/>
    <x v="320"/>
    <x v="0"/>
    <x v="4"/>
    <n v="300.08"/>
    <m/>
    <m/>
    <n v="5"/>
  </r>
  <r>
    <x v="4362"/>
    <x v="855"/>
    <x v="1"/>
    <n v="4"/>
    <n v="162.63999999999999"/>
    <x v="678"/>
    <x v="6"/>
    <x v="1"/>
    <n v="650.55999999999995"/>
    <m/>
    <m/>
    <n v="5"/>
  </r>
  <r>
    <x v="4363"/>
    <x v="855"/>
    <x v="1"/>
    <n v="4"/>
    <n v="162.63999999999999"/>
    <x v="186"/>
    <x v="7"/>
    <x v="3"/>
    <n v="650.55999999999995"/>
    <m/>
    <m/>
    <n v="5"/>
  </r>
  <r>
    <x v="4364"/>
    <x v="855"/>
    <x v="7"/>
    <n v="2"/>
    <n v="23.46"/>
    <x v="33"/>
    <x v="9"/>
    <x v="3"/>
    <n v="46.92"/>
    <m/>
    <m/>
    <n v="5"/>
  </r>
  <r>
    <x v="4365"/>
    <x v="855"/>
    <x v="2"/>
    <n v="3"/>
    <n v="15.69"/>
    <x v="731"/>
    <x v="0"/>
    <x v="3"/>
    <n v="47.07"/>
    <m/>
    <m/>
    <n v="5"/>
  </r>
  <r>
    <x v="4366"/>
    <x v="855"/>
    <x v="0"/>
    <n v="3"/>
    <n v="900.24"/>
    <x v="36"/>
    <x v="0"/>
    <x v="2"/>
    <n v="2700.7200000000003"/>
    <m/>
    <m/>
    <n v="7"/>
  </r>
  <r>
    <x v="4367"/>
    <x v="856"/>
    <x v="1"/>
    <n v="2"/>
    <n v="81.319999999999993"/>
    <x v="406"/>
    <x v="0"/>
    <x v="0"/>
    <n v="162.63999999999999"/>
    <m/>
    <m/>
    <n v="5"/>
  </r>
  <r>
    <x v="4368"/>
    <x v="856"/>
    <x v="0"/>
    <n v="2"/>
    <n v="600.16"/>
    <x v="361"/>
    <x v="9"/>
    <x v="0"/>
    <n v="1200.32"/>
    <m/>
    <m/>
    <n v="7"/>
  </r>
  <r>
    <x v="4369"/>
    <x v="857"/>
    <x v="2"/>
    <n v="3"/>
    <n v="15.69"/>
    <x v="524"/>
    <x v="7"/>
    <x v="2"/>
    <n v="47.07"/>
    <m/>
    <m/>
    <n v="5"/>
  </r>
  <r>
    <x v="4370"/>
    <x v="857"/>
    <x v="0"/>
    <n v="1"/>
    <n v="300.08"/>
    <x v="678"/>
    <x v="0"/>
    <x v="1"/>
    <n v="300.08"/>
    <m/>
    <m/>
    <n v="5"/>
  </r>
  <r>
    <x v="4371"/>
    <x v="858"/>
    <x v="3"/>
    <n v="4"/>
    <n v="60.6"/>
    <x v="613"/>
    <x v="1"/>
    <x v="2"/>
    <n v="242.4"/>
    <m/>
    <m/>
    <n v="5"/>
  </r>
  <r>
    <x v="4372"/>
    <x v="858"/>
    <x v="6"/>
    <n v="5"/>
    <n v="179.2"/>
    <x v="787"/>
    <x v="5"/>
    <x v="3"/>
    <n v="896"/>
    <m/>
    <m/>
    <n v="5"/>
  </r>
  <r>
    <x v="4373"/>
    <x v="858"/>
    <x v="4"/>
    <n v="4"/>
    <n v="4200"/>
    <x v="51"/>
    <x v="0"/>
    <x v="4"/>
    <n v="16800"/>
    <m/>
    <m/>
    <n v="7"/>
  </r>
  <r>
    <x v="4374"/>
    <x v="858"/>
    <x v="0"/>
    <n v="5"/>
    <n v="1500.4"/>
    <x v="531"/>
    <x v="6"/>
    <x v="3"/>
    <n v="7502"/>
    <m/>
    <m/>
    <n v="7"/>
  </r>
  <r>
    <x v="4375"/>
    <x v="858"/>
    <x v="5"/>
    <n v="4"/>
    <n v="2400.6799999999998"/>
    <x v="416"/>
    <x v="5"/>
    <x v="2"/>
    <n v="9602.7199999999993"/>
    <m/>
    <m/>
    <n v="10"/>
  </r>
  <r>
    <x v="4376"/>
    <x v="859"/>
    <x v="1"/>
    <n v="5"/>
    <n v="203.3"/>
    <x v="87"/>
    <x v="0"/>
    <x v="2"/>
    <n v="1016.5"/>
    <m/>
    <m/>
    <n v="5"/>
  </r>
  <r>
    <x v="4377"/>
    <x v="859"/>
    <x v="3"/>
    <n v="1"/>
    <n v="15.15"/>
    <x v="739"/>
    <x v="3"/>
    <x v="1"/>
    <n v="15.15"/>
    <m/>
    <m/>
    <n v="5"/>
  </r>
  <r>
    <x v="4378"/>
    <x v="859"/>
    <x v="5"/>
    <n v="1"/>
    <n v="600.16999999999996"/>
    <x v="706"/>
    <x v="1"/>
    <x v="4"/>
    <n v="600.16999999999996"/>
    <m/>
    <m/>
    <n v="7"/>
  </r>
  <r>
    <x v="4379"/>
    <x v="859"/>
    <x v="5"/>
    <n v="5"/>
    <n v="3000.85"/>
    <x v="356"/>
    <x v="0"/>
    <x v="2"/>
    <n v="15004.25"/>
    <m/>
    <m/>
    <n v="7"/>
  </r>
  <r>
    <x v="4380"/>
    <x v="859"/>
    <x v="0"/>
    <n v="5"/>
    <n v="1500.4"/>
    <x v="597"/>
    <x v="1"/>
    <x v="2"/>
    <n v="7502"/>
    <m/>
    <m/>
    <n v="7"/>
  </r>
  <r>
    <x v="4381"/>
    <x v="860"/>
    <x v="0"/>
    <n v="1"/>
    <n v="300.08"/>
    <x v="709"/>
    <x v="6"/>
    <x v="2"/>
    <n v="300.08"/>
    <m/>
    <m/>
    <n v="5"/>
  </r>
  <r>
    <x v="4382"/>
    <x v="860"/>
    <x v="0"/>
    <n v="5"/>
    <n v="1500.4"/>
    <x v="750"/>
    <x v="9"/>
    <x v="0"/>
    <n v="7502"/>
    <m/>
    <m/>
    <n v="5"/>
  </r>
  <r>
    <x v="4383"/>
    <x v="860"/>
    <x v="1"/>
    <n v="1"/>
    <n v="40.659999999999997"/>
    <x v="633"/>
    <x v="9"/>
    <x v="3"/>
    <n v="40.659999999999997"/>
    <m/>
    <m/>
    <n v="7"/>
  </r>
  <r>
    <x v="4384"/>
    <x v="860"/>
    <x v="1"/>
    <n v="3"/>
    <n v="121.98"/>
    <x v="3"/>
    <x v="0"/>
    <x v="3"/>
    <n v="365.94"/>
    <m/>
    <m/>
    <n v="7"/>
  </r>
  <r>
    <x v="4385"/>
    <x v="860"/>
    <x v="3"/>
    <n v="4"/>
    <n v="60.6"/>
    <x v="690"/>
    <x v="0"/>
    <x v="3"/>
    <n v="242.4"/>
    <m/>
    <m/>
    <n v="7"/>
  </r>
  <r>
    <x v="4386"/>
    <x v="861"/>
    <x v="0"/>
    <n v="2"/>
    <n v="600.16"/>
    <x v="763"/>
    <x v="0"/>
    <x v="0"/>
    <n v="1200.32"/>
    <m/>
    <m/>
    <n v="5"/>
  </r>
  <r>
    <x v="4387"/>
    <x v="861"/>
    <x v="6"/>
    <n v="4"/>
    <n v="143.36000000000001"/>
    <x v="137"/>
    <x v="7"/>
    <x v="1"/>
    <n v="573.44000000000005"/>
    <m/>
    <m/>
    <n v="5"/>
  </r>
  <r>
    <x v="4388"/>
    <x v="861"/>
    <x v="0"/>
    <n v="2"/>
    <n v="600.16"/>
    <x v="642"/>
    <x v="0"/>
    <x v="0"/>
    <n v="1200.32"/>
    <m/>
    <m/>
    <n v="5"/>
  </r>
  <r>
    <x v="4389"/>
    <x v="861"/>
    <x v="2"/>
    <n v="5"/>
    <n v="26.15"/>
    <x v="417"/>
    <x v="6"/>
    <x v="2"/>
    <n v="130.75"/>
    <m/>
    <m/>
    <n v="5"/>
  </r>
  <r>
    <x v="4390"/>
    <x v="861"/>
    <x v="4"/>
    <n v="5"/>
    <n v="5250"/>
    <x v="425"/>
    <x v="6"/>
    <x v="3"/>
    <n v="26250"/>
    <m/>
    <m/>
    <n v="5"/>
  </r>
  <r>
    <x v="4391"/>
    <x v="861"/>
    <x v="0"/>
    <n v="1"/>
    <n v="300.08"/>
    <x v="628"/>
    <x v="0"/>
    <x v="1"/>
    <n v="300.08"/>
    <m/>
    <m/>
    <n v="10"/>
  </r>
  <r>
    <x v="4392"/>
    <x v="862"/>
    <x v="0"/>
    <n v="2"/>
    <n v="600.16"/>
    <x v="784"/>
    <x v="9"/>
    <x v="2"/>
    <n v="1200.32"/>
    <m/>
    <m/>
    <n v="5"/>
  </r>
  <r>
    <x v="4393"/>
    <x v="862"/>
    <x v="1"/>
    <n v="1"/>
    <n v="40.659999999999997"/>
    <x v="30"/>
    <x v="5"/>
    <x v="0"/>
    <n v="40.659999999999997"/>
    <m/>
    <m/>
    <n v="5"/>
  </r>
  <r>
    <x v="4394"/>
    <x v="862"/>
    <x v="1"/>
    <n v="1"/>
    <n v="40.659999999999997"/>
    <x v="473"/>
    <x v="2"/>
    <x v="1"/>
    <n v="40.659999999999997"/>
    <m/>
    <m/>
    <n v="5"/>
  </r>
  <r>
    <x v="4395"/>
    <x v="862"/>
    <x v="0"/>
    <n v="1"/>
    <n v="300.08"/>
    <x v="59"/>
    <x v="0"/>
    <x v="4"/>
    <n v="300.08"/>
    <m/>
    <m/>
    <n v="7"/>
  </r>
  <r>
    <x v="4396"/>
    <x v="862"/>
    <x v="7"/>
    <n v="4"/>
    <n v="46.92"/>
    <x v="42"/>
    <x v="1"/>
    <x v="1"/>
    <n v="187.68"/>
    <m/>
    <m/>
    <n v="10"/>
  </r>
  <r>
    <x v="4397"/>
    <x v="863"/>
    <x v="0"/>
    <n v="2"/>
    <n v="600.16"/>
    <x v="351"/>
    <x v="2"/>
    <x v="0"/>
    <n v="1200.32"/>
    <m/>
    <m/>
    <n v="5"/>
  </r>
  <r>
    <x v="4398"/>
    <x v="863"/>
    <x v="5"/>
    <n v="4"/>
    <n v="2400.6799999999998"/>
    <x v="356"/>
    <x v="5"/>
    <x v="2"/>
    <n v="9602.7199999999993"/>
    <m/>
    <m/>
    <n v="7"/>
  </r>
  <r>
    <x v="4399"/>
    <x v="863"/>
    <x v="2"/>
    <n v="5"/>
    <n v="26.15"/>
    <x v="391"/>
    <x v="2"/>
    <x v="3"/>
    <n v="130.75"/>
    <m/>
    <m/>
    <n v="7"/>
  </r>
  <r>
    <x v="4400"/>
    <x v="863"/>
    <x v="4"/>
    <n v="3"/>
    <n v="3150"/>
    <x v="554"/>
    <x v="6"/>
    <x v="3"/>
    <n v="9450"/>
    <m/>
    <m/>
    <n v="10"/>
  </r>
  <r>
    <x v="4401"/>
    <x v="864"/>
    <x v="0"/>
    <n v="4"/>
    <n v="1200.32"/>
    <x v="709"/>
    <x v="1"/>
    <x v="0"/>
    <n v="4801.28"/>
    <m/>
    <m/>
    <n v="5"/>
  </r>
  <r>
    <x v="4402"/>
    <x v="864"/>
    <x v="1"/>
    <n v="3"/>
    <n v="121.98"/>
    <x v="13"/>
    <x v="9"/>
    <x v="3"/>
    <n v="365.94"/>
    <m/>
    <m/>
    <n v="5"/>
  </r>
  <r>
    <x v="4403"/>
    <x v="864"/>
    <x v="2"/>
    <n v="3"/>
    <n v="15.69"/>
    <x v="270"/>
    <x v="0"/>
    <x v="0"/>
    <n v="47.07"/>
    <m/>
    <m/>
    <n v="5"/>
  </r>
  <r>
    <x v="4404"/>
    <x v="864"/>
    <x v="3"/>
    <n v="2"/>
    <n v="30.3"/>
    <x v="14"/>
    <x v="1"/>
    <x v="0"/>
    <n v="60.6"/>
    <m/>
    <m/>
    <n v="5"/>
  </r>
  <r>
    <x v="4405"/>
    <x v="864"/>
    <x v="5"/>
    <n v="2"/>
    <n v="1200.3399999999999"/>
    <x v="82"/>
    <x v="0"/>
    <x v="1"/>
    <n v="2400.6799999999998"/>
    <m/>
    <m/>
    <n v="5"/>
  </r>
  <r>
    <x v="4406"/>
    <x v="864"/>
    <x v="0"/>
    <n v="1"/>
    <n v="300.08"/>
    <x v="714"/>
    <x v="6"/>
    <x v="1"/>
    <n v="300.08"/>
    <m/>
    <m/>
    <n v="7"/>
  </r>
  <r>
    <x v="4407"/>
    <x v="864"/>
    <x v="2"/>
    <n v="5"/>
    <n v="26.15"/>
    <x v="781"/>
    <x v="0"/>
    <x v="0"/>
    <n v="130.75"/>
    <m/>
    <m/>
    <n v="10"/>
  </r>
  <r>
    <x v="4408"/>
    <x v="864"/>
    <x v="6"/>
    <n v="5"/>
    <n v="179.2"/>
    <x v="645"/>
    <x v="5"/>
    <x v="2"/>
    <n v="896"/>
    <m/>
    <m/>
    <n v="10"/>
  </r>
  <r>
    <x v="4409"/>
    <x v="865"/>
    <x v="1"/>
    <n v="4"/>
    <n v="162.63999999999999"/>
    <x v="28"/>
    <x v="0"/>
    <x v="0"/>
    <n v="650.55999999999995"/>
    <m/>
    <m/>
    <n v="5"/>
  </r>
  <r>
    <x v="4410"/>
    <x v="865"/>
    <x v="7"/>
    <n v="5"/>
    <n v="58.65"/>
    <x v="125"/>
    <x v="8"/>
    <x v="3"/>
    <n v="293.25"/>
    <m/>
    <m/>
    <n v="7"/>
  </r>
  <r>
    <x v="4411"/>
    <x v="865"/>
    <x v="0"/>
    <n v="2"/>
    <n v="600.16"/>
    <x v="218"/>
    <x v="0"/>
    <x v="2"/>
    <n v="1200.32"/>
    <m/>
    <m/>
    <n v="7"/>
  </r>
  <r>
    <x v="4412"/>
    <x v="865"/>
    <x v="1"/>
    <n v="2"/>
    <n v="81.319999999999993"/>
    <x v="200"/>
    <x v="9"/>
    <x v="0"/>
    <n v="162.63999999999999"/>
    <m/>
    <m/>
    <n v="10"/>
  </r>
  <r>
    <x v="4413"/>
    <x v="866"/>
    <x v="0"/>
    <n v="3"/>
    <n v="900.24"/>
    <x v="43"/>
    <x v="7"/>
    <x v="4"/>
    <n v="2700.7200000000003"/>
    <m/>
    <m/>
    <n v="5"/>
  </r>
  <r>
    <x v="4414"/>
    <x v="866"/>
    <x v="0"/>
    <n v="2"/>
    <n v="600.16"/>
    <x v="231"/>
    <x v="6"/>
    <x v="4"/>
    <n v="1200.32"/>
    <m/>
    <m/>
    <n v="5"/>
  </r>
  <r>
    <x v="4415"/>
    <x v="866"/>
    <x v="2"/>
    <n v="3"/>
    <n v="15.69"/>
    <x v="151"/>
    <x v="6"/>
    <x v="2"/>
    <n v="47.07"/>
    <m/>
    <m/>
    <n v="5"/>
  </r>
  <r>
    <x v="4416"/>
    <x v="866"/>
    <x v="2"/>
    <n v="5"/>
    <n v="26.15"/>
    <x v="534"/>
    <x v="4"/>
    <x v="1"/>
    <n v="130.75"/>
    <m/>
    <m/>
    <n v="5"/>
  </r>
  <r>
    <x v="4417"/>
    <x v="866"/>
    <x v="0"/>
    <n v="2"/>
    <n v="600.16"/>
    <x v="716"/>
    <x v="8"/>
    <x v="2"/>
    <n v="1200.32"/>
    <m/>
    <m/>
    <n v="7"/>
  </r>
  <r>
    <x v="4418"/>
    <x v="866"/>
    <x v="0"/>
    <n v="4"/>
    <n v="1200.32"/>
    <x v="388"/>
    <x v="4"/>
    <x v="3"/>
    <n v="4801.28"/>
    <m/>
    <m/>
    <n v="7"/>
  </r>
  <r>
    <x v="4419"/>
    <x v="866"/>
    <x v="6"/>
    <n v="4"/>
    <n v="143.36000000000001"/>
    <x v="267"/>
    <x v="0"/>
    <x v="0"/>
    <n v="573.44000000000005"/>
    <m/>
    <m/>
    <n v="7"/>
  </r>
  <r>
    <x v="4420"/>
    <x v="866"/>
    <x v="1"/>
    <n v="5"/>
    <n v="203.3"/>
    <x v="260"/>
    <x v="7"/>
    <x v="3"/>
    <n v="1016.5"/>
    <m/>
    <m/>
    <n v="7"/>
  </r>
  <r>
    <x v="4421"/>
    <x v="867"/>
    <x v="0"/>
    <n v="5"/>
    <n v="1500.4"/>
    <x v="245"/>
    <x v="6"/>
    <x v="0"/>
    <n v="7502"/>
    <m/>
    <m/>
    <n v="5"/>
  </r>
  <r>
    <x v="4422"/>
    <x v="867"/>
    <x v="5"/>
    <n v="5"/>
    <n v="3000.85"/>
    <x v="775"/>
    <x v="9"/>
    <x v="0"/>
    <n v="15004.25"/>
    <m/>
    <m/>
    <n v="5"/>
  </r>
  <r>
    <x v="4423"/>
    <x v="867"/>
    <x v="2"/>
    <n v="5"/>
    <n v="26.15"/>
    <x v="538"/>
    <x v="2"/>
    <x v="1"/>
    <n v="130.75"/>
    <m/>
    <m/>
    <n v="5"/>
  </r>
  <r>
    <x v="4424"/>
    <x v="867"/>
    <x v="3"/>
    <n v="4"/>
    <n v="60.6"/>
    <x v="781"/>
    <x v="6"/>
    <x v="0"/>
    <n v="242.4"/>
    <m/>
    <m/>
    <n v="10"/>
  </r>
  <r>
    <x v="4425"/>
    <x v="868"/>
    <x v="6"/>
    <n v="3"/>
    <n v="107.52"/>
    <x v="113"/>
    <x v="0"/>
    <x v="2"/>
    <n v="322.56"/>
    <m/>
    <m/>
    <n v="5"/>
  </r>
  <r>
    <x v="4426"/>
    <x v="868"/>
    <x v="1"/>
    <n v="3"/>
    <n v="121.98"/>
    <x v="89"/>
    <x v="1"/>
    <x v="0"/>
    <n v="365.94"/>
    <m/>
    <m/>
    <n v="5"/>
  </r>
  <r>
    <x v="4427"/>
    <x v="868"/>
    <x v="1"/>
    <n v="5"/>
    <n v="203.3"/>
    <x v="602"/>
    <x v="6"/>
    <x v="4"/>
    <n v="1016.5"/>
    <m/>
    <m/>
    <n v="7"/>
  </r>
  <r>
    <x v="4428"/>
    <x v="868"/>
    <x v="5"/>
    <n v="3"/>
    <n v="1800.51"/>
    <x v="628"/>
    <x v="0"/>
    <x v="0"/>
    <n v="5401.53"/>
    <m/>
    <m/>
    <n v="10"/>
  </r>
  <r>
    <x v="4429"/>
    <x v="869"/>
    <x v="5"/>
    <n v="3"/>
    <n v="1800.51"/>
    <x v="57"/>
    <x v="9"/>
    <x v="3"/>
    <n v="5401.53"/>
    <m/>
    <m/>
    <n v="5"/>
  </r>
  <r>
    <x v="4430"/>
    <x v="869"/>
    <x v="3"/>
    <n v="5"/>
    <n v="75.75"/>
    <x v="186"/>
    <x v="0"/>
    <x v="0"/>
    <n v="378.75"/>
    <m/>
    <m/>
    <n v="5"/>
  </r>
  <r>
    <x v="4431"/>
    <x v="869"/>
    <x v="0"/>
    <n v="5"/>
    <n v="1500.4"/>
    <x v="555"/>
    <x v="1"/>
    <x v="4"/>
    <n v="7502"/>
    <m/>
    <m/>
    <n v="5"/>
  </r>
  <r>
    <x v="4432"/>
    <x v="869"/>
    <x v="1"/>
    <n v="1"/>
    <n v="40.659999999999997"/>
    <x v="322"/>
    <x v="0"/>
    <x v="0"/>
    <n v="40.659999999999997"/>
    <m/>
    <m/>
    <n v="7"/>
  </r>
  <r>
    <x v="4433"/>
    <x v="869"/>
    <x v="1"/>
    <n v="4"/>
    <n v="162.63999999999999"/>
    <x v="615"/>
    <x v="1"/>
    <x v="0"/>
    <n v="650.55999999999995"/>
    <m/>
    <m/>
    <n v="7"/>
  </r>
  <r>
    <x v="4434"/>
    <x v="869"/>
    <x v="1"/>
    <n v="3"/>
    <n v="121.98"/>
    <x v="211"/>
    <x v="3"/>
    <x v="2"/>
    <n v="365.94"/>
    <m/>
    <m/>
    <n v="10"/>
  </r>
  <r>
    <x v="4435"/>
    <x v="870"/>
    <x v="4"/>
    <n v="1"/>
    <n v="1050"/>
    <x v="758"/>
    <x v="3"/>
    <x v="3"/>
    <n v="1050"/>
    <m/>
    <m/>
    <n v="5"/>
  </r>
  <r>
    <x v="4436"/>
    <x v="870"/>
    <x v="4"/>
    <n v="5"/>
    <n v="5250"/>
    <x v="646"/>
    <x v="1"/>
    <x v="2"/>
    <n v="26250"/>
    <m/>
    <m/>
    <n v="5"/>
  </r>
  <r>
    <x v="4437"/>
    <x v="870"/>
    <x v="5"/>
    <n v="4"/>
    <n v="2400.6799999999998"/>
    <x v="742"/>
    <x v="0"/>
    <x v="3"/>
    <n v="9602.7199999999993"/>
    <m/>
    <m/>
    <n v="7"/>
  </r>
  <r>
    <x v="4438"/>
    <x v="870"/>
    <x v="1"/>
    <n v="3"/>
    <n v="121.98"/>
    <x v="771"/>
    <x v="1"/>
    <x v="2"/>
    <n v="365.94"/>
    <m/>
    <m/>
    <n v="7"/>
  </r>
  <r>
    <x v="4439"/>
    <x v="870"/>
    <x v="4"/>
    <n v="5"/>
    <n v="5250"/>
    <x v="236"/>
    <x v="9"/>
    <x v="4"/>
    <n v="26250"/>
    <m/>
    <m/>
    <n v="7"/>
  </r>
  <r>
    <x v="4440"/>
    <x v="871"/>
    <x v="0"/>
    <n v="3"/>
    <n v="900.24"/>
    <x v="661"/>
    <x v="3"/>
    <x v="2"/>
    <n v="2700.7200000000003"/>
    <m/>
    <m/>
    <n v="5"/>
  </r>
  <r>
    <x v="4441"/>
    <x v="871"/>
    <x v="2"/>
    <n v="5"/>
    <n v="26.15"/>
    <x v="240"/>
    <x v="4"/>
    <x v="2"/>
    <n v="130.75"/>
    <m/>
    <m/>
    <n v="5"/>
  </r>
  <r>
    <x v="4442"/>
    <x v="871"/>
    <x v="6"/>
    <n v="3"/>
    <n v="107.52"/>
    <x v="270"/>
    <x v="4"/>
    <x v="4"/>
    <n v="322.56"/>
    <m/>
    <m/>
    <n v="5"/>
  </r>
  <r>
    <x v="4443"/>
    <x v="871"/>
    <x v="0"/>
    <n v="5"/>
    <n v="1500.4"/>
    <x v="327"/>
    <x v="1"/>
    <x v="2"/>
    <n v="7502"/>
    <m/>
    <m/>
    <n v="5"/>
  </r>
  <r>
    <x v="4444"/>
    <x v="871"/>
    <x v="2"/>
    <n v="4"/>
    <n v="20.92"/>
    <x v="276"/>
    <x v="0"/>
    <x v="2"/>
    <n v="83.68"/>
    <m/>
    <m/>
    <n v="5"/>
  </r>
  <r>
    <x v="4445"/>
    <x v="871"/>
    <x v="0"/>
    <n v="2"/>
    <n v="600.16"/>
    <x v="118"/>
    <x v="0"/>
    <x v="3"/>
    <n v="1200.32"/>
    <m/>
    <m/>
    <n v="7"/>
  </r>
  <r>
    <x v="4446"/>
    <x v="872"/>
    <x v="2"/>
    <n v="2"/>
    <n v="10.46"/>
    <x v="529"/>
    <x v="1"/>
    <x v="3"/>
    <n v="20.92"/>
    <m/>
    <m/>
    <n v="10"/>
  </r>
  <r>
    <x v="4447"/>
    <x v="872"/>
    <x v="0"/>
    <n v="3"/>
    <n v="900.24"/>
    <x v="299"/>
    <x v="9"/>
    <x v="2"/>
    <n v="2700.7200000000003"/>
    <m/>
    <m/>
    <n v="10"/>
  </r>
  <r>
    <x v="4448"/>
    <x v="873"/>
    <x v="1"/>
    <n v="3"/>
    <n v="121.98"/>
    <x v="239"/>
    <x v="0"/>
    <x v="4"/>
    <n v="365.94"/>
    <m/>
    <m/>
    <n v="5"/>
  </r>
  <r>
    <x v="4449"/>
    <x v="873"/>
    <x v="2"/>
    <n v="3"/>
    <n v="15.69"/>
    <x v="641"/>
    <x v="4"/>
    <x v="0"/>
    <n v="47.07"/>
    <m/>
    <m/>
    <n v="5"/>
  </r>
  <r>
    <x v="4450"/>
    <x v="873"/>
    <x v="1"/>
    <n v="2"/>
    <n v="81.319999999999993"/>
    <x v="134"/>
    <x v="2"/>
    <x v="0"/>
    <n v="162.63999999999999"/>
    <m/>
    <m/>
    <n v="5"/>
  </r>
  <r>
    <x v="4451"/>
    <x v="873"/>
    <x v="0"/>
    <n v="2"/>
    <n v="600.16"/>
    <x v="395"/>
    <x v="2"/>
    <x v="4"/>
    <n v="1200.32"/>
    <m/>
    <m/>
    <n v="7"/>
  </r>
  <r>
    <x v="4452"/>
    <x v="874"/>
    <x v="0"/>
    <n v="4"/>
    <n v="1200.32"/>
    <x v="349"/>
    <x v="7"/>
    <x v="4"/>
    <n v="4801.28"/>
    <m/>
    <m/>
    <n v="7"/>
  </r>
  <r>
    <x v="4453"/>
    <x v="874"/>
    <x v="7"/>
    <n v="5"/>
    <n v="58.65"/>
    <x v="35"/>
    <x v="5"/>
    <x v="1"/>
    <n v="293.25"/>
    <m/>
    <m/>
    <n v="7"/>
  </r>
  <r>
    <x v="4454"/>
    <x v="874"/>
    <x v="0"/>
    <n v="2"/>
    <n v="600.16"/>
    <x v="791"/>
    <x v="0"/>
    <x v="4"/>
    <n v="1200.32"/>
    <m/>
    <m/>
    <n v="7"/>
  </r>
  <r>
    <x v="4455"/>
    <x v="874"/>
    <x v="2"/>
    <n v="2"/>
    <n v="10.46"/>
    <x v="170"/>
    <x v="1"/>
    <x v="0"/>
    <n v="20.92"/>
    <m/>
    <m/>
    <n v="10"/>
  </r>
  <r>
    <x v="4456"/>
    <x v="875"/>
    <x v="2"/>
    <n v="2"/>
    <n v="10.46"/>
    <x v="525"/>
    <x v="6"/>
    <x v="4"/>
    <n v="20.92"/>
    <m/>
    <m/>
    <n v="5"/>
  </r>
  <r>
    <x v="4457"/>
    <x v="875"/>
    <x v="0"/>
    <n v="3"/>
    <n v="900.24"/>
    <x v="401"/>
    <x v="1"/>
    <x v="0"/>
    <n v="2700.7200000000003"/>
    <m/>
    <m/>
    <n v="7"/>
  </r>
  <r>
    <x v="4458"/>
    <x v="876"/>
    <x v="1"/>
    <n v="5"/>
    <n v="203.3"/>
    <x v="785"/>
    <x v="0"/>
    <x v="3"/>
    <n v="1016.5"/>
    <m/>
    <m/>
    <n v="5"/>
  </r>
  <r>
    <x v="4459"/>
    <x v="876"/>
    <x v="5"/>
    <n v="3"/>
    <n v="1800.51"/>
    <x v="34"/>
    <x v="1"/>
    <x v="2"/>
    <n v="5401.53"/>
    <m/>
    <m/>
    <n v="5"/>
  </r>
  <r>
    <x v="4460"/>
    <x v="876"/>
    <x v="0"/>
    <n v="1"/>
    <n v="300.08"/>
    <x v="354"/>
    <x v="6"/>
    <x v="4"/>
    <n v="300.08"/>
    <m/>
    <m/>
    <n v="5"/>
  </r>
  <r>
    <x v="4461"/>
    <x v="876"/>
    <x v="7"/>
    <n v="1"/>
    <n v="11.73"/>
    <x v="777"/>
    <x v="0"/>
    <x v="1"/>
    <n v="11.73"/>
    <m/>
    <m/>
    <n v="7"/>
  </r>
  <r>
    <x v="4462"/>
    <x v="877"/>
    <x v="6"/>
    <n v="5"/>
    <n v="179.2"/>
    <x v="286"/>
    <x v="4"/>
    <x v="1"/>
    <n v="896"/>
    <m/>
    <m/>
    <n v="5"/>
  </r>
  <r>
    <x v="4463"/>
    <x v="877"/>
    <x v="3"/>
    <n v="2"/>
    <n v="30.3"/>
    <x v="19"/>
    <x v="3"/>
    <x v="3"/>
    <n v="60.6"/>
    <m/>
    <m/>
    <n v="7"/>
  </r>
  <r>
    <x v="4464"/>
    <x v="877"/>
    <x v="1"/>
    <n v="1"/>
    <n v="40.659999999999997"/>
    <x v="4"/>
    <x v="1"/>
    <x v="4"/>
    <n v="40.659999999999997"/>
    <m/>
    <m/>
    <n v="7"/>
  </r>
  <r>
    <x v="4465"/>
    <x v="877"/>
    <x v="0"/>
    <n v="1"/>
    <n v="300.08"/>
    <x v="698"/>
    <x v="0"/>
    <x v="0"/>
    <n v="300.08"/>
    <m/>
    <m/>
    <n v="7"/>
  </r>
  <r>
    <x v="4466"/>
    <x v="878"/>
    <x v="0"/>
    <n v="1"/>
    <n v="300.08"/>
    <x v="749"/>
    <x v="9"/>
    <x v="4"/>
    <n v="300.08"/>
    <m/>
    <m/>
    <n v="5"/>
  </r>
  <r>
    <x v="4467"/>
    <x v="878"/>
    <x v="2"/>
    <n v="5"/>
    <n v="26.15"/>
    <x v="610"/>
    <x v="2"/>
    <x v="3"/>
    <n v="130.75"/>
    <m/>
    <m/>
    <n v="5"/>
  </r>
  <r>
    <x v="4468"/>
    <x v="878"/>
    <x v="5"/>
    <n v="4"/>
    <n v="2400.6799999999998"/>
    <x v="231"/>
    <x v="4"/>
    <x v="2"/>
    <n v="9602.7199999999993"/>
    <m/>
    <m/>
    <n v="5"/>
  </r>
  <r>
    <x v="4469"/>
    <x v="878"/>
    <x v="6"/>
    <n v="1"/>
    <n v="35.840000000000003"/>
    <x v="140"/>
    <x v="8"/>
    <x v="3"/>
    <n v="35.840000000000003"/>
    <m/>
    <m/>
    <n v="7"/>
  </r>
  <r>
    <x v="4470"/>
    <x v="878"/>
    <x v="0"/>
    <n v="3"/>
    <n v="900.24"/>
    <x v="764"/>
    <x v="5"/>
    <x v="3"/>
    <n v="2700.7200000000003"/>
    <m/>
    <m/>
    <n v="7"/>
  </r>
  <r>
    <x v="4471"/>
    <x v="878"/>
    <x v="6"/>
    <n v="1"/>
    <n v="35.840000000000003"/>
    <x v="25"/>
    <x v="6"/>
    <x v="1"/>
    <n v="35.840000000000003"/>
    <m/>
    <m/>
    <n v="7"/>
  </r>
  <r>
    <x v="4472"/>
    <x v="879"/>
    <x v="0"/>
    <n v="2"/>
    <n v="600.16"/>
    <x v="95"/>
    <x v="7"/>
    <x v="3"/>
    <n v="1200.32"/>
    <m/>
    <m/>
    <n v="5"/>
  </r>
  <r>
    <x v="4473"/>
    <x v="879"/>
    <x v="1"/>
    <n v="1"/>
    <n v="40.659999999999997"/>
    <x v="584"/>
    <x v="4"/>
    <x v="2"/>
    <n v="40.659999999999997"/>
    <m/>
    <m/>
    <n v="7"/>
  </r>
  <r>
    <x v="4474"/>
    <x v="879"/>
    <x v="0"/>
    <n v="1"/>
    <n v="300.08"/>
    <x v="35"/>
    <x v="6"/>
    <x v="3"/>
    <n v="300.08"/>
    <m/>
    <m/>
    <n v="7"/>
  </r>
  <r>
    <x v="4475"/>
    <x v="879"/>
    <x v="2"/>
    <n v="5"/>
    <n v="26.15"/>
    <x v="411"/>
    <x v="1"/>
    <x v="3"/>
    <n v="130.75"/>
    <m/>
    <m/>
    <n v="7"/>
  </r>
  <r>
    <x v="4476"/>
    <x v="879"/>
    <x v="0"/>
    <n v="5"/>
    <n v="1500.4"/>
    <x v="24"/>
    <x v="0"/>
    <x v="3"/>
    <n v="7502"/>
    <m/>
    <m/>
    <n v="7"/>
  </r>
  <r>
    <x v="4477"/>
    <x v="879"/>
    <x v="0"/>
    <n v="4"/>
    <n v="1200.32"/>
    <x v="409"/>
    <x v="5"/>
    <x v="2"/>
    <n v="4801.28"/>
    <m/>
    <m/>
    <n v="7"/>
  </r>
  <r>
    <x v="4478"/>
    <x v="879"/>
    <x v="0"/>
    <n v="3"/>
    <n v="900.24"/>
    <x v="592"/>
    <x v="1"/>
    <x v="4"/>
    <n v="2700.7200000000003"/>
    <m/>
    <m/>
    <n v="7"/>
  </r>
  <r>
    <x v="4479"/>
    <x v="879"/>
    <x v="0"/>
    <n v="1"/>
    <n v="300.08"/>
    <x v="765"/>
    <x v="0"/>
    <x v="0"/>
    <n v="300.08"/>
    <m/>
    <m/>
    <n v="10"/>
  </r>
  <r>
    <x v="4480"/>
    <x v="880"/>
    <x v="2"/>
    <n v="2"/>
    <n v="10.46"/>
    <x v="22"/>
    <x v="4"/>
    <x v="2"/>
    <n v="20.92"/>
    <m/>
    <m/>
    <n v="5"/>
  </r>
  <r>
    <x v="4481"/>
    <x v="880"/>
    <x v="2"/>
    <n v="4"/>
    <n v="20.92"/>
    <x v="479"/>
    <x v="1"/>
    <x v="2"/>
    <n v="83.68"/>
    <m/>
    <m/>
    <n v="5"/>
  </r>
  <r>
    <x v="4482"/>
    <x v="880"/>
    <x v="0"/>
    <n v="3"/>
    <n v="900.24"/>
    <x v="669"/>
    <x v="4"/>
    <x v="1"/>
    <n v="2700.7200000000003"/>
    <m/>
    <m/>
    <n v="5"/>
  </r>
  <r>
    <x v="4483"/>
    <x v="880"/>
    <x v="3"/>
    <n v="3"/>
    <n v="45.45"/>
    <x v="742"/>
    <x v="0"/>
    <x v="0"/>
    <n v="136.35000000000002"/>
    <m/>
    <m/>
    <n v="7"/>
  </r>
  <r>
    <x v="4484"/>
    <x v="881"/>
    <x v="2"/>
    <n v="4"/>
    <n v="20.92"/>
    <x v="268"/>
    <x v="6"/>
    <x v="1"/>
    <n v="83.68"/>
    <m/>
    <m/>
    <n v="5"/>
  </r>
  <r>
    <x v="4485"/>
    <x v="881"/>
    <x v="0"/>
    <n v="5"/>
    <n v="1500.4"/>
    <x v="235"/>
    <x v="1"/>
    <x v="4"/>
    <n v="7502"/>
    <m/>
    <m/>
    <n v="7"/>
  </r>
  <r>
    <x v="4486"/>
    <x v="881"/>
    <x v="2"/>
    <n v="2"/>
    <n v="10.46"/>
    <x v="237"/>
    <x v="1"/>
    <x v="0"/>
    <n v="20.92"/>
    <m/>
    <m/>
    <n v="7"/>
  </r>
  <r>
    <x v="4487"/>
    <x v="881"/>
    <x v="2"/>
    <n v="5"/>
    <n v="26.15"/>
    <x v="423"/>
    <x v="7"/>
    <x v="2"/>
    <n v="130.75"/>
    <m/>
    <m/>
    <n v="10"/>
  </r>
  <r>
    <x v="4488"/>
    <x v="882"/>
    <x v="2"/>
    <n v="1"/>
    <n v="5.23"/>
    <x v="83"/>
    <x v="1"/>
    <x v="0"/>
    <n v="5.23"/>
    <m/>
    <m/>
    <n v="5"/>
  </r>
  <r>
    <x v="4489"/>
    <x v="882"/>
    <x v="0"/>
    <n v="5"/>
    <n v="1500.4"/>
    <x v="302"/>
    <x v="1"/>
    <x v="4"/>
    <n v="7502"/>
    <m/>
    <m/>
    <n v="5"/>
  </r>
  <r>
    <x v="4490"/>
    <x v="882"/>
    <x v="1"/>
    <n v="5"/>
    <n v="203.3"/>
    <x v="9"/>
    <x v="9"/>
    <x v="1"/>
    <n v="1016.5"/>
    <m/>
    <m/>
    <n v="7"/>
  </r>
  <r>
    <x v="4491"/>
    <x v="883"/>
    <x v="0"/>
    <n v="5"/>
    <n v="1500.4"/>
    <x v="524"/>
    <x v="0"/>
    <x v="2"/>
    <n v="7502"/>
    <m/>
    <m/>
    <n v="5"/>
  </r>
  <r>
    <x v="4492"/>
    <x v="883"/>
    <x v="0"/>
    <n v="5"/>
    <n v="1500.4"/>
    <x v="158"/>
    <x v="3"/>
    <x v="4"/>
    <n v="7502"/>
    <m/>
    <m/>
    <n v="5"/>
  </r>
  <r>
    <x v="4493"/>
    <x v="884"/>
    <x v="0"/>
    <n v="2"/>
    <n v="600.16"/>
    <x v="520"/>
    <x v="0"/>
    <x v="3"/>
    <n v="1200.32"/>
    <m/>
    <m/>
    <n v="5"/>
  </r>
  <r>
    <x v="4494"/>
    <x v="884"/>
    <x v="5"/>
    <n v="1"/>
    <n v="600.16999999999996"/>
    <x v="602"/>
    <x v="6"/>
    <x v="3"/>
    <n v="600.16999999999996"/>
    <m/>
    <m/>
    <n v="7"/>
  </r>
  <r>
    <x v="4495"/>
    <x v="884"/>
    <x v="0"/>
    <n v="1"/>
    <n v="300.08"/>
    <x v="395"/>
    <x v="6"/>
    <x v="2"/>
    <n v="300.08"/>
    <m/>
    <m/>
    <n v="7"/>
  </r>
  <r>
    <x v="4496"/>
    <x v="884"/>
    <x v="0"/>
    <n v="1"/>
    <n v="300.08"/>
    <x v="170"/>
    <x v="6"/>
    <x v="2"/>
    <n v="300.08"/>
    <m/>
    <m/>
    <n v="10"/>
  </r>
  <r>
    <x v="4497"/>
    <x v="884"/>
    <x v="0"/>
    <n v="2"/>
    <n v="600.16"/>
    <x v="666"/>
    <x v="6"/>
    <x v="0"/>
    <n v="1200.32"/>
    <m/>
    <m/>
    <n v="10"/>
  </r>
  <r>
    <x v="4498"/>
    <x v="885"/>
    <x v="4"/>
    <n v="3"/>
    <n v="3150"/>
    <x v="312"/>
    <x v="2"/>
    <x v="4"/>
    <n v="9450"/>
    <m/>
    <m/>
    <n v="5"/>
  </r>
  <r>
    <x v="4499"/>
    <x v="885"/>
    <x v="4"/>
    <n v="2"/>
    <n v="2100"/>
    <x v="763"/>
    <x v="6"/>
    <x v="1"/>
    <n v="4200"/>
    <m/>
    <m/>
    <n v="5"/>
  </r>
  <r>
    <x v="4500"/>
    <x v="885"/>
    <x v="0"/>
    <n v="2"/>
    <n v="600.16"/>
    <x v="208"/>
    <x v="1"/>
    <x v="4"/>
    <n v="1200.32"/>
    <m/>
    <m/>
    <n v="5"/>
  </r>
  <r>
    <x v="4501"/>
    <x v="885"/>
    <x v="1"/>
    <n v="4"/>
    <n v="162.63999999999999"/>
    <x v="316"/>
    <x v="9"/>
    <x v="0"/>
    <n v="650.55999999999995"/>
    <m/>
    <m/>
    <n v="7"/>
  </r>
  <r>
    <x v="4502"/>
    <x v="886"/>
    <x v="7"/>
    <n v="2"/>
    <n v="23.46"/>
    <x v="64"/>
    <x v="6"/>
    <x v="4"/>
    <n v="46.92"/>
    <m/>
    <m/>
    <n v="5"/>
  </r>
  <r>
    <x v="4503"/>
    <x v="886"/>
    <x v="5"/>
    <n v="2"/>
    <n v="1200.3399999999999"/>
    <x v="326"/>
    <x v="1"/>
    <x v="4"/>
    <n v="2400.6799999999998"/>
    <m/>
    <m/>
    <n v="5"/>
  </r>
  <r>
    <x v="4504"/>
    <x v="886"/>
    <x v="0"/>
    <n v="2"/>
    <n v="600.16"/>
    <x v="534"/>
    <x v="7"/>
    <x v="0"/>
    <n v="1200.32"/>
    <m/>
    <m/>
    <n v="5"/>
  </r>
  <r>
    <x v="4505"/>
    <x v="886"/>
    <x v="1"/>
    <n v="3"/>
    <n v="121.98"/>
    <x v="604"/>
    <x v="0"/>
    <x v="1"/>
    <n v="365.94"/>
    <m/>
    <m/>
    <n v="5"/>
  </r>
  <r>
    <x v="4506"/>
    <x v="886"/>
    <x v="0"/>
    <n v="2"/>
    <n v="600.16"/>
    <x v="399"/>
    <x v="6"/>
    <x v="3"/>
    <n v="1200.32"/>
    <m/>
    <m/>
    <n v="7"/>
  </r>
  <r>
    <x v="4507"/>
    <x v="886"/>
    <x v="1"/>
    <n v="5"/>
    <n v="203.3"/>
    <x v="356"/>
    <x v="4"/>
    <x v="1"/>
    <n v="1016.5"/>
    <m/>
    <m/>
    <n v="7"/>
  </r>
  <r>
    <x v="4508"/>
    <x v="887"/>
    <x v="2"/>
    <n v="1"/>
    <n v="5.23"/>
    <x v="212"/>
    <x v="6"/>
    <x v="3"/>
    <n v="5.23"/>
    <m/>
    <m/>
    <n v="5"/>
  </r>
  <r>
    <x v="4509"/>
    <x v="887"/>
    <x v="2"/>
    <n v="4"/>
    <n v="20.92"/>
    <x v="774"/>
    <x v="4"/>
    <x v="4"/>
    <n v="83.68"/>
    <m/>
    <m/>
    <n v="7"/>
  </r>
  <r>
    <x v="4510"/>
    <x v="887"/>
    <x v="0"/>
    <n v="3"/>
    <n v="900.24"/>
    <x v="488"/>
    <x v="1"/>
    <x v="3"/>
    <n v="2700.7200000000003"/>
    <m/>
    <m/>
    <n v="7"/>
  </r>
  <r>
    <x v="4511"/>
    <x v="887"/>
    <x v="7"/>
    <n v="2"/>
    <n v="23.46"/>
    <x v="182"/>
    <x v="3"/>
    <x v="4"/>
    <n v="46.92"/>
    <m/>
    <m/>
    <n v="7"/>
  </r>
  <r>
    <x v="4512"/>
    <x v="887"/>
    <x v="2"/>
    <n v="4"/>
    <n v="20.92"/>
    <x v="219"/>
    <x v="0"/>
    <x v="0"/>
    <n v="83.68"/>
    <m/>
    <m/>
    <n v="7"/>
  </r>
  <r>
    <x v="4513"/>
    <x v="887"/>
    <x v="3"/>
    <n v="4"/>
    <n v="60.6"/>
    <x v="554"/>
    <x v="1"/>
    <x v="2"/>
    <n v="242.4"/>
    <m/>
    <m/>
    <n v="10"/>
  </r>
  <r>
    <x v="4514"/>
    <x v="888"/>
    <x v="2"/>
    <n v="2"/>
    <n v="10.46"/>
    <x v="500"/>
    <x v="4"/>
    <x v="0"/>
    <n v="20.92"/>
    <m/>
    <m/>
    <n v="5"/>
  </r>
  <r>
    <x v="4515"/>
    <x v="888"/>
    <x v="0"/>
    <n v="5"/>
    <n v="1500.4"/>
    <x v="747"/>
    <x v="7"/>
    <x v="1"/>
    <n v="7502"/>
    <m/>
    <m/>
    <n v="7"/>
  </r>
  <r>
    <x v="4516"/>
    <x v="888"/>
    <x v="6"/>
    <n v="5"/>
    <n v="179.2"/>
    <x v="36"/>
    <x v="0"/>
    <x v="1"/>
    <n v="896"/>
    <m/>
    <m/>
    <n v="7"/>
  </r>
  <r>
    <x v="4517"/>
    <x v="888"/>
    <x v="2"/>
    <n v="5"/>
    <n v="26.15"/>
    <x v="607"/>
    <x v="0"/>
    <x v="4"/>
    <n v="130.75"/>
    <m/>
    <m/>
    <n v="7"/>
  </r>
  <r>
    <x v="4518"/>
    <x v="889"/>
    <x v="4"/>
    <n v="1"/>
    <n v="1050"/>
    <x v="220"/>
    <x v="9"/>
    <x v="3"/>
    <n v="1050"/>
    <m/>
    <m/>
    <n v="5"/>
  </r>
  <r>
    <x v="4519"/>
    <x v="889"/>
    <x v="0"/>
    <n v="1"/>
    <n v="300.08"/>
    <x v="483"/>
    <x v="6"/>
    <x v="4"/>
    <n v="300.08"/>
    <m/>
    <m/>
    <n v="5"/>
  </r>
  <r>
    <x v="4520"/>
    <x v="889"/>
    <x v="0"/>
    <n v="5"/>
    <n v="1500.4"/>
    <x v="670"/>
    <x v="3"/>
    <x v="4"/>
    <n v="7502"/>
    <m/>
    <m/>
    <n v="5"/>
  </r>
  <r>
    <x v="4521"/>
    <x v="889"/>
    <x v="0"/>
    <n v="4"/>
    <n v="1200.32"/>
    <x v="82"/>
    <x v="1"/>
    <x v="1"/>
    <n v="4801.28"/>
    <m/>
    <m/>
    <n v="5"/>
  </r>
  <r>
    <x v="4522"/>
    <x v="889"/>
    <x v="3"/>
    <n v="1"/>
    <n v="15.15"/>
    <x v="276"/>
    <x v="6"/>
    <x v="2"/>
    <n v="15.15"/>
    <m/>
    <m/>
    <n v="5"/>
  </r>
  <r>
    <x v="4523"/>
    <x v="889"/>
    <x v="1"/>
    <n v="4"/>
    <n v="162.63999999999999"/>
    <x v="76"/>
    <x v="1"/>
    <x v="0"/>
    <n v="650.55999999999995"/>
    <m/>
    <m/>
    <n v="7"/>
  </r>
  <r>
    <x v="4524"/>
    <x v="889"/>
    <x v="3"/>
    <n v="3"/>
    <n v="45.45"/>
    <x v="118"/>
    <x v="0"/>
    <x v="3"/>
    <n v="136.35000000000002"/>
    <m/>
    <m/>
    <n v="7"/>
  </r>
  <r>
    <x v="4525"/>
    <x v="889"/>
    <x v="0"/>
    <n v="5"/>
    <n v="1500.4"/>
    <x v="191"/>
    <x v="6"/>
    <x v="1"/>
    <n v="7502"/>
    <m/>
    <m/>
    <n v="7"/>
  </r>
  <r>
    <x v="4526"/>
    <x v="890"/>
    <x v="0"/>
    <n v="2"/>
    <n v="600.16"/>
    <x v="80"/>
    <x v="9"/>
    <x v="4"/>
    <n v="1200.32"/>
    <m/>
    <m/>
    <n v="5"/>
  </r>
  <r>
    <x v="4527"/>
    <x v="890"/>
    <x v="0"/>
    <n v="4"/>
    <n v="1200.32"/>
    <x v="652"/>
    <x v="3"/>
    <x v="0"/>
    <n v="4801.28"/>
    <m/>
    <m/>
    <n v="5"/>
  </r>
  <r>
    <x v="4528"/>
    <x v="890"/>
    <x v="5"/>
    <n v="1"/>
    <n v="600.16999999999996"/>
    <x v="150"/>
    <x v="6"/>
    <x v="1"/>
    <n v="600.16999999999996"/>
    <m/>
    <m/>
    <n v="5"/>
  </r>
  <r>
    <x v="4529"/>
    <x v="890"/>
    <x v="1"/>
    <n v="4"/>
    <n v="162.63999999999999"/>
    <x v="454"/>
    <x v="9"/>
    <x v="0"/>
    <n v="650.55999999999995"/>
    <m/>
    <m/>
    <n v="7"/>
  </r>
  <r>
    <x v="4530"/>
    <x v="890"/>
    <x v="0"/>
    <n v="2"/>
    <n v="600.16"/>
    <x v="426"/>
    <x v="5"/>
    <x v="0"/>
    <n v="1200.32"/>
    <m/>
    <m/>
    <n v="7"/>
  </r>
  <r>
    <x v="4531"/>
    <x v="890"/>
    <x v="7"/>
    <n v="2"/>
    <n v="23.46"/>
    <x v="621"/>
    <x v="0"/>
    <x v="2"/>
    <n v="46.92"/>
    <m/>
    <m/>
    <n v="7"/>
  </r>
  <r>
    <x v="4532"/>
    <x v="890"/>
    <x v="5"/>
    <n v="5"/>
    <n v="3000.85"/>
    <x v="574"/>
    <x v="9"/>
    <x v="1"/>
    <n v="15004.25"/>
    <m/>
    <m/>
    <n v="7"/>
  </r>
  <r>
    <x v="4533"/>
    <x v="891"/>
    <x v="6"/>
    <n v="2"/>
    <n v="71.680000000000007"/>
    <x v="693"/>
    <x v="4"/>
    <x v="1"/>
    <n v="143.36000000000001"/>
    <m/>
    <m/>
    <n v="10"/>
  </r>
  <r>
    <x v="4534"/>
    <x v="892"/>
    <x v="0"/>
    <n v="4"/>
    <n v="1200.32"/>
    <x v="618"/>
    <x v="9"/>
    <x v="0"/>
    <n v="4801.28"/>
    <m/>
    <m/>
    <n v="5"/>
  </r>
  <r>
    <x v="4535"/>
    <x v="892"/>
    <x v="3"/>
    <n v="5"/>
    <n v="75.75"/>
    <x v="21"/>
    <x v="4"/>
    <x v="4"/>
    <n v="378.75"/>
    <m/>
    <m/>
    <n v="5"/>
  </r>
  <r>
    <x v="4536"/>
    <x v="892"/>
    <x v="0"/>
    <n v="5"/>
    <n v="1500.4"/>
    <x v="391"/>
    <x v="0"/>
    <x v="0"/>
    <n v="7502"/>
    <m/>
    <m/>
    <n v="7"/>
  </r>
  <r>
    <x v="4537"/>
    <x v="892"/>
    <x v="2"/>
    <n v="5"/>
    <n v="26.15"/>
    <x v="49"/>
    <x v="0"/>
    <x v="0"/>
    <n v="130.75"/>
    <m/>
    <m/>
    <n v="7"/>
  </r>
  <r>
    <x v="4538"/>
    <x v="893"/>
    <x v="0"/>
    <n v="1"/>
    <n v="300.08"/>
    <x v="709"/>
    <x v="2"/>
    <x v="3"/>
    <n v="300.08"/>
    <m/>
    <m/>
    <n v="5"/>
  </r>
  <r>
    <x v="4539"/>
    <x v="893"/>
    <x v="0"/>
    <n v="1"/>
    <n v="300.08"/>
    <x v="475"/>
    <x v="1"/>
    <x v="1"/>
    <n v="300.08"/>
    <m/>
    <m/>
    <n v="5"/>
  </r>
  <r>
    <x v="4540"/>
    <x v="893"/>
    <x v="0"/>
    <n v="2"/>
    <n v="600.16"/>
    <x v="323"/>
    <x v="4"/>
    <x v="0"/>
    <n v="1200.32"/>
    <m/>
    <m/>
    <n v="7"/>
  </r>
  <r>
    <x v="4541"/>
    <x v="894"/>
    <x v="2"/>
    <n v="2"/>
    <n v="10.46"/>
    <x v="495"/>
    <x v="8"/>
    <x v="2"/>
    <n v="20.92"/>
    <m/>
    <m/>
    <n v="5"/>
  </r>
  <r>
    <x v="4542"/>
    <x v="894"/>
    <x v="0"/>
    <n v="3"/>
    <n v="900.24"/>
    <x v="387"/>
    <x v="1"/>
    <x v="4"/>
    <n v="2700.7200000000003"/>
    <m/>
    <m/>
    <n v="5"/>
  </r>
  <r>
    <x v="4543"/>
    <x v="894"/>
    <x v="0"/>
    <n v="5"/>
    <n v="1500.4"/>
    <x v="665"/>
    <x v="1"/>
    <x v="2"/>
    <n v="7502"/>
    <m/>
    <m/>
    <n v="7"/>
  </r>
  <r>
    <x v="4544"/>
    <x v="894"/>
    <x v="0"/>
    <n v="5"/>
    <n v="1500.4"/>
    <x v="26"/>
    <x v="0"/>
    <x v="2"/>
    <n v="7502"/>
    <m/>
    <m/>
    <n v="10"/>
  </r>
  <r>
    <x v="4545"/>
    <x v="895"/>
    <x v="6"/>
    <n v="3"/>
    <n v="107.52"/>
    <x v="591"/>
    <x v="6"/>
    <x v="4"/>
    <n v="322.56"/>
    <m/>
    <m/>
    <n v="7"/>
  </r>
  <r>
    <x v="4546"/>
    <x v="895"/>
    <x v="2"/>
    <n v="3"/>
    <n v="15.69"/>
    <x v="531"/>
    <x v="1"/>
    <x v="2"/>
    <n v="47.07"/>
    <m/>
    <m/>
    <n v="7"/>
  </r>
  <r>
    <x v="4547"/>
    <x v="895"/>
    <x v="3"/>
    <n v="3"/>
    <n v="45.45"/>
    <x v="287"/>
    <x v="0"/>
    <x v="4"/>
    <n v="136.35000000000002"/>
    <m/>
    <m/>
    <n v="7"/>
  </r>
  <r>
    <x v="4548"/>
    <x v="895"/>
    <x v="2"/>
    <n v="1"/>
    <n v="5.23"/>
    <x v="746"/>
    <x v="6"/>
    <x v="2"/>
    <n v="5.23"/>
    <m/>
    <m/>
    <n v="10"/>
  </r>
  <r>
    <x v="4549"/>
    <x v="896"/>
    <x v="7"/>
    <n v="1"/>
    <n v="11.73"/>
    <x v="497"/>
    <x v="4"/>
    <x v="1"/>
    <n v="11.73"/>
    <m/>
    <m/>
    <n v="5"/>
  </r>
  <r>
    <x v="4550"/>
    <x v="896"/>
    <x v="4"/>
    <n v="1"/>
    <n v="1050"/>
    <x v="742"/>
    <x v="9"/>
    <x v="1"/>
    <n v="1050"/>
    <m/>
    <m/>
    <n v="7"/>
  </r>
  <r>
    <x v="4551"/>
    <x v="896"/>
    <x v="0"/>
    <n v="3"/>
    <n v="900.24"/>
    <x v="539"/>
    <x v="4"/>
    <x v="0"/>
    <n v="2700.7200000000003"/>
    <m/>
    <m/>
    <n v="7"/>
  </r>
  <r>
    <x v="4552"/>
    <x v="896"/>
    <x v="0"/>
    <n v="3"/>
    <n v="900.24"/>
    <x v="594"/>
    <x v="2"/>
    <x v="0"/>
    <n v="2700.7200000000003"/>
    <m/>
    <m/>
    <n v="7"/>
  </r>
  <r>
    <x v="4553"/>
    <x v="896"/>
    <x v="5"/>
    <n v="3"/>
    <n v="1800.51"/>
    <x v="419"/>
    <x v="7"/>
    <x v="4"/>
    <n v="5401.53"/>
    <m/>
    <m/>
    <n v="7"/>
  </r>
  <r>
    <x v="4554"/>
    <x v="896"/>
    <x v="0"/>
    <n v="1"/>
    <n v="300.08"/>
    <x v="391"/>
    <x v="1"/>
    <x v="3"/>
    <n v="300.08"/>
    <m/>
    <m/>
    <n v="7"/>
  </r>
  <r>
    <x v="4555"/>
    <x v="896"/>
    <x v="0"/>
    <n v="4"/>
    <n v="1200.32"/>
    <x v="528"/>
    <x v="4"/>
    <x v="0"/>
    <n v="4801.28"/>
    <m/>
    <m/>
    <n v="7"/>
  </r>
  <r>
    <x v="4556"/>
    <x v="896"/>
    <x v="0"/>
    <n v="4"/>
    <n v="1200.32"/>
    <x v="130"/>
    <x v="2"/>
    <x v="3"/>
    <n v="4801.28"/>
    <m/>
    <m/>
    <n v="7"/>
  </r>
  <r>
    <x v="4557"/>
    <x v="897"/>
    <x v="6"/>
    <n v="4"/>
    <n v="143.36000000000001"/>
    <x v="181"/>
    <x v="2"/>
    <x v="1"/>
    <n v="573.44000000000005"/>
    <m/>
    <m/>
    <n v="7"/>
  </r>
  <r>
    <x v="4558"/>
    <x v="897"/>
    <x v="5"/>
    <n v="3"/>
    <n v="1800.51"/>
    <x v="222"/>
    <x v="4"/>
    <x v="0"/>
    <n v="5401.53"/>
    <m/>
    <m/>
    <n v="7"/>
  </r>
  <r>
    <x v="4559"/>
    <x v="897"/>
    <x v="0"/>
    <n v="4"/>
    <n v="1200.32"/>
    <x v="481"/>
    <x v="1"/>
    <x v="3"/>
    <n v="4801.28"/>
    <m/>
    <m/>
    <n v="7"/>
  </r>
  <r>
    <x v="4560"/>
    <x v="898"/>
    <x v="0"/>
    <n v="5"/>
    <n v="1500.4"/>
    <x v="408"/>
    <x v="9"/>
    <x v="1"/>
    <n v="7502"/>
    <m/>
    <m/>
    <n v="5"/>
  </r>
  <r>
    <x v="4561"/>
    <x v="898"/>
    <x v="0"/>
    <n v="4"/>
    <n v="1200.32"/>
    <x v="550"/>
    <x v="6"/>
    <x v="4"/>
    <n v="4801.28"/>
    <m/>
    <m/>
    <n v="5"/>
  </r>
  <r>
    <x v="4562"/>
    <x v="898"/>
    <x v="2"/>
    <n v="4"/>
    <n v="20.92"/>
    <x v="646"/>
    <x v="9"/>
    <x v="0"/>
    <n v="83.68"/>
    <m/>
    <m/>
    <n v="5"/>
  </r>
  <r>
    <x v="4563"/>
    <x v="898"/>
    <x v="0"/>
    <n v="1"/>
    <n v="300.08"/>
    <x v="241"/>
    <x v="0"/>
    <x v="3"/>
    <n v="300.08"/>
    <m/>
    <m/>
    <n v="7"/>
  </r>
  <r>
    <x v="4564"/>
    <x v="898"/>
    <x v="4"/>
    <n v="3"/>
    <n v="3150"/>
    <x v="346"/>
    <x v="1"/>
    <x v="4"/>
    <n v="9450"/>
    <m/>
    <m/>
    <n v="7"/>
  </r>
  <r>
    <x v="4565"/>
    <x v="898"/>
    <x v="0"/>
    <n v="1"/>
    <n v="300.08"/>
    <x v="216"/>
    <x v="2"/>
    <x v="0"/>
    <n v="300.08"/>
    <m/>
    <m/>
    <n v="10"/>
  </r>
  <r>
    <x v="4566"/>
    <x v="899"/>
    <x v="7"/>
    <n v="2"/>
    <n v="23.46"/>
    <x v="676"/>
    <x v="1"/>
    <x v="3"/>
    <n v="46.92"/>
    <m/>
    <m/>
    <n v="5"/>
  </r>
  <r>
    <x v="4567"/>
    <x v="899"/>
    <x v="0"/>
    <n v="2"/>
    <n v="600.16"/>
    <x v="199"/>
    <x v="6"/>
    <x v="3"/>
    <n v="1200.32"/>
    <m/>
    <m/>
    <n v="7"/>
  </r>
  <r>
    <x v="4568"/>
    <x v="899"/>
    <x v="5"/>
    <n v="5"/>
    <n v="3000.85"/>
    <x v="674"/>
    <x v="0"/>
    <x v="4"/>
    <n v="15004.25"/>
    <m/>
    <m/>
    <n v="7"/>
  </r>
  <r>
    <x v="4569"/>
    <x v="899"/>
    <x v="3"/>
    <n v="2"/>
    <n v="30.3"/>
    <x v="160"/>
    <x v="8"/>
    <x v="1"/>
    <n v="60.6"/>
    <m/>
    <m/>
    <n v="7"/>
  </r>
  <r>
    <x v="4570"/>
    <x v="899"/>
    <x v="0"/>
    <n v="5"/>
    <n v="1500.4"/>
    <x v="267"/>
    <x v="8"/>
    <x v="4"/>
    <n v="7502"/>
    <m/>
    <m/>
    <n v="7"/>
  </r>
  <r>
    <x v="4571"/>
    <x v="899"/>
    <x v="0"/>
    <n v="4"/>
    <n v="1200.32"/>
    <x v="772"/>
    <x v="0"/>
    <x v="4"/>
    <n v="4801.28"/>
    <m/>
    <m/>
    <n v="7"/>
  </r>
  <r>
    <x v="4572"/>
    <x v="900"/>
    <x v="2"/>
    <n v="3"/>
    <n v="15.69"/>
    <x v="326"/>
    <x v="3"/>
    <x v="0"/>
    <n v="47.07"/>
    <m/>
    <m/>
    <n v="5"/>
  </r>
  <r>
    <x v="4573"/>
    <x v="900"/>
    <x v="0"/>
    <n v="1"/>
    <n v="300.08"/>
    <x v="586"/>
    <x v="0"/>
    <x v="0"/>
    <n v="300.08"/>
    <m/>
    <m/>
    <n v="10"/>
  </r>
  <r>
    <x v="4574"/>
    <x v="900"/>
    <x v="1"/>
    <n v="1"/>
    <n v="40.659999999999997"/>
    <x v="496"/>
    <x v="7"/>
    <x v="3"/>
    <n v="40.659999999999997"/>
    <m/>
    <m/>
    <n v="10"/>
  </r>
  <r>
    <x v="4575"/>
    <x v="901"/>
    <x v="7"/>
    <n v="4"/>
    <n v="46.92"/>
    <x v="599"/>
    <x v="6"/>
    <x v="3"/>
    <n v="187.68"/>
    <m/>
    <m/>
    <n v="5"/>
  </r>
  <r>
    <x v="4576"/>
    <x v="901"/>
    <x v="0"/>
    <n v="1"/>
    <n v="300.08"/>
    <x v="270"/>
    <x v="1"/>
    <x v="1"/>
    <n v="300.08"/>
    <m/>
    <m/>
    <n v="5"/>
  </r>
  <r>
    <x v="4577"/>
    <x v="901"/>
    <x v="0"/>
    <n v="3"/>
    <n v="900.24"/>
    <x v="758"/>
    <x v="6"/>
    <x v="0"/>
    <n v="2700.7200000000003"/>
    <m/>
    <m/>
    <n v="5"/>
  </r>
  <r>
    <x v="4578"/>
    <x v="901"/>
    <x v="2"/>
    <n v="4"/>
    <n v="20.92"/>
    <x v="586"/>
    <x v="9"/>
    <x v="0"/>
    <n v="83.68"/>
    <m/>
    <m/>
    <n v="10"/>
  </r>
  <r>
    <x v="4579"/>
    <x v="901"/>
    <x v="5"/>
    <n v="2"/>
    <n v="1200.3399999999999"/>
    <x v="780"/>
    <x v="8"/>
    <x v="0"/>
    <n v="2400.6799999999998"/>
    <m/>
    <m/>
    <n v="10"/>
  </r>
  <r>
    <x v="4580"/>
    <x v="901"/>
    <x v="6"/>
    <n v="2"/>
    <n v="71.680000000000007"/>
    <x v="203"/>
    <x v="7"/>
    <x v="4"/>
    <n v="143.36000000000001"/>
    <m/>
    <m/>
    <n v="10"/>
  </r>
  <r>
    <x v="4581"/>
    <x v="902"/>
    <x v="0"/>
    <n v="4"/>
    <n v="1200.32"/>
    <x v="696"/>
    <x v="4"/>
    <x v="0"/>
    <n v="4801.28"/>
    <m/>
    <m/>
    <n v="5"/>
  </r>
  <r>
    <x v="4582"/>
    <x v="902"/>
    <x v="6"/>
    <n v="1"/>
    <n v="35.840000000000003"/>
    <x v="133"/>
    <x v="7"/>
    <x v="3"/>
    <n v="35.840000000000003"/>
    <m/>
    <m/>
    <n v="5"/>
  </r>
  <r>
    <x v="4583"/>
    <x v="902"/>
    <x v="5"/>
    <n v="5"/>
    <n v="3000.85"/>
    <x v="646"/>
    <x v="9"/>
    <x v="4"/>
    <n v="15004.25"/>
    <m/>
    <m/>
    <n v="5"/>
  </r>
  <r>
    <x v="4584"/>
    <x v="902"/>
    <x v="1"/>
    <n v="4"/>
    <n v="162.63999999999999"/>
    <x v="286"/>
    <x v="1"/>
    <x v="4"/>
    <n v="650.55999999999995"/>
    <m/>
    <m/>
    <n v="5"/>
  </r>
  <r>
    <x v="4585"/>
    <x v="902"/>
    <x v="5"/>
    <n v="3"/>
    <n v="1800.51"/>
    <x v="35"/>
    <x v="8"/>
    <x v="1"/>
    <n v="5401.53"/>
    <m/>
    <m/>
    <n v="7"/>
  </r>
  <r>
    <x v="4586"/>
    <x v="903"/>
    <x v="0"/>
    <n v="4"/>
    <n v="1200.32"/>
    <x v="293"/>
    <x v="5"/>
    <x v="1"/>
    <n v="4801.28"/>
    <m/>
    <m/>
    <n v="5"/>
  </r>
  <r>
    <x v="4587"/>
    <x v="903"/>
    <x v="3"/>
    <n v="2"/>
    <n v="30.3"/>
    <x v="763"/>
    <x v="0"/>
    <x v="4"/>
    <n v="60.6"/>
    <m/>
    <m/>
    <n v="5"/>
  </r>
  <r>
    <x v="4588"/>
    <x v="903"/>
    <x v="1"/>
    <n v="1"/>
    <n v="40.659999999999997"/>
    <x v="642"/>
    <x v="1"/>
    <x v="1"/>
    <n v="40.659999999999997"/>
    <m/>
    <m/>
    <n v="5"/>
  </r>
  <r>
    <x v="4589"/>
    <x v="903"/>
    <x v="1"/>
    <n v="5"/>
    <n v="203.3"/>
    <x v="703"/>
    <x v="6"/>
    <x v="2"/>
    <n v="1016.5"/>
    <m/>
    <m/>
    <n v="7"/>
  </r>
  <r>
    <x v="4590"/>
    <x v="903"/>
    <x v="2"/>
    <n v="3"/>
    <n v="15.69"/>
    <x v="277"/>
    <x v="0"/>
    <x v="3"/>
    <n v="47.07"/>
    <m/>
    <m/>
    <n v="7"/>
  </r>
  <r>
    <x v="4591"/>
    <x v="903"/>
    <x v="0"/>
    <n v="4"/>
    <n v="1200.32"/>
    <x v="60"/>
    <x v="1"/>
    <x v="4"/>
    <n v="4801.28"/>
    <m/>
    <m/>
    <n v="10"/>
  </r>
  <r>
    <x v="4592"/>
    <x v="904"/>
    <x v="2"/>
    <n v="2"/>
    <n v="10.46"/>
    <x v="498"/>
    <x v="4"/>
    <x v="0"/>
    <n v="20.92"/>
    <m/>
    <m/>
    <n v="5"/>
  </r>
  <r>
    <x v="4593"/>
    <x v="904"/>
    <x v="0"/>
    <n v="5"/>
    <n v="1500.4"/>
    <x v="632"/>
    <x v="0"/>
    <x v="2"/>
    <n v="7502"/>
    <m/>
    <m/>
    <n v="5"/>
  </r>
  <r>
    <x v="4594"/>
    <x v="904"/>
    <x v="0"/>
    <n v="4"/>
    <n v="1200.32"/>
    <x v="309"/>
    <x v="3"/>
    <x v="4"/>
    <n v="4801.28"/>
    <m/>
    <m/>
    <n v="7"/>
  </r>
  <r>
    <x v="4595"/>
    <x v="904"/>
    <x v="1"/>
    <n v="5"/>
    <n v="203.3"/>
    <x v="160"/>
    <x v="0"/>
    <x v="2"/>
    <n v="1016.5"/>
    <m/>
    <m/>
    <n v="7"/>
  </r>
  <r>
    <x v="4596"/>
    <x v="904"/>
    <x v="4"/>
    <n v="4"/>
    <n v="4200"/>
    <x v="283"/>
    <x v="0"/>
    <x v="0"/>
    <n v="16800"/>
    <m/>
    <m/>
    <n v="7"/>
  </r>
  <r>
    <x v="4597"/>
    <x v="904"/>
    <x v="4"/>
    <n v="2"/>
    <n v="2100"/>
    <x v="382"/>
    <x v="6"/>
    <x v="0"/>
    <n v="4200"/>
    <m/>
    <m/>
    <n v="7"/>
  </r>
  <r>
    <x v="4598"/>
    <x v="905"/>
    <x v="1"/>
    <n v="5"/>
    <n v="203.3"/>
    <x v="576"/>
    <x v="6"/>
    <x v="2"/>
    <n v="1016.5"/>
    <m/>
    <m/>
    <n v="5"/>
  </r>
  <r>
    <x v="4599"/>
    <x v="905"/>
    <x v="0"/>
    <n v="4"/>
    <n v="1200.32"/>
    <x v="454"/>
    <x v="6"/>
    <x v="1"/>
    <n v="4801.28"/>
    <m/>
    <m/>
    <n v="7"/>
  </r>
  <r>
    <x v="4600"/>
    <x v="905"/>
    <x v="0"/>
    <n v="4"/>
    <n v="1200.32"/>
    <x v="685"/>
    <x v="1"/>
    <x v="2"/>
    <n v="4801.28"/>
    <m/>
    <m/>
    <n v="7"/>
  </r>
  <r>
    <x v="4601"/>
    <x v="906"/>
    <x v="3"/>
    <n v="4"/>
    <n v="60.6"/>
    <x v="306"/>
    <x v="1"/>
    <x v="3"/>
    <n v="242.4"/>
    <m/>
    <m/>
    <n v="5"/>
  </r>
  <r>
    <x v="4602"/>
    <x v="906"/>
    <x v="4"/>
    <n v="3"/>
    <n v="3150"/>
    <x v="359"/>
    <x v="3"/>
    <x v="0"/>
    <n v="9450"/>
    <m/>
    <m/>
    <n v="5"/>
  </r>
  <r>
    <x v="4603"/>
    <x v="906"/>
    <x v="2"/>
    <n v="3"/>
    <n v="15.69"/>
    <x v="509"/>
    <x v="6"/>
    <x v="0"/>
    <n v="47.07"/>
    <m/>
    <m/>
    <n v="7"/>
  </r>
  <r>
    <x v="4604"/>
    <x v="906"/>
    <x v="5"/>
    <n v="3"/>
    <n v="1800.51"/>
    <x v="263"/>
    <x v="0"/>
    <x v="1"/>
    <n v="5401.53"/>
    <m/>
    <m/>
    <n v="7"/>
  </r>
  <r>
    <x v="4605"/>
    <x v="906"/>
    <x v="1"/>
    <n v="5"/>
    <n v="203.3"/>
    <x v="481"/>
    <x v="8"/>
    <x v="1"/>
    <n v="1016.5"/>
    <m/>
    <m/>
    <n v="7"/>
  </r>
  <r>
    <x v="4606"/>
    <x v="906"/>
    <x v="1"/>
    <n v="5"/>
    <n v="203.3"/>
    <x v="513"/>
    <x v="0"/>
    <x v="4"/>
    <n v="1016.5"/>
    <m/>
    <m/>
    <n v="7"/>
  </r>
  <r>
    <x v="4607"/>
    <x v="906"/>
    <x v="0"/>
    <n v="1"/>
    <n v="300.08"/>
    <x v="626"/>
    <x v="5"/>
    <x v="0"/>
    <n v="300.08"/>
    <m/>
    <m/>
    <n v="10"/>
  </r>
  <r>
    <x v="4608"/>
    <x v="906"/>
    <x v="0"/>
    <n v="5"/>
    <n v="1500.4"/>
    <x v="54"/>
    <x v="1"/>
    <x v="4"/>
    <n v="7502"/>
    <m/>
    <m/>
    <n v="10"/>
  </r>
  <r>
    <x v="4609"/>
    <x v="907"/>
    <x v="0"/>
    <n v="2"/>
    <n v="600.16"/>
    <x v="104"/>
    <x v="4"/>
    <x v="0"/>
    <n v="1200.32"/>
    <m/>
    <m/>
    <n v="5"/>
  </r>
  <r>
    <x v="4610"/>
    <x v="907"/>
    <x v="1"/>
    <n v="5"/>
    <n v="203.3"/>
    <x v="688"/>
    <x v="1"/>
    <x v="1"/>
    <n v="1016.5"/>
    <m/>
    <m/>
    <n v="5"/>
  </r>
  <r>
    <x v="4611"/>
    <x v="907"/>
    <x v="0"/>
    <n v="3"/>
    <n v="900.24"/>
    <x v="484"/>
    <x v="1"/>
    <x v="2"/>
    <n v="2700.7200000000003"/>
    <m/>
    <m/>
    <n v="5"/>
  </r>
  <r>
    <x v="4612"/>
    <x v="907"/>
    <x v="5"/>
    <n v="1"/>
    <n v="600.16999999999996"/>
    <x v="96"/>
    <x v="0"/>
    <x v="3"/>
    <n v="600.16999999999996"/>
    <m/>
    <m/>
    <n v="7"/>
  </r>
  <r>
    <x v="4613"/>
    <x v="907"/>
    <x v="1"/>
    <n v="3"/>
    <n v="121.98"/>
    <x v="496"/>
    <x v="9"/>
    <x v="4"/>
    <n v="365.94"/>
    <m/>
    <m/>
    <n v="10"/>
  </r>
  <r>
    <x v="4614"/>
    <x v="908"/>
    <x v="4"/>
    <n v="1"/>
    <n v="1050"/>
    <x v="63"/>
    <x v="9"/>
    <x v="4"/>
    <n v="1050"/>
    <m/>
    <m/>
    <n v="5"/>
  </r>
  <r>
    <x v="4615"/>
    <x v="908"/>
    <x v="0"/>
    <n v="1"/>
    <n v="300.08"/>
    <x v="366"/>
    <x v="0"/>
    <x v="1"/>
    <n v="300.08"/>
    <m/>
    <m/>
    <n v="5"/>
  </r>
  <r>
    <x v="4616"/>
    <x v="908"/>
    <x v="2"/>
    <n v="2"/>
    <n v="10.46"/>
    <x v="766"/>
    <x v="5"/>
    <x v="0"/>
    <n v="20.92"/>
    <m/>
    <m/>
    <n v="5"/>
  </r>
  <r>
    <x v="4617"/>
    <x v="908"/>
    <x v="0"/>
    <n v="2"/>
    <n v="600.16"/>
    <x v="58"/>
    <x v="8"/>
    <x v="1"/>
    <n v="1200.32"/>
    <m/>
    <m/>
    <n v="5"/>
  </r>
  <r>
    <x v="4618"/>
    <x v="908"/>
    <x v="3"/>
    <n v="1"/>
    <n v="15.15"/>
    <x v="419"/>
    <x v="7"/>
    <x v="4"/>
    <n v="15.15"/>
    <m/>
    <m/>
    <n v="7"/>
  </r>
  <r>
    <x v="4619"/>
    <x v="908"/>
    <x v="6"/>
    <n v="2"/>
    <n v="71.680000000000007"/>
    <x v="71"/>
    <x v="1"/>
    <x v="0"/>
    <n v="143.36000000000001"/>
    <m/>
    <m/>
    <n v="10"/>
  </r>
  <r>
    <x v="4620"/>
    <x v="909"/>
    <x v="1"/>
    <n v="1"/>
    <n v="40.659999999999997"/>
    <x v="201"/>
    <x v="3"/>
    <x v="0"/>
    <n v="40.659999999999997"/>
    <m/>
    <m/>
    <n v="5"/>
  </r>
  <r>
    <x v="4621"/>
    <x v="909"/>
    <x v="0"/>
    <n v="2"/>
    <n v="600.16"/>
    <x v="308"/>
    <x v="6"/>
    <x v="0"/>
    <n v="1200.32"/>
    <m/>
    <m/>
    <n v="5"/>
  </r>
  <r>
    <x v="4622"/>
    <x v="909"/>
    <x v="2"/>
    <n v="2"/>
    <n v="10.46"/>
    <x v="552"/>
    <x v="0"/>
    <x v="1"/>
    <n v="20.92"/>
    <m/>
    <m/>
    <n v="5"/>
  </r>
  <r>
    <x v="4623"/>
    <x v="909"/>
    <x v="0"/>
    <n v="3"/>
    <n v="900.24"/>
    <x v="575"/>
    <x v="4"/>
    <x v="4"/>
    <n v="2700.7200000000003"/>
    <m/>
    <m/>
    <n v="5"/>
  </r>
  <r>
    <x v="4624"/>
    <x v="909"/>
    <x v="5"/>
    <n v="4"/>
    <n v="2400.6799999999998"/>
    <x v="66"/>
    <x v="6"/>
    <x v="1"/>
    <n v="9602.7199999999993"/>
    <m/>
    <m/>
    <n v="7"/>
  </r>
  <r>
    <x v="4625"/>
    <x v="909"/>
    <x v="2"/>
    <n v="3"/>
    <n v="15.69"/>
    <x v="152"/>
    <x v="5"/>
    <x v="3"/>
    <n v="47.07"/>
    <m/>
    <m/>
    <n v="7"/>
  </r>
  <r>
    <x v="4626"/>
    <x v="909"/>
    <x v="7"/>
    <n v="5"/>
    <n v="58.65"/>
    <x v="223"/>
    <x v="1"/>
    <x v="1"/>
    <n v="293.25"/>
    <m/>
    <m/>
    <n v="7"/>
  </r>
  <r>
    <x v="4627"/>
    <x v="909"/>
    <x v="7"/>
    <n v="5"/>
    <n v="58.65"/>
    <x v="601"/>
    <x v="1"/>
    <x v="0"/>
    <n v="293.25"/>
    <m/>
    <m/>
    <n v="7"/>
  </r>
  <r>
    <x v="4628"/>
    <x v="909"/>
    <x v="7"/>
    <n v="2"/>
    <n v="23.46"/>
    <x v="67"/>
    <x v="0"/>
    <x v="3"/>
    <n v="46.92"/>
    <m/>
    <m/>
    <n v="7"/>
  </r>
  <r>
    <x v="4629"/>
    <x v="909"/>
    <x v="6"/>
    <n v="3"/>
    <n v="107.52"/>
    <x v="712"/>
    <x v="7"/>
    <x v="2"/>
    <n v="322.56"/>
    <m/>
    <m/>
    <n v="7"/>
  </r>
  <r>
    <x v="4630"/>
    <x v="910"/>
    <x v="3"/>
    <n v="5"/>
    <n v="75.75"/>
    <x v="121"/>
    <x v="9"/>
    <x v="3"/>
    <n v="378.75"/>
    <m/>
    <m/>
    <n v="5"/>
  </r>
  <r>
    <x v="4631"/>
    <x v="910"/>
    <x v="6"/>
    <n v="3"/>
    <n v="107.52"/>
    <x v="495"/>
    <x v="4"/>
    <x v="3"/>
    <n v="322.56"/>
    <m/>
    <m/>
    <n v="5"/>
  </r>
  <r>
    <x v="4632"/>
    <x v="910"/>
    <x v="0"/>
    <n v="1"/>
    <n v="300.08"/>
    <x v="627"/>
    <x v="0"/>
    <x v="3"/>
    <n v="300.08"/>
    <m/>
    <m/>
    <n v="5"/>
  </r>
  <r>
    <x v="4633"/>
    <x v="910"/>
    <x v="3"/>
    <n v="1"/>
    <n v="15.15"/>
    <x v="321"/>
    <x v="5"/>
    <x v="4"/>
    <n v="15.15"/>
    <m/>
    <m/>
    <n v="7"/>
  </r>
  <r>
    <x v="4634"/>
    <x v="911"/>
    <x v="2"/>
    <n v="4"/>
    <n v="20.92"/>
    <x v="238"/>
    <x v="6"/>
    <x v="1"/>
    <n v="83.68"/>
    <m/>
    <m/>
    <n v="5"/>
  </r>
  <r>
    <x v="4635"/>
    <x v="912"/>
    <x v="5"/>
    <n v="5"/>
    <n v="3000.85"/>
    <x v="6"/>
    <x v="7"/>
    <x v="1"/>
    <n v="15004.25"/>
    <m/>
    <m/>
    <n v="7"/>
  </r>
  <r>
    <x v="4636"/>
    <x v="912"/>
    <x v="0"/>
    <n v="1"/>
    <n v="300.08"/>
    <x v="3"/>
    <x v="7"/>
    <x v="1"/>
    <n v="300.08"/>
    <m/>
    <m/>
    <n v="7"/>
  </r>
  <r>
    <x v="4637"/>
    <x v="912"/>
    <x v="0"/>
    <n v="5"/>
    <n v="1500.4"/>
    <x v="54"/>
    <x v="2"/>
    <x v="0"/>
    <n v="7502"/>
    <m/>
    <m/>
    <n v="10"/>
  </r>
  <r>
    <x v="4638"/>
    <x v="913"/>
    <x v="0"/>
    <n v="5"/>
    <n v="1500.4"/>
    <x v="483"/>
    <x v="6"/>
    <x v="2"/>
    <n v="7502"/>
    <m/>
    <m/>
    <n v="5"/>
  </r>
  <r>
    <x v="4639"/>
    <x v="913"/>
    <x v="2"/>
    <n v="4"/>
    <n v="20.92"/>
    <x v="257"/>
    <x v="4"/>
    <x v="0"/>
    <n v="83.68"/>
    <m/>
    <m/>
    <n v="5"/>
  </r>
  <r>
    <x v="4640"/>
    <x v="913"/>
    <x v="6"/>
    <n v="5"/>
    <n v="179.2"/>
    <x v="653"/>
    <x v="0"/>
    <x v="4"/>
    <n v="896"/>
    <m/>
    <m/>
    <n v="5"/>
  </r>
  <r>
    <x v="4641"/>
    <x v="913"/>
    <x v="0"/>
    <n v="5"/>
    <n v="1500.4"/>
    <x v="655"/>
    <x v="2"/>
    <x v="3"/>
    <n v="7502"/>
    <m/>
    <m/>
    <n v="5"/>
  </r>
  <r>
    <x v="4642"/>
    <x v="913"/>
    <x v="0"/>
    <n v="3"/>
    <n v="900.24"/>
    <x v="679"/>
    <x v="6"/>
    <x v="0"/>
    <n v="2700.7200000000003"/>
    <m/>
    <m/>
    <n v="7"/>
  </r>
  <r>
    <x v="4643"/>
    <x v="913"/>
    <x v="0"/>
    <n v="3"/>
    <n v="900.24"/>
    <x v="748"/>
    <x v="4"/>
    <x v="1"/>
    <n v="2700.7200000000003"/>
    <m/>
    <m/>
    <n v="7"/>
  </r>
  <r>
    <x v="4644"/>
    <x v="913"/>
    <x v="6"/>
    <n v="5"/>
    <n v="179.2"/>
    <x v="767"/>
    <x v="0"/>
    <x v="3"/>
    <n v="896"/>
    <m/>
    <m/>
    <n v="7"/>
  </r>
  <r>
    <x v="4645"/>
    <x v="913"/>
    <x v="0"/>
    <n v="1"/>
    <n v="300.08"/>
    <x v="26"/>
    <x v="6"/>
    <x v="4"/>
    <n v="300.08"/>
    <m/>
    <m/>
    <n v="10"/>
  </r>
  <r>
    <x v="4646"/>
    <x v="914"/>
    <x v="7"/>
    <n v="4"/>
    <n v="46.92"/>
    <x v="113"/>
    <x v="8"/>
    <x v="3"/>
    <n v="187.68"/>
    <m/>
    <m/>
    <n v="5"/>
  </r>
  <r>
    <x v="4647"/>
    <x v="914"/>
    <x v="2"/>
    <n v="1"/>
    <n v="5.23"/>
    <x v="495"/>
    <x v="5"/>
    <x v="2"/>
    <n v="5.23"/>
    <m/>
    <m/>
    <n v="5"/>
  </r>
  <r>
    <x v="4648"/>
    <x v="914"/>
    <x v="5"/>
    <n v="2"/>
    <n v="1200.3399999999999"/>
    <x v="213"/>
    <x v="9"/>
    <x v="1"/>
    <n v="2400.6799999999998"/>
    <m/>
    <m/>
    <n v="7"/>
  </r>
  <r>
    <x v="4649"/>
    <x v="914"/>
    <x v="4"/>
    <n v="2"/>
    <n v="2100"/>
    <x v="707"/>
    <x v="0"/>
    <x v="0"/>
    <n v="4200"/>
    <m/>
    <m/>
    <n v="7"/>
  </r>
  <r>
    <x v="4650"/>
    <x v="914"/>
    <x v="1"/>
    <n v="2"/>
    <n v="81.319999999999993"/>
    <x v="782"/>
    <x v="0"/>
    <x v="3"/>
    <n v="162.63999999999999"/>
    <m/>
    <m/>
    <n v="7"/>
  </r>
  <r>
    <x v="4651"/>
    <x v="914"/>
    <x v="5"/>
    <n v="3"/>
    <n v="1800.51"/>
    <x v="203"/>
    <x v="6"/>
    <x v="0"/>
    <n v="5401.53"/>
    <m/>
    <m/>
    <n v="10"/>
  </r>
  <r>
    <x v="4652"/>
    <x v="915"/>
    <x v="0"/>
    <n v="1"/>
    <n v="300.08"/>
    <x v="5"/>
    <x v="4"/>
    <x v="3"/>
    <n v="300.08"/>
    <m/>
    <m/>
    <n v="5"/>
  </r>
  <r>
    <x v="4653"/>
    <x v="915"/>
    <x v="1"/>
    <n v="5"/>
    <n v="203.3"/>
    <x v="534"/>
    <x v="6"/>
    <x v="3"/>
    <n v="1016.5"/>
    <m/>
    <m/>
    <n v="5"/>
  </r>
  <r>
    <x v="4654"/>
    <x v="915"/>
    <x v="0"/>
    <n v="5"/>
    <n v="1500.4"/>
    <x v="640"/>
    <x v="0"/>
    <x v="1"/>
    <n v="7502"/>
    <m/>
    <m/>
    <n v="7"/>
  </r>
  <r>
    <x v="4655"/>
    <x v="915"/>
    <x v="2"/>
    <n v="5"/>
    <n v="26.15"/>
    <x v="251"/>
    <x v="4"/>
    <x v="0"/>
    <n v="130.75"/>
    <m/>
    <m/>
    <n v="10"/>
  </r>
  <r>
    <x v="4656"/>
    <x v="916"/>
    <x v="0"/>
    <n v="3"/>
    <n v="900.24"/>
    <x v="87"/>
    <x v="4"/>
    <x v="3"/>
    <n v="2700.7200000000003"/>
    <m/>
    <m/>
    <n v="5"/>
  </r>
  <r>
    <x v="4657"/>
    <x v="916"/>
    <x v="0"/>
    <n v="2"/>
    <n v="600.16"/>
    <x v="213"/>
    <x v="6"/>
    <x v="0"/>
    <n v="1200.32"/>
    <m/>
    <m/>
    <n v="7"/>
  </r>
  <r>
    <x v="4658"/>
    <x v="916"/>
    <x v="0"/>
    <n v="4"/>
    <n v="1200.32"/>
    <x v="345"/>
    <x v="5"/>
    <x v="0"/>
    <n v="4801.28"/>
    <m/>
    <m/>
    <n v="7"/>
  </r>
  <r>
    <x v="4659"/>
    <x v="916"/>
    <x v="7"/>
    <n v="3"/>
    <n v="35.19"/>
    <x v="360"/>
    <x v="6"/>
    <x v="2"/>
    <n v="105.57"/>
    <m/>
    <m/>
    <n v="7"/>
  </r>
  <r>
    <x v="4660"/>
    <x v="916"/>
    <x v="0"/>
    <n v="1"/>
    <n v="300.08"/>
    <x v="771"/>
    <x v="0"/>
    <x v="3"/>
    <n v="300.08"/>
    <m/>
    <m/>
    <n v="7"/>
  </r>
  <r>
    <x v="4661"/>
    <x v="916"/>
    <x v="0"/>
    <n v="2"/>
    <n v="600.16"/>
    <x v="182"/>
    <x v="7"/>
    <x v="3"/>
    <n v="1200.32"/>
    <m/>
    <m/>
    <n v="7"/>
  </r>
  <r>
    <x v="4662"/>
    <x v="916"/>
    <x v="0"/>
    <n v="3"/>
    <n v="900.24"/>
    <x v="71"/>
    <x v="9"/>
    <x v="4"/>
    <n v="2700.7200000000003"/>
    <m/>
    <m/>
    <n v="10"/>
  </r>
  <r>
    <x v="4663"/>
    <x v="917"/>
    <x v="1"/>
    <n v="4"/>
    <n v="162.63999999999999"/>
    <x v="115"/>
    <x v="6"/>
    <x v="3"/>
    <n v="650.55999999999995"/>
    <m/>
    <m/>
    <n v="5"/>
  </r>
  <r>
    <x v="4664"/>
    <x v="917"/>
    <x v="6"/>
    <n v="5"/>
    <n v="179.2"/>
    <x v="278"/>
    <x v="0"/>
    <x v="4"/>
    <n v="896"/>
    <m/>
    <m/>
    <n v="5"/>
  </r>
  <r>
    <x v="4665"/>
    <x v="917"/>
    <x v="1"/>
    <n v="1"/>
    <n v="40.659999999999997"/>
    <x v="656"/>
    <x v="0"/>
    <x v="0"/>
    <n v="40.659999999999997"/>
    <m/>
    <m/>
    <n v="5"/>
  </r>
  <r>
    <x v="4666"/>
    <x v="917"/>
    <x v="0"/>
    <n v="4"/>
    <n v="1200.32"/>
    <x v="612"/>
    <x v="4"/>
    <x v="3"/>
    <n v="4801.28"/>
    <m/>
    <m/>
    <n v="7"/>
  </r>
  <r>
    <x v="4667"/>
    <x v="918"/>
    <x v="3"/>
    <n v="3"/>
    <n v="45.45"/>
    <x v="105"/>
    <x v="5"/>
    <x v="3"/>
    <n v="136.35000000000002"/>
    <m/>
    <m/>
    <n v="5"/>
  </r>
  <r>
    <x v="4668"/>
    <x v="918"/>
    <x v="1"/>
    <n v="4"/>
    <n v="162.63999999999999"/>
    <x v="775"/>
    <x v="6"/>
    <x v="4"/>
    <n v="650.55999999999995"/>
    <m/>
    <m/>
    <n v="5"/>
  </r>
  <r>
    <x v="4669"/>
    <x v="918"/>
    <x v="3"/>
    <n v="3"/>
    <n v="45.45"/>
    <x v="328"/>
    <x v="1"/>
    <x v="4"/>
    <n v="136.35000000000002"/>
    <m/>
    <m/>
    <n v="5"/>
  </r>
  <r>
    <x v="4670"/>
    <x v="918"/>
    <x v="1"/>
    <n v="2"/>
    <n v="81.319999999999993"/>
    <x v="579"/>
    <x v="0"/>
    <x v="0"/>
    <n v="162.63999999999999"/>
    <m/>
    <m/>
    <n v="7"/>
  </r>
  <r>
    <x v="4671"/>
    <x v="918"/>
    <x v="0"/>
    <n v="2"/>
    <n v="600.16"/>
    <x v="624"/>
    <x v="6"/>
    <x v="4"/>
    <n v="1200.32"/>
    <m/>
    <m/>
    <n v="7"/>
  </r>
  <r>
    <x v="4672"/>
    <x v="918"/>
    <x v="0"/>
    <n v="5"/>
    <n v="1500.4"/>
    <x v="190"/>
    <x v="5"/>
    <x v="3"/>
    <n v="7502"/>
    <m/>
    <m/>
    <n v="7"/>
  </r>
  <r>
    <x v="4673"/>
    <x v="918"/>
    <x v="1"/>
    <n v="1"/>
    <n v="40.659999999999997"/>
    <x v="658"/>
    <x v="9"/>
    <x v="1"/>
    <n v="40.659999999999997"/>
    <m/>
    <m/>
    <n v="10"/>
  </r>
  <r>
    <x v="4674"/>
    <x v="918"/>
    <x v="0"/>
    <n v="5"/>
    <n v="1500.4"/>
    <x v="50"/>
    <x v="6"/>
    <x v="1"/>
    <n v="7502"/>
    <m/>
    <m/>
    <n v="10"/>
  </r>
  <r>
    <x v="4675"/>
    <x v="919"/>
    <x v="2"/>
    <n v="3"/>
    <n v="15.69"/>
    <x v="305"/>
    <x v="4"/>
    <x v="4"/>
    <n v="47.07"/>
    <m/>
    <m/>
    <n v="5"/>
  </r>
  <r>
    <x v="4676"/>
    <x v="919"/>
    <x v="2"/>
    <n v="5"/>
    <n v="26.15"/>
    <x v="147"/>
    <x v="9"/>
    <x v="2"/>
    <n v="130.75"/>
    <m/>
    <m/>
    <n v="5"/>
  </r>
  <r>
    <x v="4677"/>
    <x v="919"/>
    <x v="0"/>
    <n v="5"/>
    <n v="1500.4"/>
    <x v="272"/>
    <x v="4"/>
    <x v="3"/>
    <n v="7502"/>
    <m/>
    <m/>
    <n v="7"/>
  </r>
  <r>
    <x v="4678"/>
    <x v="920"/>
    <x v="0"/>
    <n v="5"/>
    <n v="1500.4"/>
    <x v="275"/>
    <x v="9"/>
    <x v="1"/>
    <n v="7502"/>
    <m/>
    <m/>
    <n v="5"/>
  </r>
  <r>
    <x v="4679"/>
    <x v="920"/>
    <x v="5"/>
    <n v="4"/>
    <n v="2400.6799999999998"/>
    <x v="670"/>
    <x v="0"/>
    <x v="4"/>
    <n v="9602.7199999999993"/>
    <m/>
    <m/>
    <n v="5"/>
  </r>
  <r>
    <x v="4680"/>
    <x v="920"/>
    <x v="6"/>
    <n v="4"/>
    <n v="143.36000000000001"/>
    <x v="384"/>
    <x v="4"/>
    <x v="4"/>
    <n v="573.44000000000005"/>
    <m/>
    <m/>
    <n v="7"/>
  </r>
  <r>
    <x v="4681"/>
    <x v="921"/>
    <x v="6"/>
    <n v="1"/>
    <n v="35.840000000000003"/>
    <x v="174"/>
    <x v="6"/>
    <x v="4"/>
    <n v="35.840000000000003"/>
    <m/>
    <m/>
    <n v="5"/>
  </r>
  <r>
    <x v="4682"/>
    <x v="921"/>
    <x v="0"/>
    <n v="5"/>
    <n v="1500.4"/>
    <x v="428"/>
    <x v="7"/>
    <x v="0"/>
    <n v="7502"/>
    <m/>
    <m/>
    <n v="7"/>
  </r>
  <r>
    <x v="4683"/>
    <x v="922"/>
    <x v="7"/>
    <n v="2"/>
    <n v="23.46"/>
    <x v="437"/>
    <x v="0"/>
    <x v="1"/>
    <n v="46.92"/>
    <m/>
    <m/>
    <n v="5"/>
  </r>
  <r>
    <x v="4684"/>
    <x v="922"/>
    <x v="2"/>
    <n v="3"/>
    <n v="15.69"/>
    <x v="745"/>
    <x v="6"/>
    <x v="1"/>
    <n v="47.07"/>
    <m/>
    <m/>
    <n v="5"/>
  </r>
  <r>
    <x v="4685"/>
    <x v="922"/>
    <x v="2"/>
    <n v="4"/>
    <n v="20.92"/>
    <x v="401"/>
    <x v="9"/>
    <x v="4"/>
    <n v="83.68"/>
    <m/>
    <m/>
    <n v="7"/>
  </r>
  <r>
    <x v="4686"/>
    <x v="922"/>
    <x v="0"/>
    <n v="5"/>
    <n v="1500.4"/>
    <x v="659"/>
    <x v="0"/>
    <x v="2"/>
    <n v="7502"/>
    <m/>
    <m/>
    <n v="7"/>
  </r>
  <r>
    <x v="4687"/>
    <x v="922"/>
    <x v="5"/>
    <n v="4"/>
    <n v="2400.6799999999998"/>
    <x v="371"/>
    <x v="7"/>
    <x v="4"/>
    <n v="9602.7199999999993"/>
    <m/>
    <m/>
    <n v="7"/>
  </r>
  <r>
    <x v="4688"/>
    <x v="922"/>
    <x v="0"/>
    <n v="4"/>
    <n v="1200.32"/>
    <x v="712"/>
    <x v="2"/>
    <x v="3"/>
    <n v="4801.28"/>
    <m/>
    <m/>
    <n v="7"/>
  </r>
  <r>
    <x v="4689"/>
    <x v="923"/>
    <x v="0"/>
    <n v="2"/>
    <n v="600.16"/>
    <x v="70"/>
    <x v="6"/>
    <x v="0"/>
    <n v="1200.32"/>
    <m/>
    <m/>
    <n v="5"/>
  </r>
  <r>
    <x v="4690"/>
    <x v="923"/>
    <x v="1"/>
    <n v="3"/>
    <n v="121.98"/>
    <x v="778"/>
    <x v="4"/>
    <x v="1"/>
    <n v="365.94"/>
    <m/>
    <m/>
    <n v="7"/>
  </r>
  <r>
    <x v="4691"/>
    <x v="923"/>
    <x v="0"/>
    <n v="4"/>
    <n v="1200.32"/>
    <x v="746"/>
    <x v="6"/>
    <x v="2"/>
    <n v="4801.28"/>
    <m/>
    <m/>
    <n v="10"/>
  </r>
  <r>
    <x v="4692"/>
    <x v="924"/>
    <x v="5"/>
    <n v="5"/>
    <n v="3000.85"/>
    <x v="357"/>
    <x v="8"/>
    <x v="0"/>
    <n v="15004.25"/>
    <m/>
    <m/>
    <n v="5"/>
  </r>
  <r>
    <x v="4693"/>
    <x v="924"/>
    <x v="1"/>
    <n v="4"/>
    <n v="162.63999999999999"/>
    <x v="276"/>
    <x v="9"/>
    <x v="4"/>
    <n v="650.55999999999995"/>
    <m/>
    <m/>
    <n v="5"/>
  </r>
  <r>
    <x v="4694"/>
    <x v="924"/>
    <x v="4"/>
    <n v="5"/>
    <n v="5250"/>
    <x v="531"/>
    <x v="0"/>
    <x v="4"/>
    <n v="26250"/>
    <m/>
    <m/>
    <n v="7"/>
  </r>
  <r>
    <x v="4695"/>
    <x v="924"/>
    <x v="0"/>
    <n v="1"/>
    <n v="300.08"/>
    <x v="415"/>
    <x v="0"/>
    <x v="4"/>
    <n v="300.08"/>
    <m/>
    <m/>
    <n v="7"/>
  </r>
  <r>
    <x v="4696"/>
    <x v="924"/>
    <x v="0"/>
    <n v="5"/>
    <n v="1500.4"/>
    <x v="441"/>
    <x v="0"/>
    <x v="1"/>
    <n v="7502"/>
    <m/>
    <m/>
    <n v="10"/>
  </r>
  <r>
    <x v="4697"/>
    <x v="924"/>
    <x v="0"/>
    <n v="2"/>
    <n v="600.16"/>
    <x v="620"/>
    <x v="6"/>
    <x v="0"/>
    <n v="1200.32"/>
    <m/>
    <m/>
    <n v="10"/>
  </r>
  <r>
    <x v="4698"/>
    <x v="925"/>
    <x v="0"/>
    <n v="3"/>
    <n v="900.24"/>
    <x v="599"/>
    <x v="9"/>
    <x v="0"/>
    <n v="2700.7200000000003"/>
    <m/>
    <m/>
    <n v="5"/>
  </r>
  <r>
    <x v="4699"/>
    <x v="925"/>
    <x v="5"/>
    <n v="1"/>
    <n v="600.16999999999996"/>
    <x v="536"/>
    <x v="1"/>
    <x v="1"/>
    <n v="600.16999999999996"/>
    <m/>
    <m/>
    <n v="5"/>
  </r>
  <r>
    <x v="4700"/>
    <x v="925"/>
    <x v="0"/>
    <n v="2"/>
    <n v="600.16"/>
    <x v="261"/>
    <x v="4"/>
    <x v="3"/>
    <n v="1200.32"/>
    <m/>
    <m/>
    <n v="5"/>
  </r>
  <r>
    <x v="4701"/>
    <x v="925"/>
    <x v="0"/>
    <n v="4"/>
    <n v="1200.32"/>
    <x v="639"/>
    <x v="9"/>
    <x v="4"/>
    <n v="4801.28"/>
    <m/>
    <m/>
    <n v="5"/>
  </r>
  <r>
    <x v="4702"/>
    <x v="925"/>
    <x v="1"/>
    <n v="3"/>
    <n v="121.98"/>
    <x v="410"/>
    <x v="4"/>
    <x v="4"/>
    <n v="365.94"/>
    <m/>
    <m/>
    <n v="5"/>
  </r>
  <r>
    <x v="4703"/>
    <x v="925"/>
    <x v="1"/>
    <n v="3"/>
    <n v="121.98"/>
    <x v="228"/>
    <x v="0"/>
    <x v="2"/>
    <n v="365.94"/>
    <m/>
    <m/>
    <n v="7"/>
  </r>
  <r>
    <x v="4704"/>
    <x v="925"/>
    <x v="5"/>
    <n v="1"/>
    <n v="600.16999999999996"/>
    <x v="701"/>
    <x v="0"/>
    <x v="3"/>
    <n v="600.16999999999996"/>
    <m/>
    <m/>
    <n v="7"/>
  </r>
  <r>
    <x v="4705"/>
    <x v="926"/>
    <x v="0"/>
    <n v="4"/>
    <n v="1200.32"/>
    <x v="656"/>
    <x v="1"/>
    <x v="2"/>
    <n v="4801.28"/>
    <m/>
    <m/>
    <n v="5"/>
  </r>
  <r>
    <x v="4706"/>
    <x v="926"/>
    <x v="1"/>
    <n v="1"/>
    <n v="40.659999999999997"/>
    <x v="541"/>
    <x v="5"/>
    <x v="1"/>
    <n v="40.659999999999997"/>
    <m/>
    <m/>
    <n v="5"/>
  </r>
  <r>
    <x v="4707"/>
    <x v="926"/>
    <x v="0"/>
    <n v="4"/>
    <n v="1200.32"/>
    <x v="758"/>
    <x v="0"/>
    <x v="0"/>
    <n v="4801.28"/>
    <m/>
    <m/>
    <n v="5"/>
  </r>
  <r>
    <x v="4708"/>
    <x v="926"/>
    <x v="0"/>
    <n v="1"/>
    <n v="300.08"/>
    <x v="652"/>
    <x v="1"/>
    <x v="0"/>
    <n v="300.08"/>
    <m/>
    <m/>
    <n v="5"/>
  </r>
  <r>
    <x v="4709"/>
    <x v="926"/>
    <x v="0"/>
    <n v="1"/>
    <n v="300.08"/>
    <x v="160"/>
    <x v="2"/>
    <x v="1"/>
    <n v="300.08"/>
    <m/>
    <m/>
    <n v="7"/>
  </r>
  <r>
    <x v="4710"/>
    <x v="926"/>
    <x v="0"/>
    <n v="2"/>
    <n v="600.16"/>
    <x v="671"/>
    <x v="0"/>
    <x v="4"/>
    <n v="1200.32"/>
    <m/>
    <m/>
    <n v="7"/>
  </r>
  <r>
    <x v="4711"/>
    <x v="926"/>
    <x v="0"/>
    <n v="1"/>
    <n v="300.08"/>
    <x v="263"/>
    <x v="2"/>
    <x v="0"/>
    <n v="300.08"/>
    <m/>
    <m/>
    <n v="7"/>
  </r>
  <r>
    <x v="4712"/>
    <x v="926"/>
    <x v="4"/>
    <n v="3"/>
    <n v="3150"/>
    <x v="698"/>
    <x v="2"/>
    <x v="4"/>
    <n v="9450"/>
    <m/>
    <m/>
    <n v="7"/>
  </r>
  <r>
    <x v="4713"/>
    <x v="927"/>
    <x v="2"/>
    <n v="2"/>
    <n v="10.46"/>
    <x v="64"/>
    <x v="4"/>
    <x v="0"/>
    <n v="20.92"/>
    <m/>
    <m/>
    <n v="5"/>
  </r>
  <r>
    <x v="4714"/>
    <x v="927"/>
    <x v="1"/>
    <n v="2"/>
    <n v="81.319999999999993"/>
    <x v="224"/>
    <x v="6"/>
    <x v="0"/>
    <n v="162.63999999999999"/>
    <m/>
    <m/>
    <n v="5"/>
  </r>
  <r>
    <x v="4715"/>
    <x v="927"/>
    <x v="4"/>
    <n v="1"/>
    <n v="1050"/>
    <x v="122"/>
    <x v="0"/>
    <x v="1"/>
    <n v="1050"/>
    <m/>
    <m/>
    <n v="5"/>
  </r>
  <r>
    <x v="4716"/>
    <x v="927"/>
    <x v="1"/>
    <n v="4"/>
    <n v="162.63999999999999"/>
    <x v="314"/>
    <x v="1"/>
    <x v="1"/>
    <n v="650.55999999999995"/>
    <m/>
    <m/>
    <n v="5"/>
  </r>
  <r>
    <x v="4717"/>
    <x v="927"/>
    <x v="5"/>
    <n v="2"/>
    <n v="1200.3399999999999"/>
    <x v="448"/>
    <x v="1"/>
    <x v="2"/>
    <n v="2400.6799999999998"/>
    <m/>
    <m/>
    <n v="7"/>
  </r>
  <r>
    <x v="4718"/>
    <x v="928"/>
    <x v="6"/>
    <n v="2"/>
    <n v="71.680000000000007"/>
    <x v="83"/>
    <x v="6"/>
    <x v="4"/>
    <n v="143.36000000000001"/>
    <m/>
    <m/>
    <n v="5"/>
  </r>
  <r>
    <x v="4719"/>
    <x v="928"/>
    <x v="5"/>
    <n v="5"/>
    <n v="3000.85"/>
    <x v="77"/>
    <x v="5"/>
    <x v="1"/>
    <n v="15004.25"/>
    <m/>
    <m/>
    <n v="5"/>
  </r>
  <r>
    <x v="4720"/>
    <x v="928"/>
    <x v="5"/>
    <n v="5"/>
    <n v="3000.85"/>
    <x v="527"/>
    <x v="0"/>
    <x v="3"/>
    <n v="15004.25"/>
    <m/>
    <m/>
    <n v="5"/>
  </r>
  <r>
    <x v="4721"/>
    <x v="928"/>
    <x v="1"/>
    <n v="2"/>
    <n v="81.319999999999993"/>
    <x v="339"/>
    <x v="0"/>
    <x v="2"/>
    <n v="162.63999999999999"/>
    <m/>
    <m/>
    <n v="5"/>
  </r>
  <r>
    <x v="4722"/>
    <x v="928"/>
    <x v="4"/>
    <n v="4"/>
    <n v="4200"/>
    <x v="82"/>
    <x v="0"/>
    <x v="1"/>
    <n v="16800"/>
    <m/>
    <m/>
    <n v="5"/>
  </r>
  <r>
    <x v="4723"/>
    <x v="928"/>
    <x v="7"/>
    <n v="3"/>
    <n v="35.19"/>
    <x v="347"/>
    <x v="4"/>
    <x v="1"/>
    <n v="105.57"/>
    <m/>
    <m/>
    <n v="7"/>
  </r>
  <r>
    <x v="4724"/>
    <x v="928"/>
    <x v="6"/>
    <n v="4"/>
    <n v="143.36000000000001"/>
    <x v="774"/>
    <x v="9"/>
    <x v="2"/>
    <n v="573.44000000000005"/>
    <m/>
    <m/>
    <n v="7"/>
  </r>
  <r>
    <x v="4725"/>
    <x v="928"/>
    <x v="3"/>
    <n v="4"/>
    <n v="60.6"/>
    <x v="388"/>
    <x v="6"/>
    <x v="0"/>
    <n v="242.4"/>
    <m/>
    <m/>
    <n v="7"/>
  </r>
  <r>
    <x v="4726"/>
    <x v="928"/>
    <x v="0"/>
    <n v="3"/>
    <n v="900.24"/>
    <x v="262"/>
    <x v="9"/>
    <x v="0"/>
    <n v="2700.7200000000003"/>
    <m/>
    <m/>
    <n v="7"/>
  </r>
  <r>
    <x v="4727"/>
    <x v="928"/>
    <x v="4"/>
    <n v="3"/>
    <n v="3150"/>
    <x v="740"/>
    <x v="6"/>
    <x v="2"/>
    <n v="9450"/>
    <m/>
    <m/>
    <n v="7"/>
  </r>
  <r>
    <x v="4728"/>
    <x v="929"/>
    <x v="6"/>
    <n v="2"/>
    <n v="71.680000000000007"/>
    <x v="533"/>
    <x v="5"/>
    <x v="2"/>
    <n v="143.36000000000001"/>
    <m/>
    <m/>
    <n v="5"/>
  </r>
  <r>
    <x v="4729"/>
    <x v="929"/>
    <x v="7"/>
    <n v="2"/>
    <n v="23.46"/>
    <x v="567"/>
    <x v="1"/>
    <x v="4"/>
    <n v="46.92"/>
    <m/>
    <m/>
    <n v="5"/>
  </r>
  <r>
    <x v="4730"/>
    <x v="929"/>
    <x v="2"/>
    <n v="3"/>
    <n v="15.69"/>
    <x v="546"/>
    <x v="3"/>
    <x v="2"/>
    <n v="47.07"/>
    <m/>
    <m/>
    <n v="7"/>
  </r>
  <r>
    <x v="4731"/>
    <x v="930"/>
    <x v="1"/>
    <n v="2"/>
    <n v="81.319999999999993"/>
    <x v="533"/>
    <x v="6"/>
    <x v="4"/>
    <n v="162.63999999999999"/>
    <m/>
    <m/>
    <n v="5"/>
  </r>
  <r>
    <x v="4732"/>
    <x v="930"/>
    <x v="0"/>
    <n v="4"/>
    <n v="1200.32"/>
    <x v="107"/>
    <x v="0"/>
    <x v="1"/>
    <n v="4801.28"/>
    <m/>
    <m/>
    <n v="5"/>
  </r>
  <r>
    <x v="4733"/>
    <x v="930"/>
    <x v="4"/>
    <n v="4"/>
    <n v="4200"/>
    <x v="619"/>
    <x v="5"/>
    <x v="1"/>
    <n v="16800"/>
    <m/>
    <m/>
    <n v="5"/>
  </r>
  <r>
    <x v="4734"/>
    <x v="930"/>
    <x v="1"/>
    <n v="5"/>
    <n v="203.3"/>
    <x v="454"/>
    <x v="7"/>
    <x v="0"/>
    <n v="1016.5"/>
    <m/>
    <m/>
    <n v="7"/>
  </r>
  <r>
    <x v="4735"/>
    <x v="930"/>
    <x v="0"/>
    <n v="1"/>
    <n v="300.08"/>
    <x v="539"/>
    <x v="5"/>
    <x v="4"/>
    <n v="300.08"/>
    <m/>
    <m/>
    <n v="7"/>
  </r>
  <r>
    <x v="4736"/>
    <x v="930"/>
    <x v="0"/>
    <n v="1"/>
    <n v="300.08"/>
    <x v="640"/>
    <x v="6"/>
    <x v="4"/>
    <n v="300.08"/>
    <m/>
    <m/>
    <n v="7"/>
  </r>
  <r>
    <x v="4737"/>
    <x v="931"/>
    <x v="6"/>
    <n v="1"/>
    <n v="35.840000000000003"/>
    <x v="21"/>
    <x v="6"/>
    <x v="3"/>
    <n v="35.840000000000003"/>
    <m/>
    <m/>
    <n v="5"/>
  </r>
  <r>
    <x v="4738"/>
    <x v="931"/>
    <x v="7"/>
    <n v="1"/>
    <n v="11.73"/>
    <x v="744"/>
    <x v="0"/>
    <x v="3"/>
    <n v="11.73"/>
    <m/>
    <m/>
    <n v="5"/>
  </r>
  <r>
    <x v="4739"/>
    <x v="931"/>
    <x v="0"/>
    <n v="3"/>
    <n v="900.24"/>
    <x v="679"/>
    <x v="6"/>
    <x v="1"/>
    <n v="2700.7200000000003"/>
    <m/>
    <m/>
    <n v="7"/>
  </r>
  <r>
    <x v="4740"/>
    <x v="931"/>
    <x v="1"/>
    <n v="5"/>
    <n v="203.3"/>
    <x v="182"/>
    <x v="0"/>
    <x v="1"/>
    <n v="1016.5"/>
    <m/>
    <m/>
    <n v="7"/>
  </r>
  <r>
    <x v="4741"/>
    <x v="932"/>
    <x v="5"/>
    <n v="4"/>
    <n v="2400.6799999999998"/>
    <x v="72"/>
    <x v="6"/>
    <x v="0"/>
    <n v="9602.7199999999993"/>
    <m/>
    <m/>
    <n v="5"/>
  </r>
  <r>
    <x v="4742"/>
    <x v="932"/>
    <x v="1"/>
    <n v="5"/>
    <n v="203.3"/>
    <x v="79"/>
    <x v="8"/>
    <x v="1"/>
    <n v="1016.5"/>
    <m/>
    <m/>
    <n v="5"/>
  </r>
  <r>
    <x v="4743"/>
    <x v="932"/>
    <x v="6"/>
    <n v="4"/>
    <n v="143.36000000000001"/>
    <x v="280"/>
    <x v="2"/>
    <x v="4"/>
    <n v="573.44000000000005"/>
    <m/>
    <m/>
    <n v="7"/>
  </r>
  <r>
    <x v="4744"/>
    <x v="933"/>
    <x v="2"/>
    <n v="5"/>
    <n v="26.15"/>
    <x v="69"/>
    <x v="1"/>
    <x v="0"/>
    <n v="130.75"/>
    <m/>
    <m/>
    <n v="5"/>
  </r>
  <r>
    <x v="4745"/>
    <x v="933"/>
    <x v="7"/>
    <n v="3"/>
    <n v="35.19"/>
    <x v="216"/>
    <x v="0"/>
    <x v="3"/>
    <n v="105.57"/>
    <m/>
    <m/>
    <n v="10"/>
  </r>
  <r>
    <x v="4746"/>
    <x v="934"/>
    <x v="0"/>
    <n v="4"/>
    <n v="1200.32"/>
    <x v="3"/>
    <x v="4"/>
    <x v="4"/>
    <n v="4801.28"/>
    <m/>
    <m/>
    <n v="7"/>
  </r>
  <r>
    <x v="4747"/>
    <x v="934"/>
    <x v="0"/>
    <n v="2"/>
    <n v="600.16"/>
    <x v="690"/>
    <x v="9"/>
    <x v="0"/>
    <n v="1200.32"/>
    <m/>
    <m/>
    <n v="7"/>
  </r>
  <r>
    <x v="4748"/>
    <x v="934"/>
    <x v="0"/>
    <n v="2"/>
    <n v="600.16"/>
    <x v="52"/>
    <x v="4"/>
    <x v="2"/>
    <n v="1200.32"/>
    <m/>
    <m/>
    <n v="7"/>
  </r>
  <r>
    <x v="4749"/>
    <x v="935"/>
    <x v="4"/>
    <n v="1"/>
    <n v="1050"/>
    <x v="183"/>
    <x v="0"/>
    <x v="0"/>
    <n v="1050"/>
    <m/>
    <m/>
    <n v="5"/>
  </r>
  <r>
    <x v="4750"/>
    <x v="935"/>
    <x v="0"/>
    <n v="5"/>
    <n v="1500.4"/>
    <x v="164"/>
    <x v="6"/>
    <x v="1"/>
    <n v="7502"/>
    <m/>
    <m/>
    <n v="7"/>
  </r>
  <r>
    <x v="4751"/>
    <x v="935"/>
    <x v="2"/>
    <n v="3"/>
    <n v="15.69"/>
    <x v="468"/>
    <x v="6"/>
    <x v="1"/>
    <n v="47.07"/>
    <m/>
    <m/>
    <n v="7"/>
  </r>
  <r>
    <x v="4752"/>
    <x v="935"/>
    <x v="0"/>
    <n v="2"/>
    <n v="600.16"/>
    <x v="61"/>
    <x v="0"/>
    <x v="0"/>
    <n v="1200.32"/>
    <m/>
    <m/>
    <n v="10"/>
  </r>
  <r>
    <x v="4753"/>
    <x v="936"/>
    <x v="7"/>
    <n v="3"/>
    <n v="35.19"/>
    <x v="599"/>
    <x v="3"/>
    <x v="4"/>
    <n v="105.57"/>
    <m/>
    <m/>
    <n v="5"/>
  </r>
  <r>
    <x v="4754"/>
    <x v="936"/>
    <x v="0"/>
    <n v="4"/>
    <n v="1200.32"/>
    <x v="292"/>
    <x v="6"/>
    <x v="4"/>
    <n v="4801.28"/>
    <m/>
    <m/>
    <n v="5"/>
  </r>
  <r>
    <x v="4755"/>
    <x v="936"/>
    <x v="1"/>
    <n v="4"/>
    <n v="162.63999999999999"/>
    <x v="339"/>
    <x v="1"/>
    <x v="2"/>
    <n v="650.55999999999995"/>
    <m/>
    <m/>
    <n v="5"/>
  </r>
  <r>
    <x v="4756"/>
    <x v="936"/>
    <x v="5"/>
    <n v="3"/>
    <n v="1800.51"/>
    <x v="462"/>
    <x v="2"/>
    <x v="1"/>
    <n v="5401.53"/>
    <m/>
    <m/>
    <n v="5"/>
  </r>
  <r>
    <x v="4757"/>
    <x v="936"/>
    <x v="4"/>
    <n v="2"/>
    <n v="2100"/>
    <x v="675"/>
    <x v="0"/>
    <x v="4"/>
    <n v="4200"/>
    <m/>
    <m/>
    <n v="7"/>
  </r>
  <r>
    <x v="4758"/>
    <x v="936"/>
    <x v="2"/>
    <n v="4"/>
    <n v="20.92"/>
    <x v="273"/>
    <x v="0"/>
    <x v="0"/>
    <n v="83.68"/>
    <m/>
    <m/>
    <n v="7"/>
  </r>
  <r>
    <x v="4759"/>
    <x v="936"/>
    <x v="2"/>
    <n v="4"/>
    <n v="20.92"/>
    <x v="631"/>
    <x v="6"/>
    <x v="0"/>
    <n v="83.68"/>
    <m/>
    <m/>
    <n v="7"/>
  </r>
  <r>
    <x v="4760"/>
    <x v="937"/>
    <x v="0"/>
    <n v="1"/>
    <n v="300.08"/>
    <x v="261"/>
    <x v="1"/>
    <x v="4"/>
    <n v="300.08"/>
    <m/>
    <m/>
    <n v="5"/>
  </r>
  <r>
    <x v="4761"/>
    <x v="937"/>
    <x v="4"/>
    <n v="5"/>
    <n v="5250"/>
    <x v="27"/>
    <x v="1"/>
    <x v="3"/>
    <n v="26250"/>
    <m/>
    <m/>
    <n v="5"/>
  </r>
  <r>
    <x v="4762"/>
    <x v="937"/>
    <x v="4"/>
    <n v="4"/>
    <n v="4200"/>
    <x v="624"/>
    <x v="0"/>
    <x v="3"/>
    <n v="16800"/>
    <m/>
    <m/>
    <n v="7"/>
  </r>
  <r>
    <x v="4763"/>
    <x v="937"/>
    <x v="1"/>
    <n v="2"/>
    <n v="81.319999999999993"/>
    <x v="754"/>
    <x v="3"/>
    <x v="2"/>
    <n v="162.63999999999999"/>
    <m/>
    <m/>
    <n v="7"/>
  </r>
  <r>
    <x v="4764"/>
    <x v="937"/>
    <x v="0"/>
    <n v="5"/>
    <n v="1500.4"/>
    <x v="25"/>
    <x v="1"/>
    <x v="0"/>
    <n v="7502"/>
    <m/>
    <m/>
    <n v="7"/>
  </r>
  <r>
    <x v="4765"/>
    <x v="937"/>
    <x v="0"/>
    <n v="2"/>
    <n v="600.16"/>
    <x v="284"/>
    <x v="4"/>
    <x v="2"/>
    <n v="1200.32"/>
    <m/>
    <m/>
    <n v="10"/>
  </r>
  <r>
    <x v="4766"/>
    <x v="938"/>
    <x v="1"/>
    <n v="1"/>
    <n v="40.659999999999997"/>
    <x v="145"/>
    <x v="0"/>
    <x v="1"/>
    <n v="40.659999999999997"/>
    <m/>
    <m/>
    <n v="5"/>
  </r>
  <r>
    <x v="4767"/>
    <x v="938"/>
    <x v="5"/>
    <n v="1"/>
    <n v="600.16999999999996"/>
    <x v="79"/>
    <x v="4"/>
    <x v="2"/>
    <n v="600.16999999999996"/>
    <m/>
    <m/>
    <n v="5"/>
  </r>
  <r>
    <x v="4768"/>
    <x v="938"/>
    <x v="2"/>
    <n v="4"/>
    <n v="20.92"/>
    <x v="181"/>
    <x v="6"/>
    <x v="3"/>
    <n v="83.68"/>
    <m/>
    <m/>
    <n v="7"/>
  </r>
  <r>
    <x v="4769"/>
    <x v="938"/>
    <x v="2"/>
    <n v="2"/>
    <n v="10.46"/>
    <x v="772"/>
    <x v="3"/>
    <x v="2"/>
    <n v="20.92"/>
    <m/>
    <m/>
    <n v="7"/>
  </r>
  <r>
    <x v="4770"/>
    <x v="938"/>
    <x v="5"/>
    <n v="2"/>
    <n v="1200.3399999999999"/>
    <x v="519"/>
    <x v="0"/>
    <x v="3"/>
    <n v="2400.6799999999998"/>
    <m/>
    <m/>
    <n v="10"/>
  </r>
  <r>
    <x v="4771"/>
    <x v="939"/>
    <x v="0"/>
    <n v="5"/>
    <n v="1500.4"/>
    <x v="224"/>
    <x v="1"/>
    <x v="4"/>
    <n v="7502"/>
    <m/>
    <m/>
    <n v="5"/>
  </r>
  <r>
    <x v="4772"/>
    <x v="939"/>
    <x v="1"/>
    <n v="4"/>
    <n v="162.63999999999999"/>
    <x v="425"/>
    <x v="1"/>
    <x v="2"/>
    <n v="650.55999999999995"/>
    <m/>
    <m/>
    <n v="5"/>
  </r>
  <r>
    <x v="4773"/>
    <x v="939"/>
    <x v="0"/>
    <n v="2"/>
    <n v="600.16"/>
    <x v="715"/>
    <x v="1"/>
    <x v="4"/>
    <n v="1200.32"/>
    <m/>
    <m/>
    <n v="7"/>
  </r>
  <r>
    <x v="4774"/>
    <x v="939"/>
    <x v="0"/>
    <n v="4"/>
    <n v="1200.32"/>
    <x v="20"/>
    <x v="8"/>
    <x v="3"/>
    <n v="4801.28"/>
    <m/>
    <m/>
    <n v="7"/>
  </r>
  <r>
    <x v="4775"/>
    <x v="939"/>
    <x v="0"/>
    <n v="1"/>
    <n v="300.08"/>
    <x v="251"/>
    <x v="7"/>
    <x v="1"/>
    <n v="300.08"/>
    <m/>
    <m/>
    <n v="10"/>
  </r>
  <r>
    <x v="4776"/>
    <x v="940"/>
    <x v="0"/>
    <n v="1"/>
    <n v="300.08"/>
    <x v="312"/>
    <x v="1"/>
    <x v="1"/>
    <n v="300.08"/>
    <m/>
    <m/>
    <n v="5"/>
  </r>
  <r>
    <x v="4777"/>
    <x v="940"/>
    <x v="6"/>
    <n v="1"/>
    <n v="35.840000000000003"/>
    <x v="406"/>
    <x v="5"/>
    <x v="2"/>
    <n v="35.840000000000003"/>
    <m/>
    <m/>
    <n v="5"/>
  </r>
  <r>
    <x v="4778"/>
    <x v="940"/>
    <x v="2"/>
    <n v="1"/>
    <n v="5.23"/>
    <x v="500"/>
    <x v="4"/>
    <x v="1"/>
    <n v="5.23"/>
    <m/>
    <m/>
    <n v="5"/>
  </r>
  <r>
    <x v="4779"/>
    <x v="940"/>
    <x v="5"/>
    <n v="4"/>
    <n v="2400.6799999999998"/>
    <x v="67"/>
    <x v="1"/>
    <x v="1"/>
    <n v="9602.7199999999993"/>
    <m/>
    <m/>
    <n v="7"/>
  </r>
  <r>
    <x v="4780"/>
    <x v="940"/>
    <x v="6"/>
    <n v="5"/>
    <n v="179.2"/>
    <x v="608"/>
    <x v="4"/>
    <x v="1"/>
    <n v="896"/>
    <m/>
    <m/>
    <n v="10"/>
  </r>
  <r>
    <x v="4781"/>
    <x v="941"/>
    <x v="0"/>
    <n v="5"/>
    <n v="1500.4"/>
    <x v="696"/>
    <x v="0"/>
    <x v="0"/>
    <n v="7502"/>
    <m/>
    <m/>
    <n v="5"/>
  </r>
  <r>
    <x v="4782"/>
    <x v="941"/>
    <x v="4"/>
    <n v="1"/>
    <n v="1050"/>
    <x v="312"/>
    <x v="6"/>
    <x v="2"/>
    <n v="1050"/>
    <m/>
    <m/>
    <n v="5"/>
  </r>
  <r>
    <x v="4783"/>
    <x v="941"/>
    <x v="0"/>
    <n v="2"/>
    <n v="600.16"/>
    <x v="166"/>
    <x v="1"/>
    <x v="1"/>
    <n v="1200.32"/>
    <m/>
    <m/>
    <n v="5"/>
  </r>
  <r>
    <x v="4784"/>
    <x v="941"/>
    <x v="0"/>
    <n v="5"/>
    <n v="1500.4"/>
    <x v="15"/>
    <x v="4"/>
    <x v="4"/>
    <n v="7502"/>
    <m/>
    <m/>
    <n v="5"/>
  </r>
  <r>
    <x v="4785"/>
    <x v="941"/>
    <x v="3"/>
    <n v="5"/>
    <n v="75.75"/>
    <x v="109"/>
    <x v="1"/>
    <x v="1"/>
    <n v="378.75"/>
    <m/>
    <m/>
    <n v="7"/>
  </r>
  <r>
    <x v="4786"/>
    <x v="941"/>
    <x v="0"/>
    <n v="4"/>
    <n v="1200.32"/>
    <x v="468"/>
    <x v="0"/>
    <x v="1"/>
    <n v="4801.28"/>
    <m/>
    <m/>
    <n v="7"/>
  </r>
  <r>
    <x v="4787"/>
    <x v="941"/>
    <x v="0"/>
    <n v="2"/>
    <n v="600.16"/>
    <x v="660"/>
    <x v="0"/>
    <x v="3"/>
    <n v="1200.32"/>
    <m/>
    <m/>
    <n v="7"/>
  </r>
  <r>
    <x v="4788"/>
    <x v="941"/>
    <x v="1"/>
    <n v="2"/>
    <n v="81.319999999999993"/>
    <x v="426"/>
    <x v="0"/>
    <x v="1"/>
    <n v="162.63999999999999"/>
    <m/>
    <m/>
    <n v="7"/>
  </r>
  <r>
    <x v="4789"/>
    <x v="941"/>
    <x v="6"/>
    <n v="1"/>
    <n v="35.840000000000003"/>
    <x v="282"/>
    <x v="6"/>
    <x v="2"/>
    <n v="35.840000000000003"/>
    <m/>
    <m/>
    <n v="7"/>
  </r>
  <r>
    <x v="4790"/>
    <x v="942"/>
    <x v="0"/>
    <n v="2"/>
    <n v="600.16"/>
    <x v="533"/>
    <x v="6"/>
    <x v="3"/>
    <n v="1200.32"/>
    <m/>
    <m/>
    <n v="5"/>
  </r>
  <r>
    <x v="4791"/>
    <x v="942"/>
    <x v="6"/>
    <n v="1"/>
    <n v="35.840000000000003"/>
    <x v="202"/>
    <x v="0"/>
    <x v="4"/>
    <n v="35.840000000000003"/>
    <m/>
    <m/>
    <n v="5"/>
  </r>
  <r>
    <x v="4792"/>
    <x v="942"/>
    <x v="0"/>
    <n v="1"/>
    <n v="300.08"/>
    <x v="244"/>
    <x v="6"/>
    <x v="4"/>
    <n v="300.08"/>
    <m/>
    <m/>
    <n v="5"/>
  </r>
  <r>
    <x v="4793"/>
    <x v="942"/>
    <x v="2"/>
    <n v="1"/>
    <n v="5.23"/>
    <x v="788"/>
    <x v="9"/>
    <x v="2"/>
    <n v="5.23"/>
    <m/>
    <m/>
    <n v="7"/>
  </r>
  <r>
    <x v="4794"/>
    <x v="942"/>
    <x v="1"/>
    <n v="3"/>
    <n v="121.98"/>
    <x v="675"/>
    <x v="4"/>
    <x v="2"/>
    <n v="365.94"/>
    <m/>
    <m/>
    <n v="7"/>
  </r>
  <r>
    <x v="4795"/>
    <x v="943"/>
    <x v="3"/>
    <n v="4"/>
    <n v="60.6"/>
    <x v="332"/>
    <x v="5"/>
    <x v="3"/>
    <n v="242.4"/>
    <m/>
    <m/>
    <n v="5"/>
  </r>
  <r>
    <x v="4796"/>
    <x v="943"/>
    <x v="2"/>
    <n v="2"/>
    <n v="10.46"/>
    <x v="503"/>
    <x v="1"/>
    <x v="3"/>
    <n v="20.92"/>
    <m/>
    <m/>
    <n v="7"/>
  </r>
  <r>
    <x v="4797"/>
    <x v="943"/>
    <x v="0"/>
    <n v="3"/>
    <n v="900.24"/>
    <x v="701"/>
    <x v="8"/>
    <x v="1"/>
    <n v="2700.7200000000003"/>
    <m/>
    <m/>
    <n v="7"/>
  </r>
  <r>
    <x v="4798"/>
    <x v="943"/>
    <x v="1"/>
    <n v="5"/>
    <n v="203.3"/>
    <x v="513"/>
    <x v="0"/>
    <x v="1"/>
    <n v="1016.5"/>
    <m/>
    <m/>
    <n v="7"/>
  </r>
  <r>
    <x v="4799"/>
    <x v="943"/>
    <x v="5"/>
    <n v="1"/>
    <n v="600.16999999999996"/>
    <x v="451"/>
    <x v="6"/>
    <x v="4"/>
    <n v="600.16999999999996"/>
    <m/>
    <m/>
    <n v="10"/>
  </r>
  <r>
    <x v="4800"/>
    <x v="943"/>
    <x v="2"/>
    <n v="2"/>
    <n v="10.46"/>
    <x v="156"/>
    <x v="6"/>
    <x v="0"/>
    <n v="20.92"/>
    <m/>
    <m/>
    <n v="10"/>
  </r>
  <r>
    <x v="4801"/>
    <x v="944"/>
    <x v="3"/>
    <n v="4"/>
    <n v="60.6"/>
    <x v="89"/>
    <x v="0"/>
    <x v="0"/>
    <n v="242.4"/>
    <m/>
    <m/>
    <n v="5"/>
  </r>
  <r>
    <x v="4802"/>
    <x v="944"/>
    <x v="0"/>
    <n v="4"/>
    <n v="1200.32"/>
    <x v="305"/>
    <x v="8"/>
    <x v="3"/>
    <n v="4801.28"/>
    <m/>
    <m/>
    <n v="5"/>
  </r>
  <r>
    <x v="4803"/>
    <x v="944"/>
    <x v="4"/>
    <n v="1"/>
    <n v="1050"/>
    <x v="652"/>
    <x v="1"/>
    <x v="3"/>
    <n v="1050"/>
    <m/>
    <m/>
    <n v="5"/>
  </r>
  <r>
    <x v="4804"/>
    <x v="944"/>
    <x v="1"/>
    <n v="3"/>
    <n v="121.98"/>
    <x v="738"/>
    <x v="1"/>
    <x v="2"/>
    <n v="365.94"/>
    <m/>
    <m/>
    <n v="7"/>
  </r>
  <r>
    <x v="4805"/>
    <x v="945"/>
    <x v="6"/>
    <n v="2"/>
    <n v="71.680000000000007"/>
    <x v="206"/>
    <x v="9"/>
    <x v="2"/>
    <n v="143.36000000000001"/>
    <m/>
    <m/>
    <n v="7"/>
  </r>
  <r>
    <x v="4806"/>
    <x v="946"/>
    <x v="0"/>
    <n v="5"/>
    <n v="1500.4"/>
    <x v="157"/>
    <x v="5"/>
    <x v="4"/>
    <n v="7502"/>
    <m/>
    <m/>
    <n v="5"/>
  </r>
  <r>
    <x v="4807"/>
    <x v="946"/>
    <x v="0"/>
    <n v="2"/>
    <n v="600.16"/>
    <x v="173"/>
    <x v="6"/>
    <x v="3"/>
    <n v="1200.32"/>
    <m/>
    <m/>
    <n v="5"/>
  </r>
  <r>
    <x v="4808"/>
    <x v="946"/>
    <x v="3"/>
    <n v="1"/>
    <n v="15.15"/>
    <x v="132"/>
    <x v="4"/>
    <x v="3"/>
    <n v="15.15"/>
    <m/>
    <m/>
    <n v="5"/>
  </r>
  <r>
    <x v="4809"/>
    <x v="946"/>
    <x v="6"/>
    <n v="2"/>
    <n v="71.680000000000007"/>
    <x v="127"/>
    <x v="1"/>
    <x v="4"/>
    <n v="143.36000000000001"/>
    <m/>
    <m/>
    <n v="7"/>
  </r>
  <r>
    <x v="4810"/>
    <x v="946"/>
    <x v="7"/>
    <n v="1"/>
    <n v="11.73"/>
    <x v="193"/>
    <x v="4"/>
    <x v="0"/>
    <n v="11.73"/>
    <m/>
    <m/>
    <n v="7"/>
  </r>
  <r>
    <x v="4811"/>
    <x v="946"/>
    <x v="6"/>
    <n v="5"/>
    <n v="179.2"/>
    <x v="667"/>
    <x v="9"/>
    <x v="3"/>
    <n v="896"/>
    <m/>
    <m/>
    <n v="7"/>
  </r>
  <r>
    <x v="4812"/>
    <x v="947"/>
    <x v="0"/>
    <n v="2"/>
    <n v="600.16"/>
    <x v="495"/>
    <x v="9"/>
    <x v="4"/>
    <n v="1200.32"/>
    <m/>
    <m/>
    <n v="5"/>
  </r>
  <r>
    <x v="4813"/>
    <x v="947"/>
    <x v="2"/>
    <n v="4"/>
    <n v="20.92"/>
    <x v="374"/>
    <x v="0"/>
    <x v="4"/>
    <n v="83.68"/>
    <m/>
    <m/>
    <n v="5"/>
  </r>
  <r>
    <x v="4814"/>
    <x v="947"/>
    <x v="5"/>
    <n v="1"/>
    <n v="600.16999999999996"/>
    <x v="651"/>
    <x v="0"/>
    <x v="4"/>
    <n v="600.16999999999996"/>
    <m/>
    <m/>
    <n v="5"/>
  </r>
  <r>
    <x v="4815"/>
    <x v="947"/>
    <x v="2"/>
    <n v="3"/>
    <n v="15.69"/>
    <x v="646"/>
    <x v="4"/>
    <x v="4"/>
    <n v="47.07"/>
    <m/>
    <m/>
    <n v="5"/>
  </r>
  <r>
    <x v="4816"/>
    <x v="947"/>
    <x v="2"/>
    <n v="3"/>
    <n v="15.69"/>
    <x v="508"/>
    <x v="1"/>
    <x v="3"/>
    <n v="47.07"/>
    <m/>
    <m/>
    <n v="7"/>
  </r>
  <r>
    <x v="4817"/>
    <x v="947"/>
    <x v="0"/>
    <n v="5"/>
    <n v="1500.4"/>
    <x v="297"/>
    <x v="5"/>
    <x v="2"/>
    <n v="7502"/>
    <m/>
    <m/>
    <n v="7"/>
  </r>
  <r>
    <x v="4818"/>
    <x v="947"/>
    <x v="1"/>
    <n v="2"/>
    <n v="81.319999999999993"/>
    <x v="299"/>
    <x v="9"/>
    <x v="1"/>
    <n v="162.63999999999999"/>
    <m/>
    <m/>
    <n v="10"/>
  </r>
  <r>
    <x v="4819"/>
    <x v="948"/>
    <x v="5"/>
    <n v="5"/>
    <n v="3000.85"/>
    <x v="105"/>
    <x v="3"/>
    <x v="2"/>
    <n v="15004.25"/>
    <m/>
    <m/>
    <n v="5"/>
  </r>
  <r>
    <x v="4820"/>
    <x v="948"/>
    <x v="3"/>
    <n v="5"/>
    <n v="75.75"/>
    <x v="437"/>
    <x v="9"/>
    <x v="0"/>
    <n v="378.75"/>
    <m/>
    <m/>
    <n v="5"/>
  </r>
  <r>
    <x v="4821"/>
    <x v="948"/>
    <x v="3"/>
    <n v="4"/>
    <n v="60.6"/>
    <x v="359"/>
    <x v="0"/>
    <x v="3"/>
    <n v="242.4"/>
    <m/>
    <m/>
    <n v="5"/>
  </r>
  <r>
    <x v="4822"/>
    <x v="948"/>
    <x v="2"/>
    <n v="1"/>
    <n v="5.23"/>
    <x v="717"/>
    <x v="4"/>
    <x v="0"/>
    <n v="5.23"/>
    <m/>
    <m/>
    <n v="5"/>
  </r>
  <r>
    <x v="4823"/>
    <x v="948"/>
    <x v="2"/>
    <n v="3"/>
    <n v="15.69"/>
    <x v="559"/>
    <x v="0"/>
    <x v="0"/>
    <n v="47.07"/>
    <m/>
    <m/>
    <n v="7"/>
  </r>
  <r>
    <x v="4824"/>
    <x v="948"/>
    <x v="3"/>
    <n v="3"/>
    <n v="45.45"/>
    <x v="236"/>
    <x v="7"/>
    <x v="3"/>
    <n v="136.35000000000002"/>
    <m/>
    <m/>
    <n v="7"/>
  </r>
  <r>
    <x v="4825"/>
    <x v="948"/>
    <x v="6"/>
    <n v="1"/>
    <n v="35.840000000000003"/>
    <x v="578"/>
    <x v="0"/>
    <x v="4"/>
    <n v="35.840000000000003"/>
    <m/>
    <m/>
    <n v="7"/>
  </r>
  <r>
    <x v="4826"/>
    <x v="949"/>
    <x v="5"/>
    <n v="4"/>
    <n v="2400.6799999999998"/>
    <x v="274"/>
    <x v="6"/>
    <x v="4"/>
    <n v="9602.7199999999993"/>
    <m/>
    <m/>
    <n v="7"/>
  </r>
  <r>
    <x v="4827"/>
    <x v="949"/>
    <x v="6"/>
    <n v="2"/>
    <n v="71.680000000000007"/>
    <x v="200"/>
    <x v="6"/>
    <x v="1"/>
    <n v="143.36000000000001"/>
    <m/>
    <m/>
    <n v="10"/>
  </r>
  <r>
    <x v="4828"/>
    <x v="950"/>
    <x v="0"/>
    <n v="4"/>
    <n v="1200.32"/>
    <x v="790"/>
    <x v="9"/>
    <x v="4"/>
    <n v="4801.28"/>
    <m/>
    <m/>
    <n v="5"/>
  </r>
  <r>
    <x v="4829"/>
    <x v="950"/>
    <x v="0"/>
    <n v="3"/>
    <n v="900.24"/>
    <x v="387"/>
    <x v="3"/>
    <x v="0"/>
    <n v="2700.7200000000003"/>
    <m/>
    <m/>
    <n v="5"/>
  </r>
  <r>
    <x v="4830"/>
    <x v="950"/>
    <x v="0"/>
    <n v="2"/>
    <n v="600.16"/>
    <x v="124"/>
    <x v="1"/>
    <x v="2"/>
    <n v="1200.32"/>
    <m/>
    <m/>
    <n v="7"/>
  </r>
  <r>
    <x v="4831"/>
    <x v="951"/>
    <x v="3"/>
    <n v="4"/>
    <n v="60.6"/>
    <x v="176"/>
    <x v="8"/>
    <x v="0"/>
    <n v="242.4"/>
    <m/>
    <m/>
    <n v="5"/>
  </r>
  <r>
    <x v="4832"/>
    <x v="951"/>
    <x v="1"/>
    <n v="2"/>
    <n v="81.319999999999993"/>
    <x v="710"/>
    <x v="9"/>
    <x v="1"/>
    <n v="162.63999999999999"/>
    <m/>
    <m/>
    <n v="7"/>
  </r>
  <r>
    <x v="4833"/>
    <x v="951"/>
    <x v="1"/>
    <n v="3"/>
    <n v="121.98"/>
    <x v="76"/>
    <x v="6"/>
    <x v="4"/>
    <n v="365.94"/>
    <m/>
    <m/>
    <n v="7"/>
  </r>
  <r>
    <x v="4834"/>
    <x v="951"/>
    <x v="0"/>
    <n v="4"/>
    <n v="1200.32"/>
    <x v="634"/>
    <x v="7"/>
    <x v="4"/>
    <n v="4801.28"/>
    <m/>
    <m/>
    <n v="7"/>
  </r>
  <r>
    <x v="4835"/>
    <x v="951"/>
    <x v="0"/>
    <n v="1"/>
    <n v="300.08"/>
    <x v="263"/>
    <x v="5"/>
    <x v="2"/>
    <n v="300.08"/>
    <m/>
    <m/>
    <n v="7"/>
  </r>
  <r>
    <x v="4836"/>
    <x v="951"/>
    <x v="5"/>
    <n v="5"/>
    <n v="3000.85"/>
    <x v="765"/>
    <x v="7"/>
    <x v="1"/>
    <n v="15004.25"/>
    <m/>
    <m/>
    <n v="10"/>
  </r>
  <r>
    <x v="4837"/>
    <x v="952"/>
    <x v="4"/>
    <n v="4"/>
    <n v="4200"/>
    <x v="27"/>
    <x v="6"/>
    <x v="0"/>
    <n v="16800"/>
    <m/>
    <m/>
    <n v="5"/>
  </r>
  <r>
    <x v="4838"/>
    <x v="952"/>
    <x v="3"/>
    <n v="3"/>
    <n v="45.45"/>
    <x v="460"/>
    <x v="1"/>
    <x v="4"/>
    <n v="136.35000000000002"/>
    <m/>
    <m/>
    <n v="7"/>
  </r>
  <r>
    <x v="4839"/>
    <x v="952"/>
    <x v="5"/>
    <n v="3"/>
    <n v="1800.51"/>
    <x v="129"/>
    <x v="5"/>
    <x v="1"/>
    <n v="5401.53"/>
    <m/>
    <m/>
    <n v="7"/>
  </r>
  <r>
    <x v="4840"/>
    <x v="952"/>
    <x v="3"/>
    <n v="1"/>
    <n v="15.15"/>
    <x v="447"/>
    <x v="4"/>
    <x v="3"/>
    <n v="15.15"/>
    <m/>
    <m/>
    <n v="7"/>
  </r>
  <r>
    <x v="4841"/>
    <x v="953"/>
    <x v="2"/>
    <n v="1"/>
    <n v="5.23"/>
    <x v="183"/>
    <x v="0"/>
    <x v="1"/>
    <n v="5.23"/>
    <m/>
    <m/>
    <n v="5"/>
  </r>
  <r>
    <x v="4842"/>
    <x v="953"/>
    <x v="2"/>
    <n v="3"/>
    <n v="15.69"/>
    <x v="308"/>
    <x v="2"/>
    <x v="2"/>
    <n v="47.07"/>
    <m/>
    <m/>
    <n v="5"/>
  </r>
  <r>
    <x v="4843"/>
    <x v="953"/>
    <x v="1"/>
    <n v="5"/>
    <n v="203.3"/>
    <x v="370"/>
    <x v="9"/>
    <x v="1"/>
    <n v="1016.5"/>
    <m/>
    <m/>
    <n v="7"/>
  </r>
  <r>
    <x v="4844"/>
    <x v="953"/>
    <x v="1"/>
    <n v="3"/>
    <n v="121.98"/>
    <x v="510"/>
    <x v="1"/>
    <x v="4"/>
    <n v="365.94"/>
    <m/>
    <m/>
    <n v="7"/>
  </r>
  <r>
    <x v="4845"/>
    <x v="953"/>
    <x v="1"/>
    <n v="2"/>
    <n v="81.319999999999993"/>
    <x v="148"/>
    <x v="0"/>
    <x v="3"/>
    <n v="162.63999999999999"/>
    <m/>
    <m/>
    <n v="7"/>
  </r>
  <r>
    <x v="4846"/>
    <x v="953"/>
    <x v="5"/>
    <n v="1"/>
    <n v="600.16999999999996"/>
    <x v="741"/>
    <x v="6"/>
    <x v="4"/>
    <n v="600.16999999999996"/>
    <m/>
    <m/>
    <n v="10"/>
  </r>
  <r>
    <x v="4847"/>
    <x v="954"/>
    <x v="7"/>
    <n v="3"/>
    <n v="35.19"/>
    <x v="609"/>
    <x v="9"/>
    <x v="4"/>
    <n v="105.57"/>
    <m/>
    <m/>
    <n v="5"/>
  </r>
  <r>
    <x v="4848"/>
    <x v="954"/>
    <x v="2"/>
    <n v="3"/>
    <n v="15.69"/>
    <x v="462"/>
    <x v="0"/>
    <x v="2"/>
    <n v="47.07"/>
    <m/>
    <m/>
    <n v="5"/>
  </r>
  <r>
    <x v="4849"/>
    <x v="954"/>
    <x v="1"/>
    <n v="5"/>
    <n v="203.3"/>
    <x v="587"/>
    <x v="4"/>
    <x v="4"/>
    <n v="1016.5"/>
    <m/>
    <m/>
    <n v="5"/>
  </r>
  <r>
    <x v="4850"/>
    <x v="954"/>
    <x v="0"/>
    <n v="1"/>
    <n v="300.08"/>
    <x v="779"/>
    <x v="0"/>
    <x v="4"/>
    <n v="300.08"/>
    <m/>
    <m/>
    <n v="7"/>
  </r>
  <r>
    <x v="4851"/>
    <x v="954"/>
    <x v="0"/>
    <n v="5"/>
    <n v="1500.4"/>
    <x v="412"/>
    <x v="5"/>
    <x v="3"/>
    <n v="7502"/>
    <m/>
    <m/>
    <n v="7"/>
  </r>
  <r>
    <x v="4852"/>
    <x v="954"/>
    <x v="0"/>
    <n v="1"/>
    <n v="300.08"/>
    <x v="620"/>
    <x v="8"/>
    <x v="0"/>
    <n v="300.08"/>
    <m/>
    <m/>
    <n v="10"/>
  </r>
  <r>
    <x v="4853"/>
    <x v="955"/>
    <x v="0"/>
    <n v="4"/>
    <n v="1200.32"/>
    <x v="55"/>
    <x v="4"/>
    <x v="4"/>
    <n v="4801.28"/>
    <m/>
    <m/>
    <n v="7"/>
  </r>
  <r>
    <x v="4854"/>
    <x v="955"/>
    <x v="0"/>
    <n v="4"/>
    <n v="1200.32"/>
    <x v="11"/>
    <x v="9"/>
    <x v="4"/>
    <n v="4801.28"/>
    <m/>
    <m/>
    <n v="7"/>
  </r>
  <r>
    <x v="4855"/>
    <x v="955"/>
    <x v="1"/>
    <n v="2"/>
    <n v="81.319999999999993"/>
    <x v="671"/>
    <x v="5"/>
    <x v="0"/>
    <n v="162.63999999999999"/>
    <m/>
    <m/>
    <n v="7"/>
  </r>
  <r>
    <x v="4856"/>
    <x v="956"/>
    <x v="0"/>
    <n v="5"/>
    <n v="1500.4"/>
    <x v="320"/>
    <x v="9"/>
    <x v="3"/>
    <n v="7502"/>
    <m/>
    <m/>
    <n v="5"/>
  </r>
  <r>
    <x v="4857"/>
    <x v="956"/>
    <x v="1"/>
    <n v="2"/>
    <n v="81.319999999999993"/>
    <x v="460"/>
    <x v="2"/>
    <x v="3"/>
    <n v="162.63999999999999"/>
    <m/>
    <m/>
    <n v="7"/>
  </r>
  <r>
    <x v="4858"/>
    <x v="956"/>
    <x v="0"/>
    <n v="5"/>
    <n v="1500.4"/>
    <x v="461"/>
    <x v="2"/>
    <x v="3"/>
    <n v="7502"/>
    <m/>
    <m/>
    <n v="7"/>
  </r>
  <r>
    <x v="4859"/>
    <x v="957"/>
    <x v="7"/>
    <n v="2"/>
    <n v="23.46"/>
    <x v="128"/>
    <x v="6"/>
    <x v="2"/>
    <n v="46.92"/>
    <m/>
    <m/>
    <n v="5"/>
  </r>
  <r>
    <x v="4860"/>
    <x v="957"/>
    <x v="0"/>
    <n v="4"/>
    <n v="1200.32"/>
    <x v="627"/>
    <x v="6"/>
    <x v="2"/>
    <n v="4801.28"/>
    <m/>
    <m/>
    <n v="5"/>
  </r>
  <r>
    <x v="4861"/>
    <x v="957"/>
    <x v="1"/>
    <n v="5"/>
    <n v="203.3"/>
    <x v="430"/>
    <x v="0"/>
    <x v="3"/>
    <n v="1016.5"/>
    <m/>
    <m/>
    <n v="7"/>
  </r>
  <r>
    <x v="4862"/>
    <x v="957"/>
    <x v="0"/>
    <n v="1"/>
    <n v="300.08"/>
    <x v="570"/>
    <x v="7"/>
    <x v="2"/>
    <n v="300.08"/>
    <m/>
    <m/>
    <n v="7"/>
  </r>
  <r>
    <x v="4863"/>
    <x v="957"/>
    <x v="1"/>
    <n v="3"/>
    <n v="121.98"/>
    <x v="605"/>
    <x v="1"/>
    <x v="4"/>
    <n v="365.94"/>
    <m/>
    <m/>
    <n v="7"/>
  </r>
  <r>
    <x v="4864"/>
    <x v="958"/>
    <x v="6"/>
    <n v="1"/>
    <n v="35.840000000000003"/>
    <x v="27"/>
    <x v="4"/>
    <x v="3"/>
    <n v="35.840000000000003"/>
    <m/>
    <m/>
    <n v="5"/>
  </r>
  <r>
    <x v="4865"/>
    <x v="958"/>
    <x v="0"/>
    <n v="5"/>
    <n v="1500.4"/>
    <x v="291"/>
    <x v="4"/>
    <x v="4"/>
    <n v="7502"/>
    <m/>
    <m/>
    <n v="5"/>
  </r>
  <r>
    <x v="4866"/>
    <x v="958"/>
    <x v="0"/>
    <n v="2"/>
    <n v="600.16"/>
    <x v="787"/>
    <x v="1"/>
    <x v="3"/>
    <n v="1200.32"/>
    <m/>
    <m/>
    <n v="5"/>
  </r>
  <r>
    <x v="4867"/>
    <x v="958"/>
    <x v="7"/>
    <n v="5"/>
    <n v="58.65"/>
    <x v="788"/>
    <x v="6"/>
    <x v="3"/>
    <n v="293.25"/>
    <m/>
    <m/>
    <n v="7"/>
  </r>
  <r>
    <x v="4868"/>
    <x v="958"/>
    <x v="0"/>
    <n v="1"/>
    <n v="300.08"/>
    <x v="217"/>
    <x v="4"/>
    <x v="1"/>
    <n v="300.08"/>
    <m/>
    <m/>
    <n v="7"/>
  </r>
  <r>
    <x v="4869"/>
    <x v="958"/>
    <x v="2"/>
    <n v="4"/>
    <n v="20.92"/>
    <x v="193"/>
    <x v="0"/>
    <x v="3"/>
    <n v="83.68"/>
    <m/>
    <m/>
    <n v="7"/>
  </r>
  <r>
    <x v="4870"/>
    <x v="959"/>
    <x v="0"/>
    <n v="5"/>
    <n v="1500.4"/>
    <x v="295"/>
    <x v="9"/>
    <x v="1"/>
    <n v="7502"/>
    <m/>
    <m/>
    <n v="5"/>
  </r>
  <r>
    <x v="4871"/>
    <x v="959"/>
    <x v="3"/>
    <n v="2"/>
    <n v="30.3"/>
    <x v="779"/>
    <x v="0"/>
    <x v="1"/>
    <n v="60.6"/>
    <m/>
    <m/>
    <n v="7"/>
  </r>
  <r>
    <x v="4872"/>
    <x v="960"/>
    <x v="0"/>
    <n v="2"/>
    <n v="600.16"/>
    <x v="635"/>
    <x v="6"/>
    <x v="0"/>
    <n v="1200.32"/>
    <m/>
    <m/>
    <n v="5"/>
  </r>
  <r>
    <x v="4873"/>
    <x v="960"/>
    <x v="5"/>
    <n v="1"/>
    <n v="600.16999999999996"/>
    <x v="13"/>
    <x v="7"/>
    <x v="4"/>
    <n v="600.16999999999996"/>
    <m/>
    <m/>
    <n v="5"/>
  </r>
  <r>
    <x v="4874"/>
    <x v="960"/>
    <x v="0"/>
    <n v="5"/>
    <n v="1500.4"/>
    <x v="755"/>
    <x v="0"/>
    <x v="4"/>
    <n v="7502"/>
    <m/>
    <m/>
    <n v="7"/>
  </r>
  <r>
    <x v="4875"/>
    <x v="961"/>
    <x v="6"/>
    <n v="2"/>
    <n v="71.680000000000007"/>
    <x v="411"/>
    <x v="3"/>
    <x v="0"/>
    <n v="143.36000000000001"/>
    <m/>
    <m/>
    <n v="7"/>
  </r>
  <r>
    <x v="4876"/>
    <x v="961"/>
    <x v="0"/>
    <n v="3"/>
    <n v="900.24"/>
    <x v="780"/>
    <x v="6"/>
    <x v="1"/>
    <n v="2700.7200000000003"/>
    <m/>
    <m/>
    <n v="10"/>
  </r>
  <r>
    <x v="4877"/>
    <x v="962"/>
    <x v="0"/>
    <n v="4"/>
    <n v="1200.32"/>
    <x v="662"/>
    <x v="3"/>
    <x v="1"/>
    <n v="4801.28"/>
    <m/>
    <m/>
    <n v="5"/>
  </r>
  <r>
    <x v="4878"/>
    <x v="962"/>
    <x v="1"/>
    <n v="3"/>
    <n v="121.98"/>
    <x v="305"/>
    <x v="9"/>
    <x v="0"/>
    <n v="365.94"/>
    <m/>
    <m/>
    <n v="5"/>
  </r>
  <r>
    <x v="4879"/>
    <x v="962"/>
    <x v="5"/>
    <n v="5"/>
    <n v="3000.85"/>
    <x v="530"/>
    <x v="6"/>
    <x v="3"/>
    <n v="15004.25"/>
    <m/>
    <m/>
    <n v="7"/>
  </r>
  <r>
    <x v="4880"/>
    <x v="962"/>
    <x v="6"/>
    <n v="5"/>
    <n v="179.2"/>
    <x v="631"/>
    <x v="1"/>
    <x v="0"/>
    <n v="896"/>
    <m/>
    <m/>
    <n v="7"/>
  </r>
  <r>
    <x v="4881"/>
    <x v="963"/>
    <x v="0"/>
    <n v="4"/>
    <n v="1200.32"/>
    <x v="261"/>
    <x v="0"/>
    <x v="1"/>
    <n v="4801.28"/>
    <m/>
    <m/>
    <n v="5"/>
  </r>
  <r>
    <x v="4882"/>
    <x v="963"/>
    <x v="5"/>
    <n v="1"/>
    <n v="600.16999999999996"/>
    <x v="516"/>
    <x v="1"/>
    <x v="4"/>
    <n v="600.16999999999996"/>
    <m/>
    <m/>
    <n v="7"/>
  </r>
  <r>
    <x v="4883"/>
    <x v="963"/>
    <x v="0"/>
    <n v="2"/>
    <n v="600.16"/>
    <x v="390"/>
    <x v="6"/>
    <x v="1"/>
    <n v="1200.32"/>
    <m/>
    <m/>
    <n v="7"/>
  </r>
  <r>
    <x v="4884"/>
    <x v="963"/>
    <x v="1"/>
    <n v="5"/>
    <n v="203.3"/>
    <x v="20"/>
    <x v="0"/>
    <x v="4"/>
    <n v="1016.5"/>
    <m/>
    <m/>
    <n v="7"/>
  </r>
  <r>
    <x v="4885"/>
    <x v="964"/>
    <x v="6"/>
    <n v="4"/>
    <n v="143.36000000000001"/>
    <x v="225"/>
    <x v="1"/>
    <x v="4"/>
    <n v="573.44000000000005"/>
    <m/>
    <m/>
    <n v="5"/>
  </r>
  <r>
    <x v="4886"/>
    <x v="964"/>
    <x v="4"/>
    <n v="3"/>
    <n v="3150"/>
    <x v="75"/>
    <x v="2"/>
    <x v="3"/>
    <n v="9450"/>
    <m/>
    <m/>
    <n v="7"/>
  </r>
  <r>
    <x v="4887"/>
    <x v="964"/>
    <x v="0"/>
    <n v="1"/>
    <n v="300.08"/>
    <x v="711"/>
    <x v="3"/>
    <x v="4"/>
    <n v="300.08"/>
    <m/>
    <m/>
    <n v="7"/>
  </r>
  <r>
    <x v="4888"/>
    <x v="964"/>
    <x v="0"/>
    <n v="5"/>
    <n v="1500.4"/>
    <x v="311"/>
    <x v="0"/>
    <x v="3"/>
    <n v="7502"/>
    <m/>
    <m/>
    <n v="10"/>
  </r>
  <r>
    <x v="4889"/>
    <x v="965"/>
    <x v="1"/>
    <n v="4"/>
    <n v="162.63999999999999"/>
    <x v="173"/>
    <x v="6"/>
    <x v="3"/>
    <n v="650.55999999999995"/>
    <m/>
    <m/>
    <n v="5"/>
  </r>
  <r>
    <x v="4890"/>
    <x v="965"/>
    <x v="0"/>
    <n v="3"/>
    <n v="900.24"/>
    <x v="17"/>
    <x v="9"/>
    <x v="3"/>
    <n v="2700.7200000000003"/>
    <m/>
    <m/>
    <n v="5"/>
  </r>
  <r>
    <x v="4891"/>
    <x v="965"/>
    <x v="0"/>
    <n v="1"/>
    <n v="300.08"/>
    <x v="387"/>
    <x v="1"/>
    <x v="0"/>
    <n v="300.08"/>
    <m/>
    <m/>
    <n v="5"/>
  </r>
  <r>
    <x v="4892"/>
    <x v="965"/>
    <x v="4"/>
    <n v="3"/>
    <n v="3150"/>
    <x v="480"/>
    <x v="4"/>
    <x v="4"/>
    <n v="9450"/>
    <m/>
    <m/>
    <n v="7"/>
  </r>
  <r>
    <x v="4893"/>
    <x v="965"/>
    <x v="0"/>
    <n v="5"/>
    <n v="1500.4"/>
    <x v="206"/>
    <x v="1"/>
    <x v="2"/>
    <n v="7502"/>
    <m/>
    <m/>
    <n v="7"/>
  </r>
  <r>
    <x v="4894"/>
    <x v="965"/>
    <x v="1"/>
    <n v="1"/>
    <n v="40.659999999999997"/>
    <x v="671"/>
    <x v="6"/>
    <x v="1"/>
    <n v="40.659999999999997"/>
    <m/>
    <m/>
    <n v="7"/>
  </r>
  <r>
    <x v="4895"/>
    <x v="965"/>
    <x v="2"/>
    <n v="1"/>
    <n v="5.23"/>
    <x v="793"/>
    <x v="6"/>
    <x v="1"/>
    <n v="5.23"/>
    <m/>
    <m/>
    <n v="10"/>
  </r>
  <r>
    <x v="4896"/>
    <x v="965"/>
    <x v="6"/>
    <n v="1"/>
    <n v="35.840000000000003"/>
    <x v="379"/>
    <x v="8"/>
    <x v="0"/>
    <n v="35.840000000000003"/>
    <m/>
    <m/>
    <n v="10"/>
  </r>
  <r>
    <x v="4897"/>
    <x v="966"/>
    <x v="2"/>
    <n v="1"/>
    <n v="5.23"/>
    <x v="199"/>
    <x v="0"/>
    <x v="1"/>
    <n v="5.23"/>
    <m/>
    <m/>
    <n v="7"/>
  </r>
  <r>
    <x v="4898"/>
    <x v="966"/>
    <x v="6"/>
    <n v="2"/>
    <n v="71.680000000000007"/>
    <x v="250"/>
    <x v="4"/>
    <x v="1"/>
    <n v="143.36000000000001"/>
    <m/>
    <m/>
    <n v="7"/>
  </r>
  <r>
    <x v="4899"/>
    <x v="967"/>
    <x v="0"/>
    <n v="1"/>
    <n v="300.08"/>
    <x v="285"/>
    <x v="0"/>
    <x v="4"/>
    <n v="300.08"/>
    <m/>
    <m/>
    <n v="5"/>
  </r>
  <r>
    <x v="4900"/>
    <x v="967"/>
    <x v="2"/>
    <n v="2"/>
    <n v="10.46"/>
    <x v="108"/>
    <x v="0"/>
    <x v="3"/>
    <n v="20.92"/>
    <m/>
    <m/>
    <n v="5"/>
  </r>
  <r>
    <x v="4901"/>
    <x v="967"/>
    <x v="7"/>
    <n v="5"/>
    <n v="58.65"/>
    <x v="652"/>
    <x v="1"/>
    <x v="3"/>
    <n v="293.25"/>
    <m/>
    <m/>
    <n v="5"/>
  </r>
  <r>
    <x v="4902"/>
    <x v="967"/>
    <x v="7"/>
    <n v="2"/>
    <n v="23.46"/>
    <x v="348"/>
    <x v="9"/>
    <x v="2"/>
    <n v="46.92"/>
    <m/>
    <m/>
    <n v="7"/>
  </r>
  <r>
    <x v="4903"/>
    <x v="967"/>
    <x v="1"/>
    <n v="3"/>
    <n v="121.98"/>
    <x v="711"/>
    <x v="8"/>
    <x v="0"/>
    <n v="365.94"/>
    <m/>
    <m/>
    <n v="7"/>
  </r>
  <r>
    <x v="4904"/>
    <x v="967"/>
    <x v="4"/>
    <n v="2"/>
    <n v="2100"/>
    <x v="325"/>
    <x v="0"/>
    <x v="0"/>
    <n v="4200"/>
    <m/>
    <m/>
    <n v="7"/>
  </r>
  <r>
    <x v="4905"/>
    <x v="967"/>
    <x v="1"/>
    <n v="3"/>
    <n v="121.98"/>
    <x v="447"/>
    <x v="2"/>
    <x v="1"/>
    <n v="365.94"/>
    <m/>
    <m/>
    <n v="7"/>
  </r>
  <r>
    <x v="4906"/>
    <x v="968"/>
    <x v="3"/>
    <n v="3"/>
    <n v="45.45"/>
    <x v="105"/>
    <x v="1"/>
    <x v="0"/>
    <n v="136.35000000000002"/>
    <m/>
    <m/>
    <n v="5"/>
  </r>
  <r>
    <x v="4907"/>
    <x v="968"/>
    <x v="5"/>
    <n v="3"/>
    <n v="1800.51"/>
    <x v="273"/>
    <x v="1"/>
    <x v="2"/>
    <n v="5401.53"/>
    <m/>
    <m/>
    <n v="7"/>
  </r>
  <r>
    <x v="4908"/>
    <x v="968"/>
    <x v="7"/>
    <n v="4"/>
    <n v="46.92"/>
    <x v="470"/>
    <x v="4"/>
    <x v="0"/>
    <n v="187.68"/>
    <m/>
    <m/>
    <n v="7"/>
  </r>
  <r>
    <x v="4909"/>
    <x v="968"/>
    <x v="1"/>
    <n v="4"/>
    <n v="162.63999999999999"/>
    <x v="253"/>
    <x v="4"/>
    <x v="0"/>
    <n v="650.55999999999995"/>
    <m/>
    <m/>
    <n v="7"/>
  </r>
  <r>
    <x v="4910"/>
    <x v="968"/>
    <x v="0"/>
    <n v="3"/>
    <n v="900.24"/>
    <x v="200"/>
    <x v="4"/>
    <x v="4"/>
    <n v="2700.7200000000003"/>
    <m/>
    <m/>
    <n v="10"/>
  </r>
  <r>
    <x v="4911"/>
    <x v="969"/>
    <x v="2"/>
    <n v="5"/>
    <n v="26.15"/>
    <x v="242"/>
    <x v="1"/>
    <x v="0"/>
    <n v="130.75"/>
    <m/>
    <m/>
    <n v="5"/>
  </r>
  <r>
    <x v="4912"/>
    <x v="969"/>
    <x v="0"/>
    <n v="2"/>
    <n v="600.16"/>
    <x v="326"/>
    <x v="1"/>
    <x v="3"/>
    <n v="1200.32"/>
    <m/>
    <m/>
    <n v="5"/>
  </r>
  <r>
    <x v="4913"/>
    <x v="969"/>
    <x v="0"/>
    <n v="3"/>
    <n v="900.24"/>
    <x v="314"/>
    <x v="2"/>
    <x v="3"/>
    <n v="2700.7200000000003"/>
    <m/>
    <m/>
    <n v="5"/>
  </r>
  <r>
    <x v="4914"/>
    <x v="969"/>
    <x v="1"/>
    <n v="2"/>
    <n v="81.319999999999993"/>
    <x v="3"/>
    <x v="9"/>
    <x v="0"/>
    <n v="162.63999999999999"/>
    <m/>
    <m/>
    <n v="7"/>
  </r>
  <r>
    <x v="4915"/>
    <x v="969"/>
    <x v="0"/>
    <n v="3"/>
    <n v="900.24"/>
    <x v="472"/>
    <x v="4"/>
    <x v="1"/>
    <n v="2700.7200000000003"/>
    <m/>
    <m/>
    <n v="7"/>
  </r>
  <r>
    <x v="4916"/>
    <x v="969"/>
    <x v="1"/>
    <n v="1"/>
    <n v="40.659999999999997"/>
    <x v="203"/>
    <x v="8"/>
    <x v="2"/>
    <n v="40.659999999999997"/>
    <m/>
    <m/>
    <n v="10"/>
  </r>
  <r>
    <x v="4917"/>
    <x v="969"/>
    <x v="2"/>
    <n v="1"/>
    <n v="5.23"/>
    <x v="403"/>
    <x v="4"/>
    <x v="2"/>
    <n v="5.23"/>
    <m/>
    <m/>
    <n v="10"/>
  </r>
  <r>
    <x v="4918"/>
    <x v="970"/>
    <x v="0"/>
    <n v="1"/>
    <n v="300.08"/>
    <x v="454"/>
    <x v="1"/>
    <x v="2"/>
    <n v="300.08"/>
    <m/>
    <m/>
    <n v="7"/>
  </r>
  <r>
    <x v="4919"/>
    <x v="970"/>
    <x v="0"/>
    <n v="4"/>
    <n v="1200.32"/>
    <x v="791"/>
    <x v="0"/>
    <x v="2"/>
    <n v="4801.28"/>
    <m/>
    <m/>
    <n v="7"/>
  </r>
  <r>
    <x v="4920"/>
    <x v="970"/>
    <x v="0"/>
    <n v="4"/>
    <n v="1200.32"/>
    <x v="309"/>
    <x v="6"/>
    <x v="3"/>
    <n v="4801.28"/>
    <m/>
    <m/>
    <n v="7"/>
  </r>
  <r>
    <x v="4921"/>
    <x v="970"/>
    <x v="0"/>
    <n v="5"/>
    <n v="1500.4"/>
    <x v="531"/>
    <x v="6"/>
    <x v="1"/>
    <n v="7502"/>
    <m/>
    <m/>
    <n v="7"/>
  </r>
  <r>
    <x v="4922"/>
    <x v="970"/>
    <x v="4"/>
    <n v="5"/>
    <n v="5250"/>
    <x v="769"/>
    <x v="6"/>
    <x v="4"/>
    <n v="26250"/>
    <m/>
    <m/>
    <n v="10"/>
  </r>
  <r>
    <x v="4923"/>
    <x v="971"/>
    <x v="5"/>
    <n v="5"/>
    <n v="3000.85"/>
    <x v="192"/>
    <x v="0"/>
    <x v="2"/>
    <n v="15004.25"/>
    <m/>
    <m/>
    <n v="7"/>
  </r>
  <r>
    <x v="4924"/>
    <x v="971"/>
    <x v="6"/>
    <n v="5"/>
    <n v="179.2"/>
    <x v="532"/>
    <x v="3"/>
    <x v="3"/>
    <n v="896"/>
    <m/>
    <m/>
    <n v="7"/>
  </r>
  <r>
    <x v="4925"/>
    <x v="971"/>
    <x v="5"/>
    <n v="3"/>
    <n v="1800.51"/>
    <x v="698"/>
    <x v="0"/>
    <x v="2"/>
    <n v="5401.53"/>
    <m/>
    <m/>
    <n v="7"/>
  </r>
  <r>
    <x v="4926"/>
    <x v="971"/>
    <x v="4"/>
    <n v="1"/>
    <n v="1050"/>
    <x v="481"/>
    <x v="8"/>
    <x v="3"/>
    <n v="1050"/>
    <m/>
    <m/>
    <n v="7"/>
  </r>
  <r>
    <x v="4927"/>
    <x v="972"/>
    <x v="2"/>
    <n v="5"/>
    <n v="26.15"/>
    <x v="654"/>
    <x v="6"/>
    <x v="2"/>
    <n v="130.75"/>
    <m/>
    <m/>
    <n v="5"/>
  </r>
  <r>
    <x v="4928"/>
    <x v="972"/>
    <x v="1"/>
    <n v="4"/>
    <n v="162.63999999999999"/>
    <x v="598"/>
    <x v="9"/>
    <x v="1"/>
    <n v="650.55999999999995"/>
    <m/>
    <m/>
    <n v="5"/>
  </r>
  <r>
    <x v="4929"/>
    <x v="972"/>
    <x v="1"/>
    <n v="1"/>
    <n v="40.659999999999997"/>
    <x v="159"/>
    <x v="8"/>
    <x v="1"/>
    <n v="40.659999999999997"/>
    <m/>
    <m/>
    <n v="5"/>
  </r>
  <r>
    <x v="4930"/>
    <x v="972"/>
    <x v="0"/>
    <n v="3"/>
    <n v="900.24"/>
    <x v="752"/>
    <x v="0"/>
    <x v="4"/>
    <n v="2700.7200000000003"/>
    <m/>
    <m/>
    <n v="5"/>
  </r>
  <r>
    <x v="4931"/>
    <x v="972"/>
    <x v="5"/>
    <n v="2"/>
    <n v="1200.3399999999999"/>
    <x v="679"/>
    <x v="5"/>
    <x v="2"/>
    <n v="2400.6799999999998"/>
    <m/>
    <m/>
    <n v="7"/>
  </r>
  <r>
    <x v="4932"/>
    <x v="972"/>
    <x v="2"/>
    <n v="3"/>
    <n v="15.69"/>
    <x v="119"/>
    <x v="0"/>
    <x v="0"/>
    <n v="47.07"/>
    <m/>
    <m/>
    <n v="7"/>
  </r>
  <r>
    <x v="4933"/>
    <x v="973"/>
    <x v="4"/>
    <n v="5"/>
    <n v="5250"/>
    <x v="536"/>
    <x v="6"/>
    <x v="1"/>
    <n v="26250"/>
    <m/>
    <m/>
    <n v="5"/>
  </r>
  <r>
    <x v="4934"/>
    <x v="973"/>
    <x v="0"/>
    <n v="2"/>
    <n v="600.16"/>
    <x v="438"/>
    <x v="6"/>
    <x v="1"/>
    <n v="1200.32"/>
    <m/>
    <m/>
    <n v="5"/>
  </r>
  <r>
    <x v="4935"/>
    <x v="973"/>
    <x v="1"/>
    <n v="1"/>
    <n v="40.659999999999997"/>
    <x v="763"/>
    <x v="1"/>
    <x v="1"/>
    <n v="40.659999999999997"/>
    <m/>
    <m/>
    <n v="5"/>
  </r>
  <r>
    <x v="4936"/>
    <x v="974"/>
    <x v="0"/>
    <n v="3"/>
    <n v="900.24"/>
    <x v="117"/>
    <x v="3"/>
    <x v="1"/>
    <n v="2700.7200000000003"/>
    <m/>
    <m/>
    <n v="5"/>
  </r>
  <r>
    <x v="4937"/>
    <x v="974"/>
    <x v="0"/>
    <n v="4"/>
    <n v="1200.32"/>
    <x v="100"/>
    <x v="6"/>
    <x v="0"/>
    <n v="4801.28"/>
    <m/>
    <m/>
    <n v="5"/>
  </r>
  <r>
    <x v="4938"/>
    <x v="974"/>
    <x v="4"/>
    <n v="1"/>
    <n v="1050"/>
    <x v="18"/>
    <x v="1"/>
    <x v="0"/>
    <n v="1050"/>
    <m/>
    <m/>
    <n v="7"/>
  </r>
  <r>
    <x v="4939"/>
    <x v="974"/>
    <x v="6"/>
    <n v="5"/>
    <n v="179.2"/>
    <x v="253"/>
    <x v="2"/>
    <x v="3"/>
    <n v="896"/>
    <m/>
    <m/>
    <n v="7"/>
  </r>
  <r>
    <x v="4940"/>
    <x v="974"/>
    <x v="2"/>
    <n v="5"/>
    <n v="26.15"/>
    <x v="311"/>
    <x v="6"/>
    <x v="3"/>
    <n v="130.75"/>
    <m/>
    <m/>
    <n v="10"/>
  </r>
  <r>
    <x v="4941"/>
    <x v="975"/>
    <x v="0"/>
    <n v="3"/>
    <n v="900.24"/>
    <x v="90"/>
    <x v="1"/>
    <x v="2"/>
    <n v="2700.7200000000003"/>
    <m/>
    <m/>
    <n v="5"/>
  </r>
  <r>
    <x v="4942"/>
    <x v="975"/>
    <x v="7"/>
    <n v="2"/>
    <n v="23.46"/>
    <x v="509"/>
    <x v="8"/>
    <x v="3"/>
    <n v="46.92"/>
    <m/>
    <m/>
    <n v="7"/>
  </r>
  <r>
    <x v="4943"/>
    <x v="976"/>
    <x v="2"/>
    <n v="3"/>
    <n v="15.69"/>
    <x v="183"/>
    <x v="4"/>
    <x v="1"/>
    <n v="47.07"/>
    <m/>
    <m/>
    <n v="5"/>
  </r>
  <r>
    <x v="4944"/>
    <x v="976"/>
    <x v="1"/>
    <n v="4"/>
    <n v="162.63999999999999"/>
    <x v="419"/>
    <x v="1"/>
    <x v="3"/>
    <n v="650.55999999999995"/>
    <m/>
    <m/>
    <n v="7"/>
  </r>
  <r>
    <x v="4945"/>
    <x v="977"/>
    <x v="5"/>
    <n v="5"/>
    <n v="3000.85"/>
    <x v="757"/>
    <x v="1"/>
    <x v="0"/>
    <n v="15004.25"/>
    <m/>
    <m/>
    <n v="5"/>
  </r>
  <r>
    <x v="4946"/>
    <x v="977"/>
    <x v="5"/>
    <n v="3"/>
    <n v="1800.51"/>
    <x v="530"/>
    <x v="3"/>
    <x v="2"/>
    <n v="5401.53"/>
    <m/>
    <m/>
    <n v="7"/>
  </r>
  <r>
    <x v="4947"/>
    <x v="977"/>
    <x v="2"/>
    <n v="5"/>
    <n v="26.15"/>
    <x v="547"/>
    <x v="1"/>
    <x v="3"/>
    <n v="130.75"/>
    <m/>
    <m/>
    <n v="7"/>
  </r>
  <r>
    <x v="4948"/>
    <x v="977"/>
    <x v="2"/>
    <n v="3"/>
    <n v="15.69"/>
    <x v="783"/>
    <x v="7"/>
    <x v="0"/>
    <n v="47.07"/>
    <m/>
    <m/>
    <n v="7"/>
  </r>
  <r>
    <x v="4949"/>
    <x v="978"/>
    <x v="5"/>
    <n v="4"/>
    <n v="2400.6799999999998"/>
    <x v="414"/>
    <x v="0"/>
    <x v="0"/>
    <n v="9602.7199999999993"/>
    <m/>
    <m/>
    <n v="5"/>
  </r>
  <r>
    <x v="4950"/>
    <x v="978"/>
    <x v="0"/>
    <n v="5"/>
    <n v="1500.4"/>
    <x v="600"/>
    <x v="6"/>
    <x v="2"/>
    <n v="7502"/>
    <m/>
    <m/>
    <n v="5"/>
  </r>
  <r>
    <x v="4951"/>
    <x v="978"/>
    <x v="5"/>
    <n v="4"/>
    <n v="2400.6799999999998"/>
    <x v="188"/>
    <x v="6"/>
    <x v="4"/>
    <n v="9602.7199999999993"/>
    <m/>
    <m/>
    <n v="7"/>
  </r>
  <r>
    <x v="4952"/>
    <x v="978"/>
    <x v="4"/>
    <n v="1"/>
    <n v="1050"/>
    <x v="683"/>
    <x v="1"/>
    <x v="2"/>
    <n v="1050"/>
    <m/>
    <m/>
    <n v="7"/>
  </r>
  <r>
    <x v="4953"/>
    <x v="979"/>
    <x v="4"/>
    <n v="2"/>
    <n v="2100"/>
    <x v="202"/>
    <x v="4"/>
    <x v="3"/>
    <n v="4200"/>
    <m/>
    <m/>
    <n v="5"/>
  </r>
  <r>
    <x v="4954"/>
    <x v="979"/>
    <x v="7"/>
    <n v="3"/>
    <n v="35.19"/>
    <x v="14"/>
    <x v="0"/>
    <x v="2"/>
    <n v="105.57"/>
    <m/>
    <m/>
    <n v="5"/>
  </r>
  <r>
    <x v="4955"/>
    <x v="979"/>
    <x v="0"/>
    <n v="1"/>
    <n v="300.08"/>
    <x v="91"/>
    <x v="2"/>
    <x v="3"/>
    <n v="300.08"/>
    <m/>
    <m/>
    <n v="5"/>
  </r>
  <r>
    <x v="4956"/>
    <x v="979"/>
    <x v="3"/>
    <n v="3"/>
    <n v="45.45"/>
    <x v="359"/>
    <x v="8"/>
    <x v="2"/>
    <n v="136.35000000000002"/>
    <m/>
    <m/>
    <n v="5"/>
  </r>
  <r>
    <x v="4957"/>
    <x v="979"/>
    <x v="0"/>
    <n v="1"/>
    <n v="300.08"/>
    <x v="226"/>
    <x v="0"/>
    <x v="0"/>
    <n v="300.08"/>
    <m/>
    <m/>
    <n v="5"/>
  </r>
  <r>
    <x v="4958"/>
    <x v="979"/>
    <x v="6"/>
    <n v="2"/>
    <n v="71.680000000000007"/>
    <x v="546"/>
    <x v="7"/>
    <x v="2"/>
    <n v="143.36000000000001"/>
    <m/>
    <m/>
    <n v="7"/>
  </r>
  <r>
    <x v="4959"/>
    <x v="979"/>
    <x v="2"/>
    <n v="5"/>
    <n v="26.15"/>
    <x v="681"/>
    <x v="0"/>
    <x v="4"/>
    <n v="130.75"/>
    <m/>
    <m/>
    <n v="7"/>
  </r>
  <r>
    <x v="4960"/>
    <x v="979"/>
    <x v="0"/>
    <n v="5"/>
    <n v="1500.4"/>
    <x v="251"/>
    <x v="9"/>
    <x v="2"/>
    <n v="7502"/>
    <m/>
    <m/>
    <n v="10"/>
  </r>
  <r>
    <x v="4961"/>
    <x v="980"/>
    <x v="2"/>
    <n v="3"/>
    <n v="15.69"/>
    <x v="635"/>
    <x v="1"/>
    <x v="1"/>
    <n v="47.07"/>
    <m/>
    <m/>
    <n v="5"/>
  </r>
  <r>
    <x v="4962"/>
    <x v="980"/>
    <x v="2"/>
    <n v="4"/>
    <n v="20.92"/>
    <x v="294"/>
    <x v="1"/>
    <x v="0"/>
    <n v="83.68"/>
    <m/>
    <m/>
    <n v="5"/>
  </r>
  <r>
    <x v="4963"/>
    <x v="980"/>
    <x v="1"/>
    <n v="1"/>
    <n v="40.659999999999997"/>
    <x v="399"/>
    <x v="6"/>
    <x v="4"/>
    <n v="40.659999999999997"/>
    <m/>
    <m/>
    <n v="7"/>
  </r>
  <r>
    <x v="4964"/>
    <x v="980"/>
    <x v="0"/>
    <n v="1"/>
    <n v="300.08"/>
    <x v="633"/>
    <x v="0"/>
    <x v="3"/>
    <n v="300.08"/>
    <m/>
    <m/>
    <n v="7"/>
  </r>
  <r>
    <x v="4965"/>
    <x v="980"/>
    <x v="3"/>
    <n v="4"/>
    <n v="60.6"/>
    <x v="690"/>
    <x v="1"/>
    <x v="3"/>
    <n v="242.4"/>
    <m/>
    <m/>
    <n v="7"/>
  </r>
  <r>
    <x v="4966"/>
    <x v="981"/>
    <x v="0"/>
    <n v="4"/>
    <n v="1200.32"/>
    <x v="685"/>
    <x v="1"/>
    <x v="2"/>
    <n v="4801.28"/>
    <m/>
    <m/>
    <n v="7"/>
  </r>
  <r>
    <x v="4967"/>
    <x v="981"/>
    <x v="2"/>
    <n v="1"/>
    <n v="5.23"/>
    <x v="634"/>
    <x v="6"/>
    <x v="3"/>
    <n v="5.23"/>
    <m/>
    <m/>
    <n v="7"/>
  </r>
  <r>
    <x v="4968"/>
    <x v="982"/>
    <x v="2"/>
    <n v="3"/>
    <n v="15.69"/>
    <x v="492"/>
    <x v="0"/>
    <x v="2"/>
    <n v="47.07"/>
    <m/>
    <m/>
    <n v="5"/>
  </r>
  <r>
    <x v="4969"/>
    <x v="982"/>
    <x v="0"/>
    <n v="1"/>
    <n v="300.08"/>
    <x v="220"/>
    <x v="2"/>
    <x v="1"/>
    <n v="300.08"/>
    <m/>
    <m/>
    <n v="5"/>
  </r>
  <r>
    <x v="4970"/>
    <x v="982"/>
    <x v="3"/>
    <n v="3"/>
    <n v="45.45"/>
    <x v="1"/>
    <x v="9"/>
    <x v="3"/>
    <n v="136.35000000000002"/>
    <m/>
    <m/>
    <n v="5"/>
  </r>
  <r>
    <x v="4971"/>
    <x v="982"/>
    <x v="1"/>
    <n v="5"/>
    <n v="203.3"/>
    <x v="769"/>
    <x v="3"/>
    <x v="4"/>
    <n v="1016.5"/>
    <m/>
    <m/>
    <n v="10"/>
  </r>
  <r>
    <x v="4972"/>
    <x v="982"/>
    <x v="2"/>
    <n v="1"/>
    <n v="5.23"/>
    <x v="103"/>
    <x v="3"/>
    <x v="3"/>
    <n v="5.23"/>
    <m/>
    <m/>
    <n v="10"/>
  </r>
  <r>
    <x v="4973"/>
    <x v="983"/>
    <x v="0"/>
    <n v="2"/>
    <n v="600.16"/>
    <x v="684"/>
    <x v="0"/>
    <x v="4"/>
    <n v="1200.32"/>
    <m/>
    <m/>
    <n v="7"/>
  </r>
  <r>
    <x v="4974"/>
    <x v="984"/>
    <x v="1"/>
    <n v="3"/>
    <n v="121.98"/>
    <x v="276"/>
    <x v="8"/>
    <x v="1"/>
    <n v="365.94"/>
    <m/>
    <m/>
    <n v="5"/>
  </r>
  <r>
    <x v="4975"/>
    <x v="984"/>
    <x v="1"/>
    <n v="2"/>
    <n v="81.319999999999993"/>
    <x v="571"/>
    <x v="4"/>
    <x v="0"/>
    <n v="162.63999999999999"/>
    <m/>
    <m/>
    <n v="5"/>
  </r>
  <r>
    <x v="4976"/>
    <x v="984"/>
    <x v="0"/>
    <n v="5"/>
    <n v="1500.4"/>
    <x v="458"/>
    <x v="5"/>
    <x v="2"/>
    <n v="7502"/>
    <m/>
    <m/>
    <n v="7"/>
  </r>
  <r>
    <x v="4977"/>
    <x v="984"/>
    <x v="5"/>
    <n v="2"/>
    <n v="1200.3399999999999"/>
    <x v="287"/>
    <x v="3"/>
    <x v="3"/>
    <n v="2400.6799999999998"/>
    <m/>
    <m/>
    <n v="7"/>
  </r>
  <r>
    <x v="4978"/>
    <x v="984"/>
    <x v="0"/>
    <n v="1"/>
    <n v="300.08"/>
    <x v="361"/>
    <x v="6"/>
    <x v="3"/>
    <n v="300.08"/>
    <m/>
    <m/>
    <n v="7"/>
  </r>
  <r>
    <x v="4979"/>
    <x v="984"/>
    <x v="0"/>
    <n v="4"/>
    <n v="1200.32"/>
    <x v="413"/>
    <x v="6"/>
    <x v="1"/>
    <n v="4801.28"/>
    <m/>
    <m/>
    <n v="7"/>
  </r>
  <r>
    <x v="4980"/>
    <x v="985"/>
    <x v="0"/>
    <n v="1"/>
    <n v="300.08"/>
    <x v="664"/>
    <x v="0"/>
    <x v="1"/>
    <n v="300.08"/>
    <m/>
    <m/>
    <n v="7"/>
  </r>
  <r>
    <x v="4981"/>
    <x v="985"/>
    <x v="5"/>
    <n v="5"/>
    <n v="3000.85"/>
    <x v="241"/>
    <x v="1"/>
    <x v="4"/>
    <n v="15004.25"/>
    <m/>
    <m/>
    <n v="7"/>
  </r>
  <r>
    <x v="4982"/>
    <x v="986"/>
    <x v="0"/>
    <n v="5"/>
    <n v="1500.4"/>
    <x v="633"/>
    <x v="1"/>
    <x v="1"/>
    <n v="7502"/>
    <m/>
    <m/>
    <n v="7"/>
  </r>
  <r>
    <x v="4983"/>
    <x v="986"/>
    <x v="0"/>
    <n v="4"/>
    <n v="1200.32"/>
    <x v="577"/>
    <x v="4"/>
    <x v="3"/>
    <n v="4801.28"/>
    <m/>
    <m/>
    <n v="7"/>
  </r>
  <r>
    <x v="4984"/>
    <x v="986"/>
    <x v="5"/>
    <n v="5"/>
    <n v="3000.85"/>
    <x v="19"/>
    <x v="4"/>
    <x v="2"/>
    <n v="15004.25"/>
    <m/>
    <m/>
    <n v="7"/>
  </r>
  <r>
    <x v="4985"/>
    <x v="986"/>
    <x v="4"/>
    <n v="4"/>
    <n v="4200"/>
    <x v="782"/>
    <x v="6"/>
    <x v="0"/>
    <n v="16800"/>
    <m/>
    <m/>
    <n v="7"/>
  </r>
  <r>
    <x v="4986"/>
    <x v="986"/>
    <x v="7"/>
    <n v="3"/>
    <n v="35.19"/>
    <x v="67"/>
    <x v="1"/>
    <x v="3"/>
    <n v="105.57"/>
    <m/>
    <m/>
    <n v="7"/>
  </r>
  <r>
    <x v="4987"/>
    <x v="987"/>
    <x v="1"/>
    <n v="2"/>
    <n v="81.319999999999993"/>
    <x v="610"/>
    <x v="4"/>
    <x v="1"/>
    <n v="162.63999999999999"/>
    <m/>
    <m/>
    <n v="5"/>
  </r>
  <r>
    <x v="4988"/>
    <x v="987"/>
    <x v="2"/>
    <n v="2"/>
    <n v="10.46"/>
    <x v="359"/>
    <x v="5"/>
    <x v="4"/>
    <n v="20.92"/>
    <m/>
    <m/>
    <n v="5"/>
  </r>
  <r>
    <x v="4989"/>
    <x v="987"/>
    <x v="4"/>
    <n v="2"/>
    <n v="2100"/>
    <x v="123"/>
    <x v="0"/>
    <x v="2"/>
    <n v="4200"/>
    <m/>
    <m/>
    <n v="7"/>
  </r>
  <r>
    <x v="4990"/>
    <x v="987"/>
    <x v="6"/>
    <n v="2"/>
    <n v="71.680000000000007"/>
    <x v="755"/>
    <x v="1"/>
    <x v="3"/>
    <n v="143.36000000000001"/>
    <m/>
    <m/>
    <n v="7"/>
  </r>
  <r>
    <x v="4991"/>
    <x v="988"/>
    <x v="5"/>
    <n v="5"/>
    <n v="3000.85"/>
    <x v="766"/>
    <x v="0"/>
    <x v="3"/>
    <n v="15004.25"/>
    <m/>
    <m/>
    <n v="5"/>
  </r>
  <r>
    <x v="4992"/>
    <x v="988"/>
    <x v="4"/>
    <n v="3"/>
    <n v="3150"/>
    <x v="399"/>
    <x v="1"/>
    <x v="2"/>
    <n v="9450"/>
    <m/>
    <m/>
    <n v="7"/>
  </r>
  <r>
    <x v="4993"/>
    <x v="988"/>
    <x v="5"/>
    <n v="4"/>
    <n v="2400.6799999999998"/>
    <x v="586"/>
    <x v="6"/>
    <x v="4"/>
    <n v="9602.7199999999993"/>
    <m/>
    <m/>
    <n v="10"/>
  </r>
  <r>
    <x v="4994"/>
    <x v="989"/>
    <x v="0"/>
    <n v="5"/>
    <n v="1500.4"/>
    <x v="663"/>
    <x v="7"/>
    <x v="3"/>
    <n v="7502"/>
    <m/>
    <m/>
    <n v="5"/>
  </r>
  <r>
    <x v="4995"/>
    <x v="989"/>
    <x v="1"/>
    <n v="5"/>
    <n v="203.3"/>
    <x v="677"/>
    <x v="6"/>
    <x v="0"/>
    <n v="1016.5"/>
    <m/>
    <m/>
    <n v="5"/>
  </r>
  <r>
    <x v="4996"/>
    <x v="989"/>
    <x v="2"/>
    <n v="3"/>
    <n v="15.69"/>
    <x v="7"/>
    <x v="4"/>
    <x v="4"/>
    <n v="47.07"/>
    <m/>
    <m/>
    <n v="7"/>
  </r>
  <r>
    <x v="4997"/>
    <x v="989"/>
    <x v="1"/>
    <n v="1"/>
    <n v="40.659999999999997"/>
    <x v="378"/>
    <x v="1"/>
    <x v="1"/>
    <n v="40.659999999999997"/>
    <m/>
    <m/>
    <n v="7"/>
  </r>
  <r>
    <x v="4998"/>
    <x v="990"/>
    <x v="1"/>
    <n v="4"/>
    <n v="162.63999999999999"/>
    <x v="475"/>
    <x v="4"/>
    <x v="2"/>
    <n v="650.55999999999995"/>
    <m/>
    <m/>
    <n v="5"/>
  </r>
  <r>
    <x v="4999"/>
    <x v="990"/>
    <x v="0"/>
    <n v="1"/>
    <n v="300.08"/>
    <x v="726"/>
    <x v="3"/>
    <x v="1"/>
    <n v="300.08"/>
    <m/>
    <m/>
    <n v="7"/>
  </r>
  <r>
    <x v="5000"/>
    <x v="990"/>
    <x v="3"/>
    <n v="2"/>
    <n v="30.3"/>
    <x v="671"/>
    <x v="0"/>
    <x v="3"/>
    <n v="60.6"/>
    <m/>
    <m/>
    <n v="7"/>
  </r>
  <r>
    <x v="5001"/>
    <x v="990"/>
    <x v="0"/>
    <n v="4"/>
    <n v="1200.32"/>
    <x v="156"/>
    <x v="1"/>
    <x v="3"/>
    <n v="4801.28"/>
    <m/>
    <m/>
    <n v="10"/>
  </r>
  <r>
    <x v="5002"/>
    <x v="991"/>
    <x v="6"/>
    <n v="3"/>
    <n v="107.52"/>
    <x v="618"/>
    <x v="1"/>
    <x v="0"/>
    <n v="322.56"/>
    <m/>
    <m/>
    <n v="5"/>
  </r>
  <r>
    <x v="5003"/>
    <x v="991"/>
    <x v="4"/>
    <n v="1"/>
    <n v="1050"/>
    <x v="176"/>
    <x v="1"/>
    <x v="0"/>
    <n v="1050"/>
    <m/>
    <m/>
    <n v="5"/>
  </r>
  <r>
    <x v="5004"/>
    <x v="992"/>
    <x v="0"/>
    <n v="2"/>
    <n v="600.16"/>
    <x v="115"/>
    <x v="1"/>
    <x v="4"/>
    <n v="1200.32"/>
    <m/>
    <m/>
    <n v="5"/>
  </r>
  <r>
    <x v="5005"/>
    <x v="992"/>
    <x v="0"/>
    <n v="4"/>
    <n v="1200.32"/>
    <x v="732"/>
    <x v="0"/>
    <x v="4"/>
    <n v="4801.28"/>
    <m/>
    <m/>
    <n v="7"/>
  </r>
  <r>
    <x v="5006"/>
    <x v="993"/>
    <x v="5"/>
    <n v="5"/>
    <n v="3000.85"/>
    <x v="184"/>
    <x v="2"/>
    <x v="3"/>
    <n v="15004.25"/>
    <m/>
    <m/>
    <n v="5"/>
  </r>
  <r>
    <x v="5007"/>
    <x v="993"/>
    <x v="4"/>
    <n v="2"/>
    <n v="2100"/>
    <x v="541"/>
    <x v="3"/>
    <x v="0"/>
    <n v="4200"/>
    <m/>
    <m/>
    <n v="5"/>
  </r>
  <r>
    <x v="5008"/>
    <x v="993"/>
    <x v="0"/>
    <n v="1"/>
    <n v="300.08"/>
    <x v="673"/>
    <x v="6"/>
    <x v="0"/>
    <n v="300.08"/>
    <m/>
    <m/>
    <n v="7"/>
  </r>
  <r>
    <x v="5009"/>
    <x v="993"/>
    <x v="1"/>
    <n v="3"/>
    <n v="121.98"/>
    <x v="267"/>
    <x v="1"/>
    <x v="3"/>
    <n v="365.94"/>
    <m/>
    <m/>
    <n v="7"/>
  </r>
  <r>
    <x v="5010"/>
    <x v="993"/>
    <x v="0"/>
    <n v="5"/>
    <n v="1500.4"/>
    <x v="216"/>
    <x v="1"/>
    <x v="0"/>
    <n v="7502"/>
    <m/>
    <m/>
    <n v="10"/>
  </r>
  <r>
    <x v="5011"/>
    <x v="994"/>
    <x v="0"/>
    <n v="5"/>
    <n v="1500.4"/>
    <x v="551"/>
    <x v="0"/>
    <x v="3"/>
    <n v="7502"/>
    <m/>
    <m/>
    <n v="5"/>
  </r>
  <r>
    <x v="5012"/>
    <x v="994"/>
    <x v="0"/>
    <n v="3"/>
    <n v="900.24"/>
    <x v="255"/>
    <x v="6"/>
    <x v="3"/>
    <n v="2700.7200000000003"/>
    <m/>
    <m/>
    <n v="7"/>
  </r>
  <r>
    <x v="5013"/>
    <x v="994"/>
    <x v="2"/>
    <n v="3"/>
    <n v="15.69"/>
    <x v="303"/>
    <x v="0"/>
    <x v="1"/>
    <n v="47.07"/>
    <m/>
    <m/>
    <n v="7"/>
  </r>
  <r>
    <x v="5014"/>
    <x v="995"/>
    <x v="0"/>
    <n v="3"/>
    <n v="900.24"/>
    <x v="184"/>
    <x v="8"/>
    <x v="1"/>
    <n v="2700.7200000000003"/>
    <m/>
    <m/>
    <n v="5"/>
  </r>
  <r>
    <x v="5015"/>
    <x v="995"/>
    <x v="2"/>
    <n v="1"/>
    <n v="5.23"/>
    <x v="172"/>
    <x v="5"/>
    <x v="1"/>
    <n v="5.23"/>
    <m/>
    <m/>
    <n v="5"/>
  </r>
  <r>
    <x v="5016"/>
    <x v="995"/>
    <x v="5"/>
    <n v="5"/>
    <n v="3000.85"/>
    <x v="73"/>
    <x v="9"/>
    <x v="1"/>
    <n v="15004.25"/>
    <m/>
    <m/>
    <n v="5"/>
  </r>
  <r>
    <x v="5017"/>
    <x v="995"/>
    <x v="0"/>
    <n v="2"/>
    <n v="600.16"/>
    <x v="226"/>
    <x v="9"/>
    <x v="1"/>
    <n v="1200.32"/>
    <m/>
    <m/>
    <n v="5"/>
  </r>
  <r>
    <x v="5018"/>
    <x v="995"/>
    <x v="1"/>
    <n v="4"/>
    <n v="162.63999999999999"/>
    <x v="88"/>
    <x v="0"/>
    <x v="0"/>
    <n v="650.55999999999995"/>
    <m/>
    <m/>
    <n v="7"/>
  </r>
  <r>
    <x v="5019"/>
    <x v="995"/>
    <x v="6"/>
    <n v="3"/>
    <n v="107.52"/>
    <x v="588"/>
    <x v="1"/>
    <x v="0"/>
    <n v="322.56"/>
    <m/>
    <m/>
    <n v="7"/>
  </r>
  <r>
    <x v="5020"/>
    <x v="995"/>
    <x v="0"/>
    <n v="4"/>
    <n v="1200.32"/>
    <x v="681"/>
    <x v="1"/>
    <x v="0"/>
    <n v="4801.28"/>
    <m/>
    <m/>
    <n v="7"/>
  </r>
  <r>
    <x v="5021"/>
    <x v="996"/>
    <x v="1"/>
    <n v="1"/>
    <n v="40.659999999999997"/>
    <x v="695"/>
    <x v="2"/>
    <x v="1"/>
    <n v="40.659999999999997"/>
    <m/>
    <m/>
    <n v="5"/>
  </r>
  <r>
    <x v="5022"/>
    <x v="996"/>
    <x v="2"/>
    <n v="1"/>
    <n v="5.23"/>
    <x v="572"/>
    <x v="9"/>
    <x v="2"/>
    <n v="5.23"/>
    <m/>
    <m/>
    <n v="7"/>
  </r>
  <r>
    <x v="5023"/>
    <x v="996"/>
    <x v="0"/>
    <n v="3"/>
    <n v="900.24"/>
    <x v="755"/>
    <x v="5"/>
    <x v="3"/>
    <n v="2700.7200000000003"/>
    <m/>
    <m/>
    <n v="7"/>
  </r>
  <r>
    <x v="5024"/>
    <x v="997"/>
    <x v="0"/>
    <n v="2"/>
    <n v="600.16"/>
    <x v="5"/>
    <x v="6"/>
    <x v="1"/>
    <n v="1200.32"/>
    <m/>
    <m/>
    <n v="5"/>
  </r>
  <r>
    <x v="5025"/>
    <x v="997"/>
    <x v="0"/>
    <n v="4"/>
    <n v="1200.32"/>
    <x v="106"/>
    <x v="1"/>
    <x v="1"/>
    <n v="4801.28"/>
    <m/>
    <m/>
    <n v="5"/>
  </r>
  <r>
    <x v="5026"/>
    <x v="997"/>
    <x v="0"/>
    <n v="1"/>
    <n v="300.08"/>
    <x v="502"/>
    <x v="1"/>
    <x v="0"/>
    <n v="300.08"/>
    <m/>
    <m/>
    <n v="5"/>
  </r>
  <r>
    <x v="5027"/>
    <x v="997"/>
    <x v="2"/>
    <n v="1"/>
    <n v="5.23"/>
    <x v="643"/>
    <x v="0"/>
    <x v="3"/>
    <n v="5.23"/>
    <m/>
    <m/>
    <n v="7"/>
  </r>
  <r>
    <x v="5028"/>
    <x v="998"/>
    <x v="0"/>
    <n v="4"/>
    <n v="1200.32"/>
    <x v="485"/>
    <x v="0"/>
    <x v="4"/>
    <n v="4801.28"/>
    <m/>
    <m/>
    <n v="5"/>
  </r>
  <r>
    <x v="5029"/>
    <x v="998"/>
    <x v="2"/>
    <n v="5"/>
    <n v="26.15"/>
    <x v="169"/>
    <x v="0"/>
    <x v="3"/>
    <n v="130.75"/>
    <m/>
    <m/>
    <n v="7"/>
  </r>
  <r>
    <x v="5030"/>
    <x v="998"/>
    <x v="4"/>
    <n v="4"/>
    <n v="4200"/>
    <x v="443"/>
    <x v="4"/>
    <x v="3"/>
    <n v="16800"/>
    <m/>
    <m/>
    <n v="7"/>
  </r>
  <r>
    <x v="5031"/>
    <x v="998"/>
    <x v="0"/>
    <n v="2"/>
    <n v="600.16"/>
    <x v="704"/>
    <x v="4"/>
    <x v="0"/>
    <n v="1200.32"/>
    <m/>
    <m/>
    <n v="7"/>
  </r>
  <r>
    <x v="5032"/>
    <x v="999"/>
    <x v="7"/>
    <n v="2"/>
    <n v="23.46"/>
    <x v="275"/>
    <x v="1"/>
    <x v="0"/>
    <n v="46.92"/>
    <m/>
    <m/>
    <n v="5"/>
  </r>
  <r>
    <x v="5033"/>
    <x v="999"/>
    <x v="0"/>
    <n v="1"/>
    <n v="300.08"/>
    <x v="168"/>
    <x v="0"/>
    <x v="0"/>
    <n v="300.08"/>
    <m/>
    <m/>
    <n v="5"/>
  </r>
  <r>
    <x v="5034"/>
    <x v="999"/>
    <x v="4"/>
    <n v="1"/>
    <n v="1050"/>
    <x v="584"/>
    <x v="4"/>
    <x v="1"/>
    <n v="1050"/>
    <m/>
    <m/>
    <n v="7"/>
  </r>
  <r>
    <x v="5035"/>
    <x v="999"/>
    <x v="4"/>
    <n v="2"/>
    <n v="2100"/>
    <x v="205"/>
    <x v="8"/>
    <x v="2"/>
    <n v="4200"/>
    <m/>
    <m/>
    <n v="7"/>
  </r>
  <r>
    <x v="5036"/>
    <x v="1000"/>
    <x v="6"/>
    <n v="4"/>
    <n v="143.36000000000001"/>
    <x v="292"/>
    <x v="6"/>
    <x v="1"/>
    <n v="573.44000000000005"/>
    <m/>
    <m/>
    <n v="5"/>
  </r>
  <r>
    <x v="5037"/>
    <x v="1000"/>
    <x v="5"/>
    <n v="1"/>
    <n v="600.16999999999996"/>
    <x v="656"/>
    <x v="0"/>
    <x v="3"/>
    <n v="600.16999999999996"/>
    <m/>
    <m/>
    <n v="5"/>
  </r>
  <r>
    <x v="5038"/>
    <x v="1000"/>
    <x v="0"/>
    <n v="5"/>
    <n v="1500.4"/>
    <x v="766"/>
    <x v="1"/>
    <x v="4"/>
    <n v="7502"/>
    <m/>
    <m/>
    <n v="5"/>
  </r>
  <r>
    <x v="5039"/>
    <x v="1000"/>
    <x v="3"/>
    <n v="2"/>
    <n v="30.3"/>
    <x v="637"/>
    <x v="0"/>
    <x v="3"/>
    <n v="60.6"/>
    <m/>
    <m/>
    <n v="7"/>
  </r>
  <r>
    <x v="5040"/>
    <x v="1000"/>
    <x v="0"/>
    <n v="3"/>
    <n v="900.24"/>
    <x v="481"/>
    <x v="9"/>
    <x v="0"/>
    <n v="2700.7200000000003"/>
    <m/>
    <m/>
    <n v="7"/>
  </r>
  <r>
    <x v="5041"/>
    <x v="1001"/>
    <x v="3"/>
    <n v="3"/>
    <n v="45.45"/>
    <x v="575"/>
    <x v="0"/>
    <x v="4"/>
    <n v="136.35000000000002"/>
    <m/>
    <m/>
    <n v="5"/>
  </r>
  <r>
    <x v="5042"/>
    <x v="1001"/>
    <x v="0"/>
    <n v="4"/>
    <n v="1200.32"/>
    <x v="82"/>
    <x v="5"/>
    <x v="2"/>
    <n v="4801.28"/>
    <m/>
    <m/>
    <n v="5"/>
  </r>
  <r>
    <x v="5043"/>
    <x v="1001"/>
    <x v="6"/>
    <n v="4"/>
    <n v="143.36000000000001"/>
    <x v="101"/>
    <x v="0"/>
    <x v="0"/>
    <n v="573.44000000000005"/>
    <m/>
    <m/>
    <n v="5"/>
  </r>
  <r>
    <x v="5044"/>
    <x v="1001"/>
    <x v="2"/>
    <n v="2"/>
    <n v="10.46"/>
    <x v="49"/>
    <x v="0"/>
    <x v="4"/>
    <n v="20.92"/>
    <m/>
    <m/>
    <n v="7"/>
  </r>
  <r>
    <x v="5045"/>
    <x v="1002"/>
    <x v="2"/>
    <n v="4"/>
    <n v="20.92"/>
    <x v="432"/>
    <x v="4"/>
    <x v="4"/>
    <n v="83.68"/>
    <m/>
    <m/>
    <n v="5"/>
  </r>
  <r>
    <x v="5046"/>
    <x v="1002"/>
    <x v="4"/>
    <n v="2"/>
    <n v="2100"/>
    <x v="570"/>
    <x v="6"/>
    <x v="2"/>
    <n v="4200"/>
    <m/>
    <m/>
    <n v="7"/>
  </r>
  <r>
    <x v="5047"/>
    <x v="1002"/>
    <x v="2"/>
    <n v="1"/>
    <n v="5.23"/>
    <x v="194"/>
    <x v="7"/>
    <x v="2"/>
    <n v="5.23"/>
    <m/>
    <m/>
    <n v="7"/>
  </r>
  <r>
    <x v="5048"/>
    <x v="1002"/>
    <x v="6"/>
    <n v="5"/>
    <n v="179.2"/>
    <x v="770"/>
    <x v="0"/>
    <x v="4"/>
    <n v="896"/>
    <m/>
    <m/>
    <n v="7"/>
  </r>
  <r>
    <x v="5049"/>
    <x v="1003"/>
    <x v="0"/>
    <n v="1"/>
    <n v="300.08"/>
    <x v="275"/>
    <x v="5"/>
    <x v="3"/>
    <n v="300.08"/>
    <m/>
    <m/>
    <n v="5"/>
  </r>
  <r>
    <x v="5050"/>
    <x v="1003"/>
    <x v="1"/>
    <n v="4"/>
    <n v="162.63999999999999"/>
    <x v="339"/>
    <x v="6"/>
    <x v="0"/>
    <n v="650.55999999999995"/>
    <m/>
    <m/>
    <n v="5"/>
  </r>
  <r>
    <x v="5051"/>
    <x v="1003"/>
    <x v="2"/>
    <n v="5"/>
    <n v="26.15"/>
    <x v="583"/>
    <x v="1"/>
    <x v="4"/>
    <n v="130.75"/>
    <m/>
    <m/>
    <n v="7"/>
  </r>
  <r>
    <x v="5052"/>
    <x v="1003"/>
    <x v="0"/>
    <n v="2"/>
    <n v="600.16"/>
    <x v="671"/>
    <x v="3"/>
    <x v="0"/>
    <n v="1200.32"/>
    <m/>
    <m/>
    <n v="7"/>
  </r>
  <r>
    <x v="5053"/>
    <x v="1003"/>
    <x v="6"/>
    <n v="3"/>
    <n v="107.52"/>
    <x v="251"/>
    <x v="8"/>
    <x v="4"/>
    <n v="322.56"/>
    <m/>
    <m/>
    <n v="10"/>
  </r>
  <r>
    <x v="5054"/>
    <x v="1004"/>
    <x v="6"/>
    <n v="2"/>
    <n v="71.680000000000007"/>
    <x v="383"/>
    <x v="8"/>
    <x v="0"/>
    <n v="143.36000000000001"/>
    <m/>
    <m/>
    <n v="5"/>
  </r>
  <r>
    <x v="5055"/>
    <x v="1004"/>
    <x v="2"/>
    <n v="4"/>
    <n v="20.92"/>
    <x v="656"/>
    <x v="3"/>
    <x v="3"/>
    <n v="83.68"/>
    <m/>
    <m/>
    <n v="5"/>
  </r>
  <r>
    <x v="5056"/>
    <x v="1004"/>
    <x v="4"/>
    <n v="5"/>
    <n v="5250"/>
    <x v="167"/>
    <x v="7"/>
    <x v="3"/>
    <n v="26250"/>
    <m/>
    <m/>
    <n v="5"/>
  </r>
  <r>
    <x v="5057"/>
    <x v="1004"/>
    <x v="0"/>
    <n v="1"/>
    <n v="300.08"/>
    <x v="150"/>
    <x v="5"/>
    <x v="0"/>
    <n v="300.08"/>
    <m/>
    <m/>
    <n v="5"/>
  </r>
  <r>
    <x v="5058"/>
    <x v="1004"/>
    <x v="0"/>
    <n v="1"/>
    <n v="300.08"/>
    <x v="102"/>
    <x v="3"/>
    <x v="1"/>
    <n v="300.08"/>
    <m/>
    <m/>
    <n v="5"/>
  </r>
  <r>
    <x v="5059"/>
    <x v="1004"/>
    <x v="2"/>
    <n v="5"/>
    <n v="26.15"/>
    <x v="76"/>
    <x v="4"/>
    <x v="3"/>
    <n v="130.75"/>
    <m/>
    <m/>
    <n v="7"/>
  </r>
  <r>
    <x v="5060"/>
    <x v="1004"/>
    <x v="1"/>
    <n v="3"/>
    <n v="121.98"/>
    <x v="111"/>
    <x v="3"/>
    <x v="1"/>
    <n v="365.94"/>
    <m/>
    <m/>
    <n v="7"/>
  </r>
  <r>
    <x v="5061"/>
    <x v="1004"/>
    <x v="5"/>
    <n v="4"/>
    <n v="2400.6799999999998"/>
    <x v="344"/>
    <x v="0"/>
    <x v="3"/>
    <n v="9602.7199999999993"/>
    <m/>
    <m/>
    <n v="7"/>
  </r>
  <r>
    <x v="5062"/>
    <x v="1004"/>
    <x v="0"/>
    <n v="1"/>
    <n v="300.08"/>
    <x v="19"/>
    <x v="9"/>
    <x v="1"/>
    <n v="300.08"/>
    <m/>
    <m/>
    <n v="7"/>
  </r>
  <r>
    <x v="5063"/>
    <x v="1005"/>
    <x v="1"/>
    <n v="4"/>
    <n v="162.63999999999999"/>
    <x v="662"/>
    <x v="6"/>
    <x v="3"/>
    <n v="650.55999999999995"/>
    <m/>
    <m/>
    <n v="5"/>
  </r>
  <r>
    <x v="5064"/>
    <x v="1005"/>
    <x v="1"/>
    <n v="1"/>
    <n v="40.659999999999997"/>
    <x v="434"/>
    <x v="5"/>
    <x v="2"/>
    <n v="40.659999999999997"/>
    <m/>
    <m/>
    <n v="5"/>
  </r>
  <r>
    <x v="5065"/>
    <x v="1005"/>
    <x v="7"/>
    <n v="4"/>
    <n v="46.92"/>
    <x v="779"/>
    <x v="0"/>
    <x v="4"/>
    <n v="187.68"/>
    <m/>
    <m/>
    <n v="7"/>
  </r>
  <r>
    <x v="5066"/>
    <x v="1006"/>
    <x v="0"/>
    <n v="5"/>
    <n v="1500.4"/>
    <x v="14"/>
    <x v="6"/>
    <x v="4"/>
    <n v="7502"/>
    <m/>
    <m/>
    <n v="5"/>
  </r>
  <r>
    <x v="5067"/>
    <x v="1006"/>
    <x v="2"/>
    <n v="4"/>
    <n v="20.92"/>
    <x v="406"/>
    <x v="0"/>
    <x v="2"/>
    <n v="83.68"/>
    <m/>
    <m/>
    <n v="5"/>
  </r>
  <r>
    <x v="5068"/>
    <x v="1006"/>
    <x v="0"/>
    <n v="3"/>
    <n v="900.24"/>
    <x v="40"/>
    <x v="7"/>
    <x v="2"/>
    <n v="2700.7200000000003"/>
    <m/>
    <m/>
    <n v="7"/>
  </r>
  <r>
    <x v="5069"/>
    <x v="1007"/>
    <x v="0"/>
    <n v="5"/>
    <n v="1500.4"/>
    <x v="38"/>
    <x v="9"/>
    <x v="2"/>
    <n v="7502"/>
    <m/>
    <m/>
    <n v="5"/>
  </r>
  <r>
    <x v="5070"/>
    <x v="1007"/>
    <x v="3"/>
    <n v="5"/>
    <n v="75.75"/>
    <x v="302"/>
    <x v="0"/>
    <x v="4"/>
    <n v="378.75"/>
    <m/>
    <m/>
    <n v="5"/>
  </r>
  <r>
    <x v="5071"/>
    <x v="1007"/>
    <x v="2"/>
    <n v="5"/>
    <n v="26.15"/>
    <x v="557"/>
    <x v="8"/>
    <x v="2"/>
    <n v="130.75"/>
    <m/>
    <m/>
    <n v="7"/>
  </r>
  <r>
    <x v="5072"/>
    <x v="1007"/>
    <x v="2"/>
    <n v="5"/>
    <n v="26.15"/>
    <x v="191"/>
    <x v="1"/>
    <x v="1"/>
    <n v="130.75"/>
    <m/>
    <m/>
    <n v="7"/>
  </r>
  <r>
    <x v="5073"/>
    <x v="1007"/>
    <x v="0"/>
    <n v="3"/>
    <n v="900.24"/>
    <x v="316"/>
    <x v="0"/>
    <x v="2"/>
    <n v="2700.7200000000003"/>
    <m/>
    <m/>
    <n v="7"/>
  </r>
  <r>
    <x v="5074"/>
    <x v="1007"/>
    <x v="1"/>
    <n v="5"/>
    <n v="203.3"/>
    <x v="41"/>
    <x v="0"/>
    <x v="3"/>
    <n v="1016.5"/>
    <m/>
    <m/>
    <n v="7"/>
  </r>
  <r>
    <x v="5075"/>
    <x v="1007"/>
    <x v="0"/>
    <n v="4"/>
    <n v="1200.32"/>
    <x v="29"/>
    <x v="4"/>
    <x v="4"/>
    <n v="4801.28"/>
    <m/>
    <m/>
    <n v="7"/>
  </r>
  <r>
    <x v="5076"/>
    <x v="1008"/>
    <x v="1"/>
    <n v="5"/>
    <n v="203.3"/>
    <x v="750"/>
    <x v="2"/>
    <x v="2"/>
    <n v="1016.5"/>
    <m/>
    <m/>
    <n v="5"/>
  </r>
  <r>
    <x v="5077"/>
    <x v="1008"/>
    <x v="2"/>
    <n v="4"/>
    <n v="20.92"/>
    <x v="122"/>
    <x v="8"/>
    <x v="2"/>
    <n v="83.68"/>
    <m/>
    <m/>
    <n v="5"/>
  </r>
  <r>
    <x v="5078"/>
    <x v="1008"/>
    <x v="4"/>
    <n v="3"/>
    <n v="3150"/>
    <x v="502"/>
    <x v="1"/>
    <x v="1"/>
    <n v="9450"/>
    <m/>
    <m/>
    <n v="5"/>
  </r>
  <r>
    <x v="5079"/>
    <x v="1008"/>
    <x v="0"/>
    <n v="5"/>
    <n v="1500.4"/>
    <x v="362"/>
    <x v="2"/>
    <x v="2"/>
    <n v="7502"/>
    <m/>
    <m/>
    <n v="7"/>
  </r>
  <r>
    <x v="5080"/>
    <x v="1008"/>
    <x v="0"/>
    <n v="2"/>
    <n v="600.16"/>
    <x v="96"/>
    <x v="8"/>
    <x v="3"/>
    <n v="1200.32"/>
    <m/>
    <m/>
    <n v="7"/>
  </r>
  <r>
    <x v="5081"/>
    <x v="1008"/>
    <x v="1"/>
    <n v="2"/>
    <n v="81.319999999999993"/>
    <x v="513"/>
    <x v="7"/>
    <x v="4"/>
    <n v="162.63999999999999"/>
    <m/>
    <m/>
    <n v="7"/>
  </r>
  <r>
    <x v="5082"/>
    <x v="1008"/>
    <x v="0"/>
    <n v="3"/>
    <n v="900.24"/>
    <x v="712"/>
    <x v="4"/>
    <x v="3"/>
    <n v="2700.7200000000003"/>
    <m/>
    <m/>
    <n v="7"/>
  </r>
  <r>
    <x v="5083"/>
    <x v="1009"/>
    <x v="0"/>
    <n v="1"/>
    <n v="300.08"/>
    <x v="408"/>
    <x v="9"/>
    <x v="0"/>
    <n v="300.08"/>
    <m/>
    <m/>
    <n v="5"/>
  </r>
  <r>
    <x v="5084"/>
    <x v="1009"/>
    <x v="5"/>
    <n v="1"/>
    <n v="600.16999999999996"/>
    <x v="567"/>
    <x v="0"/>
    <x v="1"/>
    <n v="600.16999999999996"/>
    <m/>
    <m/>
    <n v="5"/>
  </r>
  <r>
    <x v="5085"/>
    <x v="1009"/>
    <x v="0"/>
    <n v="1"/>
    <n v="300.08"/>
    <x v="187"/>
    <x v="8"/>
    <x v="4"/>
    <n v="300.08"/>
    <m/>
    <m/>
    <n v="5"/>
  </r>
  <r>
    <x v="5086"/>
    <x v="1009"/>
    <x v="1"/>
    <n v="5"/>
    <n v="203.3"/>
    <x v="762"/>
    <x v="9"/>
    <x v="0"/>
    <n v="1016.5"/>
    <m/>
    <m/>
    <n v="5"/>
  </r>
  <r>
    <x v="5087"/>
    <x v="1009"/>
    <x v="4"/>
    <n v="3"/>
    <n v="3150"/>
    <x v="671"/>
    <x v="6"/>
    <x v="2"/>
    <n v="9450"/>
    <m/>
    <m/>
    <n v="7"/>
  </r>
  <r>
    <x v="5088"/>
    <x v="1009"/>
    <x v="0"/>
    <n v="3"/>
    <n v="900.24"/>
    <x v="96"/>
    <x v="1"/>
    <x v="2"/>
    <n v="2700.7200000000003"/>
    <m/>
    <m/>
    <n v="7"/>
  </r>
  <r>
    <x v="5089"/>
    <x v="1010"/>
    <x v="0"/>
    <n v="1"/>
    <n v="300.08"/>
    <x v="462"/>
    <x v="0"/>
    <x v="2"/>
    <n v="300.08"/>
    <m/>
    <m/>
    <n v="5"/>
  </r>
  <r>
    <x v="5090"/>
    <x v="1010"/>
    <x v="0"/>
    <n v="4"/>
    <n v="1200.32"/>
    <x v="322"/>
    <x v="5"/>
    <x v="2"/>
    <n v="4801.28"/>
    <m/>
    <m/>
    <n v="7"/>
  </r>
  <r>
    <x v="5091"/>
    <x v="1010"/>
    <x v="6"/>
    <n v="5"/>
    <n v="179.2"/>
    <x v="690"/>
    <x v="0"/>
    <x v="1"/>
    <n v="896"/>
    <m/>
    <m/>
    <n v="7"/>
  </r>
  <r>
    <x v="5092"/>
    <x v="1010"/>
    <x v="6"/>
    <n v="2"/>
    <n v="71.680000000000007"/>
    <x v="772"/>
    <x v="8"/>
    <x v="0"/>
    <n v="143.36000000000001"/>
    <m/>
    <m/>
    <n v="7"/>
  </r>
  <r>
    <x v="5093"/>
    <x v="1010"/>
    <x v="6"/>
    <n v="4"/>
    <n v="143.36000000000001"/>
    <x v="382"/>
    <x v="6"/>
    <x v="4"/>
    <n v="573.44000000000005"/>
    <m/>
    <m/>
    <n v="7"/>
  </r>
  <r>
    <x v="5094"/>
    <x v="1010"/>
    <x v="1"/>
    <n v="4"/>
    <n v="162.63999999999999"/>
    <x v="156"/>
    <x v="7"/>
    <x v="2"/>
    <n v="650.55999999999995"/>
    <m/>
    <m/>
    <n v="10"/>
  </r>
  <r>
    <x v="5095"/>
    <x v="1011"/>
    <x v="6"/>
    <n v="4"/>
    <n v="143.36000000000001"/>
    <x v="1"/>
    <x v="6"/>
    <x v="1"/>
    <n v="573.44000000000005"/>
    <m/>
    <m/>
    <n v="5"/>
  </r>
  <r>
    <x v="5096"/>
    <x v="1011"/>
    <x v="0"/>
    <n v="3"/>
    <n v="900.24"/>
    <x v="318"/>
    <x v="6"/>
    <x v="4"/>
    <n v="2700.7200000000003"/>
    <m/>
    <m/>
    <n v="5"/>
  </r>
  <r>
    <x v="5097"/>
    <x v="1011"/>
    <x v="3"/>
    <n v="1"/>
    <n v="15.15"/>
    <x v="315"/>
    <x v="5"/>
    <x v="2"/>
    <n v="15.15"/>
    <m/>
    <m/>
    <n v="5"/>
  </r>
  <r>
    <x v="5098"/>
    <x v="1011"/>
    <x v="2"/>
    <n v="1"/>
    <n v="5.23"/>
    <x v="710"/>
    <x v="6"/>
    <x v="0"/>
    <n v="5.23"/>
    <m/>
    <m/>
    <n v="7"/>
  </r>
  <r>
    <x v="5099"/>
    <x v="1011"/>
    <x v="0"/>
    <n v="1"/>
    <n v="300.08"/>
    <x v="778"/>
    <x v="2"/>
    <x v="0"/>
    <n v="300.08"/>
    <m/>
    <m/>
    <n v="7"/>
  </r>
  <r>
    <x v="5100"/>
    <x v="1011"/>
    <x v="2"/>
    <n v="4"/>
    <n v="20.92"/>
    <x v="532"/>
    <x v="0"/>
    <x v="3"/>
    <n v="83.68"/>
    <m/>
    <m/>
    <n v="7"/>
  </r>
  <r>
    <x v="5101"/>
    <x v="1012"/>
    <x v="0"/>
    <n v="2"/>
    <n v="600.16"/>
    <x v="559"/>
    <x v="0"/>
    <x v="2"/>
    <n v="1200.32"/>
    <m/>
    <m/>
    <n v="7"/>
  </r>
  <r>
    <x v="5102"/>
    <x v="1012"/>
    <x v="0"/>
    <n v="4"/>
    <n v="1200.32"/>
    <x v="160"/>
    <x v="0"/>
    <x v="2"/>
    <n v="4801.28"/>
    <m/>
    <m/>
    <n v="7"/>
  </r>
  <r>
    <x v="5103"/>
    <x v="1012"/>
    <x v="7"/>
    <n v="2"/>
    <n v="23.46"/>
    <x v="755"/>
    <x v="6"/>
    <x v="1"/>
    <n v="46.92"/>
    <m/>
    <m/>
    <n v="7"/>
  </r>
  <r>
    <x v="5104"/>
    <x v="1012"/>
    <x v="0"/>
    <n v="5"/>
    <n v="1500.4"/>
    <x v="733"/>
    <x v="4"/>
    <x v="2"/>
    <n v="7502"/>
    <m/>
    <m/>
    <n v="7"/>
  </r>
  <r>
    <x v="5105"/>
    <x v="1013"/>
    <x v="7"/>
    <n v="3"/>
    <n v="35.19"/>
    <x v="275"/>
    <x v="5"/>
    <x v="1"/>
    <n v="105.57"/>
    <m/>
    <m/>
    <n v="5"/>
  </r>
  <r>
    <x v="5106"/>
    <x v="1013"/>
    <x v="5"/>
    <n v="1"/>
    <n v="600.16999999999996"/>
    <x v="38"/>
    <x v="0"/>
    <x v="1"/>
    <n v="600.16999999999996"/>
    <m/>
    <m/>
    <n v="5"/>
  </r>
  <r>
    <x v="5107"/>
    <x v="1013"/>
    <x v="0"/>
    <n v="5"/>
    <n v="1500.4"/>
    <x v="180"/>
    <x v="3"/>
    <x v="2"/>
    <n v="7502"/>
    <m/>
    <m/>
    <n v="5"/>
  </r>
  <r>
    <x v="5108"/>
    <x v="1013"/>
    <x v="0"/>
    <n v="1"/>
    <n v="300.08"/>
    <x v="127"/>
    <x v="9"/>
    <x v="3"/>
    <n v="300.08"/>
    <m/>
    <m/>
    <n v="7"/>
  </r>
  <r>
    <x v="5109"/>
    <x v="1014"/>
    <x v="7"/>
    <n v="3"/>
    <n v="35.19"/>
    <x v="239"/>
    <x v="4"/>
    <x v="1"/>
    <n v="105.57"/>
    <m/>
    <m/>
    <n v="5"/>
  </r>
  <r>
    <x v="5110"/>
    <x v="1014"/>
    <x v="5"/>
    <n v="4"/>
    <n v="2400.6799999999998"/>
    <x v="164"/>
    <x v="2"/>
    <x v="1"/>
    <n v="9602.7199999999993"/>
    <m/>
    <m/>
    <n v="7"/>
  </r>
  <r>
    <x v="5111"/>
    <x v="1014"/>
    <x v="5"/>
    <n v="4"/>
    <n v="2400.6799999999998"/>
    <x v="206"/>
    <x v="0"/>
    <x v="4"/>
    <n v="9602.7199999999993"/>
    <m/>
    <m/>
    <n v="7"/>
  </r>
  <r>
    <x v="5112"/>
    <x v="1014"/>
    <x v="0"/>
    <n v="3"/>
    <n v="900.24"/>
    <x v="428"/>
    <x v="2"/>
    <x v="3"/>
    <n v="2700.7200000000003"/>
    <m/>
    <m/>
    <n v="7"/>
  </r>
  <r>
    <x v="5113"/>
    <x v="1015"/>
    <x v="1"/>
    <n v="5"/>
    <n v="203.3"/>
    <x v="619"/>
    <x v="5"/>
    <x v="1"/>
    <n v="1016.5"/>
    <m/>
    <m/>
    <n v="5"/>
  </r>
  <r>
    <x v="5114"/>
    <x v="1015"/>
    <x v="0"/>
    <n v="2"/>
    <n v="600.16"/>
    <x v="632"/>
    <x v="7"/>
    <x v="3"/>
    <n v="1200.32"/>
    <m/>
    <m/>
    <n v="5"/>
  </r>
  <r>
    <x v="5115"/>
    <x v="1015"/>
    <x v="1"/>
    <n v="2"/>
    <n v="81.319999999999993"/>
    <x v="449"/>
    <x v="0"/>
    <x v="4"/>
    <n v="162.63999999999999"/>
    <m/>
    <m/>
    <n v="7"/>
  </r>
  <r>
    <x v="5116"/>
    <x v="1015"/>
    <x v="0"/>
    <n v="5"/>
    <n v="1500.4"/>
    <x v="671"/>
    <x v="3"/>
    <x v="2"/>
    <n v="7502"/>
    <m/>
    <m/>
    <n v="7"/>
  </r>
  <r>
    <x v="5117"/>
    <x v="1016"/>
    <x v="7"/>
    <n v="4"/>
    <n v="46.92"/>
    <x v="536"/>
    <x v="0"/>
    <x v="3"/>
    <n v="187.68"/>
    <m/>
    <m/>
    <n v="5"/>
  </r>
  <r>
    <x v="5118"/>
    <x v="1016"/>
    <x v="0"/>
    <n v="5"/>
    <n v="1500.4"/>
    <x v="662"/>
    <x v="1"/>
    <x v="1"/>
    <n v="7502"/>
    <m/>
    <m/>
    <n v="5"/>
  </r>
  <r>
    <x v="5119"/>
    <x v="1016"/>
    <x v="0"/>
    <n v="1"/>
    <n v="300.08"/>
    <x v="291"/>
    <x v="4"/>
    <x v="3"/>
    <n v="300.08"/>
    <m/>
    <m/>
    <n v="5"/>
  </r>
  <r>
    <x v="5120"/>
    <x v="1016"/>
    <x v="0"/>
    <n v="5"/>
    <n v="1500.4"/>
    <x v="471"/>
    <x v="1"/>
    <x v="0"/>
    <n v="7502"/>
    <m/>
    <m/>
    <n v="5"/>
  </r>
  <r>
    <x v="5121"/>
    <x v="1016"/>
    <x v="1"/>
    <n v="5"/>
    <n v="203.3"/>
    <x v="663"/>
    <x v="1"/>
    <x v="1"/>
    <n v="1016.5"/>
    <m/>
    <m/>
    <n v="5"/>
  </r>
  <r>
    <x v="5122"/>
    <x v="1016"/>
    <x v="1"/>
    <n v="3"/>
    <n v="121.98"/>
    <x v="321"/>
    <x v="9"/>
    <x v="4"/>
    <n v="365.94"/>
    <m/>
    <m/>
    <n v="7"/>
  </r>
  <r>
    <x v="5123"/>
    <x v="1016"/>
    <x v="2"/>
    <n v="2"/>
    <n v="10.46"/>
    <x v="360"/>
    <x v="9"/>
    <x v="4"/>
    <n v="20.92"/>
    <m/>
    <m/>
    <n v="7"/>
  </r>
  <r>
    <x v="5124"/>
    <x v="1016"/>
    <x v="0"/>
    <n v="2"/>
    <n v="600.16"/>
    <x v="401"/>
    <x v="7"/>
    <x v="0"/>
    <n v="1200.32"/>
    <m/>
    <m/>
    <n v="7"/>
  </r>
  <r>
    <x v="5125"/>
    <x v="1016"/>
    <x v="1"/>
    <n v="1"/>
    <n v="40.659999999999997"/>
    <x v="558"/>
    <x v="8"/>
    <x v="1"/>
    <n v="40.659999999999997"/>
    <m/>
    <m/>
    <n v="7"/>
  </r>
  <r>
    <x v="5126"/>
    <x v="1017"/>
    <x v="7"/>
    <n v="4"/>
    <n v="46.92"/>
    <x v="91"/>
    <x v="1"/>
    <x v="0"/>
    <n v="187.68"/>
    <m/>
    <m/>
    <n v="5"/>
  </r>
  <r>
    <x v="5127"/>
    <x v="1017"/>
    <x v="6"/>
    <n v="2"/>
    <n v="71.680000000000007"/>
    <x v="543"/>
    <x v="9"/>
    <x v="2"/>
    <n v="143.36000000000001"/>
    <m/>
    <m/>
    <n v="5"/>
  </r>
  <r>
    <x v="5128"/>
    <x v="1017"/>
    <x v="0"/>
    <n v="3"/>
    <n v="900.24"/>
    <x v="761"/>
    <x v="0"/>
    <x v="3"/>
    <n v="2700.7200000000003"/>
    <m/>
    <m/>
    <n v="7"/>
  </r>
  <r>
    <x v="5129"/>
    <x v="1018"/>
    <x v="1"/>
    <n v="5"/>
    <n v="203.3"/>
    <x v="326"/>
    <x v="0"/>
    <x v="3"/>
    <n v="1016.5"/>
    <m/>
    <m/>
    <n v="5"/>
  </r>
  <r>
    <x v="5130"/>
    <x v="1018"/>
    <x v="2"/>
    <n v="3"/>
    <n v="15.69"/>
    <x v="70"/>
    <x v="7"/>
    <x v="0"/>
    <n v="47.07"/>
    <m/>
    <m/>
    <n v="5"/>
  </r>
  <r>
    <x v="5131"/>
    <x v="1018"/>
    <x v="0"/>
    <n v="2"/>
    <n v="600.16"/>
    <x v="151"/>
    <x v="7"/>
    <x v="3"/>
    <n v="1200.32"/>
    <m/>
    <m/>
    <n v="5"/>
  </r>
  <r>
    <x v="5132"/>
    <x v="1018"/>
    <x v="6"/>
    <n v="1"/>
    <n v="35.840000000000003"/>
    <x v="19"/>
    <x v="4"/>
    <x v="3"/>
    <n v="35.840000000000003"/>
    <m/>
    <m/>
    <n v="7"/>
  </r>
  <r>
    <x v="5133"/>
    <x v="1018"/>
    <x v="2"/>
    <n v="4"/>
    <n v="20.92"/>
    <x v="287"/>
    <x v="6"/>
    <x v="2"/>
    <n v="83.68"/>
    <m/>
    <m/>
    <n v="7"/>
  </r>
  <r>
    <x v="5134"/>
    <x v="1018"/>
    <x v="6"/>
    <n v="5"/>
    <n v="179.2"/>
    <x v="565"/>
    <x v="0"/>
    <x v="3"/>
    <n v="896"/>
    <m/>
    <m/>
    <n v="7"/>
  </r>
  <r>
    <x v="5135"/>
    <x v="1019"/>
    <x v="0"/>
    <n v="3"/>
    <n v="900.24"/>
    <x v="397"/>
    <x v="1"/>
    <x v="3"/>
    <n v="2700.7200000000003"/>
    <m/>
    <m/>
    <n v="5"/>
  </r>
  <r>
    <x v="5136"/>
    <x v="1019"/>
    <x v="0"/>
    <n v="2"/>
    <n v="600.16"/>
    <x v="63"/>
    <x v="8"/>
    <x v="3"/>
    <n v="1200.32"/>
    <m/>
    <m/>
    <n v="5"/>
  </r>
  <r>
    <x v="5137"/>
    <x v="1019"/>
    <x v="2"/>
    <n v="5"/>
    <n v="26.15"/>
    <x v="91"/>
    <x v="0"/>
    <x v="3"/>
    <n v="130.75"/>
    <m/>
    <m/>
    <n v="5"/>
  </r>
  <r>
    <x v="5138"/>
    <x v="1019"/>
    <x v="7"/>
    <n v="4"/>
    <n v="46.92"/>
    <x v="213"/>
    <x v="4"/>
    <x v="3"/>
    <n v="187.68"/>
    <m/>
    <m/>
    <n v="7"/>
  </r>
  <r>
    <x v="5139"/>
    <x v="1020"/>
    <x v="3"/>
    <n v="2"/>
    <n v="30.3"/>
    <x v="555"/>
    <x v="0"/>
    <x v="2"/>
    <n v="60.6"/>
    <m/>
    <m/>
    <n v="5"/>
  </r>
  <r>
    <x v="5140"/>
    <x v="1020"/>
    <x v="0"/>
    <n v="2"/>
    <n v="600.16"/>
    <x v="108"/>
    <x v="9"/>
    <x v="0"/>
    <n v="1200.32"/>
    <m/>
    <m/>
    <n v="5"/>
  </r>
  <r>
    <x v="5141"/>
    <x v="1020"/>
    <x v="6"/>
    <n v="4"/>
    <n v="143.36000000000001"/>
    <x v="466"/>
    <x v="6"/>
    <x v="0"/>
    <n v="573.44000000000005"/>
    <m/>
    <m/>
    <n v="7"/>
  </r>
  <r>
    <x v="5142"/>
    <x v="1020"/>
    <x v="6"/>
    <n v="1"/>
    <n v="35.840000000000003"/>
    <x v="640"/>
    <x v="6"/>
    <x v="1"/>
    <n v="35.840000000000003"/>
    <m/>
    <m/>
    <n v="7"/>
  </r>
  <r>
    <x v="5143"/>
    <x v="1020"/>
    <x v="7"/>
    <n v="5"/>
    <n v="58.65"/>
    <x v="772"/>
    <x v="4"/>
    <x v="4"/>
    <n v="293.25"/>
    <m/>
    <m/>
    <n v="7"/>
  </r>
  <r>
    <x v="5144"/>
    <x v="1021"/>
    <x v="1"/>
    <n v="1"/>
    <n v="40.659999999999997"/>
    <x v="298"/>
    <x v="6"/>
    <x v="0"/>
    <n v="40.659999999999997"/>
    <m/>
    <m/>
    <n v="5"/>
  </r>
  <r>
    <x v="5145"/>
    <x v="1021"/>
    <x v="2"/>
    <n v="3"/>
    <n v="15.69"/>
    <x v="433"/>
    <x v="1"/>
    <x v="0"/>
    <n v="47.07"/>
    <m/>
    <m/>
    <n v="5"/>
  </r>
  <r>
    <x v="5146"/>
    <x v="1021"/>
    <x v="0"/>
    <n v="2"/>
    <n v="600.16"/>
    <x v="569"/>
    <x v="6"/>
    <x v="2"/>
    <n v="1200.32"/>
    <m/>
    <m/>
    <n v="5"/>
  </r>
  <r>
    <x v="5147"/>
    <x v="1021"/>
    <x v="3"/>
    <n v="4"/>
    <n v="60.6"/>
    <x v="353"/>
    <x v="0"/>
    <x v="0"/>
    <n v="242.4"/>
    <m/>
    <m/>
    <n v="7"/>
  </r>
  <r>
    <x v="5148"/>
    <x v="1021"/>
    <x v="0"/>
    <n v="4"/>
    <n v="1200.32"/>
    <x v="289"/>
    <x v="5"/>
    <x v="1"/>
    <n v="4801.28"/>
    <m/>
    <m/>
    <n v="7"/>
  </r>
  <r>
    <x v="5149"/>
    <x v="1021"/>
    <x v="0"/>
    <n v="5"/>
    <n v="1500.4"/>
    <x v="620"/>
    <x v="0"/>
    <x v="1"/>
    <n v="7502"/>
    <m/>
    <m/>
    <n v="10"/>
  </r>
  <r>
    <x v="5150"/>
    <x v="1022"/>
    <x v="7"/>
    <n v="2"/>
    <n v="23.46"/>
    <x v="677"/>
    <x v="0"/>
    <x v="2"/>
    <n v="46.92"/>
    <m/>
    <m/>
    <n v="5"/>
  </r>
  <r>
    <x v="5151"/>
    <x v="1022"/>
    <x v="0"/>
    <n v="3"/>
    <n v="900.24"/>
    <x v="411"/>
    <x v="7"/>
    <x v="3"/>
    <n v="2700.7200000000003"/>
    <m/>
    <m/>
    <n v="7"/>
  </r>
  <r>
    <x v="5152"/>
    <x v="1023"/>
    <x v="1"/>
    <n v="5"/>
    <n v="203.3"/>
    <x v="361"/>
    <x v="0"/>
    <x v="2"/>
    <n v="1016.5"/>
    <m/>
    <m/>
    <n v="7"/>
  </r>
  <r>
    <x v="5153"/>
    <x v="1023"/>
    <x v="0"/>
    <n v="5"/>
    <n v="1500.4"/>
    <x v="548"/>
    <x v="6"/>
    <x v="1"/>
    <n v="7502"/>
    <m/>
    <m/>
    <n v="7"/>
  </r>
  <r>
    <x v="5154"/>
    <x v="1024"/>
    <x v="0"/>
    <n v="3"/>
    <n v="900.24"/>
    <x v="361"/>
    <x v="8"/>
    <x v="1"/>
    <n v="2700.7200000000003"/>
    <m/>
    <m/>
    <n v="7"/>
  </r>
  <r>
    <x v="5155"/>
    <x v="1024"/>
    <x v="1"/>
    <n v="3"/>
    <n v="121.98"/>
    <x v="237"/>
    <x v="0"/>
    <x v="1"/>
    <n v="365.94"/>
    <m/>
    <m/>
    <n v="7"/>
  </r>
  <r>
    <x v="5156"/>
    <x v="1025"/>
    <x v="0"/>
    <n v="3"/>
    <n v="900.24"/>
    <x v="129"/>
    <x v="9"/>
    <x v="2"/>
    <n v="2700.7200000000003"/>
    <m/>
    <m/>
    <n v="7"/>
  </r>
  <r>
    <x v="5157"/>
    <x v="1025"/>
    <x v="1"/>
    <n v="5"/>
    <n v="203.3"/>
    <x v="419"/>
    <x v="6"/>
    <x v="2"/>
    <n v="1016.5"/>
    <m/>
    <m/>
    <n v="7"/>
  </r>
  <r>
    <x v="5158"/>
    <x v="1025"/>
    <x v="0"/>
    <n v="3"/>
    <n v="900.24"/>
    <x v="444"/>
    <x v="4"/>
    <x v="4"/>
    <n v="2700.7200000000003"/>
    <m/>
    <m/>
    <n v="7"/>
  </r>
  <r>
    <x v="5159"/>
    <x v="1026"/>
    <x v="1"/>
    <n v="5"/>
    <n v="203.3"/>
    <x v="600"/>
    <x v="6"/>
    <x v="2"/>
    <n v="1016.5"/>
    <m/>
    <m/>
    <n v="5"/>
  </r>
  <r>
    <x v="5160"/>
    <x v="1026"/>
    <x v="1"/>
    <n v="2"/>
    <n v="81.319999999999993"/>
    <x v="716"/>
    <x v="0"/>
    <x v="4"/>
    <n v="162.63999999999999"/>
    <m/>
    <m/>
    <n v="7"/>
  </r>
  <r>
    <x v="5161"/>
    <x v="1026"/>
    <x v="0"/>
    <n v="3"/>
    <n v="900.24"/>
    <x v="23"/>
    <x v="0"/>
    <x v="4"/>
    <n v="2700.7200000000003"/>
    <m/>
    <m/>
    <n v="7"/>
  </r>
  <r>
    <x v="5162"/>
    <x v="1026"/>
    <x v="2"/>
    <n v="3"/>
    <n v="15.69"/>
    <x v="559"/>
    <x v="3"/>
    <x v="1"/>
    <n v="47.07"/>
    <m/>
    <m/>
    <n v="7"/>
  </r>
  <r>
    <x v="5163"/>
    <x v="1026"/>
    <x v="0"/>
    <n v="4"/>
    <n v="1200.32"/>
    <x v="124"/>
    <x v="6"/>
    <x v="1"/>
    <n v="4801.28"/>
    <m/>
    <m/>
    <n v="7"/>
  </r>
  <r>
    <x v="5164"/>
    <x v="1026"/>
    <x v="1"/>
    <n v="1"/>
    <n v="40.659999999999997"/>
    <x v="103"/>
    <x v="1"/>
    <x v="4"/>
    <n v="40.659999999999997"/>
    <m/>
    <m/>
    <n v="10"/>
  </r>
  <r>
    <x v="5165"/>
    <x v="1027"/>
    <x v="7"/>
    <n v="4"/>
    <n v="46.92"/>
    <x v="264"/>
    <x v="0"/>
    <x v="0"/>
    <n v="187.68"/>
    <m/>
    <m/>
    <n v="5"/>
  </r>
  <r>
    <x v="5166"/>
    <x v="1027"/>
    <x v="7"/>
    <n v="5"/>
    <n v="58.65"/>
    <x v="13"/>
    <x v="6"/>
    <x v="1"/>
    <n v="293.25"/>
    <m/>
    <m/>
    <n v="5"/>
  </r>
  <r>
    <x v="5167"/>
    <x v="1027"/>
    <x v="0"/>
    <n v="3"/>
    <n v="900.24"/>
    <x v="280"/>
    <x v="4"/>
    <x v="0"/>
    <n v="2700.7200000000003"/>
    <m/>
    <m/>
    <n v="7"/>
  </r>
  <r>
    <x v="5168"/>
    <x v="1027"/>
    <x v="1"/>
    <n v="4"/>
    <n v="162.63999999999999"/>
    <x v="61"/>
    <x v="3"/>
    <x v="0"/>
    <n v="650.55999999999995"/>
    <m/>
    <m/>
    <n v="10"/>
  </r>
  <r>
    <x v="5169"/>
    <x v="1028"/>
    <x v="0"/>
    <n v="3"/>
    <n v="900.24"/>
    <x v="614"/>
    <x v="5"/>
    <x v="3"/>
    <n v="2700.7200000000003"/>
    <m/>
    <m/>
    <n v="5"/>
  </r>
  <r>
    <x v="5170"/>
    <x v="1028"/>
    <x v="1"/>
    <n v="5"/>
    <n v="203.3"/>
    <x v="73"/>
    <x v="3"/>
    <x v="1"/>
    <n v="1016.5"/>
    <m/>
    <m/>
    <n v="5"/>
  </r>
  <r>
    <x v="5171"/>
    <x v="1029"/>
    <x v="5"/>
    <n v="4"/>
    <n v="2400.6799999999998"/>
    <x v="304"/>
    <x v="4"/>
    <x v="4"/>
    <n v="9602.7199999999993"/>
    <m/>
    <m/>
    <n v="5"/>
  </r>
  <r>
    <x v="5172"/>
    <x v="1029"/>
    <x v="2"/>
    <n v="5"/>
    <n v="26.15"/>
    <x v="169"/>
    <x v="6"/>
    <x v="1"/>
    <n v="130.75"/>
    <m/>
    <m/>
    <n v="7"/>
  </r>
  <r>
    <x v="5173"/>
    <x v="1029"/>
    <x v="4"/>
    <n v="1"/>
    <n v="1050"/>
    <x v="412"/>
    <x v="0"/>
    <x v="0"/>
    <n v="1050"/>
    <m/>
    <m/>
    <n v="7"/>
  </r>
  <r>
    <x v="5174"/>
    <x v="1030"/>
    <x v="4"/>
    <n v="3"/>
    <n v="3150"/>
    <x v="82"/>
    <x v="4"/>
    <x v="3"/>
    <n v="9450"/>
    <m/>
    <m/>
    <n v="5"/>
  </r>
  <r>
    <x v="5175"/>
    <x v="1030"/>
    <x v="1"/>
    <n v="1"/>
    <n v="40.659999999999997"/>
    <x v="398"/>
    <x v="4"/>
    <x v="0"/>
    <n v="40.659999999999997"/>
    <m/>
    <m/>
    <n v="5"/>
  </r>
  <r>
    <x v="5176"/>
    <x v="1030"/>
    <x v="2"/>
    <n v="1"/>
    <n v="5.23"/>
    <x v="213"/>
    <x v="1"/>
    <x v="3"/>
    <n v="5.23"/>
    <m/>
    <m/>
    <n v="7"/>
  </r>
  <r>
    <x v="5177"/>
    <x v="1030"/>
    <x v="2"/>
    <n v="2"/>
    <n v="10.46"/>
    <x v="622"/>
    <x v="6"/>
    <x v="1"/>
    <n v="20.92"/>
    <m/>
    <m/>
    <n v="7"/>
  </r>
  <r>
    <x v="5178"/>
    <x v="1031"/>
    <x v="0"/>
    <n v="2"/>
    <n v="600.16"/>
    <x v="135"/>
    <x v="2"/>
    <x v="2"/>
    <n v="1200.32"/>
    <m/>
    <m/>
    <n v="7"/>
  </r>
  <r>
    <x v="5179"/>
    <x v="1031"/>
    <x v="5"/>
    <n v="4"/>
    <n v="2400.6799999999998"/>
    <x v="577"/>
    <x v="0"/>
    <x v="4"/>
    <n v="9602.7199999999993"/>
    <m/>
    <m/>
    <n v="7"/>
  </r>
  <r>
    <x v="5180"/>
    <x v="1032"/>
    <x v="1"/>
    <n v="5"/>
    <n v="203.3"/>
    <x v="579"/>
    <x v="6"/>
    <x v="3"/>
    <n v="1016.5"/>
    <m/>
    <m/>
    <n v="7"/>
  </r>
  <r>
    <x v="5181"/>
    <x v="1032"/>
    <x v="1"/>
    <n v="4"/>
    <n v="162.63999999999999"/>
    <x v="348"/>
    <x v="0"/>
    <x v="1"/>
    <n v="650.55999999999995"/>
    <m/>
    <m/>
    <n v="7"/>
  </r>
  <r>
    <x v="5182"/>
    <x v="1032"/>
    <x v="0"/>
    <n v="1"/>
    <n v="300.08"/>
    <x v="316"/>
    <x v="5"/>
    <x v="3"/>
    <n v="300.08"/>
    <m/>
    <m/>
    <n v="7"/>
  </r>
  <r>
    <x v="5183"/>
    <x v="1032"/>
    <x v="0"/>
    <n v="5"/>
    <n v="1500.4"/>
    <x v="49"/>
    <x v="8"/>
    <x v="4"/>
    <n v="7502"/>
    <m/>
    <m/>
    <n v="7"/>
  </r>
  <r>
    <x v="5184"/>
    <x v="1032"/>
    <x v="0"/>
    <n v="4"/>
    <n v="1200.32"/>
    <x v="71"/>
    <x v="9"/>
    <x v="3"/>
    <n v="4801.28"/>
    <m/>
    <m/>
    <n v="10"/>
  </r>
  <r>
    <x v="5185"/>
    <x v="1033"/>
    <x v="5"/>
    <n v="1"/>
    <n v="600.16999999999996"/>
    <x v="100"/>
    <x v="1"/>
    <x v="2"/>
    <n v="600.16999999999996"/>
    <m/>
    <m/>
    <n v="5"/>
  </r>
  <r>
    <x v="5186"/>
    <x v="1033"/>
    <x v="1"/>
    <n v="3"/>
    <n v="121.98"/>
    <x v="396"/>
    <x v="1"/>
    <x v="3"/>
    <n v="365.94"/>
    <m/>
    <m/>
    <n v="5"/>
  </r>
  <r>
    <x v="5187"/>
    <x v="1033"/>
    <x v="0"/>
    <n v="2"/>
    <n v="600.16"/>
    <x v="504"/>
    <x v="0"/>
    <x v="3"/>
    <n v="1200.32"/>
    <m/>
    <m/>
    <n v="7"/>
  </r>
  <r>
    <x v="5188"/>
    <x v="1033"/>
    <x v="0"/>
    <n v="1"/>
    <n v="300.08"/>
    <x v="32"/>
    <x v="6"/>
    <x v="1"/>
    <n v="300.08"/>
    <m/>
    <m/>
    <n v="7"/>
  </r>
  <r>
    <x v="5189"/>
    <x v="1033"/>
    <x v="1"/>
    <n v="3"/>
    <n v="121.98"/>
    <x v="553"/>
    <x v="5"/>
    <x v="1"/>
    <n v="365.94"/>
    <m/>
    <m/>
    <n v="7"/>
  </r>
  <r>
    <x v="5190"/>
    <x v="1033"/>
    <x v="1"/>
    <n v="1"/>
    <n v="40.659999999999997"/>
    <x v="658"/>
    <x v="0"/>
    <x v="1"/>
    <n v="40.659999999999997"/>
    <m/>
    <m/>
    <n v="10"/>
  </r>
  <r>
    <x v="5191"/>
    <x v="1034"/>
    <x v="0"/>
    <n v="1"/>
    <n v="300.08"/>
    <x v="562"/>
    <x v="4"/>
    <x v="1"/>
    <n v="300.08"/>
    <m/>
    <m/>
    <n v="5"/>
  </r>
  <r>
    <x v="5192"/>
    <x v="1034"/>
    <x v="0"/>
    <n v="1"/>
    <n v="300.08"/>
    <x v="111"/>
    <x v="6"/>
    <x v="2"/>
    <n v="300.08"/>
    <m/>
    <m/>
    <n v="7"/>
  </r>
  <r>
    <x v="5193"/>
    <x v="1034"/>
    <x v="0"/>
    <n v="5"/>
    <n v="1500.4"/>
    <x v="760"/>
    <x v="1"/>
    <x v="1"/>
    <n v="7502"/>
    <m/>
    <m/>
    <n v="7"/>
  </r>
  <r>
    <x v="5194"/>
    <x v="1034"/>
    <x v="7"/>
    <n v="3"/>
    <n v="35.19"/>
    <x v="450"/>
    <x v="4"/>
    <x v="0"/>
    <n v="105.57"/>
    <m/>
    <m/>
    <n v="7"/>
  </r>
  <r>
    <x v="5195"/>
    <x v="1035"/>
    <x v="4"/>
    <n v="1"/>
    <n v="1050"/>
    <x v="95"/>
    <x v="1"/>
    <x v="4"/>
    <n v="1050"/>
    <m/>
    <m/>
    <n v="5"/>
  </r>
  <r>
    <x v="5196"/>
    <x v="1035"/>
    <x v="2"/>
    <n v="2"/>
    <n v="10.46"/>
    <x v="479"/>
    <x v="9"/>
    <x v="1"/>
    <n v="20.92"/>
    <m/>
    <m/>
    <n v="5"/>
  </r>
  <r>
    <x v="5197"/>
    <x v="1035"/>
    <x v="5"/>
    <n v="3"/>
    <n v="1800.51"/>
    <x v="753"/>
    <x v="6"/>
    <x v="3"/>
    <n v="5401.53"/>
    <m/>
    <m/>
    <n v="7"/>
  </r>
  <r>
    <x v="5198"/>
    <x v="1035"/>
    <x v="0"/>
    <n v="4"/>
    <n v="1200.32"/>
    <x v="577"/>
    <x v="0"/>
    <x v="0"/>
    <n v="4801.28"/>
    <m/>
    <m/>
    <n v="7"/>
  </r>
  <r>
    <x v="5199"/>
    <x v="1036"/>
    <x v="0"/>
    <n v="5"/>
    <n v="1500.4"/>
    <x v="414"/>
    <x v="4"/>
    <x v="4"/>
    <n v="7502"/>
    <m/>
    <m/>
    <n v="5"/>
  </r>
  <r>
    <x v="5200"/>
    <x v="1036"/>
    <x v="5"/>
    <n v="3"/>
    <n v="1800.51"/>
    <x v="133"/>
    <x v="1"/>
    <x v="4"/>
    <n v="5401.53"/>
    <m/>
    <m/>
    <n v="5"/>
  </r>
  <r>
    <x v="5201"/>
    <x v="1036"/>
    <x v="0"/>
    <n v="1"/>
    <n v="300.08"/>
    <x v="320"/>
    <x v="0"/>
    <x v="2"/>
    <n v="300.08"/>
    <m/>
    <m/>
    <n v="5"/>
  </r>
  <r>
    <x v="5202"/>
    <x v="1036"/>
    <x v="0"/>
    <n v="5"/>
    <n v="1500.4"/>
    <x v="425"/>
    <x v="0"/>
    <x v="4"/>
    <n v="7502"/>
    <m/>
    <m/>
    <n v="5"/>
  </r>
  <r>
    <x v="5203"/>
    <x v="1037"/>
    <x v="0"/>
    <n v="2"/>
    <n v="600.16"/>
    <x v="541"/>
    <x v="0"/>
    <x v="1"/>
    <n v="1200.32"/>
    <m/>
    <m/>
    <n v="5"/>
  </r>
  <r>
    <x v="5204"/>
    <x v="1037"/>
    <x v="0"/>
    <n v="4"/>
    <n v="1200.32"/>
    <x v="716"/>
    <x v="6"/>
    <x v="2"/>
    <n v="4801.28"/>
    <m/>
    <m/>
    <n v="7"/>
  </r>
  <r>
    <x v="5205"/>
    <x v="1037"/>
    <x v="0"/>
    <n v="4"/>
    <n v="1200.32"/>
    <x v="549"/>
    <x v="9"/>
    <x v="3"/>
    <n v="4801.28"/>
    <m/>
    <m/>
    <n v="7"/>
  </r>
  <r>
    <x v="5206"/>
    <x v="1037"/>
    <x v="3"/>
    <n v="4"/>
    <n v="60.6"/>
    <x v="592"/>
    <x v="6"/>
    <x v="4"/>
    <n v="242.4"/>
    <m/>
    <m/>
    <n v="7"/>
  </r>
  <r>
    <x v="5207"/>
    <x v="1037"/>
    <x v="2"/>
    <n v="3"/>
    <n v="15.69"/>
    <x v="26"/>
    <x v="0"/>
    <x v="4"/>
    <n v="47.07"/>
    <m/>
    <m/>
    <n v="10"/>
  </r>
  <r>
    <x v="5208"/>
    <x v="1038"/>
    <x v="0"/>
    <n v="4"/>
    <n v="1200.32"/>
    <x v="695"/>
    <x v="2"/>
    <x v="2"/>
    <n v="4801.28"/>
    <m/>
    <m/>
    <n v="5"/>
  </r>
  <r>
    <x v="5209"/>
    <x v="1038"/>
    <x v="2"/>
    <n v="3"/>
    <n v="15.69"/>
    <x v="33"/>
    <x v="0"/>
    <x v="4"/>
    <n v="47.07"/>
    <m/>
    <m/>
    <n v="5"/>
  </r>
  <r>
    <x v="5210"/>
    <x v="1038"/>
    <x v="2"/>
    <n v="2"/>
    <n v="10.46"/>
    <x v="306"/>
    <x v="9"/>
    <x v="2"/>
    <n v="20.92"/>
    <m/>
    <m/>
    <n v="5"/>
  </r>
  <r>
    <x v="5211"/>
    <x v="1038"/>
    <x v="2"/>
    <n v="3"/>
    <n v="15.69"/>
    <x v="729"/>
    <x v="6"/>
    <x v="0"/>
    <n v="47.07"/>
    <m/>
    <m/>
    <n v="7"/>
  </r>
  <r>
    <x v="5212"/>
    <x v="1038"/>
    <x v="4"/>
    <n v="4"/>
    <n v="4200"/>
    <x v="452"/>
    <x v="2"/>
    <x v="0"/>
    <n v="16800"/>
    <m/>
    <m/>
    <n v="10"/>
  </r>
  <r>
    <x v="5213"/>
    <x v="1039"/>
    <x v="1"/>
    <n v="3"/>
    <n v="121.98"/>
    <x v="35"/>
    <x v="1"/>
    <x v="1"/>
    <n v="365.94"/>
    <m/>
    <m/>
    <n v="7"/>
  </r>
  <r>
    <x v="5214"/>
    <x v="1039"/>
    <x v="0"/>
    <n v="4"/>
    <n v="1200.32"/>
    <x v="561"/>
    <x v="9"/>
    <x v="2"/>
    <n v="4801.28"/>
    <m/>
    <m/>
    <n v="7"/>
  </r>
  <r>
    <x v="5215"/>
    <x v="1040"/>
    <x v="0"/>
    <n v="4"/>
    <n v="1200.32"/>
    <x v="364"/>
    <x v="1"/>
    <x v="1"/>
    <n v="4801.28"/>
    <m/>
    <m/>
    <n v="5"/>
  </r>
  <r>
    <x v="5216"/>
    <x v="1040"/>
    <x v="5"/>
    <n v="5"/>
    <n v="3000.85"/>
    <x v="756"/>
    <x v="0"/>
    <x v="1"/>
    <n v="15004.25"/>
    <m/>
    <m/>
    <n v="7"/>
  </r>
  <r>
    <x v="5217"/>
    <x v="1040"/>
    <x v="0"/>
    <n v="1"/>
    <n v="300.08"/>
    <x v="455"/>
    <x v="1"/>
    <x v="1"/>
    <n v="300.08"/>
    <m/>
    <m/>
    <n v="7"/>
  </r>
  <r>
    <x v="5218"/>
    <x v="1040"/>
    <x v="4"/>
    <n v="1"/>
    <n v="1050"/>
    <x v="192"/>
    <x v="8"/>
    <x v="2"/>
    <n v="1050"/>
    <m/>
    <m/>
    <n v="7"/>
  </r>
  <r>
    <x v="5219"/>
    <x v="1040"/>
    <x v="4"/>
    <n v="2"/>
    <n v="2100"/>
    <x v="464"/>
    <x v="2"/>
    <x v="2"/>
    <n v="4200"/>
    <m/>
    <m/>
    <n v="7"/>
  </r>
  <r>
    <x v="5220"/>
    <x v="1040"/>
    <x v="0"/>
    <n v="2"/>
    <n v="600.16"/>
    <x v="649"/>
    <x v="2"/>
    <x v="0"/>
    <n v="1200.32"/>
    <m/>
    <m/>
    <n v="7"/>
  </r>
  <r>
    <x v="5221"/>
    <x v="1040"/>
    <x v="2"/>
    <n v="5"/>
    <n v="26.15"/>
    <x v="402"/>
    <x v="1"/>
    <x v="2"/>
    <n v="130.75"/>
    <m/>
    <m/>
    <n v="10"/>
  </r>
  <r>
    <x v="5222"/>
    <x v="1041"/>
    <x v="1"/>
    <n v="5"/>
    <n v="203.3"/>
    <x v="650"/>
    <x v="9"/>
    <x v="0"/>
    <n v="1016.5"/>
    <m/>
    <m/>
    <n v="5"/>
  </r>
  <r>
    <x v="5223"/>
    <x v="1041"/>
    <x v="2"/>
    <n v="3"/>
    <n v="15.69"/>
    <x v="594"/>
    <x v="8"/>
    <x v="2"/>
    <n v="47.07"/>
    <m/>
    <m/>
    <n v="7"/>
  </r>
  <r>
    <x v="5224"/>
    <x v="1041"/>
    <x v="3"/>
    <n v="5"/>
    <n v="75.75"/>
    <x v="148"/>
    <x v="0"/>
    <x v="4"/>
    <n v="378.75"/>
    <m/>
    <m/>
    <n v="7"/>
  </r>
  <r>
    <x v="5225"/>
    <x v="1042"/>
    <x v="0"/>
    <n v="5"/>
    <n v="1500.4"/>
    <x v="83"/>
    <x v="3"/>
    <x v="4"/>
    <n v="7502"/>
    <m/>
    <m/>
    <n v="5"/>
  </r>
  <r>
    <x v="5226"/>
    <x v="1042"/>
    <x v="7"/>
    <n v="2"/>
    <n v="23.46"/>
    <x v="635"/>
    <x v="0"/>
    <x v="1"/>
    <n v="46.92"/>
    <m/>
    <m/>
    <n v="5"/>
  </r>
  <r>
    <x v="5227"/>
    <x v="1042"/>
    <x v="1"/>
    <n v="1"/>
    <n v="40.659999999999997"/>
    <x v="606"/>
    <x v="4"/>
    <x v="0"/>
    <n v="40.659999999999997"/>
    <m/>
    <m/>
    <n v="5"/>
  </r>
  <r>
    <x v="5228"/>
    <x v="1042"/>
    <x v="7"/>
    <n v="1"/>
    <n v="11.73"/>
    <x v="270"/>
    <x v="6"/>
    <x v="1"/>
    <n v="11.73"/>
    <m/>
    <m/>
    <n v="5"/>
  </r>
  <r>
    <x v="5229"/>
    <x v="1042"/>
    <x v="2"/>
    <n v="3"/>
    <n v="15.69"/>
    <x v="215"/>
    <x v="3"/>
    <x v="0"/>
    <n v="47.07"/>
    <m/>
    <m/>
    <n v="10"/>
  </r>
  <r>
    <x v="5230"/>
    <x v="1043"/>
    <x v="0"/>
    <n v="3"/>
    <n v="900.24"/>
    <x v="326"/>
    <x v="6"/>
    <x v="2"/>
    <n v="2700.7200000000003"/>
    <m/>
    <m/>
    <n v="5"/>
  </r>
  <r>
    <x v="5231"/>
    <x v="1043"/>
    <x v="5"/>
    <n v="3"/>
    <n v="1800.51"/>
    <x v="525"/>
    <x v="6"/>
    <x v="4"/>
    <n v="5401.53"/>
    <m/>
    <m/>
    <n v="5"/>
  </r>
  <r>
    <x v="5232"/>
    <x v="1043"/>
    <x v="2"/>
    <n v="2"/>
    <n v="10.46"/>
    <x v="534"/>
    <x v="6"/>
    <x v="3"/>
    <n v="20.92"/>
    <m/>
    <m/>
    <n v="5"/>
  </r>
  <r>
    <x v="5233"/>
    <x v="1043"/>
    <x v="5"/>
    <n v="4"/>
    <n v="2400.6799999999998"/>
    <x v="253"/>
    <x v="6"/>
    <x v="3"/>
    <n v="9602.7199999999993"/>
    <m/>
    <m/>
    <n v="7"/>
  </r>
  <r>
    <x v="5234"/>
    <x v="1043"/>
    <x v="0"/>
    <n v="1"/>
    <n v="300.08"/>
    <x v="379"/>
    <x v="7"/>
    <x v="1"/>
    <n v="300.08"/>
    <m/>
    <m/>
    <n v="10"/>
  </r>
  <r>
    <x v="5235"/>
    <x v="1044"/>
    <x v="0"/>
    <n v="1"/>
    <n v="300.08"/>
    <x v="128"/>
    <x v="6"/>
    <x v="2"/>
    <n v="300.08"/>
    <m/>
    <m/>
    <n v="5"/>
  </r>
  <r>
    <x v="5236"/>
    <x v="1044"/>
    <x v="2"/>
    <n v="1"/>
    <n v="5.23"/>
    <x v="723"/>
    <x v="0"/>
    <x v="2"/>
    <n v="5.23"/>
    <m/>
    <m/>
    <n v="5"/>
  </r>
  <r>
    <x v="5237"/>
    <x v="1044"/>
    <x v="5"/>
    <n v="3"/>
    <n v="1800.51"/>
    <x v="122"/>
    <x v="6"/>
    <x v="0"/>
    <n v="5401.53"/>
    <m/>
    <m/>
    <n v="5"/>
  </r>
  <r>
    <x v="5238"/>
    <x v="1044"/>
    <x v="1"/>
    <n v="4"/>
    <n v="162.63999999999999"/>
    <x v="653"/>
    <x v="0"/>
    <x v="4"/>
    <n v="650.55999999999995"/>
    <m/>
    <m/>
    <n v="5"/>
  </r>
  <r>
    <x v="5239"/>
    <x v="1044"/>
    <x v="0"/>
    <n v="4"/>
    <n v="1200.32"/>
    <x v="396"/>
    <x v="0"/>
    <x v="2"/>
    <n v="4801.28"/>
    <m/>
    <m/>
    <n v="5"/>
  </r>
  <r>
    <x v="5240"/>
    <x v="1045"/>
    <x v="0"/>
    <n v="4"/>
    <n v="1200.32"/>
    <x v="175"/>
    <x v="6"/>
    <x v="0"/>
    <n v="4801.28"/>
    <m/>
    <m/>
    <n v="5"/>
  </r>
  <r>
    <x v="5241"/>
    <x v="1045"/>
    <x v="0"/>
    <n v="1"/>
    <n v="300.08"/>
    <x v="300"/>
    <x v="3"/>
    <x v="1"/>
    <n v="300.08"/>
    <m/>
    <m/>
    <n v="5"/>
  </r>
  <r>
    <x v="5242"/>
    <x v="1045"/>
    <x v="2"/>
    <n v="5"/>
    <n v="26.15"/>
    <x v="700"/>
    <x v="1"/>
    <x v="3"/>
    <n v="130.75"/>
    <m/>
    <m/>
    <n v="7"/>
  </r>
  <r>
    <x v="5243"/>
    <x v="1045"/>
    <x v="0"/>
    <n v="2"/>
    <n v="600.16"/>
    <x v="756"/>
    <x v="9"/>
    <x v="4"/>
    <n v="1200.32"/>
    <m/>
    <m/>
    <n v="7"/>
  </r>
  <r>
    <x v="5244"/>
    <x v="1045"/>
    <x v="7"/>
    <n v="5"/>
    <n v="58.65"/>
    <x v="129"/>
    <x v="6"/>
    <x v="1"/>
    <n v="293.25"/>
    <m/>
    <m/>
    <n v="7"/>
  </r>
  <r>
    <x v="5245"/>
    <x v="1045"/>
    <x v="0"/>
    <n v="5"/>
    <n v="1500.4"/>
    <x v="35"/>
    <x v="0"/>
    <x v="2"/>
    <n v="7502"/>
    <m/>
    <m/>
    <n v="7"/>
  </r>
  <r>
    <x v="5246"/>
    <x v="1045"/>
    <x v="6"/>
    <n v="2"/>
    <n v="71.680000000000007"/>
    <x v="719"/>
    <x v="4"/>
    <x v="0"/>
    <n v="143.36000000000001"/>
    <m/>
    <m/>
    <n v="7"/>
  </r>
  <r>
    <x v="5247"/>
    <x v="1046"/>
    <x v="0"/>
    <n v="4"/>
    <n v="1200.32"/>
    <x v="501"/>
    <x v="1"/>
    <x v="3"/>
    <n v="4801.28"/>
    <m/>
    <m/>
    <n v="5"/>
  </r>
  <r>
    <x v="5248"/>
    <x v="1046"/>
    <x v="0"/>
    <n v="2"/>
    <n v="600.16"/>
    <x v="307"/>
    <x v="1"/>
    <x v="3"/>
    <n v="1200.32"/>
    <m/>
    <m/>
    <n v="5"/>
  </r>
  <r>
    <x v="5249"/>
    <x v="1046"/>
    <x v="0"/>
    <n v="1"/>
    <n v="300.08"/>
    <x v="611"/>
    <x v="6"/>
    <x v="2"/>
    <n v="300.08"/>
    <m/>
    <m/>
    <n v="7"/>
  </r>
  <r>
    <x v="5250"/>
    <x v="1047"/>
    <x v="4"/>
    <n v="4"/>
    <n v="4200"/>
    <x v="65"/>
    <x v="6"/>
    <x v="1"/>
    <n v="16800"/>
    <m/>
    <m/>
    <n v="5"/>
  </r>
  <r>
    <x v="5251"/>
    <x v="1047"/>
    <x v="2"/>
    <n v="5"/>
    <n v="26.15"/>
    <x v="709"/>
    <x v="2"/>
    <x v="3"/>
    <n v="130.75"/>
    <m/>
    <m/>
    <n v="5"/>
  </r>
  <r>
    <x v="5252"/>
    <x v="1047"/>
    <x v="2"/>
    <n v="3"/>
    <n v="15.69"/>
    <x v="352"/>
    <x v="4"/>
    <x v="1"/>
    <n v="47.07"/>
    <m/>
    <m/>
    <n v="5"/>
  </r>
  <r>
    <x v="5253"/>
    <x v="1047"/>
    <x v="4"/>
    <n v="2"/>
    <n v="2100"/>
    <x v="744"/>
    <x v="4"/>
    <x v="3"/>
    <n v="4200"/>
    <m/>
    <m/>
    <n v="5"/>
  </r>
  <r>
    <x v="5254"/>
    <x v="1047"/>
    <x v="1"/>
    <n v="5"/>
    <n v="203.3"/>
    <x v="744"/>
    <x v="0"/>
    <x v="2"/>
    <n v="1016.5"/>
    <m/>
    <m/>
    <n v="5"/>
  </r>
  <r>
    <x v="5255"/>
    <x v="1047"/>
    <x v="0"/>
    <n v="1"/>
    <n v="300.08"/>
    <x v="92"/>
    <x v="2"/>
    <x v="4"/>
    <n v="300.08"/>
    <m/>
    <m/>
    <n v="5"/>
  </r>
  <r>
    <x v="5256"/>
    <x v="1047"/>
    <x v="0"/>
    <n v="3"/>
    <n v="900.24"/>
    <x v="329"/>
    <x v="5"/>
    <x v="3"/>
    <n v="2700.7200000000003"/>
    <m/>
    <m/>
    <n v="7"/>
  </r>
  <r>
    <x v="5257"/>
    <x v="1047"/>
    <x v="1"/>
    <n v="2"/>
    <n v="81.319999999999993"/>
    <x v="738"/>
    <x v="2"/>
    <x v="4"/>
    <n v="162.63999999999999"/>
    <m/>
    <m/>
    <n v="7"/>
  </r>
  <r>
    <x v="5258"/>
    <x v="1047"/>
    <x v="5"/>
    <n v="3"/>
    <n v="1800.51"/>
    <x v="246"/>
    <x v="6"/>
    <x v="0"/>
    <n v="5401.53"/>
    <m/>
    <m/>
    <n v="10"/>
  </r>
  <r>
    <x v="5259"/>
    <x v="1048"/>
    <x v="0"/>
    <n v="1"/>
    <n v="300.08"/>
    <x v="715"/>
    <x v="0"/>
    <x v="3"/>
    <n v="300.08"/>
    <m/>
    <m/>
    <n v="7"/>
  </r>
  <r>
    <x v="5260"/>
    <x v="1048"/>
    <x v="0"/>
    <n v="2"/>
    <n v="600.16"/>
    <x v="491"/>
    <x v="0"/>
    <x v="4"/>
    <n v="1200.32"/>
    <m/>
    <m/>
    <n v="7"/>
  </r>
  <r>
    <x v="5261"/>
    <x v="1049"/>
    <x v="3"/>
    <n v="2"/>
    <n v="30.3"/>
    <x v="63"/>
    <x v="2"/>
    <x v="2"/>
    <n v="60.6"/>
    <m/>
    <m/>
    <n v="5"/>
  </r>
  <r>
    <x v="5262"/>
    <x v="1049"/>
    <x v="0"/>
    <n v="3"/>
    <n v="900.24"/>
    <x v="85"/>
    <x v="3"/>
    <x v="1"/>
    <n v="2700.7200000000003"/>
    <m/>
    <m/>
    <n v="5"/>
  </r>
  <r>
    <x v="5263"/>
    <x v="1049"/>
    <x v="5"/>
    <n v="4"/>
    <n v="2400.6799999999998"/>
    <x v="638"/>
    <x v="7"/>
    <x v="4"/>
    <n v="9602.7199999999993"/>
    <m/>
    <m/>
    <n v="5"/>
  </r>
  <r>
    <x v="5264"/>
    <x v="1049"/>
    <x v="0"/>
    <n v="5"/>
    <n v="1500.4"/>
    <x v="669"/>
    <x v="8"/>
    <x v="1"/>
    <n v="7502"/>
    <m/>
    <m/>
    <n v="5"/>
  </r>
  <r>
    <x v="5265"/>
    <x v="1049"/>
    <x v="0"/>
    <n v="3"/>
    <n v="900.24"/>
    <x v="726"/>
    <x v="0"/>
    <x v="2"/>
    <n v="2700.7200000000003"/>
    <m/>
    <m/>
    <n v="7"/>
  </r>
  <r>
    <x v="5266"/>
    <x v="1050"/>
    <x v="6"/>
    <n v="4"/>
    <n v="143.36000000000001"/>
    <x v="759"/>
    <x v="1"/>
    <x v="1"/>
    <n v="573.44000000000005"/>
    <m/>
    <m/>
    <n v="7"/>
  </r>
  <r>
    <x v="5267"/>
    <x v="1050"/>
    <x v="7"/>
    <n v="1"/>
    <n v="11.73"/>
    <x v="110"/>
    <x v="0"/>
    <x v="2"/>
    <n v="11.73"/>
    <m/>
    <m/>
    <n v="7"/>
  </r>
  <r>
    <x v="5268"/>
    <x v="1050"/>
    <x v="1"/>
    <n v="4"/>
    <n v="162.63999999999999"/>
    <x v="777"/>
    <x v="1"/>
    <x v="0"/>
    <n v="650.55999999999995"/>
    <m/>
    <m/>
    <n v="7"/>
  </r>
  <r>
    <x v="5269"/>
    <x v="1050"/>
    <x v="6"/>
    <n v="5"/>
    <n v="179.2"/>
    <x v="510"/>
    <x v="4"/>
    <x v="1"/>
    <n v="896"/>
    <m/>
    <m/>
    <n v="7"/>
  </r>
  <r>
    <x v="5270"/>
    <x v="1051"/>
    <x v="6"/>
    <n v="1"/>
    <n v="35.840000000000003"/>
    <x v="656"/>
    <x v="5"/>
    <x v="2"/>
    <n v="35.840000000000003"/>
    <m/>
    <m/>
    <n v="5"/>
  </r>
  <r>
    <x v="5271"/>
    <x v="1051"/>
    <x v="1"/>
    <n v="3"/>
    <n v="121.98"/>
    <x v="295"/>
    <x v="0"/>
    <x v="0"/>
    <n v="365.94"/>
    <m/>
    <m/>
    <n v="5"/>
  </r>
  <r>
    <x v="5272"/>
    <x v="1051"/>
    <x v="5"/>
    <n v="4"/>
    <n v="2400.6799999999998"/>
    <x v="15"/>
    <x v="9"/>
    <x v="0"/>
    <n v="9602.7199999999993"/>
    <m/>
    <m/>
    <n v="5"/>
  </r>
  <r>
    <x v="5273"/>
    <x v="1051"/>
    <x v="1"/>
    <n v="5"/>
    <n v="203.3"/>
    <x v="400"/>
    <x v="0"/>
    <x v="1"/>
    <n v="1016.5"/>
    <m/>
    <m/>
    <n v="7"/>
  </r>
  <r>
    <x v="5274"/>
    <x v="1051"/>
    <x v="0"/>
    <n v="1"/>
    <n v="300.08"/>
    <x v="776"/>
    <x v="0"/>
    <x v="1"/>
    <n v="300.08"/>
    <m/>
    <m/>
    <n v="10"/>
  </r>
  <r>
    <x v="5275"/>
    <x v="1051"/>
    <x v="0"/>
    <n v="2"/>
    <n v="600.16"/>
    <x v="776"/>
    <x v="6"/>
    <x v="4"/>
    <n v="1200.32"/>
    <m/>
    <m/>
    <n v="10"/>
  </r>
  <r>
    <x v="5276"/>
    <x v="1051"/>
    <x v="4"/>
    <n v="3"/>
    <n v="3150"/>
    <x v="781"/>
    <x v="6"/>
    <x v="1"/>
    <n v="9450"/>
    <m/>
    <m/>
    <n v="10"/>
  </r>
  <r>
    <x v="5277"/>
    <x v="1052"/>
    <x v="0"/>
    <n v="1"/>
    <n v="300.08"/>
    <x v="387"/>
    <x v="1"/>
    <x v="2"/>
    <n v="300.08"/>
    <m/>
    <m/>
    <n v="5"/>
  </r>
  <r>
    <x v="5278"/>
    <x v="1052"/>
    <x v="0"/>
    <n v="2"/>
    <n v="600.16"/>
    <x v="227"/>
    <x v="0"/>
    <x v="2"/>
    <n v="1200.32"/>
    <m/>
    <m/>
    <n v="7"/>
  </r>
  <r>
    <x v="5279"/>
    <x v="1052"/>
    <x v="4"/>
    <n v="5"/>
    <n v="5250"/>
    <x v="421"/>
    <x v="6"/>
    <x v="3"/>
    <n v="26250"/>
    <m/>
    <m/>
    <n v="7"/>
  </r>
  <r>
    <x v="5280"/>
    <x v="1053"/>
    <x v="6"/>
    <n v="1"/>
    <n v="35.840000000000003"/>
    <x v="179"/>
    <x v="1"/>
    <x v="0"/>
    <n v="35.840000000000003"/>
    <m/>
    <m/>
    <n v="5"/>
  </r>
  <r>
    <x v="5281"/>
    <x v="1053"/>
    <x v="4"/>
    <n v="5"/>
    <n v="5250"/>
    <x v="752"/>
    <x v="3"/>
    <x v="4"/>
    <n v="26250"/>
    <m/>
    <m/>
    <n v="5"/>
  </r>
  <r>
    <x v="5282"/>
    <x v="1053"/>
    <x v="2"/>
    <n v="1"/>
    <n v="5.23"/>
    <x v="388"/>
    <x v="6"/>
    <x v="2"/>
    <n v="5.23"/>
    <m/>
    <m/>
    <n v="7"/>
  </r>
  <r>
    <x v="5283"/>
    <x v="1053"/>
    <x v="0"/>
    <n v="5"/>
    <n v="1500.4"/>
    <x v="480"/>
    <x v="1"/>
    <x v="1"/>
    <n v="7502"/>
    <m/>
    <m/>
    <n v="7"/>
  </r>
  <r>
    <x v="5284"/>
    <x v="1053"/>
    <x v="5"/>
    <n v="5"/>
    <n v="3000.85"/>
    <x v="361"/>
    <x v="7"/>
    <x v="2"/>
    <n v="15004.25"/>
    <m/>
    <m/>
    <n v="7"/>
  </r>
  <r>
    <x v="5285"/>
    <x v="1053"/>
    <x v="5"/>
    <n v="3"/>
    <n v="1800.51"/>
    <x v="682"/>
    <x v="4"/>
    <x v="1"/>
    <n v="5401.53"/>
    <m/>
    <m/>
    <n v="10"/>
  </r>
  <r>
    <x v="5286"/>
    <x v="1054"/>
    <x v="1"/>
    <n v="5"/>
    <n v="203.3"/>
    <x v="464"/>
    <x v="0"/>
    <x v="1"/>
    <n v="1016.5"/>
    <m/>
    <m/>
    <n v="7"/>
  </r>
  <r>
    <x v="5287"/>
    <x v="1054"/>
    <x v="4"/>
    <n v="4"/>
    <n v="4200"/>
    <x v="361"/>
    <x v="6"/>
    <x v="2"/>
    <n v="16800"/>
    <m/>
    <m/>
    <n v="7"/>
  </r>
  <r>
    <x v="5288"/>
    <x v="1055"/>
    <x v="1"/>
    <n v="1"/>
    <n v="40.659999999999997"/>
    <x v="654"/>
    <x v="8"/>
    <x v="0"/>
    <n v="40.659999999999997"/>
    <m/>
    <m/>
    <n v="5"/>
  </r>
  <r>
    <x v="5289"/>
    <x v="1055"/>
    <x v="5"/>
    <n v="5"/>
    <n v="3000.85"/>
    <x v="239"/>
    <x v="0"/>
    <x v="2"/>
    <n v="15004.25"/>
    <m/>
    <m/>
    <n v="5"/>
  </r>
  <r>
    <x v="5290"/>
    <x v="1055"/>
    <x v="3"/>
    <n v="3"/>
    <n v="45.45"/>
    <x v="113"/>
    <x v="4"/>
    <x v="3"/>
    <n v="136.35000000000002"/>
    <m/>
    <m/>
    <n v="5"/>
  </r>
  <r>
    <x v="5291"/>
    <x v="1055"/>
    <x v="0"/>
    <n v="3"/>
    <n v="900.24"/>
    <x v="39"/>
    <x v="1"/>
    <x v="2"/>
    <n v="2700.7200000000003"/>
    <m/>
    <m/>
    <n v="5"/>
  </r>
  <r>
    <x v="5292"/>
    <x v="1055"/>
    <x v="0"/>
    <n v="1"/>
    <n v="300.08"/>
    <x v="657"/>
    <x v="6"/>
    <x v="0"/>
    <n v="300.08"/>
    <m/>
    <m/>
    <n v="5"/>
  </r>
  <r>
    <x v="5293"/>
    <x v="1056"/>
    <x v="5"/>
    <n v="5"/>
    <n v="3000.85"/>
    <x v="138"/>
    <x v="4"/>
    <x v="2"/>
    <n v="15004.25"/>
    <m/>
    <m/>
    <n v="5"/>
  </r>
  <r>
    <x v="5294"/>
    <x v="1056"/>
    <x v="4"/>
    <n v="2"/>
    <n v="2100"/>
    <x v="703"/>
    <x v="9"/>
    <x v="3"/>
    <n v="4200"/>
    <m/>
    <m/>
    <n v="7"/>
  </r>
  <r>
    <x v="5295"/>
    <x v="1056"/>
    <x v="1"/>
    <n v="4"/>
    <n v="162.63999999999999"/>
    <x v="539"/>
    <x v="5"/>
    <x v="3"/>
    <n v="650.55999999999995"/>
    <m/>
    <m/>
    <n v="7"/>
  </r>
  <r>
    <x v="5296"/>
    <x v="1057"/>
    <x v="1"/>
    <n v="3"/>
    <n v="121.98"/>
    <x v="128"/>
    <x v="6"/>
    <x v="2"/>
    <n v="365.94"/>
    <m/>
    <m/>
    <n v="5"/>
  </r>
  <r>
    <x v="5297"/>
    <x v="1057"/>
    <x v="0"/>
    <n v="2"/>
    <n v="600.16"/>
    <x v="132"/>
    <x v="9"/>
    <x v="3"/>
    <n v="1200.32"/>
    <m/>
    <m/>
    <n v="5"/>
  </r>
  <r>
    <x v="5298"/>
    <x v="1057"/>
    <x v="0"/>
    <n v="2"/>
    <n v="600.16"/>
    <x v="469"/>
    <x v="0"/>
    <x v="3"/>
    <n v="1200.32"/>
    <m/>
    <m/>
    <n v="5"/>
  </r>
  <r>
    <x v="5299"/>
    <x v="1057"/>
    <x v="0"/>
    <n v="5"/>
    <n v="1500.4"/>
    <x v="17"/>
    <x v="1"/>
    <x v="3"/>
    <n v="7502"/>
    <m/>
    <m/>
    <n v="5"/>
  </r>
  <r>
    <x v="5300"/>
    <x v="1057"/>
    <x v="6"/>
    <n v="3"/>
    <n v="107.52"/>
    <x v="135"/>
    <x v="0"/>
    <x v="1"/>
    <n v="322.56"/>
    <m/>
    <m/>
    <n v="7"/>
  </r>
  <r>
    <x v="5301"/>
    <x v="1057"/>
    <x v="0"/>
    <n v="4"/>
    <n v="1200.32"/>
    <x v="643"/>
    <x v="6"/>
    <x v="1"/>
    <n v="4801.28"/>
    <m/>
    <m/>
    <n v="7"/>
  </r>
  <r>
    <x v="5302"/>
    <x v="1058"/>
    <x v="0"/>
    <n v="5"/>
    <n v="1500.4"/>
    <x v="462"/>
    <x v="3"/>
    <x v="1"/>
    <n v="7502"/>
    <m/>
    <m/>
    <n v="5"/>
  </r>
  <r>
    <x v="5303"/>
    <x v="1058"/>
    <x v="3"/>
    <n v="5"/>
    <n v="75.75"/>
    <x v="717"/>
    <x v="1"/>
    <x v="1"/>
    <n v="378.75"/>
    <m/>
    <m/>
    <n v="5"/>
  </r>
  <r>
    <x v="5304"/>
    <x v="1058"/>
    <x v="6"/>
    <n v="2"/>
    <n v="71.680000000000007"/>
    <x v="761"/>
    <x v="4"/>
    <x v="3"/>
    <n v="143.36000000000001"/>
    <m/>
    <m/>
    <n v="7"/>
  </r>
  <r>
    <x v="5305"/>
    <x v="1058"/>
    <x v="1"/>
    <n v="3"/>
    <n v="121.98"/>
    <x v="342"/>
    <x v="1"/>
    <x v="3"/>
    <n v="365.94"/>
    <m/>
    <m/>
    <n v="7"/>
  </r>
  <r>
    <x v="5306"/>
    <x v="1058"/>
    <x v="1"/>
    <n v="2"/>
    <n v="81.319999999999993"/>
    <x v="448"/>
    <x v="6"/>
    <x v="3"/>
    <n v="162.63999999999999"/>
    <m/>
    <m/>
    <n v="7"/>
  </r>
  <r>
    <x v="5307"/>
    <x v="1059"/>
    <x v="3"/>
    <n v="4"/>
    <n v="60.6"/>
    <x v="101"/>
    <x v="0"/>
    <x v="3"/>
    <n v="242.4"/>
    <m/>
    <m/>
    <n v="5"/>
  </r>
  <r>
    <x v="5308"/>
    <x v="1059"/>
    <x v="2"/>
    <n v="1"/>
    <n v="5.23"/>
    <x v="329"/>
    <x v="2"/>
    <x v="3"/>
    <n v="5.23"/>
    <m/>
    <m/>
    <n v="7"/>
  </r>
  <r>
    <x v="5309"/>
    <x v="1059"/>
    <x v="0"/>
    <n v="2"/>
    <n v="600.16"/>
    <x v="530"/>
    <x v="1"/>
    <x v="1"/>
    <n v="1200.32"/>
    <m/>
    <m/>
    <n v="7"/>
  </r>
  <r>
    <x v="5310"/>
    <x v="1059"/>
    <x v="6"/>
    <n v="3"/>
    <n v="107.52"/>
    <x v="160"/>
    <x v="1"/>
    <x v="4"/>
    <n v="322.56"/>
    <m/>
    <m/>
    <n v="7"/>
  </r>
  <r>
    <x v="5311"/>
    <x v="1059"/>
    <x v="2"/>
    <n v="2"/>
    <n v="10.46"/>
    <x v="139"/>
    <x v="6"/>
    <x v="0"/>
    <n v="20.92"/>
    <m/>
    <m/>
    <n v="7"/>
  </r>
  <r>
    <x v="5312"/>
    <x v="1059"/>
    <x v="0"/>
    <n v="3"/>
    <n v="900.24"/>
    <x v="9"/>
    <x v="6"/>
    <x v="2"/>
    <n v="2700.7200000000003"/>
    <m/>
    <m/>
    <n v="7"/>
  </r>
  <r>
    <x v="5313"/>
    <x v="1060"/>
    <x v="3"/>
    <n v="5"/>
    <n v="75.75"/>
    <x v="678"/>
    <x v="1"/>
    <x v="1"/>
    <n v="378.75"/>
    <m/>
    <m/>
    <n v="5"/>
  </r>
  <r>
    <x v="5314"/>
    <x v="1060"/>
    <x v="2"/>
    <n v="5"/>
    <n v="26.15"/>
    <x v="174"/>
    <x v="4"/>
    <x v="2"/>
    <n v="130.75"/>
    <m/>
    <m/>
    <n v="5"/>
  </r>
  <r>
    <x v="5315"/>
    <x v="1060"/>
    <x v="2"/>
    <n v="1"/>
    <n v="5.23"/>
    <x v="626"/>
    <x v="0"/>
    <x v="1"/>
    <n v="5.23"/>
    <m/>
    <m/>
    <n v="10"/>
  </r>
  <r>
    <x v="5316"/>
    <x v="1060"/>
    <x v="0"/>
    <n v="3"/>
    <n v="900.24"/>
    <x v="156"/>
    <x v="1"/>
    <x v="4"/>
    <n v="2700.7200000000003"/>
    <m/>
    <m/>
    <n v="10"/>
  </r>
  <r>
    <x v="5317"/>
    <x v="1061"/>
    <x v="0"/>
    <n v="1"/>
    <n v="300.08"/>
    <x v="110"/>
    <x v="3"/>
    <x v="3"/>
    <n v="300.08"/>
    <m/>
    <m/>
    <n v="7"/>
  </r>
  <r>
    <x v="5318"/>
    <x v="1061"/>
    <x v="4"/>
    <n v="4"/>
    <n v="4200"/>
    <x v="540"/>
    <x v="0"/>
    <x v="1"/>
    <n v="16800"/>
    <m/>
    <m/>
    <n v="7"/>
  </r>
  <r>
    <x v="5319"/>
    <x v="1061"/>
    <x v="0"/>
    <n v="2"/>
    <n v="600.16"/>
    <x v="416"/>
    <x v="6"/>
    <x v="3"/>
    <n v="1200.32"/>
    <m/>
    <m/>
    <n v="10"/>
  </r>
  <r>
    <x v="5320"/>
    <x v="1062"/>
    <x v="7"/>
    <n v="3"/>
    <n v="35.19"/>
    <x v="535"/>
    <x v="2"/>
    <x v="2"/>
    <n v="105.57"/>
    <m/>
    <m/>
    <n v="5"/>
  </r>
  <r>
    <x v="5321"/>
    <x v="1062"/>
    <x v="5"/>
    <n v="5"/>
    <n v="3000.85"/>
    <x v="557"/>
    <x v="1"/>
    <x v="2"/>
    <n v="15004.25"/>
    <m/>
    <m/>
    <n v="7"/>
  </r>
  <r>
    <x v="5322"/>
    <x v="1062"/>
    <x v="1"/>
    <n v="2"/>
    <n v="81.319999999999993"/>
    <x v="746"/>
    <x v="9"/>
    <x v="1"/>
    <n v="162.63999999999999"/>
    <m/>
    <m/>
    <n v="10"/>
  </r>
  <r>
    <x v="5323"/>
    <x v="1062"/>
    <x v="6"/>
    <n v="3"/>
    <n v="107.52"/>
    <x v="211"/>
    <x v="0"/>
    <x v="3"/>
    <n v="322.56"/>
    <m/>
    <m/>
    <n v="10"/>
  </r>
  <r>
    <x v="5324"/>
    <x v="1063"/>
    <x v="2"/>
    <n v="1"/>
    <n v="5.23"/>
    <x v="261"/>
    <x v="5"/>
    <x v="3"/>
    <n v="5.23"/>
    <m/>
    <m/>
    <n v="5"/>
  </r>
  <r>
    <x v="5325"/>
    <x v="1063"/>
    <x v="3"/>
    <n v="1"/>
    <n v="15.15"/>
    <x v="763"/>
    <x v="4"/>
    <x v="1"/>
    <n v="15.15"/>
    <m/>
    <m/>
    <n v="5"/>
  </r>
  <r>
    <x v="5326"/>
    <x v="1063"/>
    <x v="0"/>
    <n v="3"/>
    <n v="900.24"/>
    <x v="697"/>
    <x v="6"/>
    <x v="4"/>
    <n v="2700.7200000000003"/>
    <m/>
    <m/>
    <n v="5"/>
  </r>
  <r>
    <x v="5327"/>
    <x v="1063"/>
    <x v="6"/>
    <n v="3"/>
    <n v="107.52"/>
    <x v="655"/>
    <x v="2"/>
    <x v="4"/>
    <n v="322.56"/>
    <m/>
    <m/>
    <n v="5"/>
  </r>
  <r>
    <x v="5328"/>
    <x v="1063"/>
    <x v="3"/>
    <n v="4"/>
    <n v="60.6"/>
    <x v="129"/>
    <x v="3"/>
    <x v="4"/>
    <n v="242.4"/>
    <m/>
    <m/>
    <n v="7"/>
  </r>
  <r>
    <x v="5329"/>
    <x v="1063"/>
    <x v="2"/>
    <n v="4"/>
    <n v="20.92"/>
    <x v="400"/>
    <x v="5"/>
    <x v="2"/>
    <n v="83.68"/>
    <m/>
    <m/>
    <n v="7"/>
  </r>
  <r>
    <x v="5330"/>
    <x v="1063"/>
    <x v="2"/>
    <n v="5"/>
    <n v="26.15"/>
    <x v="56"/>
    <x v="1"/>
    <x v="4"/>
    <n v="130.75"/>
    <m/>
    <m/>
    <n v="7"/>
  </r>
  <r>
    <x v="5331"/>
    <x v="1063"/>
    <x v="2"/>
    <n v="3"/>
    <n v="15.69"/>
    <x v="206"/>
    <x v="8"/>
    <x v="2"/>
    <n v="47.07"/>
    <m/>
    <m/>
    <n v="7"/>
  </r>
  <r>
    <x v="5332"/>
    <x v="1064"/>
    <x v="1"/>
    <n v="3"/>
    <n v="121.98"/>
    <x v="726"/>
    <x v="1"/>
    <x v="3"/>
    <n v="365.94"/>
    <m/>
    <m/>
    <n v="7"/>
  </r>
  <r>
    <x v="5333"/>
    <x v="1064"/>
    <x v="0"/>
    <n v="5"/>
    <n v="1500.4"/>
    <x v="431"/>
    <x v="9"/>
    <x v="3"/>
    <n v="7502"/>
    <m/>
    <m/>
    <n v="7"/>
  </r>
  <r>
    <x v="5334"/>
    <x v="1064"/>
    <x v="7"/>
    <n v="5"/>
    <n v="58.65"/>
    <x v="451"/>
    <x v="9"/>
    <x v="2"/>
    <n v="293.25"/>
    <m/>
    <m/>
    <n v="10"/>
  </r>
  <r>
    <x v="5335"/>
    <x v="1064"/>
    <x v="0"/>
    <n v="3"/>
    <n v="900.24"/>
    <x v="423"/>
    <x v="6"/>
    <x v="1"/>
    <n v="2700.7200000000003"/>
    <m/>
    <m/>
    <n v="10"/>
  </r>
  <r>
    <x v="5336"/>
    <x v="1065"/>
    <x v="0"/>
    <n v="5"/>
    <n v="1500.4"/>
    <x v="285"/>
    <x v="1"/>
    <x v="2"/>
    <n v="7502"/>
    <m/>
    <m/>
    <n v="5"/>
  </r>
  <r>
    <x v="5337"/>
    <x v="1065"/>
    <x v="7"/>
    <n v="3"/>
    <n v="35.19"/>
    <x v="587"/>
    <x v="6"/>
    <x v="4"/>
    <n v="105.57"/>
    <m/>
    <m/>
    <n v="5"/>
  </r>
  <r>
    <x v="5338"/>
    <x v="1065"/>
    <x v="0"/>
    <n v="4"/>
    <n v="1200.32"/>
    <x v="716"/>
    <x v="0"/>
    <x v="4"/>
    <n v="4801.28"/>
    <m/>
    <m/>
    <n v="7"/>
  </r>
  <r>
    <x v="5339"/>
    <x v="1065"/>
    <x v="1"/>
    <n v="3"/>
    <n v="121.98"/>
    <x v="252"/>
    <x v="9"/>
    <x v="2"/>
    <n v="365.94"/>
    <m/>
    <m/>
    <n v="7"/>
  </r>
  <r>
    <x v="5340"/>
    <x v="1065"/>
    <x v="5"/>
    <n v="1"/>
    <n v="600.16999999999996"/>
    <x v="772"/>
    <x v="2"/>
    <x v="0"/>
    <n v="600.16999999999996"/>
    <m/>
    <m/>
    <n v="7"/>
  </r>
  <r>
    <x v="5341"/>
    <x v="1065"/>
    <x v="1"/>
    <n v="3"/>
    <n v="121.98"/>
    <x v="741"/>
    <x v="2"/>
    <x v="0"/>
    <n v="365.94"/>
    <m/>
    <m/>
    <n v="10"/>
  </r>
  <r>
    <x v="5342"/>
    <x v="1065"/>
    <x v="3"/>
    <n v="2"/>
    <n v="30.3"/>
    <x v="385"/>
    <x v="9"/>
    <x v="4"/>
    <n v="60.6"/>
    <m/>
    <m/>
    <n v="10"/>
  </r>
  <r>
    <x v="5343"/>
    <x v="1066"/>
    <x v="5"/>
    <n v="4"/>
    <n v="2400.6799999999998"/>
    <x v="552"/>
    <x v="0"/>
    <x v="4"/>
    <n v="9602.7199999999993"/>
    <m/>
    <m/>
    <n v="5"/>
  </r>
  <r>
    <x v="5344"/>
    <x v="1066"/>
    <x v="1"/>
    <n v="4"/>
    <n v="162.63999999999999"/>
    <x v="286"/>
    <x v="0"/>
    <x v="3"/>
    <n v="650.55999999999995"/>
    <m/>
    <m/>
    <n v="5"/>
  </r>
  <r>
    <x v="5345"/>
    <x v="1066"/>
    <x v="5"/>
    <n v="5"/>
    <n v="3000.85"/>
    <x v="645"/>
    <x v="6"/>
    <x v="4"/>
    <n v="15004.25"/>
    <m/>
    <m/>
    <n v="10"/>
  </r>
  <r>
    <x v="5346"/>
    <x v="1067"/>
    <x v="1"/>
    <n v="3"/>
    <n v="121.98"/>
    <x v="369"/>
    <x v="8"/>
    <x v="1"/>
    <n v="365.94"/>
    <m/>
    <m/>
    <n v="5"/>
  </r>
  <r>
    <x v="5347"/>
    <x v="1067"/>
    <x v="4"/>
    <n v="3"/>
    <n v="3150"/>
    <x v="602"/>
    <x v="8"/>
    <x v="2"/>
    <n v="9450"/>
    <m/>
    <m/>
    <n v="7"/>
  </r>
  <r>
    <x v="5348"/>
    <x v="1067"/>
    <x v="2"/>
    <n v="5"/>
    <n v="26.15"/>
    <x v="189"/>
    <x v="4"/>
    <x v="1"/>
    <n v="130.75"/>
    <m/>
    <m/>
    <n v="7"/>
  </r>
  <r>
    <x v="5349"/>
    <x v="1067"/>
    <x v="1"/>
    <n v="3"/>
    <n v="121.98"/>
    <x v="753"/>
    <x v="3"/>
    <x v="2"/>
    <n v="365.94"/>
    <m/>
    <m/>
    <n v="7"/>
  </r>
  <r>
    <x v="5350"/>
    <x v="1067"/>
    <x v="2"/>
    <n v="5"/>
    <n v="26.15"/>
    <x v="309"/>
    <x v="1"/>
    <x v="1"/>
    <n v="130.75"/>
    <m/>
    <m/>
    <n v="7"/>
  </r>
  <r>
    <x v="5351"/>
    <x v="1068"/>
    <x v="5"/>
    <n v="3"/>
    <n v="1800.51"/>
    <x v="238"/>
    <x v="6"/>
    <x v="0"/>
    <n v="5401.53"/>
    <m/>
    <m/>
    <n v="5"/>
  </r>
  <r>
    <x v="5352"/>
    <x v="1068"/>
    <x v="5"/>
    <n v="3"/>
    <n v="1800.51"/>
    <x v="106"/>
    <x v="2"/>
    <x v="2"/>
    <n v="5401.53"/>
    <m/>
    <m/>
    <n v="5"/>
  </r>
  <r>
    <x v="5353"/>
    <x v="1068"/>
    <x v="6"/>
    <n v="3"/>
    <n v="107.52"/>
    <x v="109"/>
    <x v="6"/>
    <x v="2"/>
    <n v="322.56"/>
    <m/>
    <m/>
    <n v="7"/>
  </r>
  <r>
    <x v="5354"/>
    <x v="1069"/>
    <x v="1"/>
    <n v="1"/>
    <n v="40.659999999999997"/>
    <x v="304"/>
    <x v="5"/>
    <x v="1"/>
    <n v="40.659999999999997"/>
    <m/>
    <m/>
    <n v="5"/>
  </r>
  <r>
    <x v="5355"/>
    <x v="1069"/>
    <x v="4"/>
    <n v="3"/>
    <n v="3150"/>
    <x v="373"/>
    <x v="6"/>
    <x v="4"/>
    <n v="9450"/>
    <m/>
    <m/>
    <n v="5"/>
  </r>
  <r>
    <x v="5356"/>
    <x v="1069"/>
    <x v="6"/>
    <n v="2"/>
    <n v="71.680000000000007"/>
    <x v="431"/>
    <x v="0"/>
    <x v="3"/>
    <n v="143.36000000000001"/>
    <m/>
    <m/>
    <n v="7"/>
  </r>
  <r>
    <x v="5357"/>
    <x v="1070"/>
    <x v="6"/>
    <n v="1"/>
    <n v="35.840000000000003"/>
    <x v="269"/>
    <x v="6"/>
    <x v="4"/>
    <n v="35.840000000000003"/>
    <m/>
    <m/>
    <n v="5"/>
  </r>
  <r>
    <x v="5358"/>
    <x v="1070"/>
    <x v="1"/>
    <n v="1"/>
    <n v="40.659999999999997"/>
    <x v="79"/>
    <x v="9"/>
    <x v="2"/>
    <n v="40.659999999999997"/>
    <m/>
    <m/>
    <n v="5"/>
  </r>
  <r>
    <x v="5359"/>
    <x v="1070"/>
    <x v="1"/>
    <n v="5"/>
    <n v="203.3"/>
    <x v="366"/>
    <x v="7"/>
    <x v="3"/>
    <n v="1016.5"/>
    <m/>
    <m/>
    <n v="5"/>
  </r>
  <r>
    <x v="5360"/>
    <x v="1070"/>
    <x v="2"/>
    <n v="1"/>
    <n v="5.23"/>
    <x v="139"/>
    <x v="6"/>
    <x v="0"/>
    <n v="5.23"/>
    <m/>
    <m/>
    <n v="7"/>
  </r>
  <r>
    <x v="5361"/>
    <x v="1070"/>
    <x v="1"/>
    <n v="5"/>
    <n v="203.3"/>
    <x v="337"/>
    <x v="0"/>
    <x v="2"/>
    <n v="1016.5"/>
    <m/>
    <m/>
    <n v="7"/>
  </r>
  <r>
    <x v="5362"/>
    <x v="1070"/>
    <x v="2"/>
    <n v="2"/>
    <n v="10.46"/>
    <x v="421"/>
    <x v="4"/>
    <x v="0"/>
    <n v="20.92"/>
    <m/>
    <m/>
    <n v="7"/>
  </r>
  <r>
    <x v="5363"/>
    <x v="1070"/>
    <x v="0"/>
    <n v="5"/>
    <n v="1500.4"/>
    <x v="705"/>
    <x v="2"/>
    <x v="0"/>
    <n v="7502"/>
    <m/>
    <m/>
    <n v="7"/>
  </r>
  <r>
    <x v="5364"/>
    <x v="1071"/>
    <x v="0"/>
    <n v="2"/>
    <n v="600.16"/>
    <x v="782"/>
    <x v="0"/>
    <x v="2"/>
    <n v="1200.32"/>
    <m/>
    <m/>
    <n v="7"/>
  </r>
  <r>
    <x v="5365"/>
    <x v="1071"/>
    <x v="0"/>
    <n v="5"/>
    <n v="1500.4"/>
    <x v="528"/>
    <x v="1"/>
    <x v="3"/>
    <n v="7502"/>
    <m/>
    <m/>
    <n v="7"/>
  </r>
  <r>
    <x v="5366"/>
    <x v="1071"/>
    <x v="7"/>
    <n v="4"/>
    <n v="46.92"/>
    <x v="229"/>
    <x v="1"/>
    <x v="0"/>
    <n v="187.68"/>
    <m/>
    <m/>
    <n v="10"/>
  </r>
  <r>
    <x v="5367"/>
    <x v="1072"/>
    <x v="1"/>
    <n v="2"/>
    <n v="81.319999999999993"/>
    <x v="695"/>
    <x v="4"/>
    <x v="4"/>
    <n v="162.63999999999999"/>
    <m/>
    <m/>
    <n v="5"/>
  </r>
  <r>
    <x v="5368"/>
    <x v="1072"/>
    <x v="0"/>
    <n v="1"/>
    <n v="300.08"/>
    <x v="527"/>
    <x v="1"/>
    <x v="2"/>
    <n v="300.08"/>
    <m/>
    <m/>
    <n v="5"/>
  </r>
  <r>
    <x v="5369"/>
    <x v="1072"/>
    <x v="0"/>
    <n v="1"/>
    <n v="300.08"/>
    <x v="483"/>
    <x v="1"/>
    <x v="0"/>
    <n v="300.08"/>
    <m/>
    <m/>
    <n v="5"/>
  </r>
  <r>
    <x v="5370"/>
    <x v="1072"/>
    <x v="2"/>
    <n v="1"/>
    <n v="5.23"/>
    <x v="704"/>
    <x v="1"/>
    <x v="1"/>
    <n v="5.23"/>
    <m/>
    <m/>
    <n v="7"/>
  </r>
  <r>
    <x v="5371"/>
    <x v="1072"/>
    <x v="5"/>
    <n v="5"/>
    <n v="3000.85"/>
    <x v="273"/>
    <x v="8"/>
    <x v="4"/>
    <n v="15004.25"/>
    <m/>
    <m/>
    <n v="7"/>
  </r>
  <r>
    <x v="5372"/>
    <x v="1072"/>
    <x v="5"/>
    <n v="2"/>
    <n v="1200.3399999999999"/>
    <x v="428"/>
    <x v="0"/>
    <x v="3"/>
    <n v="2400.6799999999998"/>
    <m/>
    <m/>
    <n v="7"/>
  </r>
  <r>
    <x v="5373"/>
    <x v="1073"/>
    <x v="4"/>
    <n v="3"/>
    <n v="3150"/>
    <x v="185"/>
    <x v="1"/>
    <x v="0"/>
    <n v="9450"/>
    <m/>
    <m/>
    <n v="5"/>
  </r>
  <r>
    <x v="5374"/>
    <x v="1073"/>
    <x v="4"/>
    <n v="3"/>
    <n v="3150"/>
    <x v="298"/>
    <x v="3"/>
    <x v="3"/>
    <n v="9450"/>
    <m/>
    <m/>
    <n v="5"/>
  </r>
  <r>
    <x v="5375"/>
    <x v="1073"/>
    <x v="6"/>
    <n v="3"/>
    <n v="107.52"/>
    <x v="443"/>
    <x v="1"/>
    <x v="4"/>
    <n v="322.56"/>
    <m/>
    <m/>
    <n v="7"/>
  </r>
  <r>
    <x v="5376"/>
    <x v="1073"/>
    <x v="5"/>
    <n v="5"/>
    <n v="3000.85"/>
    <x v="124"/>
    <x v="1"/>
    <x v="3"/>
    <n v="15004.25"/>
    <m/>
    <m/>
    <n v="7"/>
  </r>
  <r>
    <x v="5377"/>
    <x v="1074"/>
    <x v="6"/>
    <n v="4"/>
    <n v="143.36000000000001"/>
    <x v="483"/>
    <x v="6"/>
    <x v="0"/>
    <n v="573.44000000000005"/>
    <m/>
    <m/>
    <n v="5"/>
  </r>
  <r>
    <x v="5378"/>
    <x v="1074"/>
    <x v="3"/>
    <n v="5"/>
    <n v="75.75"/>
    <x v="111"/>
    <x v="9"/>
    <x v="0"/>
    <n v="378.75"/>
    <m/>
    <m/>
    <n v="7"/>
  </r>
  <r>
    <x v="5379"/>
    <x v="1074"/>
    <x v="2"/>
    <n v="4"/>
    <n v="20.92"/>
    <x v="350"/>
    <x v="6"/>
    <x v="4"/>
    <n v="83.68"/>
    <m/>
    <m/>
    <n v="7"/>
  </r>
  <r>
    <x v="5380"/>
    <x v="1074"/>
    <x v="1"/>
    <n v="3"/>
    <n v="121.98"/>
    <x v="4"/>
    <x v="9"/>
    <x v="3"/>
    <n v="365.94"/>
    <m/>
    <m/>
    <n v="7"/>
  </r>
  <r>
    <x v="5381"/>
    <x v="1075"/>
    <x v="1"/>
    <n v="5"/>
    <n v="203.3"/>
    <x v="184"/>
    <x v="5"/>
    <x v="1"/>
    <n v="1016.5"/>
    <m/>
    <m/>
    <n v="5"/>
  </r>
  <r>
    <x v="5382"/>
    <x v="1075"/>
    <x v="2"/>
    <n v="4"/>
    <n v="20.92"/>
    <x v="272"/>
    <x v="7"/>
    <x v="1"/>
    <n v="83.68"/>
    <m/>
    <m/>
    <n v="7"/>
  </r>
  <r>
    <x v="5383"/>
    <x v="1075"/>
    <x v="7"/>
    <n v="2"/>
    <n v="23.46"/>
    <x v="127"/>
    <x v="0"/>
    <x v="1"/>
    <n v="46.92"/>
    <m/>
    <m/>
    <n v="7"/>
  </r>
  <r>
    <x v="5384"/>
    <x v="1075"/>
    <x v="0"/>
    <n v="1"/>
    <n v="300.08"/>
    <x v="476"/>
    <x v="6"/>
    <x v="0"/>
    <n v="300.08"/>
    <m/>
    <m/>
    <n v="7"/>
  </r>
  <r>
    <x v="5385"/>
    <x v="1075"/>
    <x v="2"/>
    <n v="1"/>
    <n v="5.23"/>
    <x v="243"/>
    <x v="0"/>
    <x v="1"/>
    <n v="5.23"/>
    <m/>
    <m/>
    <n v="7"/>
  </r>
  <r>
    <x v="5386"/>
    <x v="1075"/>
    <x v="2"/>
    <n v="5"/>
    <n v="26.15"/>
    <x v="190"/>
    <x v="1"/>
    <x v="1"/>
    <n v="130.75"/>
    <m/>
    <m/>
    <n v="7"/>
  </r>
  <r>
    <x v="5387"/>
    <x v="1076"/>
    <x v="2"/>
    <n v="4"/>
    <n v="20.92"/>
    <x v="614"/>
    <x v="2"/>
    <x v="0"/>
    <n v="83.68"/>
    <m/>
    <m/>
    <n v="5"/>
  </r>
  <r>
    <x v="5388"/>
    <x v="1076"/>
    <x v="0"/>
    <n v="5"/>
    <n v="1500.4"/>
    <x v="198"/>
    <x v="2"/>
    <x v="1"/>
    <n v="7502"/>
    <m/>
    <m/>
    <n v="5"/>
  </r>
  <r>
    <x v="5389"/>
    <x v="1076"/>
    <x v="4"/>
    <n v="2"/>
    <n v="2100"/>
    <x v="163"/>
    <x v="4"/>
    <x v="1"/>
    <n v="4200"/>
    <m/>
    <m/>
    <n v="5"/>
  </r>
  <r>
    <x v="5390"/>
    <x v="1076"/>
    <x v="3"/>
    <n v="1"/>
    <n v="15.15"/>
    <x v="661"/>
    <x v="7"/>
    <x v="0"/>
    <n v="15.15"/>
    <m/>
    <m/>
    <n v="5"/>
  </r>
  <r>
    <x v="5391"/>
    <x v="1076"/>
    <x v="2"/>
    <n v="3"/>
    <n v="15.69"/>
    <x v="469"/>
    <x v="9"/>
    <x v="4"/>
    <n v="47.07"/>
    <m/>
    <m/>
    <n v="5"/>
  </r>
  <r>
    <x v="5392"/>
    <x v="1076"/>
    <x v="5"/>
    <n v="5"/>
    <n v="3000.85"/>
    <x v="754"/>
    <x v="0"/>
    <x v="3"/>
    <n v="15004.25"/>
    <m/>
    <m/>
    <n v="7"/>
  </r>
  <r>
    <x v="5393"/>
    <x v="1076"/>
    <x v="2"/>
    <n v="2"/>
    <n v="10.46"/>
    <x v="250"/>
    <x v="9"/>
    <x v="4"/>
    <n v="20.92"/>
    <m/>
    <m/>
    <n v="7"/>
  </r>
  <r>
    <x v="5394"/>
    <x v="1076"/>
    <x v="0"/>
    <n v="1"/>
    <n v="300.08"/>
    <x v="658"/>
    <x v="9"/>
    <x v="2"/>
    <n v="300.08"/>
    <m/>
    <m/>
    <n v="10"/>
  </r>
  <r>
    <x v="5395"/>
    <x v="1077"/>
    <x v="6"/>
    <n v="2"/>
    <n v="71.680000000000007"/>
    <x v="51"/>
    <x v="6"/>
    <x v="4"/>
    <n v="143.36000000000001"/>
    <m/>
    <m/>
    <n v="7"/>
  </r>
  <r>
    <x v="5396"/>
    <x v="1077"/>
    <x v="6"/>
    <n v="1"/>
    <n v="35.840000000000003"/>
    <x v="228"/>
    <x v="6"/>
    <x v="1"/>
    <n v="35.840000000000003"/>
    <m/>
    <m/>
    <n v="7"/>
  </r>
  <r>
    <x v="5397"/>
    <x v="1077"/>
    <x v="7"/>
    <n v="5"/>
    <n v="58.65"/>
    <x v="114"/>
    <x v="0"/>
    <x v="0"/>
    <n v="293.25"/>
    <m/>
    <m/>
    <n v="7"/>
  </r>
  <r>
    <x v="5398"/>
    <x v="1077"/>
    <x v="0"/>
    <n v="4"/>
    <n v="1200.32"/>
    <x v="637"/>
    <x v="1"/>
    <x v="2"/>
    <n v="4801.28"/>
    <m/>
    <m/>
    <n v="7"/>
  </r>
  <r>
    <x v="5399"/>
    <x v="1077"/>
    <x v="2"/>
    <n v="5"/>
    <n v="26.15"/>
    <x v="148"/>
    <x v="0"/>
    <x v="3"/>
    <n v="130.75"/>
    <m/>
    <m/>
    <n v="7"/>
  </r>
  <r>
    <x v="5400"/>
    <x v="1078"/>
    <x v="2"/>
    <n v="5"/>
    <n v="26.15"/>
    <x v="533"/>
    <x v="9"/>
    <x v="1"/>
    <n v="130.75"/>
    <m/>
    <m/>
    <n v="5"/>
  </r>
  <r>
    <x v="5401"/>
    <x v="1078"/>
    <x v="3"/>
    <n v="5"/>
    <n v="75.75"/>
    <x v="133"/>
    <x v="8"/>
    <x v="1"/>
    <n v="378.75"/>
    <m/>
    <m/>
    <n v="5"/>
  </r>
  <r>
    <x v="5402"/>
    <x v="1078"/>
    <x v="4"/>
    <n v="1"/>
    <n v="1050"/>
    <x v="679"/>
    <x v="6"/>
    <x v="0"/>
    <n v="1050"/>
    <m/>
    <m/>
    <n v="7"/>
  </r>
  <r>
    <x v="5403"/>
    <x v="1078"/>
    <x v="6"/>
    <n v="2"/>
    <n v="71.680000000000007"/>
    <x v="222"/>
    <x v="7"/>
    <x v="3"/>
    <n v="143.36000000000001"/>
    <m/>
    <m/>
    <n v="7"/>
  </r>
  <r>
    <x v="5404"/>
    <x v="1078"/>
    <x v="4"/>
    <n v="5"/>
    <n v="5250"/>
    <x v="791"/>
    <x v="1"/>
    <x v="1"/>
    <n v="26250"/>
    <m/>
    <m/>
    <n v="7"/>
  </r>
  <r>
    <x v="5405"/>
    <x v="1078"/>
    <x v="2"/>
    <n v="4"/>
    <n v="20.92"/>
    <x v="605"/>
    <x v="6"/>
    <x v="3"/>
    <n v="83.68"/>
    <m/>
    <m/>
    <n v="7"/>
  </r>
  <r>
    <x v="5406"/>
    <x v="1078"/>
    <x v="4"/>
    <n v="3"/>
    <n v="3150"/>
    <x v="727"/>
    <x v="9"/>
    <x v="1"/>
    <n v="9450"/>
    <m/>
    <m/>
    <n v="10"/>
  </r>
  <r>
    <x v="5407"/>
    <x v="1079"/>
    <x v="4"/>
    <n v="5"/>
    <n v="5250"/>
    <x v="133"/>
    <x v="0"/>
    <x v="4"/>
    <n v="26250"/>
    <m/>
    <m/>
    <n v="5"/>
  </r>
  <r>
    <x v="5408"/>
    <x v="1079"/>
    <x v="0"/>
    <n v="5"/>
    <n v="1500.4"/>
    <x v="794"/>
    <x v="6"/>
    <x v="3"/>
    <n v="7502"/>
    <m/>
    <m/>
    <n v="5"/>
  </r>
  <r>
    <x v="5409"/>
    <x v="1079"/>
    <x v="5"/>
    <n v="3"/>
    <n v="1800.51"/>
    <x v="282"/>
    <x v="4"/>
    <x v="4"/>
    <n v="5401.53"/>
    <m/>
    <m/>
    <n v="7"/>
  </r>
  <r>
    <x v="5410"/>
    <x v="1079"/>
    <x v="0"/>
    <n v="2"/>
    <n v="600.16"/>
    <x v="235"/>
    <x v="5"/>
    <x v="3"/>
    <n v="1200.32"/>
    <m/>
    <m/>
    <n v="7"/>
  </r>
  <r>
    <x v="5411"/>
    <x v="1079"/>
    <x v="6"/>
    <n v="5"/>
    <n v="179.2"/>
    <x v="7"/>
    <x v="1"/>
    <x v="1"/>
    <n v="896"/>
    <m/>
    <m/>
    <n v="7"/>
  </r>
  <r>
    <x v="5412"/>
    <x v="1079"/>
    <x v="5"/>
    <n v="5"/>
    <n v="3000.85"/>
    <x v="564"/>
    <x v="6"/>
    <x v="0"/>
    <n v="15004.25"/>
    <m/>
    <m/>
    <n v="7"/>
  </r>
  <r>
    <x v="5413"/>
    <x v="1079"/>
    <x v="2"/>
    <n v="4"/>
    <n v="20.92"/>
    <x v="565"/>
    <x v="0"/>
    <x v="0"/>
    <n v="83.68"/>
    <m/>
    <m/>
    <n v="7"/>
  </r>
  <r>
    <x v="5414"/>
    <x v="1080"/>
    <x v="6"/>
    <n v="4"/>
    <n v="143.36000000000001"/>
    <x v="85"/>
    <x v="6"/>
    <x v="0"/>
    <n v="573.44000000000005"/>
    <m/>
    <m/>
    <n v="5"/>
  </r>
  <r>
    <x v="5415"/>
    <x v="1080"/>
    <x v="1"/>
    <n v="5"/>
    <n v="203.3"/>
    <x v="453"/>
    <x v="9"/>
    <x v="2"/>
    <n v="1016.5"/>
    <m/>
    <m/>
    <n v="5"/>
  </r>
  <r>
    <x v="5416"/>
    <x v="1080"/>
    <x v="3"/>
    <n v="5"/>
    <n v="75.75"/>
    <x v="723"/>
    <x v="0"/>
    <x v="3"/>
    <n v="378.75"/>
    <m/>
    <m/>
    <n v="5"/>
  </r>
  <r>
    <x v="5417"/>
    <x v="1080"/>
    <x v="5"/>
    <n v="4"/>
    <n v="2400.6799999999998"/>
    <x v="630"/>
    <x v="9"/>
    <x v="2"/>
    <n v="9602.7199999999993"/>
    <m/>
    <m/>
    <n v="7"/>
  </r>
  <r>
    <x v="5418"/>
    <x v="1080"/>
    <x v="1"/>
    <n v="4"/>
    <n v="162.63999999999999"/>
    <x v="311"/>
    <x v="0"/>
    <x v="4"/>
    <n v="650.55999999999995"/>
    <m/>
    <m/>
    <n v="10"/>
  </r>
  <r>
    <x v="5419"/>
    <x v="1081"/>
    <x v="7"/>
    <n v="2"/>
    <n v="23.46"/>
    <x v="115"/>
    <x v="4"/>
    <x v="1"/>
    <n v="46.92"/>
    <m/>
    <m/>
    <n v="5"/>
  </r>
  <r>
    <x v="5420"/>
    <x v="1081"/>
    <x v="7"/>
    <n v="4"/>
    <n v="46.92"/>
    <x v="436"/>
    <x v="4"/>
    <x v="1"/>
    <n v="187.68"/>
    <m/>
    <m/>
    <n v="10"/>
  </r>
  <r>
    <x v="5421"/>
    <x v="1082"/>
    <x v="1"/>
    <n v="3"/>
    <n v="121.98"/>
    <x v="304"/>
    <x v="6"/>
    <x v="0"/>
    <n v="365.94"/>
    <m/>
    <m/>
    <n v="5"/>
  </r>
  <r>
    <x v="5422"/>
    <x v="1082"/>
    <x v="0"/>
    <n v="5"/>
    <n v="1500.4"/>
    <x v="432"/>
    <x v="0"/>
    <x v="4"/>
    <n v="7502"/>
    <m/>
    <m/>
    <n v="5"/>
  </r>
  <r>
    <x v="5423"/>
    <x v="1082"/>
    <x v="5"/>
    <n v="4"/>
    <n v="2400.6799999999998"/>
    <x v="728"/>
    <x v="5"/>
    <x v="2"/>
    <n v="9602.7199999999993"/>
    <m/>
    <m/>
    <n v="5"/>
  </r>
  <r>
    <x v="5424"/>
    <x v="1082"/>
    <x v="0"/>
    <n v="4"/>
    <n v="1200.32"/>
    <x v="484"/>
    <x v="5"/>
    <x v="1"/>
    <n v="4801.28"/>
    <m/>
    <m/>
    <n v="5"/>
  </r>
  <r>
    <x v="5425"/>
    <x v="1082"/>
    <x v="0"/>
    <n v="4"/>
    <n v="1200.32"/>
    <x v="495"/>
    <x v="7"/>
    <x v="3"/>
    <n v="4801.28"/>
    <m/>
    <m/>
    <n v="5"/>
  </r>
  <r>
    <x v="5426"/>
    <x v="1082"/>
    <x v="4"/>
    <n v="4"/>
    <n v="4200"/>
    <x v="348"/>
    <x v="6"/>
    <x v="0"/>
    <n v="16800"/>
    <m/>
    <m/>
    <n v="7"/>
  </r>
  <r>
    <x v="5427"/>
    <x v="1083"/>
    <x v="0"/>
    <n v="2"/>
    <n v="600.16"/>
    <x v="490"/>
    <x v="1"/>
    <x v="2"/>
    <n v="1200.32"/>
    <m/>
    <m/>
    <n v="5"/>
  </r>
  <r>
    <x v="5428"/>
    <x v="1083"/>
    <x v="4"/>
    <n v="5"/>
    <n v="5250"/>
    <x v="167"/>
    <x v="1"/>
    <x v="1"/>
    <n v="26250"/>
    <m/>
    <m/>
    <n v="5"/>
  </r>
  <r>
    <x v="5429"/>
    <x v="1083"/>
    <x v="3"/>
    <n v="2"/>
    <n v="30.3"/>
    <x v="509"/>
    <x v="0"/>
    <x v="0"/>
    <n v="60.6"/>
    <m/>
    <m/>
    <n v="7"/>
  </r>
  <r>
    <x v="5430"/>
    <x v="1083"/>
    <x v="0"/>
    <n v="2"/>
    <n v="600.16"/>
    <x v="596"/>
    <x v="4"/>
    <x v="3"/>
    <n v="1200.32"/>
    <m/>
    <m/>
    <n v="7"/>
  </r>
  <r>
    <x v="5431"/>
    <x v="1083"/>
    <x v="0"/>
    <n v="5"/>
    <n v="1500.4"/>
    <x v="470"/>
    <x v="5"/>
    <x v="0"/>
    <n v="7502"/>
    <m/>
    <m/>
    <n v="7"/>
  </r>
  <r>
    <x v="5432"/>
    <x v="1084"/>
    <x v="0"/>
    <n v="5"/>
    <n v="1500.4"/>
    <x v="533"/>
    <x v="4"/>
    <x v="4"/>
    <n v="7502"/>
    <m/>
    <m/>
    <n v="5"/>
  </r>
  <r>
    <x v="5433"/>
    <x v="1084"/>
    <x v="2"/>
    <n v="4"/>
    <n v="20.92"/>
    <x v="538"/>
    <x v="9"/>
    <x v="2"/>
    <n v="83.68"/>
    <m/>
    <m/>
    <n v="5"/>
  </r>
  <r>
    <x v="5434"/>
    <x v="1084"/>
    <x v="0"/>
    <n v="2"/>
    <n v="600.16"/>
    <x v="81"/>
    <x v="0"/>
    <x v="1"/>
    <n v="1200.32"/>
    <m/>
    <m/>
    <n v="5"/>
  </r>
  <r>
    <x v="5435"/>
    <x v="1084"/>
    <x v="0"/>
    <n v="2"/>
    <n v="600.16"/>
    <x v="354"/>
    <x v="0"/>
    <x v="4"/>
    <n v="1200.32"/>
    <m/>
    <m/>
    <n v="5"/>
  </r>
  <r>
    <x v="5436"/>
    <x v="1084"/>
    <x v="6"/>
    <n v="3"/>
    <n v="107.52"/>
    <x v="416"/>
    <x v="8"/>
    <x v="1"/>
    <n v="322.56"/>
    <m/>
    <m/>
    <n v="10"/>
  </r>
  <r>
    <x v="5437"/>
    <x v="1085"/>
    <x v="0"/>
    <n v="3"/>
    <n v="900.24"/>
    <x v="97"/>
    <x v="2"/>
    <x v="2"/>
    <n v="2700.7200000000003"/>
    <m/>
    <m/>
    <n v="5"/>
  </r>
  <r>
    <x v="5438"/>
    <x v="1085"/>
    <x v="1"/>
    <n v="5"/>
    <n v="203.3"/>
    <x v="429"/>
    <x v="5"/>
    <x v="3"/>
    <n v="1016.5"/>
    <m/>
    <m/>
    <n v="5"/>
  </r>
  <r>
    <x v="5439"/>
    <x v="1085"/>
    <x v="6"/>
    <n v="1"/>
    <n v="35.840000000000003"/>
    <x v="711"/>
    <x v="0"/>
    <x v="2"/>
    <n v="35.840000000000003"/>
    <m/>
    <m/>
    <n v="7"/>
  </r>
  <r>
    <x v="5440"/>
    <x v="1086"/>
    <x v="7"/>
    <n v="5"/>
    <n v="58.65"/>
    <x v="465"/>
    <x v="9"/>
    <x v="3"/>
    <n v="293.25"/>
    <m/>
    <m/>
    <n v="5"/>
  </r>
  <r>
    <x v="5441"/>
    <x v="1086"/>
    <x v="0"/>
    <n v="3"/>
    <n v="900.24"/>
    <x v="508"/>
    <x v="0"/>
    <x v="3"/>
    <n v="2700.7200000000003"/>
    <m/>
    <m/>
    <n v="7"/>
  </r>
  <r>
    <x v="5442"/>
    <x v="1086"/>
    <x v="1"/>
    <n v="3"/>
    <n v="121.98"/>
    <x v="634"/>
    <x v="6"/>
    <x v="0"/>
    <n v="365.94"/>
    <m/>
    <m/>
    <n v="7"/>
  </r>
  <r>
    <x v="5443"/>
    <x v="1086"/>
    <x v="4"/>
    <n v="5"/>
    <n v="5250"/>
    <x v="732"/>
    <x v="6"/>
    <x v="1"/>
    <n v="26250"/>
    <m/>
    <m/>
    <n v="7"/>
  </r>
  <r>
    <x v="5444"/>
    <x v="1087"/>
    <x v="0"/>
    <n v="5"/>
    <n v="1500.4"/>
    <x v="568"/>
    <x v="1"/>
    <x v="2"/>
    <n v="7502"/>
    <m/>
    <m/>
    <n v="5"/>
  </r>
  <r>
    <x v="5445"/>
    <x v="1087"/>
    <x v="5"/>
    <n v="3"/>
    <n v="1800.51"/>
    <x v="85"/>
    <x v="0"/>
    <x v="2"/>
    <n v="5401.53"/>
    <m/>
    <m/>
    <n v="5"/>
  </r>
  <r>
    <x v="5446"/>
    <x v="1087"/>
    <x v="5"/>
    <n v="1"/>
    <n v="600.16999999999996"/>
    <x v="689"/>
    <x v="4"/>
    <x v="1"/>
    <n v="600.16999999999996"/>
    <m/>
    <m/>
    <n v="7"/>
  </r>
  <r>
    <x v="5447"/>
    <x v="1087"/>
    <x v="7"/>
    <n v="5"/>
    <n v="58.65"/>
    <x v="470"/>
    <x v="7"/>
    <x v="0"/>
    <n v="293.25"/>
    <m/>
    <m/>
    <n v="7"/>
  </r>
  <r>
    <x v="5448"/>
    <x v="1087"/>
    <x v="0"/>
    <n v="5"/>
    <n v="1500.4"/>
    <x v="671"/>
    <x v="7"/>
    <x v="2"/>
    <n v="7502"/>
    <m/>
    <m/>
    <n v="7"/>
  </r>
  <r>
    <x v="5449"/>
    <x v="1088"/>
    <x v="6"/>
    <n v="1"/>
    <n v="35.840000000000003"/>
    <x v="351"/>
    <x v="2"/>
    <x v="3"/>
    <n v="35.840000000000003"/>
    <m/>
    <m/>
    <n v="5"/>
  </r>
  <r>
    <x v="5450"/>
    <x v="1088"/>
    <x v="6"/>
    <n v="1"/>
    <n v="35.840000000000003"/>
    <x v="479"/>
    <x v="6"/>
    <x v="0"/>
    <n v="35.840000000000003"/>
    <m/>
    <m/>
    <n v="5"/>
  </r>
  <r>
    <x v="5451"/>
    <x v="1088"/>
    <x v="1"/>
    <n v="4"/>
    <n v="162.63999999999999"/>
    <x v="44"/>
    <x v="1"/>
    <x v="4"/>
    <n v="650.55999999999995"/>
    <m/>
    <m/>
    <n v="7"/>
  </r>
  <r>
    <x v="5452"/>
    <x v="1088"/>
    <x v="5"/>
    <n v="2"/>
    <n v="1200.3399999999999"/>
    <x v="365"/>
    <x v="1"/>
    <x v="2"/>
    <n v="2400.6799999999998"/>
    <m/>
    <m/>
    <n v="7"/>
  </r>
  <r>
    <x v="5453"/>
    <x v="1088"/>
    <x v="2"/>
    <n v="2"/>
    <n v="10.46"/>
    <x v="356"/>
    <x v="0"/>
    <x v="4"/>
    <n v="20.92"/>
    <m/>
    <m/>
    <n v="7"/>
  </r>
  <r>
    <x v="5454"/>
    <x v="1088"/>
    <x v="5"/>
    <n v="5"/>
    <n v="3000.85"/>
    <x v="41"/>
    <x v="6"/>
    <x v="0"/>
    <n v="15004.25"/>
    <m/>
    <m/>
    <n v="7"/>
  </r>
  <r>
    <x v="5455"/>
    <x v="1088"/>
    <x v="1"/>
    <n v="3"/>
    <n v="121.98"/>
    <x v="712"/>
    <x v="9"/>
    <x v="4"/>
    <n v="365.94"/>
    <m/>
    <m/>
    <n v="7"/>
  </r>
  <r>
    <x v="5456"/>
    <x v="1088"/>
    <x v="2"/>
    <n v="2"/>
    <n v="10.46"/>
    <x v="645"/>
    <x v="6"/>
    <x v="3"/>
    <n v="20.92"/>
    <m/>
    <m/>
    <n v="10"/>
  </r>
  <r>
    <x v="5457"/>
    <x v="1089"/>
    <x v="6"/>
    <n v="4"/>
    <n v="143.36000000000001"/>
    <x v="434"/>
    <x v="7"/>
    <x v="0"/>
    <n v="573.44000000000005"/>
    <m/>
    <m/>
    <n v="5"/>
  </r>
  <r>
    <x v="5458"/>
    <x v="1089"/>
    <x v="6"/>
    <n v="5"/>
    <n v="179.2"/>
    <x v="743"/>
    <x v="4"/>
    <x v="0"/>
    <n v="896"/>
    <m/>
    <m/>
    <n v="5"/>
  </r>
  <r>
    <x v="5459"/>
    <x v="1089"/>
    <x v="6"/>
    <n v="2"/>
    <n v="71.680000000000007"/>
    <x v="443"/>
    <x v="6"/>
    <x v="2"/>
    <n v="143.36000000000001"/>
    <m/>
    <m/>
    <n v="7"/>
  </r>
  <r>
    <x v="5460"/>
    <x v="1090"/>
    <x v="6"/>
    <n v="2"/>
    <n v="71.680000000000007"/>
    <x v="62"/>
    <x v="9"/>
    <x v="2"/>
    <n v="143.36000000000001"/>
    <m/>
    <m/>
    <n v="5"/>
  </r>
  <r>
    <x v="5461"/>
    <x v="1090"/>
    <x v="7"/>
    <n v="2"/>
    <n v="23.46"/>
    <x v="131"/>
    <x v="8"/>
    <x v="1"/>
    <n v="46.92"/>
    <m/>
    <m/>
    <n v="5"/>
  </r>
  <r>
    <x v="5462"/>
    <x v="1090"/>
    <x v="0"/>
    <n v="3"/>
    <n v="900.24"/>
    <x v="117"/>
    <x v="1"/>
    <x v="1"/>
    <n v="2700.7200000000003"/>
    <m/>
    <m/>
    <n v="5"/>
  </r>
  <r>
    <x v="5463"/>
    <x v="1090"/>
    <x v="6"/>
    <n v="4"/>
    <n v="143.36000000000001"/>
    <x v="288"/>
    <x v="0"/>
    <x v="0"/>
    <n v="573.44000000000005"/>
    <m/>
    <m/>
    <n v="7"/>
  </r>
  <r>
    <x v="5464"/>
    <x v="1090"/>
    <x v="0"/>
    <n v="2"/>
    <n v="600.16"/>
    <x v="412"/>
    <x v="6"/>
    <x v="1"/>
    <n v="1200.32"/>
    <m/>
    <m/>
    <n v="7"/>
  </r>
  <r>
    <x v="5465"/>
    <x v="1091"/>
    <x v="0"/>
    <n v="2"/>
    <n v="600.16"/>
    <x v="173"/>
    <x v="3"/>
    <x v="1"/>
    <n v="1200.32"/>
    <m/>
    <m/>
    <n v="5"/>
  </r>
  <r>
    <x v="5466"/>
    <x v="1091"/>
    <x v="1"/>
    <n v="3"/>
    <n v="121.98"/>
    <x v="598"/>
    <x v="0"/>
    <x v="1"/>
    <n v="365.94"/>
    <m/>
    <m/>
    <n v="5"/>
  </r>
  <r>
    <x v="5467"/>
    <x v="1091"/>
    <x v="1"/>
    <n v="1"/>
    <n v="40.659999999999997"/>
    <x v="432"/>
    <x v="1"/>
    <x v="1"/>
    <n v="40.659999999999997"/>
    <m/>
    <m/>
    <n v="5"/>
  </r>
  <r>
    <x v="5468"/>
    <x v="1091"/>
    <x v="3"/>
    <n v="1"/>
    <n v="15.15"/>
    <x v="375"/>
    <x v="4"/>
    <x v="4"/>
    <n v="15.15"/>
    <m/>
    <m/>
    <n v="5"/>
  </r>
  <r>
    <x v="5469"/>
    <x v="1091"/>
    <x v="0"/>
    <n v="1"/>
    <n v="300.08"/>
    <x v="35"/>
    <x v="2"/>
    <x v="3"/>
    <n v="300.08"/>
    <m/>
    <m/>
    <n v="7"/>
  </r>
  <r>
    <x v="5470"/>
    <x v="1091"/>
    <x v="0"/>
    <n v="1"/>
    <n v="300.08"/>
    <x v="430"/>
    <x v="7"/>
    <x v="1"/>
    <n v="300.08"/>
    <m/>
    <m/>
    <n v="7"/>
  </r>
  <r>
    <x v="5471"/>
    <x v="1091"/>
    <x v="6"/>
    <n v="5"/>
    <n v="179.2"/>
    <x v="686"/>
    <x v="0"/>
    <x v="4"/>
    <n v="896"/>
    <m/>
    <m/>
    <n v="7"/>
  </r>
  <r>
    <x v="5472"/>
    <x v="1091"/>
    <x v="2"/>
    <n v="5"/>
    <n v="26.15"/>
    <x v="194"/>
    <x v="1"/>
    <x v="4"/>
    <n v="130.75"/>
    <m/>
    <m/>
    <n v="7"/>
  </r>
  <r>
    <x v="5473"/>
    <x v="1092"/>
    <x v="2"/>
    <n v="5"/>
    <n v="26.15"/>
    <x v="678"/>
    <x v="9"/>
    <x v="1"/>
    <n v="130.75"/>
    <m/>
    <m/>
    <n v="5"/>
  </r>
  <r>
    <x v="5474"/>
    <x v="1092"/>
    <x v="2"/>
    <n v="4"/>
    <n v="20.92"/>
    <x v="163"/>
    <x v="2"/>
    <x v="3"/>
    <n v="83.68"/>
    <m/>
    <m/>
    <n v="5"/>
  </r>
  <r>
    <x v="5475"/>
    <x v="1092"/>
    <x v="2"/>
    <n v="4"/>
    <n v="20.92"/>
    <x v="342"/>
    <x v="3"/>
    <x v="2"/>
    <n v="83.68"/>
    <m/>
    <m/>
    <n v="7"/>
  </r>
  <r>
    <x v="5476"/>
    <x v="1092"/>
    <x v="0"/>
    <n v="1"/>
    <n v="300.08"/>
    <x v="565"/>
    <x v="0"/>
    <x v="4"/>
    <n v="300.08"/>
    <m/>
    <m/>
    <n v="7"/>
  </r>
  <r>
    <x v="5477"/>
    <x v="1093"/>
    <x v="0"/>
    <n v="1"/>
    <n v="300.08"/>
    <x v="198"/>
    <x v="0"/>
    <x v="4"/>
    <n v="300.08"/>
    <m/>
    <m/>
    <n v="5"/>
  </r>
  <r>
    <x v="5478"/>
    <x v="1093"/>
    <x v="0"/>
    <n v="5"/>
    <n v="1500.4"/>
    <x v="661"/>
    <x v="7"/>
    <x v="4"/>
    <n v="7502"/>
    <m/>
    <m/>
    <n v="5"/>
  </r>
  <r>
    <x v="5479"/>
    <x v="1093"/>
    <x v="3"/>
    <n v="1"/>
    <n v="15.15"/>
    <x v="775"/>
    <x v="8"/>
    <x v="4"/>
    <n v="15.15"/>
    <m/>
    <m/>
    <n v="5"/>
  </r>
  <r>
    <x v="5480"/>
    <x v="1093"/>
    <x v="4"/>
    <n v="3"/>
    <n v="3150"/>
    <x v="676"/>
    <x v="8"/>
    <x v="3"/>
    <n v="9450"/>
    <m/>
    <m/>
    <n v="5"/>
  </r>
  <r>
    <x v="5481"/>
    <x v="1093"/>
    <x v="5"/>
    <n v="5"/>
    <n v="3000.85"/>
    <x v="41"/>
    <x v="6"/>
    <x v="1"/>
    <n v="15004.25"/>
    <m/>
    <m/>
    <n v="7"/>
  </r>
  <r>
    <x v="5482"/>
    <x v="1094"/>
    <x v="6"/>
    <n v="5"/>
    <n v="179.2"/>
    <x v="568"/>
    <x v="6"/>
    <x v="4"/>
    <n v="896"/>
    <m/>
    <m/>
    <n v="5"/>
  </r>
  <r>
    <x v="5483"/>
    <x v="1094"/>
    <x v="1"/>
    <n v="3"/>
    <n v="121.98"/>
    <x v="355"/>
    <x v="6"/>
    <x v="0"/>
    <n v="365.94"/>
    <m/>
    <m/>
    <n v="5"/>
  </r>
  <r>
    <x v="5484"/>
    <x v="1094"/>
    <x v="0"/>
    <n v="5"/>
    <n v="1500.4"/>
    <x v="571"/>
    <x v="5"/>
    <x v="2"/>
    <n v="7502"/>
    <m/>
    <m/>
    <n v="5"/>
  </r>
  <r>
    <x v="5485"/>
    <x v="1094"/>
    <x v="1"/>
    <n v="1"/>
    <n v="40.659999999999997"/>
    <x v="652"/>
    <x v="6"/>
    <x v="0"/>
    <n v="40.659999999999997"/>
    <m/>
    <m/>
    <n v="5"/>
  </r>
  <r>
    <x v="5486"/>
    <x v="1094"/>
    <x v="0"/>
    <n v="1"/>
    <n v="300.08"/>
    <x v="625"/>
    <x v="5"/>
    <x v="3"/>
    <n v="300.08"/>
    <m/>
    <m/>
    <n v="7"/>
  </r>
  <r>
    <x v="5487"/>
    <x v="1095"/>
    <x v="0"/>
    <n v="4"/>
    <n v="1200.32"/>
    <x v="642"/>
    <x v="0"/>
    <x v="0"/>
    <n v="4801.28"/>
    <m/>
    <m/>
    <n v="5"/>
  </r>
  <r>
    <x v="5488"/>
    <x v="1095"/>
    <x v="5"/>
    <n v="4"/>
    <n v="2400.6799999999998"/>
    <x v="36"/>
    <x v="1"/>
    <x v="2"/>
    <n v="9602.7199999999993"/>
    <m/>
    <m/>
    <n v="7"/>
  </r>
  <r>
    <x v="5489"/>
    <x v="1095"/>
    <x v="1"/>
    <n v="5"/>
    <n v="203.3"/>
    <x v="741"/>
    <x v="7"/>
    <x v="4"/>
    <n v="1016.5"/>
    <m/>
    <m/>
    <n v="10"/>
  </r>
  <r>
    <x v="5490"/>
    <x v="1095"/>
    <x v="2"/>
    <n v="2"/>
    <n v="10.46"/>
    <x v="482"/>
    <x v="6"/>
    <x v="0"/>
    <n v="20.92"/>
    <m/>
    <m/>
    <n v="10"/>
  </r>
  <r>
    <x v="5491"/>
    <x v="1096"/>
    <x v="1"/>
    <n v="3"/>
    <n v="121.98"/>
    <x v="0"/>
    <x v="0"/>
    <x v="2"/>
    <n v="365.94"/>
    <m/>
    <m/>
    <n v="5"/>
  </r>
  <r>
    <x v="5492"/>
    <x v="1096"/>
    <x v="0"/>
    <n v="2"/>
    <n v="600.16"/>
    <x v="784"/>
    <x v="0"/>
    <x v="2"/>
    <n v="1200.32"/>
    <m/>
    <m/>
    <n v="5"/>
  </r>
  <r>
    <x v="5493"/>
    <x v="1096"/>
    <x v="2"/>
    <n v="3"/>
    <n v="15.69"/>
    <x v="328"/>
    <x v="1"/>
    <x v="0"/>
    <n v="47.07"/>
    <m/>
    <m/>
    <n v="5"/>
  </r>
  <r>
    <x v="5494"/>
    <x v="1096"/>
    <x v="3"/>
    <n v="5"/>
    <n v="75.75"/>
    <x v="507"/>
    <x v="4"/>
    <x v="4"/>
    <n v="378.75"/>
    <m/>
    <m/>
    <n v="7"/>
  </r>
  <r>
    <x v="5495"/>
    <x v="1096"/>
    <x v="0"/>
    <n v="3"/>
    <n v="900.24"/>
    <x v="19"/>
    <x v="6"/>
    <x v="1"/>
    <n v="2700.7200000000003"/>
    <m/>
    <m/>
    <n v="7"/>
  </r>
  <r>
    <x v="5496"/>
    <x v="1096"/>
    <x v="0"/>
    <n v="1"/>
    <n v="300.08"/>
    <x v="377"/>
    <x v="9"/>
    <x v="3"/>
    <n v="300.08"/>
    <m/>
    <m/>
    <n v="7"/>
  </r>
  <r>
    <x v="5497"/>
    <x v="1096"/>
    <x v="1"/>
    <n v="2"/>
    <n v="81.319999999999993"/>
    <x v="11"/>
    <x v="0"/>
    <x v="2"/>
    <n v="162.63999999999999"/>
    <m/>
    <m/>
    <n v="7"/>
  </r>
  <r>
    <x v="5498"/>
    <x v="1097"/>
    <x v="3"/>
    <n v="3"/>
    <n v="45.45"/>
    <x v="141"/>
    <x v="9"/>
    <x v="2"/>
    <n v="136.35000000000002"/>
    <m/>
    <m/>
    <n v="5"/>
  </r>
  <r>
    <x v="5499"/>
    <x v="1097"/>
    <x v="6"/>
    <n v="3"/>
    <n v="107.52"/>
    <x v="8"/>
    <x v="0"/>
    <x v="4"/>
    <n v="322.56"/>
    <m/>
    <m/>
    <n v="7"/>
  </r>
  <r>
    <x v="5500"/>
    <x v="1097"/>
    <x v="0"/>
    <n v="5"/>
    <n v="1500.4"/>
    <x v="119"/>
    <x v="6"/>
    <x v="1"/>
    <n v="7502"/>
    <m/>
    <m/>
    <n v="7"/>
  </r>
  <r>
    <x v="5501"/>
    <x v="1097"/>
    <x v="0"/>
    <n v="4"/>
    <n v="1200.32"/>
    <x v="246"/>
    <x v="6"/>
    <x v="2"/>
    <n v="4801.28"/>
    <m/>
    <m/>
    <n v="10"/>
  </r>
  <r>
    <x v="5502"/>
    <x v="1098"/>
    <x v="2"/>
    <n v="5"/>
    <n v="26.15"/>
    <x v="689"/>
    <x v="8"/>
    <x v="0"/>
    <n v="130.75"/>
    <m/>
    <m/>
    <n v="7"/>
  </r>
  <r>
    <x v="5503"/>
    <x v="1098"/>
    <x v="3"/>
    <n v="3"/>
    <n v="45.45"/>
    <x v="164"/>
    <x v="9"/>
    <x v="4"/>
    <n v="136.35000000000002"/>
    <m/>
    <m/>
    <n v="7"/>
  </r>
  <r>
    <x v="5504"/>
    <x v="1098"/>
    <x v="4"/>
    <n v="5"/>
    <n v="5250"/>
    <x v="123"/>
    <x v="6"/>
    <x v="2"/>
    <n v="26250"/>
    <m/>
    <m/>
    <n v="7"/>
  </r>
  <r>
    <x v="5505"/>
    <x v="1098"/>
    <x v="1"/>
    <n v="3"/>
    <n v="121.98"/>
    <x v="384"/>
    <x v="0"/>
    <x v="2"/>
    <n v="365.94"/>
    <m/>
    <m/>
    <n v="7"/>
  </r>
  <r>
    <x v="5506"/>
    <x v="1098"/>
    <x v="0"/>
    <n v="5"/>
    <n v="1500.4"/>
    <x v="581"/>
    <x v="5"/>
    <x v="0"/>
    <n v="7502"/>
    <m/>
    <m/>
    <n v="7"/>
  </r>
  <r>
    <x v="5507"/>
    <x v="1098"/>
    <x v="2"/>
    <n v="4"/>
    <n v="20.92"/>
    <x v="659"/>
    <x v="4"/>
    <x v="0"/>
    <n v="83.68"/>
    <m/>
    <m/>
    <n v="7"/>
  </r>
  <r>
    <x v="5508"/>
    <x v="1098"/>
    <x v="7"/>
    <n v="1"/>
    <n v="11.73"/>
    <x v="148"/>
    <x v="4"/>
    <x v="3"/>
    <n v="11.73"/>
    <m/>
    <m/>
    <n v="7"/>
  </r>
  <r>
    <x v="5509"/>
    <x v="1099"/>
    <x v="0"/>
    <n v="1"/>
    <n v="300.08"/>
    <x v="495"/>
    <x v="5"/>
    <x v="3"/>
    <n v="300.08"/>
    <m/>
    <m/>
    <n v="5"/>
  </r>
  <r>
    <x v="5510"/>
    <x v="1099"/>
    <x v="7"/>
    <n v="4"/>
    <n v="46.92"/>
    <x v="147"/>
    <x v="9"/>
    <x v="0"/>
    <n v="187.68"/>
    <m/>
    <m/>
    <n v="5"/>
  </r>
  <r>
    <x v="5511"/>
    <x v="1099"/>
    <x v="1"/>
    <n v="1"/>
    <n v="40.659999999999997"/>
    <x v="569"/>
    <x v="7"/>
    <x v="3"/>
    <n v="40.659999999999997"/>
    <m/>
    <m/>
    <n v="5"/>
  </r>
  <r>
    <x v="5512"/>
    <x v="1099"/>
    <x v="1"/>
    <n v="3"/>
    <n v="121.98"/>
    <x v="249"/>
    <x v="0"/>
    <x v="1"/>
    <n v="365.94"/>
    <m/>
    <m/>
    <n v="7"/>
  </r>
  <r>
    <x v="5513"/>
    <x v="1099"/>
    <x v="4"/>
    <n v="4"/>
    <n v="4200"/>
    <x v="588"/>
    <x v="0"/>
    <x v="3"/>
    <n v="16800"/>
    <m/>
    <m/>
    <n v="7"/>
  </r>
  <r>
    <x v="5514"/>
    <x v="1100"/>
    <x v="7"/>
    <n v="4"/>
    <n v="46.92"/>
    <x v="162"/>
    <x v="9"/>
    <x v="1"/>
    <n v="187.68"/>
    <m/>
    <m/>
    <n v="5"/>
  </r>
  <r>
    <x v="5515"/>
    <x v="1100"/>
    <x v="0"/>
    <n v="2"/>
    <n v="600.16"/>
    <x v="22"/>
    <x v="9"/>
    <x v="1"/>
    <n v="1200.32"/>
    <m/>
    <m/>
    <n v="5"/>
  </r>
  <r>
    <x v="5516"/>
    <x v="1100"/>
    <x v="0"/>
    <n v="3"/>
    <n v="900.24"/>
    <x v="387"/>
    <x v="2"/>
    <x v="3"/>
    <n v="2700.7200000000003"/>
    <m/>
    <m/>
    <n v="5"/>
  </r>
  <r>
    <x v="5517"/>
    <x v="1100"/>
    <x v="7"/>
    <n v="1"/>
    <n v="11.73"/>
    <x v="286"/>
    <x v="1"/>
    <x v="2"/>
    <n v="11.73"/>
    <m/>
    <m/>
    <n v="5"/>
  </r>
  <r>
    <x v="5518"/>
    <x v="1100"/>
    <x v="0"/>
    <n v="5"/>
    <n v="1500.4"/>
    <x v="273"/>
    <x v="6"/>
    <x v="0"/>
    <n v="7502"/>
    <m/>
    <m/>
    <n v="7"/>
  </r>
  <r>
    <x v="5519"/>
    <x v="1100"/>
    <x v="1"/>
    <n v="1"/>
    <n v="40.659999999999997"/>
    <x v="732"/>
    <x v="8"/>
    <x v="1"/>
    <n v="40.659999999999997"/>
    <m/>
    <m/>
    <n v="7"/>
  </r>
  <r>
    <x v="5520"/>
    <x v="1100"/>
    <x v="0"/>
    <n v="4"/>
    <n v="1200.32"/>
    <x v="671"/>
    <x v="6"/>
    <x v="2"/>
    <n v="4801.28"/>
    <m/>
    <m/>
    <n v="7"/>
  </r>
  <r>
    <x v="5521"/>
    <x v="1101"/>
    <x v="1"/>
    <n v="4"/>
    <n v="162.63999999999999"/>
    <x v="614"/>
    <x v="6"/>
    <x v="4"/>
    <n v="650.55999999999995"/>
    <m/>
    <m/>
    <n v="5"/>
  </r>
  <r>
    <x v="5522"/>
    <x v="1101"/>
    <x v="5"/>
    <n v="2"/>
    <n v="1200.3399999999999"/>
    <x v="357"/>
    <x v="0"/>
    <x v="4"/>
    <n v="2400.6799999999998"/>
    <m/>
    <m/>
    <n v="5"/>
  </r>
  <r>
    <x v="5523"/>
    <x v="1101"/>
    <x v="2"/>
    <n v="2"/>
    <n v="10.46"/>
    <x v="638"/>
    <x v="6"/>
    <x v="2"/>
    <n v="20.92"/>
    <m/>
    <m/>
    <n v="5"/>
  </r>
  <r>
    <x v="5524"/>
    <x v="1101"/>
    <x v="2"/>
    <n v="4"/>
    <n v="20.92"/>
    <x v="361"/>
    <x v="9"/>
    <x v="1"/>
    <n v="83.68"/>
    <m/>
    <m/>
    <n v="7"/>
  </r>
  <r>
    <x v="5525"/>
    <x v="1101"/>
    <x v="5"/>
    <n v="3"/>
    <n v="1800.51"/>
    <x v="247"/>
    <x v="6"/>
    <x v="1"/>
    <n v="5401.53"/>
    <m/>
    <m/>
    <n v="10"/>
  </r>
  <r>
    <x v="5526"/>
    <x v="1102"/>
    <x v="3"/>
    <n v="2"/>
    <n v="30.3"/>
    <x v="221"/>
    <x v="1"/>
    <x v="4"/>
    <n v="60.6"/>
    <m/>
    <m/>
    <n v="5"/>
  </r>
  <r>
    <x v="5527"/>
    <x v="1102"/>
    <x v="1"/>
    <n v="4"/>
    <n v="162.63999999999999"/>
    <x v="21"/>
    <x v="4"/>
    <x v="1"/>
    <n v="650.55999999999995"/>
    <m/>
    <m/>
    <n v="5"/>
  </r>
  <r>
    <x v="5528"/>
    <x v="1102"/>
    <x v="3"/>
    <n v="5"/>
    <n v="75.75"/>
    <x v="691"/>
    <x v="1"/>
    <x v="2"/>
    <n v="378.75"/>
    <m/>
    <m/>
    <n v="7"/>
  </r>
  <r>
    <x v="5529"/>
    <x v="1102"/>
    <x v="6"/>
    <n v="5"/>
    <n v="179.2"/>
    <x v="748"/>
    <x v="1"/>
    <x v="4"/>
    <n v="896"/>
    <m/>
    <m/>
    <n v="7"/>
  </r>
  <r>
    <x v="5530"/>
    <x v="1102"/>
    <x v="0"/>
    <n v="2"/>
    <n v="600.16"/>
    <x v="370"/>
    <x v="1"/>
    <x v="4"/>
    <n v="1200.32"/>
    <m/>
    <m/>
    <n v="7"/>
  </r>
  <r>
    <x v="5531"/>
    <x v="1102"/>
    <x v="3"/>
    <n v="2"/>
    <n v="30.3"/>
    <x v="530"/>
    <x v="8"/>
    <x v="0"/>
    <n v="60.6"/>
    <m/>
    <m/>
    <n v="7"/>
  </r>
  <r>
    <x v="5532"/>
    <x v="1102"/>
    <x v="0"/>
    <n v="2"/>
    <n v="600.16"/>
    <x v="237"/>
    <x v="6"/>
    <x v="1"/>
    <n v="1200.32"/>
    <m/>
    <m/>
    <n v="7"/>
  </r>
  <r>
    <x v="5533"/>
    <x v="1103"/>
    <x v="0"/>
    <n v="3"/>
    <n v="900.24"/>
    <x v="224"/>
    <x v="0"/>
    <x v="3"/>
    <n v="2700.7200000000003"/>
    <m/>
    <m/>
    <n v="5"/>
  </r>
  <r>
    <x v="5534"/>
    <x v="1103"/>
    <x v="0"/>
    <n v="2"/>
    <n v="600.16"/>
    <x v="389"/>
    <x v="9"/>
    <x v="3"/>
    <n v="1200.32"/>
    <m/>
    <m/>
    <n v="5"/>
  </r>
  <r>
    <x v="5535"/>
    <x v="1103"/>
    <x v="4"/>
    <n v="4"/>
    <n v="4200"/>
    <x v="120"/>
    <x v="6"/>
    <x v="4"/>
    <n v="16800"/>
    <m/>
    <m/>
    <n v="5"/>
  </r>
  <r>
    <x v="5536"/>
    <x v="1103"/>
    <x v="2"/>
    <n v="3"/>
    <n v="15.69"/>
    <x v="590"/>
    <x v="1"/>
    <x v="4"/>
    <n v="47.07"/>
    <m/>
    <m/>
    <n v="7"/>
  </r>
  <r>
    <x v="5537"/>
    <x v="1103"/>
    <x v="0"/>
    <n v="2"/>
    <n v="600.16"/>
    <x v="259"/>
    <x v="4"/>
    <x v="4"/>
    <n v="1200.32"/>
    <m/>
    <m/>
    <n v="7"/>
  </r>
  <r>
    <x v="5538"/>
    <x v="1103"/>
    <x v="6"/>
    <n v="2"/>
    <n v="71.680000000000007"/>
    <x v="253"/>
    <x v="8"/>
    <x v="1"/>
    <n v="143.36000000000001"/>
    <m/>
    <m/>
    <n v="7"/>
  </r>
  <r>
    <x v="5539"/>
    <x v="1104"/>
    <x v="3"/>
    <n v="4"/>
    <n v="60.6"/>
    <x v="240"/>
    <x v="0"/>
    <x v="3"/>
    <n v="242.4"/>
    <m/>
    <m/>
    <n v="5"/>
  </r>
  <r>
    <x v="5540"/>
    <x v="1104"/>
    <x v="1"/>
    <n v="1"/>
    <n v="40.659999999999997"/>
    <x v="207"/>
    <x v="6"/>
    <x v="1"/>
    <n v="40.659999999999997"/>
    <m/>
    <m/>
    <n v="5"/>
  </r>
  <r>
    <x v="5541"/>
    <x v="1104"/>
    <x v="5"/>
    <n v="2"/>
    <n v="1200.3399999999999"/>
    <x v="335"/>
    <x v="6"/>
    <x v="0"/>
    <n v="2400.6799999999998"/>
    <m/>
    <m/>
    <n v="5"/>
  </r>
  <r>
    <x v="5542"/>
    <x v="1104"/>
    <x v="3"/>
    <n v="5"/>
    <n v="75.75"/>
    <x v="477"/>
    <x v="6"/>
    <x v="0"/>
    <n v="378.75"/>
    <m/>
    <m/>
    <n v="5"/>
  </r>
  <r>
    <x v="5543"/>
    <x v="1104"/>
    <x v="5"/>
    <n v="1"/>
    <n v="600.16999999999996"/>
    <x v="647"/>
    <x v="5"/>
    <x v="4"/>
    <n v="600.16999999999996"/>
    <m/>
    <m/>
    <n v="7"/>
  </r>
  <r>
    <x v="5544"/>
    <x v="1104"/>
    <x v="6"/>
    <n v="2"/>
    <n v="71.680000000000007"/>
    <x v="193"/>
    <x v="7"/>
    <x v="1"/>
    <n v="143.36000000000001"/>
    <m/>
    <m/>
    <n v="7"/>
  </r>
  <r>
    <x v="5545"/>
    <x v="1104"/>
    <x v="7"/>
    <n v="4"/>
    <n v="46.92"/>
    <x v="94"/>
    <x v="6"/>
    <x v="4"/>
    <n v="187.68"/>
    <m/>
    <m/>
    <n v="7"/>
  </r>
  <r>
    <x v="5546"/>
    <x v="1105"/>
    <x v="2"/>
    <n v="2"/>
    <n v="10.46"/>
    <x v="479"/>
    <x v="3"/>
    <x v="1"/>
    <n v="20.92"/>
    <m/>
    <m/>
    <n v="5"/>
  </r>
  <r>
    <x v="5547"/>
    <x v="1105"/>
    <x v="6"/>
    <n v="3"/>
    <n v="107.52"/>
    <x v="419"/>
    <x v="3"/>
    <x v="2"/>
    <n v="322.56"/>
    <m/>
    <m/>
    <n v="7"/>
  </r>
  <r>
    <x v="5548"/>
    <x v="1105"/>
    <x v="2"/>
    <n v="5"/>
    <n v="26.15"/>
    <x v="195"/>
    <x v="1"/>
    <x v="0"/>
    <n v="130.75"/>
    <m/>
    <m/>
    <n v="7"/>
  </r>
  <r>
    <x v="5549"/>
    <x v="1105"/>
    <x v="0"/>
    <n v="3"/>
    <n v="900.24"/>
    <x v="237"/>
    <x v="2"/>
    <x v="4"/>
    <n v="2700.7200000000003"/>
    <m/>
    <m/>
    <n v="7"/>
  </r>
  <r>
    <x v="5550"/>
    <x v="1106"/>
    <x v="0"/>
    <n v="2"/>
    <n v="600.16"/>
    <x v="0"/>
    <x v="0"/>
    <x v="2"/>
    <n v="1200.32"/>
    <m/>
    <m/>
    <n v="5"/>
  </r>
  <r>
    <x v="5551"/>
    <x v="1106"/>
    <x v="6"/>
    <n v="5"/>
    <n v="179.2"/>
    <x v="566"/>
    <x v="6"/>
    <x v="0"/>
    <n v="896"/>
    <m/>
    <m/>
    <n v="5"/>
  </r>
  <r>
    <x v="5552"/>
    <x v="1106"/>
    <x v="2"/>
    <n v="1"/>
    <n v="5.23"/>
    <x v="357"/>
    <x v="8"/>
    <x v="4"/>
    <n v="5.23"/>
    <m/>
    <m/>
    <n v="5"/>
  </r>
  <r>
    <x v="5553"/>
    <x v="1106"/>
    <x v="0"/>
    <n v="4"/>
    <n v="1200.32"/>
    <x v="231"/>
    <x v="6"/>
    <x v="1"/>
    <n v="4801.28"/>
    <m/>
    <m/>
    <n v="5"/>
  </r>
  <r>
    <x v="5554"/>
    <x v="1106"/>
    <x v="1"/>
    <n v="1"/>
    <n v="40.659999999999997"/>
    <x v="560"/>
    <x v="5"/>
    <x v="4"/>
    <n v="40.659999999999997"/>
    <m/>
    <m/>
    <n v="5"/>
  </r>
  <r>
    <x v="5555"/>
    <x v="1106"/>
    <x v="0"/>
    <n v="1"/>
    <n v="300.08"/>
    <x v="47"/>
    <x v="7"/>
    <x v="1"/>
    <n v="300.08"/>
    <m/>
    <m/>
    <n v="5"/>
  </r>
  <r>
    <x v="5556"/>
    <x v="1106"/>
    <x v="7"/>
    <n v="4"/>
    <n v="46.92"/>
    <x v="20"/>
    <x v="6"/>
    <x v="3"/>
    <n v="187.68"/>
    <m/>
    <m/>
    <n v="7"/>
  </r>
  <r>
    <x v="5557"/>
    <x v="1107"/>
    <x v="5"/>
    <n v="2"/>
    <n v="1200.3399999999999"/>
    <x v="285"/>
    <x v="1"/>
    <x v="3"/>
    <n v="2400.6799999999998"/>
    <m/>
    <m/>
    <n v="5"/>
  </r>
  <r>
    <x v="5558"/>
    <x v="1107"/>
    <x v="2"/>
    <n v="2"/>
    <n v="10.46"/>
    <x v="335"/>
    <x v="0"/>
    <x v="4"/>
    <n v="20.92"/>
    <m/>
    <m/>
    <n v="5"/>
  </r>
  <r>
    <x v="5559"/>
    <x v="1107"/>
    <x v="0"/>
    <n v="4"/>
    <n v="1200.32"/>
    <x v="58"/>
    <x v="6"/>
    <x v="4"/>
    <n v="4801.28"/>
    <m/>
    <m/>
    <n v="5"/>
  </r>
  <r>
    <x v="5560"/>
    <x v="1107"/>
    <x v="0"/>
    <n v="1"/>
    <n v="300.08"/>
    <x v="75"/>
    <x v="2"/>
    <x v="3"/>
    <n v="300.08"/>
    <m/>
    <m/>
    <n v="7"/>
  </r>
  <r>
    <x v="5561"/>
    <x v="1107"/>
    <x v="0"/>
    <n v="1"/>
    <n v="300.08"/>
    <x v="701"/>
    <x v="0"/>
    <x v="1"/>
    <n v="300.08"/>
    <m/>
    <m/>
    <n v="7"/>
  </r>
  <r>
    <x v="5562"/>
    <x v="1107"/>
    <x v="7"/>
    <n v="5"/>
    <n v="58.65"/>
    <x v="37"/>
    <x v="0"/>
    <x v="1"/>
    <n v="293.25"/>
    <m/>
    <m/>
    <n v="7"/>
  </r>
  <r>
    <x v="5563"/>
    <x v="1108"/>
    <x v="6"/>
    <n v="3"/>
    <n v="107.52"/>
    <x v="763"/>
    <x v="1"/>
    <x v="2"/>
    <n v="322.56"/>
    <m/>
    <m/>
    <n v="5"/>
  </r>
  <r>
    <x v="5564"/>
    <x v="1108"/>
    <x v="7"/>
    <n v="5"/>
    <n v="58.65"/>
    <x v="44"/>
    <x v="1"/>
    <x v="4"/>
    <n v="293.25"/>
    <m/>
    <m/>
    <n v="7"/>
  </r>
  <r>
    <x v="5565"/>
    <x v="1108"/>
    <x v="2"/>
    <n v="3"/>
    <n v="15.69"/>
    <x v="458"/>
    <x v="6"/>
    <x v="1"/>
    <n v="47.07"/>
    <m/>
    <m/>
    <n v="7"/>
  </r>
  <r>
    <x v="5566"/>
    <x v="1108"/>
    <x v="0"/>
    <n v="5"/>
    <n v="1500.4"/>
    <x v="254"/>
    <x v="6"/>
    <x v="1"/>
    <n v="7502"/>
    <m/>
    <m/>
    <n v="7"/>
  </r>
  <r>
    <x v="5567"/>
    <x v="1108"/>
    <x v="5"/>
    <n v="3"/>
    <n v="1800.51"/>
    <x v="554"/>
    <x v="7"/>
    <x v="1"/>
    <n v="5401.53"/>
    <m/>
    <m/>
    <n v="10"/>
  </r>
  <r>
    <x v="5568"/>
    <x v="1109"/>
    <x v="0"/>
    <n v="5"/>
    <n v="1500.4"/>
    <x v="414"/>
    <x v="0"/>
    <x v="2"/>
    <n v="7502"/>
    <m/>
    <m/>
    <n v="5"/>
  </r>
  <r>
    <x v="5569"/>
    <x v="1109"/>
    <x v="6"/>
    <n v="3"/>
    <n v="107.52"/>
    <x v="136"/>
    <x v="0"/>
    <x v="3"/>
    <n v="322.56"/>
    <m/>
    <m/>
    <n v="5"/>
  </r>
  <r>
    <x v="5570"/>
    <x v="1109"/>
    <x v="0"/>
    <n v="4"/>
    <n v="1200.32"/>
    <x v="571"/>
    <x v="0"/>
    <x v="0"/>
    <n v="4801.28"/>
    <m/>
    <m/>
    <n v="5"/>
  </r>
  <r>
    <x v="5571"/>
    <x v="1109"/>
    <x v="0"/>
    <n v="3"/>
    <n v="900.24"/>
    <x v="3"/>
    <x v="1"/>
    <x v="0"/>
    <n v="2700.7200000000003"/>
    <m/>
    <m/>
    <n v="7"/>
  </r>
  <r>
    <x v="5572"/>
    <x v="1109"/>
    <x v="6"/>
    <n v="1"/>
    <n v="35.840000000000003"/>
    <x v="368"/>
    <x v="8"/>
    <x v="4"/>
    <n v="35.840000000000003"/>
    <m/>
    <m/>
    <n v="7"/>
  </r>
  <r>
    <x v="5573"/>
    <x v="1109"/>
    <x v="0"/>
    <n v="2"/>
    <n v="600.16"/>
    <x v="52"/>
    <x v="4"/>
    <x v="3"/>
    <n v="1200.32"/>
    <m/>
    <m/>
    <n v="7"/>
  </r>
  <r>
    <x v="5574"/>
    <x v="1110"/>
    <x v="6"/>
    <n v="4"/>
    <n v="143.36000000000001"/>
    <x v="730"/>
    <x v="5"/>
    <x v="4"/>
    <n v="573.44000000000005"/>
    <m/>
    <m/>
    <n v="5"/>
  </r>
  <r>
    <x v="5575"/>
    <x v="1110"/>
    <x v="0"/>
    <n v="4"/>
    <n v="1200.32"/>
    <x v="162"/>
    <x v="4"/>
    <x v="3"/>
    <n v="4801.28"/>
    <m/>
    <m/>
    <n v="5"/>
  </r>
  <r>
    <x v="5576"/>
    <x v="1110"/>
    <x v="5"/>
    <n v="3"/>
    <n v="1800.51"/>
    <x v="457"/>
    <x v="0"/>
    <x v="1"/>
    <n v="5401.53"/>
    <m/>
    <m/>
    <n v="5"/>
  </r>
  <r>
    <x v="5577"/>
    <x v="1110"/>
    <x v="0"/>
    <n v="1"/>
    <n v="300.08"/>
    <x v="308"/>
    <x v="3"/>
    <x v="1"/>
    <n v="300.08"/>
    <m/>
    <m/>
    <n v="5"/>
  </r>
  <r>
    <x v="5578"/>
    <x v="1110"/>
    <x v="0"/>
    <n v="3"/>
    <n v="900.24"/>
    <x v="433"/>
    <x v="1"/>
    <x v="4"/>
    <n v="2700.7200000000003"/>
    <m/>
    <m/>
    <n v="5"/>
  </r>
  <r>
    <x v="5579"/>
    <x v="1111"/>
    <x v="4"/>
    <n v="3"/>
    <n v="3150"/>
    <x v="790"/>
    <x v="6"/>
    <x v="1"/>
    <n v="9450"/>
    <m/>
    <m/>
    <n v="5"/>
  </r>
  <r>
    <x v="5580"/>
    <x v="1111"/>
    <x v="5"/>
    <n v="5"/>
    <n v="3000.85"/>
    <x v="124"/>
    <x v="5"/>
    <x v="2"/>
    <n v="15004.25"/>
    <m/>
    <m/>
    <n v="7"/>
  </r>
  <r>
    <x v="5581"/>
    <x v="1111"/>
    <x v="3"/>
    <n v="4"/>
    <n v="60.6"/>
    <x v="531"/>
    <x v="2"/>
    <x v="3"/>
    <n v="242.4"/>
    <m/>
    <m/>
    <n v="7"/>
  </r>
  <r>
    <x v="5582"/>
    <x v="1111"/>
    <x v="0"/>
    <n v="1"/>
    <n v="300.08"/>
    <x v="418"/>
    <x v="0"/>
    <x v="2"/>
    <n v="300.08"/>
    <m/>
    <m/>
    <n v="7"/>
  </r>
  <r>
    <x v="5583"/>
    <x v="1111"/>
    <x v="4"/>
    <n v="5"/>
    <n v="5250"/>
    <x v="24"/>
    <x v="1"/>
    <x v="3"/>
    <n v="26250"/>
    <m/>
    <m/>
    <n v="7"/>
  </r>
  <r>
    <x v="5584"/>
    <x v="1112"/>
    <x v="1"/>
    <n v="2"/>
    <n v="81.319999999999993"/>
    <x v="623"/>
    <x v="4"/>
    <x v="4"/>
    <n v="162.63999999999999"/>
    <m/>
    <m/>
    <n v="5"/>
  </r>
  <r>
    <x v="5585"/>
    <x v="1112"/>
    <x v="1"/>
    <n v="3"/>
    <n v="121.98"/>
    <x v="689"/>
    <x v="0"/>
    <x v="4"/>
    <n v="365.94"/>
    <m/>
    <m/>
    <n v="7"/>
  </r>
  <r>
    <x v="5586"/>
    <x v="1112"/>
    <x v="2"/>
    <n v="2"/>
    <n v="10.46"/>
    <x v="76"/>
    <x v="6"/>
    <x v="0"/>
    <n v="20.92"/>
    <m/>
    <m/>
    <n v="7"/>
  </r>
  <r>
    <x v="5587"/>
    <x v="1112"/>
    <x v="5"/>
    <n v="4"/>
    <n v="2400.6799999999998"/>
    <x v="256"/>
    <x v="6"/>
    <x v="3"/>
    <n v="9602.7199999999993"/>
    <m/>
    <m/>
    <n v="7"/>
  </r>
  <r>
    <x v="5588"/>
    <x v="1112"/>
    <x v="0"/>
    <n v="2"/>
    <n v="600.16"/>
    <x v="668"/>
    <x v="5"/>
    <x v="1"/>
    <n v="1200.32"/>
    <m/>
    <m/>
    <n v="7"/>
  </r>
  <r>
    <x v="5589"/>
    <x v="1113"/>
    <x v="3"/>
    <n v="3"/>
    <n v="45.45"/>
    <x v="239"/>
    <x v="0"/>
    <x v="0"/>
    <n v="136.35000000000002"/>
    <m/>
    <m/>
    <n v="5"/>
  </r>
  <r>
    <x v="5590"/>
    <x v="1113"/>
    <x v="0"/>
    <n v="2"/>
    <n v="600.16"/>
    <x v="134"/>
    <x v="3"/>
    <x v="0"/>
    <n v="1200.32"/>
    <m/>
    <m/>
    <n v="5"/>
  </r>
  <r>
    <x v="5591"/>
    <x v="1113"/>
    <x v="2"/>
    <n v="3"/>
    <n v="15.69"/>
    <x v="300"/>
    <x v="4"/>
    <x v="1"/>
    <n v="47.07"/>
    <m/>
    <m/>
    <n v="5"/>
  </r>
  <r>
    <x v="5592"/>
    <x v="1113"/>
    <x v="2"/>
    <n v="4"/>
    <n v="20.92"/>
    <x v="93"/>
    <x v="6"/>
    <x v="4"/>
    <n v="83.68"/>
    <m/>
    <m/>
    <n v="7"/>
  </r>
  <r>
    <x v="5593"/>
    <x v="1113"/>
    <x v="6"/>
    <n v="4"/>
    <n v="143.36000000000001"/>
    <x v="659"/>
    <x v="6"/>
    <x v="4"/>
    <n v="573.44000000000005"/>
    <m/>
    <m/>
    <n v="7"/>
  </r>
  <r>
    <x v="5594"/>
    <x v="1113"/>
    <x v="2"/>
    <n v="2"/>
    <n v="10.46"/>
    <x v="37"/>
    <x v="0"/>
    <x v="1"/>
    <n v="20.92"/>
    <m/>
    <m/>
    <n v="7"/>
  </r>
  <r>
    <x v="5595"/>
    <x v="1113"/>
    <x v="2"/>
    <n v="5"/>
    <n v="26.15"/>
    <x v="549"/>
    <x v="0"/>
    <x v="4"/>
    <n v="130.75"/>
    <m/>
    <m/>
    <n v="7"/>
  </r>
  <r>
    <x v="5596"/>
    <x v="1114"/>
    <x v="1"/>
    <n v="2"/>
    <n v="81.319999999999993"/>
    <x v="520"/>
    <x v="8"/>
    <x v="2"/>
    <n v="162.63999999999999"/>
    <m/>
    <m/>
    <n v="5"/>
  </r>
  <r>
    <x v="5597"/>
    <x v="1114"/>
    <x v="0"/>
    <n v="4"/>
    <n v="1200.32"/>
    <x v="69"/>
    <x v="1"/>
    <x v="2"/>
    <n v="4801.28"/>
    <m/>
    <m/>
    <n v="5"/>
  </r>
  <r>
    <x v="5598"/>
    <x v="1114"/>
    <x v="2"/>
    <n v="4"/>
    <n v="20.92"/>
    <x v="91"/>
    <x v="0"/>
    <x v="3"/>
    <n v="83.68"/>
    <m/>
    <m/>
    <n v="5"/>
  </r>
  <r>
    <x v="5599"/>
    <x v="1114"/>
    <x v="6"/>
    <n v="5"/>
    <n v="179.2"/>
    <x v="699"/>
    <x v="6"/>
    <x v="2"/>
    <n v="896"/>
    <m/>
    <m/>
    <n v="7"/>
  </r>
  <r>
    <x v="5600"/>
    <x v="1115"/>
    <x v="0"/>
    <n v="4"/>
    <n v="1200.32"/>
    <x v="107"/>
    <x v="3"/>
    <x v="2"/>
    <n v="4801.28"/>
    <m/>
    <m/>
    <n v="5"/>
  </r>
  <r>
    <x v="5601"/>
    <x v="1115"/>
    <x v="5"/>
    <n v="2"/>
    <n v="1200.3399999999999"/>
    <x v="479"/>
    <x v="8"/>
    <x v="0"/>
    <n v="2400.6799999999998"/>
    <m/>
    <m/>
    <n v="5"/>
  </r>
  <r>
    <x v="5602"/>
    <x v="1115"/>
    <x v="0"/>
    <n v="3"/>
    <n v="900.24"/>
    <x v="92"/>
    <x v="6"/>
    <x v="2"/>
    <n v="2700.7200000000003"/>
    <m/>
    <m/>
    <n v="5"/>
  </r>
  <r>
    <x v="5603"/>
    <x v="1115"/>
    <x v="0"/>
    <n v="1"/>
    <n v="300.08"/>
    <x v="348"/>
    <x v="6"/>
    <x v="3"/>
    <n v="300.08"/>
    <m/>
    <m/>
    <n v="7"/>
  </r>
  <r>
    <x v="5604"/>
    <x v="1115"/>
    <x v="0"/>
    <n v="1"/>
    <n v="300.08"/>
    <x v="491"/>
    <x v="6"/>
    <x v="2"/>
    <n v="300.08"/>
    <m/>
    <m/>
    <n v="7"/>
  </r>
  <r>
    <x v="5605"/>
    <x v="1115"/>
    <x v="5"/>
    <n v="1"/>
    <n v="600.16999999999996"/>
    <x v="707"/>
    <x v="8"/>
    <x v="3"/>
    <n v="600.16999999999996"/>
    <m/>
    <m/>
    <n v="7"/>
  </r>
  <r>
    <x v="5606"/>
    <x v="1115"/>
    <x v="2"/>
    <n v="3"/>
    <n v="15.69"/>
    <x v="771"/>
    <x v="3"/>
    <x v="1"/>
    <n v="47.07"/>
    <m/>
    <m/>
    <n v="7"/>
  </r>
  <r>
    <x v="5607"/>
    <x v="1115"/>
    <x v="1"/>
    <n v="3"/>
    <n v="121.98"/>
    <x v="12"/>
    <x v="4"/>
    <x v="3"/>
    <n v="365.94"/>
    <m/>
    <m/>
    <n v="7"/>
  </r>
  <r>
    <x v="5608"/>
    <x v="1116"/>
    <x v="6"/>
    <n v="5"/>
    <n v="179.2"/>
    <x v="269"/>
    <x v="9"/>
    <x v="1"/>
    <n v="896"/>
    <m/>
    <m/>
    <n v="5"/>
  </r>
  <r>
    <x v="5609"/>
    <x v="1116"/>
    <x v="2"/>
    <n v="3"/>
    <n v="15.69"/>
    <x v="4"/>
    <x v="6"/>
    <x v="3"/>
    <n v="47.07"/>
    <m/>
    <m/>
    <n v="7"/>
  </r>
  <r>
    <x v="5610"/>
    <x v="1116"/>
    <x v="0"/>
    <n v="1"/>
    <n v="300.08"/>
    <x v="637"/>
    <x v="6"/>
    <x v="3"/>
    <n v="300.08"/>
    <m/>
    <m/>
    <n v="7"/>
  </r>
  <r>
    <x v="5611"/>
    <x v="1116"/>
    <x v="1"/>
    <n v="4"/>
    <n v="162.63999999999999"/>
    <x v="698"/>
    <x v="0"/>
    <x v="2"/>
    <n v="650.55999999999995"/>
    <m/>
    <m/>
    <n v="7"/>
  </r>
  <r>
    <x v="5612"/>
    <x v="1116"/>
    <x v="5"/>
    <n v="5"/>
    <n v="3000.85"/>
    <x v="481"/>
    <x v="6"/>
    <x v="2"/>
    <n v="15004.25"/>
    <m/>
    <m/>
    <n v="7"/>
  </r>
  <r>
    <x v="5613"/>
    <x v="1117"/>
    <x v="7"/>
    <n v="5"/>
    <n v="58.65"/>
    <x v="305"/>
    <x v="0"/>
    <x v="4"/>
    <n v="293.25"/>
    <m/>
    <m/>
    <n v="5"/>
  </r>
  <r>
    <x v="5614"/>
    <x v="1117"/>
    <x v="2"/>
    <n v="5"/>
    <n v="26.15"/>
    <x v="146"/>
    <x v="0"/>
    <x v="1"/>
    <n v="130.75"/>
    <m/>
    <m/>
    <n v="5"/>
  </r>
  <r>
    <x v="5615"/>
    <x v="1117"/>
    <x v="6"/>
    <n v="3"/>
    <n v="107.52"/>
    <x v="347"/>
    <x v="6"/>
    <x v="3"/>
    <n v="322.56"/>
    <m/>
    <m/>
    <n v="7"/>
  </r>
  <r>
    <x v="5616"/>
    <x v="1117"/>
    <x v="1"/>
    <n v="2"/>
    <n v="81.319999999999993"/>
    <x v="747"/>
    <x v="6"/>
    <x v="3"/>
    <n v="162.63999999999999"/>
    <m/>
    <m/>
    <n v="7"/>
  </r>
  <r>
    <x v="5617"/>
    <x v="1117"/>
    <x v="0"/>
    <n v="2"/>
    <n v="600.16"/>
    <x v="152"/>
    <x v="5"/>
    <x v="1"/>
    <n v="1200.32"/>
    <m/>
    <m/>
    <n v="7"/>
  </r>
  <r>
    <x v="5618"/>
    <x v="1118"/>
    <x v="0"/>
    <n v="4"/>
    <n v="1200.32"/>
    <x v="15"/>
    <x v="2"/>
    <x v="2"/>
    <n v="4801.28"/>
    <m/>
    <m/>
    <n v="5"/>
  </r>
  <r>
    <x v="5619"/>
    <x v="1119"/>
    <x v="0"/>
    <n v="5"/>
    <n v="1500.4"/>
    <x v="652"/>
    <x v="5"/>
    <x v="3"/>
    <n v="7502"/>
    <m/>
    <m/>
    <n v="5"/>
  </r>
  <r>
    <x v="5620"/>
    <x v="1119"/>
    <x v="3"/>
    <n v="2"/>
    <n v="30.3"/>
    <x v="233"/>
    <x v="6"/>
    <x v="0"/>
    <n v="60.6"/>
    <m/>
    <m/>
    <n v="5"/>
  </r>
  <r>
    <x v="5621"/>
    <x v="1119"/>
    <x v="4"/>
    <n v="1"/>
    <n v="1050"/>
    <x v="426"/>
    <x v="6"/>
    <x v="1"/>
    <n v="1050"/>
    <m/>
    <m/>
    <n v="7"/>
  </r>
  <r>
    <x v="5622"/>
    <x v="1119"/>
    <x v="1"/>
    <n v="5"/>
    <n v="203.3"/>
    <x v="303"/>
    <x v="1"/>
    <x v="3"/>
    <n v="1016.5"/>
    <m/>
    <m/>
    <n v="7"/>
  </r>
  <r>
    <x v="5623"/>
    <x v="1120"/>
    <x v="5"/>
    <n v="1"/>
    <n v="600.16999999999996"/>
    <x v="314"/>
    <x v="0"/>
    <x v="4"/>
    <n v="600.16999999999996"/>
    <m/>
    <m/>
    <n v="5"/>
  </r>
  <r>
    <x v="5624"/>
    <x v="1120"/>
    <x v="4"/>
    <n v="3"/>
    <n v="3150"/>
    <x v="714"/>
    <x v="6"/>
    <x v="1"/>
    <n v="9450"/>
    <m/>
    <m/>
    <n v="7"/>
  </r>
  <r>
    <x v="5625"/>
    <x v="1120"/>
    <x v="1"/>
    <n v="5"/>
    <n v="203.3"/>
    <x v="16"/>
    <x v="0"/>
    <x v="0"/>
    <n v="1016.5"/>
    <m/>
    <m/>
    <n v="7"/>
  </r>
  <r>
    <x v="5626"/>
    <x v="1120"/>
    <x v="7"/>
    <n v="3"/>
    <n v="35.19"/>
    <x v="674"/>
    <x v="6"/>
    <x v="2"/>
    <n v="105.57"/>
    <m/>
    <m/>
    <n v="7"/>
  </r>
  <r>
    <x v="5627"/>
    <x v="1121"/>
    <x v="0"/>
    <n v="4"/>
    <n v="1200.32"/>
    <x v="89"/>
    <x v="6"/>
    <x v="1"/>
    <n v="4801.28"/>
    <m/>
    <m/>
    <n v="5"/>
  </r>
  <r>
    <x v="5628"/>
    <x v="1121"/>
    <x v="0"/>
    <n v="4"/>
    <n v="1200.32"/>
    <x v="175"/>
    <x v="9"/>
    <x v="4"/>
    <n v="4801.28"/>
    <m/>
    <m/>
    <n v="5"/>
  </r>
  <r>
    <x v="5629"/>
    <x v="1121"/>
    <x v="7"/>
    <n v="2"/>
    <n v="23.46"/>
    <x v="306"/>
    <x v="0"/>
    <x v="2"/>
    <n v="46.92"/>
    <m/>
    <m/>
    <n v="5"/>
  </r>
  <r>
    <x v="5630"/>
    <x v="1121"/>
    <x v="1"/>
    <n v="3"/>
    <n v="121.98"/>
    <x v="498"/>
    <x v="9"/>
    <x v="3"/>
    <n v="365.94"/>
    <m/>
    <m/>
    <n v="5"/>
  </r>
  <r>
    <x v="5631"/>
    <x v="1121"/>
    <x v="5"/>
    <n v="5"/>
    <n v="3000.85"/>
    <x v="639"/>
    <x v="3"/>
    <x v="1"/>
    <n v="15004.25"/>
    <m/>
    <m/>
    <n v="5"/>
  </r>
  <r>
    <x v="5632"/>
    <x v="1121"/>
    <x v="0"/>
    <n v="3"/>
    <n v="900.24"/>
    <x v="762"/>
    <x v="6"/>
    <x v="1"/>
    <n v="2700.7200000000003"/>
    <m/>
    <m/>
    <n v="5"/>
  </r>
  <r>
    <x v="5633"/>
    <x v="1121"/>
    <x v="0"/>
    <n v="3"/>
    <n v="900.24"/>
    <x v="169"/>
    <x v="1"/>
    <x v="3"/>
    <n v="2700.7200000000003"/>
    <m/>
    <m/>
    <n v="7"/>
  </r>
  <r>
    <x v="5634"/>
    <x v="1121"/>
    <x v="2"/>
    <n v="2"/>
    <n v="10.46"/>
    <x v="252"/>
    <x v="4"/>
    <x v="2"/>
    <n v="20.92"/>
    <m/>
    <m/>
    <n v="7"/>
  </r>
  <r>
    <x v="5635"/>
    <x v="1121"/>
    <x v="6"/>
    <n v="4"/>
    <n v="143.36000000000001"/>
    <x v="741"/>
    <x v="8"/>
    <x v="0"/>
    <n v="573.44000000000005"/>
    <m/>
    <m/>
    <n v="10"/>
  </r>
  <r>
    <x v="5636"/>
    <x v="1121"/>
    <x v="0"/>
    <n v="4"/>
    <n v="1200.32"/>
    <x v="436"/>
    <x v="1"/>
    <x v="2"/>
    <n v="4801.28"/>
    <m/>
    <m/>
    <n v="10"/>
  </r>
  <r>
    <x v="5637"/>
    <x v="1121"/>
    <x v="5"/>
    <n v="3"/>
    <n v="1800.51"/>
    <x v="554"/>
    <x v="6"/>
    <x v="1"/>
    <n v="5401.53"/>
    <m/>
    <m/>
    <n v="10"/>
  </r>
  <r>
    <x v="5638"/>
    <x v="1122"/>
    <x v="2"/>
    <n v="4"/>
    <n v="20.92"/>
    <x v="775"/>
    <x v="0"/>
    <x v="0"/>
    <n v="83.68"/>
    <m/>
    <m/>
    <n v="5"/>
  </r>
  <r>
    <x v="5639"/>
    <x v="1122"/>
    <x v="0"/>
    <n v="2"/>
    <n v="600.16"/>
    <x v="794"/>
    <x v="6"/>
    <x v="2"/>
    <n v="1200.32"/>
    <m/>
    <m/>
    <n v="5"/>
  </r>
  <r>
    <x v="5640"/>
    <x v="1122"/>
    <x v="1"/>
    <n v="3"/>
    <n v="121.98"/>
    <x v="129"/>
    <x v="6"/>
    <x v="0"/>
    <n v="365.94"/>
    <m/>
    <m/>
    <n v="7"/>
  </r>
  <r>
    <x v="5641"/>
    <x v="1122"/>
    <x v="2"/>
    <n v="2"/>
    <n v="10.46"/>
    <x v="376"/>
    <x v="0"/>
    <x v="3"/>
    <n v="20.92"/>
    <m/>
    <m/>
    <n v="7"/>
  </r>
  <r>
    <x v="5642"/>
    <x v="1122"/>
    <x v="2"/>
    <n v="2"/>
    <n v="10.46"/>
    <x v="272"/>
    <x v="4"/>
    <x v="1"/>
    <n v="20.92"/>
    <m/>
    <m/>
    <n v="7"/>
  </r>
  <r>
    <x v="5643"/>
    <x v="1122"/>
    <x v="6"/>
    <n v="3"/>
    <n v="107.52"/>
    <x v="340"/>
    <x v="1"/>
    <x v="4"/>
    <n v="322.56"/>
    <m/>
    <m/>
    <n v="7"/>
  </r>
  <r>
    <x v="5644"/>
    <x v="1122"/>
    <x v="2"/>
    <n v="4"/>
    <n v="20.92"/>
    <x v="259"/>
    <x v="9"/>
    <x v="3"/>
    <n v="83.68"/>
    <m/>
    <m/>
    <n v="7"/>
  </r>
  <r>
    <x v="5645"/>
    <x v="1122"/>
    <x v="2"/>
    <n v="3"/>
    <n v="15.69"/>
    <x v="667"/>
    <x v="7"/>
    <x v="1"/>
    <n v="47.07"/>
    <m/>
    <m/>
    <n v="7"/>
  </r>
  <r>
    <x v="5646"/>
    <x v="1123"/>
    <x v="4"/>
    <n v="3"/>
    <n v="3150"/>
    <x v="57"/>
    <x v="4"/>
    <x v="4"/>
    <n v="9450"/>
    <m/>
    <m/>
    <n v="5"/>
  </r>
  <r>
    <x v="5647"/>
    <x v="1123"/>
    <x v="7"/>
    <n v="4"/>
    <n v="46.92"/>
    <x v="261"/>
    <x v="1"/>
    <x v="3"/>
    <n v="187.68"/>
    <m/>
    <m/>
    <n v="5"/>
  </r>
  <r>
    <x v="5648"/>
    <x v="1123"/>
    <x v="4"/>
    <n v="5"/>
    <n v="5250"/>
    <x v="315"/>
    <x v="9"/>
    <x v="0"/>
    <n v="26250"/>
    <m/>
    <m/>
    <n v="5"/>
  </r>
  <r>
    <x v="5649"/>
    <x v="1123"/>
    <x v="6"/>
    <n v="1"/>
    <n v="35.840000000000003"/>
    <x v="703"/>
    <x v="9"/>
    <x v="4"/>
    <n v="35.840000000000003"/>
    <m/>
    <m/>
    <n v="7"/>
  </r>
  <r>
    <x v="5650"/>
    <x v="1123"/>
    <x v="7"/>
    <n v="2"/>
    <n v="23.46"/>
    <x v="342"/>
    <x v="1"/>
    <x v="2"/>
    <n v="46.92"/>
    <m/>
    <m/>
    <n v="7"/>
  </r>
  <r>
    <x v="5651"/>
    <x v="1123"/>
    <x v="1"/>
    <n v="3"/>
    <n v="121.98"/>
    <x v="450"/>
    <x v="5"/>
    <x v="1"/>
    <n v="365.94"/>
    <m/>
    <m/>
    <n v="7"/>
  </r>
  <r>
    <x v="5652"/>
    <x v="1123"/>
    <x v="7"/>
    <n v="3"/>
    <n v="35.19"/>
    <x v="702"/>
    <x v="4"/>
    <x v="0"/>
    <n v="105.57"/>
    <m/>
    <m/>
    <n v="7"/>
  </r>
  <r>
    <x v="5653"/>
    <x v="1124"/>
    <x v="5"/>
    <n v="4"/>
    <n v="2400.6799999999998"/>
    <x v="629"/>
    <x v="1"/>
    <x v="1"/>
    <n v="9602.7199999999993"/>
    <m/>
    <m/>
    <n v="5"/>
  </r>
  <r>
    <x v="5654"/>
    <x v="1124"/>
    <x v="4"/>
    <n v="5"/>
    <n v="5250"/>
    <x v="360"/>
    <x v="6"/>
    <x v="4"/>
    <n v="26250"/>
    <m/>
    <m/>
    <n v="7"/>
  </r>
  <r>
    <x v="5655"/>
    <x v="1124"/>
    <x v="2"/>
    <n v="1"/>
    <n v="5.23"/>
    <x v="155"/>
    <x v="8"/>
    <x v="2"/>
    <n v="5.23"/>
    <m/>
    <m/>
    <n v="10"/>
  </r>
  <r>
    <x v="5656"/>
    <x v="1124"/>
    <x v="1"/>
    <n v="4"/>
    <n v="162.63999999999999"/>
    <x v="165"/>
    <x v="7"/>
    <x v="1"/>
    <n v="650.55999999999995"/>
    <m/>
    <m/>
    <n v="10"/>
  </r>
  <r>
    <x v="5657"/>
    <x v="1124"/>
    <x v="0"/>
    <n v="4"/>
    <n v="1200.32"/>
    <x v="682"/>
    <x v="6"/>
    <x v="0"/>
    <n v="4801.28"/>
    <m/>
    <m/>
    <n v="10"/>
  </r>
  <r>
    <x v="5658"/>
    <x v="1125"/>
    <x v="7"/>
    <n v="1"/>
    <n v="11.73"/>
    <x v="221"/>
    <x v="4"/>
    <x v="4"/>
    <n v="11.73"/>
    <m/>
    <m/>
    <n v="5"/>
  </r>
  <r>
    <x v="5659"/>
    <x v="1125"/>
    <x v="3"/>
    <n v="2"/>
    <n v="30.3"/>
    <x v="678"/>
    <x v="8"/>
    <x v="4"/>
    <n v="60.6"/>
    <m/>
    <m/>
    <n v="5"/>
  </r>
  <r>
    <x v="5660"/>
    <x v="1125"/>
    <x v="3"/>
    <n v="3"/>
    <n v="45.45"/>
    <x v="315"/>
    <x v="7"/>
    <x v="3"/>
    <n v="136.35000000000002"/>
    <m/>
    <m/>
    <n v="5"/>
  </r>
  <r>
    <x v="5661"/>
    <x v="1125"/>
    <x v="0"/>
    <n v="3"/>
    <n v="900.24"/>
    <x v="300"/>
    <x v="6"/>
    <x v="2"/>
    <n v="2700.7200000000003"/>
    <m/>
    <m/>
    <n v="5"/>
  </r>
  <r>
    <x v="5662"/>
    <x v="1125"/>
    <x v="2"/>
    <n v="3"/>
    <n v="15.69"/>
    <x v="477"/>
    <x v="6"/>
    <x v="2"/>
    <n v="47.07"/>
    <m/>
    <m/>
    <n v="5"/>
  </r>
  <r>
    <x v="5663"/>
    <x v="1125"/>
    <x v="7"/>
    <n v="3"/>
    <n v="35.19"/>
    <x v="700"/>
    <x v="0"/>
    <x v="4"/>
    <n v="105.57"/>
    <m/>
    <m/>
    <n v="7"/>
  </r>
  <r>
    <x v="5664"/>
    <x v="1125"/>
    <x v="1"/>
    <n v="1"/>
    <n v="40.659999999999997"/>
    <x v="674"/>
    <x v="1"/>
    <x v="0"/>
    <n v="40.659999999999997"/>
    <m/>
    <m/>
    <n v="7"/>
  </r>
  <r>
    <x v="5665"/>
    <x v="1125"/>
    <x v="4"/>
    <n v="1"/>
    <n v="1050"/>
    <x v="67"/>
    <x v="1"/>
    <x v="3"/>
    <n v="1050"/>
    <m/>
    <m/>
    <n v="7"/>
  </r>
  <r>
    <x v="5666"/>
    <x v="1126"/>
    <x v="7"/>
    <n v="1"/>
    <n v="11.73"/>
    <x v="244"/>
    <x v="7"/>
    <x v="0"/>
    <n v="11.73"/>
    <m/>
    <m/>
    <n v="5"/>
  </r>
  <r>
    <x v="5667"/>
    <x v="1126"/>
    <x v="1"/>
    <n v="2"/>
    <n v="81.319999999999993"/>
    <x v="57"/>
    <x v="1"/>
    <x v="4"/>
    <n v="162.63999999999999"/>
    <m/>
    <m/>
    <n v="5"/>
  </r>
  <r>
    <x v="5668"/>
    <x v="1126"/>
    <x v="1"/>
    <n v="1"/>
    <n v="40.659999999999997"/>
    <x v="1"/>
    <x v="1"/>
    <x v="1"/>
    <n v="40.659999999999997"/>
    <m/>
    <m/>
    <n v="5"/>
  </r>
  <r>
    <x v="5669"/>
    <x v="1126"/>
    <x v="0"/>
    <n v="4"/>
    <n v="1200.32"/>
    <x v="560"/>
    <x v="1"/>
    <x v="0"/>
    <n v="4801.28"/>
    <m/>
    <m/>
    <n v="5"/>
  </r>
  <r>
    <x v="5670"/>
    <x v="1126"/>
    <x v="2"/>
    <n v="3"/>
    <n v="15.69"/>
    <x v="223"/>
    <x v="1"/>
    <x v="4"/>
    <n v="47.07"/>
    <m/>
    <m/>
    <n v="7"/>
  </r>
  <r>
    <x v="5671"/>
    <x v="1126"/>
    <x v="3"/>
    <n v="5"/>
    <n v="75.75"/>
    <x v="760"/>
    <x v="2"/>
    <x v="4"/>
    <n v="378.75"/>
    <m/>
    <m/>
    <n v="7"/>
  </r>
  <r>
    <x v="5672"/>
    <x v="1126"/>
    <x v="1"/>
    <n v="1"/>
    <n v="40.659999999999997"/>
    <x v="411"/>
    <x v="1"/>
    <x v="1"/>
    <n v="40.659999999999997"/>
    <m/>
    <m/>
    <n v="7"/>
  </r>
  <r>
    <x v="5673"/>
    <x v="1127"/>
    <x v="0"/>
    <n v="3"/>
    <n v="900.24"/>
    <x v="65"/>
    <x v="9"/>
    <x v="0"/>
    <n v="2700.7200000000003"/>
    <m/>
    <m/>
    <n v="5"/>
  </r>
  <r>
    <x v="5674"/>
    <x v="1127"/>
    <x v="0"/>
    <n v="2"/>
    <n v="600.16"/>
    <x v="110"/>
    <x v="9"/>
    <x v="2"/>
    <n v="1200.32"/>
    <m/>
    <m/>
    <n v="7"/>
  </r>
  <r>
    <x v="5675"/>
    <x v="1127"/>
    <x v="6"/>
    <n v="1"/>
    <n v="35.840000000000003"/>
    <x v="565"/>
    <x v="6"/>
    <x v="4"/>
    <n v="35.840000000000003"/>
    <m/>
    <m/>
    <n v="7"/>
  </r>
  <r>
    <x v="5676"/>
    <x v="1128"/>
    <x v="0"/>
    <n v="2"/>
    <n v="600.16"/>
    <x v="102"/>
    <x v="3"/>
    <x v="0"/>
    <n v="1200.32"/>
    <m/>
    <m/>
    <n v="5"/>
  </r>
  <r>
    <x v="5677"/>
    <x v="1128"/>
    <x v="2"/>
    <n v="5"/>
    <n v="26.15"/>
    <x v="499"/>
    <x v="0"/>
    <x v="3"/>
    <n v="130.75"/>
    <m/>
    <m/>
    <n v="7"/>
  </r>
  <r>
    <x v="5678"/>
    <x v="1129"/>
    <x v="2"/>
    <n v="3"/>
    <n v="15.69"/>
    <x v="552"/>
    <x v="6"/>
    <x v="0"/>
    <n v="47.07"/>
    <m/>
    <m/>
    <n v="5"/>
  </r>
  <r>
    <x v="5679"/>
    <x v="1129"/>
    <x v="0"/>
    <n v="1"/>
    <n v="300.08"/>
    <x v="664"/>
    <x v="1"/>
    <x v="4"/>
    <n v="300.08"/>
    <m/>
    <m/>
    <n v="7"/>
  </r>
  <r>
    <x v="5680"/>
    <x v="1129"/>
    <x v="4"/>
    <n v="1"/>
    <n v="1050"/>
    <x v="621"/>
    <x v="2"/>
    <x v="2"/>
    <n v="1050"/>
    <m/>
    <m/>
    <n v="7"/>
  </r>
  <r>
    <x v="5681"/>
    <x v="1129"/>
    <x v="0"/>
    <n v="3"/>
    <n v="900.24"/>
    <x v="237"/>
    <x v="0"/>
    <x v="4"/>
    <n v="2700.7200000000003"/>
    <m/>
    <m/>
    <n v="7"/>
  </r>
  <r>
    <x v="5682"/>
    <x v="1129"/>
    <x v="0"/>
    <n v="2"/>
    <n v="600.16"/>
    <x v="423"/>
    <x v="6"/>
    <x v="3"/>
    <n v="1200.32"/>
    <m/>
    <m/>
    <n v="10"/>
  </r>
  <r>
    <x v="5683"/>
    <x v="1130"/>
    <x v="0"/>
    <n v="2"/>
    <n v="600.16"/>
    <x v="198"/>
    <x v="5"/>
    <x v="1"/>
    <n v="1200.32"/>
    <m/>
    <m/>
    <n v="5"/>
  </r>
  <r>
    <x v="5684"/>
    <x v="1130"/>
    <x v="6"/>
    <n v="3"/>
    <n v="107.52"/>
    <x v="145"/>
    <x v="9"/>
    <x v="2"/>
    <n v="322.56"/>
    <m/>
    <m/>
    <n v="5"/>
  </r>
  <r>
    <x v="5685"/>
    <x v="1130"/>
    <x v="1"/>
    <n v="3"/>
    <n v="121.98"/>
    <x v="296"/>
    <x v="0"/>
    <x v="3"/>
    <n v="365.94"/>
    <m/>
    <m/>
    <n v="5"/>
  </r>
  <r>
    <x v="5686"/>
    <x v="1130"/>
    <x v="5"/>
    <n v="4"/>
    <n v="2400.6799999999998"/>
    <x v="677"/>
    <x v="4"/>
    <x v="1"/>
    <n v="9602.7199999999993"/>
    <m/>
    <m/>
    <n v="5"/>
  </r>
  <r>
    <x v="5687"/>
    <x v="1130"/>
    <x v="0"/>
    <n v="1"/>
    <n v="300.08"/>
    <x v="114"/>
    <x v="1"/>
    <x v="2"/>
    <n v="300.08"/>
    <m/>
    <m/>
    <n v="7"/>
  </r>
  <r>
    <x v="5688"/>
    <x v="1130"/>
    <x v="0"/>
    <n v="4"/>
    <n v="1200.32"/>
    <x v="431"/>
    <x v="0"/>
    <x v="2"/>
    <n v="4801.28"/>
    <m/>
    <m/>
    <n v="7"/>
  </r>
  <r>
    <x v="5689"/>
    <x v="1131"/>
    <x v="0"/>
    <n v="4"/>
    <n v="1200.32"/>
    <x v="535"/>
    <x v="9"/>
    <x v="1"/>
    <n v="4801.28"/>
    <m/>
    <m/>
    <n v="5"/>
  </r>
  <r>
    <x v="5690"/>
    <x v="1131"/>
    <x v="7"/>
    <n v="4"/>
    <n v="46.92"/>
    <x v="618"/>
    <x v="9"/>
    <x v="2"/>
    <n v="187.68"/>
    <m/>
    <m/>
    <n v="5"/>
  </r>
  <r>
    <x v="5691"/>
    <x v="1131"/>
    <x v="4"/>
    <n v="2"/>
    <n v="2100"/>
    <x v="46"/>
    <x v="6"/>
    <x v="1"/>
    <n v="4200"/>
    <m/>
    <m/>
    <n v="5"/>
  </r>
  <r>
    <x v="5692"/>
    <x v="1131"/>
    <x v="7"/>
    <n v="3"/>
    <n v="35.19"/>
    <x v="228"/>
    <x v="6"/>
    <x v="1"/>
    <n v="105.57"/>
    <m/>
    <m/>
    <n v="7"/>
  </r>
  <r>
    <x v="5693"/>
    <x v="1131"/>
    <x v="1"/>
    <n v="4"/>
    <n v="162.63999999999999"/>
    <x v="444"/>
    <x v="0"/>
    <x v="4"/>
    <n v="650.55999999999995"/>
    <m/>
    <m/>
    <n v="7"/>
  </r>
  <r>
    <x v="5694"/>
    <x v="1131"/>
    <x v="0"/>
    <n v="4"/>
    <n v="1200.32"/>
    <x v="200"/>
    <x v="1"/>
    <x v="1"/>
    <n v="4801.28"/>
    <m/>
    <m/>
    <n v="10"/>
  </r>
  <r>
    <x v="5695"/>
    <x v="1132"/>
    <x v="0"/>
    <n v="5"/>
    <n v="1500.4"/>
    <x v="745"/>
    <x v="2"/>
    <x v="3"/>
    <n v="7502"/>
    <m/>
    <m/>
    <n v="5"/>
  </r>
  <r>
    <x v="5696"/>
    <x v="1132"/>
    <x v="0"/>
    <n v="4"/>
    <n v="1200.32"/>
    <x v="476"/>
    <x v="7"/>
    <x v="2"/>
    <n v="4801.28"/>
    <m/>
    <m/>
    <n v="7"/>
  </r>
  <r>
    <x v="5697"/>
    <x v="1133"/>
    <x v="0"/>
    <n v="3"/>
    <n v="900.24"/>
    <x v="150"/>
    <x v="1"/>
    <x v="1"/>
    <n v="2700.7200000000003"/>
    <m/>
    <m/>
    <n v="5"/>
  </r>
  <r>
    <x v="5698"/>
    <x v="1133"/>
    <x v="0"/>
    <n v="1"/>
    <n v="300.08"/>
    <x v="754"/>
    <x v="0"/>
    <x v="1"/>
    <n v="300.08"/>
    <m/>
    <m/>
    <n v="7"/>
  </r>
  <r>
    <x v="5699"/>
    <x v="1133"/>
    <x v="0"/>
    <n v="3"/>
    <n v="900.24"/>
    <x v="578"/>
    <x v="1"/>
    <x v="3"/>
    <n v="2700.7200000000003"/>
    <m/>
    <m/>
    <n v="7"/>
  </r>
  <r>
    <x v="5700"/>
    <x v="1133"/>
    <x v="0"/>
    <n v="3"/>
    <n v="900.24"/>
    <x v="61"/>
    <x v="0"/>
    <x v="4"/>
    <n v="2700.7200000000003"/>
    <m/>
    <m/>
    <n v="10"/>
  </r>
  <r>
    <x v="5701"/>
    <x v="1134"/>
    <x v="0"/>
    <n v="3"/>
    <n v="900.24"/>
    <x v="15"/>
    <x v="2"/>
    <x v="3"/>
    <n v="2700.7200000000003"/>
    <m/>
    <m/>
    <n v="5"/>
  </r>
  <r>
    <x v="5702"/>
    <x v="1134"/>
    <x v="2"/>
    <n v="5"/>
    <n v="26.15"/>
    <x v="443"/>
    <x v="7"/>
    <x v="2"/>
    <n v="130.75"/>
    <m/>
    <m/>
    <n v="7"/>
  </r>
  <r>
    <x v="5703"/>
    <x v="1135"/>
    <x v="4"/>
    <n v="1"/>
    <n v="1050"/>
    <x v="507"/>
    <x v="9"/>
    <x v="0"/>
    <n v="1050"/>
    <m/>
    <m/>
    <n v="7"/>
  </r>
  <r>
    <x v="5704"/>
    <x v="1136"/>
    <x v="4"/>
    <n v="2"/>
    <n v="2100"/>
    <x v="684"/>
    <x v="1"/>
    <x v="3"/>
    <n v="4200"/>
    <m/>
    <m/>
    <n v="7"/>
  </r>
  <r>
    <x v="5705"/>
    <x v="1136"/>
    <x v="1"/>
    <n v="2"/>
    <n v="81.319999999999993"/>
    <x v="760"/>
    <x v="1"/>
    <x v="1"/>
    <n v="162.63999999999999"/>
    <m/>
    <m/>
    <n v="7"/>
  </r>
  <r>
    <x v="5706"/>
    <x v="1136"/>
    <x v="7"/>
    <n v="4"/>
    <n v="46.92"/>
    <x v="125"/>
    <x v="0"/>
    <x v="2"/>
    <n v="187.68"/>
    <m/>
    <m/>
    <n v="7"/>
  </r>
  <r>
    <x v="5707"/>
    <x v="1136"/>
    <x v="0"/>
    <n v="1"/>
    <n v="300.08"/>
    <x v="511"/>
    <x v="1"/>
    <x v="0"/>
    <n v="300.08"/>
    <m/>
    <m/>
    <n v="7"/>
  </r>
  <r>
    <x v="5708"/>
    <x v="1136"/>
    <x v="0"/>
    <n v="4"/>
    <n v="1200.32"/>
    <x v="178"/>
    <x v="1"/>
    <x v="3"/>
    <n v="4801.28"/>
    <m/>
    <m/>
    <n v="7"/>
  </r>
  <r>
    <x v="5709"/>
    <x v="1136"/>
    <x v="1"/>
    <n v="5"/>
    <n v="203.3"/>
    <x v="402"/>
    <x v="3"/>
    <x v="3"/>
    <n v="1016.5"/>
    <m/>
    <m/>
    <n v="10"/>
  </r>
  <r>
    <x v="5710"/>
    <x v="1137"/>
    <x v="2"/>
    <n v="4"/>
    <n v="20.92"/>
    <x v="180"/>
    <x v="2"/>
    <x v="1"/>
    <n v="83.68"/>
    <m/>
    <m/>
    <n v="5"/>
  </r>
  <r>
    <x v="5711"/>
    <x v="1137"/>
    <x v="6"/>
    <n v="3"/>
    <n v="107.52"/>
    <x v="544"/>
    <x v="1"/>
    <x v="3"/>
    <n v="322.56"/>
    <m/>
    <m/>
    <n v="7"/>
  </r>
  <r>
    <x v="5712"/>
    <x v="1137"/>
    <x v="6"/>
    <n v="4"/>
    <n v="143.36000000000001"/>
    <x v="592"/>
    <x v="4"/>
    <x v="4"/>
    <n v="573.44000000000005"/>
    <m/>
    <m/>
    <n v="7"/>
  </r>
  <r>
    <x v="5713"/>
    <x v="1138"/>
    <x v="4"/>
    <n v="3"/>
    <n v="3150"/>
    <x v="278"/>
    <x v="3"/>
    <x v="2"/>
    <n v="9450"/>
    <m/>
    <m/>
    <n v="5"/>
  </r>
  <r>
    <x v="5714"/>
    <x v="1138"/>
    <x v="2"/>
    <n v="1"/>
    <n v="5.23"/>
    <x v="18"/>
    <x v="2"/>
    <x v="0"/>
    <n v="5.23"/>
    <m/>
    <m/>
    <n v="7"/>
  </r>
  <r>
    <x v="5715"/>
    <x v="1138"/>
    <x v="5"/>
    <n v="3"/>
    <n v="1800.51"/>
    <x v="577"/>
    <x v="4"/>
    <x v="4"/>
    <n v="5401.53"/>
    <m/>
    <m/>
    <n v="7"/>
  </r>
  <r>
    <x v="5716"/>
    <x v="1138"/>
    <x v="1"/>
    <n v="1"/>
    <n v="40.659999999999997"/>
    <x v="56"/>
    <x v="6"/>
    <x v="1"/>
    <n v="40.659999999999997"/>
    <m/>
    <m/>
    <n v="7"/>
  </r>
  <r>
    <x v="5717"/>
    <x v="1139"/>
    <x v="1"/>
    <n v="4"/>
    <n v="162.63999999999999"/>
    <x v="582"/>
    <x v="5"/>
    <x v="1"/>
    <n v="650.55999999999995"/>
    <m/>
    <m/>
    <n v="5"/>
  </r>
  <r>
    <x v="5718"/>
    <x v="1139"/>
    <x v="1"/>
    <n v="4"/>
    <n v="162.63999999999999"/>
    <x v="79"/>
    <x v="1"/>
    <x v="1"/>
    <n v="650.55999999999995"/>
    <m/>
    <m/>
    <n v="5"/>
  </r>
  <r>
    <x v="5719"/>
    <x v="1139"/>
    <x v="0"/>
    <n v="1"/>
    <n v="300.08"/>
    <x v="439"/>
    <x v="9"/>
    <x v="0"/>
    <n v="300.08"/>
    <m/>
    <m/>
    <n v="7"/>
  </r>
  <r>
    <x v="5720"/>
    <x v="1139"/>
    <x v="6"/>
    <n v="2"/>
    <n v="71.680000000000007"/>
    <x v="755"/>
    <x v="6"/>
    <x v="1"/>
    <n v="143.36000000000001"/>
    <m/>
    <m/>
    <n v="7"/>
  </r>
  <r>
    <x v="5721"/>
    <x v="1139"/>
    <x v="0"/>
    <n v="5"/>
    <n v="1500.4"/>
    <x v="476"/>
    <x v="3"/>
    <x v="1"/>
    <n v="7502"/>
    <m/>
    <m/>
    <n v="7"/>
  </r>
  <r>
    <x v="5722"/>
    <x v="1139"/>
    <x v="2"/>
    <n v="3"/>
    <n v="15.69"/>
    <x v="431"/>
    <x v="7"/>
    <x v="2"/>
    <n v="47.07"/>
    <m/>
    <m/>
    <n v="7"/>
  </r>
  <r>
    <x v="5723"/>
    <x v="1140"/>
    <x v="4"/>
    <n v="1"/>
    <n v="1050"/>
    <x v="46"/>
    <x v="6"/>
    <x v="4"/>
    <n v="1050"/>
    <m/>
    <m/>
    <n v="5"/>
  </r>
  <r>
    <x v="5724"/>
    <x v="1140"/>
    <x v="0"/>
    <n v="3"/>
    <n v="900.24"/>
    <x v="29"/>
    <x v="0"/>
    <x v="2"/>
    <n v="2700.7200000000003"/>
    <m/>
    <m/>
    <n v="7"/>
  </r>
  <r>
    <x v="5725"/>
    <x v="1140"/>
    <x v="0"/>
    <n v="2"/>
    <n v="600.16"/>
    <x v="442"/>
    <x v="0"/>
    <x v="2"/>
    <n v="1200.32"/>
    <m/>
    <m/>
    <n v="10"/>
  </r>
  <r>
    <x v="5726"/>
    <x v="1141"/>
    <x v="4"/>
    <n v="2"/>
    <n v="2100"/>
    <x v="117"/>
    <x v="4"/>
    <x v="2"/>
    <n v="4200"/>
    <m/>
    <m/>
    <n v="5"/>
  </r>
  <r>
    <x v="5727"/>
    <x v="1141"/>
    <x v="0"/>
    <n v="4"/>
    <n v="1200.32"/>
    <x v="618"/>
    <x v="0"/>
    <x v="0"/>
    <n v="4801.28"/>
    <m/>
    <m/>
    <n v="5"/>
  </r>
  <r>
    <x v="5728"/>
    <x v="1141"/>
    <x v="6"/>
    <n v="5"/>
    <n v="179.2"/>
    <x v="315"/>
    <x v="3"/>
    <x v="4"/>
    <n v="896"/>
    <m/>
    <m/>
    <n v="5"/>
  </r>
  <r>
    <x v="5729"/>
    <x v="1142"/>
    <x v="1"/>
    <n v="4"/>
    <n v="162.63999999999999"/>
    <x v="17"/>
    <x v="6"/>
    <x v="4"/>
    <n v="650.55999999999995"/>
    <m/>
    <m/>
    <n v="5"/>
  </r>
  <r>
    <x v="5730"/>
    <x v="1142"/>
    <x v="0"/>
    <n v="5"/>
    <n v="1500.4"/>
    <x v="625"/>
    <x v="1"/>
    <x v="4"/>
    <n v="7502"/>
    <m/>
    <m/>
    <n v="7"/>
  </r>
  <r>
    <x v="5731"/>
    <x v="1143"/>
    <x v="7"/>
    <n v="1"/>
    <n v="11.73"/>
    <x v="33"/>
    <x v="6"/>
    <x v="0"/>
    <n v="11.73"/>
    <m/>
    <m/>
    <n v="5"/>
  </r>
  <r>
    <x v="5732"/>
    <x v="1143"/>
    <x v="1"/>
    <n v="4"/>
    <n v="162.63999999999999"/>
    <x v="766"/>
    <x v="4"/>
    <x v="0"/>
    <n v="650.55999999999995"/>
    <m/>
    <m/>
    <n v="5"/>
  </r>
  <r>
    <x v="5733"/>
    <x v="1143"/>
    <x v="0"/>
    <n v="3"/>
    <n v="900.24"/>
    <x v="375"/>
    <x v="0"/>
    <x v="0"/>
    <n v="2700.7200000000003"/>
    <m/>
    <m/>
    <n v="5"/>
  </r>
  <r>
    <x v="5734"/>
    <x v="1144"/>
    <x v="5"/>
    <n v="2"/>
    <n v="1200.3399999999999"/>
    <x v="665"/>
    <x v="1"/>
    <x v="2"/>
    <n v="2400.6799999999998"/>
    <m/>
    <m/>
    <n v="7"/>
  </r>
  <r>
    <x v="5735"/>
    <x v="1144"/>
    <x v="5"/>
    <n v="4"/>
    <n v="2400.6799999999998"/>
    <x v="235"/>
    <x v="9"/>
    <x v="1"/>
    <n v="9602.7199999999993"/>
    <m/>
    <m/>
    <n v="7"/>
  </r>
  <r>
    <x v="5736"/>
    <x v="1144"/>
    <x v="0"/>
    <n v="2"/>
    <n v="600.16"/>
    <x v="419"/>
    <x v="1"/>
    <x v="2"/>
    <n v="1200.32"/>
    <m/>
    <m/>
    <n v="7"/>
  </r>
  <r>
    <x v="5737"/>
    <x v="1145"/>
    <x v="0"/>
    <n v="5"/>
    <n v="1500.4"/>
    <x v="220"/>
    <x v="0"/>
    <x v="1"/>
    <n v="7502"/>
    <m/>
    <m/>
    <n v="5"/>
  </r>
  <r>
    <x v="5738"/>
    <x v="1145"/>
    <x v="1"/>
    <n v="5"/>
    <n v="203.3"/>
    <x v="400"/>
    <x v="6"/>
    <x v="2"/>
    <n v="1016.5"/>
    <m/>
    <m/>
    <n v="7"/>
  </r>
  <r>
    <x v="5739"/>
    <x v="1145"/>
    <x v="4"/>
    <n v="3"/>
    <n v="3150"/>
    <x v="631"/>
    <x v="0"/>
    <x v="4"/>
    <n v="9450"/>
    <m/>
    <m/>
    <n v="7"/>
  </r>
  <r>
    <x v="5740"/>
    <x v="1145"/>
    <x v="0"/>
    <n v="2"/>
    <n v="600.16"/>
    <x v="733"/>
    <x v="6"/>
    <x v="2"/>
    <n v="1200.32"/>
    <m/>
    <m/>
    <n v="7"/>
  </r>
  <r>
    <x v="5741"/>
    <x v="1146"/>
    <x v="1"/>
    <n v="5"/>
    <n v="203.3"/>
    <x v="244"/>
    <x v="3"/>
    <x v="1"/>
    <n v="1016.5"/>
    <m/>
    <m/>
    <n v="5"/>
  </r>
  <r>
    <x v="5742"/>
    <x v="1146"/>
    <x v="4"/>
    <n v="4"/>
    <n v="4200"/>
    <x v="144"/>
    <x v="7"/>
    <x v="4"/>
    <n v="16800"/>
    <m/>
    <m/>
    <n v="5"/>
  </r>
  <r>
    <x v="5743"/>
    <x v="1146"/>
    <x v="0"/>
    <n v="5"/>
    <n v="1500.4"/>
    <x v="525"/>
    <x v="2"/>
    <x v="3"/>
    <n v="7502"/>
    <m/>
    <m/>
    <n v="5"/>
  </r>
  <r>
    <x v="5744"/>
    <x v="1146"/>
    <x v="0"/>
    <n v="2"/>
    <n v="600.16"/>
    <x v="534"/>
    <x v="8"/>
    <x v="3"/>
    <n v="1200.32"/>
    <m/>
    <m/>
    <n v="5"/>
  </r>
  <r>
    <x v="5745"/>
    <x v="1146"/>
    <x v="0"/>
    <n v="1"/>
    <n v="300.08"/>
    <x v="395"/>
    <x v="4"/>
    <x v="4"/>
    <n v="300.08"/>
    <m/>
    <m/>
    <n v="7"/>
  </r>
  <r>
    <x v="5746"/>
    <x v="1146"/>
    <x v="5"/>
    <n v="2"/>
    <n v="1200.3399999999999"/>
    <x v="628"/>
    <x v="1"/>
    <x v="4"/>
    <n v="2400.6799999999998"/>
    <m/>
    <m/>
    <n v="10"/>
  </r>
  <r>
    <x v="5747"/>
    <x v="1147"/>
    <x v="5"/>
    <n v="1"/>
    <n v="600.16999999999996"/>
    <x v="6"/>
    <x v="0"/>
    <x v="1"/>
    <n v="600.16999999999996"/>
    <m/>
    <m/>
    <n v="7"/>
  </r>
  <r>
    <x v="5748"/>
    <x v="1147"/>
    <x v="0"/>
    <n v="3"/>
    <n v="900.24"/>
    <x v="413"/>
    <x v="1"/>
    <x v="0"/>
    <n v="2700.7200000000003"/>
    <m/>
    <m/>
    <n v="7"/>
  </r>
  <r>
    <x v="5749"/>
    <x v="1147"/>
    <x v="0"/>
    <n v="1"/>
    <n v="300.08"/>
    <x v="165"/>
    <x v="4"/>
    <x v="0"/>
    <n v="300.08"/>
    <m/>
    <m/>
    <n v="10"/>
  </r>
  <r>
    <x v="5750"/>
    <x v="1148"/>
    <x v="0"/>
    <n v="3"/>
    <n v="900.24"/>
    <x v="556"/>
    <x v="6"/>
    <x v="4"/>
    <n v="2700.7200000000003"/>
    <m/>
    <m/>
    <n v="5"/>
  </r>
  <r>
    <x v="5751"/>
    <x v="1148"/>
    <x v="0"/>
    <n v="4"/>
    <n v="1200.32"/>
    <x v="368"/>
    <x v="7"/>
    <x v="3"/>
    <n v="4801.28"/>
    <m/>
    <m/>
    <n v="7"/>
  </r>
  <r>
    <x v="5752"/>
    <x v="1148"/>
    <x v="0"/>
    <n v="3"/>
    <n v="900.24"/>
    <x v="274"/>
    <x v="0"/>
    <x v="1"/>
    <n v="2700.7200000000003"/>
    <m/>
    <m/>
    <n v="7"/>
  </r>
  <r>
    <x v="5753"/>
    <x v="1149"/>
    <x v="0"/>
    <n v="4"/>
    <n v="1200.32"/>
    <x v="304"/>
    <x v="2"/>
    <x v="4"/>
    <n v="4801.28"/>
    <m/>
    <m/>
    <n v="5"/>
  </r>
  <r>
    <x v="5754"/>
    <x v="1149"/>
    <x v="4"/>
    <n v="2"/>
    <n v="2100"/>
    <x v="257"/>
    <x v="9"/>
    <x v="1"/>
    <n v="4200"/>
    <m/>
    <m/>
    <n v="5"/>
  </r>
  <r>
    <x v="5755"/>
    <x v="1149"/>
    <x v="0"/>
    <n v="1"/>
    <n v="300.08"/>
    <x v="91"/>
    <x v="0"/>
    <x v="1"/>
    <n v="300.08"/>
    <m/>
    <m/>
    <n v="5"/>
  </r>
  <r>
    <x v="5756"/>
    <x v="1149"/>
    <x v="0"/>
    <n v="1"/>
    <n v="300.08"/>
    <x v="530"/>
    <x v="6"/>
    <x v="4"/>
    <n v="300.08"/>
    <m/>
    <m/>
    <n v="7"/>
  </r>
  <r>
    <x v="5757"/>
    <x v="1149"/>
    <x v="3"/>
    <n v="4"/>
    <n v="60.6"/>
    <x v="418"/>
    <x v="3"/>
    <x v="4"/>
    <n v="242.4"/>
    <m/>
    <m/>
    <n v="7"/>
  </r>
  <r>
    <x v="5758"/>
    <x v="1149"/>
    <x v="5"/>
    <n v="5"/>
    <n v="3000.85"/>
    <x v="625"/>
    <x v="0"/>
    <x v="2"/>
    <n v="15004.25"/>
    <m/>
    <m/>
    <n v="7"/>
  </r>
  <r>
    <x v="5759"/>
    <x v="1149"/>
    <x v="4"/>
    <n v="5"/>
    <n v="5250"/>
    <x v="32"/>
    <x v="1"/>
    <x v="4"/>
    <n v="26250"/>
    <m/>
    <m/>
    <n v="7"/>
  </r>
  <r>
    <x v="5760"/>
    <x v="1150"/>
    <x v="6"/>
    <n v="2"/>
    <n v="71.680000000000007"/>
    <x v="642"/>
    <x v="4"/>
    <x v="2"/>
    <n v="143.36000000000001"/>
    <m/>
    <m/>
    <n v="5"/>
  </r>
  <r>
    <x v="5761"/>
    <x v="1150"/>
    <x v="2"/>
    <n v="3"/>
    <n v="15.69"/>
    <x v="150"/>
    <x v="6"/>
    <x v="0"/>
    <n v="47.07"/>
    <m/>
    <m/>
    <n v="5"/>
  </r>
  <r>
    <x v="5762"/>
    <x v="1150"/>
    <x v="1"/>
    <n v="3"/>
    <n v="121.98"/>
    <x v="235"/>
    <x v="4"/>
    <x v="0"/>
    <n v="365.94"/>
    <m/>
    <m/>
    <n v="7"/>
  </r>
  <r>
    <x v="5763"/>
    <x v="1151"/>
    <x v="6"/>
    <n v="1"/>
    <n v="35.840000000000003"/>
    <x v="27"/>
    <x v="0"/>
    <x v="3"/>
    <n v="35.840000000000003"/>
    <m/>
    <m/>
    <n v="5"/>
  </r>
  <r>
    <x v="5764"/>
    <x v="1151"/>
    <x v="0"/>
    <n v="2"/>
    <n v="600.16"/>
    <x v="670"/>
    <x v="6"/>
    <x v="2"/>
    <n v="1200.32"/>
    <m/>
    <m/>
    <n v="5"/>
  </r>
  <r>
    <x v="5765"/>
    <x v="1151"/>
    <x v="7"/>
    <n v="1"/>
    <n v="11.73"/>
    <x v="363"/>
    <x v="1"/>
    <x v="3"/>
    <n v="11.73"/>
    <m/>
    <m/>
    <n v="7"/>
  </r>
  <r>
    <x v="5766"/>
    <x v="1151"/>
    <x v="0"/>
    <n v="3"/>
    <n v="900.24"/>
    <x v="451"/>
    <x v="0"/>
    <x v="1"/>
    <n v="2700.7200000000003"/>
    <m/>
    <m/>
    <n v="10"/>
  </r>
  <r>
    <x v="5767"/>
    <x v="1152"/>
    <x v="5"/>
    <n v="1"/>
    <n v="600.16999999999996"/>
    <x v="46"/>
    <x v="6"/>
    <x v="0"/>
    <n v="600.16999999999996"/>
    <m/>
    <m/>
    <n v="5"/>
  </r>
  <r>
    <x v="5768"/>
    <x v="1152"/>
    <x v="7"/>
    <n v="1"/>
    <n v="11.73"/>
    <x v="140"/>
    <x v="7"/>
    <x v="2"/>
    <n v="11.73"/>
    <m/>
    <m/>
    <n v="7"/>
  </r>
  <r>
    <x v="5769"/>
    <x v="1152"/>
    <x v="5"/>
    <n v="5"/>
    <n v="3000.85"/>
    <x v="740"/>
    <x v="0"/>
    <x v="1"/>
    <n v="15004.25"/>
    <m/>
    <m/>
    <n v="7"/>
  </r>
  <r>
    <x v="5770"/>
    <x v="1152"/>
    <x v="6"/>
    <n v="3"/>
    <n v="107.52"/>
    <x v="260"/>
    <x v="6"/>
    <x v="2"/>
    <n v="322.56"/>
    <m/>
    <m/>
    <n v="7"/>
  </r>
  <r>
    <x v="5771"/>
    <x v="1152"/>
    <x v="5"/>
    <n v="2"/>
    <n v="1200.3399999999999"/>
    <x v="449"/>
    <x v="3"/>
    <x v="4"/>
    <n v="2400.6799999999998"/>
    <m/>
    <m/>
    <n v="7"/>
  </r>
  <r>
    <x v="5772"/>
    <x v="1152"/>
    <x v="0"/>
    <n v="4"/>
    <n v="1200.32"/>
    <x v="243"/>
    <x v="4"/>
    <x v="0"/>
    <n v="4801.28"/>
    <m/>
    <m/>
    <n v="7"/>
  </r>
  <r>
    <x v="5773"/>
    <x v="1152"/>
    <x v="6"/>
    <n v="3"/>
    <n v="107.52"/>
    <x v="50"/>
    <x v="5"/>
    <x v="4"/>
    <n v="322.56"/>
    <m/>
    <m/>
    <n v="10"/>
  </r>
  <r>
    <x v="5774"/>
    <x v="1153"/>
    <x v="2"/>
    <n v="4"/>
    <n v="20.92"/>
    <x v="550"/>
    <x v="0"/>
    <x v="0"/>
    <n v="83.68"/>
    <m/>
    <m/>
    <n v="5"/>
  </r>
  <r>
    <x v="5775"/>
    <x v="1153"/>
    <x v="0"/>
    <n v="3"/>
    <n v="900.24"/>
    <x v="128"/>
    <x v="4"/>
    <x v="1"/>
    <n v="2700.7200000000003"/>
    <m/>
    <m/>
    <n v="5"/>
  </r>
  <r>
    <x v="5776"/>
    <x v="1153"/>
    <x v="6"/>
    <n v="4"/>
    <n v="143.36000000000001"/>
    <x v="235"/>
    <x v="2"/>
    <x v="0"/>
    <n v="573.44000000000005"/>
    <m/>
    <m/>
    <n v="7"/>
  </r>
  <r>
    <x v="5777"/>
    <x v="1153"/>
    <x v="3"/>
    <n v="3"/>
    <n v="45.45"/>
    <x v="273"/>
    <x v="0"/>
    <x v="1"/>
    <n v="136.35000000000002"/>
    <m/>
    <m/>
    <n v="7"/>
  </r>
  <r>
    <x v="5778"/>
    <x v="1153"/>
    <x v="6"/>
    <n v="2"/>
    <n v="71.680000000000007"/>
    <x v="4"/>
    <x v="7"/>
    <x v="1"/>
    <n v="143.36000000000001"/>
    <m/>
    <m/>
    <n v="7"/>
  </r>
  <r>
    <x v="5779"/>
    <x v="1153"/>
    <x v="5"/>
    <n v="4"/>
    <n v="2400.6799999999998"/>
    <x v="368"/>
    <x v="3"/>
    <x v="2"/>
    <n v="9602.7199999999993"/>
    <m/>
    <m/>
    <n v="7"/>
  </r>
  <r>
    <x v="5780"/>
    <x v="1153"/>
    <x v="0"/>
    <n v="1"/>
    <n v="300.08"/>
    <x v="165"/>
    <x v="4"/>
    <x v="1"/>
    <n v="300.08"/>
    <m/>
    <m/>
    <n v="10"/>
  </r>
  <r>
    <x v="5781"/>
    <x v="1154"/>
    <x v="1"/>
    <n v="2"/>
    <n v="81.319999999999993"/>
    <x v="80"/>
    <x v="9"/>
    <x v="0"/>
    <n v="162.63999999999999"/>
    <m/>
    <m/>
    <n v="5"/>
  </r>
  <r>
    <x v="5782"/>
    <x v="1154"/>
    <x v="2"/>
    <n v="5"/>
    <n v="26.15"/>
    <x v="239"/>
    <x v="0"/>
    <x v="4"/>
    <n v="130.75"/>
    <m/>
    <m/>
    <n v="5"/>
  </r>
  <r>
    <x v="5783"/>
    <x v="1154"/>
    <x v="2"/>
    <n v="1"/>
    <n v="5.23"/>
    <x v="101"/>
    <x v="6"/>
    <x v="4"/>
    <n v="5.23"/>
    <m/>
    <m/>
    <n v="5"/>
  </r>
  <r>
    <x v="5784"/>
    <x v="1154"/>
    <x v="7"/>
    <n v="2"/>
    <n v="23.46"/>
    <x v="187"/>
    <x v="0"/>
    <x v="4"/>
    <n v="46.92"/>
    <m/>
    <m/>
    <n v="5"/>
  </r>
  <r>
    <x v="5785"/>
    <x v="1154"/>
    <x v="1"/>
    <n v="4"/>
    <n v="162.63999999999999"/>
    <x v="773"/>
    <x v="6"/>
    <x v="2"/>
    <n v="650.55999999999995"/>
    <m/>
    <m/>
    <n v="5"/>
  </r>
  <r>
    <x v="5786"/>
    <x v="1154"/>
    <x v="1"/>
    <n v="5"/>
    <n v="203.3"/>
    <x v="147"/>
    <x v="6"/>
    <x v="0"/>
    <n v="1016.5"/>
    <m/>
    <m/>
    <n v="5"/>
  </r>
  <r>
    <x v="5787"/>
    <x v="1154"/>
    <x v="2"/>
    <n v="2"/>
    <n v="10.46"/>
    <x v="66"/>
    <x v="5"/>
    <x v="3"/>
    <n v="20.92"/>
    <m/>
    <m/>
    <n v="7"/>
  </r>
  <r>
    <x v="5788"/>
    <x v="1155"/>
    <x v="4"/>
    <n v="1"/>
    <n v="1050"/>
    <x v="162"/>
    <x v="6"/>
    <x v="0"/>
    <n v="1050"/>
    <m/>
    <m/>
    <n v="5"/>
  </r>
  <r>
    <x v="5789"/>
    <x v="1155"/>
    <x v="3"/>
    <n v="5"/>
    <n v="75.75"/>
    <x v="453"/>
    <x v="0"/>
    <x v="4"/>
    <n v="378.75"/>
    <m/>
    <m/>
    <n v="5"/>
  </r>
  <r>
    <x v="5790"/>
    <x v="1155"/>
    <x v="0"/>
    <n v="3"/>
    <n v="900.24"/>
    <x v="81"/>
    <x v="8"/>
    <x v="0"/>
    <n v="2700.7200000000003"/>
    <m/>
    <m/>
    <n v="5"/>
  </r>
  <r>
    <x v="5791"/>
    <x v="1155"/>
    <x v="2"/>
    <n v="4"/>
    <n v="20.92"/>
    <x v="108"/>
    <x v="6"/>
    <x v="2"/>
    <n v="83.68"/>
    <m/>
    <m/>
    <n v="5"/>
  </r>
  <r>
    <x v="5792"/>
    <x v="1155"/>
    <x v="0"/>
    <n v="4"/>
    <n v="1200.32"/>
    <x v="410"/>
    <x v="6"/>
    <x v="2"/>
    <n v="4801.28"/>
    <m/>
    <m/>
    <n v="5"/>
  </r>
  <r>
    <x v="5793"/>
    <x v="1155"/>
    <x v="0"/>
    <n v="2"/>
    <n v="600.16"/>
    <x v="205"/>
    <x v="2"/>
    <x v="2"/>
    <n v="1200.32"/>
    <m/>
    <m/>
    <n v="7"/>
  </r>
  <r>
    <x v="5794"/>
    <x v="1155"/>
    <x v="5"/>
    <n v="1"/>
    <n v="600.16999999999996"/>
    <x v="470"/>
    <x v="9"/>
    <x v="0"/>
    <n v="600.16999999999996"/>
    <m/>
    <m/>
    <n v="7"/>
  </r>
  <r>
    <x v="5795"/>
    <x v="1155"/>
    <x v="2"/>
    <n v="3"/>
    <n v="15.69"/>
    <x v="385"/>
    <x v="4"/>
    <x v="2"/>
    <n v="47.07"/>
    <m/>
    <m/>
    <n v="10"/>
  </r>
  <r>
    <x v="5796"/>
    <x v="1156"/>
    <x v="4"/>
    <n v="3"/>
    <n v="3150"/>
    <x v="225"/>
    <x v="6"/>
    <x v="4"/>
    <n v="9450"/>
    <m/>
    <m/>
    <n v="5"/>
  </r>
  <r>
    <x v="5797"/>
    <x v="1156"/>
    <x v="0"/>
    <n v="2"/>
    <n v="600.16"/>
    <x v="15"/>
    <x v="3"/>
    <x v="1"/>
    <n v="1200.32"/>
    <m/>
    <m/>
    <n v="5"/>
  </r>
  <r>
    <x v="5798"/>
    <x v="1156"/>
    <x v="2"/>
    <n v="4"/>
    <n v="20.92"/>
    <x v="265"/>
    <x v="8"/>
    <x v="0"/>
    <n v="83.68"/>
    <m/>
    <m/>
    <n v="5"/>
  </r>
  <r>
    <x v="5799"/>
    <x v="1156"/>
    <x v="0"/>
    <n v="3"/>
    <n v="900.24"/>
    <x v="684"/>
    <x v="8"/>
    <x v="2"/>
    <n v="2700.7200000000003"/>
    <m/>
    <m/>
    <n v="7"/>
  </r>
  <r>
    <x v="5800"/>
    <x v="1156"/>
    <x v="2"/>
    <n v="2"/>
    <n v="10.46"/>
    <x v="205"/>
    <x v="6"/>
    <x v="0"/>
    <n v="20.92"/>
    <m/>
    <m/>
    <n v="7"/>
  </r>
  <r>
    <x v="5801"/>
    <x v="1157"/>
    <x v="2"/>
    <n v="2"/>
    <n v="10.46"/>
    <x v="202"/>
    <x v="1"/>
    <x v="4"/>
    <n v="20.92"/>
    <m/>
    <m/>
    <n v="5"/>
  </r>
  <r>
    <x v="5802"/>
    <x v="1157"/>
    <x v="0"/>
    <n v="1"/>
    <n v="300.08"/>
    <x v="186"/>
    <x v="6"/>
    <x v="4"/>
    <n v="300.08"/>
    <m/>
    <m/>
    <n v="5"/>
  </r>
  <r>
    <x v="5803"/>
    <x v="1157"/>
    <x v="6"/>
    <n v="3"/>
    <n v="107.52"/>
    <x v="758"/>
    <x v="9"/>
    <x v="0"/>
    <n v="322.56"/>
    <m/>
    <m/>
    <n v="5"/>
  </r>
  <r>
    <x v="5804"/>
    <x v="1157"/>
    <x v="1"/>
    <n v="3"/>
    <n v="121.98"/>
    <x v="426"/>
    <x v="7"/>
    <x v="4"/>
    <n v="365.94"/>
    <m/>
    <m/>
    <n v="7"/>
  </r>
  <r>
    <x v="5805"/>
    <x v="1157"/>
    <x v="1"/>
    <n v="1"/>
    <n v="40.659999999999997"/>
    <x v="729"/>
    <x v="6"/>
    <x v="4"/>
    <n v="40.659999999999997"/>
    <m/>
    <m/>
    <n v="7"/>
  </r>
  <r>
    <x v="5806"/>
    <x v="1157"/>
    <x v="6"/>
    <n v="4"/>
    <n v="143.36000000000001"/>
    <x v="29"/>
    <x v="6"/>
    <x v="2"/>
    <n v="573.44000000000005"/>
    <m/>
    <m/>
    <n v="7"/>
  </r>
  <r>
    <x v="5807"/>
    <x v="1157"/>
    <x v="3"/>
    <n v="3"/>
    <n v="45.45"/>
    <x v="423"/>
    <x v="1"/>
    <x v="1"/>
    <n v="136.35000000000002"/>
    <m/>
    <m/>
    <n v="10"/>
  </r>
  <r>
    <x v="5808"/>
    <x v="1158"/>
    <x v="7"/>
    <n v="3"/>
    <n v="35.19"/>
    <x v="264"/>
    <x v="1"/>
    <x v="1"/>
    <n v="105.57"/>
    <m/>
    <m/>
    <n v="5"/>
  </r>
  <r>
    <x v="5809"/>
    <x v="1158"/>
    <x v="6"/>
    <n v="4"/>
    <n v="143.36000000000001"/>
    <x v="629"/>
    <x v="0"/>
    <x v="0"/>
    <n v="573.44000000000005"/>
    <m/>
    <m/>
    <n v="5"/>
  </r>
  <r>
    <x v="5810"/>
    <x v="1158"/>
    <x v="1"/>
    <n v="2"/>
    <n v="81.319999999999993"/>
    <x v="616"/>
    <x v="9"/>
    <x v="3"/>
    <n v="162.63999999999999"/>
    <m/>
    <m/>
    <n v="5"/>
  </r>
  <r>
    <x v="5811"/>
    <x v="1158"/>
    <x v="0"/>
    <n v="3"/>
    <n v="900.24"/>
    <x v="605"/>
    <x v="7"/>
    <x v="2"/>
    <n v="2700.7200000000003"/>
    <m/>
    <m/>
    <n v="7"/>
  </r>
  <r>
    <x v="5812"/>
    <x v="1159"/>
    <x v="0"/>
    <n v="5"/>
    <n v="1500.4"/>
    <x v="648"/>
    <x v="0"/>
    <x v="0"/>
    <n v="7502"/>
    <m/>
    <m/>
    <n v="5"/>
  </r>
  <r>
    <x v="5813"/>
    <x v="1159"/>
    <x v="2"/>
    <n v="3"/>
    <n v="15.69"/>
    <x v="94"/>
    <x v="0"/>
    <x v="0"/>
    <n v="47.07"/>
    <m/>
    <m/>
    <n v="7"/>
  </r>
  <r>
    <x v="5814"/>
    <x v="1160"/>
    <x v="0"/>
    <n v="4"/>
    <n v="1200.32"/>
    <x v="145"/>
    <x v="9"/>
    <x v="3"/>
    <n v="4801.28"/>
    <m/>
    <m/>
    <n v="5"/>
  </r>
  <r>
    <x v="5815"/>
    <x v="1160"/>
    <x v="5"/>
    <n v="5"/>
    <n v="3000.85"/>
    <x v="160"/>
    <x v="7"/>
    <x v="4"/>
    <n v="15004.25"/>
    <m/>
    <m/>
    <n v="7"/>
  </r>
  <r>
    <x v="5816"/>
    <x v="1161"/>
    <x v="0"/>
    <n v="5"/>
    <n v="1500.4"/>
    <x v="619"/>
    <x v="0"/>
    <x v="4"/>
    <n v="7502"/>
    <m/>
    <m/>
    <n v="5"/>
  </r>
  <r>
    <x v="5817"/>
    <x v="1161"/>
    <x v="0"/>
    <n v="1"/>
    <n v="300.08"/>
    <x v="509"/>
    <x v="6"/>
    <x v="4"/>
    <n v="300.08"/>
    <m/>
    <m/>
    <n v="7"/>
  </r>
  <r>
    <x v="5818"/>
    <x v="1161"/>
    <x v="0"/>
    <n v="2"/>
    <n v="600.16"/>
    <x v="630"/>
    <x v="1"/>
    <x v="3"/>
    <n v="1200.32"/>
    <m/>
    <m/>
    <n v="7"/>
  </r>
  <r>
    <x v="5819"/>
    <x v="1162"/>
    <x v="2"/>
    <n v="3"/>
    <n v="15.69"/>
    <x v="108"/>
    <x v="8"/>
    <x v="4"/>
    <n v="47.07"/>
    <m/>
    <m/>
    <n v="5"/>
  </r>
  <r>
    <x v="5820"/>
    <x v="1162"/>
    <x v="2"/>
    <n v="3"/>
    <n v="15.69"/>
    <x v="348"/>
    <x v="1"/>
    <x v="4"/>
    <n v="47.07"/>
    <m/>
    <m/>
    <n v="7"/>
  </r>
  <r>
    <x v="5821"/>
    <x v="1162"/>
    <x v="0"/>
    <n v="4"/>
    <n v="1200.32"/>
    <x v="726"/>
    <x v="6"/>
    <x v="3"/>
    <n v="4801.28"/>
    <m/>
    <m/>
    <n v="7"/>
  </r>
  <r>
    <x v="5822"/>
    <x v="1163"/>
    <x v="6"/>
    <n v="3"/>
    <n v="107.52"/>
    <x v="332"/>
    <x v="0"/>
    <x v="1"/>
    <n v="322.56"/>
    <m/>
    <m/>
    <n v="5"/>
  </r>
  <r>
    <x v="5823"/>
    <x v="1163"/>
    <x v="1"/>
    <n v="1"/>
    <n v="40.659999999999997"/>
    <x v="438"/>
    <x v="1"/>
    <x v="1"/>
    <n v="40.659999999999997"/>
    <m/>
    <m/>
    <n v="5"/>
  </r>
  <r>
    <x v="5824"/>
    <x v="1163"/>
    <x v="4"/>
    <n v="4"/>
    <n v="4200"/>
    <x v="134"/>
    <x v="6"/>
    <x v="3"/>
    <n v="16800"/>
    <m/>
    <m/>
    <n v="5"/>
  </r>
  <r>
    <x v="5825"/>
    <x v="1163"/>
    <x v="2"/>
    <n v="5"/>
    <n v="26.15"/>
    <x v="435"/>
    <x v="1"/>
    <x v="1"/>
    <n v="130.75"/>
    <m/>
    <m/>
    <n v="5"/>
  </r>
  <r>
    <x v="5826"/>
    <x v="1163"/>
    <x v="3"/>
    <n v="5"/>
    <n v="75.75"/>
    <x v="19"/>
    <x v="4"/>
    <x v="4"/>
    <n v="378.75"/>
    <m/>
    <m/>
    <n v="7"/>
  </r>
  <r>
    <x v="5827"/>
    <x v="1163"/>
    <x v="2"/>
    <n v="2"/>
    <n v="10.46"/>
    <x v="409"/>
    <x v="6"/>
    <x v="0"/>
    <n v="20.92"/>
    <m/>
    <m/>
    <n v="7"/>
  </r>
  <r>
    <x v="5828"/>
    <x v="1163"/>
    <x v="2"/>
    <n v="1"/>
    <n v="5.23"/>
    <x v="620"/>
    <x v="3"/>
    <x v="4"/>
    <n v="5.23"/>
    <m/>
    <m/>
    <n v="10"/>
  </r>
  <r>
    <x v="5829"/>
    <x v="1164"/>
    <x v="1"/>
    <n v="4"/>
    <n v="162.63999999999999"/>
    <x v="149"/>
    <x v="4"/>
    <x v="4"/>
    <n v="650.55999999999995"/>
    <m/>
    <m/>
    <n v="5"/>
  </r>
  <r>
    <x v="5830"/>
    <x v="1164"/>
    <x v="7"/>
    <n v="2"/>
    <n v="23.46"/>
    <x v="715"/>
    <x v="2"/>
    <x v="0"/>
    <n v="46.92"/>
    <m/>
    <m/>
    <n v="7"/>
  </r>
  <r>
    <x v="5831"/>
    <x v="1164"/>
    <x v="2"/>
    <n v="1"/>
    <n v="5.23"/>
    <x v="470"/>
    <x v="0"/>
    <x v="1"/>
    <n v="5.23"/>
    <m/>
    <m/>
    <n v="7"/>
  </r>
  <r>
    <x v="5832"/>
    <x v="1164"/>
    <x v="2"/>
    <n v="5"/>
    <n v="26.15"/>
    <x v="284"/>
    <x v="0"/>
    <x v="0"/>
    <n v="130.75"/>
    <m/>
    <m/>
    <n v="10"/>
  </r>
  <r>
    <x v="5833"/>
    <x v="1165"/>
    <x v="1"/>
    <n v="3"/>
    <n v="121.98"/>
    <x v="726"/>
    <x v="8"/>
    <x v="3"/>
    <n v="365.94"/>
    <m/>
    <m/>
    <n v="7"/>
  </r>
  <r>
    <x v="5834"/>
    <x v="1166"/>
    <x v="6"/>
    <n v="2"/>
    <n v="71.680000000000007"/>
    <x v="86"/>
    <x v="6"/>
    <x v="3"/>
    <n v="143.36000000000001"/>
    <m/>
    <m/>
    <n v="5"/>
  </r>
  <r>
    <x v="5835"/>
    <x v="1166"/>
    <x v="0"/>
    <n v="2"/>
    <n v="600.16"/>
    <x v="177"/>
    <x v="6"/>
    <x v="4"/>
    <n v="1200.32"/>
    <m/>
    <m/>
    <n v="5"/>
  </r>
  <r>
    <x v="5836"/>
    <x v="1166"/>
    <x v="3"/>
    <n v="2"/>
    <n v="30.3"/>
    <x v="587"/>
    <x v="0"/>
    <x v="1"/>
    <n v="60.6"/>
    <m/>
    <m/>
    <n v="5"/>
  </r>
  <r>
    <x v="5837"/>
    <x v="1166"/>
    <x v="0"/>
    <n v="4"/>
    <n v="1200.32"/>
    <x v="742"/>
    <x v="9"/>
    <x v="4"/>
    <n v="4801.28"/>
    <m/>
    <m/>
    <n v="7"/>
  </r>
  <r>
    <x v="5838"/>
    <x v="1166"/>
    <x v="0"/>
    <n v="3"/>
    <n v="900.24"/>
    <x v="419"/>
    <x v="0"/>
    <x v="2"/>
    <n v="2700.7200000000003"/>
    <m/>
    <m/>
    <n v="7"/>
  </r>
  <r>
    <x v="5839"/>
    <x v="1167"/>
    <x v="0"/>
    <n v="2"/>
    <n v="600.16"/>
    <x v="131"/>
    <x v="6"/>
    <x v="1"/>
    <n v="1200.32"/>
    <m/>
    <m/>
    <n v="5"/>
  </r>
  <r>
    <x v="5840"/>
    <x v="1167"/>
    <x v="2"/>
    <n v="2"/>
    <n v="10.46"/>
    <x v="420"/>
    <x v="8"/>
    <x v="4"/>
    <n v="20.92"/>
    <m/>
    <m/>
    <n v="7"/>
  </r>
  <r>
    <x v="5841"/>
    <x v="1168"/>
    <x v="2"/>
    <n v="1"/>
    <n v="5.23"/>
    <x v="63"/>
    <x v="4"/>
    <x v="1"/>
    <n v="5.23"/>
    <m/>
    <m/>
    <n v="5"/>
  </r>
  <r>
    <x v="5842"/>
    <x v="1168"/>
    <x v="0"/>
    <n v="5"/>
    <n v="1500.4"/>
    <x v="383"/>
    <x v="0"/>
    <x v="1"/>
    <n v="7502"/>
    <m/>
    <m/>
    <n v="5"/>
  </r>
  <r>
    <x v="5843"/>
    <x v="1168"/>
    <x v="0"/>
    <n v="2"/>
    <n v="600.16"/>
    <x v="787"/>
    <x v="4"/>
    <x v="0"/>
    <n v="1200.32"/>
    <m/>
    <m/>
    <n v="5"/>
  </r>
  <r>
    <x v="5844"/>
    <x v="1168"/>
    <x v="0"/>
    <n v="1"/>
    <n v="300.08"/>
    <x v="406"/>
    <x v="2"/>
    <x v="4"/>
    <n v="300.08"/>
    <m/>
    <m/>
    <n v="5"/>
  </r>
  <r>
    <x v="5845"/>
    <x v="1168"/>
    <x v="0"/>
    <n v="5"/>
    <n v="1500.4"/>
    <x v="333"/>
    <x v="6"/>
    <x v="1"/>
    <n v="7502"/>
    <m/>
    <m/>
    <n v="7"/>
  </r>
  <r>
    <x v="5846"/>
    <x v="1168"/>
    <x v="2"/>
    <n v="5"/>
    <n v="26.15"/>
    <x v="660"/>
    <x v="0"/>
    <x v="3"/>
    <n v="130.75"/>
    <m/>
    <m/>
    <n v="7"/>
  </r>
  <r>
    <x v="5847"/>
    <x v="1168"/>
    <x v="3"/>
    <n v="5"/>
    <n v="75.75"/>
    <x v="519"/>
    <x v="2"/>
    <x v="3"/>
    <n v="378.75"/>
    <m/>
    <m/>
    <n v="10"/>
  </r>
  <r>
    <x v="5848"/>
    <x v="1168"/>
    <x v="1"/>
    <n v="5"/>
    <n v="203.3"/>
    <x v="722"/>
    <x v="6"/>
    <x v="1"/>
    <n v="1016.5"/>
    <m/>
    <m/>
    <n v="10"/>
  </r>
  <r>
    <x v="5849"/>
    <x v="1169"/>
    <x v="2"/>
    <n v="5"/>
    <n v="26.15"/>
    <x v="1"/>
    <x v="0"/>
    <x v="1"/>
    <n v="130.75"/>
    <m/>
    <m/>
    <n v="5"/>
  </r>
  <r>
    <x v="5850"/>
    <x v="1169"/>
    <x v="0"/>
    <n v="2"/>
    <n v="600.16"/>
    <x v="146"/>
    <x v="0"/>
    <x v="1"/>
    <n v="1200.32"/>
    <m/>
    <m/>
    <n v="5"/>
  </r>
  <r>
    <x v="5851"/>
    <x v="1169"/>
    <x v="6"/>
    <n v="2"/>
    <n v="71.680000000000007"/>
    <x v="167"/>
    <x v="0"/>
    <x v="0"/>
    <n v="143.36000000000001"/>
    <m/>
    <m/>
    <n v="5"/>
  </r>
  <r>
    <x v="5852"/>
    <x v="1169"/>
    <x v="2"/>
    <n v="4"/>
    <n v="20.92"/>
    <x v="588"/>
    <x v="1"/>
    <x v="1"/>
    <n v="83.68"/>
    <m/>
    <m/>
    <n v="7"/>
  </r>
  <r>
    <x v="5853"/>
    <x v="1169"/>
    <x v="0"/>
    <n v="1"/>
    <n v="300.08"/>
    <x v="577"/>
    <x v="0"/>
    <x v="3"/>
    <n v="300.08"/>
    <m/>
    <m/>
    <n v="7"/>
  </r>
  <r>
    <x v="5854"/>
    <x v="1169"/>
    <x v="4"/>
    <n v="1"/>
    <n v="1050"/>
    <x v="597"/>
    <x v="5"/>
    <x v="2"/>
    <n v="1050"/>
    <m/>
    <m/>
    <n v="7"/>
  </r>
  <r>
    <x v="5855"/>
    <x v="1169"/>
    <x v="0"/>
    <n v="4"/>
    <n v="1200.32"/>
    <x v="247"/>
    <x v="4"/>
    <x v="1"/>
    <n v="4801.28"/>
    <m/>
    <m/>
    <n v="10"/>
  </r>
  <r>
    <x v="5856"/>
    <x v="1170"/>
    <x v="1"/>
    <n v="1"/>
    <n v="40.659999999999997"/>
    <x v="335"/>
    <x v="4"/>
    <x v="1"/>
    <n v="40.659999999999997"/>
    <m/>
    <m/>
    <n v="5"/>
  </r>
  <r>
    <x v="5857"/>
    <x v="1170"/>
    <x v="0"/>
    <n v="5"/>
    <n v="1500.4"/>
    <x v="525"/>
    <x v="5"/>
    <x v="1"/>
    <n v="7502"/>
    <m/>
    <m/>
    <n v="5"/>
  </r>
  <r>
    <x v="5858"/>
    <x v="1170"/>
    <x v="1"/>
    <n v="5"/>
    <n v="203.3"/>
    <x v="280"/>
    <x v="4"/>
    <x v="3"/>
    <n v="1016.5"/>
    <m/>
    <m/>
    <n v="7"/>
  </r>
  <r>
    <x v="5859"/>
    <x v="1170"/>
    <x v="0"/>
    <n v="1"/>
    <n v="300.08"/>
    <x v="511"/>
    <x v="1"/>
    <x v="2"/>
    <n v="300.08"/>
    <m/>
    <m/>
    <n v="7"/>
  </r>
  <r>
    <x v="5860"/>
    <x v="1170"/>
    <x v="5"/>
    <n v="3"/>
    <n v="1800.51"/>
    <x v="413"/>
    <x v="6"/>
    <x v="4"/>
    <n v="5401.53"/>
    <m/>
    <m/>
    <n v="7"/>
  </r>
  <r>
    <x v="5861"/>
    <x v="1171"/>
    <x v="0"/>
    <n v="1"/>
    <n v="300.08"/>
    <x v="116"/>
    <x v="3"/>
    <x v="2"/>
    <n v="300.08"/>
    <m/>
    <m/>
    <n v="5"/>
  </r>
  <r>
    <x v="5862"/>
    <x v="1171"/>
    <x v="0"/>
    <n v="5"/>
    <n v="1500.4"/>
    <x v="102"/>
    <x v="1"/>
    <x v="3"/>
    <n v="7502"/>
    <m/>
    <m/>
    <n v="5"/>
  </r>
  <r>
    <x v="5863"/>
    <x v="1171"/>
    <x v="0"/>
    <n v="5"/>
    <n v="1500.4"/>
    <x v="509"/>
    <x v="7"/>
    <x v="0"/>
    <n v="7502"/>
    <m/>
    <m/>
    <n v="7"/>
  </r>
  <r>
    <x v="5864"/>
    <x v="1171"/>
    <x v="0"/>
    <n v="5"/>
    <n v="1500.4"/>
    <x v="455"/>
    <x v="6"/>
    <x v="4"/>
    <n v="7502"/>
    <m/>
    <m/>
    <n v="7"/>
  </r>
  <r>
    <x v="5865"/>
    <x v="1171"/>
    <x v="4"/>
    <n v="4"/>
    <n v="4200"/>
    <x v="705"/>
    <x v="6"/>
    <x v="0"/>
    <n v="16800"/>
    <m/>
    <m/>
    <n v="7"/>
  </r>
  <r>
    <x v="5866"/>
    <x v="1171"/>
    <x v="0"/>
    <n v="5"/>
    <n v="1500.4"/>
    <x v="513"/>
    <x v="1"/>
    <x v="0"/>
    <n v="7502"/>
    <m/>
    <m/>
    <n v="7"/>
  </r>
  <r>
    <x v="5867"/>
    <x v="1172"/>
    <x v="6"/>
    <n v="2"/>
    <n v="71.680000000000007"/>
    <x v="730"/>
    <x v="0"/>
    <x v="1"/>
    <n v="143.36000000000001"/>
    <m/>
    <m/>
    <n v="5"/>
  </r>
  <r>
    <x v="5868"/>
    <x v="1172"/>
    <x v="2"/>
    <n v="1"/>
    <n v="5.23"/>
    <x v="410"/>
    <x v="9"/>
    <x v="1"/>
    <n v="5.23"/>
    <m/>
    <m/>
    <n v="5"/>
  </r>
  <r>
    <x v="5869"/>
    <x v="1172"/>
    <x v="6"/>
    <n v="4"/>
    <n v="143.36000000000001"/>
    <x v="788"/>
    <x v="6"/>
    <x v="4"/>
    <n v="573.44000000000005"/>
    <m/>
    <m/>
    <n v="7"/>
  </r>
  <r>
    <x v="5870"/>
    <x v="1173"/>
    <x v="0"/>
    <n v="4"/>
    <n v="1200.32"/>
    <x v="65"/>
    <x v="8"/>
    <x v="4"/>
    <n v="4801.28"/>
    <m/>
    <m/>
    <n v="5"/>
  </r>
  <r>
    <x v="5871"/>
    <x v="1173"/>
    <x v="0"/>
    <n v="4"/>
    <n v="1200.32"/>
    <x v="432"/>
    <x v="6"/>
    <x v="3"/>
    <n v="4801.28"/>
    <m/>
    <m/>
    <n v="5"/>
  </r>
  <r>
    <x v="5872"/>
    <x v="1173"/>
    <x v="3"/>
    <n v="2"/>
    <n v="30.3"/>
    <x v="135"/>
    <x v="6"/>
    <x v="1"/>
    <n v="60.6"/>
    <m/>
    <m/>
    <n v="7"/>
  </r>
  <r>
    <x v="5873"/>
    <x v="1173"/>
    <x v="5"/>
    <n v="2"/>
    <n v="1200.3399999999999"/>
    <x v="350"/>
    <x v="0"/>
    <x v="3"/>
    <n v="2400.6799999999998"/>
    <m/>
    <m/>
    <n v="7"/>
  </r>
  <r>
    <x v="5874"/>
    <x v="1173"/>
    <x v="0"/>
    <n v="5"/>
    <n v="1500.4"/>
    <x v="782"/>
    <x v="6"/>
    <x v="3"/>
    <n v="7502"/>
    <m/>
    <m/>
    <n v="7"/>
  </r>
  <r>
    <x v="5875"/>
    <x v="1173"/>
    <x v="4"/>
    <n v="2"/>
    <n v="2100"/>
    <x v="251"/>
    <x v="6"/>
    <x v="4"/>
    <n v="4200"/>
    <m/>
    <m/>
    <n v="10"/>
  </r>
  <r>
    <x v="5876"/>
    <x v="1174"/>
    <x v="3"/>
    <n v="2"/>
    <n v="30.3"/>
    <x v="198"/>
    <x v="1"/>
    <x v="1"/>
    <n v="60.6"/>
    <m/>
    <m/>
    <n v="5"/>
  </r>
  <r>
    <x v="5877"/>
    <x v="1174"/>
    <x v="0"/>
    <n v="4"/>
    <n v="1200.32"/>
    <x v="438"/>
    <x v="5"/>
    <x v="0"/>
    <n v="4801.28"/>
    <m/>
    <m/>
    <n v="5"/>
  </r>
  <r>
    <x v="5878"/>
    <x v="1174"/>
    <x v="3"/>
    <n v="3"/>
    <n v="45.45"/>
    <x v="462"/>
    <x v="6"/>
    <x v="3"/>
    <n v="136.35000000000002"/>
    <m/>
    <m/>
    <n v="5"/>
  </r>
  <r>
    <x v="5879"/>
    <x v="1174"/>
    <x v="6"/>
    <n v="3"/>
    <n v="107.52"/>
    <x v="400"/>
    <x v="4"/>
    <x v="4"/>
    <n v="322.56"/>
    <m/>
    <m/>
    <n v="7"/>
  </r>
  <r>
    <x v="5880"/>
    <x v="1174"/>
    <x v="4"/>
    <n v="5"/>
    <n v="5250"/>
    <x v="540"/>
    <x v="0"/>
    <x v="4"/>
    <n v="26250"/>
    <m/>
    <m/>
    <n v="7"/>
  </r>
  <r>
    <x v="5881"/>
    <x v="1175"/>
    <x v="0"/>
    <n v="5"/>
    <n v="1500.4"/>
    <x v="768"/>
    <x v="6"/>
    <x v="4"/>
    <n v="7502"/>
    <m/>
    <m/>
    <n v="5"/>
  </r>
  <r>
    <x v="5882"/>
    <x v="1175"/>
    <x v="0"/>
    <n v="5"/>
    <n v="1500.4"/>
    <x v="619"/>
    <x v="1"/>
    <x v="0"/>
    <n v="7502"/>
    <m/>
    <m/>
    <n v="5"/>
  </r>
  <r>
    <x v="5883"/>
    <x v="1175"/>
    <x v="2"/>
    <n v="2"/>
    <n v="10.46"/>
    <x v="329"/>
    <x v="0"/>
    <x v="2"/>
    <n v="20.92"/>
    <m/>
    <m/>
    <n v="7"/>
  </r>
  <r>
    <x v="5884"/>
    <x v="1175"/>
    <x v="6"/>
    <n v="2"/>
    <n v="71.680000000000007"/>
    <x v="701"/>
    <x v="6"/>
    <x v="3"/>
    <n v="143.36000000000001"/>
    <m/>
    <m/>
    <n v="7"/>
  </r>
  <r>
    <x v="5885"/>
    <x v="1175"/>
    <x v="3"/>
    <n v="3"/>
    <n v="45.45"/>
    <x v="561"/>
    <x v="0"/>
    <x v="0"/>
    <n v="136.35000000000002"/>
    <m/>
    <m/>
    <n v="7"/>
  </r>
  <r>
    <x v="5886"/>
    <x v="1175"/>
    <x v="2"/>
    <n v="2"/>
    <n v="10.46"/>
    <x v="284"/>
    <x v="6"/>
    <x v="0"/>
    <n v="20.92"/>
    <m/>
    <m/>
    <n v="10"/>
  </r>
  <r>
    <x v="5887"/>
    <x v="1176"/>
    <x v="2"/>
    <n v="2"/>
    <n v="10.46"/>
    <x v="560"/>
    <x v="9"/>
    <x v="1"/>
    <n v="20.92"/>
    <m/>
    <m/>
    <n v="5"/>
  </r>
  <r>
    <x v="5888"/>
    <x v="1176"/>
    <x v="3"/>
    <n v="4"/>
    <n v="60.6"/>
    <x v="343"/>
    <x v="5"/>
    <x v="2"/>
    <n v="242.4"/>
    <m/>
    <m/>
    <n v="7"/>
  </r>
  <r>
    <x v="5889"/>
    <x v="1176"/>
    <x v="2"/>
    <n v="2"/>
    <n v="10.46"/>
    <x v="235"/>
    <x v="1"/>
    <x v="3"/>
    <n v="20.92"/>
    <m/>
    <m/>
    <n v="7"/>
  </r>
  <r>
    <x v="5890"/>
    <x v="1176"/>
    <x v="0"/>
    <n v="5"/>
    <n v="1500.4"/>
    <x v="586"/>
    <x v="0"/>
    <x v="3"/>
    <n v="7502"/>
    <m/>
    <m/>
    <n v="10"/>
  </r>
  <r>
    <x v="5891"/>
    <x v="1177"/>
    <x v="6"/>
    <n v="5"/>
    <n v="179.2"/>
    <x v="300"/>
    <x v="1"/>
    <x v="4"/>
    <n v="896"/>
    <m/>
    <m/>
    <n v="5"/>
  </r>
  <r>
    <x v="5892"/>
    <x v="1177"/>
    <x v="0"/>
    <n v="4"/>
    <n v="1200.32"/>
    <x v="273"/>
    <x v="4"/>
    <x v="2"/>
    <n v="4801.28"/>
    <m/>
    <m/>
    <n v="7"/>
  </r>
  <r>
    <x v="5893"/>
    <x v="1177"/>
    <x v="1"/>
    <n v="2"/>
    <n v="81.319999999999993"/>
    <x v="578"/>
    <x v="6"/>
    <x v="0"/>
    <n v="162.63999999999999"/>
    <m/>
    <m/>
    <n v="7"/>
  </r>
  <r>
    <x v="5894"/>
    <x v="1177"/>
    <x v="2"/>
    <n v="3"/>
    <n v="15.69"/>
    <x v="734"/>
    <x v="1"/>
    <x v="0"/>
    <n v="47.07"/>
    <m/>
    <m/>
    <n v="7"/>
  </r>
  <r>
    <x v="5895"/>
    <x v="1178"/>
    <x v="1"/>
    <n v="3"/>
    <n v="121.98"/>
    <x v="434"/>
    <x v="3"/>
    <x v="2"/>
    <n v="365.94"/>
    <m/>
    <m/>
    <n v="5"/>
  </r>
  <r>
    <x v="5896"/>
    <x v="1178"/>
    <x v="1"/>
    <n v="4"/>
    <n v="162.63999999999999"/>
    <x v="750"/>
    <x v="0"/>
    <x v="2"/>
    <n v="650.55999999999995"/>
    <m/>
    <m/>
    <n v="5"/>
  </r>
  <r>
    <x v="5897"/>
    <x v="1178"/>
    <x v="0"/>
    <n v="3"/>
    <n v="900.24"/>
    <x v="265"/>
    <x v="0"/>
    <x v="3"/>
    <n v="2700.7200000000003"/>
    <m/>
    <m/>
    <n v="5"/>
  </r>
  <r>
    <x v="5898"/>
    <x v="1178"/>
    <x v="0"/>
    <n v="1"/>
    <n v="300.08"/>
    <x v="135"/>
    <x v="4"/>
    <x v="0"/>
    <n v="300.08"/>
    <m/>
    <m/>
    <n v="7"/>
  </r>
  <r>
    <x v="5899"/>
    <x v="1178"/>
    <x v="0"/>
    <n v="4"/>
    <n v="1200.32"/>
    <x v="658"/>
    <x v="7"/>
    <x v="4"/>
    <n v="4801.28"/>
    <m/>
    <m/>
    <n v="10"/>
  </r>
  <r>
    <x v="5900"/>
    <x v="1179"/>
    <x v="1"/>
    <n v="3"/>
    <n v="121.98"/>
    <x v="550"/>
    <x v="1"/>
    <x v="1"/>
    <n v="365.94"/>
    <m/>
    <m/>
    <n v="5"/>
  </r>
  <r>
    <x v="5901"/>
    <x v="1179"/>
    <x v="2"/>
    <n v="1"/>
    <n v="5.23"/>
    <x v="66"/>
    <x v="9"/>
    <x v="0"/>
    <n v="5.23"/>
    <m/>
    <m/>
    <n v="7"/>
  </r>
  <r>
    <x v="5902"/>
    <x v="1179"/>
    <x v="5"/>
    <n v="5"/>
    <n v="3000.85"/>
    <x v="612"/>
    <x v="7"/>
    <x v="1"/>
    <n v="15004.25"/>
    <m/>
    <m/>
    <n v="7"/>
  </r>
  <r>
    <x v="5903"/>
    <x v="1179"/>
    <x v="0"/>
    <n v="3"/>
    <n v="900.24"/>
    <x v="509"/>
    <x v="6"/>
    <x v="3"/>
    <n v="2700.7200000000003"/>
    <m/>
    <m/>
    <n v="7"/>
  </r>
  <r>
    <x v="5904"/>
    <x v="1179"/>
    <x v="0"/>
    <n v="4"/>
    <n v="1200.32"/>
    <x v="340"/>
    <x v="1"/>
    <x v="1"/>
    <n v="4801.28"/>
    <m/>
    <m/>
    <n v="7"/>
  </r>
  <r>
    <x v="5905"/>
    <x v="1179"/>
    <x v="0"/>
    <n v="4"/>
    <n v="1200.32"/>
    <x v="260"/>
    <x v="0"/>
    <x v="4"/>
    <n v="4801.28"/>
    <m/>
    <m/>
    <n v="7"/>
  </r>
  <r>
    <x v="5906"/>
    <x v="1180"/>
    <x v="0"/>
    <n v="4"/>
    <n v="1200.32"/>
    <x v="535"/>
    <x v="1"/>
    <x v="2"/>
    <n v="4801.28"/>
    <m/>
    <m/>
    <n v="5"/>
  </r>
  <r>
    <x v="5907"/>
    <x v="1180"/>
    <x v="2"/>
    <n v="3"/>
    <n v="15.69"/>
    <x v="99"/>
    <x v="1"/>
    <x v="4"/>
    <n v="47.07"/>
    <m/>
    <m/>
    <n v="5"/>
  </r>
  <r>
    <x v="5908"/>
    <x v="1180"/>
    <x v="6"/>
    <n v="3"/>
    <n v="107.52"/>
    <x v="568"/>
    <x v="1"/>
    <x v="2"/>
    <n v="322.56"/>
    <m/>
    <m/>
    <n v="5"/>
  </r>
  <r>
    <x v="5909"/>
    <x v="1180"/>
    <x v="6"/>
    <n v="2"/>
    <n v="71.680000000000007"/>
    <x v="90"/>
    <x v="9"/>
    <x v="0"/>
    <n v="143.36000000000001"/>
    <m/>
    <m/>
    <n v="5"/>
  </r>
  <r>
    <x v="5910"/>
    <x v="1180"/>
    <x v="4"/>
    <n v="4"/>
    <n v="4200"/>
    <x v="518"/>
    <x v="1"/>
    <x v="1"/>
    <n v="16800"/>
    <m/>
    <m/>
    <n v="5"/>
  </r>
  <r>
    <x v="5911"/>
    <x v="1180"/>
    <x v="1"/>
    <n v="5"/>
    <n v="203.3"/>
    <x v="794"/>
    <x v="7"/>
    <x v="3"/>
    <n v="1016.5"/>
    <m/>
    <m/>
    <n v="5"/>
  </r>
  <r>
    <x v="5912"/>
    <x v="1180"/>
    <x v="0"/>
    <n v="4"/>
    <n v="1200.32"/>
    <x v="375"/>
    <x v="9"/>
    <x v="2"/>
    <n v="4801.28"/>
    <m/>
    <m/>
    <n v="5"/>
  </r>
  <r>
    <x v="5913"/>
    <x v="1180"/>
    <x v="4"/>
    <n v="4"/>
    <n v="4200"/>
    <x v="150"/>
    <x v="6"/>
    <x v="3"/>
    <n v="16800"/>
    <m/>
    <m/>
    <n v="5"/>
  </r>
  <r>
    <x v="5914"/>
    <x v="1180"/>
    <x v="6"/>
    <n v="2"/>
    <n v="71.680000000000007"/>
    <x v="464"/>
    <x v="1"/>
    <x v="3"/>
    <n v="143.36000000000001"/>
    <m/>
    <m/>
    <n v="7"/>
  </r>
  <r>
    <x v="5915"/>
    <x v="1181"/>
    <x v="6"/>
    <n v="1"/>
    <n v="35.840000000000003"/>
    <x v="78"/>
    <x v="8"/>
    <x v="2"/>
    <n v="35.840000000000003"/>
    <m/>
    <m/>
    <n v="5"/>
  </r>
  <r>
    <x v="5916"/>
    <x v="1181"/>
    <x v="0"/>
    <n v="4"/>
    <n v="1200.32"/>
    <x v="520"/>
    <x v="0"/>
    <x v="1"/>
    <n v="4801.28"/>
    <m/>
    <m/>
    <n v="5"/>
  </r>
  <r>
    <x v="5917"/>
    <x v="1181"/>
    <x v="0"/>
    <n v="5"/>
    <n v="1500.4"/>
    <x v="109"/>
    <x v="0"/>
    <x v="2"/>
    <n v="7502"/>
    <m/>
    <m/>
    <n v="7"/>
  </r>
  <r>
    <x v="5918"/>
    <x v="1181"/>
    <x v="0"/>
    <n v="1"/>
    <n v="300.08"/>
    <x v="213"/>
    <x v="0"/>
    <x v="3"/>
    <n v="300.08"/>
    <m/>
    <m/>
    <n v="7"/>
  </r>
  <r>
    <x v="5919"/>
    <x v="1181"/>
    <x v="0"/>
    <n v="1"/>
    <n v="300.08"/>
    <x v="455"/>
    <x v="6"/>
    <x v="3"/>
    <n v="300.08"/>
    <m/>
    <m/>
    <n v="7"/>
  </r>
  <r>
    <x v="5920"/>
    <x v="1181"/>
    <x v="6"/>
    <n v="4"/>
    <n v="143.36000000000001"/>
    <x v="23"/>
    <x v="0"/>
    <x v="0"/>
    <n v="573.44000000000005"/>
    <m/>
    <m/>
    <n v="7"/>
  </r>
  <r>
    <x v="5921"/>
    <x v="1182"/>
    <x v="4"/>
    <n v="1"/>
    <n v="1050"/>
    <x v="756"/>
    <x v="9"/>
    <x v="4"/>
    <n v="1050"/>
    <m/>
    <m/>
    <n v="7"/>
  </r>
  <r>
    <x v="5922"/>
    <x v="1182"/>
    <x v="6"/>
    <n v="4"/>
    <n v="143.36000000000001"/>
    <x v="405"/>
    <x v="6"/>
    <x v="1"/>
    <n v="573.44000000000005"/>
    <m/>
    <m/>
    <n v="7"/>
  </r>
  <r>
    <x v="5923"/>
    <x v="1182"/>
    <x v="6"/>
    <n v="1"/>
    <n v="35.840000000000003"/>
    <x v="217"/>
    <x v="6"/>
    <x v="2"/>
    <n v="35.840000000000003"/>
    <m/>
    <m/>
    <n v="7"/>
  </r>
  <r>
    <x v="5924"/>
    <x v="1182"/>
    <x v="1"/>
    <n v="2"/>
    <n v="81.319999999999993"/>
    <x v="448"/>
    <x v="6"/>
    <x v="1"/>
    <n v="162.63999999999999"/>
    <m/>
    <m/>
    <n v="7"/>
  </r>
  <r>
    <x v="5925"/>
    <x v="1182"/>
    <x v="0"/>
    <n v="1"/>
    <n v="300.08"/>
    <x v="56"/>
    <x v="4"/>
    <x v="0"/>
    <n v="300.08"/>
    <m/>
    <m/>
    <n v="7"/>
  </r>
  <r>
    <x v="5926"/>
    <x v="1182"/>
    <x v="5"/>
    <n v="5"/>
    <n v="3000.85"/>
    <x v="480"/>
    <x v="9"/>
    <x v="2"/>
    <n v="15004.25"/>
    <m/>
    <m/>
    <n v="7"/>
  </r>
  <r>
    <x v="5927"/>
    <x v="1183"/>
    <x v="0"/>
    <n v="1"/>
    <n v="300.08"/>
    <x v="304"/>
    <x v="6"/>
    <x v="4"/>
    <n v="300.08"/>
    <m/>
    <m/>
    <n v="5"/>
  </r>
  <r>
    <x v="5928"/>
    <x v="1183"/>
    <x v="0"/>
    <n v="2"/>
    <n v="600.16"/>
    <x v="89"/>
    <x v="6"/>
    <x v="1"/>
    <n v="1200.32"/>
    <m/>
    <m/>
    <n v="5"/>
  </r>
  <r>
    <x v="5929"/>
    <x v="1183"/>
    <x v="0"/>
    <n v="4"/>
    <n v="1200.32"/>
    <x v="525"/>
    <x v="6"/>
    <x v="0"/>
    <n v="4801.28"/>
    <m/>
    <m/>
    <n v="5"/>
  </r>
  <r>
    <x v="5930"/>
    <x v="1183"/>
    <x v="0"/>
    <n v="3"/>
    <n v="900.24"/>
    <x v="129"/>
    <x v="4"/>
    <x v="3"/>
    <n v="2700.7200000000003"/>
    <m/>
    <m/>
    <n v="7"/>
  </r>
  <r>
    <x v="5931"/>
    <x v="1184"/>
    <x v="7"/>
    <n v="3"/>
    <n v="35.19"/>
    <x v="550"/>
    <x v="6"/>
    <x v="3"/>
    <n v="105.57"/>
    <m/>
    <m/>
    <n v="5"/>
  </r>
  <r>
    <x v="5932"/>
    <x v="1184"/>
    <x v="1"/>
    <n v="1"/>
    <n v="40.659999999999997"/>
    <x v="792"/>
    <x v="4"/>
    <x v="1"/>
    <n v="40.659999999999997"/>
    <m/>
    <m/>
    <n v="5"/>
  </r>
  <r>
    <x v="5933"/>
    <x v="1184"/>
    <x v="6"/>
    <n v="4"/>
    <n v="143.36000000000001"/>
    <x v="750"/>
    <x v="4"/>
    <x v="0"/>
    <n v="573.44000000000005"/>
    <m/>
    <m/>
    <n v="5"/>
  </r>
  <r>
    <x v="5934"/>
    <x v="1184"/>
    <x v="4"/>
    <n v="1"/>
    <n v="1050"/>
    <x v="585"/>
    <x v="4"/>
    <x v="3"/>
    <n v="1050"/>
    <m/>
    <m/>
    <n v="7"/>
  </r>
  <r>
    <x v="5935"/>
    <x v="1184"/>
    <x v="2"/>
    <n v="1"/>
    <n v="5.23"/>
    <x v="71"/>
    <x v="9"/>
    <x v="0"/>
    <n v="5.23"/>
    <m/>
    <m/>
    <n v="10"/>
  </r>
  <r>
    <x v="5936"/>
    <x v="1185"/>
    <x v="2"/>
    <n v="4"/>
    <n v="20.92"/>
    <x v="437"/>
    <x v="3"/>
    <x v="0"/>
    <n v="83.68"/>
    <m/>
    <m/>
    <n v="5"/>
  </r>
  <r>
    <x v="5937"/>
    <x v="1185"/>
    <x v="5"/>
    <n v="5"/>
    <n v="3000.85"/>
    <x v="192"/>
    <x v="6"/>
    <x v="4"/>
    <n v="15004.25"/>
    <m/>
    <m/>
    <n v="7"/>
  </r>
  <r>
    <x v="5938"/>
    <x v="1185"/>
    <x v="2"/>
    <n v="1"/>
    <n v="5.23"/>
    <x v="194"/>
    <x v="1"/>
    <x v="3"/>
    <n v="5.23"/>
    <m/>
    <m/>
    <n v="7"/>
  </r>
  <r>
    <x v="5939"/>
    <x v="1185"/>
    <x v="2"/>
    <n v="3"/>
    <n v="15.69"/>
    <x v="195"/>
    <x v="9"/>
    <x v="0"/>
    <n v="47.07"/>
    <m/>
    <m/>
    <n v="7"/>
  </r>
  <r>
    <x v="5940"/>
    <x v="1186"/>
    <x v="2"/>
    <n v="2"/>
    <n v="10.46"/>
    <x v="184"/>
    <x v="6"/>
    <x v="0"/>
    <n v="20.92"/>
    <m/>
    <m/>
    <n v="5"/>
  </r>
  <r>
    <x v="5941"/>
    <x v="1186"/>
    <x v="0"/>
    <n v="2"/>
    <n v="600.16"/>
    <x v="1"/>
    <x v="3"/>
    <x v="4"/>
    <n v="1200.32"/>
    <m/>
    <m/>
    <n v="5"/>
  </r>
  <r>
    <x v="5942"/>
    <x v="1186"/>
    <x v="6"/>
    <n v="1"/>
    <n v="35.840000000000003"/>
    <x v="606"/>
    <x v="8"/>
    <x v="3"/>
    <n v="35.840000000000003"/>
    <m/>
    <m/>
    <n v="5"/>
  </r>
  <r>
    <x v="5943"/>
    <x v="1186"/>
    <x v="0"/>
    <n v="4"/>
    <n v="1200.32"/>
    <x v="134"/>
    <x v="0"/>
    <x v="2"/>
    <n v="4801.28"/>
    <m/>
    <m/>
    <n v="5"/>
  </r>
  <r>
    <x v="5944"/>
    <x v="1186"/>
    <x v="0"/>
    <n v="1"/>
    <n v="300.08"/>
    <x v="176"/>
    <x v="1"/>
    <x v="4"/>
    <n v="300.08"/>
    <m/>
    <m/>
    <n v="5"/>
  </r>
  <r>
    <x v="5945"/>
    <x v="1186"/>
    <x v="1"/>
    <n v="3"/>
    <n v="121.98"/>
    <x v="758"/>
    <x v="6"/>
    <x v="4"/>
    <n v="365.94"/>
    <m/>
    <m/>
    <n v="5"/>
  </r>
  <r>
    <x v="5946"/>
    <x v="1186"/>
    <x v="0"/>
    <n v="5"/>
    <n v="1500.4"/>
    <x v="181"/>
    <x v="0"/>
    <x v="0"/>
    <n v="7502"/>
    <m/>
    <m/>
    <n v="7"/>
  </r>
  <r>
    <x v="5947"/>
    <x v="1186"/>
    <x v="6"/>
    <n v="3"/>
    <n v="107.52"/>
    <x v="615"/>
    <x v="8"/>
    <x v="2"/>
    <n v="322.56"/>
    <m/>
    <m/>
    <n v="7"/>
  </r>
  <r>
    <x v="5948"/>
    <x v="1187"/>
    <x v="0"/>
    <n v="3"/>
    <n v="900.24"/>
    <x v="305"/>
    <x v="5"/>
    <x v="1"/>
    <n v="2700.7200000000003"/>
    <m/>
    <m/>
    <n v="5"/>
  </r>
  <r>
    <x v="5949"/>
    <x v="1187"/>
    <x v="0"/>
    <n v="1"/>
    <n v="300.08"/>
    <x v="629"/>
    <x v="4"/>
    <x v="4"/>
    <n v="300.08"/>
    <m/>
    <m/>
    <n v="5"/>
  </r>
  <r>
    <x v="5950"/>
    <x v="1187"/>
    <x v="4"/>
    <n v="3"/>
    <n v="3150"/>
    <x v="434"/>
    <x v="1"/>
    <x v="3"/>
    <n v="9450"/>
    <m/>
    <m/>
    <n v="5"/>
  </r>
  <r>
    <x v="5951"/>
    <x v="1187"/>
    <x v="2"/>
    <n v="5"/>
    <n v="26.15"/>
    <x v="398"/>
    <x v="9"/>
    <x v="4"/>
    <n v="130.75"/>
    <m/>
    <m/>
    <n v="5"/>
  </r>
  <r>
    <x v="5952"/>
    <x v="1187"/>
    <x v="6"/>
    <n v="3"/>
    <n v="107.52"/>
    <x v="142"/>
    <x v="6"/>
    <x v="2"/>
    <n v="322.56"/>
    <m/>
    <m/>
    <n v="7"/>
  </r>
  <r>
    <x v="5953"/>
    <x v="1187"/>
    <x v="2"/>
    <n v="5"/>
    <n v="26.15"/>
    <x v="371"/>
    <x v="0"/>
    <x v="2"/>
    <n v="130.75"/>
    <m/>
    <m/>
    <n v="7"/>
  </r>
  <r>
    <x v="5954"/>
    <x v="1188"/>
    <x v="0"/>
    <n v="1"/>
    <n v="300.08"/>
    <x v="167"/>
    <x v="0"/>
    <x v="0"/>
    <n v="300.08"/>
    <m/>
    <m/>
    <n v="5"/>
  </r>
  <r>
    <x v="5955"/>
    <x v="1188"/>
    <x v="7"/>
    <n v="1"/>
    <n v="11.73"/>
    <x v="748"/>
    <x v="0"/>
    <x v="4"/>
    <n v="11.73"/>
    <m/>
    <m/>
    <n v="7"/>
  </r>
  <r>
    <x v="5956"/>
    <x v="1189"/>
    <x v="5"/>
    <n v="3"/>
    <n v="1800.51"/>
    <x v="494"/>
    <x v="6"/>
    <x v="1"/>
    <n v="5401.53"/>
    <m/>
    <m/>
    <n v="5"/>
  </r>
  <r>
    <x v="5957"/>
    <x v="1189"/>
    <x v="5"/>
    <n v="2"/>
    <n v="1200.3399999999999"/>
    <x v="790"/>
    <x v="5"/>
    <x v="1"/>
    <n v="2400.6799999999998"/>
    <m/>
    <m/>
    <n v="5"/>
  </r>
  <r>
    <x v="5958"/>
    <x v="1189"/>
    <x v="1"/>
    <n v="5"/>
    <n v="203.3"/>
    <x v="276"/>
    <x v="6"/>
    <x v="3"/>
    <n v="1016.5"/>
    <m/>
    <m/>
    <n v="5"/>
  </r>
  <r>
    <x v="5959"/>
    <x v="1189"/>
    <x v="0"/>
    <n v="5"/>
    <n v="1500.4"/>
    <x v="208"/>
    <x v="0"/>
    <x v="1"/>
    <n v="7502"/>
    <m/>
    <m/>
    <n v="5"/>
  </r>
  <r>
    <x v="5960"/>
    <x v="1189"/>
    <x v="0"/>
    <n v="5"/>
    <n v="1500.4"/>
    <x v="443"/>
    <x v="4"/>
    <x v="1"/>
    <n v="7502"/>
    <m/>
    <m/>
    <n v="7"/>
  </r>
  <r>
    <x v="5961"/>
    <x v="1189"/>
    <x v="4"/>
    <n v="1"/>
    <n v="1050"/>
    <x v="400"/>
    <x v="6"/>
    <x v="2"/>
    <n v="1050"/>
    <m/>
    <m/>
    <n v="7"/>
  </r>
  <r>
    <x v="5962"/>
    <x v="1189"/>
    <x v="0"/>
    <n v="2"/>
    <n v="600.16"/>
    <x v="674"/>
    <x v="9"/>
    <x v="4"/>
    <n v="1200.32"/>
    <m/>
    <m/>
    <n v="7"/>
  </r>
  <r>
    <x v="5963"/>
    <x v="1190"/>
    <x v="5"/>
    <n v="5"/>
    <n v="3000.85"/>
    <x v="533"/>
    <x v="9"/>
    <x v="1"/>
    <n v="15004.25"/>
    <m/>
    <m/>
    <n v="5"/>
  </r>
  <r>
    <x v="5964"/>
    <x v="1190"/>
    <x v="3"/>
    <n v="1"/>
    <n v="15.15"/>
    <x v="389"/>
    <x v="0"/>
    <x v="3"/>
    <n v="15.15"/>
    <m/>
    <m/>
    <n v="5"/>
  </r>
  <r>
    <x v="5965"/>
    <x v="1190"/>
    <x v="2"/>
    <n v="3"/>
    <n v="15.69"/>
    <x v="177"/>
    <x v="1"/>
    <x v="3"/>
    <n v="47.07"/>
    <m/>
    <m/>
    <n v="5"/>
  </r>
  <r>
    <x v="5966"/>
    <x v="1190"/>
    <x v="0"/>
    <n v="5"/>
    <n v="1500.4"/>
    <x v="234"/>
    <x v="6"/>
    <x v="0"/>
    <n v="7502"/>
    <m/>
    <m/>
    <n v="7"/>
  </r>
  <r>
    <x v="5967"/>
    <x v="1190"/>
    <x v="5"/>
    <n v="2"/>
    <n v="1200.3399999999999"/>
    <x v="577"/>
    <x v="4"/>
    <x v="4"/>
    <n v="2400.6799999999998"/>
    <m/>
    <m/>
    <n v="7"/>
  </r>
  <r>
    <x v="5968"/>
    <x v="1191"/>
    <x v="2"/>
    <n v="1"/>
    <n v="5.23"/>
    <x v="278"/>
    <x v="1"/>
    <x v="2"/>
    <n v="5.23"/>
    <m/>
    <m/>
    <n v="5"/>
  </r>
  <r>
    <x v="5969"/>
    <x v="1191"/>
    <x v="2"/>
    <n v="2"/>
    <n v="10.46"/>
    <x v="141"/>
    <x v="6"/>
    <x v="4"/>
    <n v="20.92"/>
    <m/>
    <m/>
    <n v="5"/>
  </r>
  <r>
    <x v="5970"/>
    <x v="1191"/>
    <x v="5"/>
    <n v="4"/>
    <n v="2400.6799999999998"/>
    <x v="107"/>
    <x v="3"/>
    <x v="2"/>
    <n v="9602.7199999999993"/>
    <m/>
    <m/>
    <n v="5"/>
  </r>
  <r>
    <x v="5971"/>
    <x v="1191"/>
    <x v="5"/>
    <n v="3"/>
    <n v="1800.51"/>
    <x v="116"/>
    <x v="0"/>
    <x v="2"/>
    <n v="5401.53"/>
    <m/>
    <m/>
    <n v="5"/>
  </r>
  <r>
    <x v="5972"/>
    <x v="1191"/>
    <x v="4"/>
    <n v="1"/>
    <n v="1050"/>
    <x v="333"/>
    <x v="0"/>
    <x v="3"/>
    <n v="1050"/>
    <m/>
    <m/>
    <n v="7"/>
  </r>
  <r>
    <x v="5973"/>
    <x v="1191"/>
    <x v="4"/>
    <n v="5"/>
    <n v="5250"/>
    <x v="754"/>
    <x v="6"/>
    <x v="0"/>
    <n v="26250"/>
    <m/>
    <m/>
    <n v="7"/>
  </r>
  <r>
    <x v="5974"/>
    <x v="1191"/>
    <x v="0"/>
    <n v="2"/>
    <n v="600.16"/>
    <x v="532"/>
    <x v="6"/>
    <x v="4"/>
    <n v="1200.32"/>
    <m/>
    <m/>
    <n v="7"/>
  </r>
  <r>
    <x v="5975"/>
    <x v="1192"/>
    <x v="2"/>
    <n v="3"/>
    <n v="15.69"/>
    <x v="62"/>
    <x v="6"/>
    <x v="4"/>
    <n v="47.07"/>
    <m/>
    <m/>
    <n v="5"/>
  </r>
  <r>
    <x v="5976"/>
    <x v="1192"/>
    <x v="0"/>
    <n v="2"/>
    <n v="600.16"/>
    <x v="351"/>
    <x v="6"/>
    <x v="1"/>
    <n v="1200.32"/>
    <m/>
    <m/>
    <n v="5"/>
  </r>
  <r>
    <x v="5977"/>
    <x v="1192"/>
    <x v="0"/>
    <n v="1"/>
    <n v="300.08"/>
    <x v="790"/>
    <x v="4"/>
    <x v="0"/>
    <n v="300.08"/>
    <m/>
    <m/>
    <n v="5"/>
  </r>
  <r>
    <x v="5978"/>
    <x v="1192"/>
    <x v="0"/>
    <n v="5"/>
    <n v="1500.4"/>
    <x v="34"/>
    <x v="0"/>
    <x v="3"/>
    <n v="7502"/>
    <m/>
    <m/>
    <n v="5"/>
  </r>
  <r>
    <x v="5979"/>
    <x v="1192"/>
    <x v="1"/>
    <n v="5"/>
    <n v="203.3"/>
    <x v="374"/>
    <x v="0"/>
    <x v="1"/>
    <n v="1016.5"/>
    <m/>
    <m/>
    <n v="5"/>
  </r>
  <r>
    <x v="5980"/>
    <x v="1192"/>
    <x v="0"/>
    <n v="5"/>
    <n v="1500.4"/>
    <x v="543"/>
    <x v="3"/>
    <x v="0"/>
    <n v="7502"/>
    <m/>
    <m/>
    <n v="5"/>
  </r>
  <r>
    <x v="5981"/>
    <x v="1192"/>
    <x v="7"/>
    <n v="3"/>
    <n v="35.19"/>
    <x v="663"/>
    <x v="2"/>
    <x v="4"/>
    <n v="105.57"/>
    <m/>
    <m/>
    <n v="5"/>
  </r>
  <r>
    <x v="5982"/>
    <x v="1193"/>
    <x v="3"/>
    <n v="3"/>
    <n v="45.45"/>
    <x v="106"/>
    <x v="4"/>
    <x v="1"/>
    <n v="136.35000000000002"/>
    <m/>
    <m/>
    <n v="5"/>
  </r>
  <r>
    <x v="5983"/>
    <x v="1193"/>
    <x v="2"/>
    <n v="5"/>
    <n v="26.15"/>
    <x v="657"/>
    <x v="2"/>
    <x v="1"/>
    <n v="130.75"/>
    <m/>
    <m/>
    <n v="5"/>
  </r>
  <r>
    <x v="5984"/>
    <x v="1193"/>
    <x v="7"/>
    <n v="2"/>
    <n v="23.46"/>
    <x v="778"/>
    <x v="4"/>
    <x v="2"/>
    <n v="46.92"/>
    <m/>
    <m/>
    <n v="7"/>
  </r>
  <r>
    <x v="5985"/>
    <x v="1193"/>
    <x v="0"/>
    <n v="1"/>
    <n v="300.08"/>
    <x v="255"/>
    <x v="5"/>
    <x v="1"/>
    <n v="300.08"/>
    <m/>
    <m/>
    <n v="7"/>
  </r>
  <r>
    <x v="5986"/>
    <x v="1194"/>
    <x v="0"/>
    <n v="5"/>
    <n v="1500.4"/>
    <x v="789"/>
    <x v="3"/>
    <x v="2"/>
    <n v="7502"/>
    <m/>
    <m/>
    <n v="5"/>
  </r>
  <r>
    <x v="5987"/>
    <x v="1194"/>
    <x v="2"/>
    <n v="2"/>
    <n v="10.46"/>
    <x v="606"/>
    <x v="1"/>
    <x v="0"/>
    <n v="20.92"/>
    <m/>
    <m/>
    <n v="5"/>
  </r>
  <r>
    <x v="5988"/>
    <x v="1194"/>
    <x v="2"/>
    <n v="2"/>
    <n v="10.46"/>
    <x v="137"/>
    <x v="5"/>
    <x v="0"/>
    <n v="20.92"/>
    <m/>
    <m/>
    <n v="5"/>
  </r>
  <r>
    <x v="5989"/>
    <x v="1194"/>
    <x v="0"/>
    <n v="1"/>
    <n v="300.08"/>
    <x v="613"/>
    <x v="0"/>
    <x v="3"/>
    <n v="300.08"/>
    <m/>
    <m/>
    <n v="5"/>
  </r>
  <r>
    <x v="5990"/>
    <x v="1194"/>
    <x v="6"/>
    <n v="1"/>
    <n v="35.840000000000003"/>
    <x v="619"/>
    <x v="4"/>
    <x v="0"/>
    <n v="35.840000000000003"/>
    <m/>
    <m/>
    <n v="5"/>
  </r>
  <r>
    <x v="5991"/>
    <x v="1194"/>
    <x v="0"/>
    <n v="5"/>
    <n v="1500.4"/>
    <x v="222"/>
    <x v="6"/>
    <x v="0"/>
    <n v="7502"/>
    <m/>
    <m/>
    <n v="7"/>
  </r>
  <r>
    <x v="5992"/>
    <x v="1194"/>
    <x v="6"/>
    <n v="3"/>
    <n v="107.52"/>
    <x v="211"/>
    <x v="9"/>
    <x v="2"/>
    <n v="322.56"/>
    <m/>
    <m/>
    <n v="10"/>
  </r>
  <r>
    <x v="5993"/>
    <x v="1195"/>
    <x v="2"/>
    <n v="5"/>
    <n v="26.15"/>
    <x v="10"/>
    <x v="4"/>
    <x v="0"/>
    <n v="130.75"/>
    <m/>
    <m/>
    <n v="5"/>
  </r>
  <r>
    <x v="5994"/>
    <x v="1195"/>
    <x v="2"/>
    <n v="1"/>
    <n v="5.23"/>
    <x v="359"/>
    <x v="6"/>
    <x v="4"/>
    <n v="5.23"/>
    <m/>
    <m/>
    <n v="5"/>
  </r>
  <r>
    <x v="5995"/>
    <x v="1195"/>
    <x v="4"/>
    <n v="2"/>
    <n v="2100"/>
    <x v="791"/>
    <x v="0"/>
    <x v="1"/>
    <n v="4200"/>
    <m/>
    <m/>
    <n v="7"/>
  </r>
  <r>
    <x v="5996"/>
    <x v="1195"/>
    <x v="1"/>
    <n v="5"/>
    <n v="203.3"/>
    <x v="223"/>
    <x v="1"/>
    <x v="3"/>
    <n v="1016.5"/>
    <m/>
    <m/>
    <n v="7"/>
  </r>
  <r>
    <x v="5997"/>
    <x v="1195"/>
    <x v="6"/>
    <n v="4"/>
    <n v="143.36000000000001"/>
    <x v="196"/>
    <x v="6"/>
    <x v="1"/>
    <n v="573.44000000000005"/>
    <m/>
    <m/>
    <n v="10"/>
  </r>
  <r>
    <x v="5998"/>
    <x v="1196"/>
    <x v="0"/>
    <n v="2"/>
    <n v="600.16"/>
    <x v="21"/>
    <x v="6"/>
    <x v="1"/>
    <n v="1200.32"/>
    <m/>
    <m/>
    <n v="5"/>
  </r>
  <r>
    <x v="5999"/>
    <x v="1196"/>
    <x v="1"/>
    <n v="3"/>
    <n v="121.98"/>
    <x v="336"/>
    <x v="9"/>
    <x v="1"/>
    <n v="365.94"/>
    <m/>
    <m/>
    <n v="7"/>
  </r>
  <r>
    <x v="6000"/>
    <x v="1196"/>
    <x v="2"/>
    <n v="1"/>
    <n v="5.23"/>
    <x v="472"/>
    <x v="4"/>
    <x v="0"/>
    <n v="5.23"/>
    <m/>
    <m/>
    <n v="7"/>
  </r>
  <r>
    <x v="6001"/>
    <x v="1196"/>
    <x v="6"/>
    <n v="1"/>
    <n v="35.840000000000003"/>
    <x v="60"/>
    <x v="8"/>
    <x v="1"/>
    <n v="35.840000000000003"/>
    <m/>
    <m/>
    <n v="10"/>
  </r>
  <r>
    <x v="6002"/>
    <x v="1197"/>
    <x v="0"/>
    <n v="1"/>
    <n v="300.08"/>
    <x v="369"/>
    <x v="4"/>
    <x v="1"/>
    <n v="300.08"/>
    <m/>
    <m/>
    <n v="5"/>
  </r>
  <r>
    <x v="6003"/>
    <x v="1197"/>
    <x v="0"/>
    <n v="2"/>
    <n v="600.16"/>
    <x v="373"/>
    <x v="6"/>
    <x v="3"/>
    <n v="1200.32"/>
    <m/>
    <m/>
    <n v="5"/>
  </r>
  <r>
    <x v="6004"/>
    <x v="1197"/>
    <x v="2"/>
    <n v="4"/>
    <n v="20.92"/>
    <x v="708"/>
    <x v="0"/>
    <x v="0"/>
    <n v="83.68"/>
    <m/>
    <m/>
    <n v="5"/>
  </r>
  <r>
    <x v="6005"/>
    <x v="1197"/>
    <x v="2"/>
    <n v="2"/>
    <n v="10.46"/>
    <x v="380"/>
    <x v="2"/>
    <x v="0"/>
    <n v="20.92"/>
    <m/>
    <m/>
    <n v="5"/>
  </r>
  <r>
    <x v="6006"/>
    <x v="1197"/>
    <x v="0"/>
    <n v="4"/>
    <n v="1200.32"/>
    <x v="102"/>
    <x v="1"/>
    <x v="0"/>
    <n v="4801.28"/>
    <m/>
    <m/>
    <n v="5"/>
  </r>
  <r>
    <x v="6007"/>
    <x v="1197"/>
    <x v="5"/>
    <n v="3"/>
    <n v="1800.51"/>
    <x v="168"/>
    <x v="7"/>
    <x v="2"/>
    <n v="5401.53"/>
    <m/>
    <m/>
    <n v="5"/>
  </r>
  <r>
    <x v="6008"/>
    <x v="1197"/>
    <x v="2"/>
    <n v="1"/>
    <n v="5.23"/>
    <x v="430"/>
    <x v="2"/>
    <x v="2"/>
    <n v="5.23"/>
    <m/>
    <m/>
    <n v="7"/>
  </r>
  <r>
    <x v="6009"/>
    <x v="1198"/>
    <x v="0"/>
    <n v="5"/>
    <n v="1500.4"/>
    <x v="450"/>
    <x v="7"/>
    <x v="4"/>
    <n v="7502"/>
    <m/>
    <m/>
    <n v="7"/>
  </r>
  <r>
    <x v="6010"/>
    <x v="1198"/>
    <x v="4"/>
    <n v="2"/>
    <n v="2100"/>
    <x v="450"/>
    <x v="6"/>
    <x v="3"/>
    <n v="4200"/>
    <m/>
    <m/>
    <n v="7"/>
  </r>
  <r>
    <x v="6011"/>
    <x v="1198"/>
    <x v="0"/>
    <n v="5"/>
    <n v="1500.4"/>
    <x v="692"/>
    <x v="0"/>
    <x v="1"/>
    <n v="7502"/>
    <m/>
    <m/>
    <n v="10"/>
  </r>
  <r>
    <x v="6012"/>
    <x v="1198"/>
    <x v="0"/>
    <n v="2"/>
    <n v="600.16"/>
    <x v="171"/>
    <x v="6"/>
    <x v="0"/>
    <n v="1200.32"/>
    <m/>
    <m/>
    <n v="10"/>
  </r>
  <r>
    <x v="6013"/>
    <x v="1199"/>
    <x v="0"/>
    <n v="5"/>
    <n v="1500.4"/>
    <x v="176"/>
    <x v="6"/>
    <x v="2"/>
    <n v="7502"/>
    <m/>
    <m/>
    <n v="5"/>
  </r>
  <r>
    <x v="6014"/>
    <x v="1200"/>
    <x v="7"/>
    <n v="4"/>
    <n v="46.92"/>
    <x v="242"/>
    <x v="5"/>
    <x v="2"/>
    <n v="187.68"/>
    <m/>
    <m/>
    <n v="5"/>
  </r>
  <r>
    <x v="6015"/>
    <x v="1200"/>
    <x v="0"/>
    <n v="2"/>
    <n v="600.16"/>
    <x v="316"/>
    <x v="6"/>
    <x v="1"/>
    <n v="1200.32"/>
    <m/>
    <m/>
    <n v="7"/>
  </r>
  <r>
    <x v="6016"/>
    <x v="1201"/>
    <x v="0"/>
    <n v="1"/>
    <n v="300.08"/>
    <x v="582"/>
    <x v="5"/>
    <x v="1"/>
    <n v="300.08"/>
    <m/>
    <m/>
    <n v="5"/>
  </r>
  <r>
    <x v="6017"/>
    <x v="1201"/>
    <x v="0"/>
    <n v="4"/>
    <n v="1200.32"/>
    <x v="540"/>
    <x v="0"/>
    <x v="2"/>
    <n v="4801.28"/>
    <m/>
    <m/>
    <n v="7"/>
  </r>
  <r>
    <x v="6018"/>
    <x v="1202"/>
    <x v="2"/>
    <n v="2"/>
    <n v="10.46"/>
    <x v="163"/>
    <x v="6"/>
    <x v="4"/>
    <n v="20.92"/>
    <m/>
    <m/>
    <n v="5"/>
  </r>
  <r>
    <x v="6019"/>
    <x v="1202"/>
    <x v="1"/>
    <n v="1"/>
    <n v="40.659999999999997"/>
    <x v="541"/>
    <x v="4"/>
    <x v="2"/>
    <n v="40.659999999999997"/>
    <m/>
    <m/>
    <n v="5"/>
  </r>
  <r>
    <x v="6020"/>
    <x v="1202"/>
    <x v="0"/>
    <n v="4"/>
    <n v="1200.32"/>
    <x v="613"/>
    <x v="1"/>
    <x v="0"/>
    <n v="4801.28"/>
    <m/>
    <m/>
    <n v="5"/>
  </r>
  <r>
    <x v="6021"/>
    <x v="1202"/>
    <x v="2"/>
    <n v="3"/>
    <n v="15.69"/>
    <x v="222"/>
    <x v="1"/>
    <x v="1"/>
    <n v="47.07"/>
    <m/>
    <m/>
    <n v="7"/>
  </r>
  <r>
    <x v="6022"/>
    <x v="1202"/>
    <x v="0"/>
    <n v="2"/>
    <n v="600.16"/>
    <x v="458"/>
    <x v="6"/>
    <x v="3"/>
    <n v="1200.32"/>
    <m/>
    <m/>
    <n v="7"/>
  </r>
  <r>
    <x v="6023"/>
    <x v="1202"/>
    <x v="3"/>
    <n v="1"/>
    <n v="15.15"/>
    <x v="25"/>
    <x v="8"/>
    <x v="1"/>
    <n v="15.15"/>
    <m/>
    <m/>
    <n v="7"/>
  </r>
  <r>
    <x v="6024"/>
    <x v="1202"/>
    <x v="1"/>
    <n v="3"/>
    <n v="121.98"/>
    <x v="721"/>
    <x v="3"/>
    <x v="3"/>
    <n v="365.94"/>
    <m/>
    <m/>
    <n v="7"/>
  </r>
  <r>
    <x v="6025"/>
    <x v="1202"/>
    <x v="3"/>
    <n v="5"/>
    <n v="75.75"/>
    <x v="155"/>
    <x v="4"/>
    <x v="3"/>
    <n v="378.75"/>
    <m/>
    <m/>
    <n v="10"/>
  </r>
  <r>
    <x v="6026"/>
    <x v="1202"/>
    <x v="0"/>
    <n v="3"/>
    <n v="900.24"/>
    <x v="666"/>
    <x v="9"/>
    <x v="3"/>
    <n v="2700.7200000000003"/>
    <m/>
    <m/>
    <n v="10"/>
  </r>
  <r>
    <x v="6027"/>
    <x v="1203"/>
    <x v="0"/>
    <n v="3"/>
    <n v="900.24"/>
    <x v="293"/>
    <x v="1"/>
    <x v="2"/>
    <n v="2700.7200000000003"/>
    <m/>
    <m/>
    <n v="5"/>
  </r>
  <r>
    <x v="6028"/>
    <x v="1203"/>
    <x v="0"/>
    <n v="1"/>
    <n v="300.08"/>
    <x v="151"/>
    <x v="1"/>
    <x v="0"/>
    <n v="300.08"/>
    <m/>
    <m/>
    <n v="5"/>
  </r>
  <r>
    <x v="6029"/>
    <x v="1203"/>
    <x v="1"/>
    <n v="1"/>
    <n v="40.659999999999997"/>
    <x v="507"/>
    <x v="6"/>
    <x v="1"/>
    <n v="40.659999999999997"/>
    <m/>
    <m/>
    <n v="7"/>
  </r>
  <r>
    <x v="6030"/>
    <x v="1203"/>
    <x v="3"/>
    <n v="2"/>
    <n v="30.3"/>
    <x v="523"/>
    <x v="0"/>
    <x v="2"/>
    <n v="60.6"/>
    <m/>
    <m/>
    <n v="7"/>
  </r>
  <r>
    <x v="6031"/>
    <x v="1203"/>
    <x v="0"/>
    <n v="5"/>
    <n v="1500.4"/>
    <x v="111"/>
    <x v="0"/>
    <x v="2"/>
    <n v="7502"/>
    <m/>
    <m/>
    <n v="7"/>
  </r>
  <r>
    <x v="6032"/>
    <x v="1203"/>
    <x v="1"/>
    <n v="5"/>
    <n v="203.3"/>
    <x v="337"/>
    <x v="5"/>
    <x v="4"/>
    <n v="1016.5"/>
    <m/>
    <m/>
    <n v="7"/>
  </r>
  <r>
    <x v="6033"/>
    <x v="1204"/>
    <x v="0"/>
    <n v="5"/>
    <n v="1500.4"/>
    <x v="611"/>
    <x v="6"/>
    <x v="0"/>
    <n v="7502"/>
    <m/>
    <m/>
    <n v="7"/>
  </r>
  <r>
    <x v="6034"/>
    <x v="1204"/>
    <x v="6"/>
    <n v="5"/>
    <n v="179.2"/>
    <x v="605"/>
    <x v="6"/>
    <x v="2"/>
    <n v="896"/>
    <m/>
    <m/>
    <n v="7"/>
  </r>
  <r>
    <x v="6035"/>
    <x v="1204"/>
    <x v="0"/>
    <n v="1"/>
    <n v="300.08"/>
    <x v="476"/>
    <x v="5"/>
    <x v="0"/>
    <n v="300.08"/>
    <m/>
    <m/>
    <n v="7"/>
  </r>
  <r>
    <x v="6036"/>
    <x v="1204"/>
    <x v="0"/>
    <n v="1"/>
    <n v="300.08"/>
    <x v="274"/>
    <x v="1"/>
    <x v="2"/>
    <n v="300.08"/>
    <m/>
    <m/>
    <n v="7"/>
  </r>
  <r>
    <x v="6037"/>
    <x v="1204"/>
    <x v="0"/>
    <n v="3"/>
    <n v="900.24"/>
    <x v="436"/>
    <x v="5"/>
    <x v="4"/>
    <n v="2700.7200000000003"/>
    <m/>
    <m/>
    <n v="10"/>
  </r>
  <r>
    <x v="6038"/>
    <x v="1204"/>
    <x v="3"/>
    <n v="2"/>
    <n v="30.3"/>
    <x v="666"/>
    <x v="8"/>
    <x v="0"/>
    <n v="60.6"/>
    <m/>
    <m/>
    <n v="10"/>
  </r>
  <r>
    <x v="6039"/>
    <x v="1205"/>
    <x v="3"/>
    <n v="1"/>
    <n v="15.15"/>
    <x v="535"/>
    <x v="5"/>
    <x v="4"/>
    <n v="15.15"/>
    <m/>
    <m/>
    <n v="5"/>
  </r>
  <r>
    <x v="6040"/>
    <x v="1205"/>
    <x v="2"/>
    <n v="5"/>
    <n v="26.15"/>
    <x v="70"/>
    <x v="9"/>
    <x v="3"/>
    <n v="130.75"/>
    <m/>
    <m/>
    <n v="5"/>
  </r>
  <r>
    <x v="6041"/>
    <x v="1206"/>
    <x v="1"/>
    <n v="5"/>
    <n v="203.3"/>
    <x v="792"/>
    <x v="7"/>
    <x v="2"/>
    <n v="1016.5"/>
    <m/>
    <m/>
    <n v="5"/>
  </r>
  <r>
    <x v="6042"/>
    <x v="1206"/>
    <x v="3"/>
    <n v="2"/>
    <n v="30.3"/>
    <x v="74"/>
    <x v="6"/>
    <x v="2"/>
    <n v="60.6"/>
    <m/>
    <m/>
    <n v="5"/>
  </r>
  <r>
    <x v="6043"/>
    <x v="1206"/>
    <x v="1"/>
    <n v="2"/>
    <n v="81.319999999999993"/>
    <x v="729"/>
    <x v="9"/>
    <x v="1"/>
    <n v="162.63999999999999"/>
    <m/>
    <m/>
    <n v="7"/>
  </r>
  <r>
    <x v="6044"/>
    <x v="1206"/>
    <x v="0"/>
    <n v="3"/>
    <n v="900.24"/>
    <x v="421"/>
    <x v="4"/>
    <x v="1"/>
    <n v="2700.7200000000003"/>
    <m/>
    <m/>
    <n v="7"/>
  </r>
  <r>
    <x v="6045"/>
    <x v="1206"/>
    <x v="2"/>
    <n v="5"/>
    <n v="26.15"/>
    <x v="620"/>
    <x v="6"/>
    <x v="1"/>
    <n v="130.75"/>
    <m/>
    <m/>
    <n v="10"/>
  </r>
  <r>
    <x v="6046"/>
    <x v="1207"/>
    <x v="6"/>
    <n v="4"/>
    <n v="143.36000000000001"/>
    <x v="332"/>
    <x v="0"/>
    <x v="1"/>
    <n v="573.44000000000005"/>
    <m/>
    <m/>
    <n v="5"/>
  </r>
  <r>
    <x v="6047"/>
    <x v="1207"/>
    <x v="0"/>
    <n v="2"/>
    <n v="600.16"/>
    <x v="644"/>
    <x v="2"/>
    <x v="2"/>
    <n v="1200.32"/>
    <m/>
    <m/>
    <n v="7"/>
  </r>
  <r>
    <x v="6048"/>
    <x v="1207"/>
    <x v="0"/>
    <n v="5"/>
    <n v="1500.4"/>
    <x v="572"/>
    <x v="2"/>
    <x v="4"/>
    <n v="7502"/>
    <m/>
    <m/>
    <n v="7"/>
  </r>
  <r>
    <x v="6049"/>
    <x v="1207"/>
    <x v="0"/>
    <n v="1"/>
    <n v="300.08"/>
    <x v="630"/>
    <x v="6"/>
    <x v="3"/>
    <n v="300.08"/>
    <m/>
    <m/>
    <n v="7"/>
  </r>
  <r>
    <x v="6050"/>
    <x v="1207"/>
    <x v="2"/>
    <n v="4"/>
    <n v="20.92"/>
    <x v="592"/>
    <x v="9"/>
    <x v="4"/>
    <n v="83.68"/>
    <m/>
    <m/>
    <n v="7"/>
  </r>
  <r>
    <x v="6051"/>
    <x v="1207"/>
    <x v="1"/>
    <n v="3"/>
    <n v="121.98"/>
    <x v="200"/>
    <x v="2"/>
    <x v="1"/>
    <n v="365.94"/>
    <m/>
    <m/>
    <n v="10"/>
  </r>
  <r>
    <x v="6052"/>
    <x v="1208"/>
    <x v="1"/>
    <n v="5"/>
    <n v="203.3"/>
    <x v="568"/>
    <x v="5"/>
    <x v="2"/>
    <n v="1016.5"/>
    <m/>
    <m/>
    <n v="5"/>
  </r>
  <r>
    <x v="6053"/>
    <x v="1208"/>
    <x v="0"/>
    <n v="1"/>
    <n v="300.08"/>
    <x v="737"/>
    <x v="7"/>
    <x v="0"/>
    <n v="300.08"/>
    <m/>
    <m/>
    <n v="5"/>
  </r>
  <r>
    <x v="6054"/>
    <x v="1208"/>
    <x v="0"/>
    <n v="2"/>
    <n v="600.16"/>
    <x v="534"/>
    <x v="4"/>
    <x v="1"/>
    <n v="1200.32"/>
    <m/>
    <m/>
    <n v="5"/>
  </r>
  <r>
    <x v="6055"/>
    <x v="1208"/>
    <x v="4"/>
    <n v="3"/>
    <n v="3150"/>
    <x v="399"/>
    <x v="9"/>
    <x v="4"/>
    <n v="9450"/>
    <m/>
    <m/>
    <n v="7"/>
  </r>
  <r>
    <x v="6056"/>
    <x v="1208"/>
    <x v="2"/>
    <n v="1"/>
    <n v="5.23"/>
    <x v="399"/>
    <x v="6"/>
    <x v="0"/>
    <n v="5.23"/>
    <m/>
    <m/>
    <n v="7"/>
  </r>
  <r>
    <x v="6057"/>
    <x v="1208"/>
    <x v="6"/>
    <n v="5"/>
    <n v="179.2"/>
    <x v="675"/>
    <x v="8"/>
    <x v="1"/>
    <n v="896"/>
    <m/>
    <m/>
    <n v="7"/>
  </r>
  <r>
    <x v="6058"/>
    <x v="1208"/>
    <x v="5"/>
    <n v="4"/>
    <n v="2400.6799999999998"/>
    <x v="480"/>
    <x v="2"/>
    <x v="0"/>
    <n v="9602.7199999999993"/>
    <m/>
    <m/>
    <n v="7"/>
  </r>
  <r>
    <x v="6059"/>
    <x v="1208"/>
    <x v="0"/>
    <n v="1"/>
    <n v="300.08"/>
    <x v="626"/>
    <x v="1"/>
    <x v="2"/>
    <n v="300.08"/>
    <m/>
    <m/>
    <n v="10"/>
  </r>
  <r>
    <x v="6060"/>
    <x v="1209"/>
    <x v="1"/>
    <n v="2"/>
    <n v="81.319999999999993"/>
    <x v="614"/>
    <x v="0"/>
    <x v="0"/>
    <n v="162.63999999999999"/>
    <m/>
    <m/>
    <n v="5"/>
  </r>
  <r>
    <x v="6061"/>
    <x v="1209"/>
    <x v="5"/>
    <n v="3"/>
    <n v="1800.51"/>
    <x v="282"/>
    <x v="4"/>
    <x v="2"/>
    <n v="5401.53"/>
    <m/>
    <m/>
    <n v="7"/>
  </r>
  <r>
    <x v="6062"/>
    <x v="1209"/>
    <x v="0"/>
    <n v="5"/>
    <n v="1500.4"/>
    <x v="675"/>
    <x v="1"/>
    <x v="4"/>
    <n v="7502"/>
    <m/>
    <m/>
    <n v="7"/>
  </r>
  <r>
    <x v="6063"/>
    <x v="1209"/>
    <x v="0"/>
    <n v="2"/>
    <n v="600.16"/>
    <x v="274"/>
    <x v="6"/>
    <x v="3"/>
    <n v="1200.32"/>
    <m/>
    <m/>
    <n v="7"/>
  </r>
  <r>
    <x v="6064"/>
    <x v="1210"/>
    <x v="0"/>
    <n v="1"/>
    <n v="300.08"/>
    <x v="169"/>
    <x v="0"/>
    <x v="4"/>
    <n v="300.08"/>
    <m/>
    <m/>
    <n v="7"/>
  </r>
  <r>
    <x v="6065"/>
    <x v="1210"/>
    <x v="5"/>
    <n v="1"/>
    <n v="600.16999999999996"/>
    <x v="241"/>
    <x v="9"/>
    <x v="4"/>
    <n v="600.16999999999996"/>
    <m/>
    <m/>
    <n v="7"/>
  </r>
  <r>
    <x v="6066"/>
    <x v="1210"/>
    <x v="2"/>
    <n v="1"/>
    <n v="5.23"/>
    <x v="682"/>
    <x v="7"/>
    <x v="0"/>
    <n v="5.23"/>
    <m/>
    <m/>
    <n v="10"/>
  </r>
  <r>
    <x v="6067"/>
    <x v="1211"/>
    <x v="0"/>
    <n v="3"/>
    <n v="900.24"/>
    <x v="422"/>
    <x v="0"/>
    <x v="4"/>
    <n v="2700.7200000000003"/>
    <m/>
    <m/>
    <n v="5"/>
  </r>
  <r>
    <x v="6068"/>
    <x v="1211"/>
    <x v="4"/>
    <n v="2"/>
    <n v="2100"/>
    <x v="183"/>
    <x v="4"/>
    <x v="4"/>
    <n v="4200"/>
    <m/>
    <m/>
    <n v="5"/>
  </r>
  <r>
    <x v="6069"/>
    <x v="1211"/>
    <x v="6"/>
    <n v="3"/>
    <n v="107.52"/>
    <x v="230"/>
    <x v="0"/>
    <x v="3"/>
    <n v="322.56"/>
    <m/>
    <m/>
    <n v="5"/>
  </r>
  <r>
    <x v="6070"/>
    <x v="1211"/>
    <x v="1"/>
    <n v="5"/>
    <n v="203.3"/>
    <x v="779"/>
    <x v="6"/>
    <x v="0"/>
    <n v="1016.5"/>
    <m/>
    <m/>
    <n v="7"/>
  </r>
  <r>
    <x v="6071"/>
    <x v="1212"/>
    <x v="0"/>
    <n v="2"/>
    <n v="600.16"/>
    <x v="446"/>
    <x v="9"/>
    <x v="0"/>
    <n v="1200.32"/>
    <m/>
    <m/>
    <n v="5"/>
  </r>
  <r>
    <x v="6072"/>
    <x v="1212"/>
    <x v="0"/>
    <n v="4"/>
    <n v="1200.32"/>
    <x v="694"/>
    <x v="6"/>
    <x v="4"/>
    <n v="4801.28"/>
    <m/>
    <m/>
    <n v="5"/>
  </r>
  <r>
    <x v="6073"/>
    <x v="1212"/>
    <x v="5"/>
    <n v="3"/>
    <n v="1800.51"/>
    <x v="594"/>
    <x v="0"/>
    <x v="1"/>
    <n v="5401.53"/>
    <m/>
    <m/>
    <n v="7"/>
  </r>
  <r>
    <x v="6074"/>
    <x v="1212"/>
    <x v="0"/>
    <n v="5"/>
    <n v="1500.4"/>
    <x v="591"/>
    <x v="9"/>
    <x v="3"/>
    <n v="7502"/>
    <m/>
    <m/>
    <n v="7"/>
  </r>
  <r>
    <x v="6075"/>
    <x v="1212"/>
    <x v="7"/>
    <n v="3"/>
    <n v="35.19"/>
    <x v="506"/>
    <x v="5"/>
    <x v="4"/>
    <n v="105.57"/>
    <m/>
    <m/>
    <n v="7"/>
  </r>
  <r>
    <x v="6076"/>
    <x v="1212"/>
    <x v="1"/>
    <n v="2"/>
    <n v="81.319999999999993"/>
    <x v="683"/>
    <x v="4"/>
    <x v="4"/>
    <n v="162.63999999999999"/>
    <m/>
    <m/>
    <n v="7"/>
  </r>
  <r>
    <x v="6077"/>
    <x v="1212"/>
    <x v="1"/>
    <n v="1"/>
    <n v="40.659999999999997"/>
    <x v="793"/>
    <x v="9"/>
    <x v="1"/>
    <n v="40.659999999999997"/>
    <m/>
    <m/>
    <n v="10"/>
  </r>
  <r>
    <x v="6078"/>
    <x v="1212"/>
    <x v="1"/>
    <n v="1"/>
    <n v="40.659999999999997"/>
    <x v="385"/>
    <x v="8"/>
    <x v="4"/>
    <n v="40.659999999999997"/>
    <m/>
    <m/>
    <n v="10"/>
  </r>
  <r>
    <x v="6079"/>
    <x v="1213"/>
    <x v="6"/>
    <n v="4"/>
    <n v="143.36000000000001"/>
    <x v="13"/>
    <x v="6"/>
    <x v="1"/>
    <n v="573.44000000000005"/>
    <m/>
    <m/>
    <n v="5"/>
  </r>
  <r>
    <x v="6080"/>
    <x v="1213"/>
    <x v="1"/>
    <n v="2"/>
    <n v="81.319999999999993"/>
    <x v="158"/>
    <x v="4"/>
    <x v="4"/>
    <n v="162.63999999999999"/>
    <m/>
    <m/>
    <n v="5"/>
  </r>
  <r>
    <x v="6081"/>
    <x v="1213"/>
    <x v="2"/>
    <n v="5"/>
    <n v="26.15"/>
    <x v="508"/>
    <x v="4"/>
    <x v="0"/>
    <n v="130.75"/>
    <m/>
    <m/>
    <n v="7"/>
  </r>
  <r>
    <x v="6082"/>
    <x v="1213"/>
    <x v="5"/>
    <n v="4"/>
    <n v="2400.6799999999998"/>
    <x v="277"/>
    <x v="3"/>
    <x v="0"/>
    <n v="9602.7199999999993"/>
    <m/>
    <m/>
    <n v="7"/>
  </r>
  <r>
    <x v="6083"/>
    <x v="1213"/>
    <x v="5"/>
    <n v="4"/>
    <n v="2400.6799999999998"/>
    <x v="251"/>
    <x v="1"/>
    <x v="3"/>
    <n v="9602.7199999999993"/>
    <m/>
    <m/>
    <n v="10"/>
  </r>
  <r>
    <x v="6084"/>
    <x v="1214"/>
    <x v="2"/>
    <n v="5"/>
    <n v="26.15"/>
    <x v="244"/>
    <x v="9"/>
    <x v="2"/>
    <n v="130.75"/>
    <m/>
    <m/>
    <n v="5"/>
  </r>
  <r>
    <x v="6085"/>
    <x v="1214"/>
    <x v="5"/>
    <n v="4"/>
    <n v="2400.6799999999998"/>
    <x v="616"/>
    <x v="9"/>
    <x v="4"/>
    <n v="9602.7199999999993"/>
    <m/>
    <m/>
    <n v="5"/>
  </r>
  <r>
    <x v="6086"/>
    <x v="1214"/>
    <x v="6"/>
    <n v="2"/>
    <n v="71.680000000000007"/>
    <x v="81"/>
    <x v="2"/>
    <x v="1"/>
    <n v="143.36000000000001"/>
    <m/>
    <m/>
    <n v="5"/>
  </r>
  <r>
    <x v="6087"/>
    <x v="1214"/>
    <x v="0"/>
    <n v="4"/>
    <n v="1200.32"/>
    <x v="552"/>
    <x v="4"/>
    <x v="1"/>
    <n v="4801.28"/>
    <m/>
    <m/>
    <n v="5"/>
  </r>
  <r>
    <x v="6088"/>
    <x v="1214"/>
    <x v="2"/>
    <n v="4"/>
    <n v="20.92"/>
    <x v="208"/>
    <x v="2"/>
    <x v="4"/>
    <n v="83.68"/>
    <m/>
    <m/>
    <n v="5"/>
  </r>
  <r>
    <x v="6089"/>
    <x v="1214"/>
    <x v="0"/>
    <n v="3"/>
    <n v="900.24"/>
    <x v="795"/>
    <x v="0"/>
    <x v="0"/>
    <n v="2700.7200000000003"/>
    <m/>
    <m/>
    <n v="5"/>
  </r>
  <r>
    <x v="6090"/>
    <x v="1214"/>
    <x v="2"/>
    <n v="2"/>
    <n v="10.46"/>
    <x v="92"/>
    <x v="4"/>
    <x v="4"/>
    <n v="20.92"/>
    <m/>
    <m/>
    <n v="5"/>
  </r>
  <r>
    <x v="6091"/>
    <x v="1214"/>
    <x v="1"/>
    <n v="1"/>
    <n v="40.659999999999997"/>
    <x v="249"/>
    <x v="3"/>
    <x v="3"/>
    <n v="40.659999999999997"/>
    <m/>
    <m/>
    <n v="7"/>
  </r>
  <r>
    <x v="6092"/>
    <x v="1214"/>
    <x v="5"/>
    <n v="5"/>
    <n v="3000.85"/>
    <x v="346"/>
    <x v="5"/>
    <x v="1"/>
    <n v="15004.25"/>
    <m/>
    <m/>
    <n v="7"/>
  </r>
  <r>
    <x v="6093"/>
    <x v="1214"/>
    <x v="6"/>
    <n v="1"/>
    <n v="35.840000000000003"/>
    <x v="666"/>
    <x v="1"/>
    <x v="0"/>
    <n v="35.840000000000003"/>
    <m/>
    <m/>
    <n v="10"/>
  </r>
  <r>
    <x v="6094"/>
    <x v="1215"/>
    <x v="0"/>
    <n v="5"/>
    <n v="1500.4"/>
    <x v="0"/>
    <x v="4"/>
    <x v="3"/>
    <n v="7502"/>
    <m/>
    <m/>
    <n v="5"/>
  </r>
  <r>
    <x v="6095"/>
    <x v="1215"/>
    <x v="0"/>
    <n v="5"/>
    <n v="1500.4"/>
    <x v="120"/>
    <x v="0"/>
    <x v="4"/>
    <n v="7502"/>
    <m/>
    <m/>
    <n v="5"/>
  </r>
  <r>
    <x v="6096"/>
    <x v="1215"/>
    <x v="0"/>
    <n v="5"/>
    <n v="1500.4"/>
    <x v="85"/>
    <x v="2"/>
    <x v="1"/>
    <n v="7502"/>
    <m/>
    <m/>
    <n v="5"/>
  </r>
  <r>
    <x v="6097"/>
    <x v="1215"/>
    <x v="2"/>
    <n v="4"/>
    <n v="20.92"/>
    <x v="684"/>
    <x v="1"/>
    <x v="1"/>
    <n v="83.68"/>
    <m/>
    <m/>
    <n v="7"/>
  </r>
  <r>
    <x v="6098"/>
    <x v="1215"/>
    <x v="1"/>
    <n v="2"/>
    <n v="81.319999999999993"/>
    <x v="342"/>
    <x v="4"/>
    <x v="0"/>
    <n v="162.63999999999999"/>
    <m/>
    <m/>
    <n v="7"/>
  </r>
  <r>
    <x v="6099"/>
    <x v="1215"/>
    <x v="6"/>
    <n v="5"/>
    <n v="179.2"/>
    <x v="701"/>
    <x v="9"/>
    <x v="0"/>
    <n v="896"/>
    <m/>
    <m/>
    <n v="7"/>
  </r>
  <r>
    <x v="6100"/>
    <x v="1215"/>
    <x v="2"/>
    <n v="2"/>
    <n v="10.46"/>
    <x v="637"/>
    <x v="0"/>
    <x v="3"/>
    <n v="20.92"/>
    <m/>
    <m/>
    <n v="7"/>
  </r>
  <r>
    <x v="6101"/>
    <x v="1215"/>
    <x v="3"/>
    <n v="5"/>
    <n v="75.75"/>
    <x v="310"/>
    <x v="3"/>
    <x v="3"/>
    <n v="378.75"/>
    <m/>
    <m/>
    <n v="7"/>
  </r>
  <r>
    <x v="6102"/>
    <x v="1215"/>
    <x v="4"/>
    <n v="2"/>
    <n v="2100"/>
    <x v="514"/>
    <x v="1"/>
    <x v="1"/>
    <n v="4200"/>
    <m/>
    <m/>
    <n v="7"/>
  </r>
  <r>
    <x v="6103"/>
    <x v="1215"/>
    <x v="0"/>
    <n v="5"/>
    <n v="1500.4"/>
    <x v="499"/>
    <x v="2"/>
    <x v="1"/>
    <n v="7502"/>
    <m/>
    <m/>
    <n v="7"/>
  </r>
  <r>
    <x v="6104"/>
    <x v="1216"/>
    <x v="1"/>
    <n v="2"/>
    <n v="81.319999999999993"/>
    <x v="220"/>
    <x v="0"/>
    <x v="1"/>
    <n v="162.63999999999999"/>
    <m/>
    <m/>
    <n v="5"/>
  </r>
  <r>
    <x v="6105"/>
    <x v="1216"/>
    <x v="6"/>
    <n v="2"/>
    <n v="71.680000000000007"/>
    <x v="723"/>
    <x v="1"/>
    <x v="2"/>
    <n v="143.36000000000001"/>
    <m/>
    <m/>
    <n v="5"/>
  </r>
  <r>
    <x v="6106"/>
    <x v="1216"/>
    <x v="0"/>
    <n v="3"/>
    <n v="900.24"/>
    <x v="497"/>
    <x v="5"/>
    <x v="2"/>
    <n v="2700.7200000000003"/>
    <m/>
    <m/>
    <n v="5"/>
  </r>
  <r>
    <x v="6107"/>
    <x v="1216"/>
    <x v="2"/>
    <n v="1"/>
    <n v="5.23"/>
    <x v="669"/>
    <x v="5"/>
    <x v="4"/>
    <n v="5.23"/>
    <m/>
    <m/>
    <n v="5"/>
  </r>
  <r>
    <x v="6108"/>
    <x v="1216"/>
    <x v="6"/>
    <n v="5"/>
    <n v="179.2"/>
    <x v="55"/>
    <x v="1"/>
    <x v="4"/>
    <n v="896"/>
    <m/>
    <m/>
    <n v="7"/>
  </r>
  <r>
    <x v="6109"/>
    <x v="1217"/>
    <x v="0"/>
    <n v="5"/>
    <n v="1500.4"/>
    <x v="642"/>
    <x v="6"/>
    <x v="3"/>
    <n v="7502"/>
    <m/>
    <m/>
    <n v="5"/>
  </r>
  <r>
    <x v="6110"/>
    <x v="1217"/>
    <x v="6"/>
    <n v="1"/>
    <n v="35.840000000000003"/>
    <x v="619"/>
    <x v="1"/>
    <x v="0"/>
    <n v="35.840000000000003"/>
    <m/>
    <m/>
    <n v="5"/>
  </r>
  <r>
    <x v="6111"/>
    <x v="1217"/>
    <x v="0"/>
    <n v="4"/>
    <n v="1200.32"/>
    <x v="559"/>
    <x v="1"/>
    <x v="3"/>
    <n v="4801.28"/>
    <m/>
    <m/>
    <n v="7"/>
  </r>
  <r>
    <x v="6112"/>
    <x v="1217"/>
    <x v="0"/>
    <n v="2"/>
    <n v="600.16"/>
    <x v="634"/>
    <x v="1"/>
    <x v="1"/>
    <n v="1200.32"/>
    <m/>
    <m/>
    <n v="7"/>
  </r>
  <r>
    <x v="6113"/>
    <x v="1217"/>
    <x v="0"/>
    <n v="3"/>
    <n v="900.24"/>
    <x v="681"/>
    <x v="0"/>
    <x v="0"/>
    <n v="2700.7200000000003"/>
    <m/>
    <m/>
    <n v="7"/>
  </r>
  <r>
    <x v="6114"/>
    <x v="1218"/>
    <x v="0"/>
    <n v="5"/>
    <n v="1500.4"/>
    <x v="599"/>
    <x v="3"/>
    <x v="2"/>
    <n v="7502"/>
    <m/>
    <m/>
    <n v="5"/>
  </r>
  <r>
    <x v="6115"/>
    <x v="1218"/>
    <x v="1"/>
    <n v="3"/>
    <n v="121.98"/>
    <x v="201"/>
    <x v="4"/>
    <x v="1"/>
    <n v="365.94"/>
    <m/>
    <m/>
    <n v="5"/>
  </r>
  <r>
    <x v="6116"/>
    <x v="1218"/>
    <x v="0"/>
    <n v="3"/>
    <n v="900.24"/>
    <x v="609"/>
    <x v="2"/>
    <x v="2"/>
    <n v="2700.7200000000003"/>
    <m/>
    <m/>
    <n v="5"/>
  </r>
  <r>
    <x v="6117"/>
    <x v="1218"/>
    <x v="0"/>
    <n v="1"/>
    <n v="300.08"/>
    <x v="10"/>
    <x v="3"/>
    <x v="2"/>
    <n v="300.08"/>
    <m/>
    <m/>
    <n v="5"/>
  </r>
  <r>
    <x v="6118"/>
    <x v="1218"/>
    <x v="1"/>
    <n v="1"/>
    <n v="40.659999999999997"/>
    <x v="134"/>
    <x v="0"/>
    <x v="1"/>
    <n v="40.659999999999997"/>
    <m/>
    <m/>
    <n v="5"/>
  </r>
  <r>
    <x v="6119"/>
    <x v="1218"/>
    <x v="5"/>
    <n v="2"/>
    <n v="1200.3399999999999"/>
    <x v="127"/>
    <x v="1"/>
    <x v="1"/>
    <n v="2400.6799999999998"/>
    <m/>
    <m/>
    <n v="7"/>
  </r>
  <r>
    <x v="6120"/>
    <x v="1218"/>
    <x v="5"/>
    <n v="4"/>
    <n v="2400.6799999999998"/>
    <x v="297"/>
    <x v="4"/>
    <x v="4"/>
    <n v="9602.7199999999993"/>
    <m/>
    <m/>
    <n v="7"/>
  </r>
  <r>
    <x v="6121"/>
    <x v="1218"/>
    <x v="2"/>
    <n v="4"/>
    <n v="20.92"/>
    <x v="631"/>
    <x v="4"/>
    <x v="4"/>
    <n v="83.68"/>
    <m/>
    <m/>
    <n v="7"/>
  </r>
  <r>
    <x v="6122"/>
    <x v="1218"/>
    <x v="6"/>
    <n v="1"/>
    <n v="35.840000000000003"/>
    <x v="767"/>
    <x v="2"/>
    <x v="0"/>
    <n v="35.840000000000003"/>
    <m/>
    <m/>
    <n v="7"/>
  </r>
  <r>
    <x v="6123"/>
    <x v="1218"/>
    <x v="6"/>
    <n v="1"/>
    <n v="35.840000000000003"/>
    <x v="519"/>
    <x v="9"/>
    <x v="2"/>
    <n v="35.840000000000003"/>
    <m/>
    <m/>
    <n v="10"/>
  </r>
  <r>
    <x v="6124"/>
    <x v="1219"/>
    <x v="2"/>
    <n v="3"/>
    <n v="15.69"/>
    <x v="537"/>
    <x v="4"/>
    <x v="3"/>
    <n v="47.07"/>
    <m/>
    <m/>
    <n v="5"/>
  </r>
  <r>
    <x v="6125"/>
    <x v="1219"/>
    <x v="1"/>
    <n v="2"/>
    <n v="81.319999999999993"/>
    <x v="495"/>
    <x v="6"/>
    <x v="1"/>
    <n v="162.63999999999999"/>
    <m/>
    <m/>
    <n v="5"/>
  </r>
  <r>
    <x v="6126"/>
    <x v="1219"/>
    <x v="5"/>
    <n v="3"/>
    <n v="1800.51"/>
    <x v="254"/>
    <x v="5"/>
    <x v="1"/>
    <n v="5401.53"/>
    <m/>
    <m/>
    <n v="7"/>
  </r>
  <r>
    <x v="6127"/>
    <x v="1219"/>
    <x v="1"/>
    <n v="3"/>
    <n v="121.98"/>
    <x v="402"/>
    <x v="0"/>
    <x v="3"/>
    <n v="365.94"/>
    <m/>
    <m/>
    <n v="10"/>
  </r>
  <r>
    <x v="6128"/>
    <x v="1220"/>
    <x v="0"/>
    <n v="2"/>
    <n v="600.16"/>
    <x v="657"/>
    <x v="6"/>
    <x v="2"/>
    <n v="1200.32"/>
    <m/>
    <m/>
    <n v="5"/>
  </r>
  <r>
    <x v="6129"/>
    <x v="1220"/>
    <x v="0"/>
    <n v="5"/>
    <n v="1500.4"/>
    <x v="777"/>
    <x v="6"/>
    <x v="0"/>
    <n v="7502"/>
    <m/>
    <m/>
    <n v="7"/>
  </r>
  <r>
    <x v="6130"/>
    <x v="1220"/>
    <x v="2"/>
    <n v="4"/>
    <n v="20.92"/>
    <x v="588"/>
    <x v="9"/>
    <x v="3"/>
    <n v="83.68"/>
    <m/>
    <m/>
    <n v="7"/>
  </r>
  <r>
    <x v="6131"/>
    <x v="1220"/>
    <x v="5"/>
    <n v="1"/>
    <n v="600.16999999999996"/>
    <x v="415"/>
    <x v="7"/>
    <x v="4"/>
    <n v="600.16999999999996"/>
    <m/>
    <m/>
    <n v="7"/>
  </r>
  <r>
    <x v="6132"/>
    <x v="1220"/>
    <x v="0"/>
    <n v="2"/>
    <n v="600.16"/>
    <x v="206"/>
    <x v="9"/>
    <x v="3"/>
    <n v="1200.32"/>
    <m/>
    <m/>
    <n v="7"/>
  </r>
  <r>
    <x v="6133"/>
    <x v="1221"/>
    <x v="5"/>
    <n v="4"/>
    <n v="2400.6799999999998"/>
    <x v="276"/>
    <x v="8"/>
    <x v="0"/>
    <n v="9602.7199999999993"/>
    <m/>
    <m/>
    <n v="5"/>
  </r>
  <r>
    <x v="6134"/>
    <x v="1221"/>
    <x v="0"/>
    <n v="5"/>
    <n v="1500.4"/>
    <x v="703"/>
    <x v="9"/>
    <x v="3"/>
    <n v="7502"/>
    <m/>
    <m/>
    <n v="7"/>
  </r>
  <r>
    <x v="6135"/>
    <x v="1221"/>
    <x v="6"/>
    <n v="1"/>
    <n v="35.840000000000003"/>
    <x v="411"/>
    <x v="1"/>
    <x v="0"/>
    <n v="35.840000000000003"/>
    <m/>
    <m/>
    <n v="7"/>
  </r>
  <r>
    <x v="6136"/>
    <x v="1221"/>
    <x v="0"/>
    <n v="1"/>
    <n v="300.08"/>
    <x v="693"/>
    <x v="0"/>
    <x v="4"/>
    <n v="300.08"/>
    <m/>
    <m/>
    <n v="10"/>
  </r>
  <r>
    <x v="6137"/>
    <x v="1222"/>
    <x v="6"/>
    <n v="5"/>
    <n v="179.2"/>
    <x v="315"/>
    <x v="6"/>
    <x v="1"/>
    <n v="896"/>
    <m/>
    <m/>
    <n v="5"/>
  </r>
  <r>
    <x v="6138"/>
    <x v="1222"/>
    <x v="2"/>
    <n v="2"/>
    <n v="10.46"/>
    <x v="396"/>
    <x v="9"/>
    <x v="1"/>
    <n v="20.92"/>
    <m/>
    <m/>
    <n v="5"/>
  </r>
  <r>
    <x v="6139"/>
    <x v="1222"/>
    <x v="2"/>
    <n v="1"/>
    <n v="5.23"/>
    <x v="744"/>
    <x v="9"/>
    <x v="0"/>
    <n v="5.23"/>
    <m/>
    <m/>
    <n v="5"/>
  </r>
  <r>
    <x v="6140"/>
    <x v="1222"/>
    <x v="0"/>
    <n v="1"/>
    <n v="300.08"/>
    <x v="720"/>
    <x v="1"/>
    <x v="1"/>
    <n v="300.08"/>
    <m/>
    <m/>
    <n v="5"/>
  </r>
  <r>
    <x v="6141"/>
    <x v="1222"/>
    <x v="0"/>
    <n v="1"/>
    <n v="300.08"/>
    <x v="726"/>
    <x v="0"/>
    <x v="0"/>
    <n v="300.08"/>
    <m/>
    <m/>
    <n v="7"/>
  </r>
  <r>
    <x v="6142"/>
    <x v="1222"/>
    <x v="5"/>
    <n v="4"/>
    <n v="2400.6799999999998"/>
    <x v="382"/>
    <x v="4"/>
    <x v="4"/>
    <n v="9602.7199999999993"/>
    <m/>
    <m/>
    <n v="7"/>
  </r>
  <r>
    <x v="6143"/>
    <x v="1222"/>
    <x v="7"/>
    <n v="4"/>
    <n v="46.92"/>
    <x v="578"/>
    <x v="0"/>
    <x v="0"/>
    <n v="187.68"/>
    <m/>
    <m/>
    <n v="7"/>
  </r>
  <r>
    <x v="6144"/>
    <x v="1223"/>
    <x v="0"/>
    <n v="3"/>
    <n v="900.24"/>
    <x v="183"/>
    <x v="1"/>
    <x v="1"/>
    <n v="2700.7200000000003"/>
    <m/>
    <m/>
    <n v="5"/>
  </r>
  <r>
    <x v="6145"/>
    <x v="1223"/>
    <x v="1"/>
    <n v="5"/>
    <n v="203.3"/>
    <x v="268"/>
    <x v="6"/>
    <x v="4"/>
    <n v="1016.5"/>
    <m/>
    <m/>
    <n v="5"/>
  </r>
  <r>
    <x v="6146"/>
    <x v="1223"/>
    <x v="1"/>
    <n v="3"/>
    <n v="121.98"/>
    <x v="790"/>
    <x v="6"/>
    <x v="4"/>
    <n v="365.94"/>
    <m/>
    <m/>
    <n v="5"/>
  </r>
  <r>
    <x v="6147"/>
    <x v="1223"/>
    <x v="1"/>
    <n v="4"/>
    <n v="162.63999999999999"/>
    <x v="35"/>
    <x v="1"/>
    <x v="3"/>
    <n v="650.55999999999995"/>
    <m/>
    <m/>
    <n v="7"/>
  </r>
  <r>
    <x v="6148"/>
    <x v="1223"/>
    <x v="2"/>
    <n v="1"/>
    <n v="5.23"/>
    <x v="713"/>
    <x v="0"/>
    <x v="3"/>
    <n v="5.23"/>
    <m/>
    <m/>
    <n v="7"/>
  </r>
  <r>
    <x v="6149"/>
    <x v="1223"/>
    <x v="3"/>
    <n v="1"/>
    <n v="15.15"/>
    <x v="625"/>
    <x v="4"/>
    <x v="2"/>
    <n v="15.15"/>
    <m/>
    <m/>
    <n v="7"/>
  </r>
  <r>
    <x v="6150"/>
    <x v="1223"/>
    <x v="5"/>
    <n v="2"/>
    <n v="1200.3399999999999"/>
    <x v="601"/>
    <x v="8"/>
    <x v="4"/>
    <n v="2400.6799999999998"/>
    <m/>
    <m/>
    <n v="7"/>
  </r>
  <r>
    <x v="6151"/>
    <x v="1223"/>
    <x v="4"/>
    <n v="5"/>
    <n v="5250"/>
    <x v="513"/>
    <x v="0"/>
    <x v="4"/>
    <n v="26250"/>
    <m/>
    <m/>
    <n v="7"/>
  </r>
  <r>
    <x v="6152"/>
    <x v="1223"/>
    <x v="5"/>
    <n v="3"/>
    <n v="1800.51"/>
    <x v="554"/>
    <x v="6"/>
    <x v="1"/>
    <n v="5401.53"/>
    <m/>
    <m/>
    <n v="10"/>
  </r>
  <r>
    <x v="6153"/>
    <x v="1224"/>
    <x v="6"/>
    <n v="1"/>
    <n v="35.840000000000003"/>
    <x v="62"/>
    <x v="1"/>
    <x v="2"/>
    <n v="35.840000000000003"/>
    <m/>
    <m/>
    <n v="5"/>
  </r>
  <r>
    <x v="6154"/>
    <x v="1224"/>
    <x v="0"/>
    <n v="3"/>
    <n v="900.24"/>
    <x v="69"/>
    <x v="6"/>
    <x v="2"/>
    <n v="2700.7200000000003"/>
    <m/>
    <m/>
    <n v="5"/>
  </r>
  <r>
    <x v="6155"/>
    <x v="1224"/>
    <x v="0"/>
    <n v="5"/>
    <n v="1500.4"/>
    <x v="680"/>
    <x v="4"/>
    <x v="2"/>
    <n v="7502"/>
    <m/>
    <m/>
    <n v="5"/>
  </r>
  <r>
    <x v="6156"/>
    <x v="1224"/>
    <x v="2"/>
    <n v="1"/>
    <n v="5.23"/>
    <x v="137"/>
    <x v="7"/>
    <x v="0"/>
    <n v="5.23"/>
    <m/>
    <m/>
    <n v="5"/>
  </r>
  <r>
    <x v="6157"/>
    <x v="1224"/>
    <x v="2"/>
    <n v="1"/>
    <n v="5.23"/>
    <x v="343"/>
    <x v="8"/>
    <x v="2"/>
    <n v="5.23"/>
    <m/>
    <m/>
    <n v="7"/>
  </r>
  <r>
    <x v="6158"/>
    <x v="1224"/>
    <x v="1"/>
    <n v="2"/>
    <n v="81.319999999999993"/>
    <x v="699"/>
    <x v="2"/>
    <x v="3"/>
    <n v="162.63999999999999"/>
    <m/>
    <m/>
    <n v="7"/>
  </r>
  <r>
    <x v="6159"/>
    <x v="1224"/>
    <x v="2"/>
    <n v="1"/>
    <n v="5.23"/>
    <x v="751"/>
    <x v="0"/>
    <x v="3"/>
    <n v="5.23"/>
    <m/>
    <m/>
    <n v="10"/>
  </r>
  <r>
    <x v="6160"/>
    <x v="1225"/>
    <x v="2"/>
    <n v="2"/>
    <n v="10.46"/>
    <x v="768"/>
    <x v="0"/>
    <x v="0"/>
    <n v="20.92"/>
    <m/>
    <m/>
    <n v="5"/>
  </r>
  <r>
    <x v="6161"/>
    <x v="1225"/>
    <x v="0"/>
    <n v="1"/>
    <n v="300.08"/>
    <x v="132"/>
    <x v="4"/>
    <x v="1"/>
    <n v="300.08"/>
    <m/>
    <m/>
    <n v="5"/>
  </r>
  <r>
    <x v="6162"/>
    <x v="1225"/>
    <x v="0"/>
    <n v="4"/>
    <n v="1200.32"/>
    <x v="684"/>
    <x v="2"/>
    <x v="0"/>
    <n v="4801.28"/>
    <m/>
    <m/>
    <n v="7"/>
  </r>
  <r>
    <x v="6163"/>
    <x v="1225"/>
    <x v="3"/>
    <n v="5"/>
    <n v="75.75"/>
    <x v="11"/>
    <x v="8"/>
    <x v="2"/>
    <n v="378.75"/>
    <m/>
    <m/>
    <n v="7"/>
  </r>
  <r>
    <x v="6164"/>
    <x v="1225"/>
    <x v="3"/>
    <n v="1"/>
    <n v="15.15"/>
    <x v="20"/>
    <x v="6"/>
    <x v="3"/>
    <n v="15.15"/>
    <m/>
    <m/>
    <n v="7"/>
  </r>
  <r>
    <x v="6165"/>
    <x v="1226"/>
    <x v="5"/>
    <n v="2"/>
    <n v="1200.3399999999999"/>
    <x v="112"/>
    <x v="6"/>
    <x v="4"/>
    <n v="2400.6799999999998"/>
    <m/>
    <m/>
    <n v="5"/>
  </r>
  <r>
    <x v="6166"/>
    <x v="1226"/>
    <x v="0"/>
    <n v="5"/>
    <n v="1500.4"/>
    <x v="349"/>
    <x v="0"/>
    <x v="3"/>
    <n v="7502"/>
    <m/>
    <m/>
    <n v="7"/>
  </r>
  <r>
    <x v="6167"/>
    <x v="1226"/>
    <x v="0"/>
    <n v="5"/>
    <n v="1500.4"/>
    <x v="248"/>
    <x v="2"/>
    <x v="1"/>
    <n v="7502"/>
    <m/>
    <m/>
    <n v="7"/>
  </r>
  <r>
    <x v="6168"/>
    <x v="1226"/>
    <x v="4"/>
    <n v="3"/>
    <n v="3150"/>
    <x v="726"/>
    <x v="0"/>
    <x v="4"/>
    <n v="9450"/>
    <m/>
    <m/>
    <n v="7"/>
  </r>
  <r>
    <x v="6169"/>
    <x v="1226"/>
    <x v="0"/>
    <n v="5"/>
    <n v="1500.4"/>
    <x v="594"/>
    <x v="5"/>
    <x v="3"/>
    <n v="7502"/>
    <m/>
    <m/>
    <n v="7"/>
  </r>
  <r>
    <x v="6170"/>
    <x v="1227"/>
    <x v="1"/>
    <n v="4"/>
    <n v="162.63999999999999"/>
    <x v="138"/>
    <x v="6"/>
    <x v="0"/>
    <n v="650.55999999999995"/>
    <m/>
    <m/>
    <n v="5"/>
  </r>
  <r>
    <x v="6171"/>
    <x v="1227"/>
    <x v="2"/>
    <n v="4"/>
    <n v="20.92"/>
    <x v="766"/>
    <x v="6"/>
    <x v="0"/>
    <n v="83.68"/>
    <m/>
    <m/>
    <n v="5"/>
  </r>
  <r>
    <x v="6172"/>
    <x v="1227"/>
    <x v="2"/>
    <n v="1"/>
    <n v="5.23"/>
    <x v="659"/>
    <x v="9"/>
    <x v="0"/>
    <n v="5.23"/>
    <m/>
    <m/>
    <n v="7"/>
  </r>
  <r>
    <x v="6173"/>
    <x v="1228"/>
    <x v="2"/>
    <n v="1"/>
    <n v="5.23"/>
    <x v="115"/>
    <x v="4"/>
    <x v="2"/>
    <n v="5.23"/>
    <m/>
    <m/>
    <n v="5"/>
  </r>
  <r>
    <x v="6174"/>
    <x v="1228"/>
    <x v="0"/>
    <n v="5"/>
    <n v="1500.4"/>
    <x v="179"/>
    <x v="1"/>
    <x v="1"/>
    <n v="7502"/>
    <m/>
    <m/>
    <n v="5"/>
  </r>
  <r>
    <x v="6175"/>
    <x v="1228"/>
    <x v="0"/>
    <n v="2"/>
    <n v="600.16"/>
    <x v="169"/>
    <x v="1"/>
    <x v="3"/>
    <n v="1200.32"/>
    <m/>
    <m/>
    <n v="7"/>
  </r>
  <r>
    <x v="6176"/>
    <x v="1229"/>
    <x v="2"/>
    <n v="3"/>
    <n v="15.69"/>
    <x v="433"/>
    <x v="8"/>
    <x v="1"/>
    <n v="47.07"/>
    <m/>
    <m/>
    <n v="5"/>
  </r>
  <r>
    <x v="6177"/>
    <x v="1229"/>
    <x v="2"/>
    <n v="3"/>
    <n v="15.69"/>
    <x v="573"/>
    <x v="8"/>
    <x v="3"/>
    <n v="47.07"/>
    <m/>
    <m/>
    <n v="7"/>
  </r>
  <r>
    <x v="6178"/>
    <x v="1230"/>
    <x v="6"/>
    <n v="2"/>
    <n v="71.680000000000007"/>
    <x v="568"/>
    <x v="5"/>
    <x v="3"/>
    <n v="143.36000000000001"/>
    <m/>
    <m/>
    <n v="5"/>
  </r>
  <r>
    <x v="6179"/>
    <x v="1230"/>
    <x v="0"/>
    <n v="2"/>
    <n v="600.16"/>
    <x v="775"/>
    <x v="4"/>
    <x v="4"/>
    <n v="1200.32"/>
    <m/>
    <m/>
    <n v="5"/>
  </r>
  <r>
    <x v="6180"/>
    <x v="1230"/>
    <x v="5"/>
    <n v="2"/>
    <n v="1200.3399999999999"/>
    <x v="497"/>
    <x v="1"/>
    <x v="1"/>
    <n v="2400.6799999999998"/>
    <m/>
    <m/>
    <n v="5"/>
  </r>
  <r>
    <x v="6181"/>
    <x v="1230"/>
    <x v="2"/>
    <n v="4"/>
    <n v="20.92"/>
    <x v="280"/>
    <x v="0"/>
    <x v="3"/>
    <n v="83.68"/>
    <m/>
    <m/>
    <n v="7"/>
  </r>
  <r>
    <x v="6182"/>
    <x v="1230"/>
    <x v="2"/>
    <n v="3"/>
    <n v="15.69"/>
    <x v="199"/>
    <x v="9"/>
    <x v="2"/>
    <n v="47.07"/>
    <m/>
    <m/>
    <n v="7"/>
  </r>
  <r>
    <x v="6183"/>
    <x v="1231"/>
    <x v="3"/>
    <n v="3"/>
    <n v="45.45"/>
    <x v="654"/>
    <x v="6"/>
    <x v="1"/>
    <n v="136.35000000000002"/>
    <m/>
    <m/>
    <n v="5"/>
  </r>
  <r>
    <x v="6184"/>
    <x v="1231"/>
    <x v="0"/>
    <n v="3"/>
    <n v="900.24"/>
    <x v="661"/>
    <x v="9"/>
    <x v="4"/>
    <n v="2700.7200000000003"/>
    <m/>
    <m/>
    <n v="5"/>
  </r>
  <r>
    <x v="6185"/>
    <x v="1231"/>
    <x v="1"/>
    <n v="2"/>
    <n v="81.319999999999993"/>
    <x v="627"/>
    <x v="1"/>
    <x v="4"/>
    <n v="162.63999999999999"/>
    <m/>
    <m/>
    <n v="5"/>
  </r>
  <r>
    <x v="6186"/>
    <x v="1231"/>
    <x v="1"/>
    <n v="2"/>
    <n v="81.319999999999993"/>
    <x v="74"/>
    <x v="7"/>
    <x v="3"/>
    <n v="162.63999999999999"/>
    <m/>
    <m/>
    <n v="5"/>
  </r>
  <r>
    <x v="6187"/>
    <x v="1231"/>
    <x v="0"/>
    <n v="3"/>
    <n v="900.24"/>
    <x v="747"/>
    <x v="0"/>
    <x v="3"/>
    <n v="2700.7200000000003"/>
    <m/>
    <m/>
    <n v="7"/>
  </r>
  <r>
    <x v="6188"/>
    <x v="1231"/>
    <x v="1"/>
    <n v="2"/>
    <n v="81.319999999999993"/>
    <x v="252"/>
    <x v="9"/>
    <x v="4"/>
    <n v="162.63999999999999"/>
    <m/>
    <m/>
    <n v="7"/>
  </r>
  <r>
    <x v="6189"/>
    <x v="1231"/>
    <x v="7"/>
    <n v="2"/>
    <n v="23.46"/>
    <x v="458"/>
    <x v="1"/>
    <x v="4"/>
    <n v="46.92"/>
    <m/>
    <m/>
    <n v="7"/>
  </r>
  <r>
    <x v="6190"/>
    <x v="1231"/>
    <x v="1"/>
    <n v="5"/>
    <n v="203.3"/>
    <x v="760"/>
    <x v="1"/>
    <x v="2"/>
    <n v="1016.5"/>
    <m/>
    <m/>
    <n v="7"/>
  </r>
  <r>
    <x v="6191"/>
    <x v="1231"/>
    <x v="2"/>
    <n v="1"/>
    <n v="5.23"/>
    <x v="581"/>
    <x v="2"/>
    <x v="3"/>
    <n v="5.23"/>
    <m/>
    <m/>
    <n v="7"/>
  </r>
  <r>
    <x v="6192"/>
    <x v="1231"/>
    <x v="1"/>
    <n v="2"/>
    <n v="81.319999999999993"/>
    <x v="24"/>
    <x v="9"/>
    <x v="3"/>
    <n v="162.63999999999999"/>
    <m/>
    <m/>
    <n v="7"/>
  </r>
  <r>
    <x v="6193"/>
    <x v="1232"/>
    <x v="7"/>
    <n v="2"/>
    <n v="23.46"/>
    <x v="784"/>
    <x v="6"/>
    <x v="0"/>
    <n v="46.92"/>
    <m/>
    <m/>
    <n v="5"/>
  </r>
  <r>
    <x v="6194"/>
    <x v="1232"/>
    <x v="2"/>
    <n v="3"/>
    <n v="15.69"/>
    <x v="121"/>
    <x v="0"/>
    <x v="0"/>
    <n v="47.07"/>
    <m/>
    <m/>
    <n v="5"/>
  </r>
  <r>
    <x v="6195"/>
    <x v="1232"/>
    <x v="3"/>
    <n v="2"/>
    <n v="30.3"/>
    <x v="607"/>
    <x v="1"/>
    <x v="3"/>
    <n v="60.6"/>
    <m/>
    <m/>
    <n v="7"/>
  </r>
  <r>
    <x v="6196"/>
    <x v="1232"/>
    <x v="5"/>
    <n v="2"/>
    <n v="1200.3399999999999"/>
    <x v="513"/>
    <x v="1"/>
    <x v="0"/>
    <n v="2400.6799999999998"/>
    <m/>
    <m/>
    <n v="7"/>
  </r>
  <r>
    <x v="6197"/>
    <x v="1233"/>
    <x v="2"/>
    <n v="1"/>
    <n v="5.23"/>
    <x v="742"/>
    <x v="1"/>
    <x v="2"/>
    <n v="5.23"/>
    <m/>
    <m/>
    <n v="7"/>
  </r>
  <r>
    <x v="6198"/>
    <x v="1233"/>
    <x v="0"/>
    <n v="3"/>
    <n v="900.24"/>
    <x v="161"/>
    <x v="1"/>
    <x v="4"/>
    <n v="2700.7200000000003"/>
    <m/>
    <m/>
    <n v="7"/>
  </r>
  <r>
    <x v="6199"/>
    <x v="1233"/>
    <x v="2"/>
    <n v="5"/>
    <n v="26.15"/>
    <x v="190"/>
    <x v="4"/>
    <x v="1"/>
    <n v="130.75"/>
    <m/>
    <m/>
    <n v="7"/>
  </r>
  <r>
    <x v="6200"/>
    <x v="1234"/>
    <x v="6"/>
    <n v="2"/>
    <n v="71.680000000000007"/>
    <x v="202"/>
    <x v="4"/>
    <x v="3"/>
    <n v="143.36000000000001"/>
    <m/>
    <m/>
    <n v="5"/>
  </r>
  <r>
    <x v="6201"/>
    <x v="1234"/>
    <x v="7"/>
    <n v="2"/>
    <n v="23.46"/>
    <x v="204"/>
    <x v="2"/>
    <x v="4"/>
    <n v="46.92"/>
    <m/>
    <m/>
    <n v="5"/>
  </r>
  <r>
    <x v="6202"/>
    <x v="1234"/>
    <x v="1"/>
    <n v="2"/>
    <n v="81.319999999999993"/>
    <x v="308"/>
    <x v="6"/>
    <x v="2"/>
    <n v="162.63999999999999"/>
    <m/>
    <m/>
    <n v="5"/>
  </r>
  <r>
    <x v="6203"/>
    <x v="1234"/>
    <x v="0"/>
    <n v="4"/>
    <n v="1200.32"/>
    <x v="82"/>
    <x v="0"/>
    <x v="3"/>
    <n v="4801.28"/>
    <m/>
    <m/>
    <n v="5"/>
  </r>
  <r>
    <x v="6204"/>
    <x v="1234"/>
    <x v="0"/>
    <n v="2"/>
    <n v="600.16"/>
    <x v="181"/>
    <x v="6"/>
    <x v="2"/>
    <n v="1200.32"/>
    <m/>
    <m/>
    <n v="7"/>
  </r>
  <r>
    <x v="6205"/>
    <x v="1234"/>
    <x v="1"/>
    <n v="1"/>
    <n v="40.659999999999997"/>
    <x v="506"/>
    <x v="4"/>
    <x v="1"/>
    <n v="40.659999999999997"/>
    <m/>
    <m/>
    <n v="7"/>
  </r>
  <r>
    <x v="6206"/>
    <x v="1234"/>
    <x v="7"/>
    <n v="3"/>
    <n v="35.19"/>
    <x v="411"/>
    <x v="0"/>
    <x v="3"/>
    <n v="105.57"/>
    <m/>
    <m/>
    <n v="7"/>
  </r>
  <r>
    <x v="6207"/>
    <x v="1234"/>
    <x v="0"/>
    <n v="5"/>
    <n v="1500.4"/>
    <x v="586"/>
    <x v="8"/>
    <x v="2"/>
    <n v="7502"/>
    <m/>
    <m/>
    <n v="10"/>
  </r>
  <r>
    <x v="6208"/>
    <x v="1235"/>
    <x v="6"/>
    <n v="5"/>
    <n v="179.2"/>
    <x v="180"/>
    <x v="7"/>
    <x v="4"/>
    <n v="896"/>
    <m/>
    <m/>
    <n v="5"/>
  </r>
  <r>
    <x v="6209"/>
    <x v="1235"/>
    <x v="2"/>
    <n v="1"/>
    <n v="5.23"/>
    <x v="359"/>
    <x v="7"/>
    <x v="4"/>
    <n v="5.23"/>
    <m/>
    <m/>
    <n v="5"/>
  </r>
  <r>
    <x v="6210"/>
    <x v="1235"/>
    <x v="0"/>
    <n v="2"/>
    <n v="600.16"/>
    <x v="547"/>
    <x v="2"/>
    <x v="1"/>
    <n v="1200.32"/>
    <m/>
    <m/>
    <n v="7"/>
  </r>
  <r>
    <x v="6211"/>
    <x v="1235"/>
    <x v="7"/>
    <n v="1"/>
    <n v="11.73"/>
    <x v="200"/>
    <x v="3"/>
    <x v="1"/>
    <n v="11.73"/>
    <m/>
    <m/>
    <n v="10"/>
  </r>
  <r>
    <x v="6212"/>
    <x v="1235"/>
    <x v="3"/>
    <n v="3"/>
    <n v="45.45"/>
    <x v="196"/>
    <x v="6"/>
    <x v="3"/>
    <n v="136.35000000000002"/>
    <m/>
    <m/>
    <n v="10"/>
  </r>
  <r>
    <x v="6213"/>
    <x v="1236"/>
    <x v="0"/>
    <n v="3"/>
    <n v="900.24"/>
    <x v="715"/>
    <x v="1"/>
    <x v="4"/>
    <n v="2700.7200000000003"/>
    <m/>
    <m/>
    <n v="7"/>
  </r>
  <r>
    <x v="6214"/>
    <x v="1236"/>
    <x v="3"/>
    <n v="1"/>
    <n v="15.15"/>
    <x v="189"/>
    <x v="6"/>
    <x v="4"/>
    <n v="15.15"/>
    <m/>
    <m/>
    <n v="7"/>
  </r>
  <r>
    <x v="6215"/>
    <x v="1236"/>
    <x v="6"/>
    <n v="3"/>
    <n v="107.52"/>
    <x v="59"/>
    <x v="6"/>
    <x v="3"/>
    <n v="322.56"/>
    <m/>
    <m/>
    <n v="7"/>
  </r>
  <r>
    <x v="6216"/>
    <x v="1236"/>
    <x v="0"/>
    <n v="3"/>
    <n v="900.24"/>
    <x v="701"/>
    <x v="1"/>
    <x v="2"/>
    <n v="2700.7200000000003"/>
    <m/>
    <m/>
    <n v="7"/>
  </r>
  <r>
    <x v="6217"/>
    <x v="1236"/>
    <x v="0"/>
    <n v="3"/>
    <n v="900.24"/>
    <x v="456"/>
    <x v="0"/>
    <x v="0"/>
    <n v="2700.7200000000003"/>
    <m/>
    <m/>
    <n v="7"/>
  </r>
  <r>
    <x v="6218"/>
    <x v="1236"/>
    <x v="0"/>
    <n v="3"/>
    <n v="900.24"/>
    <x v="346"/>
    <x v="4"/>
    <x v="1"/>
    <n v="2700.7200000000003"/>
    <m/>
    <m/>
    <n v="7"/>
  </r>
  <r>
    <x v="6219"/>
    <x v="1237"/>
    <x v="2"/>
    <n v="5"/>
    <n v="26.15"/>
    <x v="1"/>
    <x v="9"/>
    <x v="2"/>
    <n v="130.75"/>
    <m/>
    <m/>
    <n v="5"/>
  </r>
  <r>
    <x v="6220"/>
    <x v="1237"/>
    <x v="2"/>
    <n v="4"/>
    <n v="20.92"/>
    <x v="567"/>
    <x v="1"/>
    <x v="2"/>
    <n v="83.68"/>
    <m/>
    <m/>
    <n v="5"/>
  </r>
  <r>
    <x v="6221"/>
    <x v="1237"/>
    <x v="7"/>
    <n v="4"/>
    <n v="46.92"/>
    <x v="489"/>
    <x v="4"/>
    <x v="1"/>
    <n v="187.68"/>
    <m/>
    <m/>
    <n v="7"/>
  </r>
  <r>
    <x v="6222"/>
    <x v="1237"/>
    <x v="6"/>
    <n v="3"/>
    <n v="107.52"/>
    <x v="154"/>
    <x v="6"/>
    <x v="4"/>
    <n v="322.56"/>
    <m/>
    <m/>
    <n v="7"/>
  </r>
  <r>
    <x v="6223"/>
    <x v="1237"/>
    <x v="0"/>
    <n v="2"/>
    <n v="600.16"/>
    <x v="441"/>
    <x v="6"/>
    <x v="0"/>
    <n v="1200.32"/>
    <m/>
    <m/>
    <n v="10"/>
  </r>
  <r>
    <x v="6224"/>
    <x v="1237"/>
    <x v="0"/>
    <n v="1"/>
    <n v="300.08"/>
    <x v="746"/>
    <x v="0"/>
    <x v="3"/>
    <n v="300.08"/>
    <m/>
    <m/>
    <n v="10"/>
  </r>
  <r>
    <x v="6225"/>
    <x v="1238"/>
    <x v="0"/>
    <n v="3"/>
    <n v="900.24"/>
    <x v="301"/>
    <x v="6"/>
    <x v="1"/>
    <n v="2700.7200000000003"/>
    <m/>
    <m/>
    <n v="5"/>
  </r>
  <r>
    <x v="6226"/>
    <x v="1238"/>
    <x v="6"/>
    <n v="1"/>
    <n v="35.840000000000003"/>
    <x v="538"/>
    <x v="6"/>
    <x v="4"/>
    <n v="35.840000000000003"/>
    <m/>
    <m/>
    <n v="5"/>
  </r>
  <r>
    <x v="6227"/>
    <x v="1238"/>
    <x v="1"/>
    <n v="2"/>
    <n v="81.319999999999993"/>
    <x v="432"/>
    <x v="5"/>
    <x v="4"/>
    <n v="162.63999999999999"/>
    <m/>
    <m/>
    <n v="5"/>
  </r>
  <r>
    <x v="6228"/>
    <x v="1238"/>
    <x v="0"/>
    <n v="2"/>
    <n v="600.16"/>
    <x v="564"/>
    <x v="0"/>
    <x v="0"/>
    <n v="1200.32"/>
    <m/>
    <m/>
    <n v="7"/>
  </r>
  <r>
    <x v="6229"/>
    <x v="1238"/>
    <x v="0"/>
    <n v="4"/>
    <n v="1200.32"/>
    <x v="214"/>
    <x v="6"/>
    <x v="3"/>
    <n v="4801.28"/>
    <m/>
    <m/>
    <n v="7"/>
  </r>
  <r>
    <x v="6230"/>
    <x v="1239"/>
    <x v="1"/>
    <n v="3"/>
    <n v="121.98"/>
    <x v="5"/>
    <x v="9"/>
    <x v="1"/>
    <n v="365.94"/>
    <m/>
    <m/>
    <n v="5"/>
  </r>
  <r>
    <x v="6231"/>
    <x v="1239"/>
    <x v="0"/>
    <n v="5"/>
    <n v="1500.4"/>
    <x v="83"/>
    <x v="6"/>
    <x v="2"/>
    <n v="7502"/>
    <m/>
    <m/>
    <n v="5"/>
  </r>
  <r>
    <x v="6232"/>
    <x v="1239"/>
    <x v="0"/>
    <n v="5"/>
    <n v="1500.4"/>
    <x v="526"/>
    <x v="3"/>
    <x v="0"/>
    <n v="7502"/>
    <m/>
    <m/>
    <n v="5"/>
  </r>
  <r>
    <x v="6233"/>
    <x v="1239"/>
    <x v="0"/>
    <n v="3"/>
    <n v="900.24"/>
    <x v="174"/>
    <x v="3"/>
    <x v="1"/>
    <n v="2700.7200000000003"/>
    <m/>
    <m/>
    <n v="5"/>
  </r>
  <r>
    <x v="6234"/>
    <x v="1239"/>
    <x v="0"/>
    <n v="4"/>
    <n v="1200.32"/>
    <x v="278"/>
    <x v="6"/>
    <x v="4"/>
    <n v="4801.28"/>
    <m/>
    <m/>
    <n v="5"/>
  </r>
  <r>
    <x v="6235"/>
    <x v="1239"/>
    <x v="5"/>
    <n v="3"/>
    <n v="1800.51"/>
    <x v="294"/>
    <x v="6"/>
    <x v="1"/>
    <n v="5401.53"/>
    <m/>
    <m/>
    <n v="5"/>
  </r>
  <r>
    <x v="6236"/>
    <x v="1239"/>
    <x v="0"/>
    <n v="1"/>
    <n v="300.08"/>
    <x v="485"/>
    <x v="2"/>
    <x v="3"/>
    <n v="300.08"/>
    <m/>
    <m/>
    <n v="5"/>
  </r>
  <r>
    <x v="6237"/>
    <x v="1239"/>
    <x v="1"/>
    <n v="5"/>
    <n v="203.3"/>
    <x v="542"/>
    <x v="6"/>
    <x v="0"/>
    <n v="1016.5"/>
    <m/>
    <m/>
    <n v="7"/>
  </r>
  <r>
    <x v="6238"/>
    <x v="1240"/>
    <x v="1"/>
    <n v="4"/>
    <n v="162.63999999999999"/>
    <x v="475"/>
    <x v="6"/>
    <x v="3"/>
    <n v="650.55999999999995"/>
    <m/>
    <m/>
    <n v="5"/>
  </r>
  <r>
    <x v="6239"/>
    <x v="1240"/>
    <x v="3"/>
    <n v="1"/>
    <n v="15.15"/>
    <x v="621"/>
    <x v="5"/>
    <x v="1"/>
    <n v="15.15"/>
    <m/>
    <m/>
    <n v="7"/>
  </r>
  <r>
    <x v="6240"/>
    <x v="1240"/>
    <x v="4"/>
    <n v="5"/>
    <n v="5250"/>
    <x v="530"/>
    <x v="4"/>
    <x v="2"/>
    <n v="26250"/>
    <m/>
    <m/>
    <n v="7"/>
  </r>
  <r>
    <x v="6241"/>
    <x v="1241"/>
    <x v="1"/>
    <n v="2"/>
    <n v="81.319999999999993"/>
    <x v="518"/>
    <x v="0"/>
    <x v="3"/>
    <n v="162.63999999999999"/>
    <m/>
    <m/>
    <n v="5"/>
  </r>
  <r>
    <x v="6242"/>
    <x v="1241"/>
    <x v="6"/>
    <n v="3"/>
    <n v="107.52"/>
    <x v="295"/>
    <x v="6"/>
    <x v="3"/>
    <n v="322.56"/>
    <m/>
    <m/>
    <n v="5"/>
  </r>
  <r>
    <x v="6243"/>
    <x v="1241"/>
    <x v="0"/>
    <n v="1"/>
    <n v="300.08"/>
    <x v="392"/>
    <x v="0"/>
    <x v="0"/>
    <n v="300.08"/>
    <m/>
    <m/>
    <n v="5"/>
  </r>
  <r>
    <x v="6244"/>
    <x v="1241"/>
    <x v="2"/>
    <n v="1"/>
    <n v="5.23"/>
    <x v="500"/>
    <x v="4"/>
    <x v="4"/>
    <n v="5.23"/>
    <m/>
    <m/>
    <n v="5"/>
  </r>
  <r>
    <x v="6245"/>
    <x v="1241"/>
    <x v="0"/>
    <n v="5"/>
    <n v="1500.4"/>
    <x v="706"/>
    <x v="0"/>
    <x v="2"/>
    <n v="7502"/>
    <m/>
    <m/>
    <n v="7"/>
  </r>
  <r>
    <x v="6246"/>
    <x v="1241"/>
    <x v="0"/>
    <n v="5"/>
    <n v="1500.4"/>
    <x v="205"/>
    <x v="0"/>
    <x v="3"/>
    <n v="7502"/>
    <m/>
    <m/>
    <n v="7"/>
  </r>
  <r>
    <x v="6247"/>
    <x v="1241"/>
    <x v="0"/>
    <n v="4"/>
    <n v="1200.32"/>
    <x v="19"/>
    <x v="1"/>
    <x v="0"/>
    <n v="4801.28"/>
    <m/>
    <m/>
    <n v="7"/>
  </r>
  <r>
    <x v="6248"/>
    <x v="1242"/>
    <x v="0"/>
    <n v="2"/>
    <n v="600.16"/>
    <x v="120"/>
    <x v="1"/>
    <x v="1"/>
    <n v="1200.32"/>
    <m/>
    <m/>
    <n v="5"/>
  </r>
  <r>
    <x v="6249"/>
    <x v="1242"/>
    <x v="2"/>
    <n v="2"/>
    <n v="10.46"/>
    <x v="30"/>
    <x v="0"/>
    <x v="3"/>
    <n v="20.92"/>
    <m/>
    <m/>
    <n v="5"/>
  </r>
  <r>
    <x v="6250"/>
    <x v="1242"/>
    <x v="2"/>
    <n v="1"/>
    <n v="5.23"/>
    <x v="750"/>
    <x v="6"/>
    <x v="0"/>
    <n v="5.23"/>
    <m/>
    <m/>
    <n v="5"/>
  </r>
  <r>
    <x v="6251"/>
    <x v="1242"/>
    <x v="6"/>
    <n v="2"/>
    <n v="71.680000000000007"/>
    <x v="429"/>
    <x v="1"/>
    <x v="2"/>
    <n v="143.36000000000001"/>
    <m/>
    <m/>
    <n v="5"/>
  </r>
  <r>
    <x v="6252"/>
    <x v="1242"/>
    <x v="2"/>
    <n v="1"/>
    <n v="5.23"/>
    <x v="642"/>
    <x v="9"/>
    <x v="1"/>
    <n v="5.23"/>
    <m/>
    <m/>
    <n v="5"/>
  </r>
  <r>
    <x v="6253"/>
    <x v="1242"/>
    <x v="0"/>
    <n v="1"/>
    <n v="300.08"/>
    <x v="727"/>
    <x v="9"/>
    <x v="3"/>
    <n v="300.08"/>
    <m/>
    <m/>
    <n v="10"/>
  </r>
  <r>
    <x v="6254"/>
    <x v="1243"/>
    <x v="0"/>
    <n v="2"/>
    <n v="600.16"/>
    <x v="89"/>
    <x v="6"/>
    <x v="4"/>
    <n v="1200.32"/>
    <m/>
    <m/>
    <n v="5"/>
  </r>
  <r>
    <x v="6255"/>
    <x v="1243"/>
    <x v="0"/>
    <n v="4"/>
    <n v="1200.32"/>
    <x v="539"/>
    <x v="1"/>
    <x v="1"/>
    <n v="4801.28"/>
    <m/>
    <m/>
    <n v="7"/>
  </r>
  <r>
    <x v="6256"/>
    <x v="1244"/>
    <x v="2"/>
    <n v="5"/>
    <n v="26.15"/>
    <x v="184"/>
    <x v="2"/>
    <x v="1"/>
    <n v="130.75"/>
    <m/>
    <m/>
    <n v="5"/>
  </r>
  <r>
    <x v="6257"/>
    <x v="1244"/>
    <x v="0"/>
    <n v="3"/>
    <n v="900.24"/>
    <x v="739"/>
    <x v="4"/>
    <x v="4"/>
    <n v="2700.7200000000003"/>
    <m/>
    <m/>
    <n v="5"/>
  </r>
  <r>
    <x v="6258"/>
    <x v="1244"/>
    <x v="1"/>
    <n v="4"/>
    <n v="162.63999999999999"/>
    <x v="589"/>
    <x v="0"/>
    <x v="3"/>
    <n v="650.55999999999995"/>
    <m/>
    <m/>
    <n v="5"/>
  </r>
  <r>
    <x v="6259"/>
    <x v="1245"/>
    <x v="6"/>
    <n v="2"/>
    <n v="71.680000000000007"/>
    <x v="327"/>
    <x v="4"/>
    <x v="0"/>
    <n v="143.36000000000001"/>
    <m/>
    <m/>
    <n v="5"/>
  </r>
  <r>
    <x v="6260"/>
    <x v="1245"/>
    <x v="4"/>
    <n v="4"/>
    <n v="4200"/>
    <x v="744"/>
    <x v="0"/>
    <x v="4"/>
    <n v="16800"/>
    <m/>
    <m/>
    <n v="5"/>
  </r>
  <r>
    <x v="6261"/>
    <x v="1245"/>
    <x v="3"/>
    <n v="3"/>
    <n v="45.45"/>
    <x v="88"/>
    <x v="1"/>
    <x v="0"/>
    <n v="136.35000000000002"/>
    <m/>
    <m/>
    <n v="7"/>
  </r>
  <r>
    <x v="6262"/>
    <x v="1245"/>
    <x v="0"/>
    <n v="4"/>
    <n v="1200.32"/>
    <x v="96"/>
    <x v="0"/>
    <x v="2"/>
    <n v="4801.28"/>
    <m/>
    <m/>
    <n v="7"/>
  </r>
  <r>
    <x v="6263"/>
    <x v="1245"/>
    <x v="2"/>
    <n v="2"/>
    <n v="10.46"/>
    <x v="331"/>
    <x v="7"/>
    <x v="1"/>
    <n v="20.92"/>
    <m/>
    <m/>
    <n v="7"/>
  </r>
  <r>
    <x v="6264"/>
    <x v="1246"/>
    <x v="1"/>
    <n v="5"/>
    <n v="203.3"/>
    <x v="279"/>
    <x v="6"/>
    <x v="4"/>
    <n v="1016.5"/>
    <m/>
    <m/>
    <n v="5"/>
  </r>
  <r>
    <x v="6265"/>
    <x v="1246"/>
    <x v="1"/>
    <n v="5"/>
    <n v="203.3"/>
    <x v="787"/>
    <x v="1"/>
    <x v="3"/>
    <n v="1016.5"/>
    <m/>
    <m/>
    <n v="5"/>
  </r>
  <r>
    <x v="6266"/>
    <x v="1246"/>
    <x v="7"/>
    <n v="5"/>
    <n v="58.65"/>
    <x v="516"/>
    <x v="7"/>
    <x v="2"/>
    <n v="293.25"/>
    <m/>
    <m/>
    <n v="7"/>
  </r>
  <r>
    <x v="6267"/>
    <x v="1246"/>
    <x v="2"/>
    <n v="4"/>
    <n v="20.92"/>
    <x v="658"/>
    <x v="2"/>
    <x v="1"/>
    <n v="83.68"/>
    <m/>
    <m/>
    <n v="10"/>
  </r>
  <r>
    <x v="6268"/>
    <x v="1246"/>
    <x v="0"/>
    <n v="4"/>
    <n v="1200.32"/>
    <x v="436"/>
    <x v="1"/>
    <x v="2"/>
    <n v="4801.28"/>
    <m/>
    <m/>
    <n v="10"/>
  </r>
  <r>
    <x v="6269"/>
    <x v="1247"/>
    <x v="6"/>
    <n v="2"/>
    <n v="71.680000000000007"/>
    <x v="141"/>
    <x v="5"/>
    <x v="2"/>
    <n v="143.36000000000001"/>
    <m/>
    <m/>
    <n v="5"/>
  </r>
  <r>
    <x v="6270"/>
    <x v="1247"/>
    <x v="5"/>
    <n v="4"/>
    <n v="2400.6799999999998"/>
    <x v="349"/>
    <x v="2"/>
    <x v="2"/>
    <n v="9602.7199999999993"/>
    <m/>
    <m/>
    <n v="7"/>
  </r>
  <r>
    <x v="6271"/>
    <x v="1247"/>
    <x v="3"/>
    <n v="2"/>
    <n v="30.3"/>
    <x v="640"/>
    <x v="0"/>
    <x v="2"/>
    <n v="60.6"/>
    <m/>
    <m/>
    <n v="7"/>
  </r>
  <r>
    <x v="6272"/>
    <x v="1247"/>
    <x v="5"/>
    <n v="1"/>
    <n v="600.16999999999996"/>
    <x v="94"/>
    <x v="1"/>
    <x v="0"/>
    <n v="600.16999999999996"/>
    <m/>
    <m/>
    <n v="7"/>
  </r>
  <r>
    <x v="6273"/>
    <x v="1247"/>
    <x v="0"/>
    <n v="2"/>
    <n v="600.16"/>
    <x v="712"/>
    <x v="3"/>
    <x v="4"/>
    <n v="1200.32"/>
    <m/>
    <m/>
    <n v="7"/>
  </r>
  <r>
    <x v="6274"/>
    <x v="1248"/>
    <x v="1"/>
    <n v="4"/>
    <n v="162.63999999999999"/>
    <x v="785"/>
    <x v="8"/>
    <x v="3"/>
    <n v="650.55999999999995"/>
    <m/>
    <m/>
    <n v="5"/>
  </r>
  <r>
    <x v="6275"/>
    <x v="1248"/>
    <x v="0"/>
    <n v="5"/>
    <n v="1500.4"/>
    <x v="335"/>
    <x v="1"/>
    <x v="3"/>
    <n v="7502"/>
    <m/>
    <m/>
    <n v="5"/>
  </r>
  <r>
    <x v="6276"/>
    <x v="1248"/>
    <x v="5"/>
    <n v="3"/>
    <n v="1800.51"/>
    <x v="522"/>
    <x v="1"/>
    <x v="0"/>
    <n v="5401.53"/>
    <m/>
    <m/>
    <n v="5"/>
  </r>
  <r>
    <x v="6277"/>
    <x v="1248"/>
    <x v="2"/>
    <n v="4"/>
    <n v="20.92"/>
    <x v="572"/>
    <x v="6"/>
    <x v="3"/>
    <n v="83.68"/>
    <m/>
    <m/>
    <n v="7"/>
  </r>
  <r>
    <x v="6278"/>
    <x v="1248"/>
    <x v="5"/>
    <n v="5"/>
    <n v="3000.85"/>
    <x v="510"/>
    <x v="6"/>
    <x v="3"/>
    <n v="15004.25"/>
    <m/>
    <m/>
    <n v="7"/>
  </r>
  <r>
    <x v="6279"/>
    <x v="1248"/>
    <x v="2"/>
    <n v="3"/>
    <n v="15.69"/>
    <x v="395"/>
    <x v="6"/>
    <x v="1"/>
    <n v="47.07"/>
    <m/>
    <m/>
    <n v="7"/>
  </r>
  <r>
    <x v="6280"/>
    <x v="1248"/>
    <x v="0"/>
    <n v="3"/>
    <n v="900.24"/>
    <x v="197"/>
    <x v="6"/>
    <x v="0"/>
    <n v="2700.7200000000003"/>
    <m/>
    <m/>
    <n v="10"/>
  </r>
  <r>
    <x v="6281"/>
    <x v="1249"/>
    <x v="2"/>
    <n v="4"/>
    <n v="20.92"/>
    <x v="445"/>
    <x v="0"/>
    <x v="0"/>
    <n v="83.68"/>
    <m/>
    <m/>
    <n v="5"/>
  </r>
  <r>
    <x v="6282"/>
    <x v="1249"/>
    <x v="0"/>
    <n v="2"/>
    <n v="600.16"/>
    <x v="536"/>
    <x v="9"/>
    <x v="1"/>
    <n v="1200.32"/>
    <m/>
    <m/>
    <n v="5"/>
  </r>
  <r>
    <x v="6283"/>
    <x v="1249"/>
    <x v="0"/>
    <n v="4"/>
    <n v="1200.32"/>
    <x v="635"/>
    <x v="3"/>
    <x v="1"/>
    <n v="4801.28"/>
    <m/>
    <m/>
    <n v="5"/>
  </r>
  <r>
    <x v="6284"/>
    <x v="1249"/>
    <x v="6"/>
    <n v="3"/>
    <n v="107.52"/>
    <x v="642"/>
    <x v="1"/>
    <x v="3"/>
    <n v="322.56"/>
    <m/>
    <m/>
    <n v="5"/>
  </r>
  <r>
    <x v="6285"/>
    <x v="1249"/>
    <x v="7"/>
    <n v="5"/>
    <n v="58.65"/>
    <x v="725"/>
    <x v="1"/>
    <x v="1"/>
    <n v="293.25"/>
    <m/>
    <m/>
    <n v="5"/>
  </r>
  <r>
    <x v="6286"/>
    <x v="1249"/>
    <x v="2"/>
    <n v="4"/>
    <n v="20.92"/>
    <x v="208"/>
    <x v="0"/>
    <x v="2"/>
    <n v="83.68"/>
    <m/>
    <m/>
    <n v="5"/>
  </r>
  <r>
    <x v="6287"/>
    <x v="1249"/>
    <x v="0"/>
    <n v="2"/>
    <n v="600.16"/>
    <x v="110"/>
    <x v="0"/>
    <x v="2"/>
    <n v="1200.32"/>
    <m/>
    <m/>
    <n v="7"/>
  </r>
  <r>
    <x v="6288"/>
    <x v="1249"/>
    <x v="0"/>
    <n v="3"/>
    <n v="900.24"/>
    <x v="246"/>
    <x v="8"/>
    <x v="3"/>
    <n v="2700.7200000000003"/>
    <m/>
    <m/>
    <n v="10"/>
  </r>
  <r>
    <x v="6289"/>
    <x v="1250"/>
    <x v="2"/>
    <n v="1"/>
    <n v="5.23"/>
    <x v="221"/>
    <x v="0"/>
    <x v="2"/>
    <n v="5.23"/>
    <m/>
    <m/>
    <n v="5"/>
  </r>
  <r>
    <x v="6290"/>
    <x v="1250"/>
    <x v="5"/>
    <n v="5"/>
    <n v="3000.85"/>
    <x v="292"/>
    <x v="1"/>
    <x v="4"/>
    <n v="15004.25"/>
    <m/>
    <m/>
    <n v="5"/>
  </r>
  <r>
    <x v="6291"/>
    <x v="1250"/>
    <x v="6"/>
    <n v="3"/>
    <n v="107.52"/>
    <x v="373"/>
    <x v="4"/>
    <x v="4"/>
    <n v="322.56"/>
    <m/>
    <m/>
    <n v="5"/>
  </r>
  <r>
    <x v="6292"/>
    <x v="1250"/>
    <x v="1"/>
    <n v="4"/>
    <n v="162.63999999999999"/>
    <x v="638"/>
    <x v="8"/>
    <x v="3"/>
    <n v="650.55999999999995"/>
    <m/>
    <m/>
    <n v="5"/>
  </r>
  <r>
    <x v="6293"/>
    <x v="1250"/>
    <x v="2"/>
    <n v="4"/>
    <n v="20.92"/>
    <x v="20"/>
    <x v="1"/>
    <x v="4"/>
    <n v="83.68"/>
    <m/>
    <m/>
    <n v="7"/>
  </r>
  <r>
    <x v="6294"/>
    <x v="1251"/>
    <x v="4"/>
    <n v="5"/>
    <n v="5250"/>
    <x v="143"/>
    <x v="0"/>
    <x v="0"/>
    <n v="26250"/>
    <m/>
    <m/>
    <n v="5"/>
  </r>
  <r>
    <x v="6295"/>
    <x v="1251"/>
    <x v="5"/>
    <n v="3"/>
    <n v="1800.51"/>
    <x v="133"/>
    <x v="6"/>
    <x v="4"/>
    <n v="5401.53"/>
    <m/>
    <m/>
    <n v="5"/>
  </r>
  <r>
    <x v="6296"/>
    <x v="1251"/>
    <x v="0"/>
    <n v="5"/>
    <n v="1500.4"/>
    <x v="392"/>
    <x v="6"/>
    <x v="4"/>
    <n v="7502"/>
    <m/>
    <m/>
    <n v="5"/>
  </r>
  <r>
    <x v="6297"/>
    <x v="1251"/>
    <x v="2"/>
    <n v="2"/>
    <n v="10.46"/>
    <x v="794"/>
    <x v="6"/>
    <x v="0"/>
    <n v="20.92"/>
    <m/>
    <m/>
    <n v="5"/>
  </r>
  <r>
    <x v="6298"/>
    <x v="1251"/>
    <x v="1"/>
    <n v="1"/>
    <n v="40.659999999999997"/>
    <x v="189"/>
    <x v="4"/>
    <x v="1"/>
    <n v="40.659999999999997"/>
    <m/>
    <m/>
    <n v="7"/>
  </r>
  <r>
    <x v="6299"/>
    <x v="1252"/>
    <x v="2"/>
    <n v="1"/>
    <n v="5.23"/>
    <x v="576"/>
    <x v="2"/>
    <x v="1"/>
    <n v="5.23"/>
    <m/>
    <m/>
    <n v="5"/>
  </r>
  <r>
    <x v="6300"/>
    <x v="1252"/>
    <x v="1"/>
    <n v="2"/>
    <n v="81.319999999999993"/>
    <x v="151"/>
    <x v="6"/>
    <x v="1"/>
    <n v="162.63999999999999"/>
    <m/>
    <m/>
    <n v="5"/>
  </r>
  <r>
    <x v="6301"/>
    <x v="1252"/>
    <x v="7"/>
    <n v="4"/>
    <n v="46.92"/>
    <x v="500"/>
    <x v="9"/>
    <x v="4"/>
    <n v="187.68"/>
    <m/>
    <m/>
    <n v="5"/>
  </r>
  <r>
    <x v="6302"/>
    <x v="1252"/>
    <x v="2"/>
    <n v="1"/>
    <n v="5.23"/>
    <x v="297"/>
    <x v="6"/>
    <x v="0"/>
    <n v="5.23"/>
    <m/>
    <m/>
    <n v="7"/>
  </r>
  <r>
    <x v="6303"/>
    <x v="1252"/>
    <x v="0"/>
    <n v="2"/>
    <n v="600.16"/>
    <x v="25"/>
    <x v="7"/>
    <x v="3"/>
    <n v="1200.32"/>
    <m/>
    <m/>
    <n v="7"/>
  </r>
  <r>
    <x v="6304"/>
    <x v="1252"/>
    <x v="2"/>
    <n v="3"/>
    <n v="15.69"/>
    <x v="196"/>
    <x v="1"/>
    <x v="3"/>
    <n v="47.07"/>
    <m/>
    <m/>
    <n v="10"/>
  </r>
  <r>
    <x v="6305"/>
    <x v="1253"/>
    <x v="0"/>
    <n v="1"/>
    <n v="300.08"/>
    <x v="306"/>
    <x v="1"/>
    <x v="3"/>
    <n v="300.08"/>
    <m/>
    <m/>
    <n v="5"/>
  </r>
  <r>
    <x v="6306"/>
    <x v="1253"/>
    <x v="6"/>
    <n v="1"/>
    <n v="35.840000000000003"/>
    <x v="761"/>
    <x v="3"/>
    <x v="2"/>
    <n v="35.840000000000003"/>
    <m/>
    <m/>
    <n v="7"/>
  </r>
  <r>
    <x v="6307"/>
    <x v="1253"/>
    <x v="1"/>
    <n v="3"/>
    <n v="121.98"/>
    <x v="756"/>
    <x v="4"/>
    <x v="4"/>
    <n v="365.94"/>
    <m/>
    <m/>
    <n v="7"/>
  </r>
  <r>
    <x v="6308"/>
    <x v="1253"/>
    <x v="6"/>
    <n v="1"/>
    <n v="35.840000000000003"/>
    <x v="523"/>
    <x v="9"/>
    <x v="3"/>
    <n v="35.840000000000003"/>
    <m/>
    <m/>
    <n v="7"/>
  </r>
  <r>
    <x v="6309"/>
    <x v="1254"/>
    <x v="3"/>
    <n v="3"/>
    <n v="45.45"/>
    <x v="269"/>
    <x v="6"/>
    <x v="4"/>
    <n v="136.35000000000002"/>
    <m/>
    <m/>
    <n v="5"/>
  </r>
  <r>
    <x v="6310"/>
    <x v="1254"/>
    <x v="0"/>
    <n v="3"/>
    <n v="900.24"/>
    <x v="453"/>
    <x v="0"/>
    <x v="1"/>
    <n v="2700.7200000000003"/>
    <m/>
    <m/>
    <n v="5"/>
  </r>
  <r>
    <x v="6311"/>
    <x v="1254"/>
    <x v="5"/>
    <n v="4"/>
    <n v="2400.6799999999998"/>
    <x v="613"/>
    <x v="9"/>
    <x v="1"/>
    <n v="9602.7199999999993"/>
    <m/>
    <m/>
    <n v="5"/>
  </r>
  <r>
    <x v="6312"/>
    <x v="1254"/>
    <x v="5"/>
    <n v="3"/>
    <n v="1800.51"/>
    <x v="691"/>
    <x v="4"/>
    <x v="2"/>
    <n v="5401.53"/>
    <m/>
    <m/>
    <n v="7"/>
  </r>
  <r>
    <x v="6313"/>
    <x v="1254"/>
    <x v="5"/>
    <n v="1"/>
    <n v="600.16999999999996"/>
    <x v="594"/>
    <x v="6"/>
    <x v="4"/>
    <n v="600.16999999999996"/>
    <m/>
    <m/>
    <n v="7"/>
  </r>
  <r>
    <x v="6314"/>
    <x v="1254"/>
    <x v="3"/>
    <n v="1"/>
    <n v="15.15"/>
    <x v="401"/>
    <x v="6"/>
    <x v="4"/>
    <n v="15.15"/>
    <m/>
    <m/>
    <n v="7"/>
  </r>
  <r>
    <x v="6315"/>
    <x v="1254"/>
    <x v="0"/>
    <n v="2"/>
    <n v="600.16"/>
    <x v="419"/>
    <x v="6"/>
    <x v="4"/>
    <n v="1200.32"/>
    <m/>
    <m/>
    <n v="7"/>
  </r>
  <r>
    <x v="6316"/>
    <x v="1254"/>
    <x v="4"/>
    <n v="3"/>
    <n v="3150"/>
    <x v="428"/>
    <x v="1"/>
    <x v="1"/>
    <n v="9450"/>
    <m/>
    <m/>
    <n v="7"/>
  </r>
  <r>
    <x v="6317"/>
    <x v="1254"/>
    <x v="0"/>
    <n v="4"/>
    <n v="1200.32"/>
    <x v="441"/>
    <x v="9"/>
    <x v="1"/>
    <n v="4801.28"/>
    <m/>
    <m/>
    <n v="10"/>
  </r>
  <r>
    <x v="6318"/>
    <x v="1255"/>
    <x v="6"/>
    <n v="4"/>
    <n v="143.36000000000001"/>
    <x v="271"/>
    <x v="2"/>
    <x v="3"/>
    <n v="573.44000000000005"/>
    <m/>
    <m/>
    <n v="5"/>
  </r>
  <r>
    <x v="6319"/>
    <x v="1255"/>
    <x v="0"/>
    <n v="4"/>
    <n v="1200.32"/>
    <x v="204"/>
    <x v="7"/>
    <x v="2"/>
    <n v="4801.28"/>
    <m/>
    <m/>
    <n v="5"/>
  </r>
  <r>
    <x v="6320"/>
    <x v="1255"/>
    <x v="2"/>
    <n v="2"/>
    <n v="10.46"/>
    <x v="557"/>
    <x v="6"/>
    <x v="0"/>
    <n v="20.92"/>
    <m/>
    <m/>
    <n v="7"/>
  </r>
  <r>
    <x v="6321"/>
    <x v="1255"/>
    <x v="1"/>
    <n v="4"/>
    <n v="162.63999999999999"/>
    <x v="348"/>
    <x v="0"/>
    <x v="2"/>
    <n v="650.55999999999995"/>
    <m/>
    <m/>
    <n v="7"/>
  </r>
  <r>
    <x v="6322"/>
    <x v="1255"/>
    <x v="1"/>
    <n v="2"/>
    <n v="81.319999999999993"/>
    <x v="209"/>
    <x v="9"/>
    <x v="1"/>
    <n v="162.63999999999999"/>
    <m/>
    <m/>
    <n v="7"/>
  </r>
  <r>
    <x v="6323"/>
    <x v="1255"/>
    <x v="0"/>
    <n v="3"/>
    <n v="900.24"/>
    <x v="98"/>
    <x v="0"/>
    <x v="1"/>
    <n v="2700.7200000000003"/>
    <m/>
    <m/>
    <n v="7"/>
  </r>
  <r>
    <x v="6324"/>
    <x v="1255"/>
    <x v="7"/>
    <n v="5"/>
    <n v="58.65"/>
    <x v="554"/>
    <x v="1"/>
    <x v="0"/>
    <n v="293.25"/>
    <m/>
    <m/>
    <n v="10"/>
  </r>
  <r>
    <x v="6325"/>
    <x v="1256"/>
    <x v="0"/>
    <n v="2"/>
    <n v="600.16"/>
    <x v="318"/>
    <x v="1"/>
    <x v="1"/>
    <n v="1200.32"/>
    <m/>
    <m/>
    <n v="5"/>
  </r>
  <r>
    <x v="6326"/>
    <x v="1256"/>
    <x v="6"/>
    <n v="4"/>
    <n v="143.36000000000001"/>
    <x v="417"/>
    <x v="4"/>
    <x v="2"/>
    <n v="573.44000000000005"/>
    <m/>
    <m/>
    <n v="5"/>
  </r>
  <r>
    <x v="6327"/>
    <x v="1256"/>
    <x v="3"/>
    <n v="4"/>
    <n v="60.6"/>
    <x v="101"/>
    <x v="4"/>
    <x v="2"/>
    <n v="242.4"/>
    <m/>
    <m/>
    <n v="5"/>
  </r>
  <r>
    <x v="6328"/>
    <x v="1256"/>
    <x v="0"/>
    <n v="3"/>
    <n v="900.24"/>
    <x v="711"/>
    <x v="6"/>
    <x v="2"/>
    <n v="2700.7200000000003"/>
    <m/>
    <m/>
    <n v="7"/>
  </r>
  <r>
    <x v="6329"/>
    <x v="1256"/>
    <x v="6"/>
    <n v="2"/>
    <n v="71.680000000000007"/>
    <x v="360"/>
    <x v="1"/>
    <x v="0"/>
    <n v="143.36000000000001"/>
    <m/>
    <m/>
    <n v="7"/>
  </r>
  <r>
    <x v="6330"/>
    <x v="1256"/>
    <x v="2"/>
    <n v="5"/>
    <n v="26.15"/>
    <x v="530"/>
    <x v="6"/>
    <x v="1"/>
    <n v="130.75"/>
    <m/>
    <m/>
    <n v="7"/>
  </r>
  <r>
    <x v="6331"/>
    <x v="1256"/>
    <x v="6"/>
    <n v="1"/>
    <n v="35.840000000000003"/>
    <x v="297"/>
    <x v="8"/>
    <x v="0"/>
    <n v="35.840000000000003"/>
    <m/>
    <m/>
    <n v="7"/>
  </r>
  <r>
    <x v="6332"/>
    <x v="1257"/>
    <x v="5"/>
    <n v="4"/>
    <n v="2400.6799999999998"/>
    <x v="157"/>
    <x v="3"/>
    <x v="2"/>
    <n v="9602.7199999999993"/>
    <m/>
    <m/>
    <n v="5"/>
  </r>
  <r>
    <x v="6333"/>
    <x v="1257"/>
    <x v="6"/>
    <n v="5"/>
    <n v="179.2"/>
    <x v="175"/>
    <x v="0"/>
    <x v="4"/>
    <n v="896"/>
    <m/>
    <m/>
    <n v="5"/>
  </r>
  <r>
    <x v="6334"/>
    <x v="1257"/>
    <x v="0"/>
    <n v="1"/>
    <n v="300.08"/>
    <x v="74"/>
    <x v="5"/>
    <x v="4"/>
    <n v="300.08"/>
    <m/>
    <m/>
    <n v="5"/>
  </r>
  <r>
    <x v="6335"/>
    <x v="1257"/>
    <x v="2"/>
    <n v="1"/>
    <n v="5.23"/>
    <x v="211"/>
    <x v="1"/>
    <x v="3"/>
    <n v="5.23"/>
    <m/>
    <m/>
    <n v="10"/>
  </r>
  <r>
    <x v="6336"/>
    <x v="1258"/>
    <x v="6"/>
    <n v="1"/>
    <n v="35.840000000000003"/>
    <x v="261"/>
    <x v="6"/>
    <x v="0"/>
    <n v="35.840000000000003"/>
    <m/>
    <m/>
    <n v="5"/>
  </r>
  <r>
    <x v="6337"/>
    <x v="1258"/>
    <x v="2"/>
    <n v="4"/>
    <n v="20.92"/>
    <x v="545"/>
    <x v="1"/>
    <x v="3"/>
    <n v="83.68"/>
    <m/>
    <m/>
    <n v="5"/>
  </r>
  <r>
    <x v="6338"/>
    <x v="1258"/>
    <x v="0"/>
    <n v="5"/>
    <n v="1500.4"/>
    <x v="502"/>
    <x v="0"/>
    <x v="4"/>
    <n v="7502"/>
    <m/>
    <m/>
    <n v="5"/>
  </r>
  <r>
    <x v="6339"/>
    <x v="1258"/>
    <x v="0"/>
    <n v="5"/>
    <n v="1500.4"/>
    <x v="302"/>
    <x v="0"/>
    <x v="0"/>
    <n v="7502"/>
    <m/>
    <m/>
    <n v="5"/>
  </r>
  <r>
    <x v="6340"/>
    <x v="1259"/>
    <x v="0"/>
    <n v="4"/>
    <n v="1200.32"/>
    <x v="551"/>
    <x v="3"/>
    <x v="3"/>
    <n v="4801.28"/>
    <m/>
    <m/>
    <n v="5"/>
  </r>
  <r>
    <x v="6341"/>
    <x v="1259"/>
    <x v="2"/>
    <n v="1"/>
    <n v="5.23"/>
    <x v="314"/>
    <x v="5"/>
    <x v="1"/>
    <n v="5.23"/>
    <m/>
    <m/>
    <n v="5"/>
  </r>
  <r>
    <x v="6342"/>
    <x v="1259"/>
    <x v="3"/>
    <n v="2"/>
    <n v="30.3"/>
    <x v="102"/>
    <x v="1"/>
    <x v="3"/>
    <n v="60.6"/>
    <m/>
    <m/>
    <n v="5"/>
  </r>
  <r>
    <x v="6343"/>
    <x v="1259"/>
    <x v="6"/>
    <n v="1"/>
    <n v="35.840000000000003"/>
    <x v="272"/>
    <x v="9"/>
    <x v="4"/>
    <n v="35.840000000000003"/>
    <m/>
    <m/>
    <n v="7"/>
  </r>
  <r>
    <x v="6344"/>
    <x v="1259"/>
    <x v="0"/>
    <n v="3"/>
    <n v="900.24"/>
    <x v="519"/>
    <x v="4"/>
    <x v="1"/>
    <n v="2700.7200000000003"/>
    <m/>
    <m/>
    <n v="10"/>
  </r>
  <r>
    <x v="6345"/>
    <x v="1260"/>
    <x v="0"/>
    <n v="5"/>
    <n v="1500.4"/>
    <x v="385"/>
    <x v="0"/>
    <x v="0"/>
    <n v="7502"/>
    <m/>
    <m/>
    <n v="10"/>
  </r>
  <r>
    <x v="6346"/>
    <x v="1261"/>
    <x v="2"/>
    <n v="4"/>
    <n v="20.92"/>
    <x v="179"/>
    <x v="0"/>
    <x v="0"/>
    <n v="83.68"/>
    <m/>
    <m/>
    <n v="5"/>
  </r>
  <r>
    <x v="6347"/>
    <x v="1261"/>
    <x v="1"/>
    <n v="5"/>
    <n v="203.3"/>
    <x v="147"/>
    <x v="2"/>
    <x v="1"/>
    <n v="1016.5"/>
    <m/>
    <m/>
    <n v="5"/>
  </r>
  <r>
    <x v="6348"/>
    <x v="1261"/>
    <x v="2"/>
    <n v="4"/>
    <n v="20.92"/>
    <x v="353"/>
    <x v="2"/>
    <x v="4"/>
    <n v="83.68"/>
    <m/>
    <m/>
    <n v="7"/>
  </r>
  <r>
    <x v="6349"/>
    <x v="1261"/>
    <x v="0"/>
    <n v="2"/>
    <n v="600.16"/>
    <x v="769"/>
    <x v="0"/>
    <x v="4"/>
    <n v="1200.32"/>
    <m/>
    <m/>
    <n v="10"/>
  </r>
  <r>
    <x v="6350"/>
    <x v="1262"/>
    <x v="3"/>
    <n v="1"/>
    <n v="15.15"/>
    <x v="162"/>
    <x v="5"/>
    <x v="0"/>
    <n v="15.15"/>
    <m/>
    <m/>
    <n v="5"/>
  </r>
  <r>
    <x v="6351"/>
    <x v="1262"/>
    <x v="0"/>
    <n v="4"/>
    <n v="1200.32"/>
    <x v="787"/>
    <x v="9"/>
    <x v="4"/>
    <n v="4801.28"/>
    <m/>
    <m/>
    <n v="5"/>
  </r>
  <r>
    <x v="6352"/>
    <x v="1262"/>
    <x v="0"/>
    <n v="4"/>
    <n v="1200.32"/>
    <x v="543"/>
    <x v="0"/>
    <x v="1"/>
    <n v="4801.28"/>
    <m/>
    <m/>
    <n v="5"/>
  </r>
  <r>
    <x v="6353"/>
    <x v="1262"/>
    <x v="0"/>
    <n v="3"/>
    <n v="900.24"/>
    <x v="507"/>
    <x v="0"/>
    <x v="2"/>
    <n v="2700.7200000000003"/>
    <m/>
    <m/>
    <n v="7"/>
  </r>
  <r>
    <x v="6354"/>
    <x v="1262"/>
    <x v="3"/>
    <n v="2"/>
    <n v="30.3"/>
    <x v="779"/>
    <x v="1"/>
    <x v="4"/>
    <n v="60.6"/>
    <m/>
    <m/>
    <n v="7"/>
  </r>
  <r>
    <x v="6355"/>
    <x v="1262"/>
    <x v="3"/>
    <n v="2"/>
    <n v="30.3"/>
    <x v="770"/>
    <x v="9"/>
    <x v="2"/>
    <n v="60.6"/>
    <m/>
    <m/>
    <n v="7"/>
  </r>
  <r>
    <x v="6356"/>
    <x v="1263"/>
    <x v="1"/>
    <n v="5"/>
    <n v="203.3"/>
    <x v="610"/>
    <x v="2"/>
    <x v="2"/>
    <n v="1016.5"/>
    <m/>
    <m/>
    <n v="5"/>
  </r>
  <r>
    <x v="6357"/>
    <x v="1263"/>
    <x v="0"/>
    <n v="2"/>
    <n v="600.16"/>
    <x v="490"/>
    <x v="5"/>
    <x v="4"/>
    <n v="1200.32"/>
    <m/>
    <m/>
    <n v="5"/>
  </r>
  <r>
    <x v="6358"/>
    <x v="1263"/>
    <x v="0"/>
    <n v="3"/>
    <n v="900.24"/>
    <x v="82"/>
    <x v="4"/>
    <x v="1"/>
    <n v="2700.7200000000003"/>
    <m/>
    <m/>
    <n v="5"/>
  </r>
  <r>
    <x v="6359"/>
    <x v="1263"/>
    <x v="2"/>
    <n v="1"/>
    <n v="5.23"/>
    <x v="118"/>
    <x v="8"/>
    <x v="1"/>
    <n v="5.23"/>
    <m/>
    <m/>
    <n v="7"/>
  </r>
  <r>
    <x v="6360"/>
    <x v="1263"/>
    <x v="0"/>
    <n v="2"/>
    <n v="600.16"/>
    <x v="624"/>
    <x v="1"/>
    <x v="4"/>
    <n v="1200.32"/>
    <m/>
    <m/>
    <n v="7"/>
  </r>
  <r>
    <x v="6361"/>
    <x v="1263"/>
    <x v="0"/>
    <n v="5"/>
    <n v="1500.4"/>
    <x v="401"/>
    <x v="4"/>
    <x v="0"/>
    <n v="7502"/>
    <m/>
    <m/>
    <n v="7"/>
  </r>
  <r>
    <x v="6362"/>
    <x v="1264"/>
    <x v="0"/>
    <n v="5"/>
    <n v="1500.4"/>
    <x v="736"/>
    <x v="8"/>
    <x v="2"/>
    <n v="7502"/>
    <m/>
    <m/>
    <n v="5"/>
  </r>
  <r>
    <x v="6363"/>
    <x v="1264"/>
    <x v="2"/>
    <n v="3"/>
    <n v="15.69"/>
    <x v="380"/>
    <x v="4"/>
    <x v="0"/>
    <n v="47.07"/>
    <m/>
    <m/>
    <n v="5"/>
  </r>
  <r>
    <x v="6364"/>
    <x v="1264"/>
    <x v="0"/>
    <n v="2"/>
    <n v="600.16"/>
    <x v="253"/>
    <x v="9"/>
    <x v="2"/>
    <n v="1200.32"/>
    <m/>
    <m/>
    <n v="7"/>
  </r>
  <r>
    <x v="6365"/>
    <x v="1265"/>
    <x v="3"/>
    <n v="5"/>
    <n v="75.75"/>
    <x v="278"/>
    <x v="3"/>
    <x v="2"/>
    <n v="378.75"/>
    <m/>
    <m/>
    <n v="5"/>
  </r>
  <r>
    <x v="6366"/>
    <x v="1265"/>
    <x v="2"/>
    <n v="2"/>
    <n v="10.46"/>
    <x v="133"/>
    <x v="6"/>
    <x v="0"/>
    <n v="20.92"/>
    <m/>
    <m/>
    <n v="5"/>
  </r>
  <r>
    <x v="6367"/>
    <x v="1265"/>
    <x v="6"/>
    <n v="5"/>
    <n v="179.2"/>
    <x v="17"/>
    <x v="2"/>
    <x v="1"/>
    <n v="896"/>
    <m/>
    <m/>
    <n v="5"/>
  </r>
  <r>
    <x v="6368"/>
    <x v="1265"/>
    <x v="2"/>
    <n v="2"/>
    <n v="10.46"/>
    <x v="147"/>
    <x v="7"/>
    <x v="2"/>
    <n v="20.92"/>
    <m/>
    <m/>
    <n v="5"/>
  </r>
  <r>
    <x v="6369"/>
    <x v="1265"/>
    <x v="2"/>
    <n v="5"/>
    <n v="26.15"/>
    <x v="7"/>
    <x v="7"/>
    <x v="4"/>
    <n v="130.75"/>
    <m/>
    <m/>
    <n v="7"/>
  </r>
  <r>
    <x v="6370"/>
    <x v="1265"/>
    <x v="0"/>
    <n v="2"/>
    <n v="600.16"/>
    <x v="243"/>
    <x v="3"/>
    <x v="2"/>
    <n v="1200.32"/>
    <m/>
    <m/>
    <n v="7"/>
  </r>
  <r>
    <x v="6371"/>
    <x v="1266"/>
    <x v="0"/>
    <n v="4"/>
    <n v="1200.32"/>
    <x v="166"/>
    <x v="6"/>
    <x v="3"/>
    <n v="4801.28"/>
    <m/>
    <m/>
    <n v="5"/>
  </r>
  <r>
    <x v="6372"/>
    <x v="1266"/>
    <x v="0"/>
    <n v="2"/>
    <n v="600.16"/>
    <x v="573"/>
    <x v="1"/>
    <x v="4"/>
    <n v="1200.32"/>
    <m/>
    <m/>
    <n v="7"/>
  </r>
  <r>
    <x v="6373"/>
    <x v="1267"/>
    <x v="2"/>
    <n v="3"/>
    <n v="15.69"/>
    <x v="494"/>
    <x v="4"/>
    <x v="3"/>
    <n v="47.07"/>
    <m/>
    <m/>
    <n v="5"/>
  </r>
  <r>
    <x v="6374"/>
    <x v="1267"/>
    <x v="4"/>
    <n v="1"/>
    <n v="1050"/>
    <x v="238"/>
    <x v="3"/>
    <x v="1"/>
    <n v="1050"/>
    <m/>
    <m/>
    <n v="5"/>
  </r>
  <r>
    <x v="6375"/>
    <x v="1267"/>
    <x v="2"/>
    <n v="4"/>
    <n v="20.92"/>
    <x v="654"/>
    <x v="0"/>
    <x v="0"/>
    <n v="83.68"/>
    <m/>
    <m/>
    <n v="5"/>
  </r>
  <r>
    <x v="6376"/>
    <x v="1267"/>
    <x v="5"/>
    <n v="5"/>
    <n v="3000.85"/>
    <x v="339"/>
    <x v="0"/>
    <x v="2"/>
    <n v="15004.25"/>
    <m/>
    <m/>
    <n v="5"/>
  </r>
  <r>
    <x v="6377"/>
    <x v="1267"/>
    <x v="3"/>
    <n v="1"/>
    <n v="15.15"/>
    <x v="74"/>
    <x v="2"/>
    <x v="1"/>
    <n v="15.15"/>
    <m/>
    <m/>
    <n v="5"/>
  </r>
  <r>
    <x v="6378"/>
    <x v="1267"/>
    <x v="0"/>
    <n v="3"/>
    <n v="900.24"/>
    <x v="286"/>
    <x v="0"/>
    <x v="4"/>
    <n v="2700.7200000000003"/>
    <m/>
    <m/>
    <n v="5"/>
  </r>
  <r>
    <x v="6379"/>
    <x v="1267"/>
    <x v="0"/>
    <n v="2"/>
    <n v="600.16"/>
    <x v="110"/>
    <x v="4"/>
    <x v="4"/>
    <n v="1200.32"/>
    <m/>
    <m/>
    <n v="7"/>
  </r>
  <r>
    <x v="6380"/>
    <x v="1267"/>
    <x v="0"/>
    <n v="5"/>
    <n v="1500.4"/>
    <x v="594"/>
    <x v="6"/>
    <x v="2"/>
    <n v="7502"/>
    <m/>
    <m/>
    <n v="7"/>
  </r>
  <r>
    <x v="6381"/>
    <x v="1267"/>
    <x v="6"/>
    <n v="4"/>
    <n v="143.36000000000001"/>
    <x v="32"/>
    <x v="8"/>
    <x v="0"/>
    <n v="573.44000000000005"/>
    <m/>
    <m/>
    <n v="7"/>
  </r>
  <r>
    <x v="6382"/>
    <x v="1268"/>
    <x v="0"/>
    <n v="3"/>
    <n v="900.24"/>
    <x v="355"/>
    <x v="8"/>
    <x v="4"/>
    <n v="2700.7200000000003"/>
    <m/>
    <m/>
    <n v="5"/>
  </r>
  <r>
    <x v="6383"/>
    <x v="1268"/>
    <x v="0"/>
    <n v="3"/>
    <n v="900.24"/>
    <x v="95"/>
    <x v="3"/>
    <x v="3"/>
    <n v="2700.7200000000003"/>
    <m/>
    <m/>
    <n v="5"/>
  </r>
  <r>
    <x v="6384"/>
    <x v="1268"/>
    <x v="0"/>
    <n v="2"/>
    <n v="600.16"/>
    <x v="448"/>
    <x v="3"/>
    <x v="2"/>
    <n v="1200.32"/>
    <m/>
    <m/>
    <n v="7"/>
  </r>
  <r>
    <x v="6385"/>
    <x v="1268"/>
    <x v="5"/>
    <n v="1"/>
    <n v="600.16999999999996"/>
    <x v="96"/>
    <x v="0"/>
    <x v="3"/>
    <n v="600.16999999999996"/>
    <m/>
    <m/>
    <n v="7"/>
  </r>
  <r>
    <x v="6386"/>
    <x v="1268"/>
    <x v="2"/>
    <n v="4"/>
    <n v="20.92"/>
    <x v="178"/>
    <x v="3"/>
    <x v="3"/>
    <n v="83.68"/>
    <m/>
    <m/>
    <n v="7"/>
  </r>
  <r>
    <x v="6387"/>
    <x v="1268"/>
    <x v="5"/>
    <n v="5"/>
    <n v="3000.85"/>
    <x v="658"/>
    <x v="4"/>
    <x v="0"/>
    <n v="15004.25"/>
    <m/>
    <m/>
    <n v="10"/>
  </r>
  <r>
    <x v="6388"/>
    <x v="1268"/>
    <x v="1"/>
    <n v="3"/>
    <n v="121.98"/>
    <x v="42"/>
    <x v="0"/>
    <x v="4"/>
    <n v="365.94"/>
    <m/>
    <m/>
    <n v="10"/>
  </r>
  <r>
    <x v="6389"/>
    <x v="1269"/>
    <x v="0"/>
    <n v="4"/>
    <n v="1200.32"/>
    <x v="78"/>
    <x v="0"/>
    <x v="4"/>
    <n v="4801.28"/>
    <m/>
    <m/>
    <n v="5"/>
  </r>
  <r>
    <x v="6390"/>
    <x v="1269"/>
    <x v="0"/>
    <n v="3"/>
    <n v="900.24"/>
    <x v="328"/>
    <x v="6"/>
    <x v="4"/>
    <n v="2700.7200000000003"/>
    <m/>
    <m/>
    <n v="5"/>
  </r>
  <r>
    <x v="6391"/>
    <x v="1269"/>
    <x v="0"/>
    <n v="5"/>
    <n v="1500.4"/>
    <x v="281"/>
    <x v="9"/>
    <x v="2"/>
    <n v="7502"/>
    <m/>
    <m/>
    <n v="7"/>
  </r>
  <r>
    <x v="6392"/>
    <x v="1270"/>
    <x v="3"/>
    <n v="1"/>
    <n v="15.15"/>
    <x v="712"/>
    <x v="9"/>
    <x v="4"/>
    <n v="15.15"/>
    <m/>
    <m/>
    <n v="7"/>
  </r>
  <r>
    <x v="6393"/>
    <x v="1271"/>
    <x v="0"/>
    <n v="5"/>
    <n v="1500.4"/>
    <x v="320"/>
    <x v="5"/>
    <x v="4"/>
    <n v="7502"/>
    <m/>
    <m/>
    <n v="5"/>
  </r>
  <r>
    <x v="6394"/>
    <x v="1271"/>
    <x v="6"/>
    <n v="3"/>
    <n v="107.52"/>
    <x v="417"/>
    <x v="0"/>
    <x v="0"/>
    <n v="322.56"/>
    <m/>
    <m/>
    <n v="5"/>
  </r>
  <r>
    <x v="6395"/>
    <x v="1271"/>
    <x v="2"/>
    <n v="5"/>
    <n v="26.15"/>
    <x v="406"/>
    <x v="1"/>
    <x v="0"/>
    <n v="130.75"/>
    <m/>
    <m/>
    <n v="5"/>
  </r>
  <r>
    <x v="6396"/>
    <x v="1271"/>
    <x v="0"/>
    <n v="1"/>
    <n v="300.08"/>
    <x v="559"/>
    <x v="6"/>
    <x v="0"/>
    <n v="300.08"/>
    <m/>
    <m/>
    <n v="7"/>
  </r>
  <r>
    <x v="6397"/>
    <x v="1271"/>
    <x v="0"/>
    <n v="4"/>
    <n v="1200.32"/>
    <x v="666"/>
    <x v="3"/>
    <x v="1"/>
    <n v="4801.28"/>
    <m/>
    <m/>
    <n v="10"/>
  </r>
  <r>
    <x v="6398"/>
    <x v="1271"/>
    <x v="4"/>
    <n v="4"/>
    <n v="4200"/>
    <x v="746"/>
    <x v="0"/>
    <x v="4"/>
    <n v="16800"/>
    <m/>
    <m/>
    <n v="10"/>
  </r>
  <r>
    <x v="6399"/>
    <x v="1272"/>
    <x v="0"/>
    <n v="4"/>
    <n v="1200.32"/>
    <x v="5"/>
    <x v="0"/>
    <x v="2"/>
    <n v="4801.28"/>
    <m/>
    <m/>
    <n v="5"/>
  </r>
  <r>
    <x v="6400"/>
    <x v="1272"/>
    <x v="0"/>
    <n v="2"/>
    <n v="600.16"/>
    <x v="642"/>
    <x v="6"/>
    <x v="1"/>
    <n v="1200.32"/>
    <m/>
    <m/>
    <n v="5"/>
  </r>
  <r>
    <x v="6401"/>
    <x v="1272"/>
    <x v="5"/>
    <n v="1"/>
    <n v="600.16999999999996"/>
    <x v="129"/>
    <x v="1"/>
    <x v="0"/>
    <n v="600.16999999999996"/>
    <m/>
    <m/>
    <n v="7"/>
  </r>
  <r>
    <x v="6402"/>
    <x v="1272"/>
    <x v="0"/>
    <n v="3"/>
    <n v="900.24"/>
    <x v="517"/>
    <x v="6"/>
    <x v="3"/>
    <n v="2700.7200000000003"/>
    <m/>
    <m/>
    <n v="10"/>
  </r>
  <r>
    <x v="6403"/>
    <x v="1273"/>
    <x v="4"/>
    <n v="3"/>
    <n v="3150"/>
    <x v="319"/>
    <x v="9"/>
    <x v="0"/>
    <n v="9450"/>
    <m/>
    <m/>
    <n v="5"/>
  </r>
  <r>
    <x v="6404"/>
    <x v="1273"/>
    <x v="0"/>
    <n v="1"/>
    <n v="300.08"/>
    <x v="763"/>
    <x v="6"/>
    <x v="2"/>
    <n v="300.08"/>
    <m/>
    <m/>
    <n v="5"/>
  </r>
  <r>
    <x v="6405"/>
    <x v="1273"/>
    <x v="1"/>
    <n v="2"/>
    <n v="81.319999999999993"/>
    <x v="425"/>
    <x v="0"/>
    <x v="4"/>
    <n v="162.63999999999999"/>
    <m/>
    <m/>
    <n v="5"/>
  </r>
  <r>
    <x v="6406"/>
    <x v="1273"/>
    <x v="3"/>
    <n v="5"/>
    <n v="75.75"/>
    <x v="740"/>
    <x v="6"/>
    <x v="2"/>
    <n v="378.75"/>
    <m/>
    <m/>
    <n v="7"/>
  </r>
  <r>
    <x v="6407"/>
    <x v="1273"/>
    <x v="3"/>
    <n v="4"/>
    <n v="60.6"/>
    <x v="288"/>
    <x v="1"/>
    <x v="4"/>
    <n v="242.4"/>
    <m/>
    <m/>
    <n v="7"/>
  </r>
  <r>
    <x v="6408"/>
    <x v="1274"/>
    <x v="5"/>
    <n v="1"/>
    <n v="600.16999999999996"/>
    <x v="201"/>
    <x v="0"/>
    <x v="2"/>
    <n v="600.16999999999996"/>
    <m/>
    <m/>
    <n v="5"/>
  </r>
  <r>
    <x v="6409"/>
    <x v="1274"/>
    <x v="7"/>
    <n v="5"/>
    <n v="58.65"/>
    <x v="175"/>
    <x v="4"/>
    <x v="0"/>
    <n v="293.25"/>
    <m/>
    <m/>
    <n v="5"/>
  </r>
  <r>
    <x v="6410"/>
    <x v="1274"/>
    <x v="0"/>
    <n v="5"/>
    <n v="1500.4"/>
    <x v="673"/>
    <x v="0"/>
    <x v="0"/>
    <n v="7502"/>
    <m/>
    <m/>
    <n v="7"/>
  </r>
  <r>
    <x v="6411"/>
    <x v="1274"/>
    <x v="0"/>
    <n v="3"/>
    <n v="900.24"/>
    <x v="625"/>
    <x v="9"/>
    <x v="3"/>
    <n v="2700.7200000000003"/>
    <m/>
    <m/>
    <n v="7"/>
  </r>
  <r>
    <x v="6412"/>
    <x v="1274"/>
    <x v="0"/>
    <n v="5"/>
    <n v="1500.4"/>
    <x v="96"/>
    <x v="0"/>
    <x v="1"/>
    <n v="7502"/>
    <m/>
    <m/>
    <n v="7"/>
  </r>
  <r>
    <x v="6413"/>
    <x v="1274"/>
    <x v="6"/>
    <n v="5"/>
    <n v="179.2"/>
    <x v="25"/>
    <x v="0"/>
    <x v="1"/>
    <n v="896"/>
    <m/>
    <m/>
    <n v="7"/>
  </r>
  <r>
    <x v="6414"/>
    <x v="1275"/>
    <x v="4"/>
    <n v="3"/>
    <n v="3150"/>
    <x v="650"/>
    <x v="4"/>
    <x v="4"/>
    <n v="9450"/>
    <m/>
    <m/>
    <n v="5"/>
  </r>
  <r>
    <x v="6415"/>
    <x v="1275"/>
    <x v="0"/>
    <n v="3"/>
    <n v="900.24"/>
    <x v="555"/>
    <x v="6"/>
    <x v="0"/>
    <n v="2700.7200000000003"/>
    <m/>
    <m/>
    <n v="5"/>
  </r>
  <r>
    <x v="6416"/>
    <x v="1275"/>
    <x v="0"/>
    <n v="2"/>
    <n v="600.16"/>
    <x v="18"/>
    <x v="9"/>
    <x v="4"/>
    <n v="1200.32"/>
    <m/>
    <m/>
    <n v="7"/>
  </r>
  <r>
    <x v="6417"/>
    <x v="1275"/>
    <x v="0"/>
    <n v="1"/>
    <n v="300.08"/>
    <x v="24"/>
    <x v="7"/>
    <x v="3"/>
    <n v="300.08"/>
    <m/>
    <m/>
    <n v="7"/>
  </r>
  <r>
    <x v="6418"/>
    <x v="1275"/>
    <x v="0"/>
    <n v="2"/>
    <n v="600.16"/>
    <x v="148"/>
    <x v="6"/>
    <x v="1"/>
    <n v="1200.32"/>
    <m/>
    <m/>
    <n v="7"/>
  </r>
  <r>
    <x v="6419"/>
    <x v="1276"/>
    <x v="5"/>
    <n v="2"/>
    <n v="1200.3399999999999"/>
    <x v="132"/>
    <x v="4"/>
    <x v="1"/>
    <n v="2400.6799999999998"/>
    <m/>
    <m/>
    <n v="5"/>
  </r>
  <r>
    <x v="6420"/>
    <x v="1276"/>
    <x v="1"/>
    <n v="5"/>
    <n v="203.3"/>
    <x v="679"/>
    <x v="0"/>
    <x v="3"/>
    <n v="1016.5"/>
    <m/>
    <m/>
    <n v="7"/>
  </r>
  <r>
    <x v="6421"/>
    <x v="1276"/>
    <x v="0"/>
    <n v="2"/>
    <n v="600.16"/>
    <x v="181"/>
    <x v="0"/>
    <x v="0"/>
    <n v="1200.32"/>
    <m/>
    <m/>
    <n v="7"/>
  </r>
  <r>
    <x v="6422"/>
    <x v="1276"/>
    <x v="2"/>
    <n v="2"/>
    <n v="10.46"/>
    <x v="455"/>
    <x v="0"/>
    <x v="0"/>
    <n v="20.92"/>
    <m/>
    <m/>
    <n v="7"/>
  </r>
  <r>
    <x v="6423"/>
    <x v="1276"/>
    <x v="2"/>
    <n v="5"/>
    <n v="26.15"/>
    <x v="704"/>
    <x v="4"/>
    <x v="4"/>
    <n v="130.75"/>
    <m/>
    <m/>
    <n v="7"/>
  </r>
  <r>
    <x v="6424"/>
    <x v="1276"/>
    <x v="6"/>
    <n v="4"/>
    <n v="143.36000000000001"/>
    <x v="190"/>
    <x v="7"/>
    <x v="2"/>
    <n v="573.44000000000005"/>
    <m/>
    <m/>
    <n v="7"/>
  </r>
  <r>
    <x v="6425"/>
    <x v="1276"/>
    <x v="7"/>
    <n v="3"/>
    <n v="35.19"/>
    <x v="554"/>
    <x v="1"/>
    <x v="4"/>
    <n v="105.57"/>
    <m/>
    <m/>
    <n v="10"/>
  </r>
  <r>
    <x v="6426"/>
    <x v="1277"/>
    <x v="1"/>
    <n v="2"/>
    <n v="81.319999999999993"/>
    <x v="516"/>
    <x v="4"/>
    <x v="2"/>
    <n v="162.63999999999999"/>
    <m/>
    <m/>
    <n v="7"/>
  </r>
  <r>
    <x v="6427"/>
    <x v="1277"/>
    <x v="0"/>
    <n v="3"/>
    <n v="900.24"/>
    <x v="222"/>
    <x v="8"/>
    <x v="2"/>
    <n v="2700.7200000000003"/>
    <m/>
    <m/>
    <n v="7"/>
  </r>
  <r>
    <x v="6428"/>
    <x v="1277"/>
    <x v="6"/>
    <n v="5"/>
    <n v="179.2"/>
    <x v="740"/>
    <x v="6"/>
    <x v="3"/>
    <n v="896"/>
    <m/>
    <m/>
    <n v="7"/>
  </r>
  <r>
    <x v="6429"/>
    <x v="1277"/>
    <x v="0"/>
    <n v="2"/>
    <n v="600.16"/>
    <x v="428"/>
    <x v="7"/>
    <x v="3"/>
    <n v="1200.32"/>
    <m/>
    <m/>
    <n v="7"/>
  </r>
  <r>
    <x v="6430"/>
    <x v="1277"/>
    <x v="2"/>
    <n v="2"/>
    <n v="10.46"/>
    <x v="403"/>
    <x v="9"/>
    <x v="1"/>
    <n v="20.92"/>
    <m/>
    <m/>
    <n v="10"/>
  </r>
  <r>
    <x v="6431"/>
    <x v="1277"/>
    <x v="0"/>
    <n v="1"/>
    <n v="300.08"/>
    <x v="452"/>
    <x v="0"/>
    <x v="2"/>
    <n v="300.08"/>
    <m/>
    <m/>
    <n v="10"/>
  </r>
  <r>
    <x v="6432"/>
    <x v="1278"/>
    <x v="7"/>
    <n v="1"/>
    <n v="11.73"/>
    <x v="183"/>
    <x v="2"/>
    <x v="0"/>
    <n v="11.73"/>
    <m/>
    <m/>
    <n v="5"/>
  </r>
  <r>
    <x v="6433"/>
    <x v="1278"/>
    <x v="1"/>
    <n v="3"/>
    <n v="121.98"/>
    <x v="795"/>
    <x v="1"/>
    <x v="0"/>
    <n v="365.94"/>
    <m/>
    <m/>
    <n v="5"/>
  </r>
  <r>
    <x v="6434"/>
    <x v="1278"/>
    <x v="0"/>
    <n v="2"/>
    <n v="600.16"/>
    <x v="415"/>
    <x v="1"/>
    <x v="0"/>
    <n v="1200.32"/>
    <m/>
    <m/>
    <n v="7"/>
  </r>
  <r>
    <x v="6435"/>
    <x v="1278"/>
    <x v="5"/>
    <n v="5"/>
    <n v="3000.85"/>
    <x v="603"/>
    <x v="6"/>
    <x v="3"/>
    <n v="15004.25"/>
    <m/>
    <m/>
    <n v="7"/>
  </r>
  <r>
    <x v="6436"/>
    <x v="1279"/>
    <x v="5"/>
    <n v="3"/>
    <n v="1800.51"/>
    <x v="745"/>
    <x v="6"/>
    <x v="2"/>
    <n v="5401.53"/>
    <m/>
    <m/>
    <n v="5"/>
  </r>
  <r>
    <x v="6437"/>
    <x v="1279"/>
    <x v="0"/>
    <n v="3"/>
    <n v="900.24"/>
    <x v="632"/>
    <x v="0"/>
    <x v="4"/>
    <n v="2700.7200000000003"/>
    <m/>
    <m/>
    <n v="5"/>
  </r>
  <r>
    <x v="6438"/>
    <x v="1279"/>
    <x v="3"/>
    <n v="1"/>
    <n v="15.15"/>
    <x v="449"/>
    <x v="1"/>
    <x v="2"/>
    <n v="15.15"/>
    <m/>
    <m/>
    <n v="7"/>
  </r>
  <r>
    <x v="6439"/>
    <x v="1280"/>
    <x v="7"/>
    <n v="1"/>
    <n v="11.73"/>
    <x v="83"/>
    <x v="6"/>
    <x v="1"/>
    <n v="11.73"/>
    <m/>
    <m/>
    <n v="5"/>
  </r>
  <r>
    <x v="6440"/>
    <x v="1280"/>
    <x v="0"/>
    <n v="2"/>
    <n v="600.16"/>
    <x v="257"/>
    <x v="3"/>
    <x v="3"/>
    <n v="1200.32"/>
    <m/>
    <m/>
    <n v="5"/>
  </r>
  <r>
    <x v="6441"/>
    <x v="1280"/>
    <x v="6"/>
    <n v="1"/>
    <n v="35.840000000000003"/>
    <x v="341"/>
    <x v="6"/>
    <x v="3"/>
    <n v="35.840000000000003"/>
    <m/>
    <m/>
    <n v="5"/>
  </r>
  <r>
    <x v="6442"/>
    <x v="1280"/>
    <x v="0"/>
    <n v="3"/>
    <n v="900.24"/>
    <x v="531"/>
    <x v="3"/>
    <x v="1"/>
    <n v="2700.7200000000003"/>
    <m/>
    <m/>
    <n v="7"/>
  </r>
  <r>
    <x v="6443"/>
    <x v="1281"/>
    <x v="0"/>
    <n v="3"/>
    <n v="900.24"/>
    <x v="10"/>
    <x v="6"/>
    <x v="3"/>
    <n v="2700.7200000000003"/>
    <m/>
    <m/>
    <n v="5"/>
  </r>
  <r>
    <x v="6444"/>
    <x v="1281"/>
    <x v="0"/>
    <n v="3"/>
    <n v="900.24"/>
    <x v="557"/>
    <x v="3"/>
    <x v="0"/>
    <n v="2700.7200000000003"/>
    <m/>
    <m/>
    <n v="7"/>
  </r>
  <r>
    <x v="6445"/>
    <x v="1281"/>
    <x v="0"/>
    <n v="1"/>
    <n v="300.08"/>
    <x v="31"/>
    <x v="1"/>
    <x v="3"/>
    <n v="300.08"/>
    <m/>
    <m/>
    <n v="7"/>
  </r>
  <r>
    <x v="6446"/>
    <x v="1281"/>
    <x v="6"/>
    <n v="5"/>
    <n v="179.2"/>
    <x v="572"/>
    <x v="6"/>
    <x v="0"/>
    <n v="896"/>
    <m/>
    <m/>
    <n v="7"/>
  </r>
  <r>
    <x v="6447"/>
    <x v="1281"/>
    <x v="2"/>
    <n v="2"/>
    <n v="10.46"/>
    <x v="548"/>
    <x v="9"/>
    <x v="0"/>
    <n v="20.92"/>
    <m/>
    <m/>
    <n v="7"/>
  </r>
  <r>
    <x v="6448"/>
    <x v="1281"/>
    <x v="0"/>
    <n v="1"/>
    <n v="300.08"/>
    <x v="42"/>
    <x v="0"/>
    <x v="2"/>
    <n v="300.08"/>
    <m/>
    <m/>
    <n v="10"/>
  </r>
  <r>
    <x v="6449"/>
    <x v="1281"/>
    <x v="0"/>
    <n v="3"/>
    <n v="900.24"/>
    <x v="436"/>
    <x v="5"/>
    <x v="1"/>
    <n v="2700.7200000000003"/>
    <m/>
    <m/>
    <n v="10"/>
  </r>
  <r>
    <x v="6450"/>
    <x v="1282"/>
    <x v="0"/>
    <n v="1"/>
    <n v="300.08"/>
    <x v="795"/>
    <x v="0"/>
    <x v="3"/>
    <n v="300.08"/>
    <m/>
    <m/>
    <n v="5"/>
  </r>
  <r>
    <x v="6451"/>
    <x v="1282"/>
    <x v="6"/>
    <n v="4"/>
    <n v="143.36000000000001"/>
    <x v="280"/>
    <x v="0"/>
    <x v="4"/>
    <n v="573.44000000000005"/>
    <m/>
    <m/>
    <n v="7"/>
  </r>
  <r>
    <x v="6452"/>
    <x v="1283"/>
    <x v="1"/>
    <n v="3"/>
    <n v="121.98"/>
    <x v="566"/>
    <x v="3"/>
    <x v="2"/>
    <n v="365.94"/>
    <m/>
    <m/>
    <n v="5"/>
  </r>
  <r>
    <x v="6453"/>
    <x v="1283"/>
    <x v="0"/>
    <n v="4"/>
    <n v="1200.32"/>
    <x v="357"/>
    <x v="1"/>
    <x v="1"/>
    <n v="4801.28"/>
    <m/>
    <m/>
    <n v="5"/>
  </r>
  <r>
    <x v="6454"/>
    <x v="1283"/>
    <x v="5"/>
    <n v="4"/>
    <n v="2400.6799999999998"/>
    <x v="291"/>
    <x v="6"/>
    <x v="3"/>
    <n v="9602.7199999999993"/>
    <m/>
    <m/>
    <n v="5"/>
  </r>
  <r>
    <x v="6455"/>
    <x v="1283"/>
    <x v="0"/>
    <n v="1"/>
    <n v="300.08"/>
    <x v="557"/>
    <x v="6"/>
    <x v="4"/>
    <n v="300.08"/>
    <m/>
    <m/>
    <n v="7"/>
  </r>
  <r>
    <x v="6456"/>
    <x v="1283"/>
    <x v="5"/>
    <n v="4"/>
    <n v="2400.6799999999998"/>
    <x v="729"/>
    <x v="7"/>
    <x v="4"/>
    <n v="9602.7199999999993"/>
    <m/>
    <m/>
    <n v="7"/>
  </r>
  <r>
    <x v="6457"/>
    <x v="1283"/>
    <x v="7"/>
    <n v="2"/>
    <n v="23.46"/>
    <x v="356"/>
    <x v="7"/>
    <x v="1"/>
    <n v="46.92"/>
    <m/>
    <m/>
    <n v="7"/>
  </r>
  <r>
    <x v="6458"/>
    <x v="1284"/>
    <x v="0"/>
    <n v="4"/>
    <n v="1200.32"/>
    <x v="202"/>
    <x v="1"/>
    <x v="0"/>
    <n v="4801.28"/>
    <m/>
    <m/>
    <n v="5"/>
  </r>
  <r>
    <x v="6459"/>
    <x v="1284"/>
    <x v="6"/>
    <n v="1"/>
    <n v="35.840000000000003"/>
    <x v="162"/>
    <x v="5"/>
    <x v="4"/>
    <n v="35.840000000000003"/>
    <m/>
    <m/>
    <n v="5"/>
  </r>
  <r>
    <x v="6460"/>
    <x v="1284"/>
    <x v="6"/>
    <n v="5"/>
    <n v="179.2"/>
    <x v="650"/>
    <x v="1"/>
    <x v="4"/>
    <n v="896"/>
    <m/>
    <m/>
    <n v="5"/>
  </r>
  <r>
    <x v="6461"/>
    <x v="1284"/>
    <x v="2"/>
    <n v="3"/>
    <n v="15.69"/>
    <x v="120"/>
    <x v="6"/>
    <x v="3"/>
    <n v="47.07"/>
    <m/>
    <m/>
    <n v="5"/>
  </r>
  <r>
    <x v="6462"/>
    <x v="1284"/>
    <x v="0"/>
    <n v="1"/>
    <n v="300.08"/>
    <x v="144"/>
    <x v="0"/>
    <x v="3"/>
    <n v="300.08"/>
    <m/>
    <m/>
    <n v="5"/>
  </r>
  <r>
    <x v="6463"/>
    <x v="1284"/>
    <x v="5"/>
    <n v="2"/>
    <n v="1200.3399999999999"/>
    <x v="543"/>
    <x v="9"/>
    <x v="4"/>
    <n v="2400.6799999999998"/>
    <m/>
    <m/>
    <n v="5"/>
  </r>
  <r>
    <x v="6464"/>
    <x v="1284"/>
    <x v="0"/>
    <n v="5"/>
    <n v="1500.4"/>
    <x v="522"/>
    <x v="1"/>
    <x v="3"/>
    <n v="7502"/>
    <m/>
    <m/>
    <n v="5"/>
  </r>
  <r>
    <x v="6465"/>
    <x v="1284"/>
    <x v="0"/>
    <n v="4"/>
    <n v="1200.32"/>
    <x v="213"/>
    <x v="6"/>
    <x v="3"/>
    <n v="4801.28"/>
    <m/>
    <m/>
    <n v="7"/>
  </r>
  <r>
    <x v="6466"/>
    <x v="1284"/>
    <x v="0"/>
    <n v="2"/>
    <n v="600.16"/>
    <x v="577"/>
    <x v="0"/>
    <x v="3"/>
    <n v="1200.32"/>
    <m/>
    <m/>
    <n v="7"/>
  </r>
  <r>
    <x v="6467"/>
    <x v="1284"/>
    <x v="6"/>
    <n v="5"/>
    <n v="179.2"/>
    <x v="283"/>
    <x v="6"/>
    <x v="4"/>
    <n v="896"/>
    <m/>
    <m/>
    <n v="7"/>
  </r>
  <r>
    <x v="6468"/>
    <x v="1285"/>
    <x v="7"/>
    <n v="3"/>
    <n v="35.19"/>
    <x v="399"/>
    <x v="3"/>
    <x v="4"/>
    <n v="105.57"/>
    <m/>
    <m/>
    <n v="7"/>
  </r>
  <r>
    <x v="6469"/>
    <x v="1285"/>
    <x v="2"/>
    <n v="4"/>
    <n v="20.92"/>
    <x v="48"/>
    <x v="0"/>
    <x v="0"/>
    <n v="83.68"/>
    <m/>
    <m/>
    <n v="7"/>
  </r>
  <r>
    <x v="6470"/>
    <x v="1285"/>
    <x v="2"/>
    <n v="2"/>
    <n v="10.46"/>
    <x v="461"/>
    <x v="2"/>
    <x v="0"/>
    <n v="20.92"/>
    <m/>
    <m/>
    <n v="7"/>
  </r>
  <r>
    <x v="6471"/>
    <x v="1285"/>
    <x v="1"/>
    <n v="3"/>
    <n v="121.98"/>
    <x v="191"/>
    <x v="4"/>
    <x v="3"/>
    <n v="365.94"/>
    <m/>
    <m/>
    <n v="7"/>
  </r>
  <r>
    <x v="6472"/>
    <x v="1285"/>
    <x v="3"/>
    <n v="1"/>
    <n v="15.15"/>
    <x v="506"/>
    <x v="3"/>
    <x v="3"/>
    <n v="15.15"/>
    <m/>
    <m/>
    <n v="7"/>
  </r>
  <r>
    <x v="6473"/>
    <x v="1285"/>
    <x v="2"/>
    <n v="3"/>
    <n v="15.69"/>
    <x v="615"/>
    <x v="2"/>
    <x v="1"/>
    <n v="47.07"/>
    <m/>
    <m/>
    <n v="7"/>
  </r>
  <r>
    <x v="6474"/>
    <x v="1286"/>
    <x v="0"/>
    <n v="3"/>
    <n v="900.24"/>
    <x v="21"/>
    <x v="4"/>
    <x v="3"/>
    <n v="2700.7200000000003"/>
    <m/>
    <m/>
    <n v="5"/>
  </r>
  <r>
    <x v="6475"/>
    <x v="1286"/>
    <x v="0"/>
    <n v="3"/>
    <n v="900.24"/>
    <x v="70"/>
    <x v="6"/>
    <x v="3"/>
    <n v="2700.7200000000003"/>
    <m/>
    <m/>
    <n v="5"/>
  </r>
  <r>
    <x v="6476"/>
    <x v="1286"/>
    <x v="3"/>
    <n v="3"/>
    <n v="45.45"/>
    <x v="16"/>
    <x v="6"/>
    <x v="3"/>
    <n v="136.35000000000002"/>
    <m/>
    <m/>
    <n v="7"/>
  </r>
  <r>
    <x v="6477"/>
    <x v="1286"/>
    <x v="1"/>
    <n v="5"/>
    <n v="203.3"/>
    <x v="365"/>
    <x v="4"/>
    <x v="1"/>
    <n v="1016.5"/>
    <m/>
    <m/>
    <n v="7"/>
  </r>
  <r>
    <x v="6478"/>
    <x v="1286"/>
    <x v="6"/>
    <n v="1"/>
    <n v="35.840000000000003"/>
    <x v="624"/>
    <x v="6"/>
    <x v="3"/>
    <n v="35.840000000000003"/>
    <m/>
    <m/>
    <n v="7"/>
  </r>
  <r>
    <x v="6479"/>
    <x v="1286"/>
    <x v="0"/>
    <n v="4"/>
    <n v="1200.32"/>
    <x v="24"/>
    <x v="9"/>
    <x v="2"/>
    <n v="4801.28"/>
    <m/>
    <m/>
    <n v="7"/>
  </r>
  <r>
    <x v="6480"/>
    <x v="1286"/>
    <x v="1"/>
    <n v="2"/>
    <n v="81.319999999999993"/>
    <x v="513"/>
    <x v="0"/>
    <x v="0"/>
    <n v="162.63999999999999"/>
    <m/>
    <m/>
    <n v="7"/>
  </r>
  <r>
    <x v="6481"/>
    <x v="1287"/>
    <x v="1"/>
    <n v="5"/>
    <n v="203.3"/>
    <x v="790"/>
    <x v="0"/>
    <x v="0"/>
    <n v="1016.5"/>
    <m/>
    <m/>
    <n v="5"/>
  </r>
  <r>
    <x v="6482"/>
    <x v="1288"/>
    <x v="1"/>
    <n v="4"/>
    <n v="162.63999999999999"/>
    <x v="654"/>
    <x v="8"/>
    <x v="2"/>
    <n v="650.55999999999995"/>
    <m/>
    <m/>
    <n v="5"/>
  </r>
  <r>
    <x v="6483"/>
    <x v="1288"/>
    <x v="5"/>
    <n v="5"/>
    <n v="3000.85"/>
    <x v="86"/>
    <x v="6"/>
    <x v="3"/>
    <n v="15004.25"/>
    <m/>
    <m/>
    <n v="5"/>
  </r>
  <r>
    <x v="6484"/>
    <x v="1288"/>
    <x v="4"/>
    <n v="1"/>
    <n v="1050"/>
    <x v="158"/>
    <x v="7"/>
    <x v="0"/>
    <n v="1050"/>
    <m/>
    <m/>
    <n v="5"/>
  </r>
  <r>
    <x v="6485"/>
    <x v="1288"/>
    <x v="1"/>
    <n v="2"/>
    <n v="81.319999999999993"/>
    <x v="147"/>
    <x v="3"/>
    <x v="2"/>
    <n v="162.63999999999999"/>
    <m/>
    <m/>
    <n v="5"/>
  </r>
  <r>
    <x v="6486"/>
    <x v="1288"/>
    <x v="5"/>
    <n v="2"/>
    <n v="1200.3399999999999"/>
    <x v="362"/>
    <x v="1"/>
    <x v="0"/>
    <n v="2400.6799999999998"/>
    <m/>
    <m/>
    <n v="7"/>
  </r>
  <r>
    <x v="6487"/>
    <x v="1288"/>
    <x v="5"/>
    <n v="1"/>
    <n v="600.16999999999996"/>
    <x v="645"/>
    <x v="6"/>
    <x v="1"/>
    <n v="600.16999999999996"/>
    <m/>
    <m/>
    <n v="10"/>
  </r>
  <r>
    <x v="6488"/>
    <x v="1289"/>
    <x v="2"/>
    <n v="1"/>
    <n v="5.23"/>
    <x v="104"/>
    <x v="5"/>
    <x v="2"/>
    <n v="5.23"/>
    <m/>
    <m/>
    <n v="5"/>
  </r>
  <r>
    <x v="6489"/>
    <x v="1289"/>
    <x v="3"/>
    <n v="2"/>
    <n v="30.3"/>
    <x v="62"/>
    <x v="1"/>
    <x v="4"/>
    <n v="60.6"/>
    <m/>
    <m/>
    <n v="5"/>
  </r>
  <r>
    <x v="6490"/>
    <x v="1289"/>
    <x v="0"/>
    <n v="5"/>
    <n v="1500.4"/>
    <x v="662"/>
    <x v="2"/>
    <x v="0"/>
    <n v="7502"/>
    <m/>
    <m/>
    <n v="5"/>
  </r>
  <r>
    <x v="6491"/>
    <x v="1289"/>
    <x v="5"/>
    <n v="3"/>
    <n v="1800.51"/>
    <x v="651"/>
    <x v="0"/>
    <x v="3"/>
    <n v="5401.53"/>
    <m/>
    <m/>
    <n v="5"/>
  </r>
  <r>
    <x v="6492"/>
    <x v="1289"/>
    <x v="1"/>
    <n v="2"/>
    <n v="81.319999999999993"/>
    <x v="160"/>
    <x v="0"/>
    <x v="1"/>
    <n v="162.63999999999999"/>
    <m/>
    <m/>
    <n v="7"/>
  </r>
  <r>
    <x v="6493"/>
    <x v="1289"/>
    <x v="0"/>
    <n v="1"/>
    <n v="300.08"/>
    <x v="577"/>
    <x v="9"/>
    <x v="4"/>
    <n v="300.08"/>
    <m/>
    <m/>
    <n v="7"/>
  </r>
  <r>
    <x v="6494"/>
    <x v="1290"/>
    <x v="0"/>
    <n v="1"/>
    <n v="300.08"/>
    <x v="150"/>
    <x v="2"/>
    <x v="4"/>
    <n v="300.08"/>
    <m/>
    <m/>
    <n v="5"/>
  </r>
  <r>
    <x v="6495"/>
    <x v="1290"/>
    <x v="6"/>
    <n v="2"/>
    <n v="71.680000000000007"/>
    <x v="509"/>
    <x v="4"/>
    <x v="0"/>
    <n v="143.36000000000001"/>
    <m/>
    <m/>
    <n v="7"/>
  </r>
  <r>
    <x v="6496"/>
    <x v="1290"/>
    <x v="2"/>
    <n v="2"/>
    <n v="10.46"/>
    <x v="287"/>
    <x v="6"/>
    <x v="3"/>
    <n v="20.92"/>
    <m/>
    <m/>
    <n v="7"/>
  </r>
  <r>
    <x v="6497"/>
    <x v="1290"/>
    <x v="0"/>
    <n v="3"/>
    <n v="900.24"/>
    <x v="451"/>
    <x v="0"/>
    <x v="4"/>
    <n v="2700.7200000000003"/>
    <m/>
    <m/>
    <n v="10"/>
  </r>
  <r>
    <x v="6498"/>
    <x v="1291"/>
    <x v="2"/>
    <n v="2"/>
    <n v="10.46"/>
    <x v="492"/>
    <x v="4"/>
    <x v="2"/>
    <n v="20.92"/>
    <m/>
    <m/>
    <n v="5"/>
  </r>
  <r>
    <x v="6499"/>
    <x v="1291"/>
    <x v="1"/>
    <n v="4"/>
    <n v="162.63999999999999"/>
    <x v="468"/>
    <x v="1"/>
    <x v="4"/>
    <n v="650.55999999999995"/>
    <m/>
    <m/>
    <n v="7"/>
  </r>
  <r>
    <x v="6500"/>
    <x v="1291"/>
    <x v="2"/>
    <n v="4"/>
    <n v="20.92"/>
    <x v="444"/>
    <x v="0"/>
    <x v="3"/>
    <n v="83.68"/>
    <m/>
    <m/>
    <n v="7"/>
  </r>
  <r>
    <x v="6501"/>
    <x v="1292"/>
    <x v="0"/>
    <n v="5"/>
    <n v="1500.4"/>
    <x v="89"/>
    <x v="0"/>
    <x v="3"/>
    <n v="7502"/>
    <m/>
    <m/>
    <n v="5"/>
  </r>
  <r>
    <x v="6502"/>
    <x v="1292"/>
    <x v="5"/>
    <n v="5"/>
    <n v="3000.85"/>
    <x v="752"/>
    <x v="0"/>
    <x v="3"/>
    <n v="15004.25"/>
    <m/>
    <m/>
    <n v="5"/>
  </r>
  <r>
    <x v="6503"/>
    <x v="1292"/>
    <x v="5"/>
    <n v="3"/>
    <n v="1800.51"/>
    <x v="706"/>
    <x v="1"/>
    <x v="4"/>
    <n v="5401.53"/>
    <m/>
    <m/>
    <n v="7"/>
  </r>
  <r>
    <x v="6504"/>
    <x v="1292"/>
    <x v="0"/>
    <n v="4"/>
    <n v="1200.32"/>
    <x v="377"/>
    <x v="0"/>
    <x v="0"/>
    <n v="4801.28"/>
    <m/>
    <m/>
    <n v="7"/>
  </r>
  <r>
    <x v="6505"/>
    <x v="1293"/>
    <x v="0"/>
    <n v="5"/>
    <n v="1500.4"/>
    <x v="264"/>
    <x v="4"/>
    <x v="1"/>
    <n v="7502"/>
    <m/>
    <m/>
    <n v="5"/>
  </r>
  <r>
    <x v="6506"/>
    <x v="1293"/>
    <x v="0"/>
    <n v="3"/>
    <n v="900.24"/>
    <x v="221"/>
    <x v="1"/>
    <x v="4"/>
    <n v="2700.7200000000003"/>
    <m/>
    <m/>
    <n v="5"/>
  </r>
  <r>
    <x v="6507"/>
    <x v="1293"/>
    <x v="4"/>
    <n v="1"/>
    <n v="1050"/>
    <x v="670"/>
    <x v="6"/>
    <x v="3"/>
    <n v="1050"/>
    <m/>
    <m/>
    <n v="5"/>
  </r>
  <r>
    <x v="6508"/>
    <x v="1293"/>
    <x v="4"/>
    <n v="5"/>
    <n v="5250"/>
    <x v="694"/>
    <x v="6"/>
    <x v="0"/>
    <n v="26250"/>
    <m/>
    <m/>
    <n v="5"/>
  </r>
  <r>
    <x v="6509"/>
    <x v="1293"/>
    <x v="0"/>
    <n v="4"/>
    <n v="1200.32"/>
    <x v="742"/>
    <x v="2"/>
    <x v="1"/>
    <n v="4801.28"/>
    <m/>
    <m/>
    <n v="7"/>
  </r>
  <r>
    <x v="6510"/>
    <x v="1293"/>
    <x v="0"/>
    <n v="5"/>
    <n v="1500.4"/>
    <x v="342"/>
    <x v="6"/>
    <x v="4"/>
    <n v="7502"/>
    <m/>
    <m/>
    <n v="7"/>
  </r>
  <r>
    <x v="6511"/>
    <x v="1293"/>
    <x v="1"/>
    <n v="5"/>
    <n v="203.3"/>
    <x v="788"/>
    <x v="6"/>
    <x v="2"/>
    <n v="1016.5"/>
    <m/>
    <m/>
    <n v="7"/>
  </r>
  <r>
    <x v="6512"/>
    <x v="1294"/>
    <x v="5"/>
    <n v="2"/>
    <n v="1200.3399999999999"/>
    <x v="768"/>
    <x v="1"/>
    <x v="1"/>
    <n v="2400.6799999999998"/>
    <m/>
    <m/>
    <n v="5"/>
  </r>
  <r>
    <x v="6513"/>
    <x v="1294"/>
    <x v="1"/>
    <n v="2"/>
    <n v="81.319999999999993"/>
    <x v="306"/>
    <x v="1"/>
    <x v="4"/>
    <n v="162.63999999999999"/>
    <m/>
    <m/>
    <n v="5"/>
  </r>
  <r>
    <x v="6514"/>
    <x v="1294"/>
    <x v="0"/>
    <n v="1"/>
    <n v="300.08"/>
    <x v="328"/>
    <x v="0"/>
    <x v="0"/>
    <n v="300.08"/>
    <m/>
    <m/>
    <n v="5"/>
  </r>
  <r>
    <x v="6515"/>
    <x v="1294"/>
    <x v="1"/>
    <n v="4"/>
    <n v="162.63999999999999"/>
    <x v="377"/>
    <x v="5"/>
    <x v="1"/>
    <n v="650.55999999999995"/>
    <m/>
    <m/>
    <n v="7"/>
  </r>
  <r>
    <x v="6516"/>
    <x v="1295"/>
    <x v="7"/>
    <n v="5"/>
    <n v="58.65"/>
    <x v="438"/>
    <x v="6"/>
    <x v="2"/>
    <n v="293.25"/>
    <m/>
    <m/>
    <n v="5"/>
  </r>
  <r>
    <x v="6517"/>
    <x v="1295"/>
    <x v="0"/>
    <n v="2"/>
    <n v="600.16"/>
    <x v="748"/>
    <x v="5"/>
    <x v="1"/>
    <n v="1200.32"/>
    <m/>
    <m/>
    <n v="7"/>
  </r>
  <r>
    <x v="6518"/>
    <x v="1295"/>
    <x v="7"/>
    <n v="4"/>
    <n v="46.92"/>
    <x v="110"/>
    <x v="5"/>
    <x v="3"/>
    <n v="187.68"/>
    <m/>
    <m/>
    <n v="7"/>
  </r>
  <r>
    <x v="6519"/>
    <x v="1295"/>
    <x v="1"/>
    <n v="1"/>
    <n v="40.659999999999997"/>
    <x v="6"/>
    <x v="4"/>
    <x v="2"/>
    <n v="40.659999999999997"/>
    <m/>
    <m/>
    <n v="7"/>
  </r>
  <r>
    <x v="6520"/>
    <x v="1295"/>
    <x v="1"/>
    <n v="4"/>
    <n v="162.63999999999999"/>
    <x v="601"/>
    <x v="0"/>
    <x v="4"/>
    <n v="650.55999999999995"/>
    <m/>
    <m/>
    <n v="7"/>
  </r>
  <r>
    <x v="6521"/>
    <x v="1295"/>
    <x v="0"/>
    <n v="2"/>
    <n v="600.16"/>
    <x v="32"/>
    <x v="4"/>
    <x v="3"/>
    <n v="1200.32"/>
    <m/>
    <m/>
    <n v="7"/>
  </r>
  <r>
    <x v="6522"/>
    <x v="1296"/>
    <x v="0"/>
    <n v="1"/>
    <n v="300.08"/>
    <x v="64"/>
    <x v="0"/>
    <x v="0"/>
    <n v="300.08"/>
    <m/>
    <m/>
    <n v="5"/>
  </r>
  <r>
    <x v="6523"/>
    <x v="1296"/>
    <x v="6"/>
    <n v="2"/>
    <n v="71.680000000000007"/>
    <x v="319"/>
    <x v="8"/>
    <x v="1"/>
    <n v="143.36000000000001"/>
    <m/>
    <m/>
    <n v="5"/>
  </r>
  <r>
    <x v="6524"/>
    <x v="1296"/>
    <x v="2"/>
    <n v="2"/>
    <n v="10.46"/>
    <x v="432"/>
    <x v="6"/>
    <x v="3"/>
    <n v="20.92"/>
    <m/>
    <m/>
    <n v="5"/>
  </r>
  <r>
    <x v="6525"/>
    <x v="1296"/>
    <x v="0"/>
    <n v="3"/>
    <n v="900.24"/>
    <x v="750"/>
    <x v="0"/>
    <x v="2"/>
    <n v="2700.7200000000003"/>
    <m/>
    <m/>
    <n v="5"/>
  </r>
  <r>
    <x v="6526"/>
    <x v="1296"/>
    <x v="2"/>
    <n v="5"/>
    <n v="26.15"/>
    <x v="591"/>
    <x v="3"/>
    <x v="3"/>
    <n v="130.75"/>
    <m/>
    <m/>
    <n v="7"/>
  </r>
  <r>
    <x v="6527"/>
    <x v="1296"/>
    <x v="2"/>
    <n v="2"/>
    <n v="10.46"/>
    <x v="439"/>
    <x v="0"/>
    <x v="2"/>
    <n v="20.92"/>
    <m/>
    <m/>
    <n v="7"/>
  </r>
  <r>
    <x v="6528"/>
    <x v="1296"/>
    <x v="2"/>
    <n v="5"/>
    <n v="26.15"/>
    <x v="451"/>
    <x v="8"/>
    <x v="4"/>
    <n v="130.75"/>
    <m/>
    <m/>
    <n v="10"/>
  </r>
  <r>
    <x v="6529"/>
    <x v="1297"/>
    <x v="0"/>
    <n v="1"/>
    <n v="300.08"/>
    <x v="632"/>
    <x v="0"/>
    <x v="1"/>
    <n v="300.08"/>
    <m/>
    <m/>
    <n v="5"/>
  </r>
  <r>
    <x v="6530"/>
    <x v="1297"/>
    <x v="0"/>
    <n v="4"/>
    <n v="1200.32"/>
    <x v="647"/>
    <x v="3"/>
    <x v="2"/>
    <n v="4801.28"/>
    <m/>
    <m/>
    <n v="7"/>
  </r>
  <r>
    <x v="6531"/>
    <x v="1297"/>
    <x v="0"/>
    <n v="1"/>
    <n v="300.08"/>
    <x v="288"/>
    <x v="1"/>
    <x v="0"/>
    <n v="300.08"/>
    <m/>
    <m/>
    <n v="7"/>
  </r>
  <r>
    <x v="6532"/>
    <x v="1297"/>
    <x v="7"/>
    <n v="4"/>
    <n v="46.92"/>
    <x v="782"/>
    <x v="0"/>
    <x v="1"/>
    <n v="187.68"/>
    <m/>
    <m/>
    <n v="7"/>
  </r>
  <r>
    <x v="6533"/>
    <x v="1297"/>
    <x v="4"/>
    <n v="3"/>
    <n v="3150"/>
    <x v="412"/>
    <x v="9"/>
    <x v="1"/>
    <n v="9450"/>
    <m/>
    <m/>
    <n v="7"/>
  </r>
  <r>
    <x v="6534"/>
    <x v="1298"/>
    <x v="0"/>
    <n v="3"/>
    <n v="900.24"/>
    <x v="623"/>
    <x v="0"/>
    <x v="2"/>
    <n v="2700.7200000000003"/>
    <m/>
    <m/>
    <n v="5"/>
  </r>
  <r>
    <x v="6535"/>
    <x v="1298"/>
    <x v="3"/>
    <n v="5"/>
    <n v="75.75"/>
    <x v="587"/>
    <x v="5"/>
    <x v="0"/>
    <n v="378.75"/>
    <m/>
    <m/>
    <n v="5"/>
  </r>
  <r>
    <x v="6536"/>
    <x v="1298"/>
    <x v="0"/>
    <n v="5"/>
    <n v="1500.4"/>
    <x v="154"/>
    <x v="6"/>
    <x v="1"/>
    <n v="7502"/>
    <m/>
    <m/>
    <n v="7"/>
  </r>
  <r>
    <x v="6537"/>
    <x v="1298"/>
    <x v="0"/>
    <n v="5"/>
    <n v="1500.4"/>
    <x v="253"/>
    <x v="2"/>
    <x v="1"/>
    <n v="7502"/>
    <m/>
    <m/>
    <n v="7"/>
  </r>
  <r>
    <x v="6538"/>
    <x v="1299"/>
    <x v="2"/>
    <n v="5"/>
    <n v="26.15"/>
    <x v="221"/>
    <x v="7"/>
    <x v="4"/>
    <n v="130.75"/>
    <m/>
    <m/>
    <n v="5"/>
  </r>
  <r>
    <x v="6539"/>
    <x v="1299"/>
    <x v="2"/>
    <n v="5"/>
    <n v="26.15"/>
    <x v="175"/>
    <x v="1"/>
    <x v="1"/>
    <n v="130.75"/>
    <m/>
    <m/>
    <n v="5"/>
  </r>
  <r>
    <x v="6540"/>
    <x v="1299"/>
    <x v="0"/>
    <n v="5"/>
    <n v="1500.4"/>
    <x v="336"/>
    <x v="5"/>
    <x v="0"/>
    <n v="7502"/>
    <m/>
    <m/>
    <n v="7"/>
  </r>
  <r>
    <x v="6541"/>
    <x v="1299"/>
    <x v="0"/>
    <n v="1"/>
    <n v="300.08"/>
    <x v="182"/>
    <x v="0"/>
    <x v="0"/>
    <n v="300.08"/>
    <m/>
    <m/>
    <n v="7"/>
  </r>
  <r>
    <x v="6542"/>
    <x v="1300"/>
    <x v="6"/>
    <n v="5"/>
    <n v="179.2"/>
    <x v="485"/>
    <x v="1"/>
    <x v="3"/>
    <n v="896"/>
    <m/>
    <m/>
    <n v="5"/>
  </r>
  <r>
    <x v="6543"/>
    <x v="1300"/>
    <x v="1"/>
    <n v="5"/>
    <n v="203.3"/>
    <x v="212"/>
    <x v="6"/>
    <x v="1"/>
    <n v="1016.5"/>
    <m/>
    <m/>
    <n v="5"/>
  </r>
  <r>
    <x v="6544"/>
    <x v="1300"/>
    <x v="2"/>
    <n v="5"/>
    <n v="26.15"/>
    <x v="265"/>
    <x v="0"/>
    <x v="4"/>
    <n v="130.75"/>
    <m/>
    <m/>
    <n v="5"/>
  </r>
  <r>
    <x v="6545"/>
    <x v="1300"/>
    <x v="0"/>
    <n v="3"/>
    <n v="900.24"/>
    <x v="226"/>
    <x v="1"/>
    <x v="4"/>
    <n v="2700.7200000000003"/>
    <m/>
    <m/>
    <n v="5"/>
  </r>
  <r>
    <x v="6546"/>
    <x v="1300"/>
    <x v="0"/>
    <n v="4"/>
    <n v="1200.32"/>
    <x v="56"/>
    <x v="6"/>
    <x v="3"/>
    <n v="4801.28"/>
    <m/>
    <m/>
    <n v="7"/>
  </r>
  <r>
    <x v="6547"/>
    <x v="1300"/>
    <x v="0"/>
    <n v="5"/>
    <n v="1500.4"/>
    <x v="666"/>
    <x v="4"/>
    <x v="4"/>
    <n v="7502"/>
    <m/>
    <m/>
    <n v="10"/>
  </r>
  <r>
    <x v="6548"/>
    <x v="1301"/>
    <x v="4"/>
    <n v="4"/>
    <n v="4200"/>
    <x v="642"/>
    <x v="5"/>
    <x v="4"/>
    <n v="16800"/>
    <m/>
    <m/>
    <n v="5"/>
  </r>
  <r>
    <x v="6549"/>
    <x v="1301"/>
    <x v="5"/>
    <n v="1"/>
    <n v="600.16999999999996"/>
    <x v="166"/>
    <x v="6"/>
    <x v="4"/>
    <n v="600.16999999999996"/>
    <m/>
    <m/>
    <n v="5"/>
  </r>
  <r>
    <x v="6550"/>
    <x v="1301"/>
    <x v="0"/>
    <n v="3"/>
    <n v="900.24"/>
    <x v="366"/>
    <x v="7"/>
    <x v="4"/>
    <n v="2700.7200000000003"/>
    <m/>
    <m/>
    <n v="5"/>
  </r>
  <r>
    <x v="6551"/>
    <x v="1301"/>
    <x v="5"/>
    <n v="3"/>
    <n v="1800.51"/>
    <x v="291"/>
    <x v="0"/>
    <x v="0"/>
    <n v="5401.53"/>
    <m/>
    <m/>
    <n v="5"/>
  </r>
  <r>
    <x v="6552"/>
    <x v="1301"/>
    <x v="0"/>
    <n v="3"/>
    <n v="900.24"/>
    <x v="646"/>
    <x v="2"/>
    <x v="0"/>
    <n v="2700.7200000000003"/>
    <m/>
    <m/>
    <n v="5"/>
  </r>
  <r>
    <x v="6553"/>
    <x v="1302"/>
    <x v="1"/>
    <n v="3"/>
    <n v="121.98"/>
    <x v="335"/>
    <x v="1"/>
    <x v="1"/>
    <n v="365.94"/>
    <m/>
    <m/>
    <n v="5"/>
  </r>
  <r>
    <x v="6554"/>
    <x v="1302"/>
    <x v="5"/>
    <n v="4"/>
    <n v="2400.6799999999998"/>
    <x v="46"/>
    <x v="8"/>
    <x v="1"/>
    <n v="9602.7199999999993"/>
    <m/>
    <m/>
    <n v="5"/>
  </r>
  <r>
    <x v="6555"/>
    <x v="1302"/>
    <x v="5"/>
    <n v="4"/>
    <n v="2400.6799999999998"/>
    <x v="442"/>
    <x v="9"/>
    <x v="0"/>
    <n v="9602.7199999999993"/>
    <m/>
    <m/>
    <n v="10"/>
  </r>
  <r>
    <x v="6556"/>
    <x v="1302"/>
    <x v="5"/>
    <n v="3"/>
    <n v="1800.51"/>
    <x v="496"/>
    <x v="0"/>
    <x v="4"/>
    <n v="5401.53"/>
    <m/>
    <m/>
    <n v="10"/>
  </r>
  <r>
    <x v="6557"/>
    <x v="1303"/>
    <x v="0"/>
    <n v="2"/>
    <n v="600.16"/>
    <x v="651"/>
    <x v="0"/>
    <x v="4"/>
    <n v="1200.32"/>
    <m/>
    <m/>
    <n v="5"/>
  </r>
  <r>
    <x v="6558"/>
    <x v="1303"/>
    <x v="6"/>
    <n v="2"/>
    <n v="71.680000000000007"/>
    <x v="18"/>
    <x v="0"/>
    <x v="0"/>
    <n v="143.36000000000001"/>
    <m/>
    <m/>
    <n v="7"/>
  </r>
  <r>
    <x v="6559"/>
    <x v="1303"/>
    <x v="1"/>
    <n v="3"/>
    <n v="121.98"/>
    <x v="371"/>
    <x v="2"/>
    <x v="1"/>
    <n v="365.94"/>
    <m/>
    <m/>
    <n v="7"/>
  </r>
  <r>
    <x v="6560"/>
    <x v="1304"/>
    <x v="0"/>
    <n v="5"/>
    <n v="1500.4"/>
    <x v="445"/>
    <x v="0"/>
    <x v="4"/>
    <n v="7502"/>
    <m/>
    <m/>
    <n v="5"/>
  </r>
  <r>
    <x v="6561"/>
    <x v="1304"/>
    <x v="0"/>
    <n v="3"/>
    <n v="900.24"/>
    <x v="320"/>
    <x v="0"/>
    <x v="0"/>
    <n v="2700.7200000000003"/>
    <m/>
    <m/>
    <n v="5"/>
  </r>
  <r>
    <x v="6562"/>
    <x v="1304"/>
    <x v="1"/>
    <n v="2"/>
    <n v="81.319999999999993"/>
    <x v="679"/>
    <x v="9"/>
    <x v="3"/>
    <n v="162.63999999999999"/>
    <m/>
    <m/>
    <n v="7"/>
  </r>
  <r>
    <x v="6563"/>
    <x v="1304"/>
    <x v="2"/>
    <n v="1"/>
    <n v="5.23"/>
    <x v="685"/>
    <x v="0"/>
    <x v="1"/>
    <n v="5.23"/>
    <m/>
    <m/>
    <n v="7"/>
  </r>
  <r>
    <x v="6564"/>
    <x v="1304"/>
    <x v="0"/>
    <n v="2"/>
    <n v="600.16"/>
    <x v="771"/>
    <x v="6"/>
    <x v="2"/>
    <n v="1200.32"/>
    <m/>
    <m/>
    <n v="7"/>
  </r>
  <r>
    <x v="6565"/>
    <x v="1304"/>
    <x v="1"/>
    <n v="5"/>
    <n v="203.3"/>
    <x v="206"/>
    <x v="7"/>
    <x v="0"/>
    <n v="1016.5"/>
    <m/>
    <m/>
    <n v="7"/>
  </r>
  <r>
    <x v="6566"/>
    <x v="1305"/>
    <x v="1"/>
    <n v="3"/>
    <n v="121.98"/>
    <x v="38"/>
    <x v="8"/>
    <x v="2"/>
    <n v="365.94"/>
    <m/>
    <m/>
    <n v="5"/>
  </r>
  <r>
    <x v="6567"/>
    <x v="1305"/>
    <x v="6"/>
    <n v="4"/>
    <n v="143.36000000000001"/>
    <x v="39"/>
    <x v="6"/>
    <x v="1"/>
    <n v="573.44000000000005"/>
    <m/>
    <m/>
    <n v="5"/>
  </r>
  <r>
    <x v="6568"/>
    <x v="1305"/>
    <x v="0"/>
    <n v="1"/>
    <n v="300.08"/>
    <x v="534"/>
    <x v="0"/>
    <x v="4"/>
    <n v="300.08"/>
    <m/>
    <m/>
    <n v="5"/>
  </r>
  <r>
    <x v="6569"/>
    <x v="1305"/>
    <x v="0"/>
    <n v="5"/>
    <n v="1500.4"/>
    <x v="282"/>
    <x v="9"/>
    <x v="4"/>
    <n v="7502"/>
    <m/>
    <m/>
    <n v="7"/>
  </r>
  <r>
    <x v="6570"/>
    <x v="1305"/>
    <x v="2"/>
    <n v="1"/>
    <n v="5.23"/>
    <x v="705"/>
    <x v="3"/>
    <x v="3"/>
    <n v="5.23"/>
    <m/>
    <m/>
    <n v="7"/>
  </r>
  <r>
    <x v="6571"/>
    <x v="1305"/>
    <x v="2"/>
    <n v="5"/>
    <n v="26.15"/>
    <x v="693"/>
    <x v="7"/>
    <x v="2"/>
    <n v="130.75"/>
    <m/>
    <m/>
    <n v="10"/>
  </r>
  <r>
    <x v="6572"/>
    <x v="1306"/>
    <x v="6"/>
    <n v="1"/>
    <n v="35.840000000000003"/>
    <x v="606"/>
    <x v="0"/>
    <x v="1"/>
    <n v="35.840000000000003"/>
    <m/>
    <m/>
    <n v="5"/>
  </r>
  <r>
    <x v="6573"/>
    <x v="1306"/>
    <x v="0"/>
    <n v="4"/>
    <n v="1200.32"/>
    <x v="366"/>
    <x v="7"/>
    <x v="0"/>
    <n v="4801.28"/>
    <m/>
    <m/>
    <n v="5"/>
  </r>
  <r>
    <x v="6574"/>
    <x v="1306"/>
    <x v="6"/>
    <n v="1"/>
    <n v="35.840000000000003"/>
    <x v="460"/>
    <x v="7"/>
    <x v="1"/>
    <n v="35.840000000000003"/>
    <m/>
    <m/>
    <n v="7"/>
  </r>
  <r>
    <x v="6575"/>
    <x v="1306"/>
    <x v="1"/>
    <n v="3"/>
    <n v="121.98"/>
    <x v="463"/>
    <x v="5"/>
    <x v="2"/>
    <n v="365.94"/>
    <m/>
    <m/>
    <n v="7"/>
  </r>
  <r>
    <x v="6576"/>
    <x v="1306"/>
    <x v="3"/>
    <n v="2"/>
    <n v="30.3"/>
    <x v="549"/>
    <x v="6"/>
    <x v="0"/>
    <n v="60.6"/>
    <m/>
    <m/>
    <n v="7"/>
  </r>
  <r>
    <x v="6577"/>
    <x v="1306"/>
    <x v="2"/>
    <n v="5"/>
    <n v="26.15"/>
    <x v="733"/>
    <x v="4"/>
    <x v="4"/>
    <n v="130.75"/>
    <m/>
    <m/>
    <n v="7"/>
  </r>
  <r>
    <x v="6578"/>
    <x v="1307"/>
    <x v="5"/>
    <n v="1"/>
    <n v="600.16999999999996"/>
    <x v="736"/>
    <x v="9"/>
    <x v="1"/>
    <n v="600.16999999999996"/>
    <m/>
    <m/>
    <n v="5"/>
  </r>
  <r>
    <x v="6579"/>
    <x v="1307"/>
    <x v="4"/>
    <n v="5"/>
    <n v="5250"/>
    <x v="717"/>
    <x v="6"/>
    <x v="2"/>
    <n v="26250"/>
    <m/>
    <m/>
    <n v="5"/>
  </r>
  <r>
    <x v="6580"/>
    <x v="1307"/>
    <x v="7"/>
    <n v="3"/>
    <n v="35.19"/>
    <x v="777"/>
    <x v="0"/>
    <x v="0"/>
    <n v="105.57"/>
    <m/>
    <m/>
    <n v="7"/>
  </r>
  <r>
    <x v="6581"/>
    <x v="1307"/>
    <x v="3"/>
    <n v="5"/>
    <n v="75.75"/>
    <x v="262"/>
    <x v="8"/>
    <x v="0"/>
    <n v="378.75"/>
    <m/>
    <m/>
    <n v="7"/>
  </r>
  <r>
    <x v="6582"/>
    <x v="1307"/>
    <x v="6"/>
    <n v="1"/>
    <n v="35.840000000000003"/>
    <x v="254"/>
    <x v="6"/>
    <x v="4"/>
    <n v="35.840000000000003"/>
    <m/>
    <m/>
    <n v="7"/>
  </r>
  <r>
    <x v="6583"/>
    <x v="1308"/>
    <x v="0"/>
    <n v="2"/>
    <n v="600.16"/>
    <x v="34"/>
    <x v="0"/>
    <x v="4"/>
    <n v="1200.32"/>
    <m/>
    <m/>
    <n v="5"/>
  </r>
  <r>
    <x v="6584"/>
    <x v="1308"/>
    <x v="1"/>
    <n v="2"/>
    <n v="81.319999999999993"/>
    <x v="168"/>
    <x v="0"/>
    <x v="0"/>
    <n v="162.63999999999999"/>
    <m/>
    <m/>
    <n v="5"/>
  </r>
  <r>
    <x v="6585"/>
    <x v="1308"/>
    <x v="1"/>
    <n v="1"/>
    <n v="40.659999999999997"/>
    <x v="647"/>
    <x v="1"/>
    <x v="4"/>
    <n v="40.659999999999997"/>
    <m/>
    <m/>
    <n v="7"/>
  </r>
  <r>
    <x v="6586"/>
    <x v="1308"/>
    <x v="0"/>
    <n v="1"/>
    <n v="300.08"/>
    <x v="213"/>
    <x v="6"/>
    <x v="3"/>
    <n v="300.08"/>
    <m/>
    <m/>
    <n v="7"/>
  </r>
  <r>
    <x v="6587"/>
    <x v="1308"/>
    <x v="3"/>
    <n v="4"/>
    <n v="60.6"/>
    <x v="426"/>
    <x v="9"/>
    <x v="4"/>
    <n v="242.4"/>
    <m/>
    <m/>
    <n v="7"/>
  </r>
  <r>
    <x v="6588"/>
    <x v="1309"/>
    <x v="0"/>
    <n v="4"/>
    <n v="1200.32"/>
    <x v="97"/>
    <x v="7"/>
    <x v="2"/>
    <n v="4801.28"/>
    <m/>
    <m/>
    <n v="5"/>
  </r>
  <r>
    <x v="6589"/>
    <x v="1309"/>
    <x v="0"/>
    <n v="4"/>
    <n v="1200.32"/>
    <x v="326"/>
    <x v="6"/>
    <x v="0"/>
    <n v="4801.28"/>
    <m/>
    <m/>
    <n v="5"/>
  </r>
  <r>
    <x v="6590"/>
    <x v="1309"/>
    <x v="0"/>
    <n v="4"/>
    <n v="1200.32"/>
    <x v="646"/>
    <x v="1"/>
    <x v="1"/>
    <n v="4801.28"/>
    <m/>
    <m/>
    <n v="5"/>
  </r>
  <r>
    <x v="6591"/>
    <x v="1309"/>
    <x v="4"/>
    <n v="1"/>
    <n v="1050"/>
    <x v="209"/>
    <x v="8"/>
    <x v="4"/>
    <n v="1050"/>
    <m/>
    <m/>
    <n v="7"/>
  </r>
  <r>
    <x v="6592"/>
    <x v="1310"/>
    <x v="1"/>
    <n v="3"/>
    <n v="121.98"/>
    <x v="695"/>
    <x v="9"/>
    <x v="1"/>
    <n v="365.94"/>
    <m/>
    <m/>
    <n v="5"/>
  </r>
  <r>
    <x v="6593"/>
    <x v="1310"/>
    <x v="6"/>
    <n v="3"/>
    <n v="107.52"/>
    <x v="604"/>
    <x v="8"/>
    <x v="2"/>
    <n v="322.56"/>
    <m/>
    <m/>
    <n v="5"/>
  </r>
  <r>
    <x v="6594"/>
    <x v="1310"/>
    <x v="2"/>
    <n v="3"/>
    <n v="15.69"/>
    <x v="7"/>
    <x v="0"/>
    <x v="3"/>
    <n v="47.07"/>
    <m/>
    <m/>
    <n v="7"/>
  </r>
  <r>
    <x v="6595"/>
    <x v="1310"/>
    <x v="0"/>
    <n v="2"/>
    <n v="600.16"/>
    <x v="558"/>
    <x v="0"/>
    <x v="2"/>
    <n v="1200.32"/>
    <m/>
    <m/>
    <n v="7"/>
  </r>
  <r>
    <x v="6596"/>
    <x v="1310"/>
    <x v="6"/>
    <n v="4"/>
    <n v="143.36000000000001"/>
    <x v="125"/>
    <x v="0"/>
    <x v="0"/>
    <n v="573.44000000000005"/>
    <m/>
    <m/>
    <n v="7"/>
  </r>
  <r>
    <x v="6597"/>
    <x v="1310"/>
    <x v="0"/>
    <n v="2"/>
    <n v="600.16"/>
    <x v="71"/>
    <x v="1"/>
    <x v="2"/>
    <n v="1200.32"/>
    <m/>
    <m/>
    <n v="10"/>
  </r>
  <r>
    <x v="6598"/>
    <x v="1311"/>
    <x v="6"/>
    <n v="3"/>
    <n v="107.52"/>
    <x v="687"/>
    <x v="1"/>
    <x v="2"/>
    <n v="322.56"/>
    <m/>
    <m/>
    <n v="5"/>
  </r>
  <r>
    <x v="6599"/>
    <x v="1311"/>
    <x v="0"/>
    <n v="3"/>
    <n v="900.24"/>
    <x v="177"/>
    <x v="0"/>
    <x v="0"/>
    <n v="2700.7200000000003"/>
    <m/>
    <m/>
    <n v="5"/>
  </r>
  <r>
    <x v="6600"/>
    <x v="1311"/>
    <x v="4"/>
    <n v="3"/>
    <n v="3150"/>
    <x v="557"/>
    <x v="0"/>
    <x v="0"/>
    <n v="9450"/>
    <m/>
    <m/>
    <n v="7"/>
  </r>
  <r>
    <x v="6601"/>
    <x v="1311"/>
    <x v="2"/>
    <n v="2"/>
    <n v="10.46"/>
    <x v="213"/>
    <x v="9"/>
    <x v="4"/>
    <n v="20.92"/>
    <m/>
    <m/>
    <n v="7"/>
  </r>
  <r>
    <x v="6602"/>
    <x v="1312"/>
    <x v="3"/>
    <n v="4"/>
    <n v="60.6"/>
    <x v="469"/>
    <x v="0"/>
    <x v="0"/>
    <n v="242.4"/>
    <m/>
    <m/>
    <n v="5"/>
  </r>
  <r>
    <x v="6603"/>
    <x v="1312"/>
    <x v="5"/>
    <n v="3"/>
    <n v="1800.51"/>
    <x v="310"/>
    <x v="6"/>
    <x v="0"/>
    <n v="5401.53"/>
    <m/>
    <m/>
    <n v="7"/>
  </r>
  <r>
    <x v="6604"/>
    <x v="1313"/>
    <x v="1"/>
    <n v="4"/>
    <n v="162.63999999999999"/>
    <x v="234"/>
    <x v="1"/>
    <x v="4"/>
    <n v="650.55999999999995"/>
    <m/>
    <m/>
    <n v="7"/>
  </r>
  <r>
    <x v="6605"/>
    <x v="1313"/>
    <x v="1"/>
    <n v="4"/>
    <n v="162.63999999999999"/>
    <x v="252"/>
    <x v="6"/>
    <x v="1"/>
    <n v="650.55999999999995"/>
    <m/>
    <m/>
    <n v="7"/>
  </r>
  <r>
    <x v="6606"/>
    <x v="1313"/>
    <x v="2"/>
    <n v="1"/>
    <n v="5.23"/>
    <x v="154"/>
    <x v="0"/>
    <x v="2"/>
    <n v="5.23"/>
    <m/>
    <m/>
    <n v="7"/>
  </r>
  <r>
    <x v="6607"/>
    <x v="1313"/>
    <x v="1"/>
    <n v="2"/>
    <n v="81.319999999999993"/>
    <x v="637"/>
    <x v="6"/>
    <x v="4"/>
    <n v="162.63999999999999"/>
    <m/>
    <m/>
    <n v="7"/>
  </r>
  <r>
    <x v="6608"/>
    <x v="1314"/>
    <x v="0"/>
    <n v="4"/>
    <n v="1200.32"/>
    <x v="132"/>
    <x v="6"/>
    <x v="1"/>
    <n v="4801.28"/>
    <m/>
    <m/>
    <n v="5"/>
  </r>
  <r>
    <x v="6609"/>
    <x v="1314"/>
    <x v="1"/>
    <n v="2"/>
    <n v="81.319999999999993"/>
    <x v="21"/>
    <x v="4"/>
    <x v="3"/>
    <n v="162.63999999999999"/>
    <m/>
    <m/>
    <n v="5"/>
  </r>
  <r>
    <x v="6610"/>
    <x v="1314"/>
    <x v="7"/>
    <n v="3"/>
    <n v="35.19"/>
    <x v="647"/>
    <x v="5"/>
    <x v="2"/>
    <n v="105.57"/>
    <m/>
    <m/>
    <n v="7"/>
  </r>
  <r>
    <x v="6611"/>
    <x v="1314"/>
    <x v="0"/>
    <n v="1"/>
    <n v="300.08"/>
    <x v="181"/>
    <x v="0"/>
    <x v="3"/>
    <n v="300.08"/>
    <m/>
    <m/>
    <n v="7"/>
  </r>
  <r>
    <x v="6612"/>
    <x v="1314"/>
    <x v="2"/>
    <n v="2"/>
    <n v="10.46"/>
    <x v="427"/>
    <x v="9"/>
    <x v="1"/>
    <n v="20.92"/>
    <m/>
    <m/>
    <n v="7"/>
  </r>
  <r>
    <x v="6613"/>
    <x v="1314"/>
    <x v="1"/>
    <n v="2"/>
    <n v="81.319999999999993"/>
    <x v="329"/>
    <x v="3"/>
    <x v="3"/>
    <n v="162.63999999999999"/>
    <m/>
    <m/>
    <n v="7"/>
  </r>
  <r>
    <x v="6614"/>
    <x v="1314"/>
    <x v="5"/>
    <n v="1"/>
    <n v="600.16999999999996"/>
    <x v="152"/>
    <x v="8"/>
    <x v="4"/>
    <n v="600.16999999999996"/>
    <m/>
    <m/>
    <n v="7"/>
  </r>
  <r>
    <x v="6615"/>
    <x v="1315"/>
    <x v="6"/>
    <n v="5"/>
    <n v="179.2"/>
    <x v="105"/>
    <x v="4"/>
    <x v="1"/>
    <n v="896"/>
    <m/>
    <m/>
    <n v="5"/>
  </r>
  <r>
    <x v="6616"/>
    <x v="1315"/>
    <x v="6"/>
    <n v="4"/>
    <n v="143.36000000000001"/>
    <x v="615"/>
    <x v="0"/>
    <x v="0"/>
    <n v="573.44000000000005"/>
    <m/>
    <m/>
    <n v="7"/>
  </r>
  <r>
    <x v="6617"/>
    <x v="1315"/>
    <x v="2"/>
    <n v="4"/>
    <n v="20.92"/>
    <x v="702"/>
    <x v="4"/>
    <x v="4"/>
    <n v="83.68"/>
    <m/>
    <m/>
    <n v="7"/>
  </r>
  <r>
    <x v="6618"/>
    <x v="1316"/>
    <x v="6"/>
    <n v="1"/>
    <n v="35.840000000000003"/>
    <x v="83"/>
    <x v="0"/>
    <x v="2"/>
    <n v="35.840000000000003"/>
    <m/>
    <m/>
    <n v="5"/>
  </r>
  <r>
    <x v="6619"/>
    <x v="1317"/>
    <x v="1"/>
    <n v="4"/>
    <n v="162.63999999999999"/>
    <x v="104"/>
    <x v="9"/>
    <x v="2"/>
    <n v="650.55999999999995"/>
    <m/>
    <m/>
    <n v="5"/>
  </r>
  <r>
    <x v="6620"/>
    <x v="1317"/>
    <x v="5"/>
    <n v="2"/>
    <n v="1200.3399999999999"/>
    <x v="494"/>
    <x v="1"/>
    <x v="4"/>
    <n v="2400.6799999999998"/>
    <m/>
    <m/>
    <n v="5"/>
  </r>
  <r>
    <x v="6621"/>
    <x v="1317"/>
    <x v="0"/>
    <n v="5"/>
    <n v="1500.4"/>
    <x v="411"/>
    <x v="9"/>
    <x v="1"/>
    <n v="7502"/>
    <m/>
    <m/>
    <n v="7"/>
  </r>
  <r>
    <x v="6622"/>
    <x v="1317"/>
    <x v="2"/>
    <n v="5"/>
    <n v="26.15"/>
    <x v="4"/>
    <x v="5"/>
    <x v="2"/>
    <n v="130.75"/>
    <m/>
    <m/>
    <n v="7"/>
  </r>
  <r>
    <x v="6623"/>
    <x v="1317"/>
    <x v="6"/>
    <n v="1"/>
    <n v="35.840000000000003"/>
    <x v="499"/>
    <x v="6"/>
    <x v="0"/>
    <n v="35.840000000000003"/>
    <m/>
    <m/>
    <n v="7"/>
  </r>
  <r>
    <x v="6624"/>
    <x v="1317"/>
    <x v="0"/>
    <n v="4"/>
    <n v="1200.32"/>
    <x v="26"/>
    <x v="6"/>
    <x v="0"/>
    <n v="4801.28"/>
    <m/>
    <m/>
    <n v="10"/>
  </r>
  <r>
    <x v="6625"/>
    <x v="1317"/>
    <x v="0"/>
    <n v="1"/>
    <n v="300.08"/>
    <x v="171"/>
    <x v="1"/>
    <x v="3"/>
    <n v="300.08"/>
    <m/>
    <m/>
    <n v="10"/>
  </r>
  <r>
    <x v="6626"/>
    <x v="1318"/>
    <x v="2"/>
    <n v="5"/>
    <n v="26.15"/>
    <x v="792"/>
    <x v="5"/>
    <x v="3"/>
    <n v="130.75"/>
    <m/>
    <m/>
    <n v="5"/>
  </r>
  <r>
    <x v="6627"/>
    <x v="1318"/>
    <x v="2"/>
    <n v="1"/>
    <n v="5.23"/>
    <x v="147"/>
    <x v="8"/>
    <x v="2"/>
    <n v="5.23"/>
    <m/>
    <m/>
    <n v="5"/>
  </r>
  <r>
    <x v="6628"/>
    <x v="1318"/>
    <x v="2"/>
    <n v="3"/>
    <n v="15.69"/>
    <x v="303"/>
    <x v="9"/>
    <x v="1"/>
    <n v="47.07"/>
    <m/>
    <m/>
    <n v="7"/>
  </r>
  <r>
    <x v="6629"/>
    <x v="1318"/>
    <x v="4"/>
    <n v="1"/>
    <n v="1050"/>
    <x v="60"/>
    <x v="0"/>
    <x v="0"/>
    <n v="1050"/>
    <m/>
    <m/>
    <n v="10"/>
  </r>
  <r>
    <x v="6630"/>
    <x v="1319"/>
    <x v="5"/>
    <n v="2"/>
    <n v="1200.3399999999999"/>
    <x v="417"/>
    <x v="9"/>
    <x v="1"/>
    <n v="2400.6799999999998"/>
    <m/>
    <m/>
    <n v="5"/>
  </r>
  <r>
    <x v="6631"/>
    <x v="1319"/>
    <x v="0"/>
    <n v="2"/>
    <n v="600.16"/>
    <x v="391"/>
    <x v="0"/>
    <x v="3"/>
    <n v="1200.32"/>
    <m/>
    <m/>
    <n v="7"/>
  </r>
  <r>
    <x v="6632"/>
    <x v="1319"/>
    <x v="0"/>
    <n v="5"/>
    <n v="1500.4"/>
    <x v="675"/>
    <x v="5"/>
    <x v="4"/>
    <n v="7502"/>
    <m/>
    <m/>
    <n v="7"/>
  </r>
  <r>
    <x v="6633"/>
    <x v="1320"/>
    <x v="0"/>
    <n v="5"/>
    <n v="1500.4"/>
    <x v="314"/>
    <x v="9"/>
    <x v="1"/>
    <n v="7502"/>
    <m/>
    <m/>
    <n v="5"/>
  </r>
  <r>
    <x v="6634"/>
    <x v="1320"/>
    <x v="5"/>
    <n v="1"/>
    <n v="600.16999999999996"/>
    <x v="286"/>
    <x v="4"/>
    <x v="0"/>
    <n v="600.16999999999996"/>
    <m/>
    <m/>
    <n v="5"/>
  </r>
  <r>
    <x v="6635"/>
    <x v="1320"/>
    <x v="2"/>
    <n v="5"/>
    <n v="26.15"/>
    <x v="393"/>
    <x v="8"/>
    <x v="3"/>
    <n v="130.75"/>
    <m/>
    <m/>
    <n v="7"/>
  </r>
  <r>
    <x v="6636"/>
    <x v="1320"/>
    <x v="2"/>
    <n v="3"/>
    <n v="15.69"/>
    <x v="776"/>
    <x v="5"/>
    <x v="0"/>
    <n v="47.07"/>
    <m/>
    <m/>
    <n v="10"/>
  </r>
  <r>
    <x v="6637"/>
    <x v="1320"/>
    <x v="0"/>
    <n v="5"/>
    <n v="1500.4"/>
    <x v="299"/>
    <x v="4"/>
    <x v="0"/>
    <n v="7502"/>
    <m/>
    <m/>
    <n v="10"/>
  </r>
  <r>
    <x v="6638"/>
    <x v="1321"/>
    <x v="3"/>
    <n v="1"/>
    <n v="15.15"/>
    <x v="357"/>
    <x v="2"/>
    <x v="1"/>
    <n v="15.15"/>
    <m/>
    <m/>
    <n v="5"/>
  </r>
  <r>
    <x v="6639"/>
    <x v="1321"/>
    <x v="1"/>
    <n v="2"/>
    <n v="81.319999999999993"/>
    <x v="101"/>
    <x v="6"/>
    <x v="3"/>
    <n v="162.63999999999999"/>
    <m/>
    <m/>
    <n v="5"/>
  </r>
  <r>
    <x v="6640"/>
    <x v="1321"/>
    <x v="0"/>
    <n v="4"/>
    <n v="1200.32"/>
    <x v="701"/>
    <x v="6"/>
    <x v="1"/>
    <n v="4801.28"/>
    <m/>
    <m/>
    <n v="7"/>
  </r>
  <r>
    <x v="6641"/>
    <x v="1321"/>
    <x v="2"/>
    <n v="3"/>
    <n v="15.69"/>
    <x v="289"/>
    <x v="3"/>
    <x v="2"/>
    <n v="47.07"/>
    <m/>
    <m/>
    <n v="7"/>
  </r>
  <r>
    <x v="6642"/>
    <x v="1321"/>
    <x v="6"/>
    <n v="5"/>
    <n v="179.2"/>
    <x v="237"/>
    <x v="4"/>
    <x v="4"/>
    <n v="896"/>
    <m/>
    <m/>
    <n v="7"/>
  </r>
  <r>
    <x v="6643"/>
    <x v="1321"/>
    <x v="0"/>
    <n v="1"/>
    <n v="300.08"/>
    <x v="155"/>
    <x v="4"/>
    <x v="4"/>
    <n v="300.08"/>
    <m/>
    <m/>
    <n v="10"/>
  </r>
  <r>
    <x v="6644"/>
    <x v="1322"/>
    <x v="7"/>
    <n v="4"/>
    <n v="46.92"/>
    <x v="126"/>
    <x v="0"/>
    <x v="4"/>
    <n v="187.68"/>
    <m/>
    <m/>
    <n v="5"/>
  </r>
  <r>
    <x v="6645"/>
    <x v="1322"/>
    <x v="1"/>
    <n v="2"/>
    <n v="81.319999999999993"/>
    <x v="264"/>
    <x v="6"/>
    <x v="0"/>
    <n v="162.63999999999999"/>
    <m/>
    <m/>
    <n v="5"/>
  </r>
  <r>
    <x v="6646"/>
    <x v="1322"/>
    <x v="0"/>
    <n v="5"/>
    <n v="1500.4"/>
    <x v="369"/>
    <x v="9"/>
    <x v="1"/>
    <n v="7502"/>
    <m/>
    <m/>
    <n v="5"/>
  </r>
  <r>
    <x v="6647"/>
    <x v="1322"/>
    <x v="0"/>
    <n v="1"/>
    <n v="300.08"/>
    <x v="746"/>
    <x v="6"/>
    <x v="4"/>
    <n v="300.08"/>
    <m/>
    <m/>
    <n v="10"/>
  </r>
  <r>
    <x v="6648"/>
    <x v="1323"/>
    <x v="6"/>
    <n v="1"/>
    <n v="35.840000000000003"/>
    <x v="131"/>
    <x v="0"/>
    <x v="4"/>
    <n v="35.840000000000003"/>
    <m/>
    <m/>
    <n v="5"/>
  </r>
  <r>
    <x v="6649"/>
    <x v="1323"/>
    <x v="6"/>
    <n v="4"/>
    <n v="143.36000000000001"/>
    <x v="606"/>
    <x v="3"/>
    <x v="1"/>
    <n v="573.44000000000005"/>
    <m/>
    <m/>
    <n v="5"/>
  </r>
  <r>
    <x v="6650"/>
    <x v="1324"/>
    <x v="0"/>
    <n v="2"/>
    <n v="600.16"/>
    <x v="700"/>
    <x v="5"/>
    <x v="2"/>
    <n v="1200.32"/>
    <m/>
    <m/>
    <n v="7"/>
  </r>
  <r>
    <x v="6651"/>
    <x v="1324"/>
    <x v="0"/>
    <n v="1"/>
    <n v="300.08"/>
    <x v="336"/>
    <x v="1"/>
    <x v="3"/>
    <n v="300.08"/>
    <m/>
    <m/>
    <n v="7"/>
  </r>
  <r>
    <x v="6652"/>
    <x v="1325"/>
    <x v="3"/>
    <n v="1"/>
    <n v="15.15"/>
    <x v="576"/>
    <x v="7"/>
    <x v="4"/>
    <n v="15.15"/>
    <m/>
    <m/>
    <n v="5"/>
  </r>
  <r>
    <x v="6653"/>
    <x v="1325"/>
    <x v="2"/>
    <n v="4"/>
    <n v="20.92"/>
    <x v="477"/>
    <x v="5"/>
    <x v="2"/>
    <n v="83.68"/>
    <m/>
    <m/>
    <n v="5"/>
  </r>
  <r>
    <x v="6654"/>
    <x v="1325"/>
    <x v="3"/>
    <n v="3"/>
    <n v="45.45"/>
    <x v="59"/>
    <x v="0"/>
    <x v="1"/>
    <n v="136.35000000000002"/>
    <m/>
    <m/>
    <n v="7"/>
  </r>
  <r>
    <x v="6655"/>
    <x v="1325"/>
    <x v="1"/>
    <n v="3"/>
    <n v="121.98"/>
    <x v="713"/>
    <x v="1"/>
    <x v="2"/>
    <n v="365.94"/>
    <m/>
    <m/>
    <n v="7"/>
  </r>
  <r>
    <x v="6656"/>
    <x v="1326"/>
    <x v="5"/>
    <n v="5"/>
    <n v="3000.85"/>
    <x v="244"/>
    <x v="1"/>
    <x v="4"/>
    <n v="15004.25"/>
    <m/>
    <m/>
    <n v="5"/>
  </r>
  <r>
    <x v="6657"/>
    <x v="1326"/>
    <x v="7"/>
    <n v="2"/>
    <n v="23.46"/>
    <x v="787"/>
    <x v="1"/>
    <x v="3"/>
    <n v="46.92"/>
    <m/>
    <m/>
    <n v="5"/>
  </r>
  <r>
    <x v="6658"/>
    <x v="1326"/>
    <x v="1"/>
    <n v="2"/>
    <n v="81.319999999999993"/>
    <x v="370"/>
    <x v="8"/>
    <x v="1"/>
    <n v="162.63999999999999"/>
    <m/>
    <m/>
    <n v="7"/>
  </r>
  <r>
    <x v="6659"/>
    <x v="1326"/>
    <x v="5"/>
    <n v="2"/>
    <n v="1200.3399999999999"/>
    <x v="628"/>
    <x v="6"/>
    <x v="3"/>
    <n v="2400.6799999999998"/>
    <m/>
    <m/>
    <n v="10"/>
  </r>
  <r>
    <x v="6660"/>
    <x v="1327"/>
    <x v="5"/>
    <n v="2"/>
    <n v="1200.3399999999999"/>
    <x v="492"/>
    <x v="3"/>
    <x v="4"/>
    <n v="2400.6799999999998"/>
    <m/>
    <m/>
    <n v="5"/>
  </r>
  <r>
    <x v="6661"/>
    <x v="1327"/>
    <x v="1"/>
    <n v="4"/>
    <n v="162.63999999999999"/>
    <x v="264"/>
    <x v="6"/>
    <x v="2"/>
    <n v="650.55999999999995"/>
    <m/>
    <m/>
    <n v="5"/>
  </r>
  <r>
    <x v="6662"/>
    <x v="1327"/>
    <x v="0"/>
    <n v="4"/>
    <n v="1200.32"/>
    <x v="635"/>
    <x v="0"/>
    <x v="1"/>
    <n v="4801.28"/>
    <m/>
    <m/>
    <n v="5"/>
  </r>
  <r>
    <x v="6663"/>
    <x v="1327"/>
    <x v="2"/>
    <n v="4"/>
    <n v="20.92"/>
    <x v="545"/>
    <x v="0"/>
    <x v="3"/>
    <n v="83.68"/>
    <m/>
    <m/>
    <n v="5"/>
  </r>
  <r>
    <x v="6664"/>
    <x v="1327"/>
    <x v="0"/>
    <n v="2"/>
    <n v="600.16"/>
    <x v="595"/>
    <x v="0"/>
    <x v="1"/>
    <n v="1200.32"/>
    <m/>
    <m/>
    <n v="7"/>
  </r>
  <r>
    <x v="6665"/>
    <x v="1327"/>
    <x v="0"/>
    <n v="3"/>
    <n v="900.24"/>
    <x v="416"/>
    <x v="6"/>
    <x v="0"/>
    <n v="2700.7200000000003"/>
    <m/>
    <m/>
    <n v="10"/>
  </r>
  <r>
    <x v="6666"/>
    <x v="1328"/>
    <x v="4"/>
    <n v="3"/>
    <n v="3150"/>
    <x v="269"/>
    <x v="1"/>
    <x v="1"/>
    <n v="9450"/>
    <m/>
    <m/>
    <n v="5"/>
  </r>
  <r>
    <x v="6667"/>
    <x v="1328"/>
    <x v="0"/>
    <n v="1"/>
    <n v="300.08"/>
    <x v="785"/>
    <x v="1"/>
    <x v="2"/>
    <n v="300.08"/>
    <m/>
    <m/>
    <n v="5"/>
  </r>
  <r>
    <x v="6668"/>
    <x v="1328"/>
    <x v="5"/>
    <n v="1"/>
    <n v="600.16999999999996"/>
    <x v="566"/>
    <x v="5"/>
    <x v="4"/>
    <n v="600.16999999999996"/>
    <m/>
    <m/>
    <n v="5"/>
  </r>
  <r>
    <x v="6669"/>
    <x v="1328"/>
    <x v="6"/>
    <n v="1"/>
    <n v="35.840000000000003"/>
    <x v="589"/>
    <x v="0"/>
    <x v="3"/>
    <n v="35.840000000000003"/>
    <m/>
    <m/>
    <n v="5"/>
  </r>
  <r>
    <x v="6670"/>
    <x v="1328"/>
    <x v="0"/>
    <n v="1"/>
    <n v="300.08"/>
    <x v="406"/>
    <x v="6"/>
    <x v="2"/>
    <n v="300.08"/>
    <m/>
    <m/>
    <n v="5"/>
  </r>
  <r>
    <x v="6671"/>
    <x v="1328"/>
    <x v="5"/>
    <n v="4"/>
    <n v="2400.6799999999998"/>
    <x v="689"/>
    <x v="4"/>
    <x v="4"/>
    <n v="9602.7199999999993"/>
    <m/>
    <m/>
    <n v="7"/>
  </r>
  <r>
    <x v="6672"/>
    <x v="1328"/>
    <x v="2"/>
    <n v="2"/>
    <n v="10.46"/>
    <x v="66"/>
    <x v="4"/>
    <x v="4"/>
    <n v="20.92"/>
    <m/>
    <m/>
    <n v="7"/>
  </r>
  <r>
    <x v="6673"/>
    <x v="1328"/>
    <x v="7"/>
    <n v="3"/>
    <n v="35.19"/>
    <x v="664"/>
    <x v="1"/>
    <x v="3"/>
    <n v="105.57"/>
    <m/>
    <m/>
    <n v="7"/>
  </r>
  <r>
    <x v="6674"/>
    <x v="1329"/>
    <x v="0"/>
    <n v="2"/>
    <n v="600.16"/>
    <x v="1"/>
    <x v="6"/>
    <x v="3"/>
    <n v="1200.32"/>
    <m/>
    <m/>
    <n v="5"/>
  </r>
  <r>
    <x v="6675"/>
    <x v="1329"/>
    <x v="0"/>
    <n v="5"/>
    <n v="1500.4"/>
    <x v="639"/>
    <x v="4"/>
    <x v="3"/>
    <n v="7502"/>
    <m/>
    <m/>
    <n v="5"/>
  </r>
  <r>
    <x v="6676"/>
    <x v="1329"/>
    <x v="0"/>
    <n v="5"/>
    <n v="1500.4"/>
    <x v="55"/>
    <x v="0"/>
    <x v="1"/>
    <n v="7502"/>
    <m/>
    <m/>
    <n v="7"/>
  </r>
  <r>
    <x v="6677"/>
    <x v="1329"/>
    <x v="1"/>
    <n v="5"/>
    <n v="203.3"/>
    <x v="514"/>
    <x v="1"/>
    <x v="0"/>
    <n v="1016.5"/>
    <m/>
    <m/>
    <n v="7"/>
  </r>
  <r>
    <x v="6678"/>
    <x v="1330"/>
    <x v="2"/>
    <n v="2"/>
    <n v="10.46"/>
    <x v="641"/>
    <x v="2"/>
    <x v="2"/>
    <n v="20.92"/>
    <m/>
    <m/>
    <n v="5"/>
  </r>
  <r>
    <x v="6679"/>
    <x v="1330"/>
    <x v="2"/>
    <n v="3"/>
    <n v="15.69"/>
    <x v="336"/>
    <x v="8"/>
    <x v="0"/>
    <n v="47.07"/>
    <m/>
    <m/>
    <n v="7"/>
  </r>
  <r>
    <x v="6680"/>
    <x v="1330"/>
    <x v="3"/>
    <n v="3"/>
    <n v="45.45"/>
    <x v="532"/>
    <x v="6"/>
    <x v="3"/>
    <n v="136.35000000000002"/>
    <m/>
    <m/>
    <n v="7"/>
  </r>
  <r>
    <x v="6681"/>
    <x v="1330"/>
    <x v="7"/>
    <n v="2"/>
    <n v="23.46"/>
    <x v="94"/>
    <x v="5"/>
    <x v="4"/>
    <n v="46.92"/>
    <m/>
    <m/>
    <n v="7"/>
  </r>
  <r>
    <x v="6682"/>
    <x v="1330"/>
    <x v="1"/>
    <n v="1"/>
    <n v="40.659999999999997"/>
    <x v="637"/>
    <x v="4"/>
    <x v="0"/>
    <n v="40.659999999999997"/>
    <m/>
    <m/>
    <n v="7"/>
  </r>
  <r>
    <x v="6683"/>
    <x v="1331"/>
    <x v="1"/>
    <n v="3"/>
    <n v="121.98"/>
    <x v="366"/>
    <x v="6"/>
    <x v="4"/>
    <n v="365.94"/>
    <m/>
    <m/>
    <n v="5"/>
  </r>
  <r>
    <x v="6684"/>
    <x v="1331"/>
    <x v="0"/>
    <n v="5"/>
    <n v="1500.4"/>
    <x v="704"/>
    <x v="8"/>
    <x v="2"/>
    <n v="7502"/>
    <m/>
    <m/>
    <n v="7"/>
  </r>
  <r>
    <x v="6685"/>
    <x v="1331"/>
    <x v="0"/>
    <n v="5"/>
    <n v="1500.4"/>
    <x v="450"/>
    <x v="6"/>
    <x v="1"/>
    <n v="7502"/>
    <m/>
    <m/>
    <n v="7"/>
  </r>
  <r>
    <x v="6686"/>
    <x v="1332"/>
    <x v="0"/>
    <n v="4"/>
    <n v="1200.32"/>
    <x v="84"/>
    <x v="0"/>
    <x v="3"/>
    <n v="4801.28"/>
    <m/>
    <m/>
    <n v="5"/>
  </r>
  <r>
    <x v="6687"/>
    <x v="1332"/>
    <x v="5"/>
    <n v="5"/>
    <n v="3000.85"/>
    <x v="501"/>
    <x v="3"/>
    <x v="1"/>
    <n v="15004.25"/>
    <m/>
    <m/>
    <n v="5"/>
  </r>
  <r>
    <x v="6688"/>
    <x v="1332"/>
    <x v="4"/>
    <n v="5"/>
    <n v="5250"/>
    <x v="766"/>
    <x v="6"/>
    <x v="4"/>
    <n v="26250"/>
    <m/>
    <m/>
    <n v="5"/>
  </r>
  <r>
    <x v="6689"/>
    <x v="1332"/>
    <x v="5"/>
    <n v="3"/>
    <n v="1800.51"/>
    <x v="249"/>
    <x v="1"/>
    <x v="1"/>
    <n v="5401.53"/>
    <m/>
    <m/>
    <n v="7"/>
  </r>
  <r>
    <x v="6690"/>
    <x v="1332"/>
    <x v="2"/>
    <n v="2"/>
    <n v="10.46"/>
    <x v="337"/>
    <x v="6"/>
    <x v="1"/>
    <n v="20.92"/>
    <m/>
    <m/>
    <n v="7"/>
  </r>
  <r>
    <x v="6691"/>
    <x v="1333"/>
    <x v="5"/>
    <n v="3"/>
    <n v="1800.51"/>
    <x v="213"/>
    <x v="0"/>
    <x v="1"/>
    <n v="5401.53"/>
    <m/>
    <m/>
    <n v="7"/>
  </r>
  <r>
    <x v="6692"/>
    <x v="1334"/>
    <x v="0"/>
    <n v="4"/>
    <n v="1200.32"/>
    <x v="408"/>
    <x v="0"/>
    <x v="0"/>
    <n v="4801.28"/>
    <m/>
    <m/>
    <n v="5"/>
  </r>
  <r>
    <x v="6693"/>
    <x v="1334"/>
    <x v="1"/>
    <n v="1"/>
    <n v="40.659999999999997"/>
    <x v="77"/>
    <x v="9"/>
    <x v="1"/>
    <n v="40.659999999999997"/>
    <m/>
    <m/>
    <n v="5"/>
  </r>
  <r>
    <x v="6694"/>
    <x v="1334"/>
    <x v="0"/>
    <n v="5"/>
    <n v="1500.4"/>
    <x v="670"/>
    <x v="5"/>
    <x v="0"/>
    <n v="7502"/>
    <m/>
    <m/>
    <n v="5"/>
  </r>
  <r>
    <x v="6695"/>
    <x v="1334"/>
    <x v="0"/>
    <n v="4"/>
    <n v="1200.32"/>
    <x v="571"/>
    <x v="6"/>
    <x v="1"/>
    <n v="4801.28"/>
    <m/>
    <m/>
    <n v="5"/>
  </r>
  <r>
    <x v="6696"/>
    <x v="1334"/>
    <x v="4"/>
    <n v="1"/>
    <n v="1050"/>
    <x v="516"/>
    <x v="6"/>
    <x v="0"/>
    <n v="1050"/>
    <m/>
    <m/>
    <n v="7"/>
  </r>
  <r>
    <x v="6697"/>
    <x v="1334"/>
    <x v="0"/>
    <n v="1"/>
    <n v="300.08"/>
    <x v="671"/>
    <x v="0"/>
    <x v="4"/>
    <n v="300.08"/>
    <m/>
    <m/>
    <n v="7"/>
  </r>
  <r>
    <x v="6698"/>
    <x v="1335"/>
    <x v="4"/>
    <n v="4"/>
    <n v="4200"/>
    <x v="126"/>
    <x v="0"/>
    <x v="2"/>
    <n v="16800"/>
    <m/>
    <m/>
    <n v="5"/>
  </r>
  <r>
    <x v="6699"/>
    <x v="1335"/>
    <x v="1"/>
    <n v="1"/>
    <n v="40.659999999999997"/>
    <x v="306"/>
    <x v="4"/>
    <x v="3"/>
    <n v="40.659999999999997"/>
    <m/>
    <m/>
    <n v="5"/>
  </r>
  <r>
    <x v="6700"/>
    <x v="1335"/>
    <x v="0"/>
    <n v="3"/>
    <n v="900.24"/>
    <x v="479"/>
    <x v="1"/>
    <x v="3"/>
    <n v="2700.7200000000003"/>
    <m/>
    <m/>
    <n v="5"/>
  </r>
  <r>
    <x v="6701"/>
    <x v="1335"/>
    <x v="6"/>
    <n v="4"/>
    <n v="143.36000000000001"/>
    <x v="475"/>
    <x v="4"/>
    <x v="0"/>
    <n v="573.44000000000005"/>
    <m/>
    <m/>
    <n v="5"/>
  </r>
  <r>
    <x v="6702"/>
    <x v="1335"/>
    <x v="0"/>
    <n v="2"/>
    <n v="600.16"/>
    <x v="345"/>
    <x v="6"/>
    <x v="0"/>
    <n v="1200.32"/>
    <m/>
    <m/>
    <n v="7"/>
  </r>
  <r>
    <x v="6703"/>
    <x v="1335"/>
    <x v="0"/>
    <n v="2"/>
    <n v="600.16"/>
    <x v="523"/>
    <x v="9"/>
    <x v="2"/>
    <n v="1200.32"/>
    <m/>
    <m/>
    <n v="7"/>
  </r>
  <r>
    <x v="6704"/>
    <x v="1335"/>
    <x v="3"/>
    <n v="5"/>
    <n v="75.75"/>
    <x v="362"/>
    <x v="5"/>
    <x v="4"/>
    <n v="378.75"/>
    <m/>
    <m/>
    <n v="7"/>
  </r>
  <r>
    <x v="6705"/>
    <x v="1335"/>
    <x v="3"/>
    <n v="3"/>
    <n v="45.45"/>
    <x v="55"/>
    <x v="6"/>
    <x v="1"/>
    <n v="136.35000000000002"/>
    <m/>
    <m/>
    <n v="7"/>
  </r>
  <r>
    <x v="6706"/>
    <x v="1335"/>
    <x v="1"/>
    <n v="5"/>
    <n v="203.3"/>
    <x v="416"/>
    <x v="6"/>
    <x v="4"/>
    <n v="1016.5"/>
    <m/>
    <m/>
    <n v="10"/>
  </r>
  <r>
    <x v="6707"/>
    <x v="1335"/>
    <x v="4"/>
    <n v="1"/>
    <n v="1050"/>
    <x v="284"/>
    <x v="4"/>
    <x v="2"/>
    <n v="1050"/>
    <m/>
    <m/>
    <n v="10"/>
  </r>
  <r>
    <x v="6708"/>
    <x v="1336"/>
    <x v="2"/>
    <n v="1"/>
    <n v="5.23"/>
    <x v="104"/>
    <x v="1"/>
    <x v="2"/>
    <n v="5.23"/>
    <m/>
    <m/>
    <n v="5"/>
  </r>
  <r>
    <x v="6709"/>
    <x v="1336"/>
    <x v="0"/>
    <n v="2"/>
    <n v="600.16"/>
    <x v="384"/>
    <x v="1"/>
    <x v="0"/>
    <n v="1200.32"/>
    <m/>
    <m/>
    <n v="7"/>
  </r>
  <r>
    <x v="6710"/>
    <x v="1336"/>
    <x v="4"/>
    <n v="4"/>
    <n v="4200"/>
    <x v="153"/>
    <x v="4"/>
    <x v="4"/>
    <n v="16800"/>
    <m/>
    <m/>
    <n v="7"/>
  </r>
  <r>
    <x v="6711"/>
    <x v="1336"/>
    <x v="3"/>
    <n v="5"/>
    <n v="75.75"/>
    <x v="561"/>
    <x v="6"/>
    <x v="2"/>
    <n v="378.75"/>
    <m/>
    <m/>
    <n v="7"/>
  </r>
  <r>
    <x v="6712"/>
    <x v="1337"/>
    <x v="5"/>
    <n v="4"/>
    <n v="2400.6799999999998"/>
    <x v="84"/>
    <x v="2"/>
    <x v="3"/>
    <n v="9602.7199999999993"/>
    <m/>
    <m/>
    <n v="5"/>
  </r>
  <r>
    <x v="6713"/>
    <x v="1337"/>
    <x v="0"/>
    <n v="1"/>
    <n v="300.08"/>
    <x v="33"/>
    <x v="1"/>
    <x v="1"/>
    <n v="300.08"/>
    <m/>
    <m/>
    <n v="5"/>
  </r>
  <r>
    <x v="6714"/>
    <x v="1337"/>
    <x v="3"/>
    <n v="1"/>
    <n v="15.15"/>
    <x v="621"/>
    <x v="9"/>
    <x v="4"/>
    <n v="15.15"/>
    <m/>
    <m/>
    <n v="7"/>
  </r>
  <r>
    <x v="6715"/>
    <x v="1337"/>
    <x v="4"/>
    <n v="4"/>
    <n v="4200"/>
    <x v="273"/>
    <x v="4"/>
    <x v="1"/>
    <n v="16800"/>
    <m/>
    <m/>
    <n v="7"/>
  </r>
  <r>
    <x v="6716"/>
    <x v="1337"/>
    <x v="3"/>
    <n v="3"/>
    <n v="45.45"/>
    <x v="287"/>
    <x v="9"/>
    <x v="4"/>
    <n v="136.35000000000002"/>
    <m/>
    <m/>
    <n v="7"/>
  </r>
  <r>
    <x v="6717"/>
    <x v="1337"/>
    <x v="2"/>
    <n v="3"/>
    <n v="15.69"/>
    <x v="671"/>
    <x v="1"/>
    <x v="4"/>
    <n v="47.07"/>
    <m/>
    <m/>
    <n v="7"/>
  </r>
  <r>
    <x v="6718"/>
    <x v="1337"/>
    <x v="2"/>
    <n v="2"/>
    <n v="10.46"/>
    <x v="197"/>
    <x v="6"/>
    <x v="4"/>
    <n v="20.92"/>
    <m/>
    <m/>
    <n v="10"/>
  </r>
  <r>
    <x v="6719"/>
    <x v="1338"/>
    <x v="5"/>
    <n v="5"/>
    <n v="3000.85"/>
    <x v="587"/>
    <x v="9"/>
    <x v="4"/>
    <n v="15004.25"/>
    <m/>
    <m/>
    <n v="5"/>
  </r>
  <r>
    <x v="6720"/>
    <x v="1338"/>
    <x v="6"/>
    <n v="2"/>
    <n v="71.680000000000007"/>
    <x v="632"/>
    <x v="6"/>
    <x v="4"/>
    <n v="143.36000000000001"/>
    <m/>
    <m/>
    <n v="5"/>
  </r>
  <r>
    <x v="6721"/>
    <x v="1338"/>
    <x v="6"/>
    <n v="4"/>
    <n v="143.36000000000001"/>
    <x v="82"/>
    <x v="7"/>
    <x v="3"/>
    <n v="573.44000000000005"/>
    <m/>
    <m/>
    <n v="5"/>
  </r>
  <r>
    <x v="6722"/>
    <x v="1338"/>
    <x v="1"/>
    <n v="3"/>
    <n v="121.98"/>
    <x v="74"/>
    <x v="9"/>
    <x v="3"/>
    <n v="365.94"/>
    <m/>
    <m/>
    <n v="5"/>
  </r>
  <r>
    <x v="6723"/>
    <x v="1338"/>
    <x v="0"/>
    <n v="4"/>
    <n v="1200.32"/>
    <x v="147"/>
    <x v="6"/>
    <x v="0"/>
    <n v="4801.28"/>
    <m/>
    <m/>
    <n v="5"/>
  </r>
  <r>
    <x v="6724"/>
    <x v="1338"/>
    <x v="0"/>
    <n v="2"/>
    <n v="600.16"/>
    <x v="707"/>
    <x v="0"/>
    <x v="2"/>
    <n v="1200.32"/>
    <m/>
    <m/>
    <n v="7"/>
  </r>
  <r>
    <x v="6725"/>
    <x v="1338"/>
    <x v="6"/>
    <n v="4"/>
    <n v="143.36000000000001"/>
    <x v="267"/>
    <x v="3"/>
    <x v="3"/>
    <n v="573.44000000000005"/>
    <m/>
    <m/>
    <n v="7"/>
  </r>
  <r>
    <x v="6726"/>
    <x v="1338"/>
    <x v="0"/>
    <n v="5"/>
    <n v="1500.4"/>
    <x v="330"/>
    <x v="6"/>
    <x v="3"/>
    <n v="7502"/>
    <m/>
    <m/>
    <n v="7"/>
  </r>
  <r>
    <x v="6727"/>
    <x v="1338"/>
    <x v="0"/>
    <n v="3"/>
    <n v="900.24"/>
    <x v="361"/>
    <x v="8"/>
    <x v="2"/>
    <n v="2700.7200000000003"/>
    <m/>
    <m/>
    <n v="7"/>
  </r>
  <r>
    <x v="6728"/>
    <x v="1338"/>
    <x v="1"/>
    <n v="4"/>
    <n v="162.63999999999999"/>
    <x v="250"/>
    <x v="6"/>
    <x v="4"/>
    <n v="650.55999999999995"/>
    <m/>
    <m/>
    <n v="7"/>
  </r>
  <r>
    <x v="6729"/>
    <x v="1338"/>
    <x v="0"/>
    <n v="4"/>
    <n v="1200.32"/>
    <x v="441"/>
    <x v="0"/>
    <x v="4"/>
    <n v="4801.28"/>
    <m/>
    <m/>
    <n v="10"/>
  </r>
  <r>
    <x v="6730"/>
    <x v="1339"/>
    <x v="2"/>
    <n v="3"/>
    <n v="15.69"/>
    <x v="764"/>
    <x v="6"/>
    <x v="4"/>
    <n v="47.07"/>
    <m/>
    <m/>
    <n v="7"/>
  </r>
  <r>
    <x v="6731"/>
    <x v="1339"/>
    <x v="5"/>
    <n v="3"/>
    <n v="1800.51"/>
    <x v="428"/>
    <x v="1"/>
    <x v="4"/>
    <n v="5401.53"/>
    <m/>
    <m/>
    <n v="7"/>
  </r>
  <r>
    <x v="6732"/>
    <x v="1340"/>
    <x v="3"/>
    <n v="4"/>
    <n v="60.6"/>
    <x v="27"/>
    <x v="8"/>
    <x v="3"/>
    <n v="242.4"/>
    <m/>
    <m/>
    <n v="5"/>
  </r>
  <r>
    <x v="6733"/>
    <x v="1340"/>
    <x v="0"/>
    <n v="1"/>
    <n v="300.08"/>
    <x v="584"/>
    <x v="6"/>
    <x v="4"/>
    <n v="300.08"/>
    <m/>
    <m/>
    <n v="7"/>
  </r>
  <r>
    <x v="6734"/>
    <x v="1340"/>
    <x v="0"/>
    <n v="5"/>
    <n v="1500.4"/>
    <x v="379"/>
    <x v="3"/>
    <x v="3"/>
    <n v="7502"/>
    <m/>
    <m/>
    <n v="10"/>
  </r>
  <r>
    <x v="6735"/>
    <x v="1341"/>
    <x v="2"/>
    <n v="1"/>
    <n v="5.23"/>
    <x v="672"/>
    <x v="4"/>
    <x v="2"/>
    <n v="5.23"/>
    <m/>
    <m/>
    <n v="5"/>
  </r>
  <r>
    <x v="6736"/>
    <x v="1341"/>
    <x v="0"/>
    <n v="4"/>
    <n v="1200.32"/>
    <x v="410"/>
    <x v="4"/>
    <x v="3"/>
    <n v="4801.28"/>
    <m/>
    <m/>
    <n v="5"/>
  </r>
  <r>
    <x v="6737"/>
    <x v="1341"/>
    <x v="0"/>
    <n v="4"/>
    <n v="1200.32"/>
    <x v="703"/>
    <x v="3"/>
    <x v="4"/>
    <n v="4801.28"/>
    <m/>
    <m/>
    <n v="7"/>
  </r>
  <r>
    <x v="6738"/>
    <x v="1342"/>
    <x v="6"/>
    <n v="1"/>
    <n v="35.840000000000003"/>
    <x v="185"/>
    <x v="6"/>
    <x v="2"/>
    <n v="35.840000000000003"/>
    <m/>
    <m/>
    <n v="5"/>
  </r>
  <r>
    <x v="6739"/>
    <x v="1342"/>
    <x v="2"/>
    <n v="4"/>
    <n v="20.92"/>
    <x v="151"/>
    <x v="8"/>
    <x v="2"/>
    <n v="83.68"/>
    <m/>
    <m/>
    <n v="5"/>
  </r>
  <r>
    <x v="6740"/>
    <x v="1342"/>
    <x v="2"/>
    <n v="2"/>
    <n v="10.46"/>
    <x v="557"/>
    <x v="9"/>
    <x v="4"/>
    <n v="20.92"/>
    <m/>
    <m/>
    <n v="7"/>
  </r>
  <r>
    <x v="6741"/>
    <x v="1342"/>
    <x v="5"/>
    <n v="5"/>
    <n v="3000.85"/>
    <x v="205"/>
    <x v="6"/>
    <x v="0"/>
    <n v="15004.25"/>
    <m/>
    <m/>
    <n v="7"/>
  </r>
  <r>
    <x v="6742"/>
    <x v="1342"/>
    <x v="6"/>
    <n v="4"/>
    <n v="143.36000000000001"/>
    <x v="400"/>
    <x v="6"/>
    <x v="4"/>
    <n v="573.44000000000005"/>
    <m/>
    <m/>
    <n v="7"/>
  </r>
  <r>
    <x v="6743"/>
    <x v="1343"/>
    <x v="2"/>
    <n v="1"/>
    <n v="5.23"/>
    <x v="616"/>
    <x v="1"/>
    <x v="0"/>
    <n v="5.23"/>
    <m/>
    <m/>
    <n v="5"/>
  </r>
  <r>
    <x v="6744"/>
    <x v="1343"/>
    <x v="0"/>
    <n v="4"/>
    <n v="1200.32"/>
    <x v="471"/>
    <x v="0"/>
    <x v="0"/>
    <n v="4801.28"/>
    <m/>
    <m/>
    <n v="5"/>
  </r>
  <r>
    <x v="6745"/>
    <x v="1343"/>
    <x v="6"/>
    <n v="4"/>
    <n v="143.36000000000001"/>
    <x v="617"/>
    <x v="2"/>
    <x v="3"/>
    <n v="573.44000000000005"/>
    <m/>
    <m/>
    <n v="7"/>
  </r>
  <r>
    <x v="6746"/>
    <x v="1343"/>
    <x v="5"/>
    <n v="5"/>
    <n v="3000.85"/>
    <x v="559"/>
    <x v="4"/>
    <x v="2"/>
    <n v="15004.25"/>
    <m/>
    <m/>
    <n v="7"/>
  </r>
  <r>
    <x v="6747"/>
    <x v="1344"/>
    <x v="6"/>
    <n v="1"/>
    <n v="35.840000000000003"/>
    <x v="524"/>
    <x v="1"/>
    <x v="3"/>
    <n v="35.840000000000003"/>
    <m/>
    <m/>
    <n v="5"/>
  </r>
  <r>
    <x v="6748"/>
    <x v="1344"/>
    <x v="0"/>
    <n v="3"/>
    <n v="900.24"/>
    <x v="639"/>
    <x v="1"/>
    <x v="0"/>
    <n v="2700.7200000000003"/>
    <m/>
    <m/>
    <n v="5"/>
  </r>
  <r>
    <x v="6749"/>
    <x v="1344"/>
    <x v="0"/>
    <n v="5"/>
    <n v="1500.4"/>
    <x v="691"/>
    <x v="7"/>
    <x v="4"/>
    <n v="7502"/>
    <m/>
    <m/>
    <n v="7"/>
  </r>
  <r>
    <x v="6750"/>
    <x v="1344"/>
    <x v="3"/>
    <n v="4"/>
    <n v="60.6"/>
    <x v="51"/>
    <x v="1"/>
    <x v="1"/>
    <n v="242.4"/>
    <m/>
    <m/>
    <n v="7"/>
  </r>
  <r>
    <x v="6751"/>
    <x v="1344"/>
    <x v="1"/>
    <n v="1"/>
    <n v="40.659999999999997"/>
    <x v="747"/>
    <x v="0"/>
    <x v="2"/>
    <n v="40.659999999999997"/>
    <m/>
    <m/>
    <n v="7"/>
  </r>
  <r>
    <x v="6752"/>
    <x v="1344"/>
    <x v="4"/>
    <n v="3"/>
    <n v="3150"/>
    <x v="403"/>
    <x v="6"/>
    <x v="4"/>
    <n v="9450"/>
    <m/>
    <m/>
    <n v="10"/>
  </r>
  <r>
    <x v="6753"/>
    <x v="1345"/>
    <x v="0"/>
    <n v="5"/>
    <n v="1500.4"/>
    <x v="490"/>
    <x v="6"/>
    <x v="0"/>
    <n v="7502"/>
    <m/>
    <m/>
    <n v="5"/>
  </r>
  <r>
    <x v="6754"/>
    <x v="1345"/>
    <x v="2"/>
    <n v="4"/>
    <n v="20.92"/>
    <x v="280"/>
    <x v="0"/>
    <x v="1"/>
    <n v="83.68"/>
    <m/>
    <m/>
    <n v="7"/>
  </r>
  <r>
    <x v="6755"/>
    <x v="1345"/>
    <x v="7"/>
    <n v="1"/>
    <n v="11.73"/>
    <x v="365"/>
    <x v="4"/>
    <x v="4"/>
    <n v="11.73"/>
    <m/>
    <m/>
    <n v="7"/>
  </r>
  <r>
    <x v="6756"/>
    <x v="1345"/>
    <x v="0"/>
    <n v="1"/>
    <n v="300.08"/>
    <x v="506"/>
    <x v="0"/>
    <x v="3"/>
    <n v="300.08"/>
    <m/>
    <m/>
    <n v="7"/>
  </r>
  <r>
    <x v="6757"/>
    <x v="1345"/>
    <x v="6"/>
    <n v="2"/>
    <n v="71.680000000000007"/>
    <x v="154"/>
    <x v="6"/>
    <x v="4"/>
    <n v="143.36000000000001"/>
    <m/>
    <m/>
    <n v="7"/>
  </r>
  <r>
    <x v="6758"/>
    <x v="1345"/>
    <x v="6"/>
    <n v="4"/>
    <n v="143.36000000000001"/>
    <x v="193"/>
    <x v="0"/>
    <x v="0"/>
    <n v="573.44000000000005"/>
    <m/>
    <m/>
    <n v="7"/>
  </r>
  <r>
    <x v="6759"/>
    <x v="1345"/>
    <x v="5"/>
    <n v="5"/>
    <n v="3000.85"/>
    <x v="41"/>
    <x v="7"/>
    <x v="3"/>
    <n v="15004.25"/>
    <m/>
    <m/>
    <n v="7"/>
  </r>
  <r>
    <x v="6760"/>
    <x v="1346"/>
    <x v="0"/>
    <n v="5"/>
    <n v="1500.4"/>
    <x v="202"/>
    <x v="3"/>
    <x v="0"/>
    <n v="7502"/>
    <m/>
    <m/>
    <n v="5"/>
  </r>
  <r>
    <x v="6761"/>
    <x v="1346"/>
    <x v="2"/>
    <n v="1"/>
    <n v="5.23"/>
    <x v="91"/>
    <x v="1"/>
    <x v="2"/>
    <n v="5.23"/>
    <m/>
    <m/>
    <n v="5"/>
  </r>
  <r>
    <x v="6762"/>
    <x v="1346"/>
    <x v="0"/>
    <n v="2"/>
    <n v="600.16"/>
    <x v="475"/>
    <x v="2"/>
    <x v="1"/>
    <n v="1200.32"/>
    <m/>
    <m/>
    <n v="5"/>
  </r>
  <r>
    <x v="6763"/>
    <x v="1346"/>
    <x v="6"/>
    <n v="5"/>
    <n v="179.2"/>
    <x v="296"/>
    <x v="2"/>
    <x v="0"/>
    <n v="896"/>
    <m/>
    <m/>
    <n v="5"/>
  </r>
  <r>
    <x v="6764"/>
    <x v="1346"/>
    <x v="0"/>
    <n v="4"/>
    <n v="1200.32"/>
    <x v="110"/>
    <x v="0"/>
    <x v="0"/>
    <n v="4801.28"/>
    <m/>
    <m/>
    <n v="7"/>
  </r>
  <r>
    <x v="6765"/>
    <x v="1346"/>
    <x v="1"/>
    <n v="5"/>
    <n v="203.3"/>
    <x v="788"/>
    <x v="9"/>
    <x v="2"/>
    <n v="1016.5"/>
    <m/>
    <m/>
    <n v="7"/>
  </r>
  <r>
    <x v="6766"/>
    <x v="1346"/>
    <x v="0"/>
    <n v="2"/>
    <n v="600.16"/>
    <x v="118"/>
    <x v="0"/>
    <x v="2"/>
    <n v="1200.32"/>
    <m/>
    <m/>
    <n v="7"/>
  </r>
  <r>
    <x v="6767"/>
    <x v="1346"/>
    <x v="6"/>
    <n v="2"/>
    <n v="71.680000000000007"/>
    <x v="572"/>
    <x v="4"/>
    <x v="4"/>
    <n v="143.36000000000001"/>
    <m/>
    <m/>
    <n v="7"/>
  </r>
  <r>
    <x v="6768"/>
    <x v="1346"/>
    <x v="1"/>
    <n v="2"/>
    <n v="81.319999999999993"/>
    <x v="549"/>
    <x v="8"/>
    <x v="3"/>
    <n v="162.63999999999999"/>
    <m/>
    <m/>
    <n v="7"/>
  </r>
  <r>
    <x v="6769"/>
    <x v="1346"/>
    <x v="1"/>
    <n v="5"/>
    <n v="203.3"/>
    <x v="413"/>
    <x v="4"/>
    <x v="1"/>
    <n v="1016.5"/>
    <m/>
    <m/>
    <n v="7"/>
  </r>
  <r>
    <x v="6770"/>
    <x v="1346"/>
    <x v="2"/>
    <n v="5"/>
    <n v="26.15"/>
    <x v="586"/>
    <x v="6"/>
    <x v="0"/>
    <n v="130.75"/>
    <m/>
    <m/>
    <n v="10"/>
  </r>
  <r>
    <x v="6771"/>
    <x v="1347"/>
    <x v="0"/>
    <n v="5"/>
    <n v="1500.4"/>
    <x v="324"/>
    <x v="6"/>
    <x v="2"/>
    <n v="7502"/>
    <m/>
    <m/>
    <n v="5"/>
  </r>
  <r>
    <x v="6772"/>
    <x v="1347"/>
    <x v="6"/>
    <n v="2"/>
    <n v="71.680000000000007"/>
    <x v="21"/>
    <x v="6"/>
    <x v="0"/>
    <n v="143.36000000000001"/>
    <m/>
    <m/>
    <n v="5"/>
  </r>
  <r>
    <x v="6773"/>
    <x v="1347"/>
    <x v="1"/>
    <n v="5"/>
    <n v="203.3"/>
    <x v="116"/>
    <x v="7"/>
    <x v="2"/>
    <n v="1016.5"/>
    <m/>
    <m/>
    <n v="5"/>
  </r>
  <r>
    <x v="6774"/>
    <x v="1347"/>
    <x v="4"/>
    <n v="5"/>
    <n v="5250"/>
    <x v="149"/>
    <x v="6"/>
    <x v="4"/>
    <n v="26250"/>
    <m/>
    <m/>
    <n v="5"/>
  </r>
  <r>
    <x v="6775"/>
    <x v="1347"/>
    <x v="2"/>
    <n v="1"/>
    <n v="5.23"/>
    <x v="675"/>
    <x v="4"/>
    <x v="2"/>
    <n v="5.23"/>
    <m/>
    <m/>
    <n v="7"/>
  </r>
  <r>
    <x v="6776"/>
    <x v="1347"/>
    <x v="5"/>
    <n v="4"/>
    <n v="2400.6799999999998"/>
    <x v="346"/>
    <x v="3"/>
    <x v="0"/>
    <n v="9602.7199999999993"/>
    <m/>
    <m/>
    <n v="7"/>
  </r>
  <r>
    <x v="6777"/>
    <x v="1348"/>
    <x v="1"/>
    <n v="5"/>
    <n v="203.3"/>
    <x v="483"/>
    <x v="3"/>
    <x v="3"/>
    <n v="1016.5"/>
    <m/>
    <m/>
    <n v="5"/>
  </r>
  <r>
    <x v="6778"/>
    <x v="1348"/>
    <x v="0"/>
    <n v="4"/>
    <n v="1200.32"/>
    <x v="265"/>
    <x v="9"/>
    <x v="4"/>
    <n v="4801.28"/>
    <m/>
    <m/>
    <n v="5"/>
  </r>
  <r>
    <x v="6779"/>
    <x v="1348"/>
    <x v="0"/>
    <n v="4"/>
    <n v="1200.32"/>
    <x v="191"/>
    <x v="9"/>
    <x v="0"/>
    <n v="4801.28"/>
    <m/>
    <m/>
    <n v="7"/>
  </r>
  <r>
    <x v="6780"/>
    <x v="1348"/>
    <x v="0"/>
    <n v="3"/>
    <n v="900.24"/>
    <x v="96"/>
    <x v="4"/>
    <x v="1"/>
    <n v="2700.7200000000003"/>
    <m/>
    <m/>
    <n v="7"/>
  </r>
  <r>
    <x v="6781"/>
    <x v="1349"/>
    <x v="3"/>
    <n v="3"/>
    <n v="45.45"/>
    <x v="48"/>
    <x v="1"/>
    <x v="4"/>
    <n v="136.35000000000002"/>
    <m/>
    <m/>
    <n v="7"/>
  </r>
  <r>
    <x v="6782"/>
    <x v="1349"/>
    <x v="2"/>
    <n v="1"/>
    <n v="5.23"/>
    <x v="384"/>
    <x v="4"/>
    <x v="0"/>
    <n v="5.23"/>
    <m/>
    <m/>
    <n v="7"/>
  </r>
  <r>
    <x v="6783"/>
    <x v="1349"/>
    <x v="4"/>
    <n v="3"/>
    <n v="3150"/>
    <x v="344"/>
    <x v="6"/>
    <x v="0"/>
    <n v="9450"/>
    <m/>
    <m/>
    <n v="7"/>
  </r>
  <r>
    <x v="6784"/>
    <x v="1349"/>
    <x v="6"/>
    <n v="1"/>
    <n v="35.840000000000003"/>
    <x v="250"/>
    <x v="0"/>
    <x v="0"/>
    <n v="35.840000000000003"/>
    <m/>
    <m/>
    <n v="7"/>
  </r>
  <r>
    <x v="6785"/>
    <x v="1350"/>
    <x v="2"/>
    <n v="4"/>
    <n v="20.92"/>
    <x v="239"/>
    <x v="4"/>
    <x v="0"/>
    <n v="83.68"/>
    <m/>
    <m/>
    <n v="5"/>
  </r>
  <r>
    <x v="6786"/>
    <x v="1350"/>
    <x v="5"/>
    <n v="1"/>
    <n v="600.16999999999996"/>
    <x v="694"/>
    <x v="1"/>
    <x v="2"/>
    <n v="600.16999999999996"/>
    <m/>
    <m/>
    <n v="5"/>
  </r>
  <r>
    <x v="6787"/>
    <x v="1350"/>
    <x v="2"/>
    <n v="4"/>
    <n v="20.92"/>
    <x v="742"/>
    <x v="6"/>
    <x v="2"/>
    <n v="83.68"/>
    <m/>
    <m/>
    <n v="7"/>
  </r>
  <r>
    <x v="6788"/>
    <x v="1350"/>
    <x v="2"/>
    <n v="1"/>
    <n v="5.23"/>
    <x v="711"/>
    <x v="6"/>
    <x v="3"/>
    <n v="5.23"/>
    <m/>
    <m/>
    <n v="7"/>
  </r>
  <r>
    <x v="6789"/>
    <x v="1350"/>
    <x v="1"/>
    <n v="5"/>
    <n v="203.3"/>
    <x v="56"/>
    <x v="0"/>
    <x v="4"/>
    <n v="1016.5"/>
    <m/>
    <m/>
    <n v="7"/>
  </r>
  <r>
    <x v="6790"/>
    <x v="1351"/>
    <x v="0"/>
    <n v="2"/>
    <n v="600.16"/>
    <x v="147"/>
    <x v="6"/>
    <x v="1"/>
    <n v="1200.32"/>
    <m/>
    <m/>
    <n v="5"/>
  </r>
  <r>
    <x v="6791"/>
    <x v="1351"/>
    <x v="1"/>
    <n v="3"/>
    <n v="121.98"/>
    <x v="777"/>
    <x v="1"/>
    <x v="3"/>
    <n v="365.94"/>
    <m/>
    <m/>
    <n v="7"/>
  </r>
  <r>
    <x v="6792"/>
    <x v="1351"/>
    <x v="7"/>
    <n v="5"/>
    <n v="58.65"/>
    <x v="564"/>
    <x v="5"/>
    <x v="1"/>
    <n v="293.25"/>
    <m/>
    <m/>
    <n v="7"/>
  </r>
  <r>
    <x v="6793"/>
    <x v="1352"/>
    <x v="0"/>
    <n v="3"/>
    <n v="900.24"/>
    <x v="104"/>
    <x v="6"/>
    <x v="1"/>
    <n v="2700.7200000000003"/>
    <m/>
    <m/>
    <n v="5"/>
  </r>
  <r>
    <x v="6794"/>
    <x v="1352"/>
    <x v="0"/>
    <n v="5"/>
    <n v="1500.4"/>
    <x v="587"/>
    <x v="0"/>
    <x v="2"/>
    <n v="7502"/>
    <m/>
    <m/>
    <n v="5"/>
  </r>
  <r>
    <x v="6795"/>
    <x v="1352"/>
    <x v="0"/>
    <n v="3"/>
    <n v="900.24"/>
    <x v="116"/>
    <x v="6"/>
    <x v="4"/>
    <n v="2700.7200000000003"/>
    <m/>
    <m/>
    <n v="5"/>
  </r>
  <r>
    <x v="6796"/>
    <x v="1353"/>
    <x v="0"/>
    <n v="1"/>
    <n v="300.08"/>
    <x v="89"/>
    <x v="4"/>
    <x v="1"/>
    <n v="300.08"/>
    <m/>
    <m/>
    <n v="5"/>
  </r>
  <r>
    <x v="6797"/>
    <x v="1353"/>
    <x v="5"/>
    <n v="4"/>
    <n v="2400.6799999999998"/>
    <x v="327"/>
    <x v="3"/>
    <x v="3"/>
    <n v="9602.7199999999993"/>
    <m/>
    <m/>
    <n v="5"/>
  </r>
  <r>
    <x v="6798"/>
    <x v="1353"/>
    <x v="0"/>
    <n v="5"/>
    <n v="1500.4"/>
    <x v="393"/>
    <x v="6"/>
    <x v="1"/>
    <n v="7502"/>
    <m/>
    <m/>
    <n v="7"/>
  </r>
  <r>
    <x v="6799"/>
    <x v="1353"/>
    <x v="3"/>
    <n v="3"/>
    <n v="45.45"/>
    <x v="222"/>
    <x v="1"/>
    <x v="3"/>
    <n v="136.35000000000002"/>
    <m/>
    <m/>
    <n v="7"/>
  </r>
  <r>
    <x v="6800"/>
    <x v="1353"/>
    <x v="1"/>
    <n v="2"/>
    <n v="81.319999999999993"/>
    <x v="634"/>
    <x v="9"/>
    <x v="2"/>
    <n v="162.63999999999999"/>
    <m/>
    <m/>
    <n v="7"/>
  </r>
  <r>
    <x v="6801"/>
    <x v="1353"/>
    <x v="5"/>
    <n v="1"/>
    <n v="600.16999999999996"/>
    <x v="178"/>
    <x v="6"/>
    <x v="3"/>
    <n v="600.16999999999996"/>
    <m/>
    <m/>
    <n v="7"/>
  </r>
  <r>
    <x v="6802"/>
    <x v="1354"/>
    <x v="1"/>
    <n v="3"/>
    <n v="121.98"/>
    <x v="348"/>
    <x v="9"/>
    <x v="3"/>
    <n v="365.94"/>
    <m/>
    <m/>
    <n v="7"/>
  </r>
  <r>
    <x v="6803"/>
    <x v="1354"/>
    <x v="0"/>
    <n v="5"/>
    <n v="1500.4"/>
    <x v="196"/>
    <x v="8"/>
    <x v="2"/>
    <n v="7502"/>
    <m/>
    <m/>
    <n v="10"/>
  </r>
  <r>
    <x v="6804"/>
    <x v="1355"/>
    <x v="0"/>
    <n v="1"/>
    <n v="300.08"/>
    <x v="538"/>
    <x v="2"/>
    <x v="1"/>
    <n v="300.08"/>
    <m/>
    <m/>
    <n v="5"/>
  </r>
  <r>
    <x v="6805"/>
    <x v="1355"/>
    <x v="2"/>
    <n v="2"/>
    <n v="10.46"/>
    <x v="505"/>
    <x v="0"/>
    <x v="3"/>
    <n v="20.92"/>
    <m/>
    <m/>
    <n v="5"/>
  </r>
  <r>
    <x v="6806"/>
    <x v="1355"/>
    <x v="1"/>
    <n v="2"/>
    <n v="81.319999999999993"/>
    <x v="15"/>
    <x v="1"/>
    <x v="1"/>
    <n v="162.63999999999999"/>
    <m/>
    <m/>
    <n v="5"/>
  </r>
  <r>
    <x v="6807"/>
    <x v="1355"/>
    <x v="1"/>
    <n v="2"/>
    <n v="81.319999999999993"/>
    <x v="471"/>
    <x v="6"/>
    <x v="1"/>
    <n v="162.63999999999999"/>
    <m/>
    <m/>
    <n v="5"/>
  </r>
  <r>
    <x v="6808"/>
    <x v="1356"/>
    <x v="0"/>
    <n v="1"/>
    <n v="300.08"/>
    <x v="694"/>
    <x v="5"/>
    <x v="0"/>
    <n v="300.08"/>
    <m/>
    <m/>
    <n v="5"/>
  </r>
  <r>
    <x v="6809"/>
    <x v="1356"/>
    <x v="0"/>
    <n v="2"/>
    <n v="600.16"/>
    <x v="725"/>
    <x v="2"/>
    <x v="0"/>
    <n v="1200.32"/>
    <m/>
    <m/>
    <n v="5"/>
  </r>
  <r>
    <x v="6810"/>
    <x v="1356"/>
    <x v="0"/>
    <n v="2"/>
    <n v="600.16"/>
    <x v="795"/>
    <x v="1"/>
    <x v="2"/>
    <n v="1200.32"/>
    <m/>
    <m/>
    <n v="5"/>
  </r>
  <r>
    <x v="6811"/>
    <x v="1356"/>
    <x v="1"/>
    <n v="1"/>
    <n v="40.659999999999997"/>
    <x v="322"/>
    <x v="1"/>
    <x v="1"/>
    <n v="40.659999999999997"/>
    <m/>
    <m/>
    <n v="7"/>
  </r>
  <r>
    <x v="6812"/>
    <x v="1356"/>
    <x v="2"/>
    <n v="1"/>
    <n v="5.23"/>
    <x v="227"/>
    <x v="1"/>
    <x v="4"/>
    <n v="5.23"/>
    <m/>
    <m/>
    <n v="7"/>
  </r>
  <r>
    <x v="6813"/>
    <x v="1356"/>
    <x v="6"/>
    <n v="3"/>
    <n v="107.52"/>
    <x v="367"/>
    <x v="2"/>
    <x v="0"/>
    <n v="322.56"/>
    <m/>
    <m/>
    <n v="7"/>
  </r>
  <r>
    <x v="6814"/>
    <x v="1356"/>
    <x v="5"/>
    <n v="2"/>
    <n v="1200.3399999999999"/>
    <x v="705"/>
    <x v="1"/>
    <x v="0"/>
    <n v="2400.6799999999998"/>
    <m/>
    <m/>
    <n v="7"/>
  </r>
  <r>
    <x v="6815"/>
    <x v="1357"/>
    <x v="0"/>
    <n v="1"/>
    <n v="300.08"/>
    <x v="708"/>
    <x v="1"/>
    <x v="4"/>
    <n v="300.08"/>
    <m/>
    <m/>
    <n v="5"/>
  </r>
  <r>
    <x v="6816"/>
    <x v="1357"/>
    <x v="0"/>
    <n v="1"/>
    <n v="300.08"/>
    <x v="516"/>
    <x v="0"/>
    <x v="3"/>
    <n v="300.08"/>
    <m/>
    <m/>
    <n v="7"/>
  </r>
  <r>
    <x v="6817"/>
    <x v="1357"/>
    <x v="2"/>
    <n v="1"/>
    <n v="5.23"/>
    <x v="40"/>
    <x v="0"/>
    <x v="3"/>
    <n v="5.23"/>
    <m/>
    <m/>
    <n v="7"/>
  </r>
  <r>
    <x v="6818"/>
    <x v="1357"/>
    <x v="6"/>
    <n v="4"/>
    <n v="143.36000000000001"/>
    <x v="499"/>
    <x v="1"/>
    <x v="4"/>
    <n v="573.44000000000005"/>
    <m/>
    <m/>
    <n v="7"/>
  </r>
  <r>
    <x v="6819"/>
    <x v="1358"/>
    <x v="5"/>
    <n v="3"/>
    <n v="1800.51"/>
    <x v="30"/>
    <x v="5"/>
    <x v="3"/>
    <n v="5401.53"/>
    <m/>
    <m/>
    <n v="5"/>
  </r>
  <r>
    <x v="6820"/>
    <x v="1358"/>
    <x v="5"/>
    <n v="5"/>
    <n v="3000.85"/>
    <x v="453"/>
    <x v="2"/>
    <x v="2"/>
    <n v="15004.25"/>
    <m/>
    <m/>
    <n v="5"/>
  </r>
  <r>
    <x v="6821"/>
    <x v="1358"/>
    <x v="0"/>
    <n v="2"/>
    <n v="600.16"/>
    <x v="74"/>
    <x v="6"/>
    <x v="2"/>
    <n v="1200.32"/>
    <m/>
    <m/>
    <n v="5"/>
  </r>
  <r>
    <x v="6822"/>
    <x v="1358"/>
    <x v="0"/>
    <n v="3"/>
    <n v="900.24"/>
    <x v="325"/>
    <x v="5"/>
    <x v="2"/>
    <n v="2700.7200000000003"/>
    <m/>
    <m/>
    <n v="7"/>
  </r>
  <r>
    <x v="6823"/>
    <x v="1358"/>
    <x v="1"/>
    <n v="3"/>
    <n v="121.98"/>
    <x v="209"/>
    <x v="6"/>
    <x v="0"/>
    <n v="365.94"/>
    <m/>
    <m/>
    <n v="7"/>
  </r>
  <r>
    <x v="6824"/>
    <x v="1358"/>
    <x v="1"/>
    <n v="4"/>
    <n v="162.63999999999999"/>
    <x v="402"/>
    <x v="6"/>
    <x v="2"/>
    <n v="650.55999999999995"/>
    <m/>
    <m/>
    <n v="10"/>
  </r>
  <r>
    <x v="6825"/>
    <x v="1359"/>
    <x v="0"/>
    <n v="3"/>
    <n v="900.24"/>
    <x v="317"/>
    <x v="0"/>
    <x v="4"/>
    <n v="2700.7200000000003"/>
    <m/>
    <m/>
    <n v="5"/>
  </r>
  <r>
    <x v="6826"/>
    <x v="1359"/>
    <x v="4"/>
    <n v="4"/>
    <n v="4200"/>
    <x v="354"/>
    <x v="6"/>
    <x v="1"/>
    <n v="16800"/>
    <m/>
    <m/>
    <n v="5"/>
  </r>
  <r>
    <x v="6827"/>
    <x v="1359"/>
    <x v="5"/>
    <n v="1"/>
    <n v="600.16999999999996"/>
    <x v="75"/>
    <x v="9"/>
    <x v="1"/>
    <n v="600.16999999999996"/>
    <m/>
    <m/>
    <n v="7"/>
  </r>
  <r>
    <x v="6828"/>
    <x v="1359"/>
    <x v="5"/>
    <n v="5"/>
    <n v="3000.85"/>
    <x v="487"/>
    <x v="8"/>
    <x v="0"/>
    <n v="15004.25"/>
    <m/>
    <m/>
    <n v="7"/>
  </r>
  <r>
    <x v="6829"/>
    <x v="1359"/>
    <x v="3"/>
    <n v="3"/>
    <n v="45.45"/>
    <x v="430"/>
    <x v="6"/>
    <x v="0"/>
    <n v="136.35000000000002"/>
    <m/>
    <m/>
    <n v="7"/>
  </r>
  <r>
    <x v="6830"/>
    <x v="1359"/>
    <x v="0"/>
    <n v="3"/>
    <n v="900.24"/>
    <x v="583"/>
    <x v="6"/>
    <x v="1"/>
    <n v="2700.7200000000003"/>
    <m/>
    <m/>
    <n v="7"/>
  </r>
  <r>
    <x v="6831"/>
    <x v="1359"/>
    <x v="6"/>
    <n v="1"/>
    <n v="35.840000000000003"/>
    <x v="337"/>
    <x v="4"/>
    <x v="4"/>
    <n v="35.840000000000003"/>
    <m/>
    <m/>
    <n v="7"/>
  </r>
  <r>
    <x v="6832"/>
    <x v="1359"/>
    <x v="6"/>
    <n v="3"/>
    <n v="107.52"/>
    <x v="564"/>
    <x v="0"/>
    <x v="0"/>
    <n v="322.56"/>
    <m/>
    <m/>
    <n v="7"/>
  </r>
  <r>
    <x v="6833"/>
    <x v="1359"/>
    <x v="0"/>
    <n v="3"/>
    <n v="900.24"/>
    <x v="409"/>
    <x v="4"/>
    <x v="3"/>
    <n v="2700.7200000000003"/>
    <m/>
    <m/>
    <n v="7"/>
  </r>
  <r>
    <x v="6834"/>
    <x v="1359"/>
    <x v="0"/>
    <n v="5"/>
    <n v="1500.4"/>
    <x v="303"/>
    <x v="7"/>
    <x v="3"/>
    <n v="7502"/>
    <m/>
    <m/>
    <n v="7"/>
  </r>
  <r>
    <x v="6835"/>
    <x v="1359"/>
    <x v="0"/>
    <n v="5"/>
    <n v="1500.4"/>
    <x v="26"/>
    <x v="1"/>
    <x v="4"/>
    <n v="7502"/>
    <m/>
    <m/>
    <n v="10"/>
  </r>
  <r>
    <x v="6836"/>
    <x v="1359"/>
    <x v="4"/>
    <n v="5"/>
    <n v="5250"/>
    <x v="482"/>
    <x v="6"/>
    <x v="2"/>
    <n v="26250"/>
    <m/>
    <m/>
    <n v="10"/>
  </r>
  <r>
    <x v="6837"/>
    <x v="1360"/>
    <x v="4"/>
    <n v="3"/>
    <n v="3150"/>
    <x v="220"/>
    <x v="4"/>
    <x v="3"/>
    <n v="9450"/>
    <m/>
    <m/>
    <n v="5"/>
  </r>
  <r>
    <x v="6838"/>
    <x v="1360"/>
    <x v="1"/>
    <n v="5"/>
    <n v="203.3"/>
    <x v="430"/>
    <x v="5"/>
    <x v="0"/>
    <n v="1016.5"/>
    <m/>
    <m/>
    <n v="7"/>
  </r>
  <r>
    <x v="6839"/>
    <x v="1360"/>
    <x v="6"/>
    <n v="4"/>
    <n v="143.36000000000001"/>
    <x v="615"/>
    <x v="0"/>
    <x v="1"/>
    <n v="573.44000000000005"/>
    <m/>
    <m/>
    <n v="7"/>
  </r>
  <r>
    <x v="6840"/>
    <x v="1361"/>
    <x v="6"/>
    <n v="5"/>
    <n v="179.2"/>
    <x v="507"/>
    <x v="6"/>
    <x v="1"/>
    <n v="896"/>
    <m/>
    <m/>
    <n v="7"/>
  </r>
  <r>
    <x v="6841"/>
    <x v="1361"/>
    <x v="6"/>
    <n v="4"/>
    <n v="143.36000000000001"/>
    <x v="793"/>
    <x v="9"/>
    <x v="1"/>
    <n v="573.44000000000005"/>
    <m/>
    <m/>
    <n v="10"/>
  </r>
  <r>
    <x v="6842"/>
    <x v="1361"/>
    <x v="0"/>
    <n v="2"/>
    <n v="600.16"/>
    <x v="71"/>
    <x v="9"/>
    <x v="3"/>
    <n v="1200.32"/>
    <m/>
    <m/>
    <n v="10"/>
  </r>
  <r>
    <x v="6843"/>
    <x v="1362"/>
    <x v="1"/>
    <n v="4"/>
    <n v="162.63999999999999"/>
    <x v="220"/>
    <x v="6"/>
    <x v="1"/>
    <n v="650.55999999999995"/>
    <m/>
    <m/>
    <n v="5"/>
  </r>
  <r>
    <x v="6844"/>
    <x v="1362"/>
    <x v="5"/>
    <n v="2"/>
    <n v="1200.3399999999999"/>
    <x v="4"/>
    <x v="9"/>
    <x v="3"/>
    <n v="2400.6799999999998"/>
    <m/>
    <m/>
    <n v="7"/>
  </r>
  <r>
    <x v="6845"/>
    <x v="1362"/>
    <x v="4"/>
    <n v="4"/>
    <n v="4200"/>
    <x v="630"/>
    <x v="1"/>
    <x v="2"/>
    <n v="16800"/>
    <m/>
    <m/>
    <n v="7"/>
  </r>
  <r>
    <x v="6846"/>
    <x v="1363"/>
    <x v="6"/>
    <n v="1"/>
    <n v="35.840000000000003"/>
    <x v="624"/>
    <x v="1"/>
    <x v="4"/>
    <n v="35.840000000000003"/>
    <m/>
    <m/>
    <n v="7"/>
  </r>
  <r>
    <x v="6847"/>
    <x v="1363"/>
    <x v="2"/>
    <n v="5"/>
    <n v="26.15"/>
    <x v="217"/>
    <x v="5"/>
    <x v="2"/>
    <n v="130.75"/>
    <m/>
    <m/>
    <n v="7"/>
  </r>
  <r>
    <x v="6848"/>
    <x v="1363"/>
    <x v="2"/>
    <n v="3"/>
    <n v="15.69"/>
    <x v="26"/>
    <x v="9"/>
    <x v="3"/>
    <n v="47.07"/>
    <m/>
    <m/>
    <n v="10"/>
  </r>
  <r>
    <x v="6849"/>
    <x v="1363"/>
    <x v="0"/>
    <n v="1"/>
    <n v="300.08"/>
    <x v="780"/>
    <x v="5"/>
    <x v="2"/>
    <n v="300.08"/>
    <m/>
    <m/>
    <n v="10"/>
  </r>
  <r>
    <x v="6850"/>
    <x v="1364"/>
    <x v="3"/>
    <n v="5"/>
    <n v="75.75"/>
    <x v="598"/>
    <x v="8"/>
    <x v="0"/>
    <n v="378.75"/>
    <m/>
    <m/>
    <n v="5"/>
  </r>
  <r>
    <x v="6851"/>
    <x v="1364"/>
    <x v="2"/>
    <n v="4"/>
    <n v="20.92"/>
    <x v="709"/>
    <x v="3"/>
    <x v="0"/>
    <n v="83.68"/>
    <m/>
    <m/>
    <n v="5"/>
  </r>
  <r>
    <x v="6852"/>
    <x v="1364"/>
    <x v="5"/>
    <n v="1"/>
    <n v="600.16999999999996"/>
    <x v="45"/>
    <x v="8"/>
    <x v="2"/>
    <n v="600.16999999999996"/>
    <m/>
    <m/>
    <n v="5"/>
  </r>
  <r>
    <x v="6853"/>
    <x v="1364"/>
    <x v="1"/>
    <n v="3"/>
    <n v="121.98"/>
    <x v="795"/>
    <x v="1"/>
    <x v="1"/>
    <n v="365.94"/>
    <m/>
    <m/>
    <n v="5"/>
  </r>
  <r>
    <x v="6854"/>
    <x v="1364"/>
    <x v="1"/>
    <n v="3"/>
    <n v="121.98"/>
    <x v="689"/>
    <x v="4"/>
    <x v="0"/>
    <n v="365.94"/>
    <m/>
    <m/>
    <n v="7"/>
  </r>
  <r>
    <x v="6855"/>
    <x v="1364"/>
    <x v="0"/>
    <n v="1"/>
    <n v="300.08"/>
    <x v="217"/>
    <x v="4"/>
    <x v="2"/>
    <n v="300.08"/>
    <m/>
    <m/>
    <n v="7"/>
  </r>
  <r>
    <x v="6856"/>
    <x v="1364"/>
    <x v="2"/>
    <n v="1"/>
    <n v="5.23"/>
    <x v="378"/>
    <x v="6"/>
    <x v="3"/>
    <n v="5.23"/>
    <m/>
    <m/>
    <n v="7"/>
  </r>
  <r>
    <x v="6857"/>
    <x v="1365"/>
    <x v="1"/>
    <n v="3"/>
    <n v="121.98"/>
    <x v="172"/>
    <x v="0"/>
    <x v="1"/>
    <n v="365.94"/>
    <m/>
    <m/>
    <n v="5"/>
  </r>
  <r>
    <x v="6858"/>
    <x v="1365"/>
    <x v="1"/>
    <n v="3"/>
    <n v="121.98"/>
    <x v="132"/>
    <x v="9"/>
    <x v="3"/>
    <n v="365.94"/>
    <m/>
    <m/>
    <n v="5"/>
  </r>
  <r>
    <x v="6859"/>
    <x v="1366"/>
    <x v="4"/>
    <n v="5"/>
    <n v="5250"/>
    <x v="183"/>
    <x v="0"/>
    <x v="0"/>
    <n v="26250"/>
    <m/>
    <m/>
    <n v="5"/>
  </r>
  <r>
    <x v="6860"/>
    <x v="1366"/>
    <x v="2"/>
    <n v="4"/>
    <n v="20.92"/>
    <x v="768"/>
    <x v="0"/>
    <x v="0"/>
    <n v="83.68"/>
    <m/>
    <m/>
    <n v="5"/>
  </r>
  <r>
    <x v="6861"/>
    <x v="1366"/>
    <x v="0"/>
    <n v="2"/>
    <n v="600.16"/>
    <x v="198"/>
    <x v="6"/>
    <x v="2"/>
    <n v="1200.32"/>
    <m/>
    <m/>
    <n v="5"/>
  </r>
  <r>
    <x v="6862"/>
    <x v="1366"/>
    <x v="2"/>
    <n v="2"/>
    <n v="10.46"/>
    <x v="155"/>
    <x v="1"/>
    <x v="4"/>
    <n v="20.92"/>
    <m/>
    <m/>
    <n v="10"/>
  </r>
  <r>
    <x v="6863"/>
    <x v="1367"/>
    <x v="0"/>
    <n v="5"/>
    <n v="1500.4"/>
    <x v="261"/>
    <x v="9"/>
    <x v="0"/>
    <n v="7502"/>
    <m/>
    <m/>
    <n v="5"/>
  </r>
  <r>
    <x v="6864"/>
    <x v="1367"/>
    <x v="0"/>
    <n v="5"/>
    <n v="1500.4"/>
    <x v="73"/>
    <x v="4"/>
    <x v="2"/>
    <n v="7502"/>
    <m/>
    <m/>
    <n v="5"/>
  </r>
  <r>
    <x v="6865"/>
    <x v="1367"/>
    <x v="1"/>
    <n v="1"/>
    <n v="40.659999999999997"/>
    <x v="774"/>
    <x v="0"/>
    <x v="0"/>
    <n v="40.659999999999997"/>
    <m/>
    <m/>
    <n v="7"/>
  </r>
  <r>
    <x v="6866"/>
    <x v="1367"/>
    <x v="0"/>
    <n v="2"/>
    <n v="600.16"/>
    <x v="345"/>
    <x v="1"/>
    <x v="3"/>
    <n v="1200.32"/>
    <m/>
    <m/>
    <n v="7"/>
  </r>
  <r>
    <x v="6867"/>
    <x v="1368"/>
    <x v="0"/>
    <n v="5"/>
    <n v="1500.4"/>
    <x v="175"/>
    <x v="6"/>
    <x v="0"/>
    <n v="7502"/>
    <m/>
    <m/>
    <n v="5"/>
  </r>
  <r>
    <x v="6868"/>
    <x v="1368"/>
    <x v="0"/>
    <n v="1"/>
    <n v="300.08"/>
    <x v="642"/>
    <x v="6"/>
    <x v="3"/>
    <n v="300.08"/>
    <m/>
    <m/>
    <n v="5"/>
  </r>
  <r>
    <x v="6869"/>
    <x v="1368"/>
    <x v="1"/>
    <n v="5"/>
    <n v="203.3"/>
    <x v="506"/>
    <x v="1"/>
    <x v="4"/>
    <n v="1016.5"/>
    <m/>
    <m/>
    <n v="7"/>
  </r>
  <r>
    <x v="6870"/>
    <x v="1368"/>
    <x v="0"/>
    <n v="2"/>
    <n v="600.16"/>
    <x v="611"/>
    <x v="6"/>
    <x v="4"/>
    <n v="1200.32"/>
    <m/>
    <m/>
    <n v="7"/>
  </r>
  <r>
    <x v="6871"/>
    <x v="1369"/>
    <x v="3"/>
    <n v="3"/>
    <n v="45.45"/>
    <x v="239"/>
    <x v="2"/>
    <x v="4"/>
    <n v="136.35000000000002"/>
    <m/>
    <m/>
    <n v="5"/>
  </r>
  <r>
    <x v="6872"/>
    <x v="1369"/>
    <x v="7"/>
    <n v="3"/>
    <n v="35.19"/>
    <x v="28"/>
    <x v="0"/>
    <x v="4"/>
    <n v="105.57"/>
    <m/>
    <m/>
    <n v="5"/>
  </r>
  <r>
    <x v="6873"/>
    <x v="1369"/>
    <x v="0"/>
    <n v="2"/>
    <n v="600.16"/>
    <x v="615"/>
    <x v="3"/>
    <x v="4"/>
    <n v="1200.32"/>
    <m/>
    <m/>
    <n v="7"/>
  </r>
  <r>
    <x v="6874"/>
    <x v="1370"/>
    <x v="2"/>
    <n v="4"/>
    <n v="20.92"/>
    <x v="63"/>
    <x v="6"/>
    <x v="4"/>
    <n v="83.68"/>
    <m/>
    <m/>
    <n v="5"/>
  </r>
  <r>
    <x v="6875"/>
    <x v="1370"/>
    <x v="2"/>
    <n v="4"/>
    <n v="20.92"/>
    <x v="731"/>
    <x v="6"/>
    <x v="3"/>
    <n v="83.68"/>
    <m/>
    <m/>
    <n v="5"/>
  </r>
  <r>
    <x v="6876"/>
    <x v="1370"/>
    <x v="5"/>
    <n v="2"/>
    <n v="1200.3399999999999"/>
    <x v="732"/>
    <x v="6"/>
    <x v="3"/>
    <n v="2400.6799999999998"/>
    <m/>
    <m/>
    <n v="7"/>
  </r>
  <r>
    <x v="6877"/>
    <x v="1370"/>
    <x v="7"/>
    <n v="5"/>
    <n v="58.65"/>
    <x v="608"/>
    <x v="0"/>
    <x v="0"/>
    <n v="293.25"/>
    <m/>
    <m/>
    <n v="10"/>
  </r>
  <r>
    <x v="6878"/>
    <x v="1371"/>
    <x v="0"/>
    <n v="1"/>
    <n v="300.08"/>
    <x v="202"/>
    <x v="0"/>
    <x v="2"/>
    <n v="300.08"/>
    <m/>
    <m/>
    <n v="5"/>
  </r>
  <r>
    <x v="6879"/>
    <x v="1371"/>
    <x v="0"/>
    <n v="2"/>
    <n v="600.16"/>
    <x v="568"/>
    <x v="5"/>
    <x v="0"/>
    <n v="1200.32"/>
    <m/>
    <m/>
    <n v="5"/>
  </r>
  <r>
    <x v="6880"/>
    <x v="1371"/>
    <x v="0"/>
    <n v="2"/>
    <n v="600.16"/>
    <x v="279"/>
    <x v="6"/>
    <x v="2"/>
    <n v="1200.32"/>
    <m/>
    <m/>
    <n v="5"/>
  </r>
  <r>
    <x v="6881"/>
    <x v="1371"/>
    <x v="1"/>
    <n v="5"/>
    <n v="203.3"/>
    <x v="15"/>
    <x v="0"/>
    <x v="2"/>
    <n v="1016.5"/>
    <m/>
    <m/>
    <n v="5"/>
  </r>
  <r>
    <x v="6882"/>
    <x v="1371"/>
    <x v="4"/>
    <n v="5"/>
    <n v="5250"/>
    <x v="149"/>
    <x v="0"/>
    <x v="2"/>
    <n v="26250"/>
    <m/>
    <m/>
    <n v="5"/>
  </r>
  <r>
    <x v="6883"/>
    <x v="1371"/>
    <x v="3"/>
    <n v="4"/>
    <n v="60.6"/>
    <x v="347"/>
    <x v="5"/>
    <x v="2"/>
    <n v="242.4"/>
    <m/>
    <m/>
    <n v="7"/>
  </r>
  <r>
    <x v="6884"/>
    <x v="1371"/>
    <x v="1"/>
    <n v="3"/>
    <n v="121.98"/>
    <x v="579"/>
    <x v="6"/>
    <x v="3"/>
    <n v="365.94"/>
    <m/>
    <m/>
    <n v="7"/>
  </r>
  <r>
    <x v="6885"/>
    <x v="1371"/>
    <x v="0"/>
    <n v="2"/>
    <n v="600.16"/>
    <x v="554"/>
    <x v="0"/>
    <x v="4"/>
    <n v="1200.32"/>
    <m/>
    <m/>
    <n v="10"/>
  </r>
  <r>
    <x v="6886"/>
    <x v="1372"/>
    <x v="6"/>
    <n v="4"/>
    <n v="143.36000000000001"/>
    <x v="474"/>
    <x v="1"/>
    <x v="1"/>
    <n v="573.44000000000005"/>
    <m/>
    <m/>
    <n v="5"/>
  </r>
  <r>
    <x v="6887"/>
    <x v="1372"/>
    <x v="0"/>
    <n v="1"/>
    <n v="300.08"/>
    <x v="501"/>
    <x v="0"/>
    <x v="2"/>
    <n v="300.08"/>
    <m/>
    <m/>
    <n v="5"/>
  </r>
  <r>
    <x v="6888"/>
    <x v="1372"/>
    <x v="5"/>
    <n v="2"/>
    <n v="1200.3399999999999"/>
    <x v="240"/>
    <x v="5"/>
    <x v="3"/>
    <n v="2400.6799999999998"/>
    <m/>
    <m/>
    <n v="5"/>
  </r>
  <r>
    <x v="6889"/>
    <x v="1372"/>
    <x v="5"/>
    <n v="1"/>
    <n v="600.16999999999996"/>
    <x v="697"/>
    <x v="6"/>
    <x v="4"/>
    <n v="600.16999999999996"/>
    <m/>
    <m/>
    <n v="5"/>
  </r>
  <r>
    <x v="6890"/>
    <x v="1372"/>
    <x v="0"/>
    <n v="5"/>
    <n v="1500.4"/>
    <x v="744"/>
    <x v="4"/>
    <x v="3"/>
    <n v="7502"/>
    <m/>
    <m/>
    <n v="5"/>
  </r>
  <r>
    <x v="6891"/>
    <x v="1372"/>
    <x v="4"/>
    <n v="2"/>
    <n v="2100"/>
    <x v="660"/>
    <x v="6"/>
    <x v="1"/>
    <n v="4200"/>
    <m/>
    <m/>
    <n v="7"/>
  </r>
  <r>
    <x v="6892"/>
    <x v="1372"/>
    <x v="6"/>
    <n v="1"/>
    <n v="35.840000000000003"/>
    <x v="573"/>
    <x v="1"/>
    <x v="0"/>
    <n v="35.840000000000003"/>
    <m/>
    <m/>
    <n v="7"/>
  </r>
  <r>
    <x v="6893"/>
    <x v="1373"/>
    <x v="0"/>
    <n v="3"/>
    <n v="900.24"/>
    <x v="62"/>
    <x v="0"/>
    <x v="1"/>
    <n v="2700.7200000000003"/>
    <m/>
    <m/>
    <n v="5"/>
  </r>
  <r>
    <x v="6894"/>
    <x v="1373"/>
    <x v="0"/>
    <n v="3"/>
    <n v="900.24"/>
    <x v="535"/>
    <x v="9"/>
    <x v="4"/>
    <n v="2700.7200000000003"/>
    <m/>
    <m/>
    <n v="5"/>
  </r>
  <r>
    <x v="6895"/>
    <x v="1373"/>
    <x v="3"/>
    <n v="1"/>
    <n v="15.15"/>
    <x v="295"/>
    <x v="6"/>
    <x v="1"/>
    <n v="15.15"/>
    <m/>
    <m/>
    <n v="5"/>
  </r>
  <r>
    <x v="6896"/>
    <x v="1373"/>
    <x v="6"/>
    <n v="2"/>
    <n v="71.680000000000007"/>
    <x v="116"/>
    <x v="0"/>
    <x v="3"/>
    <n v="143.36000000000001"/>
    <m/>
    <m/>
    <n v="5"/>
  </r>
  <r>
    <x v="6897"/>
    <x v="1373"/>
    <x v="5"/>
    <n v="2"/>
    <n v="1200.3399999999999"/>
    <x v="787"/>
    <x v="6"/>
    <x v="4"/>
    <n v="2400.6799999999998"/>
    <m/>
    <m/>
    <n v="5"/>
  </r>
  <r>
    <x v="6898"/>
    <x v="1373"/>
    <x v="2"/>
    <n v="4"/>
    <n v="20.92"/>
    <x v="235"/>
    <x v="0"/>
    <x v="1"/>
    <n v="83.68"/>
    <m/>
    <m/>
    <n v="7"/>
  </r>
  <r>
    <x v="6899"/>
    <x v="1374"/>
    <x v="1"/>
    <n v="2"/>
    <n v="81.319999999999993"/>
    <x v="68"/>
    <x v="1"/>
    <x v="3"/>
    <n v="162.63999999999999"/>
    <m/>
    <m/>
    <n v="5"/>
  </r>
  <r>
    <x v="6900"/>
    <x v="1374"/>
    <x v="1"/>
    <n v="3"/>
    <n v="121.98"/>
    <x v="265"/>
    <x v="6"/>
    <x v="0"/>
    <n v="365.94"/>
    <m/>
    <m/>
    <n v="5"/>
  </r>
  <r>
    <x v="6901"/>
    <x v="1374"/>
    <x v="1"/>
    <n v="3"/>
    <n v="121.98"/>
    <x v="233"/>
    <x v="9"/>
    <x v="1"/>
    <n v="365.94"/>
    <m/>
    <m/>
    <n v="5"/>
  </r>
  <r>
    <x v="6902"/>
    <x v="1375"/>
    <x v="4"/>
    <n v="4"/>
    <n v="4200"/>
    <x v="57"/>
    <x v="0"/>
    <x v="1"/>
    <n v="16800"/>
    <m/>
    <m/>
    <n v="5"/>
  </r>
  <r>
    <x v="6903"/>
    <x v="1375"/>
    <x v="0"/>
    <n v="5"/>
    <n v="1500.4"/>
    <x v="639"/>
    <x v="1"/>
    <x v="3"/>
    <n v="7502"/>
    <m/>
    <m/>
    <n v="5"/>
  </r>
  <r>
    <x v="6904"/>
    <x v="1375"/>
    <x v="0"/>
    <n v="2"/>
    <n v="600.16"/>
    <x v="703"/>
    <x v="9"/>
    <x v="2"/>
    <n v="1200.32"/>
    <m/>
    <m/>
    <n v="7"/>
  </r>
  <r>
    <x v="6905"/>
    <x v="1375"/>
    <x v="7"/>
    <n v="1"/>
    <n v="11.73"/>
    <x v="443"/>
    <x v="6"/>
    <x v="2"/>
    <n v="11.73"/>
    <m/>
    <m/>
    <n v="7"/>
  </r>
  <r>
    <x v="6906"/>
    <x v="1376"/>
    <x v="5"/>
    <n v="2"/>
    <n v="1200.3399999999999"/>
    <x v="533"/>
    <x v="4"/>
    <x v="4"/>
    <n v="2400.6799999999998"/>
    <m/>
    <m/>
    <n v="5"/>
  </r>
  <r>
    <x v="6907"/>
    <x v="1376"/>
    <x v="0"/>
    <n v="5"/>
    <n v="1500.4"/>
    <x v="332"/>
    <x v="5"/>
    <x v="4"/>
    <n v="7502"/>
    <m/>
    <m/>
    <n v="5"/>
  </r>
  <r>
    <x v="6908"/>
    <x v="1376"/>
    <x v="0"/>
    <n v="4"/>
    <n v="1200.32"/>
    <x v="166"/>
    <x v="1"/>
    <x v="2"/>
    <n v="4801.28"/>
    <m/>
    <m/>
    <n v="5"/>
  </r>
  <r>
    <x v="6909"/>
    <x v="1376"/>
    <x v="5"/>
    <n v="2"/>
    <n v="1200.3399999999999"/>
    <x v="87"/>
    <x v="5"/>
    <x v="1"/>
    <n v="2400.6799999999998"/>
    <m/>
    <m/>
    <n v="5"/>
  </r>
  <r>
    <x v="6910"/>
    <x v="1376"/>
    <x v="1"/>
    <n v="3"/>
    <n v="121.98"/>
    <x v="557"/>
    <x v="6"/>
    <x v="4"/>
    <n v="365.94"/>
    <m/>
    <m/>
    <n v="7"/>
  </r>
  <r>
    <x v="6911"/>
    <x v="1376"/>
    <x v="0"/>
    <n v="3"/>
    <n v="900.24"/>
    <x v="591"/>
    <x v="6"/>
    <x v="1"/>
    <n v="2700.7200000000003"/>
    <m/>
    <m/>
    <n v="7"/>
  </r>
  <r>
    <x v="6912"/>
    <x v="1376"/>
    <x v="0"/>
    <n v="1"/>
    <n v="300.08"/>
    <x v="56"/>
    <x v="0"/>
    <x v="0"/>
    <n v="300.08"/>
    <m/>
    <m/>
    <n v="7"/>
  </r>
  <r>
    <x v="6913"/>
    <x v="1377"/>
    <x v="0"/>
    <n v="4"/>
    <n v="1200.32"/>
    <x v="351"/>
    <x v="4"/>
    <x v="0"/>
    <n v="4801.28"/>
    <m/>
    <m/>
    <n v="5"/>
  </r>
  <r>
    <x v="6914"/>
    <x v="1377"/>
    <x v="0"/>
    <n v="5"/>
    <n v="1500.4"/>
    <x v="120"/>
    <x v="6"/>
    <x v="4"/>
    <n v="7502"/>
    <m/>
    <m/>
    <n v="5"/>
  </r>
  <r>
    <x v="6915"/>
    <x v="1377"/>
    <x v="2"/>
    <n v="4"/>
    <n v="20.92"/>
    <x v="318"/>
    <x v="9"/>
    <x v="3"/>
    <n v="83.68"/>
    <m/>
    <m/>
    <n v="5"/>
  </r>
  <r>
    <x v="6916"/>
    <x v="1377"/>
    <x v="1"/>
    <n v="4"/>
    <n v="162.63999999999999"/>
    <x v="617"/>
    <x v="4"/>
    <x v="3"/>
    <n v="650.55999999999995"/>
    <m/>
    <m/>
    <n v="7"/>
  </r>
  <r>
    <x v="6917"/>
    <x v="1377"/>
    <x v="0"/>
    <n v="3"/>
    <n v="900.24"/>
    <x v="489"/>
    <x v="6"/>
    <x v="4"/>
    <n v="2700.7200000000003"/>
    <m/>
    <m/>
    <n v="7"/>
  </r>
  <r>
    <x v="6918"/>
    <x v="1377"/>
    <x v="3"/>
    <n v="2"/>
    <n v="30.3"/>
    <x v="712"/>
    <x v="1"/>
    <x v="4"/>
    <n v="60.6"/>
    <m/>
    <m/>
    <n v="7"/>
  </r>
  <r>
    <x v="6919"/>
    <x v="1378"/>
    <x v="3"/>
    <n v="1"/>
    <n v="15.15"/>
    <x v="43"/>
    <x v="1"/>
    <x v="0"/>
    <n v="15.15"/>
    <m/>
    <m/>
    <n v="5"/>
  </r>
  <r>
    <x v="6920"/>
    <x v="1378"/>
    <x v="1"/>
    <n v="5"/>
    <n v="203.3"/>
    <x v="590"/>
    <x v="6"/>
    <x v="2"/>
    <n v="1016.5"/>
    <m/>
    <m/>
    <n v="7"/>
  </r>
  <r>
    <x v="6921"/>
    <x v="1378"/>
    <x v="0"/>
    <n v="2"/>
    <n v="600.16"/>
    <x v="169"/>
    <x v="4"/>
    <x v="2"/>
    <n v="1200.32"/>
    <m/>
    <m/>
    <n v="7"/>
  </r>
  <r>
    <x v="6922"/>
    <x v="1378"/>
    <x v="5"/>
    <n v="3"/>
    <n v="1800.51"/>
    <x v="52"/>
    <x v="0"/>
    <x v="4"/>
    <n v="5401.53"/>
    <m/>
    <m/>
    <n v="7"/>
  </r>
  <r>
    <x v="6923"/>
    <x v="1378"/>
    <x v="0"/>
    <n v="1"/>
    <n v="300.08"/>
    <x v="733"/>
    <x v="5"/>
    <x v="0"/>
    <n v="300.08"/>
    <m/>
    <m/>
    <n v="7"/>
  </r>
  <r>
    <x v="6924"/>
    <x v="1378"/>
    <x v="7"/>
    <n v="4"/>
    <n v="46.92"/>
    <x v="277"/>
    <x v="6"/>
    <x v="4"/>
    <n v="187.68"/>
    <m/>
    <m/>
    <n v="7"/>
  </r>
  <r>
    <x v="6925"/>
    <x v="1379"/>
    <x v="6"/>
    <n v="1"/>
    <n v="35.840000000000003"/>
    <x v="614"/>
    <x v="1"/>
    <x v="3"/>
    <n v="35.840000000000003"/>
    <m/>
    <m/>
    <n v="5"/>
  </r>
  <r>
    <x v="6926"/>
    <x v="1379"/>
    <x v="2"/>
    <n v="2"/>
    <n v="10.46"/>
    <x v="238"/>
    <x v="8"/>
    <x v="0"/>
    <n v="20.92"/>
    <m/>
    <m/>
    <n v="5"/>
  </r>
  <r>
    <x v="6927"/>
    <x v="1379"/>
    <x v="6"/>
    <n v="5"/>
    <n v="179.2"/>
    <x v="787"/>
    <x v="6"/>
    <x v="2"/>
    <n v="896"/>
    <m/>
    <m/>
    <n v="5"/>
  </r>
  <r>
    <x v="6928"/>
    <x v="1379"/>
    <x v="3"/>
    <n v="5"/>
    <n v="75.75"/>
    <x v="335"/>
    <x v="4"/>
    <x v="1"/>
    <n v="378.75"/>
    <m/>
    <m/>
    <n v="5"/>
  </r>
  <r>
    <x v="6929"/>
    <x v="1379"/>
    <x v="3"/>
    <n v="1"/>
    <n v="15.15"/>
    <x v="393"/>
    <x v="0"/>
    <x v="0"/>
    <n v="15.15"/>
    <m/>
    <m/>
    <n v="7"/>
  </r>
  <r>
    <x v="6930"/>
    <x v="1379"/>
    <x v="3"/>
    <n v="1"/>
    <n v="15.15"/>
    <x v="539"/>
    <x v="0"/>
    <x v="4"/>
    <n v="15.15"/>
    <m/>
    <m/>
    <n v="7"/>
  </r>
  <r>
    <x v="6931"/>
    <x v="1379"/>
    <x v="2"/>
    <n v="4"/>
    <n v="20.92"/>
    <x v="237"/>
    <x v="1"/>
    <x v="1"/>
    <n v="83.68"/>
    <m/>
    <m/>
    <n v="7"/>
  </r>
  <r>
    <x v="6932"/>
    <x v="1380"/>
    <x v="2"/>
    <n v="1"/>
    <n v="5.23"/>
    <x v="392"/>
    <x v="7"/>
    <x v="2"/>
    <n v="5.23"/>
    <m/>
    <m/>
    <n v="5"/>
  </r>
  <r>
    <x v="6933"/>
    <x v="1380"/>
    <x v="4"/>
    <n v="4"/>
    <n v="4200"/>
    <x v="773"/>
    <x v="7"/>
    <x v="4"/>
    <n v="16800"/>
    <m/>
    <m/>
    <n v="5"/>
  </r>
  <r>
    <x v="6934"/>
    <x v="1380"/>
    <x v="0"/>
    <n v="1"/>
    <n v="300.08"/>
    <x v="735"/>
    <x v="1"/>
    <x v="3"/>
    <n v="300.08"/>
    <m/>
    <m/>
    <n v="7"/>
  </r>
  <r>
    <x v="6935"/>
    <x v="1380"/>
    <x v="1"/>
    <n v="1"/>
    <n v="40.659999999999997"/>
    <x v="649"/>
    <x v="6"/>
    <x v="4"/>
    <n v="40.659999999999997"/>
    <m/>
    <m/>
    <n v="7"/>
  </r>
  <r>
    <x v="6936"/>
    <x v="1380"/>
    <x v="0"/>
    <n v="4"/>
    <n v="1200.32"/>
    <x v="409"/>
    <x v="6"/>
    <x v="4"/>
    <n v="4801.28"/>
    <m/>
    <m/>
    <n v="7"/>
  </r>
  <r>
    <x v="6937"/>
    <x v="1380"/>
    <x v="1"/>
    <n v="2"/>
    <n v="81.319999999999993"/>
    <x v="215"/>
    <x v="4"/>
    <x v="2"/>
    <n v="162.63999999999999"/>
    <m/>
    <m/>
    <n v="10"/>
  </r>
  <r>
    <x v="6938"/>
    <x v="1381"/>
    <x v="0"/>
    <n v="3"/>
    <n v="900.24"/>
    <x v="660"/>
    <x v="0"/>
    <x v="3"/>
    <n v="2700.7200000000003"/>
    <m/>
    <m/>
    <n v="7"/>
  </r>
  <r>
    <x v="6939"/>
    <x v="1381"/>
    <x v="0"/>
    <n v="1"/>
    <n v="300.08"/>
    <x v="673"/>
    <x v="0"/>
    <x v="3"/>
    <n v="300.08"/>
    <m/>
    <m/>
    <n v="7"/>
  </r>
  <r>
    <x v="6940"/>
    <x v="1381"/>
    <x v="1"/>
    <n v="4"/>
    <n v="162.63999999999999"/>
    <x v="796"/>
    <x v="9"/>
    <x v="1"/>
    <n v="650.55999999999995"/>
    <m/>
    <m/>
    <n v="7"/>
  </r>
  <r>
    <x v="6941"/>
    <x v="1382"/>
    <x v="6"/>
    <n v="5"/>
    <n v="179.2"/>
    <x v="524"/>
    <x v="0"/>
    <x v="2"/>
    <n v="896"/>
    <m/>
    <m/>
    <n v="5"/>
  </r>
  <r>
    <x v="6942"/>
    <x v="1382"/>
    <x v="0"/>
    <n v="3"/>
    <n v="900.24"/>
    <x v="459"/>
    <x v="7"/>
    <x v="3"/>
    <n v="2700.7200000000003"/>
    <m/>
    <m/>
    <n v="5"/>
  </r>
  <r>
    <x v="6943"/>
    <x v="1382"/>
    <x v="3"/>
    <n v="5"/>
    <n v="75.75"/>
    <x v="762"/>
    <x v="4"/>
    <x v="2"/>
    <n v="378.75"/>
    <m/>
    <m/>
    <n v="5"/>
  </r>
  <r>
    <x v="6944"/>
    <x v="1382"/>
    <x v="6"/>
    <n v="5"/>
    <n v="179.2"/>
    <x v="370"/>
    <x v="4"/>
    <x v="3"/>
    <n v="896"/>
    <m/>
    <m/>
    <n v="7"/>
  </r>
  <r>
    <x v="6945"/>
    <x v="1382"/>
    <x v="1"/>
    <n v="1"/>
    <n v="40.659999999999997"/>
    <x v="55"/>
    <x v="5"/>
    <x v="4"/>
    <n v="40.659999999999997"/>
    <m/>
    <m/>
    <n v="7"/>
  </r>
  <r>
    <x v="6946"/>
    <x v="1382"/>
    <x v="0"/>
    <n v="3"/>
    <n v="900.24"/>
    <x v="9"/>
    <x v="8"/>
    <x v="4"/>
    <n v="2700.7200000000003"/>
    <m/>
    <m/>
    <n v="7"/>
  </r>
  <r>
    <x v="6947"/>
    <x v="1382"/>
    <x v="6"/>
    <n v="4"/>
    <n v="143.36000000000001"/>
    <x v="472"/>
    <x v="0"/>
    <x v="1"/>
    <n v="573.44000000000005"/>
    <m/>
    <m/>
    <n v="7"/>
  </r>
  <r>
    <x v="6948"/>
    <x v="1382"/>
    <x v="0"/>
    <n v="1"/>
    <n v="300.08"/>
    <x v="200"/>
    <x v="3"/>
    <x v="3"/>
    <n v="300.08"/>
    <m/>
    <m/>
    <n v="10"/>
  </r>
  <r>
    <x v="6949"/>
    <x v="1383"/>
    <x v="1"/>
    <n v="3"/>
    <n v="121.98"/>
    <x v="264"/>
    <x v="2"/>
    <x v="2"/>
    <n v="365.94"/>
    <m/>
    <m/>
    <n v="5"/>
  </r>
  <r>
    <x v="6950"/>
    <x v="1383"/>
    <x v="0"/>
    <n v="1"/>
    <n v="300.08"/>
    <x v="434"/>
    <x v="0"/>
    <x v="2"/>
    <n v="300.08"/>
    <m/>
    <m/>
    <n v="5"/>
  </r>
  <r>
    <x v="6951"/>
    <x v="1383"/>
    <x v="5"/>
    <n v="1"/>
    <n v="600.16999999999996"/>
    <x v="731"/>
    <x v="4"/>
    <x v="1"/>
    <n v="600.16999999999996"/>
    <m/>
    <m/>
    <n v="5"/>
  </r>
  <r>
    <x v="6952"/>
    <x v="1383"/>
    <x v="0"/>
    <n v="5"/>
    <n v="1500.4"/>
    <x v="590"/>
    <x v="6"/>
    <x v="1"/>
    <n v="7502"/>
    <m/>
    <m/>
    <n v="7"/>
  </r>
  <r>
    <x v="6953"/>
    <x v="1383"/>
    <x v="0"/>
    <n v="1"/>
    <n v="300.08"/>
    <x v="577"/>
    <x v="1"/>
    <x v="3"/>
    <n v="300.08"/>
    <m/>
    <m/>
    <n v="7"/>
  </r>
  <r>
    <x v="6954"/>
    <x v="1383"/>
    <x v="3"/>
    <n v="5"/>
    <n v="75.75"/>
    <x v="549"/>
    <x v="1"/>
    <x v="1"/>
    <n v="378.75"/>
    <m/>
    <m/>
    <n v="7"/>
  </r>
  <r>
    <x v="6955"/>
    <x v="1384"/>
    <x v="2"/>
    <n v="1"/>
    <n v="5.23"/>
    <x v="614"/>
    <x v="3"/>
    <x v="1"/>
    <n v="5.23"/>
    <m/>
    <m/>
    <n v="5"/>
  </r>
  <r>
    <x v="6956"/>
    <x v="1384"/>
    <x v="5"/>
    <n v="1"/>
    <n v="600.16999999999996"/>
    <x v="677"/>
    <x v="6"/>
    <x v="1"/>
    <n v="600.16999999999996"/>
    <m/>
    <m/>
    <n v="5"/>
  </r>
  <r>
    <x v="6957"/>
    <x v="1384"/>
    <x v="0"/>
    <n v="1"/>
    <n v="300.08"/>
    <x v="178"/>
    <x v="1"/>
    <x v="0"/>
    <n v="300.08"/>
    <m/>
    <m/>
    <n v="7"/>
  </r>
  <r>
    <x v="6958"/>
    <x v="1384"/>
    <x v="1"/>
    <n v="2"/>
    <n v="81.319999999999993"/>
    <x v="608"/>
    <x v="0"/>
    <x v="0"/>
    <n v="162.63999999999999"/>
    <m/>
    <m/>
    <n v="10"/>
  </r>
  <r>
    <x v="6959"/>
    <x v="1385"/>
    <x v="0"/>
    <n v="4"/>
    <n v="1200.32"/>
    <x v="723"/>
    <x v="1"/>
    <x v="2"/>
    <n v="4801.28"/>
    <m/>
    <m/>
    <n v="5"/>
  </r>
  <r>
    <x v="6960"/>
    <x v="1385"/>
    <x v="5"/>
    <n v="4"/>
    <n v="2400.6799999999998"/>
    <x v="16"/>
    <x v="4"/>
    <x v="3"/>
    <n v="9602.7199999999993"/>
    <m/>
    <m/>
    <n v="7"/>
  </r>
  <r>
    <x v="6961"/>
    <x v="1385"/>
    <x v="3"/>
    <n v="1"/>
    <n v="15.15"/>
    <x v="719"/>
    <x v="9"/>
    <x v="2"/>
    <n v="15.15"/>
    <m/>
    <m/>
    <n v="7"/>
  </r>
  <r>
    <x v="6962"/>
    <x v="1386"/>
    <x v="0"/>
    <n v="3"/>
    <n v="900.24"/>
    <x v="641"/>
    <x v="6"/>
    <x v="1"/>
    <n v="2700.7200000000003"/>
    <m/>
    <m/>
    <n v="5"/>
  </r>
  <r>
    <x v="6963"/>
    <x v="1386"/>
    <x v="0"/>
    <n v="2"/>
    <n v="600.16"/>
    <x v="487"/>
    <x v="4"/>
    <x v="3"/>
    <n v="1200.32"/>
    <m/>
    <m/>
    <n v="7"/>
  </r>
  <r>
    <x v="6964"/>
    <x v="1387"/>
    <x v="0"/>
    <n v="4"/>
    <n v="1200.32"/>
    <x v="709"/>
    <x v="0"/>
    <x v="3"/>
    <n v="4801.28"/>
    <m/>
    <m/>
    <n v="5"/>
  </r>
  <r>
    <x v="6965"/>
    <x v="1387"/>
    <x v="4"/>
    <n v="3"/>
    <n v="3150"/>
    <x v="566"/>
    <x v="6"/>
    <x v="0"/>
    <n v="9450"/>
    <m/>
    <m/>
    <n v="5"/>
  </r>
  <r>
    <x v="6966"/>
    <x v="1387"/>
    <x v="1"/>
    <n v="5"/>
    <n v="203.3"/>
    <x v="429"/>
    <x v="0"/>
    <x v="1"/>
    <n v="1016.5"/>
    <m/>
    <m/>
    <n v="5"/>
  </r>
  <r>
    <x v="6967"/>
    <x v="1387"/>
    <x v="0"/>
    <n v="2"/>
    <n v="600.16"/>
    <x v="398"/>
    <x v="6"/>
    <x v="4"/>
    <n v="1200.32"/>
    <m/>
    <m/>
    <n v="5"/>
  </r>
  <r>
    <x v="6968"/>
    <x v="1387"/>
    <x v="0"/>
    <n v="4"/>
    <n v="1200.32"/>
    <x v="70"/>
    <x v="6"/>
    <x v="1"/>
    <n v="4801.28"/>
    <m/>
    <m/>
    <n v="5"/>
  </r>
  <r>
    <x v="6969"/>
    <x v="1387"/>
    <x v="6"/>
    <n v="3"/>
    <n v="107.52"/>
    <x v="460"/>
    <x v="7"/>
    <x v="1"/>
    <n v="322.56"/>
    <m/>
    <m/>
    <n v="7"/>
  </r>
  <r>
    <x v="6970"/>
    <x v="1387"/>
    <x v="5"/>
    <n v="1"/>
    <n v="600.16999999999996"/>
    <x v="404"/>
    <x v="6"/>
    <x v="1"/>
    <n v="600.16999999999996"/>
    <m/>
    <m/>
    <n v="7"/>
  </r>
  <r>
    <x v="6971"/>
    <x v="1387"/>
    <x v="0"/>
    <n v="4"/>
    <n v="1200.32"/>
    <x v="252"/>
    <x v="0"/>
    <x v="1"/>
    <n v="4801.28"/>
    <m/>
    <m/>
    <n v="7"/>
  </r>
  <r>
    <x v="6972"/>
    <x v="1387"/>
    <x v="5"/>
    <n v="5"/>
    <n v="3000.85"/>
    <x v="262"/>
    <x v="0"/>
    <x v="0"/>
    <n v="15004.25"/>
    <m/>
    <m/>
    <n v="7"/>
  </r>
  <r>
    <x v="6973"/>
    <x v="1387"/>
    <x v="2"/>
    <n v="5"/>
    <n v="26.15"/>
    <x v="513"/>
    <x v="0"/>
    <x v="2"/>
    <n v="130.75"/>
    <m/>
    <m/>
    <n v="7"/>
  </r>
  <r>
    <x v="6974"/>
    <x v="1388"/>
    <x v="0"/>
    <n v="5"/>
    <n v="1500.4"/>
    <x v="334"/>
    <x v="0"/>
    <x v="2"/>
    <n v="7502"/>
    <m/>
    <m/>
    <n v="5"/>
  </r>
  <r>
    <x v="6975"/>
    <x v="1388"/>
    <x v="0"/>
    <n v="5"/>
    <n v="1500.4"/>
    <x v="440"/>
    <x v="0"/>
    <x v="4"/>
    <n v="7502"/>
    <m/>
    <m/>
    <n v="5"/>
  </r>
  <r>
    <x v="6976"/>
    <x v="1388"/>
    <x v="6"/>
    <n v="2"/>
    <n v="71.680000000000007"/>
    <x v="507"/>
    <x v="0"/>
    <x v="4"/>
    <n v="143.36000000000001"/>
    <m/>
    <m/>
    <n v="7"/>
  </r>
  <r>
    <x v="6977"/>
    <x v="1388"/>
    <x v="2"/>
    <n v="3"/>
    <n v="15.69"/>
    <x v="764"/>
    <x v="5"/>
    <x v="0"/>
    <n v="47.07"/>
    <m/>
    <m/>
    <n v="7"/>
  </r>
  <r>
    <x v="6978"/>
    <x v="1389"/>
    <x v="0"/>
    <n v="5"/>
    <n v="1500.4"/>
    <x v="695"/>
    <x v="0"/>
    <x v="3"/>
    <n v="7502"/>
    <m/>
    <m/>
    <n v="5"/>
  </r>
  <r>
    <x v="6979"/>
    <x v="1389"/>
    <x v="4"/>
    <n v="2"/>
    <n v="2100"/>
    <x v="117"/>
    <x v="6"/>
    <x v="0"/>
    <n v="4200"/>
    <m/>
    <m/>
    <n v="5"/>
  </r>
  <r>
    <x v="6980"/>
    <x v="1389"/>
    <x v="3"/>
    <n v="4"/>
    <n v="60.6"/>
    <x v="731"/>
    <x v="0"/>
    <x v="2"/>
    <n v="242.4"/>
    <m/>
    <m/>
    <n v="5"/>
  </r>
  <r>
    <x v="6981"/>
    <x v="1389"/>
    <x v="0"/>
    <n v="1"/>
    <n v="300.08"/>
    <x v="364"/>
    <x v="0"/>
    <x v="0"/>
    <n v="300.08"/>
    <m/>
    <m/>
    <n v="5"/>
  </r>
  <r>
    <x v="6982"/>
    <x v="1389"/>
    <x v="5"/>
    <n v="2"/>
    <n v="1200.3399999999999"/>
    <x v="621"/>
    <x v="1"/>
    <x v="4"/>
    <n v="2400.6799999999998"/>
    <m/>
    <m/>
    <n v="7"/>
  </r>
  <r>
    <x v="6983"/>
    <x v="1390"/>
    <x v="0"/>
    <n v="5"/>
    <n v="1500.4"/>
    <x v="238"/>
    <x v="6"/>
    <x v="1"/>
    <n v="7502"/>
    <m/>
    <m/>
    <n v="5"/>
  </r>
  <r>
    <x v="6984"/>
    <x v="1390"/>
    <x v="5"/>
    <n v="4"/>
    <n v="2400.6799999999998"/>
    <x v="275"/>
    <x v="5"/>
    <x v="0"/>
    <n v="9602.7199999999993"/>
    <m/>
    <m/>
    <n v="5"/>
  </r>
  <r>
    <x v="6985"/>
    <x v="1390"/>
    <x v="2"/>
    <n v="3"/>
    <n v="15.69"/>
    <x v="244"/>
    <x v="6"/>
    <x v="2"/>
    <n v="47.07"/>
    <m/>
    <m/>
    <n v="5"/>
  </r>
  <r>
    <x v="6986"/>
    <x v="1390"/>
    <x v="4"/>
    <n v="1"/>
    <n v="1050"/>
    <x v="239"/>
    <x v="1"/>
    <x v="1"/>
    <n v="1050"/>
    <m/>
    <m/>
    <n v="5"/>
  </r>
  <r>
    <x v="6987"/>
    <x v="1390"/>
    <x v="0"/>
    <n v="4"/>
    <n v="1200.32"/>
    <x v="419"/>
    <x v="6"/>
    <x v="2"/>
    <n v="4801.28"/>
    <m/>
    <m/>
    <n v="7"/>
  </r>
  <r>
    <x v="6988"/>
    <x v="1390"/>
    <x v="6"/>
    <n v="2"/>
    <n v="71.680000000000007"/>
    <x v="195"/>
    <x v="6"/>
    <x v="0"/>
    <n v="143.36000000000001"/>
    <m/>
    <m/>
    <n v="7"/>
  </r>
  <r>
    <x v="6989"/>
    <x v="1391"/>
    <x v="3"/>
    <n v="4"/>
    <n v="60.6"/>
    <x v="527"/>
    <x v="9"/>
    <x v="2"/>
    <n v="242.4"/>
    <m/>
    <m/>
    <n v="5"/>
  </r>
  <r>
    <x v="6990"/>
    <x v="1391"/>
    <x v="0"/>
    <n v="1"/>
    <n v="300.08"/>
    <x v="158"/>
    <x v="7"/>
    <x v="3"/>
    <n v="300.08"/>
    <m/>
    <m/>
    <n v="5"/>
  </r>
  <r>
    <x v="6991"/>
    <x v="1391"/>
    <x v="0"/>
    <n v="3"/>
    <n v="900.24"/>
    <x v="591"/>
    <x v="9"/>
    <x v="0"/>
    <n v="2700.7200000000003"/>
    <m/>
    <m/>
    <n v="7"/>
  </r>
  <r>
    <x v="6992"/>
    <x v="1391"/>
    <x v="5"/>
    <n v="2"/>
    <n v="1200.3399999999999"/>
    <x v="235"/>
    <x v="8"/>
    <x v="0"/>
    <n v="2400.6799999999998"/>
    <m/>
    <m/>
    <n v="7"/>
  </r>
  <r>
    <x v="6993"/>
    <x v="1391"/>
    <x v="2"/>
    <n v="3"/>
    <n v="15.69"/>
    <x v="390"/>
    <x v="2"/>
    <x v="0"/>
    <n v="47.07"/>
    <m/>
    <m/>
    <n v="7"/>
  </r>
  <r>
    <x v="6994"/>
    <x v="1391"/>
    <x v="1"/>
    <n v="1"/>
    <n v="40.659999999999997"/>
    <x v="698"/>
    <x v="1"/>
    <x v="2"/>
    <n v="40.659999999999997"/>
    <m/>
    <m/>
    <n v="7"/>
  </r>
  <r>
    <x v="6995"/>
    <x v="1391"/>
    <x v="0"/>
    <n v="2"/>
    <n v="600.16"/>
    <x v="447"/>
    <x v="0"/>
    <x v="1"/>
    <n v="1200.32"/>
    <m/>
    <m/>
    <n v="7"/>
  </r>
  <r>
    <x v="6996"/>
    <x v="1391"/>
    <x v="0"/>
    <n v="4"/>
    <n v="1200.32"/>
    <x v="103"/>
    <x v="1"/>
    <x v="2"/>
    <n v="4801.28"/>
    <m/>
    <m/>
    <n v="10"/>
  </r>
  <r>
    <x v="6997"/>
    <x v="1392"/>
    <x v="0"/>
    <n v="4"/>
    <n v="1200.32"/>
    <x v="545"/>
    <x v="6"/>
    <x v="3"/>
    <n v="4801.28"/>
    <m/>
    <m/>
    <n v="5"/>
  </r>
  <r>
    <x v="6998"/>
    <x v="1392"/>
    <x v="0"/>
    <n v="3"/>
    <n v="900.24"/>
    <x v="607"/>
    <x v="6"/>
    <x v="4"/>
    <n v="2700.7200000000003"/>
    <m/>
    <m/>
    <n v="7"/>
  </r>
  <r>
    <x v="6999"/>
    <x v="1393"/>
    <x v="5"/>
    <n v="3"/>
    <n v="1800.51"/>
    <x v="168"/>
    <x v="4"/>
    <x v="4"/>
    <n v="5401.53"/>
    <m/>
    <m/>
    <n v="5"/>
  </r>
  <r>
    <x v="7000"/>
    <x v="1393"/>
    <x v="4"/>
    <n v="3"/>
    <n v="3150"/>
    <x v="44"/>
    <x v="1"/>
    <x v="2"/>
    <n v="9450"/>
    <m/>
    <m/>
    <n v="7"/>
  </r>
  <r>
    <x v="7001"/>
    <x v="1393"/>
    <x v="2"/>
    <n v="4"/>
    <n v="20.92"/>
    <x v="391"/>
    <x v="7"/>
    <x v="3"/>
    <n v="83.68"/>
    <m/>
    <m/>
    <n v="7"/>
  </r>
  <r>
    <x v="7002"/>
    <x v="1393"/>
    <x v="5"/>
    <n v="3"/>
    <n v="1800.51"/>
    <x v="413"/>
    <x v="6"/>
    <x v="4"/>
    <n v="5401.53"/>
    <m/>
    <m/>
    <n v="7"/>
  </r>
  <r>
    <x v="7003"/>
    <x v="1394"/>
    <x v="2"/>
    <n v="4"/>
    <n v="20.92"/>
    <x v="64"/>
    <x v="6"/>
    <x v="1"/>
    <n v="83.68"/>
    <m/>
    <m/>
    <n v="5"/>
  </r>
  <r>
    <x v="7004"/>
    <x v="1394"/>
    <x v="6"/>
    <n v="3"/>
    <n v="107.52"/>
    <x v="369"/>
    <x v="0"/>
    <x v="4"/>
    <n v="322.56"/>
    <m/>
    <m/>
    <n v="5"/>
  </r>
  <r>
    <x v="7005"/>
    <x v="1394"/>
    <x v="4"/>
    <n v="4"/>
    <n v="4200"/>
    <x v="313"/>
    <x v="9"/>
    <x v="4"/>
    <n v="16800"/>
    <m/>
    <m/>
    <n v="5"/>
  </r>
  <r>
    <x v="7006"/>
    <x v="1394"/>
    <x v="6"/>
    <n v="4"/>
    <n v="143.36000000000001"/>
    <x v="204"/>
    <x v="9"/>
    <x v="3"/>
    <n v="573.44000000000005"/>
    <m/>
    <m/>
    <n v="5"/>
  </r>
  <r>
    <x v="7007"/>
    <x v="1394"/>
    <x v="6"/>
    <n v="5"/>
    <n v="179.2"/>
    <x v="21"/>
    <x v="1"/>
    <x v="1"/>
    <n v="896"/>
    <m/>
    <m/>
    <n v="5"/>
  </r>
  <r>
    <x v="7008"/>
    <x v="1394"/>
    <x v="6"/>
    <n v="2"/>
    <n v="71.680000000000007"/>
    <x v="725"/>
    <x v="1"/>
    <x v="0"/>
    <n v="143.36000000000001"/>
    <m/>
    <m/>
    <n v="5"/>
  </r>
  <r>
    <x v="7009"/>
    <x v="1394"/>
    <x v="1"/>
    <n v="1"/>
    <n v="40.659999999999997"/>
    <x v="252"/>
    <x v="6"/>
    <x v="4"/>
    <n v="40.659999999999997"/>
    <m/>
    <m/>
    <n v="7"/>
  </r>
  <r>
    <x v="7010"/>
    <x v="1394"/>
    <x v="0"/>
    <n v="5"/>
    <n v="1500.4"/>
    <x v="681"/>
    <x v="7"/>
    <x v="0"/>
    <n v="7502"/>
    <m/>
    <m/>
    <n v="7"/>
  </r>
  <r>
    <x v="7011"/>
    <x v="1394"/>
    <x v="6"/>
    <n v="3"/>
    <n v="107.52"/>
    <x v="41"/>
    <x v="1"/>
    <x v="0"/>
    <n v="322.56"/>
    <m/>
    <m/>
    <n v="7"/>
  </r>
  <r>
    <x v="7012"/>
    <x v="1394"/>
    <x v="3"/>
    <n v="3"/>
    <n v="45.45"/>
    <x v="496"/>
    <x v="9"/>
    <x v="0"/>
    <n v="136.35000000000002"/>
    <m/>
    <m/>
    <n v="10"/>
  </r>
  <r>
    <x v="7013"/>
    <x v="1395"/>
    <x v="0"/>
    <n v="3"/>
    <n v="900.24"/>
    <x v="730"/>
    <x v="1"/>
    <x v="2"/>
    <n v="2700.7200000000003"/>
    <m/>
    <m/>
    <n v="5"/>
  </r>
  <r>
    <x v="7014"/>
    <x v="1395"/>
    <x v="5"/>
    <n v="2"/>
    <n v="1200.3399999999999"/>
    <x v="114"/>
    <x v="6"/>
    <x v="1"/>
    <n v="2400.6799999999998"/>
    <m/>
    <m/>
    <n v="7"/>
  </r>
  <r>
    <x v="7015"/>
    <x v="1395"/>
    <x v="4"/>
    <n v="4"/>
    <n v="4200"/>
    <x v="250"/>
    <x v="4"/>
    <x v="2"/>
    <n v="16800"/>
    <m/>
    <m/>
    <n v="7"/>
  </r>
  <r>
    <x v="7016"/>
    <x v="1395"/>
    <x v="1"/>
    <n v="3"/>
    <n v="121.98"/>
    <x v="200"/>
    <x v="6"/>
    <x v="1"/>
    <n v="365.94"/>
    <m/>
    <m/>
    <n v="10"/>
  </r>
  <r>
    <x v="7017"/>
    <x v="1396"/>
    <x v="6"/>
    <n v="3"/>
    <n v="107.52"/>
    <x v="133"/>
    <x v="4"/>
    <x v="0"/>
    <n v="322.56"/>
    <m/>
    <m/>
    <n v="5"/>
  </r>
  <r>
    <x v="7018"/>
    <x v="1396"/>
    <x v="1"/>
    <n v="5"/>
    <n v="203.3"/>
    <x v="362"/>
    <x v="4"/>
    <x v="0"/>
    <n v="1016.5"/>
    <m/>
    <m/>
    <n v="7"/>
  </r>
  <r>
    <x v="7019"/>
    <x v="1397"/>
    <x v="1"/>
    <n v="2"/>
    <n v="81.319999999999993"/>
    <x v="787"/>
    <x v="9"/>
    <x v="0"/>
    <n v="162.63999999999999"/>
    <m/>
    <m/>
    <n v="5"/>
  </r>
  <r>
    <x v="7020"/>
    <x v="1397"/>
    <x v="1"/>
    <n v="5"/>
    <n v="203.3"/>
    <x v="738"/>
    <x v="9"/>
    <x v="4"/>
    <n v="1016.5"/>
    <m/>
    <m/>
    <n v="7"/>
  </r>
  <r>
    <x v="7021"/>
    <x v="1397"/>
    <x v="7"/>
    <n v="2"/>
    <n v="23.46"/>
    <x v="765"/>
    <x v="7"/>
    <x v="2"/>
    <n v="46.92"/>
    <m/>
    <m/>
    <n v="10"/>
  </r>
  <r>
    <x v="7022"/>
    <x v="1398"/>
    <x v="6"/>
    <n v="1"/>
    <n v="35.840000000000003"/>
    <x v="674"/>
    <x v="5"/>
    <x v="1"/>
    <n v="35.840000000000003"/>
    <m/>
    <m/>
    <n v="7"/>
  </r>
  <r>
    <x v="7023"/>
    <x v="1398"/>
    <x v="2"/>
    <n v="5"/>
    <n v="26.15"/>
    <x v="316"/>
    <x v="4"/>
    <x v="2"/>
    <n v="130.75"/>
    <m/>
    <m/>
    <n v="7"/>
  </r>
  <r>
    <x v="7024"/>
    <x v="1398"/>
    <x v="0"/>
    <n v="1"/>
    <n v="300.08"/>
    <x v="561"/>
    <x v="5"/>
    <x v="2"/>
    <n v="300.08"/>
    <m/>
    <m/>
    <n v="7"/>
  </r>
  <r>
    <x v="7025"/>
    <x v="1398"/>
    <x v="3"/>
    <n v="4"/>
    <n v="60.6"/>
    <x v="565"/>
    <x v="9"/>
    <x v="1"/>
    <n v="242.4"/>
    <m/>
    <m/>
    <n v="7"/>
  </r>
  <r>
    <x v="7026"/>
    <x v="1398"/>
    <x v="6"/>
    <n v="2"/>
    <n v="71.680000000000007"/>
    <x v="513"/>
    <x v="7"/>
    <x v="1"/>
    <n v="143.36000000000001"/>
    <m/>
    <m/>
    <n v="7"/>
  </r>
  <r>
    <x v="7027"/>
    <x v="1398"/>
    <x v="5"/>
    <n v="2"/>
    <n v="1200.3399999999999"/>
    <x v="277"/>
    <x v="6"/>
    <x v="3"/>
    <n v="2400.6799999999998"/>
    <m/>
    <m/>
    <n v="7"/>
  </r>
  <r>
    <x v="7028"/>
    <x v="1399"/>
    <x v="1"/>
    <n v="4"/>
    <n v="162.63999999999999"/>
    <x v="105"/>
    <x v="4"/>
    <x v="1"/>
    <n v="650.55999999999995"/>
    <m/>
    <m/>
    <n v="5"/>
  </r>
  <r>
    <x v="7029"/>
    <x v="1399"/>
    <x v="5"/>
    <n v="3"/>
    <n v="1800.51"/>
    <x v="445"/>
    <x v="0"/>
    <x v="4"/>
    <n v="5401.53"/>
    <m/>
    <m/>
    <n v="5"/>
  </r>
  <r>
    <x v="7030"/>
    <x v="1399"/>
    <x v="7"/>
    <n v="1"/>
    <n v="11.73"/>
    <x v="298"/>
    <x v="1"/>
    <x v="0"/>
    <n v="11.73"/>
    <m/>
    <m/>
    <n v="5"/>
  </r>
  <r>
    <x v="7031"/>
    <x v="1399"/>
    <x v="0"/>
    <n v="4"/>
    <n v="1200.32"/>
    <x v="658"/>
    <x v="0"/>
    <x v="0"/>
    <n v="4801.28"/>
    <m/>
    <m/>
    <n v="10"/>
  </r>
  <r>
    <x v="7032"/>
    <x v="1400"/>
    <x v="0"/>
    <n v="4"/>
    <n v="1200.32"/>
    <x v="743"/>
    <x v="1"/>
    <x v="1"/>
    <n v="4801.28"/>
    <m/>
    <m/>
    <n v="5"/>
  </r>
  <r>
    <x v="7033"/>
    <x v="1400"/>
    <x v="4"/>
    <n v="2"/>
    <n v="2100"/>
    <x v="313"/>
    <x v="9"/>
    <x v="0"/>
    <n v="4200"/>
    <m/>
    <m/>
    <n v="5"/>
  </r>
  <r>
    <x v="7034"/>
    <x v="1400"/>
    <x v="5"/>
    <n v="2"/>
    <n v="1200.3399999999999"/>
    <x v="758"/>
    <x v="5"/>
    <x v="2"/>
    <n v="2400.6799999999998"/>
    <m/>
    <m/>
    <n v="5"/>
  </r>
  <r>
    <x v="7035"/>
    <x v="1400"/>
    <x v="4"/>
    <n v="4"/>
    <n v="4200"/>
    <x v="417"/>
    <x v="7"/>
    <x v="0"/>
    <n v="16800"/>
    <m/>
    <m/>
    <n v="5"/>
  </r>
  <r>
    <x v="7036"/>
    <x v="1400"/>
    <x v="2"/>
    <n v="4"/>
    <n v="20.92"/>
    <x v="700"/>
    <x v="0"/>
    <x v="0"/>
    <n v="83.68"/>
    <m/>
    <m/>
    <n v="7"/>
  </r>
  <r>
    <x v="7037"/>
    <x v="1400"/>
    <x v="6"/>
    <n v="5"/>
    <n v="179.2"/>
    <x v="486"/>
    <x v="4"/>
    <x v="0"/>
    <n v="896"/>
    <m/>
    <m/>
    <n v="7"/>
  </r>
  <r>
    <x v="7038"/>
    <x v="1400"/>
    <x v="1"/>
    <n v="2"/>
    <n v="81.319999999999993"/>
    <x v="236"/>
    <x v="6"/>
    <x v="4"/>
    <n v="162.63999999999999"/>
    <m/>
    <m/>
    <n v="7"/>
  </r>
  <r>
    <x v="7039"/>
    <x v="1400"/>
    <x v="6"/>
    <n v="1"/>
    <n v="35.840000000000003"/>
    <x v="786"/>
    <x v="4"/>
    <x v="3"/>
    <n v="35.840000000000003"/>
    <m/>
    <m/>
    <n v="7"/>
  </r>
  <r>
    <x v="7040"/>
    <x v="1401"/>
    <x v="0"/>
    <n v="2"/>
    <n v="600.16"/>
    <x v="347"/>
    <x v="0"/>
    <x v="3"/>
    <n v="1200.32"/>
    <m/>
    <m/>
    <n v="7"/>
  </r>
  <r>
    <x v="7041"/>
    <x v="1401"/>
    <x v="7"/>
    <n v="2"/>
    <n v="23.46"/>
    <x v="630"/>
    <x v="0"/>
    <x v="0"/>
    <n v="46.92"/>
    <m/>
    <m/>
    <n v="7"/>
  </r>
  <r>
    <x v="7042"/>
    <x v="1401"/>
    <x v="5"/>
    <n v="1"/>
    <n v="600.16999999999996"/>
    <x v="436"/>
    <x v="0"/>
    <x v="0"/>
    <n v="600.16999999999996"/>
    <m/>
    <m/>
    <n v="10"/>
  </r>
  <r>
    <x v="7043"/>
    <x v="1402"/>
    <x v="0"/>
    <n v="2"/>
    <n v="600.16"/>
    <x v="78"/>
    <x v="1"/>
    <x v="2"/>
    <n v="1200.32"/>
    <m/>
    <m/>
    <n v="5"/>
  </r>
  <r>
    <x v="7044"/>
    <x v="1402"/>
    <x v="0"/>
    <n v="2"/>
    <n v="600.16"/>
    <x v="598"/>
    <x v="1"/>
    <x v="3"/>
    <n v="1200.32"/>
    <m/>
    <m/>
    <n v="5"/>
  </r>
  <r>
    <x v="7045"/>
    <x v="1402"/>
    <x v="0"/>
    <n v="2"/>
    <n v="600.16"/>
    <x v="235"/>
    <x v="4"/>
    <x v="1"/>
    <n v="1200.32"/>
    <m/>
    <m/>
    <n v="7"/>
  </r>
  <r>
    <x v="7046"/>
    <x v="1402"/>
    <x v="3"/>
    <n v="1"/>
    <n v="15.15"/>
    <x v="385"/>
    <x v="6"/>
    <x v="0"/>
    <n v="15.15"/>
    <m/>
    <m/>
    <n v="10"/>
  </r>
  <r>
    <x v="7047"/>
    <x v="1403"/>
    <x v="0"/>
    <n v="1"/>
    <n v="300.08"/>
    <x v="536"/>
    <x v="1"/>
    <x v="0"/>
    <n v="300.08"/>
    <m/>
    <m/>
    <n v="5"/>
  </r>
  <r>
    <x v="7048"/>
    <x v="1403"/>
    <x v="0"/>
    <n v="4"/>
    <n v="1200.32"/>
    <x v="207"/>
    <x v="6"/>
    <x v="3"/>
    <n v="4801.28"/>
    <m/>
    <m/>
    <n v="5"/>
  </r>
  <r>
    <x v="7049"/>
    <x v="1403"/>
    <x v="0"/>
    <n v="3"/>
    <n v="900.24"/>
    <x v="56"/>
    <x v="6"/>
    <x v="2"/>
    <n v="2700.7200000000003"/>
    <m/>
    <m/>
    <n v="7"/>
  </r>
  <r>
    <x v="7050"/>
    <x v="1404"/>
    <x v="3"/>
    <n v="1"/>
    <n v="15.15"/>
    <x v="238"/>
    <x v="0"/>
    <x v="1"/>
    <n v="15.15"/>
    <m/>
    <m/>
    <n v="5"/>
  </r>
  <r>
    <x v="7051"/>
    <x v="1404"/>
    <x v="5"/>
    <n v="1"/>
    <n v="600.16999999999996"/>
    <x v="469"/>
    <x v="4"/>
    <x v="4"/>
    <n v="600.16999999999996"/>
    <m/>
    <m/>
    <n v="5"/>
  </r>
  <r>
    <x v="7052"/>
    <x v="1404"/>
    <x v="1"/>
    <n v="1"/>
    <n v="40.659999999999997"/>
    <x v="475"/>
    <x v="9"/>
    <x v="3"/>
    <n v="40.659999999999997"/>
    <m/>
    <m/>
    <n v="5"/>
  </r>
  <r>
    <x v="7053"/>
    <x v="1404"/>
    <x v="0"/>
    <n v="1"/>
    <n v="300.08"/>
    <x v="370"/>
    <x v="6"/>
    <x v="3"/>
    <n v="300.08"/>
    <m/>
    <m/>
    <n v="7"/>
  </r>
  <r>
    <x v="7054"/>
    <x v="1404"/>
    <x v="4"/>
    <n v="5"/>
    <n v="5250"/>
    <x v="674"/>
    <x v="3"/>
    <x v="3"/>
    <n v="26250"/>
    <m/>
    <m/>
    <n v="7"/>
  </r>
  <r>
    <x v="7055"/>
    <x v="1404"/>
    <x v="0"/>
    <n v="4"/>
    <n v="1200.32"/>
    <x v="456"/>
    <x v="0"/>
    <x v="0"/>
    <n v="4801.28"/>
    <m/>
    <m/>
    <n v="7"/>
  </r>
  <r>
    <x v="7056"/>
    <x v="1404"/>
    <x v="5"/>
    <n v="5"/>
    <n v="3000.85"/>
    <x v="26"/>
    <x v="9"/>
    <x v="3"/>
    <n v="15004.25"/>
    <m/>
    <m/>
    <n v="10"/>
  </r>
  <r>
    <x v="7057"/>
    <x v="1405"/>
    <x v="2"/>
    <n v="2"/>
    <n v="10.46"/>
    <x v="629"/>
    <x v="6"/>
    <x v="0"/>
    <n v="20.92"/>
    <m/>
    <m/>
    <n v="5"/>
  </r>
  <r>
    <x v="7058"/>
    <x v="1405"/>
    <x v="1"/>
    <n v="5"/>
    <n v="203.3"/>
    <x v="410"/>
    <x v="9"/>
    <x v="1"/>
    <n v="1016.5"/>
    <m/>
    <m/>
    <n v="5"/>
  </r>
  <r>
    <x v="7059"/>
    <x v="1405"/>
    <x v="2"/>
    <n v="2"/>
    <n v="10.46"/>
    <x v="280"/>
    <x v="1"/>
    <x v="1"/>
    <n v="20.92"/>
    <m/>
    <m/>
    <n v="7"/>
  </r>
  <r>
    <x v="7060"/>
    <x v="1405"/>
    <x v="5"/>
    <n v="4"/>
    <n v="2400.6799999999998"/>
    <x v="18"/>
    <x v="6"/>
    <x v="3"/>
    <n v="9602.7199999999993"/>
    <m/>
    <m/>
    <n v="7"/>
  </r>
  <r>
    <x v="7061"/>
    <x v="1405"/>
    <x v="7"/>
    <n v="5"/>
    <n v="58.65"/>
    <x v="523"/>
    <x v="7"/>
    <x v="0"/>
    <n v="293.25"/>
    <m/>
    <m/>
    <n v="7"/>
  </r>
  <r>
    <x v="7062"/>
    <x v="1405"/>
    <x v="1"/>
    <n v="1"/>
    <n v="40.659999999999997"/>
    <x v="247"/>
    <x v="4"/>
    <x v="2"/>
    <n v="40.659999999999997"/>
    <m/>
    <m/>
    <n v="10"/>
  </r>
  <r>
    <x v="7063"/>
    <x v="1406"/>
    <x v="2"/>
    <n v="1"/>
    <n v="5.23"/>
    <x v="131"/>
    <x v="1"/>
    <x v="4"/>
    <n v="5.23"/>
    <m/>
    <m/>
    <n v="5"/>
  </r>
  <r>
    <x v="7064"/>
    <x v="1406"/>
    <x v="0"/>
    <n v="1"/>
    <n v="300.08"/>
    <x v="537"/>
    <x v="7"/>
    <x v="2"/>
    <n v="300.08"/>
    <m/>
    <m/>
    <n v="5"/>
  </r>
  <r>
    <x v="7065"/>
    <x v="1406"/>
    <x v="1"/>
    <n v="1"/>
    <n v="40.659999999999997"/>
    <x v="179"/>
    <x v="1"/>
    <x v="3"/>
    <n v="40.659999999999997"/>
    <m/>
    <m/>
    <n v="5"/>
  </r>
  <r>
    <x v="7066"/>
    <x v="1406"/>
    <x v="0"/>
    <n v="5"/>
    <n v="1500.4"/>
    <x v="472"/>
    <x v="5"/>
    <x v="1"/>
    <n v="7502"/>
    <m/>
    <m/>
    <n v="7"/>
  </r>
  <r>
    <x v="7067"/>
    <x v="1407"/>
    <x v="1"/>
    <n v="5"/>
    <n v="203.3"/>
    <x v="278"/>
    <x v="6"/>
    <x v="3"/>
    <n v="1016.5"/>
    <m/>
    <m/>
    <n v="5"/>
  </r>
  <r>
    <x v="7068"/>
    <x v="1407"/>
    <x v="2"/>
    <n v="1"/>
    <n v="5.23"/>
    <x v="680"/>
    <x v="0"/>
    <x v="0"/>
    <n v="5.23"/>
    <m/>
    <m/>
    <n v="5"/>
  </r>
  <r>
    <x v="7069"/>
    <x v="1407"/>
    <x v="5"/>
    <n v="5"/>
    <n v="3000.85"/>
    <x v="15"/>
    <x v="1"/>
    <x v="1"/>
    <n v="15004.25"/>
    <m/>
    <m/>
    <n v="5"/>
  </r>
  <r>
    <x v="7070"/>
    <x v="1407"/>
    <x v="1"/>
    <n v="5"/>
    <n v="203.3"/>
    <x v="381"/>
    <x v="9"/>
    <x v="3"/>
    <n v="1016.5"/>
    <m/>
    <m/>
    <n v="5"/>
  </r>
  <r>
    <x v="7071"/>
    <x v="1407"/>
    <x v="2"/>
    <n v="1"/>
    <n v="5.23"/>
    <x v="764"/>
    <x v="9"/>
    <x v="2"/>
    <n v="5.23"/>
    <m/>
    <m/>
    <n v="7"/>
  </r>
  <r>
    <x v="7072"/>
    <x v="1407"/>
    <x v="0"/>
    <n v="2"/>
    <n v="600.16"/>
    <x v="447"/>
    <x v="2"/>
    <x v="1"/>
    <n v="1200.32"/>
    <m/>
    <m/>
    <n v="7"/>
  </r>
  <r>
    <x v="7073"/>
    <x v="1407"/>
    <x v="2"/>
    <n v="2"/>
    <n v="10.46"/>
    <x v="311"/>
    <x v="0"/>
    <x v="4"/>
    <n v="20.92"/>
    <m/>
    <m/>
    <n v="10"/>
  </r>
  <r>
    <x v="7074"/>
    <x v="1408"/>
    <x v="6"/>
    <n v="4"/>
    <n v="143.36000000000001"/>
    <x v="159"/>
    <x v="6"/>
    <x v="1"/>
    <n v="573.44000000000005"/>
    <m/>
    <m/>
    <n v="5"/>
  </r>
  <r>
    <x v="7075"/>
    <x v="1408"/>
    <x v="1"/>
    <n v="1"/>
    <n v="40.659999999999997"/>
    <x v="547"/>
    <x v="1"/>
    <x v="2"/>
    <n v="40.659999999999997"/>
    <m/>
    <m/>
    <n v="7"/>
  </r>
  <r>
    <x v="7076"/>
    <x v="1408"/>
    <x v="4"/>
    <n v="5"/>
    <n v="5250"/>
    <x v="71"/>
    <x v="2"/>
    <x v="3"/>
    <n v="26250"/>
    <m/>
    <m/>
    <n v="10"/>
  </r>
  <r>
    <x v="7077"/>
    <x v="1409"/>
    <x v="3"/>
    <n v="2"/>
    <n v="30.3"/>
    <x v="120"/>
    <x v="6"/>
    <x v="3"/>
    <n v="60.6"/>
    <m/>
    <m/>
    <n v="5"/>
  </r>
  <r>
    <x v="7078"/>
    <x v="1409"/>
    <x v="3"/>
    <n v="1"/>
    <n v="15.15"/>
    <x v="230"/>
    <x v="8"/>
    <x v="4"/>
    <n v="15.15"/>
    <m/>
    <m/>
    <n v="5"/>
  </r>
  <r>
    <x v="7079"/>
    <x v="1409"/>
    <x v="7"/>
    <n v="1"/>
    <n v="11.73"/>
    <x v="463"/>
    <x v="5"/>
    <x v="2"/>
    <n v="11.73"/>
    <m/>
    <m/>
    <n v="7"/>
  </r>
  <r>
    <x v="7080"/>
    <x v="1409"/>
    <x v="0"/>
    <n v="5"/>
    <n v="1500.4"/>
    <x v="786"/>
    <x v="6"/>
    <x v="0"/>
    <n v="7502"/>
    <m/>
    <m/>
    <n v="7"/>
  </r>
  <r>
    <x v="7081"/>
    <x v="1410"/>
    <x v="0"/>
    <n v="1"/>
    <n v="300.08"/>
    <x v="672"/>
    <x v="1"/>
    <x v="3"/>
    <n v="300.08"/>
    <m/>
    <m/>
    <n v="5"/>
  </r>
  <r>
    <x v="7082"/>
    <x v="1410"/>
    <x v="1"/>
    <n v="5"/>
    <n v="203.3"/>
    <x v="269"/>
    <x v="4"/>
    <x v="1"/>
    <n v="1016.5"/>
    <m/>
    <m/>
    <n v="5"/>
  </r>
  <r>
    <x v="7083"/>
    <x v="1410"/>
    <x v="1"/>
    <n v="5"/>
    <n v="203.3"/>
    <x v="757"/>
    <x v="6"/>
    <x v="1"/>
    <n v="1016.5"/>
    <m/>
    <m/>
    <n v="5"/>
  </r>
  <r>
    <x v="7084"/>
    <x v="1410"/>
    <x v="7"/>
    <n v="5"/>
    <n v="58.65"/>
    <x v="213"/>
    <x v="0"/>
    <x v="0"/>
    <n v="293.25"/>
    <m/>
    <m/>
    <n v="7"/>
  </r>
  <r>
    <x v="7085"/>
    <x v="1410"/>
    <x v="2"/>
    <n v="3"/>
    <n v="15.69"/>
    <x v="259"/>
    <x v="4"/>
    <x v="1"/>
    <n v="47.07"/>
    <m/>
    <m/>
    <n v="7"/>
  </r>
  <r>
    <x v="7086"/>
    <x v="1411"/>
    <x v="0"/>
    <n v="4"/>
    <n v="1200.32"/>
    <x v="573"/>
    <x v="5"/>
    <x v="1"/>
    <n v="4801.28"/>
    <m/>
    <m/>
    <n v="7"/>
  </r>
  <r>
    <x v="7087"/>
    <x v="1411"/>
    <x v="1"/>
    <n v="1"/>
    <n v="40.659999999999997"/>
    <x v="634"/>
    <x v="5"/>
    <x v="1"/>
    <n v="40.659999999999997"/>
    <m/>
    <m/>
    <n v="7"/>
  </r>
  <r>
    <x v="7088"/>
    <x v="1411"/>
    <x v="0"/>
    <n v="5"/>
    <n v="1500.4"/>
    <x v="263"/>
    <x v="0"/>
    <x v="1"/>
    <n v="7502"/>
    <m/>
    <m/>
    <n v="7"/>
  </r>
  <r>
    <x v="7089"/>
    <x v="1412"/>
    <x v="7"/>
    <n v="1"/>
    <n v="11.73"/>
    <x v="421"/>
    <x v="0"/>
    <x v="2"/>
    <n v="11.73"/>
    <m/>
    <m/>
    <n v="7"/>
  </r>
  <r>
    <x v="7090"/>
    <x v="1412"/>
    <x v="6"/>
    <n v="1"/>
    <n v="35.840000000000003"/>
    <x v="786"/>
    <x v="6"/>
    <x v="1"/>
    <n v="35.840000000000003"/>
    <m/>
    <m/>
    <n v="7"/>
  </r>
  <r>
    <x v="7091"/>
    <x v="1412"/>
    <x v="0"/>
    <n v="5"/>
    <n v="1500.4"/>
    <x v="416"/>
    <x v="7"/>
    <x v="4"/>
    <n v="7502"/>
    <m/>
    <m/>
    <n v="10"/>
  </r>
  <r>
    <x v="7092"/>
    <x v="1412"/>
    <x v="0"/>
    <n v="4"/>
    <n v="1200.32"/>
    <x v="71"/>
    <x v="4"/>
    <x v="1"/>
    <n v="4801.28"/>
    <m/>
    <m/>
    <n v="10"/>
  </r>
  <r>
    <x v="7093"/>
    <x v="1413"/>
    <x v="1"/>
    <n v="5"/>
    <n v="203.3"/>
    <x v="63"/>
    <x v="9"/>
    <x v="2"/>
    <n v="1016.5"/>
    <m/>
    <m/>
    <n v="5"/>
  </r>
  <r>
    <x v="7094"/>
    <x v="1413"/>
    <x v="2"/>
    <n v="1"/>
    <n v="5.23"/>
    <x v="88"/>
    <x v="4"/>
    <x v="2"/>
    <n v="5.23"/>
    <m/>
    <m/>
    <n v="7"/>
  </r>
  <r>
    <x v="7095"/>
    <x v="1413"/>
    <x v="0"/>
    <n v="4"/>
    <n v="1200.32"/>
    <x v="11"/>
    <x v="9"/>
    <x v="1"/>
    <n v="4801.28"/>
    <m/>
    <m/>
    <n v="7"/>
  </r>
  <r>
    <x v="7096"/>
    <x v="1413"/>
    <x v="1"/>
    <n v="3"/>
    <n v="121.98"/>
    <x v="165"/>
    <x v="8"/>
    <x v="3"/>
    <n v="365.94"/>
    <m/>
    <m/>
    <n v="10"/>
  </r>
  <r>
    <x v="7097"/>
    <x v="1414"/>
    <x v="0"/>
    <n v="4"/>
    <n v="1200.32"/>
    <x v="694"/>
    <x v="0"/>
    <x v="2"/>
    <n v="4801.28"/>
    <m/>
    <m/>
    <n v="5"/>
  </r>
  <r>
    <x v="7098"/>
    <x v="1414"/>
    <x v="5"/>
    <n v="4"/>
    <n v="2400.6799999999998"/>
    <x v="222"/>
    <x v="0"/>
    <x v="0"/>
    <n v="9602.7199999999993"/>
    <m/>
    <m/>
    <n v="7"/>
  </r>
  <r>
    <x v="7099"/>
    <x v="1414"/>
    <x v="5"/>
    <n v="5"/>
    <n v="3000.85"/>
    <x v="719"/>
    <x v="4"/>
    <x v="3"/>
    <n v="15004.25"/>
    <m/>
    <m/>
    <n v="7"/>
  </r>
  <r>
    <x v="7100"/>
    <x v="1414"/>
    <x v="4"/>
    <n v="5"/>
    <n v="5250"/>
    <x v="266"/>
    <x v="5"/>
    <x v="3"/>
    <n v="26250"/>
    <m/>
    <m/>
    <n v="7"/>
  </r>
  <r>
    <x v="7101"/>
    <x v="1414"/>
    <x v="3"/>
    <n v="1"/>
    <n v="15.15"/>
    <x v="263"/>
    <x v="0"/>
    <x v="3"/>
    <n v="15.15"/>
    <m/>
    <m/>
    <n v="7"/>
  </r>
  <r>
    <x v="7102"/>
    <x v="1414"/>
    <x v="0"/>
    <n v="5"/>
    <n v="1500.4"/>
    <x v="553"/>
    <x v="6"/>
    <x v="4"/>
    <n v="7502"/>
    <m/>
    <m/>
    <n v="7"/>
  </r>
  <r>
    <x v="7103"/>
    <x v="1414"/>
    <x v="0"/>
    <n v="1"/>
    <n v="300.08"/>
    <x v="385"/>
    <x v="0"/>
    <x v="0"/>
    <n v="300.08"/>
    <m/>
    <m/>
    <n v="10"/>
  </r>
  <r>
    <x v="7104"/>
    <x v="1415"/>
    <x v="3"/>
    <n v="4"/>
    <n v="60.6"/>
    <x v="657"/>
    <x v="2"/>
    <x v="3"/>
    <n v="242.4"/>
    <m/>
    <m/>
    <n v="5"/>
  </r>
  <r>
    <x v="7105"/>
    <x v="1415"/>
    <x v="0"/>
    <n v="4"/>
    <n v="1200.32"/>
    <x v="406"/>
    <x v="5"/>
    <x v="0"/>
    <n v="4801.28"/>
    <m/>
    <m/>
    <n v="5"/>
  </r>
  <r>
    <x v="7106"/>
    <x v="1415"/>
    <x v="6"/>
    <n v="3"/>
    <n v="107.52"/>
    <x v="717"/>
    <x v="2"/>
    <x v="2"/>
    <n v="322.56"/>
    <m/>
    <m/>
    <n v="5"/>
  </r>
  <r>
    <x v="7107"/>
    <x v="1415"/>
    <x v="6"/>
    <n v="1"/>
    <n v="35.840000000000003"/>
    <x v="51"/>
    <x v="4"/>
    <x v="0"/>
    <n v="35.840000000000003"/>
    <m/>
    <m/>
    <n v="7"/>
  </r>
  <r>
    <x v="7108"/>
    <x v="1415"/>
    <x v="0"/>
    <n v="3"/>
    <n v="900.24"/>
    <x v="88"/>
    <x v="0"/>
    <x v="4"/>
    <n v="2700.7200000000003"/>
    <m/>
    <m/>
    <n v="7"/>
  </r>
  <r>
    <x v="7109"/>
    <x v="1415"/>
    <x v="6"/>
    <n v="5"/>
    <n v="179.2"/>
    <x v="35"/>
    <x v="2"/>
    <x v="2"/>
    <n v="896"/>
    <m/>
    <m/>
    <n v="7"/>
  </r>
  <r>
    <x v="7110"/>
    <x v="1415"/>
    <x v="5"/>
    <n v="1"/>
    <n v="600.16999999999996"/>
    <x v="199"/>
    <x v="3"/>
    <x v="0"/>
    <n v="600.16999999999996"/>
    <m/>
    <m/>
    <n v="7"/>
  </r>
  <r>
    <x v="7111"/>
    <x v="1415"/>
    <x v="0"/>
    <n v="1"/>
    <n v="300.08"/>
    <x v="482"/>
    <x v="6"/>
    <x v="2"/>
    <n v="300.08"/>
    <m/>
    <m/>
    <n v="10"/>
  </r>
  <r>
    <x v="7112"/>
    <x v="1415"/>
    <x v="6"/>
    <n v="1"/>
    <n v="35.840000000000003"/>
    <x v="693"/>
    <x v="2"/>
    <x v="0"/>
    <n v="35.840000000000003"/>
    <m/>
    <m/>
    <n v="10"/>
  </r>
  <r>
    <x v="7113"/>
    <x v="1416"/>
    <x v="5"/>
    <n v="1"/>
    <n v="600.16999999999996"/>
    <x v="383"/>
    <x v="8"/>
    <x v="3"/>
    <n v="600.16999999999996"/>
    <m/>
    <m/>
    <n v="5"/>
  </r>
  <r>
    <x v="7114"/>
    <x v="1416"/>
    <x v="0"/>
    <n v="5"/>
    <n v="1500.4"/>
    <x v="15"/>
    <x v="6"/>
    <x v="1"/>
    <n v="7502"/>
    <m/>
    <m/>
    <n v="5"/>
  </r>
  <r>
    <x v="7115"/>
    <x v="1416"/>
    <x v="2"/>
    <n v="3"/>
    <n v="15.69"/>
    <x v="59"/>
    <x v="0"/>
    <x v="2"/>
    <n v="47.07"/>
    <m/>
    <m/>
    <n v="7"/>
  </r>
  <r>
    <x v="7116"/>
    <x v="1416"/>
    <x v="0"/>
    <n v="5"/>
    <n v="1500.4"/>
    <x v="260"/>
    <x v="6"/>
    <x v="0"/>
    <n v="7502"/>
    <m/>
    <m/>
    <n v="7"/>
  </r>
  <r>
    <x v="7117"/>
    <x v="1417"/>
    <x v="2"/>
    <n v="2"/>
    <n v="10.46"/>
    <x v="521"/>
    <x v="0"/>
    <x v="1"/>
    <n v="20.92"/>
    <m/>
    <m/>
    <n v="5"/>
  </r>
  <r>
    <x v="7118"/>
    <x v="1417"/>
    <x v="2"/>
    <n v="5"/>
    <n v="26.15"/>
    <x v="618"/>
    <x v="3"/>
    <x v="1"/>
    <n v="130.75"/>
    <m/>
    <m/>
    <n v="5"/>
  </r>
  <r>
    <x v="7119"/>
    <x v="1417"/>
    <x v="0"/>
    <n v="4"/>
    <n v="1200.32"/>
    <x v="234"/>
    <x v="7"/>
    <x v="0"/>
    <n v="4801.28"/>
    <m/>
    <m/>
    <n v="7"/>
  </r>
  <r>
    <x v="7120"/>
    <x v="1417"/>
    <x v="0"/>
    <n v="3"/>
    <n v="900.24"/>
    <x v="405"/>
    <x v="2"/>
    <x v="4"/>
    <n v="2700.7200000000003"/>
    <m/>
    <m/>
    <n v="7"/>
  </r>
  <r>
    <x v="7121"/>
    <x v="1417"/>
    <x v="0"/>
    <n v="4"/>
    <n v="1200.32"/>
    <x v="740"/>
    <x v="3"/>
    <x v="0"/>
    <n v="4801.28"/>
    <m/>
    <m/>
    <n v="7"/>
  </r>
  <r>
    <x v="7122"/>
    <x v="1417"/>
    <x v="6"/>
    <n v="5"/>
    <n v="179.2"/>
    <x v="254"/>
    <x v="4"/>
    <x v="2"/>
    <n v="896"/>
    <m/>
    <m/>
    <n v="7"/>
  </r>
  <r>
    <x v="7123"/>
    <x v="1417"/>
    <x v="4"/>
    <n v="4"/>
    <n v="4200"/>
    <x v="96"/>
    <x v="0"/>
    <x v="1"/>
    <n v="16800"/>
    <m/>
    <m/>
    <n v="7"/>
  </r>
  <r>
    <x v="7124"/>
    <x v="1418"/>
    <x v="5"/>
    <n v="2"/>
    <n v="1200.3399999999999"/>
    <x v="422"/>
    <x v="0"/>
    <x v="4"/>
    <n v="2400.6799999999998"/>
    <m/>
    <m/>
    <n v="5"/>
  </r>
  <r>
    <x v="7125"/>
    <x v="1418"/>
    <x v="6"/>
    <n v="1"/>
    <n v="35.840000000000003"/>
    <x v="618"/>
    <x v="0"/>
    <x v="0"/>
    <n v="35.840000000000003"/>
    <m/>
    <m/>
    <n v="5"/>
  </r>
  <r>
    <x v="7126"/>
    <x v="1418"/>
    <x v="3"/>
    <n v="3"/>
    <n v="45.45"/>
    <x v="166"/>
    <x v="9"/>
    <x v="2"/>
    <n v="136.35000000000002"/>
    <m/>
    <m/>
    <n v="5"/>
  </r>
  <r>
    <x v="7127"/>
    <x v="1418"/>
    <x v="1"/>
    <n v="3"/>
    <n v="121.98"/>
    <x v="761"/>
    <x v="6"/>
    <x v="4"/>
    <n v="365.94"/>
    <m/>
    <m/>
    <n v="7"/>
  </r>
  <r>
    <x v="7128"/>
    <x v="1418"/>
    <x v="2"/>
    <n v="1"/>
    <n v="5.23"/>
    <x v="509"/>
    <x v="2"/>
    <x v="0"/>
    <n v="5.23"/>
    <m/>
    <m/>
    <n v="7"/>
  </r>
  <r>
    <x v="7129"/>
    <x v="1418"/>
    <x v="4"/>
    <n v="4"/>
    <n v="4200"/>
    <x v="7"/>
    <x v="3"/>
    <x v="3"/>
    <n v="16800"/>
    <m/>
    <m/>
    <n v="7"/>
  </r>
  <r>
    <x v="7130"/>
    <x v="1419"/>
    <x v="1"/>
    <n v="3"/>
    <n v="121.98"/>
    <x v="745"/>
    <x v="0"/>
    <x v="0"/>
    <n v="365.94"/>
    <m/>
    <m/>
    <n v="5"/>
  </r>
  <r>
    <x v="7131"/>
    <x v="1419"/>
    <x v="4"/>
    <n v="1"/>
    <n v="1050"/>
    <x v="276"/>
    <x v="5"/>
    <x v="1"/>
    <n v="1050"/>
    <m/>
    <m/>
    <n v="5"/>
  </r>
  <r>
    <x v="7132"/>
    <x v="1419"/>
    <x v="0"/>
    <n v="3"/>
    <n v="900.24"/>
    <x v="720"/>
    <x v="2"/>
    <x v="0"/>
    <n v="2700.7200000000003"/>
    <m/>
    <m/>
    <n v="5"/>
  </r>
  <r>
    <x v="7133"/>
    <x v="1420"/>
    <x v="1"/>
    <n v="3"/>
    <n v="121.98"/>
    <x v="318"/>
    <x v="7"/>
    <x v="4"/>
    <n v="365.94"/>
    <m/>
    <m/>
    <n v="5"/>
  </r>
  <r>
    <x v="7134"/>
    <x v="1420"/>
    <x v="1"/>
    <n v="3"/>
    <n v="121.98"/>
    <x v="739"/>
    <x v="1"/>
    <x v="1"/>
    <n v="365.94"/>
    <m/>
    <m/>
    <n v="5"/>
  </r>
  <r>
    <x v="7135"/>
    <x v="1420"/>
    <x v="2"/>
    <n v="5"/>
    <n v="26.15"/>
    <x v="360"/>
    <x v="9"/>
    <x v="0"/>
    <n v="130.75"/>
    <m/>
    <m/>
    <n v="7"/>
  </r>
  <r>
    <x v="7136"/>
    <x v="1420"/>
    <x v="0"/>
    <n v="3"/>
    <n v="900.24"/>
    <x v="400"/>
    <x v="6"/>
    <x v="0"/>
    <n v="2700.7200000000003"/>
    <m/>
    <m/>
    <n v="7"/>
  </r>
  <r>
    <x v="7137"/>
    <x v="1420"/>
    <x v="2"/>
    <n v="1"/>
    <n v="5.23"/>
    <x v="704"/>
    <x v="8"/>
    <x v="0"/>
    <n v="5.23"/>
    <m/>
    <m/>
    <n v="7"/>
  </r>
  <r>
    <x v="7138"/>
    <x v="1420"/>
    <x v="4"/>
    <n v="3"/>
    <n v="3150"/>
    <x v="547"/>
    <x v="1"/>
    <x v="0"/>
    <n v="9450"/>
    <m/>
    <m/>
    <n v="7"/>
  </r>
  <r>
    <x v="7139"/>
    <x v="1420"/>
    <x v="0"/>
    <n v="5"/>
    <n v="1500.4"/>
    <x v="764"/>
    <x v="1"/>
    <x v="2"/>
    <n v="7502"/>
    <m/>
    <m/>
    <n v="7"/>
  </r>
  <r>
    <x v="7140"/>
    <x v="1420"/>
    <x v="7"/>
    <n v="2"/>
    <n v="23.46"/>
    <x v="67"/>
    <x v="9"/>
    <x v="2"/>
    <n v="46.92"/>
    <m/>
    <m/>
    <n v="7"/>
  </r>
  <r>
    <x v="7141"/>
    <x v="1420"/>
    <x v="0"/>
    <n v="3"/>
    <n v="900.24"/>
    <x v="793"/>
    <x v="1"/>
    <x v="1"/>
    <n v="2700.7200000000003"/>
    <m/>
    <m/>
    <n v="10"/>
  </r>
  <r>
    <x v="7142"/>
    <x v="1421"/>
    <x v="3"/>
    <n v="5"/>
    <n v="75.75"/>
    <x v="372"/>
    <x v="6"/>
    <x v="4"/>
    <n v="378.75"/>
    <m/>
    <m/>
    <n v="5"/>
  </r>
  <r>
    <x v="7143"/>
    <x v="1421"/>
    <x v="5"/>
    <n v="3"/>
    <n v="1800.51"/>
    <x v="113"/>
    <x v="2"/>
    <x v="2"/>
    <n v="5401.53"/>
    <m/>
    <m/>
    <n v="5"/>
  </r>
  <r>
    <x v="7144"/>
    <x v="1421"/>
    <x v="5"/>
    <n v="1"/>
    <n v="600.16999999999996"/>
    <x v="618"/>
    <x v="0"/>
    <x v="0"/>
    <n v="600.16999999999996"/>
    <m/>
    <m/>
    <n v="5"/>
  </r>
  <r>
    <x v="7145"/>
    <x v="1421"/>
    <x v="0"/>
    <n v="5"/>
    <n v="1500.4"/>
    <x v="35"/>
    <x v="6"/>
    <x v="4"/>
    <n v="7502"/>
    <m/>
    <m/>
    <n v="7"/>
  </r>
  <r>
    <x v="7146"/>
    <x v="1421"/>
    <x v="6"/>
    <n v="3"/>
    <n v="107.52"/>
    <x v="681"/>
    <x v="9"/>
    <x v="2"/>
    <n v="322.56"/>
    <m/>
    <m/>
    <n v="7"/>
  </r>
  <r>
    <x v="7147"/>
    <x v="1422"/>
    <x v="2"/>
    <n v="2"/>
    <n v="10.46"/>
    <x v="661"/>
    <x v="6"/>
    <x v="0"/>
    <n v="20.92"/>
    <m/>
    <m/>
    <n v="5"/>
  </r>
  <r>
    <x v="7148"/>
    <x v="1422"/>
    <x v="1"/>
    <n v="1"/>
    <n v="40.659999999999997"/>
    <x v="558"/>
    <x v="4"/>
    <x v="0"/>
    <n v="40.659999999999997"/>
    <m/>
    <m/>
    <n v="7"/>
  </r>
  <r>
    <x v="7149"/>
    <x v="1422"/>
    <x v="0"/>
    <n v="2"/>
    <n v="600.16"/>
    <x v="250"/>
    <x v="9"/>
    <x v="0"/>
    <n v="1200.32"/>
    <m/>
    <m/>
    <n v="7"/>
  </r>
  <r>
    <x v="7150"/>
    <x v="1422"/>
    <x v="0"/>
    <n v="1"/>
    <n v="300.08"/>
    <x v="54"/>
    <x v="0"/>
    <x v="2"/>
    <n v="300.08"/>
    <m/>
    <m/>
    <n v="10"/>
  </r>
  <r>
    <x v="7151"/>
    <x v="1423"/>
    <x v="2"/>
    <n v="5"/>
    <n v="26.15"/>
    <x v="107"/>
    <x v="6"/>
    <x v="2"/>
    <n v="130.75"/>
    <m/>
    <m/>
    <n v="5"/>
  </r>
  <r>
    <x v="7152"/>
    <x v="1423"/>
    <x v="6"/>
    <n v="3"/>
    <n v="107.52"/>
    <x v="506"/>
    <x v="4"/>
    <x v="2"/>
    <n v="322.56"/>
    <m/>
    <m/>
    <n v="7"/>
  </r>
  <r>
    <x v="7153"/>
    <x v="1423"/>
    <x v="5"/>
    <n v="3"/>
    <n v="1800.51"/>
    <x v="379"/>
    <x v="4"/>
    <x v="2"/>
    <n v="5401.53"/>
    <m/>
    <m/>
    <n v="10"/>
  </r>
  <r>
    <x v="7154"/>
    <x v="1424"/>
    <x v="6"/>
    <n v="1"/>
    <n v="35.840000000000003"/>
    <x v="457"/>
    <x v="2"/>
    <x v="1"/>
    <n v="35.840000000000003"/>
    <m/>
    <m/>
    <n v="5"/>
  </r>
  <r>
    <x v="7155"/>
    <x v="1424"/>
    <x v="0"/>
    <n v="2"/>
    <n v="600.16"/>
    <x v="140"/>
    <x v="4"/>
    <x v="0"/>
    <n v="1200.32"/>
    <m/>
    <m/>
    <n v="7"/>
  </r>
  <r>
    <x v="7156"/>
    <x v="1425"/>
    <x v="7"/>
    <n v="2"/>
    <n v="23.46"/>
    <x v="268"/>
    <x v="6"/>
    <x v="3"/>
    <n v="46.92"/>
    <m/>
    <m/>
    <n v="5"/>
  </r>
  <r>
    <x v="7157"/>
    <x v="1425"/>
    <x v="4"/>
    <n v="1"/>
    <n v="1050"/>
    <x v="39"/>
    <x v="0"/>
    <x v="4"/>
    <n v="1050"/>
    <m/>
    <m/>
    <n v="5"/>
  </r>
  <r>
    <x v="7158"/>
    <x v="1425"/>
    <x v="0"/>
    <n v="1"/>
    <n v="300.08"/>
    <x v="587"/>
    <x v="7"/>
    <x v="0"/>
    <n v="300.08"/>
    <m/>
    <m/>
    <n v="5"/>
  </r>
  <r>
    <x v="7159"/>
    <x v="1425"/>
    <x v="0"/>
    <n v="5"/>
    <n v="1500.4"/>
    <x v="150"/>
    <x v="7"/>
    <x v="0"/>
    <n v="7502"/>
    <m/>
    <m/>
    <n v="5"/>
  </r>
  <r>
    <x v="7160"/>
    <x v="1425"/>
    <x v="0"/>
    <n v="1"/>
    <n v="300.08"/>
    <x v="93"/>
    <x v="0"/>
    <x v="4"/>
    <n v="300.08"/>
    <m/>
    <m/>
    <n v="7"/>
  </r>
  <r>
    <x v="7161"/>
    <x v="1425"/>
    <x v="0"/>
    <n v="3"/>
    <n v="900.24"/>
    <x v="346"/>
    <x v="2"/>
    <x v="0"/>
    <n v="2700.7200000000003"/>
    <m/>
    <m/>
    <n v="7"/>
  </r>
  <r>
    <x v="7162"/>
    <x v="1426"/>
    <x v="7"/>
    <n v="3"/>
    <n v="35.19"/>
    <x v="116"/>
    <x v="4"/>
    <x v="2"/>
    <n v="105.57"/>
    <m/>
    <m/>
    <n v="5"/>
  </r>
  <r>
    <x v="7163"/>
    <x v="1426"/>
    <x v="0"/>
    <n v="5"/>
    <n v="1500.4"/>
    <x v="364"/>
    <x v="0"/>
    <x v="0"/>
    <n v="7502"/>
    <m/>
    <m/>
    <n v="5"/>
  </r>
  <r>
    <x v="7164"/>
    <x v="1426"/>
    <x v="0"/>
    <n v="3"/>
    <n v="900.24"/>
    <x v="249"/>
    <x v="0"/>
    <x v="0"/>
    <n v="2700.7200000000003"/>
    <m/>
    <m/>
    <n v="7"/>
  </r>
  <r>
    <x v="7165"/>
    <x v="1426"/>
    <x v="0"/>
    <n v="5"/>
    <n v="1500.4"/>
    <x v="442"/>
    <x v="1"/>
    <x v="3"/>
    <n v="7502"/>
    <m/>
    <m/>
    <n v="10"/>
  </r>
  <r>
    <x v="7166"/>
    <x v="1426"/>
    <x v="0"/>
    <n v="4"/>
    <n v="1200.32"/>
    <x v="529"/>
    <x v="1"/>
    <x v="3"/>
    <n v="4801.28"/>
    <m/>
    <m/>
    <n v="10"/>
  </r>
  <r>
    <x v="7167"/>
    <x v="1427"/>
    <x v="0"/>
    <n v="3"/>
    <n v="900.24"/>
    <x v="5"/>
    <x v="6"/>
    <x v="3"/>
    <n v="2700.7200000000003"/>
    <m/>
    <m/>
    <n v="5"/>
  </r>
  <r>
    <x v="7168"/>
    <x v="1427"/>
    <x v="5"/>
    <n v="3"/>
    <n v="1800.51"/>
    <x v="338"/>
    <x v="0"/>
    <x v="1"/>
    <n v="5401.53"/>
    <m/>
    <m/>
    <n v="5"/>
  </r>
  <r>
    <x v="7169"/>
    <x v="1427"/>
    <x v="4"/>
    <n v="3"/>
    <n v="3150"/>
    <x v="653"/>
    <x v="4"/>
    <x v="2"/>
    <n v="9450"/>
    <m/>
    <m/>
    <n v="5"/>
  </r>
  <r>
    <x v="7170"/>
    <x v="1427"/>
    <x v="0"/>
    <n v="2"/>
    <n v="600.16"/>
    <x v="605"/>
    <x v="4"/>
    <x v="0"/>
    <n v="1200.32"/>
    <m/>
    <m/>
    <n v="7"/>
  </r>
  <r>
    <x v="7171"/>
    <x v="1427"/>
    <x v="0"/>
    <n v="5"/>
    <n v="1500.4"/>
    <x v="94"/>
    <x v="0"/>
    <x v="3"/>
    <n v="7502"/>
    <m/>
    <m/>
    <n v="7"/>
  </r>
  <r>
    <x v="7172"/>
    <x v="1427"/>
    <x v="0"/>
    <n v="5"/>
    <n v="1500.4"/>
    <x v="770"/>
    <x v="3"/>
    <x v="4"/>
    <n v="7502"/>
    <m/>
    <m/>
    <n v="7"/>
  </r>
  <r>
    <x v="7173"/>
    <x v="1427"/>
    <x v="7"/>
    <n v="2"/>
    <n v="23.46"/>
    <x v="243"/>
    <x v="6"/>
    <x v="4"/>
    <n v="46.92"/>
    <m/>
    <m/>
    <n v="7"/>
  </r>
  <r>
    <x v="7174"/>
    <x v="1427"/>
    <x v="2"/>
    <n v="1"/>
    <n v="5.23"/>
    <x v="741"/>
    <x v="7"/>
    <x v="1"/>
    <n v="5.23"/>
    <m/>
    <m/>
    <n v="10"/>
  </r>
  <r>
    <x v="7175"/>
    <x v="1428"/>
    <x v="1"/>
    <n v="1"/>
    <n v="40.659999999999997"/>
    <x v="551"/>
    <x v="4"/>
    <x v="1"/>
    <n v="40.659999999999997"/>
    <m/>
    <m/>
    <n v="5"/>
  </r>
  <r>
    <x v="7176"/>
    <x v="1428"/>
    <x v="6"/>
    <n v="5"/>
    <n v="179.2"/>
    <x v="498"/>
    <x v="6"/>
    <x v="3"/>
    <n v="896"/>
    <m/>
    <m/>
    <n v="5"/>
  </r>
  <r>
    <x v="7177"/>
    <x v="1428"/>
    <x v="5"/>
    <n v="3"/>
    <n v="1800.51"/>
    <x v="663"/>
    <x v="3"/>
    <x v="1"/>
    <n v="5401.53"/>
    <m/>
    <m/>
    <n v="5"/>
  </r>
  <r>
    <x v="7178"/>
    <x v="1428"/>
    <x v="2"/>
    <n v="5"/>
    <n v="26.15"/>
    <x v="147"/>
    <x v="0"/>
    <x v="2"/>
    <n v="130.75"/>
    <m/>
    <m/>
    <n v="5"/>
  </r>
  <r>
    <x v="7179"/>
    <x v="1428"/>
    <x v="6"/>
    <n v="3"/>
    <n v="107.52"/>
    <x v="223"/>
    <x v="0"/>
    <x v="3"/>
    <n v="322.56"/>
    <m/>
    <m/>
    <n v="7"/>
  </r>
  <r>
    <x v="7180"/>
    <x v="1428"/>
    <x v="1"/>
    <n v="4"/>
    <n v="162.63999999999999"/>
    <x v="506"/>
    <x v="1"/>
    <x v="4"/>
    <n v="650.55999999999995"/>
    <m/>
    <m/>
    <n v="7"/>
  </r>
  <r>
    <x v="7181"/>
    <x v="1428"/>
    <x v="0"/>
    <n v="2"/>
    <n v="600.16"/>
    <x v="674"/>
    <x v="3"/>
    <x v="4"/>
    <n v="1200.32"/>
    <m/>
    <m/>
    <n v="7"/>
  </r>
  <r>
    <x v="7182"/>
    <x v="1428"/>
    <x v="6"/>
    <n v="2"/>
    <n v="71.680000000000007"/>
    <x v="674"/>
    <x v="3"/>
    <x v="2"/>
    <n v="143.36000000000001"/>
    <m/>
    <m/>
    <n v="7"/>
  </r>
  <r>
    <x v="7183"/>
    <x v="1428"/>
    <x v="0"/>
    <n v="2"/>
    <n v="600.16"/>
    <x v="253"/>
    <x v="8"/>
    <x v="0"/>
    <n v="1200.32"/>
    <m/>
    <m/>
    <n v="7"/>
  </r>
  <r>
    <x v="7184"/>
    <x v="1429"/>
    <x v="1"/>
    <n v="4"/>
    <n v="162.63999999999999"/>
    <x v="736"/>
    <x v="0"/>
    <x v="4"/>
    <n v="650.55999999999995"/>
    <m/>
    <m/>
    <n v="5"/>
  </r>
  <r>
    <x v="7185"/>
    <x v="1429"/>
    <x v="0"/>
    <n v="4"/>
    <n v="1200.32"/>
    <x v="773"/>
    <x v="7"/>
    <x v="2"/>
    <n v="4801.28"/>
    <m/>
    <m/>
    <n v="5"/>
  </r>
  <r>
    <x v="7186"/>
    <x v="1429"/>
    <x v="1"/>
    <n v="3"/>
    <n v="121.98"/>
    <x v="415"/>
    <x v="9"/>
    <x v="2"/>
    <n v="365.94"/>
    <m/>
    <m/>
    <n v="7"/>
  </r>
  <r>
    <x v="7187"/>
    <x v="1429"/>
    <x v="0"/>
    <n v="1"/>
    <n v="300.08"/>
    <x v="452"/>
    <x v="0"/>
    <x v="1"/>
    <n v="300.08"/>
    <m/>
    <m/>
    <n v="10"/>
  </r>
  <r>
    <x v="7188"/>
    <x v="1430"/>
    <x v="1"/>
    <n v="4"/>
    <n v="162.63999999999999"/>
    <x v="438"/>
    <x v="2"/>
    <x v="0"/>
    <n v="650.55999999999995"/>
    <m/>
    <m/>
    <n v="5"/>
  </r>
  <r>
    <x v="7189"/>
    <x v="1430"/>
    <x v="6"/>
    <n v="5"/>
    <n v="179.2"/>
    <x v="758"/>
    <x v="0"/>
    <x v="1"/>
    <n v="896"/>
    <m/>
    <m/>
    <n v="5"/>
  </r>
  <r>
    <x v="7190"/>
    <x v="1430"/>
    <x v="0"/>
    <n v="3"/>
    <n v="900.24"/>
    <x v="638"/>
    <x v="6"/>
    <x v="2"/>
    <n v="2700.7200000000003"/>
    <m/>
    <m/>
    <n v="5"/>
  </r>
  <r>
    <x v="7191"/>
    <x v="1430"/>
    <x v="1"/>
    <n v="1"/>
    <n v="40.659999999999997"/>
    <x v="341"/>
    <x v="6"/>
    <x v="2"/>
    <n v="40.659999999999997"/>
    <m/>
    <m/>
    <n v="5"/>
  </r>
  <r>
    <x v="7192"/>
    <x v="1430"/>
    <x v="0"/>
    <n v="2"/>
    <n v="600.16"/>
    <x v="655"/>
    <x v="2"/>
    <x v="3"/>
    <n v="1200.32"/>
    <m/>
    <m/>
    <n v="5"/>
  </r>
  <r>
    <x v="7193"/>
    <x v="1430"/>
    <x v="0"/>
    <n v="3"/>
    <n v="900.24"/>
    <x v="343"/>
    <x v="6"/>
    <x v="0"/>
    <n v="2700.7200000000003"/>
    <m/>
    <m/>
    <n v="7"/>
  </r>
  <r>
    <x v="7194"/>
    <x v="1430"/>
    <x v="1"/>
    <n v="3"/>
    <n v="121.98"/>
    <x v="217"/>
    <x v="9"/>
    <x v="4"/>
    <n v="365.94"/>
    <m/>
    <m/>
    <n v="7"/>
  </r>
  <r>
    <x v="7195"/>
    <x v="1430"/>
    <x v="4"/>
    <n v="2"/>
    <n v="2100"/>
    <x v="371"/>
    <x v="6"/>
    <x v="1"/>
    <n v="4200"/>
    <m/>
    <m/>
    <n v="7"/>
  </r>
  <r>
    <x v="7196"/>
    <x v="1430"/>
    <x v="0"/>
    <n v="2"/>
    <n v="600.16"/>
    <x v="667"/>
    <x v="5"/>
    <x v="3"/>
    <n v="1200.32"/>
    <m/>
    <m/>
    <n v="7"/>
  </r>
  <r>
    <x v="7197"/>
    <x v="1430"/>
    <x v="5"/>
    <n v="2"/>
    <n v="1200.3399999999999"/>
    <x v="722"/>
    <x v="1"/>
    <x v="2"/>
    <n v="2400.6799999999998"/>
    <m/>
    <m/>
    <n v="10"/>
  </r>
  <r>
    <x v="7198"/>
    <x v="1431"/>
    <x v="1"/>
    <n v="4"/>
    <n v="162.63999999999999"/>
    <x v="290"/>
    <x v="6"/>
    <x v="1"/>
    <n v="650.55999999999995"/>
    <m/>
    <m/>
    <n v="5"/>
  </r>
  <r>
    <x v="7199"/>
    <x v="1431"/>
    <x v="1"/>
    <n v="5"/>
    <n v="203.3"/>
    <x v="648"/>
    <x v="1"/>
    <x v="4"/>
    <n v="1016.5"/>
    <m/>
    <m/>
    <n v="5"/>
  </r>
  <r>
    <x v="7200"/>
    <x v="1431"/>
    <x v="6"/>
    <n v="5"/>
    <n v="179.2"/>
    <x v="739"/>
    <x v="1"/>
    <x v="2"/>
    <n v="896"/>
    <m/>
    <m/>
    <n v="5"/>
  </r>
  <r>
    <x v="7201"/>
    <x v="1431"/>
    <x v="0"/>
    <n v="5"/>
    <n v="1500.4"/>
    <x v="12"/>
    <x v="0"/>
    <x v="1"/>
    <n v="7502"/>
    <m/>
    <m/>
    <n v="7"/>
  </r>
  <r>
    <x v="7202"/>
    <x v="1431"/>
    <x v="0"/>
    <n v="2"/>
    <n v="600.16"/>
    <x v="229"/>
    <x v="6"/>
    <x v="1"/>
    <n v="1200.32"/>
    <m/>
    <m/>
    <n v="10"/>
  </r>
  <r>
    <x v="7203"/>
    <x v="1432"/>
    <x v="0"/>
    <n v="2"/>
    <n v="600.16"/>
    <x v="757"/>
    <x v="6"/>
    <x v="4"/>
    <n v="1200.32"/>
    <m/>
    <m/>
    <n v="5"/>
  </r>
  <r>
    <x v="7204"/>
    <x v="1432"/>
    <x v="0"/>
    <n v="5"/>
    <n v="1500.4"/>
    <x v="616"/>
    <x v="6"/>
    <x v="3"/>
    <n v="7502"/>
    <m/>
    <m/>
    <n v="5"/>
  </r>
  <r>
    <x v="7205"/>
    <x v="1433"/>
    <x v="2"/>
    <n v="4"/>
    <n v="20.92"/>
    <x v="82"/>
    <x v="1"/>
    <x v="4"/>
    <n v="83.68"/>
    <m/>
    <m/>
    <n v="5"/>
  </r>
  <r>
    <x v="7206"/>
    <x v="1433"/>
    <x v="0"/>
    <n v="5"/>
    <n v="1500.4"/>
    <x v="458"/>
    <x v="0"/>
    <x v="3"/>
    <n v="7502"/>
    <m/>
    <m/>
    <n v="7"/>
  </r>
  <r>
    <x v="7207"/>
    <x v="1434"/>
    <x v="1"/>
    <n v="5"/>
    <n v="203.3"/>
    <x v="516"/>
    <x v="6"/>
    <x v="4"/>
    <n v="1016.5"/>
    <m/>
    <m/>
    <n v="7"/>
  </r>
  <r>
    <x v="7208"/>
    <x v="1434"/>
    <x v="0"/>
    <n v="3"/>
    <n v="900.24"/>
    <x v="430"/>
    <x v="2"/>
    <x v="0"/>
    <n v="2700.7200000000003"/>
    <m/>
    <m/>
    <n v="7"/>
  </r>
  <r>
    <x v="7209"/>
    <x v="1434"/>
    <x v="0"/>
    <n v="2"/>
    <n v="600.16"/>
    <x v="218"/>
    <x v="7"/>
    <x v="2"/>
    <n v="1200.32"/>
    <m/>
    <m/>
    <n v="7"/>
  </r>
  <r>
    <x v="7210"/>
    <x v="1435"/>
    <x v="0"/>
    <n v="4"/>
    <n v="1200.32"/>
    <x v="204"/>
    <x v="0"/>
    <x v="1"/>
    <n v="4801.28"/>
    <m/>
    <m/>
    <n v="5"/>
  </r>
  <r>
    <x v="7211"/>
    <x v="1435"/>
    <x v="0"/>
    <n v="3"/>
    <n v="900.24"/>
    <x v="585"/>
    <x v="6"/>
    <x v="1"/>
    <n v="2700.7200000000003"/>
    <m/>
    <m/>
    <n v="7"/>
  </r>
  <r>
    <x v="7212"/>
    <x v="1435"/>
    <x v="1"/>
    <n v="3"/>
    <n v="121.98"/>
    <x v="617"/>
    <x v="5"/>
    <x v="3"/>
    <n v="365.94"/>
    <m/>
    <m/>
    <n v="7"/>
  </r>
  <r>
    <x v="7213"/>
    <x v="1436"/>
    <x v="1"/>
    <n v="3"/>
    <n v="121.98"/>
    <x v="545"/>
    <x v="3"/>
    <x v="3"/>
    <n v="365.94"/>
    <m/>
    <m/>
    <n v="5"/>
  </r>
  <r>
    <x v="7214"/>
    <x v="1436"/>
    <x v="2"/>
    <n v="3"/>
    <n v="15.69"/>
    <x v="738"/>
    <x v="6"/>
    <x v="3"/>
    <n v="47.07"/>
    <m/>
    <m/>
    <n v="7"/>
  </r>
  <r>
    <x v="7215"/>
    <x v="1436"/>
    <x v="7"/>
    <n v="2"/>
    <n v="23.46"/>
    <x v="581"/>
    <x v="0"/>
    <x v="4"/>
    <n v="46.92"/>
    <m/>
    <m/>
    <n v="7"/>
  </r>
  <r>
    <x v="7216"/>
    <x v="1437"/>
    <x v="0"/>
    <n v="4"/>
    <n v="1200.32"/>
    <x v="132"/>
    <x v="4"/>
    <x v="2"/>
    <n v="4801.28"/>
    <m/>
    <m/>
    <n v="5"/>
  </r>
  <r>
    <x v="7217"/>
    <x v="1437"/>
    <x v="2"/>
    <n v="3"/>
    <n v="15.69"/>
    <x v="506"/>
    <x v="0"/>
    <x v="1"/>
    <n v="47.07"/>
    <m/>
    <m/>
    <n v="7"/>
  </r>
  <r>
    <x v="7218"/>
    <x v="1437"/>
    <x v="0"/>
    <n v="5"/>
    <n v="1500.4"/>
    <x v="549"/>
    <x v="1"/>
    <x v="2"/>
    <n v="7502"/>
    <m/>
    <m/>
    <n v="7"/>
  </r>
  <r>
    <x v="7219"/>
    <x v="1437"/>
    <x v="5"/>
    <n v="4"/>
    <n v="2400.6799999999998"/>
    <x v="156"/>
    <x v="1"/>
    <x v="2"/>
    <n v="9602.7199999999993"/>
    <m/>
    <m/>
    <n v="10"/>
  </r>
  <r>
    <x v="7220"/>
    <x v="1438"/>
    <x v="0"/>
    <n v="4"/>
    <n v="1200.32"/>
    <x v="357"/>
    <x v="0"/>
    <x v="4"/>
    <n v="4801.28"/>
    <m/>
    <m/>
    <n v="5"/>
  </r>
  <r>
    <x v="7221"/>
    <x v="1438"/>
    <x v="2"/>
    <n v="5"/>
    <n v="26.15"/>
    <x v="207"/>
    <x v="0"/>
    <x v="0"/>
    <n v="130.75"/>
    <m/>
    <m/>
    <n v="5"/>
  </r>
  <r>
    <x v="7222"/>
    <x v="1438"/>
    <x v="2"/>
    <n v="1"/>
    <n v="5.23"/>
    <x v="324"/>
    <x v="0"/>
    <x v="1"/>
    <n v="5.23"/>
    <m/>
    <m/>
    <n v="5"/>
  </r>
  <r>
    <x v="7223"/>
    <x v="1438"/>
    <x v="7"/>
    <n v="5"/>
    <n v="58.65"/>
    <x v="102"/>
    <x v="8"/>
    <x v="4"/>
    <n v="293.25"/>
    <m/>
    <m/>
    <n v="5"/>
  </r>
  <r>
    <x v="7224"/>
    <x v="1438"/>
    <x v="0"/>
    <n v="1"/>
    <n v="300.08"/>
    <x v="793"/>
    <x v="1"/>
    <x v="2"/>
    <n v="300.08"/>
    <m/>
    <m/>
    <n v="10"/>
  </r>
  <r>
    <x v="7225"/>
    <x v="1439"/>
    <x v="5"/>
    <n v="3"/>
    <n v="1800.51"/>
    <x v="492"/>
    <x v="9"/>
    <x v="0"/>
    <n v="5401.53"/>
    <m/>
    <m/>
    <n v="5"/>
  </r>
  <r>
    <x v="7226"/>
    <x v="1439"/>
    <x v="6"/>
    <n v="3"/>
    <n v="107.52"/>
    <x v="14"/>
    <x v="1"/>
    <x v="4"/>
    <n v="322.56"/>
    <m/>
    <m/>
    <n v="5"/>
  </r>
  <r>
    <x v="7227"/>
    <x v="1439"/>
    <x v="5"/>
    <n v="5"/>
    <n v="3000.85"/>
    <x v="296"/>
    <x v="6"/>
    <x v="0"/>
    <n v="15004.25"/>
    <m/>
    <m/>
    <n v="5"/>
  </r>
  <r>
    <x v="7228"/>
    <x v="1439"/>
    <x v="2"/>
    <n v="4"/>
    <n v="20.92"/>
    <x v="164"/>
    <x v="4"/>
    <x v="0"/>
    <n v="83.68"/>
    <m/>
    <m/>
    <n v="7"/>
  </r>
  <r>
    <x v="7229"/>
    <x v="1440"/>
    <x v="7"/>
    <n v="2"/>
    <n v="23.46"/>
    <x v="65"/>
    <x v="4"/>
    <x v="2"/>
    <n v="46.92"/>
    <m/>
    <m/>
    <n v="5"/>
  </r>
  <r>
    <x v="7230"/>
    <x v="1440"/>
    <x v="0"/>
    <n v="4"/>
    <n v="1200.32"/>
    <x v="231"/>
    <x v="7"/>
    <x v="0"/>
    <n v="4801.28"/>
    <m/>
    <m/>
    <n v="5"/>
  </r>
  <r>
    <x v="7231"/>
    <x v="1440"/>
    <x v="0"/>
    <n v="3"/>
    <n v="900.24"/>
    <x v="56"/>
    <x v="0"/>
    <x v="2"/>
    <n v="2700.7200000000003"/>
    <m/>
    <m/>
    <n v="7"/>
  </r>
  <r>
    <x v="7232"/>
    <x v="1441"/>
    <x v="0"/>
    <n v="3"/>
    <n v="900.24"/>
    <x v="493"/>
    <x v="9"/>
    <x v="3"/>
    <n v="2700.7200000000003"/>
    <m/>
    <m/>
    <n v="5"/>
  </r>
  <r>
    <x v="7233"/>
    <x v="1441"/>
    <x v="2"/>
    <n v="1"/>
    <n v="5.23"/>
    <x v="489"/>
    <x v="4"/>
    <x v="4"/>
    <n v="5.23"/>
    <m/>
    <m/>
    <n v="7"/>
  </r>
  <r>
    <x v="7234"/>
    <x v="1441"/>
    <x v="4"/>
    <n v="2"/>
    <n v="2100"/>
    <x v="605"/>
    <x v="6"/>
    <x v="4"/>
    <n v="4200"/>
    <m/>
    <m/>
    <n v="7"/>
  </r>
  <r>
    <x v="7235"/>
    <x v="1441"/>
    <x v="1"/>
    <n v="2"/>
    <n v="81.319999999999993"/>
    <x v="734"/>
    <x v="8"/>
    <x v="1"/>
    <n v="162.63999999999999"/>
    <m/>
    <m/>
    <n v="7"/>
  </r>
  <r>
    <x v="7236"/>
    <x v="1441"/>
    <x v="1"/>
    <n v="5"/>
    <n v="203.3"/>
    <x v="311"/>
    <x v="5"/>
    <x v="1"/>
    <n v="1016.5"/>
    <m/>
    <m/>
    <n v="10"/>
  </r>
  <r>
    <x v="7237"/>
    <x v="1442"/>
    <x v="7"/>
    <n v="3"/>
    <n v="35.19"/>
    <x v="552"/>
    <x v="7"/>
    <x v="2"/>
    <n v="105.57"/>
    <m/>
    <m/>
    <n v="5"/>
  </r>
  <r>
    <x v="7238"/>
    <x v="1442"/>
    <x v="6"/>
    <n v="2"/>
    <n v="71.680000000000007"/>
    <x v="101"/>
    <x v="6"/>
    <x v="1"/>
    <n v="143.36000000000001"/>
    <m/>
    <m/>
    <n v="5"/>
  </r>
  <r>
    <x v="7239"/>
    <x v="1442"/>
    <x v="5"/>
    <n v="5"/>
    <n v="3000.85"/>
    <x v="652"/>
    <x v="3"/>
    <x v="4"/>
    <n v="15004.25"/>
    <m/>
    <m/>
    <n v="5"/>
  </r>
  <r>
    <x v="7240"/>
    <x v="1442"/>
    <x v="2"/>
    <n v="4"/>
    <n v="20.92"/>
    <x v="282"/>
    <x v="0"/>
    <x v="3"/>
    <n v="83.68"/>
    <m/>
    <m/>
    <n v="7"/>
  </r>
  <r>
    <x v="7241"/>
    <x v="1442"/>
    <x v="5"/>
    <n v="5"/>
    <n v="3000.85"/>
    <x v="287"/>
    <x v="1"/>
    <x v="1"/>
    <n v="15004.25"/>
    <m/>
    <m/>
    <n v="7"/>
  </r>
  <r>
    <x v="7242"/>
    <x v="1443"/>
    <x v="5"/>
    <n v="3"/>
    <n v="1800.51"/>
    <x v="381"/>
    <x v="1"/>
    <x v="2"/>
    <n v="5401.53"/>
    <m/>
    <m/>
    <n v="5"/>
  </r>
  <r>
    <x v="7243"/>
    <x v="1443"/>
    <x v="3"/>
    <n v="5"/>
    <n v="75.75"/>
    <x v="20"/>
    <x v="1"/>
    <x v="3"/>
    <n v="378.75"/>
    <m/>
    <m/>
    <n v="7"/>
  </r>
  <r>
    <x v="7244"/>
    <x v="1443"/>
    <x v="0"/>
    <n v="4"/>
    <n v="1200.32"/>
    <x v="722"/>
    <x v="0"/>
    <x v="2"/>
    <n v="4801.28"/>
    <m/>
    <m/>
    <n v="10"/>
  </r>
  <r>
    <x v="7245"/>
    <x v="1443"/>
    <x v="6"/>
    <n v="3"/>
    <n v="107.52"/>
    <x v="586"/>
    <x v="0"/>
    <x v="0"/>
    <n v="322.56"/>
    <m/>
    <m/>
    <n v="10"/>
  </r>
  <r>
    <x v="7246"/>
    <x v="1443"/>
    <x v="5"/>
    <n v="1"/>
    <n v="600.16999999999996"/>
    <x v="211"/>
    <x v="4"/>
    <x v="0"/>
    <n v="600.16999999999996"/>
    <m/>
    <m/>
    <n v="10"/>
  </r>
  <r>
    <x v="7247"/>
    <x v="1444"/>
    <x v="0"/>
    <n v="5"/>
    <n v="1500.4"/>
    <x v="198"/>
    <x v="1"/>
    <x v="0"/>
    <n v="7502"/>
    <m/>
    <m/>
    <n v="5"/>
  </r>
  <r>
    <x v="7248"/>
    <x v="1444"/>
    <x v="2"/>
    <n v="4"/>
    <n v="20.92"/>
    <x v="474"/>
    <x v="1"/>
    <x v="1"/>
    <n v="83.68"/>
    <m/>
    <m/>
    <n v="5"/>
  </r>
  <r>
    <x v="7249"/>
    <x v="1444"/>
    <x v="0"/>
    <n v="2"/>
    <n v="600.16"/>
    <x v="697"/>
    <x v="3"/>
    <x v="0"/>
    <n v="1200.32"/>
    <m/>
    <m/>
    <n v="5"/>
  </r>
  <r>
    <x v="7250"/>
    <x v="1444"/>
    <x v="0"/>
    <n v="4"/>
    <n v="1200.32"/>
    <x v="380"/>
    <x v="0"/>
    <x v="0"/>
    <n v="4801.28"/>
    <m/>
    <m/>
    <n v="5"/>
  </r>
  <r>
    <x v="7251"/>
    <x v="1444"/>
    <x v="0"/>
    <n v="5"/>
    <n v="1500.4"/>
    <x v="167"/>
    <x v="9"/>
    <x v="0"/>
    <n v="7502"/>
    <m/>
    <m/>
    <n v="5"/>
  </r>
  <r>
    <x v="7252"/>
    <x v="1444"/>
    <x v="1"/>
    <n v="3"/>
    <n v="121.98"/>
    <x v="370"/>
    <x v="0"/>
    <x v="3"/>
    <n v="365.94"/>
    <m/>
    <m/>
    <n v="7"/>
  </r>
  <r>
    <x v="7253"/>
    <x v="1444"/>
    <x v="3"/>
    <n v="2"/>
    <n v="30.3"/>
    <x v="764"/>
    <x v="2"/>
    <x v="3"/>
    <n v="60.6"/>
    <m/>
    <m/>
    <n v="7"/>
  </r>
  <r>
    <x v="7254"/>
    <x v="1445"/>
    <x v="2"/>
    <n v="4"/>
    <n v="20.92"/>
    <x v="424"/>
    <x v="1"/>
    <x v="1"/>
    <n v="83.68"/>
    <m/>
    <m/>
    <n v="5"/>
  </r>
  <r>
    <x v="7255"/>
    <x v="1445"/>
    <x v="2"/>
    <n v="1"/>
    <n v="5.23"/>
    <x v="409"/>
    <x v="1"/>
    <x v="3"/>
    <n v="5.23"/>
    <m/>
    <m/>
    <n v="7"/>
  </r>
  <r>
    <x v="7256"/>
    <x v="1445"/>
    <x v="0"/>
    <n v="4"/>
    <n v="1200.32"/>
    <x v="247"/>
    <x v="9"/>
    <x v="2"/>
    <n v="4801.28"/>
    <m/>
    <m/>
    <n v="10"/>
  </r>
  <r>
    <x v="7257"/>
    <x v="1446"/>
    <x v="0"/>
    <n v="3"/>
    <n v="900.24"/>
    <x v="678"/>
    <x v="9"/>
    <x v="0"/>
    <n v="2700.7200000000003"/>
    <m/>
    <m/>
    <n v="5"/>
  </r>
  <r>
    <x v="7258"/>
    <x v="1446"/>
    <x v="1"/>
    <n v="4"/>
    <n v="162.63999999999999"/>
    <x v="257"/>
    <x v="1"/>
    <x v="1"/>
    <n v="650.55999999999995"/>
    <m/>
    <m/>
    <n v="5"/>
  </r>
  <r>
    <x v="7259"/>
    <x v="1446"/>
    <x v="0"/>
    <n v="5"/>
    <n v="1500.4"/>
    <x v="230"/>
    <x v="1"/>
    <x v="2"/>
    <n v="7502"/>
    <m/>
    <m/>
    <n v="5"/>
  </r>
  <r>
    <x v="7260"/>
    <x v="1446"/>
    <x v="5"/>
    <n v="3"/>
    <n v="1800.51"/>
    <x v="577"/>
    <x v="0"/>
    <x v="3"/>
    <n v="5401.53"/>
    <m/>
    <m/>
    <n v="7"/>
  </r>
  <r>
    <x v="7261"/>
    <x v="1446"/>
    <x v="0"/>
    <n v="2"/>
    <n v="600.16"/>
    <x v="572"/>
    <x v="1"/>
    <x v="3"/>
    <n v="1200.32"/>
    <m/>
    <m/>
    <n v="7"/>
  </r>
  <r>
    <x v="7262"/>
    <x v="1447"/>
    <x v="2"/>
    <n v="5"/>
    <n v="26.15"/>
    <x v="22"/>
    <x v="5"/>
    <x v="2"/>
    <n v="130.75"/>
    <m/>
    <m/>
    <n v="5"/>
  </r>
  <r>
    <x v="7263"/>
    <x v="1447"/>
    <x v="0"/>
    <n v="2"/>
    <n v="600.16"/>
    <x v="335"/>
    <x v="6"/>
    <x v="0"/>
    <n v="1200.32"/>
    <m/>
    <m/>
    <n v="5"/>
  </r>
  <r>
    <x v="7264"/>
    <x v="1447"/>
    <x v="4"/>
    <n v="5"/>
    <n v="5250"/>
    <x v="342"/>
    <x v="3"/>
    <x v="4"/>
    <n v="26250"/>
    <m/>
    <m/>
    <n v="7"/>
  </r>
  <r>
    <x v="7265"/>
    <x v="1447"/>
    <x v="2"/>
    <n v="3"/>
    <n v="15.69"/>
    <x v="3"/>
    <x v="1"/>
    <x v="1"/>
    <n v="47.07"/>
    <m/>
    <m/>
    <n v="7"/>
  </r>
  <r>
    <x v="7266"/>
    <x v="1447"/>
    <x v="1"/>
    <n v="3"/>
    <n v="121.98"/>
    <x v="482"/>
    <x v="7"/>
    <x v="1"/>
    <n v="365.94"/>
    <m/>
    <m/>
    <n v="10"/>
  </r>
  <r>
    <x v="7267"/>
    <x v="1448"/>
    <x v="2"/>
    <n v="5"/>
    <n v="26.15"/>
    <x v="488"/>
    <x v="0"/>
    <x v="1"/>
    <n v="130.75"/>
    <m/>
    <m/>
    <n v="7"/>
  </r>
  <r>
    <x v="7268"/>
    <x v="1448"/>
    <x v="0"/>
    <n v="3"/>
    <n v="900.24"/>
    <x v="439"/>
    <x v="7"/>
    <x v="0"/>
    <n v="2700.7200000000003"/>
    <m/>
    <m/>
    <n v="7"/>
  </r>
  <r>
    <x v="7269"/>
    <x v="1448"/>
    <x v="0"/>
    <n v="2"/>
    <n v="600.16"/>
    <x v="481"/>
    <x v="0"/>
    <x v="2"/>
    <n v="1200.32"/>
    <m/>
    <m/>
    <n v="7"/>
  </r>
  <r>
    <x v="7270"/>
    <x v="1449"/>
    <x v="0"/>
    <n v="5"/>
    <n v="1500.4"/>
    <x v="72"/>
    <x v="4"/>
    <x v="1"/>
    <n v="7502"/>
    <m/>
    <m/>
    <n v="5"/>
  </r>
  <r>
    <x v="7271"/>
    <x v="1449"/>
    <x v="0"/>
    <n v="3"/>
    <n v="900.24"/>
    <x v="606"/>
    <x v="1"/>
    <x v="2"/>
    <n v="2700.7200000000003"/>
    <m/>
    <m/>
    <n v="5"/>
  </r>
  <r>
    <x v="7272"/>
    <x v="1449"/>
    <x v="2"/>
    <n v="4"/>
    <n v="20.92"/>
    <x v="82"/>
    <x v="1"/>
    <x v="4"/>
    <n v="83.68"/>
    <m/>
    <m/>
    <n v="5"/>
  </r>
  <r>
    <x v="7273"/>
    <x v="1449"/>
    <x v="1"/>
    <n v="1"/>
    <n v="40.659999999999997"/>
    <x v="35"/>
    <x v="1"/>
    <x v="1"/>
    <n v="40.659999999999997"/>
    <m/>
    <m/>
    <n v="7"/>
  </r>
  <r>
    <x v="7274"/>
    <x v="1449"/>
    <x v="2"/>
    <n v="5"/>
    <n v="26.15"/>
    <x v="625"/>
    <x v="7"/>
    <x v="3"/>
    <n v="130.75"/>
    <m/>
    <m/>
    <n v="7"/>
  </r>
  <r>
    <x v="7275"/>
    <x v="1449"/>
    <x v="6"/>
    <n v="5"/>
    <n v="179.2"/>
    <x v="470"/>
    <x v="0"/>
    <x v="2"/>
    <n v="896"/>
    <m/>
    <m/>
    <n v="7"/>
  </r>
  <r>
    <x v="7276"/>
    <x v="1449"/>
    <x v="6"/>
    <n v="1"/>
    <n v="35.840000000000003"/>
    <x v="243"/>
    <x v="5"/>
    <x v="1"/>
    <n v="35.840000000000003"/>
    <m/>
    <m/>
    <n v="7"/>
  </r>
  <r>
    <x v="7277"/>
    <x v="1450"/>
    <x v="2"/>
    <n v="4"/>
    <n v="20.92"/>
    <x v="353"/>
    <x v="2"/>
    <x v="4"/>
    <n v="83.68"/>
    <m/>
    <m/>
    <n v="7"/>
  </r>
  <r>
    <x v="7278"/>
    <x v="1450"/>
    <x v="4"/>
    <n v="5"/>
    <n v="5250"/>
    <x v="227"/>
    <x v="6"/>
    <x v="4"/>
    <n v="26250"/>
    <m/>
    <m/>
    <n v="7"/>
  </r>
  <r>
    <x v="7279"/>
    <x v="1450"/>
    <x v="0"/>
    <n v="5"/>
    <n v="1500.4"/>
    <x v="254"/>
    <x v="0"/>
    <x v="4"/>
    <n v="7502"/>
    <m/>
    <m/>
    <n v="7"/>
  </r>
  <r>
    <x v="7280"/>
    <x v="1451"/>
    <x v="2"/>
    <n v="3"/>
    <n v="15.69"/>
    <x v="357"/>
    <x v="3"/>
    <x v="1"/>
    <n v="47.07"/>
    <m/>
    <m/>
    <n v="5"/>
  </r>
  <r>
    <x v="7281"/>
    <x v="1451"/>
    <x v="6"/>
    <n v="2"/>
    <n v="71.680000000000007"/>
    <x v="525"/>
    <x v="2"/>
    <x v="1"/>
    <n v="143.36000000000001"/>
    <m/>
    <m/>
    <n v="5"/>
  </r>
  <r>
    <x v="7282"/>
    <x v="1451"/>
    <x v="0"/>
    <n v="1"/>
    <n v="300.08"/>
    <x v="612"/>
    <x v="1"/>
    <x v="1"/>
    <n v="300.08"/>
    <m/>
    <m/>
    <n v="7"/>
  </r>
  <r>
    <x v="7283"/>
    <x v="1451"/>
    <x v="0"/>
    <n v="2"/>
    <n v="600.16"/>
    <x v="546"/>
    <x v="8"/>
    <x v="1"/>
    <n v="1200.32"/>
    <m/>
    <m/>
    <n v="7"/>
  </r>
  <r>
    <x v="7284"/>
    <x v="1451"/>
    <x v="1"/>
    <n v="3"/>
    <n v="121.98"/>
    <x v="377"/>
    <x v="0"/>
    <x v="4"/>
    <n v="365.94"/>
    <m/>
    <m/>
    <n v="7"/>
  </r>
  <r>
    <x v="7285"/>
    <x v="1451"/>
    <x v="0"/>
    <n v="2"/>
    <n v="600.16"/>
    <x v="256"/>
    <x v="6"/>
    <x v="4"/>
    <n v="1200.32"/>
    <m/>
    <m/>
    <n v="7"/>
  </r>
  <r>
    <x v="7286"/>
    <x v="1452"/>
    <x v="0"/>
    <n v="5"/>
    <n v="1500.4"/>
    <x v="312"/>
    <x v="9"/>
    <x v="4"/>
    <n v="7502"/>
    <m/>
    <m/>
    <n v="5"/>
  </r>
  <r>
    <x v="7287"/>
    <x v="1452"/>
    <x v="5"/>
    <n v="1"/>
    <n v="600.16999999999996"/>
    <x v="522"/>
    <x v="6"/>
    <x v="4"/>
    <n v="600.16999999999996"/>
    <m/>
    <m/>
    <n v="5"/>
  </r>
  <r>
    <x v="7288"/>
    <x v="1452"/>
    <x v="2"/>
    <n v="4"/>
    <n v="20.92"/>
    <x v="726"/>
    <x v="6"/>
    <x v="4"/>
    <n v="83.68"/>
    <m/>
    <m/>
    <n v="7"/>
  </r>
  <r>
    <x v="7289"/>
    <x v="1452"/>
    <x v="4"/>
    <n v="3"/>
    <n v="3150"/>
    <x v="506"/>
    <x v="1"/>
    <x v="4"/>
    <n v="9450"/>
    <m/>
    <m/>
    <n v="7"/>
  </r>
  <r>
    <x v="7290"/>
    <x v="1452"/>
    <x v="1"/>
    <n v="2"/>
    <n v="81.319999999999993"/>
    <x v="297"/>
    <x v="4"/>
    <x v="4"/>
    <n v="162.63999999999999"/>
    <m/>
    <m/>
    <n v="7"/>
  </r>
  <r>
    <x v="7291"/>
    <x v="1452"/>
    <x v="0"/>
    <n v="3"/>
    <n v="900.24"/>
    <x v="442"/>
    <x v="9"/>
    <x v="2"/>
    <n v="2700.7200000000003"/>
    <m/>
    <m/>
    <n v="10"/>
  </r>
  <r>
    <x v="7292"/>
    <x v="1453"/>
    <x v="2"/>
    <n v="2"/>
    <n v="10.46"/>
    <x v="479"/>
    <x v="1"/>
    <x v="4"/>
    <n v="20.92"/>
    <m/>
    <m/>
    <n v="5"/>
  </r>
  <r>
    <x v="7293"/>
    <x v="1453"/>
    <x v="7"/>
    <n v="3"/>
    <n v="35.19"/>
    <x v="795"/>
    <x v="0"/>
    <x v="0"/>
    <n v="105.57"/>
    <m/>
    <m/>
    <n v="5"/>
  </r>
  <r>
    <x v="7294"/>
    <x v="1453"/>
    <x v="5"/>
    <n v="3"/>
    <n v="1800.51"/>
    <x v="6"/>
    <x v="0"/>
    <x v="4"/>
    <n v="5401.53"/>
    <m/>
    <m/>
    <n v="7"/>
  </r>
  <r>
    <x v="7295"/>
    <x v="1453"/>
    <x v="2"/>
    <n v="5"/>
    <n v="26.15"/>
    <x v="448"/>
    <x v="6"/>
    <x v="0"/>
    <n v="130.75"/>
    <m/>
    <m/>
    <n v="7"/>
  </r>
  <r>
    <x v="7296"/>
    <x v="1453"/>
    <x v="5"/>
    <n v="4"/>
    <n v="2400.6799999999998"/>
    <x v="371"/>
    <x v="7"/>
    <x v="3"/>
    <n v="9602.7199999999993"/>
    <m/>
    <m/>
    <n v="7"/>
  </r>
  <r>
    <x v="7297"/>
    <x v="1453"/>
    <x v="6"/>
    <n v="1"/>
    <n v="35.840000000000003"/>
    <x v="287"/>
    <x v="1"/>
    <x v="2"/>
    <n v="35.840000000000003"/>
    <m/>
    <m/>
    <n v="7"/>
  </r>
  <r>
    <x v="7298"/>
    <x v="1453"/>
    <x v="1"/>
    <n v="4"/>
    <n v="162.63999999999999"/>
    <x v="254"/>
    <x v="1"/>
    <x v="1"/>
    <n v="650.55999999999995"/>
    <m/>
    <m/>
    <n v="7"/>
  </r>
  <r>
    <x v="7299"/>
    <x v="1454"/>
    <x v="1"/>
    <n v="3"/>
    <n v="121.98"/>
    <x v="444"/>
    <x v="0"/>
    <x v="0"/>
    <n v="365.94"/>
    <m/>
    <m/>
    <n v="7"/>
  </r>
  <r>
    <x v="7300"/>
    <x v="1455"/>
    <x v="0"/>
    <n v="2"/>
    <n v="600.16"/>
    <x v="293"/>
    <x v="6"/>
    <x v="3"/>
    <n v="1200.32"/>
    <m/>
    <m/>
    <n v="5"/>
  </r>
  <r>
    <x v="7301"/>
    <x v="1455"/>
    <x v="4"/>
    <n v="5"/>
    <n v="5250"/>
    <x v="566"/>
    <x v="6"/>
    <x v="2"/>
    <n v="26250"/>
    <m/>
    <m/>
    <n v="5"/>
  </r>
  <r>
    <x v="7302"/>
    <x v="1455"/>
    <x v="0"/>
    <n v="2"/>
    <n v="600.16"/>
    <x v="646"/>
    <x v="6"/>
    <x v="1"/>
    <n v="1200.32"/>
    <m/>
    <m/>
    <n v="5"/>
  </r>
  <r>
    <x v="7303"/>
    <x v="1455"/>
    <x v="2"/>
    <n v="5"/>
    <n v="26.15"/>
    <x v="288"/>
    <x v="5"/>
    <x v="0"/>
    <n v="130.75"/>
    <m/>
    <m/>
    <n v="7"/>
  </r>
  <r>
    <x v="7304"/>
    <x v="1456"/>
    <x v="2"/>
    <n v="3"/>
    <n v="15.69"/>
    <x v="676"/>
    <x v="1"/>
    <x v="3"/>
    <n v="47.07"/>
    <m/>
    <m/>
    <n v="5"/>
  </r>
  <r>
    <x v="7305"/>
    <x v="1456"/>
    <x v="0"/>
    <n v="3"/>
    <n v="900.24"/>
    <x v="773"/>
    <x v="0"/>
    <x v="4"/>
    <n v="2700.7200000000003"/>
    <m/>
    <m/>
    <n v="5"/>
  </r>
  <r>
    <x v="7306"/>
    <x v="1456"/>
    <x v="6"/>
    <n v="2"/>
    <n v="71.680000000000007"/>
    <x v="573"/>
    <x v="1"/>
    <x v="3"/>
    <n v="143.36000000000001"/>
    <m/>
    <m/>
    <n v="7"/>
  </r>
  <r>
    <x v="7307"/>
    <x v="1456"/>
    <x v="1"/>
    <n v="2"/>
    <n v="81.319999999999993"/>
    <x v="508"/>
    <x v="0"/>
    <x v="3"/>
    <n v="162.63999999999999"/>
    <m/>
    <m/>
    <n v="7"/>
  </r>
  <r>
    <x v="7308"/>
    <x v="1456"/>
    <x v="3"/>
    <n v="1"/>
    <n v="15.15"/>
    <x v="531"/>
    <x v="6"/>
    <x v="4"/>
    <n v="15.15"/>
    <m/>
    <m/>
    <n v="7"/>
  </r>
  <r>
    <x v="7309"/>
    <x v="1456"/>
    <x v="0"/>
    <n v="1"/>
    <n v="300.08"/>
    <x v="49"/>
    <x v="1"/>
    <x v="2"/>
    <n v="300.08"/>
    <m/>
    <m/>
    <n v="7"/>
  </r>
  <r>
    <x v="7310"/>
    <x v="1456"/>
    <x v="7"/>
    <n v="5"/>
    <n v="58.65"/>
    <x v="263"/>
    <x v="9"/>
    <x v="2"/>
    <n v="293.25"/>
    <m/>
    <m/>
    <n v="7"/>
  </r>
  <r>
    <x v="7311"/>
    <x v="1457"/>
    <x v="5"/>
    <n v="1"/>
    <n v="600.16999999999996"/>
    <x v="580"/>
    <x v="0"/>
    <x v="3"/>
    <n v="600.16999999999996"/>
    <m/>
    <m/>
    <n v="7"/>
  </r>
  <r>
    <x v="7312"/>
    <x v="1457"/>
    <x v="0"/>
    <n v="2"/>
    <n v="600.16"/>
    <x v="690"/>
    <x v="9"/>
    <x v="4"/>
    <n v="1200.32"/>
    <m/>
    <m/>
    <n v="7"/>
  </r>
  <r>
    <x v="7313"/>
    <x v="1457"/>
    <x v="0"/>
    <n v="1"/>
    <n v="300.08"/>
    <x v="12"/>
    <x v="0"/>
    <x v="3"/>
    <n v="300.08"/>
    <m/>
    <m/>
    <n v="7"/>
  </r>
  <r>
    <x v="7314"/>
    <x v="1457"/>
    <x v="2"/>
    <n v="4"/>
    <n v="20.92"/>
    <x v="517"/>
    <x v="1"/>
    <x v="0"/>
    <n v="83.68"/>
    <m/>
    <m/>
    <n v="10"/>
  </r>
  <r>
    <x v="7315"/>
    <x v="1457"/>
    <x v="3"/>
    <n v="1"/>
    <n v="15.15"/>
    <x v="299"/>
    <x v="6"/>
    <x v="4"/>
    <n v="15.15"/>
    <m/>
    <m/>
    <n v="10"/>
  </r>
  <r>
    <x v="7316"/>
    <x v="1458"/>
    <x v="0"/>
    <n v="1"/>
    <n v="300.08"/>
    <x v="184"/>
    <x v="9"/>
    <x v="0"/>
    <n v="300.08"/>
    <m/>
    <m/>
    <n v="5"/>
  </r>
  <r>
    <x v="7317"/>
    <x v="1458"/>
    <x v="1"/>
    <n v="2"/>
    <n v="81.319999999999993"/>
    <x v="552"/>
    <x v="8"/>
    <x v="1"/>
    <n v="162.63999999999999"/>
    <m/>
    <m/>
    <n v="5"/>
  </r>
  <r>
    <x v="7318"/>
    <x v="1458"/>
    <x v="0"/>
    <n v="1"/>
    <n v="300.08"/>
    <x v="79"/>
    <x v="1"/>
    <x v="1"/>
    <n v="300.08"/>
    <m/>
    <m/>
    <n v="5"/>
  </r>
  <r>
    <x v="7319"/>
    <x v="1458"/>
    <x v="1"/>
    <n v="2"/>
    <n v="81.319999999999993"/>
    <x v="231"/>
    <x v="7"/>
    <x v="3"/>
    <n v="162.63999999999999"/>
    <m/>
    <m/>
    <n v="5"/>
  </r>
  <r>
    <x v="7320"/>
    <x v="1458"/>
    <x v="0"/>
    <n v="4"/>
    <n v="1200.32"/>
    <x v="276"/>
    <x v="4"/>
    <x v="4"/>
    <n v="4801.28"/>
    <m/>
    <m/>
    <n v="5"/>
  </r>
  <r>
    <x v="7321"/>
    <x v="1458"/>
    <x v="0"/>
    <n v="5"/>
    <n v="1500.4"/>
    <x v="406"/>
    <x v="2"/>
    <x v="2"/>
    <n v="7502"/>
    <m/>
    <m/>
    <n v="5"/>
  </r>
  <r>
    <x v="7322"/>
    <x v="1458"/>
    <x v="5"/>
    <n v="1"/>
    <n v="600.16999999999996"/>
    <x v="18"/>
    <x v="7"/>
    <x v="0"/>
    <n v="600.16999999999996"/>
    <m/>
    <m/>
    <n v="7"/>
  </r>
  <r>
    <x v="7323"/>
    <x v="1458"/>
    <x v="1"/>
    <n v="2"/>
    <n v="81.319999999999993"/>
    <x v="428"/>
    <x v="1"/>
    <x v="3"/>
    <n v="162.63999999999999"/>
    <m/>
    <m/>
    <n v="7"/>
  </r>
  <r>
    <x v="7324"/>
    <x v="1459"/>
    <x v="0"/>
    <n v="4"/>
    <n v="1200.32"/>
    <x v="198"/>
    <x v="0"/>
    <x v="2"/>
    <n v="4801.28"/>
    <m/>
    <m/>
    <n v="5"/>
  </r>
  <r>
    <x v="7325"/>
    <x v="1459"/>
    <x v="0"/>
    <n v="2"/>
    <n v="600.16"/>
    <x v="625"/>
    <x v="0"/>
    <x v="2"/>
    <n v="1200.32"/>
    <m/>
    <m/>
    <n v="7"/>
  </r>
  <r>
    <x v="7326"/>
    <x v="1459"/>
    <x v="1"/>
    <n v="2"/>
    <n v="81.319999999999993"/>
    <x v="513"/>
    <x v="0"/>
    <x v="2"/>
    <n v="162.63999999999999"/>
    <m/>
    <m/>
    <n v="7"/>
  </r>
  <r>
    <x v="7327"/>
    <x v="1460"/>
    <x v="1"/>
    <n v="1"/>
    <n v="40.659999999999997"/>
    <x v="720"/>
    <x v="1"/>
    <x v="2"/>
    <n v="40.659999999999997"/>
    <m/>
    <m/>
    <n v="5"/>
  </r>
  <r>
    <x v="7328"/>
    <x v="1460"/>
    <x v="0"/>
    <n v="1"/>
    <n v="300.08"/>
    <x v="679"/>
    <x v="6"/>
    <x v="4"/>
    <n v="300.08"/>
    <m/>
    <m/>
    <n v="7"/>
  </r>
  <r>
    <x v="7329"/>
    <x v="1460"/>
    <x v="1"/>
    <n v="1"/>
    <n v="40.659999999999997"/>
    <x v="615"/>
    <x v="1"/>
    <x v="3"/>
    <n v="40.659999999999997"/>
    <m/>
    <m/>
    <n v="7"/>
  </r>
  <r>
    <x v="7330"/>
    <x v="1461"/>
    <x v="5"/>
    <n v="3"/>
    <n v="1800.51"/>
    <x v="389"/>
    <x v="9"/>
    <x v="0"/>
    <n v="5401.53"/>
    <m/>
    <m/>
    <n v="5"/>
  </r>
  <r>
    <x v="7331"/>
    <x v="1461"/>
    <x v="2"/>
    <n v="3"/>
    <n v="15.69"/>
    <x v="144"/>
    <x v="1"/>
    <x v="2"/>
    <n v="47.07"/>
    <m/>
    <m/>
    <n v="5"/>
  </r>
  <r>
    <x v="7332"/>
    <x v="1461"/>
    <x v="5"/>
    <n v="2"/>
    <n v="1200.3399999999999"/>
    <x v="555"/>
    <x v="9"/>
    <x v="3"/>
    <n v="2400.6799999999998"/>
    <m/>
    <m/>
    <n v="5"/>
  </r>
  <r>
    <x v="7333"/>
    <x v="1461"/>
    <x v="2"/>
    <n v="1"/>
    <n v="5.23"/>
    <x v="673"/>
    <x v="6"/>
    <x v="3"/>
    <n v="5.23"/>
    <m/>
    <m/>
    <n v="7"/>
  </r>
  <r>
    <x v="7334"/>
    <x v="1461"/>
    <x v="0"/>
    <n v="2"/>
    <n v="600.16"/>
    <x v="209"/>
    <x v="0"/>
    <x v="4"/>
    <n v="1200.32"/>
    <m/>
    <m/>
    <n v="7"/>
  </r>
  <r>
    <x v="7335"/>
    <x v="1461"/>
    <x v="4"/>
    <n v="4"/>
    <n v="4200"/>
    <x v="193"/>
    <x v="4"/>
    <x v="1"/>
    <n v="16800"/>
    <m/>
    <m/>
    <n v="7"/>
  </r>
  <r>
    <x v="7336"/>
    <x v="1461"/>
    <x v="0"/>
    <n v="2"/>
    <n v="600.16"/>
    <x v="371"/>
    <x v="0"/>
    <x v="0"/>
    <n v="1200.32"/>
    <m/>
    <m/>
    <n v="7"/>
  </r>
  <r>
    <x v="7337"/>
    <x v="1461"/>
    <x v="2"/>
    <n v="5"/>
    <n v="26.15"/>
    <x v="253"/>
    <x v="9"/>
    <x v="4"/>
    <n v="130.75"/>
    <m/>
    <m/>
    <n v="7"/>
  </r>
  <r>
    <x v="7338"/>
    <x v="1461"/>
    <x v="0"/>
    <n v="4"/>
    <n v="1200.32"/>
    <x v="52"/>
    <x v="4"/>
    <x v="0"/>
    <n v="4801.28"/>
    <m/>
    <m/>
    <n v="7"/>
  </r>
  <r>
    <x v="7339"/>
    <x v="1461"/>
    <x v="4"/>
    <n v="1"/>
    <n v="1050"/>
    <x v="722"/>
    <x v="0"/>
    <x v="0"/>
    <n v="1050"/>
    <m/>
    <m/>
    <n v="10"/>
  </r>
  <r>
    <x v="7340"/>
    <x v="1462"/>
    <x v="2"/>
    <n v="3"/>
    <n v="15.69"/>
    <x v="175"/>
    <x v="0"/>
    <x v="4"/>
    <n v="47.07"/>
    <m/>
    <m/>
    <n v="5"/>
  </r>
  <r>
    <x v="7341"/>
    <x v="1462"/>
    <x v="2"/>
    <n v="2"/>
    <n v="10.46"/>
    <x v="534"/>
    <x v="0"/>
    <x v="1"/>
    <n v="20.92"/>
    <m/>
    <m/>
    <n v="5"/>
  </r>
  <r>
    <x v="7342"/>
    <x v="1462"/>
    <x v="5"/>
    <n v="1"/>
    <n v="600.16999999999996"/>
    <x v="140"/>
    <x v="5"/>
    <x v="0"/>
    <n v="600.16999999999996"/>
    <m/>
    <m/>
    <n v="7"/>
  </r>
  <r>
    <x v="7343"/>
    <x v="1462"/>
    <x v="3"/>
    <n v="2"/>
    <n v="30.3"/>
    <x v="603"/>
    <x v="4"/>
    <x v="0"/>
    <n v="60.6"/>
    <m/>
    <m/>
    <n v="7"/>
  </r>
  <r>
    <x v="7344"/>
    <x v="1462"/>
    <x v="5"/>
    <n v="3"/>
    <n v="1800.51"/>
    <x v="19"/>
    <x v="9"/>
    <x v="4"/>
    <n v="5401.53"/>
    <m/>
    <m/>
    <n v="7"/>
  </r>
  <r>
    <x v="7345"/>
    <x v="1463"/>
    <x v="6"/>
    <n v="5"/>
    <n v="179.2"/>
    <x v="268"/>
    <x v="1"/>
    <x v="1"/>
    <n v="896"/>
    <m/>
    <m/>
    <n v="5"/>
  </r>
  <r>
    <x v="7346"/>
    <x v="1463"/>
    <x v="6"/>
    <n v="3"/>
    <n v="107.52"/>
    <x v="384"/>
    <x v="0"/>
    <x v="1"/>
    <n v="322.56"/>
    <m/>
    <m/>
    <n v="7"/>
  </r>
  <r>
    <x v="7347"/>
    <x v="1463"/>
    <x v="2"/>
    <n v="3"/>
    <n v="15.69"/>
    <x v="23"/>
    <x v="0"/>
    <x v="1"/>
    <n v="47.07"/>
    <m/>
    <m/>
    <n v="7"/>
  </r>
  <r>
    <x v="7348"/>
    <x v="1464"/>
    <x v="7"/>
    <n v="1"/>
    <n v="11.73"/>
    <x v="68"/>
    <x v="0"/>
    <x v="3"/>
    <n v="11.73"/>
    <m/>
    <m/>
    <n v="5"/>
  </r>
  <r>
    <x v="7349"/>
    <x v="1464"/>
    <x v="0"/>
    <n v="1"/>
    <n v="300.08"/>
    <x v="434"/>
    <x v="2"/>
    <x v="2"/>
    <n v="300.08"/>
    <m/>
    <m/>
    <n v="5"/>
  </r>
  <r>
    <x v="7350"/>
    <x v="1464"/>
    <x v="4"/>
    <n v="5"/>
    <n v="5250"/>
    <x v="137"/>
    <x v="0"/>
    <x v="3"/>
    <n v="26250"/>
    <m/>
    <m/>
    <n v="5"/>
  </r>
  <r>
    <x v="7351"/>
    <x v="1464"/>
    <x v="1"/>
    <n v="2"/>
    <n v="81.319999999999993"/>
    <x v="282"/>
    <x v="9"/>
    <x v="2"/>
    <n v="162.63999999999999"/>
    <m/>
    <m/>
    <n v="7"/>
  </r>
  <r>
    <x v="7352"/>
    <x v="1464"/>
    <x v="6"/>
    <n v="5"/>
    <n v="179.2"/>
    <x v="448"/>
    <x v="1"/>
    <x v="0"/>
    <n v="896"/>
    <m/>
    <m/>
    <n v="7"/>
  </r>
  <r>
    <x v="7353"/>
    <x v="1465"/>
    <x v="5"/>
    <n v="3"/>
    <n v="1800.51"/>
    <x v="434"/>
    <x v="4"/>
    <x v="3"/>
    <n v="5401.53"/>
    <m/>
    <m/>
    <n v="5"/>
  </r>
  <r>
    <x v="7354"/>
    <x v="1465"/>
    <x v="6"/>
    <n v="1"/>
    <n v="35.840000000000003"/>
    <x v="690"/>
    <x v="8"/>
    <x v="0"/>
    <n v="35.840000000000003"/>
    <m/>
    <m/>
    <n v="7"/>
  </r>
  <r>
    <x v="7355"/>
    <x v="1465"/>
    <x v="7"/>
    <n v="3"/>
    <n v="35.19"/>
    <x v="243"/>
    <x v="4"/>
    <x v="0"/>
    <n v="105.57"/>
    <m/>
    <m/>
    <n v="7"/>
  </r>
  <r>
    <x v="7356"/>
    <x v="1466"/>
    <x v="5"/>
    <n v="1"/>
    <n v="600.16999999999996"/>
    <x v="557"/>
    <x v="1"/>
    <x v="2"/>
    <n v="600.16999999999996"/>
    <m/>
    <m/>
    <n v="7"/>
  </r>
  <r>
    <x v="7357"/>
    <x v="1466"/>
    <x v="2"/>
    <n v="3"/>
    <n v="15.69"/>
    <x v="272"/>
    <x v="6"/>
    <x v="0"/>
    <n v="47.07"/>
    <m/>
    <m/>
    <n v="7"/>
  </r>
  <r>
    <x v="7358"/>
    <x v="1466"/>
    <x v="7"/>
    <n v="3"/>
    <n v="35.19"/>
    <x v="49"/>
    <x v="4"/>
    <x v="4"/>
    <n v="105.57"/>
    <m/>
    <m/>
    <n v="7"/>
  </r>
  <r>
    <x v="7359"/>
    <x v="1467"/>
    <x v="0"/>
    <n v="4"/>
    <n v="1200.32"/>
    <x v="652"/>
    <x v="9"/>
    <x v="4"/>
    <n v="4801.28"/>
    <m/>
    <m/>
    <n v="5"/>
  </r>
  <r>
    <x v="7360"/>
    <x v="1468"/>
    <x v="0"/>
    <n v="2"/>
    <n v="600.16"/>
    <x v="224"/>
    <x v="6"/>
    <x v="0"/>
    <n v="1200.32"/>
    <m/>
    <m/>
    <n v="5"/>
  </r>
  <r>
    <x v="7361"/>
    <x v="1468"/>
    <x v="4"/>
    <n v="1"/>
    <n v="1050"/>
    <x v="527"/>
    <x v="4"/>
    <x v="4"/>
    <n v="1050"/>
    <m/>
    <m/>
    <n v="5"/>
  </r>
  <r>
    <x v="7362"/>
    <x v="1468"/>
    <x v="0"/>
    <n v="2"/>
    <n v="600.16"/>
    <x v="290"/>
    <x v="9"/>
    <x v="1"/>
    <n v="1200.32"/>
    <m/>
    <m/>
    <n v="5"/>
  </r>
  <r>
    <x v="7363"/>
    <x v="1468"/>
    <x v="6"/>
    <n v="3"/>
    <n v="107.52"/>
    <x v="141"/>
    <x v="4"/>
    <x v="3"/>
    <n v="322.56"/>
    <m/>
    <m/>
    <n v="5"/>
  </r>
  <r>
    <x v="7364"/>
    <x v="1468"/>
    <x v="2"/>
    <n v="1"/>
    <n v="5.23"/>
    <x v="39"/>
    <x v="1"/>
    <x v="2"/>
    <n v="5.23"/>
    <m/>
    <m/>
    <n v="5"/>
  </r>
  <r>
    <x v="7365"/>
    <x v="1468"/>
    <x v="6"/>
    <n v="3"/>
    <n v="107.52"/>
    <x v="291"/>
    <x v="1"/>
    <x v="4"/>
    <n v="322.56"/>
    <m/>
    <m/>
    <n v="5"/>
  </r>
  <r>
    <x v="7366"/>
    <x v="1468"/>
    <x v="0"/>
    <n v="4"/>
    <n v="1200.32"/>
    <x v="387"/>
    <x v="5"/>
    <x v="4"/>
    <n v="4801.28"/>
    <m/>
    <m/>
    <n v="5"/>
  </r>
  <r>
    <x v="7367"/>
    <x v="1468"/>
    <x v="2"/>
    <n v="3"/>
    <n v="15.69"/>
    <x v="47"/>
    <x v="1"/>
    <x v="3"/>
    <n v="47.07"/>
    <m/>
    <m/>
    <n v="5"/>
  </r>
  <r>
    <x v="7368"/>
    <x v="1468"/>
    <x v="0"/>
    <n v="5"/>
    <n v="1500.4"/>
    <x v="416"/>
    <x v="9"/>
    <x v="2"/>
    <n v="7502"/>
    <m/>
    <m/>
    <n v="10"/>
  </r>
  <r>
    <x v="7369"/>
    <x v="1469"/>
    <x v="5"/>
    <n v="4"/>
    <n v="2400.6799999999998"/>
    <x v="245"/>
    <x v="4"/>
    <x v="1"/>
    <n v="9602.7199999999993"/>
    <m/>
    <m/>
    <n v="5"/>
  </r>
  <r>
    <x v="7370"/>
    <x v="1469"/>
    <x v="2"/>
    <n v="3"/>
    <n v="15.69"/>
    <x v="551"/>
    <x v="1"/>
    <x v="0"/>
    <n v="47.07"/>
    <m/>
    <m/>
    <n v="5"/>
  </r>
  <r>
    <x v="7371"/>
    <x v="1469"/>
    <x v="1"/>
    <n v="3"/>
    <n v="121.98"/>
    <x v="582"/>
    <x v="3"/>
    <x v="1"/>
    <n v="365.94"/>
    <m/>
    <m/>
    <n v="5"/>
  </r>
  <r>
    <x v="7372"/>
    <x v="1469"/>
    <x v="0"/>
    <n v="3"/>
    <n v="900.24"/>
    <x v="439"/>
    <x v="6"/>
    <x v="4"/>
    <n v="2700.7200000000003"/>
    <m/>
    <m/>
    <n v="7"/>
  </r>
  <r>
    <x v="7373"/>
    <x v="1469"/>
    <x v="1"/>
    <n v="2"/>
    <n v="81.319999999999993"/>
    <x v="29"/>
    <x v="8"/>
    <x v="2"/>
    <n v="162.63999999999999"/>
    <m/>
    <m/>
    <n v="7"/>
  </r>
  <r>
    <x v="7374"/>
    <x v="1470"/>
    <x v="0"/>
    <n v="2"/>
    <n v="600.16"/>
    <x v="144"/>
    <x v="0"/>
    <x v="1"/>
    <n v="1200.32"/>
    <m/>
    <m/>
    <n v="5"/>
  </r>
  <r>
    <x v="7375"/>
    <x v="1470"/>
    <x v="1"/>
    <n v="4"/>
    <n v="162.63999999999999"/>
    <x v="455"/>
    <x v="0"/>
    <x v="1"/>
    <n v="650.55999999999995"/>
    <m/>
    <m/>
    <n v="7"/>
  </r>
  <r>
    <x v="7376"/>
    <x v="1470"/>
    <x v="1"/>
    <n v="5"/>
    <n v="203.3"/>
    <x v="570"/>
    <x v="1"/>
    <x v="1"/>
    <n v="1016.5"/>
    <m/>
    <m/>
    <n v="7"/>
  </r>
  <r>
    <x v="7377"/>
    <x v="1470"/>
    <x v="1"/>
    <n v="1"/>
    <n v="40.659999999999997"/>
    <x v="193"/>
    <x v="6"/>
    <x v="0"/>
    <n v="40.659999999999997"/>
    <m/>
    <m/>
    <n v="7"/>
  </r>
  <r>
    <x v="7378"/>
    <x v="1470"/>
    <x v="5"/>
    <n v="3"/>
    <n v="1800.51"/>
    <x v="755"/>
    <x v="8"/>
    <x v="1"/>
    <n v="5401.53"/>
    <m/>
    <m/>
    <n v="7"/>
  </r>
  <r>
    <x v="7379"/>
    <x v="1470"/>
    <x v="0"/>
    <n v="5"/>
    <n v="1500.4"/>
    <x v="712"/>
    <x v="6"/>
    <x v="2"/>
    <n v="7502"/>
    <m/>
    <m/>
    <n v="7"/>
  </r>
  <r>
    <x v="7380"/>
    <x v="1471"/>
    <x v="1"/>
    <n v="5"/>
    <n v="203.3"/>
    <x v="1"/>
    <x v="7"/>
    <x v="1"/>
    <n v="1016.5"/>
    <m/>
    <m/>
    <n v="5"/>
  </r>
  <r>
    <x v="7381"/>
    <x v="1471"/>
    <x v="5"/>
    <n v="5"/>
    <n v="3000.85"/>
    <x v="14"/>
    <x v="9"/>
    <x v="4"/>
    <n v="15004.25"/>
    <m/>
    <m/>
    <n v="5"/>
  </r>
  <r>
    <x v="7382"/>
    <x v="1471"/>
    <x v="2"/>
    <n v="4"/>
    <n v="20.92"/>
    <x v="9"/>
    <x v="6"/>
    <x v="4"/>
    <n v="83.68"/>
    <m/>
    <m/>
    <n v="7"/>
  </r>
  <r>
    <x v="7383"/>
    <x v="1471"/>
    <x v="6"/>
    <n v="4"/>
    <n v="143.36000000000001"/>
    <x v="67"/>
    <x v="4"/>
    <x v="0"/>
    <n v="573.44000000000005"/>
    <m/>
    <m/>
    <n v="7"/>
  </r>
  <r>
    <x v="7384"/>
    <x v="1472"/>
    <x v="2"/>
    <n v="2"/>
    <n v="10.46"/>
    <x v="175"/>
    <x v="4"/>
    <x v="3"/>
    <n v="20.92"/>
    <m/>
    <m/>
    <n v="5"/>
  </r>
  <r>
    <x v="7385"/>
    <x v="1472"/>
    <x v="4"/>
    <n v="1"/>
    <n v="1050"/>
    <x v="438"/>
    <x v="1"/>
    <x v="2"/>
    <n v="1050"/>
    <m/>
    <m/>
    <n v="5"/>
  </r>
  <r>
    <x v="7386"/>
    <x v="1472"/>
    <x v="5"/>
    <n v="1"/>
    <n v="600.16999999999996"/>
    <x v="270"/>
    <x v="9"/>
    <x v="0"/>
    <n v="600.16999999999996"/>
    <m/>
    <m/>
    <n v="5"/>
  </r>
  <r>
    <x v="7387"/>
    <x v="1472"/>
    <x v="1"/>
    <n v="3"/>
    <n v="121.98"/>
    <x v="393"/>
    <x v="1"/>
    <x v="0"/>
    <n v="365.94"/>
    <m/>
    <m/>
    <n v="7"/>
  </r>
  <r>
    <x v="7388"/>
    <x v="1472"/>
    <x v="6"/>
    <n v="4"/>
    <n v="143.36000000000001"/>
    <x v="153"/>
    <x v="1"/>
    <x v="3"/>
    <n v="573.44000000000005"/>
    <m/>
    <m/>
    <n v="7"/>
  </r>
  <r>
    <x v="7389"/>
    <x v="1472"/>
    <x v="4"/>
    <n v="5"/>
    <n v="5250"/>
    <x v="273"/>
    <x v="1"/>
    <x v="1"/>
    <n v="26250"/>
    <m/>
    <m/>
    <n v="7"/>
  </r>
  <r>
    <x v="7390"/>
    <x v="1472"/>
    <x v="3"/>
    <n v="2"/>
    <n v="30.3"/>
    <x v="772"/>
    <x v="1"/>
    <x v="0"/>
    <n v="60.6"/>
    <m/>
    <m/>
    <n v="7"/>
  </r>
  <r>
    <x v="7391"/>
    <x v="1473"/>
    <x v="6"/>
    <n v="5"/>
    <n v="179.2"/>
    <x v="44"/>
    <x v="9"/>
    <x v="3"/>
    <n v="896"/>
    <m/>
    <m/>
    <n v="7"/>
  </r>
  <r>
    <x v="7392"/>
    <x v="1473"/>
    <x v="1"/>
    <n v="2"/>
    <n v="81.319999999999993"/>
    <x v="647"/>
    <x v="6"/>
    <x v="2"/>
    <n v="162.63999999999999"/>
    <m/>
    <m/>
    <n v="7"/>
  </r>
  <r>
    <x v="7393"/>
    <x v="1473"/>
    <x v="7"/>
    <n v="5"/>
    <n v="58.65"/>
    <x v="454"/>
    <x v="6"/>
    <x v="1"/>
    <n v="293.25"/>
    <m/>
    <m/>
    <n v="7"/>
  </r>
  <r>
    <x v="7394"/>
    <x v="1473"/>
    <x v="5"/>
    <n v="1"/>
    <n v="600.16999999999996"/>
    <x v="384"/>
    <x v="0"/>
    <x v="0"/>
    <n v="600.16999999999996"/>
    <m/>
    <m/>
    <n v="7"/>
  </r>
  <r>
    <x v="7395"/>
    <x v="1473"/>
    <x v="1"/>
    <n v="4"/>
    <n v="162.63999999999999"/>
    <x v="289"/>
    <x v="6"/>
    <x v="1"/>
    <n v="650.55999999999995"/>
    <m/>
    <m/>
    <n v="7"/>
  </r>
  <r>
    <x v="7396"/>
    <x v="1474"/>
    <x v="3"/>
    <n v="3"/>
    <n v="45.45"/>
    <x v="264"/>
    <x v="4"/>
    <x v="2"/>
    <n v="136.35000000000002"/>
    <m/>
    <m/>
    <n v="5"/>
  </r>
  <r>
    <x v="7397"/>
    <x v="1474"/>
    <x v="3"/>
    <n v="1"/>
    <n v="15.15"/>
    <x v="117"/>
    <x v="6"/>
    <x v="3"/>
    <n v="15.15"/>
    <m/>
    <m/>
    <n v="5"/>
  </r>
  <r>
    <x v="7398"/>
    <x v="1474"/>
    <x v="4"/>
    <n v="2"/>
    <n v="2100"/>
    <x v="175"/>
    <x v="0"/>
    <x v="3"/>
    <n v="4200"/>
    <m/>
    <m/>
    <n v="5"/>
  </r>
  <r>
    <x v="7399"/>
    <x v="1474"/>
    <x v="1"/>
    <n v="1"/>
    <n v="40.659999999999997"/>
    <x v="164"/>
    <x v="0"/>
    <x v="3"/>
    <n v="40.659999999999997"/>
    <m/>
    <m/>
    <n v="7"/>
  </r>
  <r>
    <x v="7400"/>
    <x v="1474"/>
    <x v="5"/>
    <n v="4"/>
    <n v="2400.6799999999998"/>
    <x v="280"/>
    <x v="5"/>
    <x v="0"/>
    <n v="9602.7199999999993"/>
    <m/>
    <m/>
    <n v="7"/>
  </r>
  <r>
    <x v="7401"/>
    <x v="1475"/>
    <x v="0"/>
    <n v="2"/>
    <n v="600.16"/>
    <x v="709"/>
    <x v="1"/>
    <x v="0"/>
    <n v="1200.32"/>
    <m/>
    <m/>
    <n v="5"/>
  </r>
  <r>
    <x v="7402"/>
    <x v="1475"/>
    <x v="0"/>
    <n v="3"/>
    <n v="900.24"/>
    <x v="723"/>
    <x v="1"/>
    <x v="0"/>
    <n v="2700.7200000000003"/>
    <m/>
    <m/>
    <n v="5"/>
  </r>
  <r>
    <x v="7403"/>
    <x v="1475"/>
    <x v="0"/>
    <n v="4"/>
    <n v="1200.32"/>
    <x v="116"/>
    <x v="9"/>
    <x v="1"/>
    <n v="4801.28"/>
    <m/>
    <m/>
    <n v="5"/>
  </r>
  <r>
    <x v="7404"/>
    <x v="1475"/>
    <x v="0"/>
    <n v="2"/>
    <n v="600.16"/>
    <x v="180"/>
    <x v="0"/>
    <x v="4"/>
    <n v="1200.32"/>
    <m/>
    <m/>
    <n v="5"/>
  </r>
  <r>
    <x v="7405"/>
    <x v="1475"/>
    <x v="1"/>
    <n v="1"/>
    <n v="40.659999999999997"/>
    <x v="500"/>
    <x v="2"/>
    <x v="4"/>
    <n v="40.659999999999997"/>
    <m/>
    <m/>
    <n v="5"/>
  </r>
  <r>
    <x v="7406"/>
    <x v="1475"/>
    <x v="1"/>
    <n v="1"/>
    <n v="40.659999999999997"/>
    <x v="765"/>
    <x v="2"/>
    <x v="3"/>
    <n v="40.659999999999997"/>
    <m/>
    <m/>
    <n v="10"/>
  </r>
  <r>
    <x v="7407"/>
    <x v="1476"/>
    <x v="5"/>
    <n v="4"/>
    <n v="2400.6799999999998"/>
    <x v="351"/>
    <x v="6"/>
    <x v="2"/>
    <n v="9602.7199999999993"/>
    <m/>
    <m/>
    <n v="5"/>
  </r>
  <r>
    <x v="7408"/>
    <x v="1476"/>
    <x v="2"/>
    <n v="5"/>
    <n v="26.15"/>
    <x v="763"/>
    <x v="6"/>
    <x v="3"/>
    <n v="130.75"/>
    <m/>
    <m/>
    <n v="5"/>
  </r>
  <r>
    <x v="7409"/>
    <x v="1476"/>
    <x v="0"/>
    <n v="1"/>
    <n v="300.08"/>
    <x v="647"/>
    <x v="6"/>
    <x v="1"/>
    <n v="300.08"/>
    <m/>
    <m/>
    <n v="7"/>
  </r>
  <r>
    <x v="7410"/>
    <x v="1476"/>
    <x v="2"/>
    <n v="1"/>
    <n v="5.23"/>
    <x v="7"/>
    <x v="4"/>
    <x v="1"/>
    <n v="5.23"/>
    <m/>
    <m/>
    <n v="7"/>
  </r>
  <r>
    <x v="7411"/>
    <x v="1476"/>
    <x v="6"/>
    <n v="2"/>
    <n v="71.680000000000007"/>
    <x v="214"/>
    <x v="4"/>
    <x v="3"/>
    <n v="143.36000000000001"/>
    <m/>
    <m/>
    <n v="7"/>
  </r>
  <r>
    <x v="7412"/>
    <x v="1477"/>
    <x v="7"/>
    <n v="1"/>
    <n v="11.73"/>
    <x v="784"/>
    <x v="1"/>
    <x v="2"/>
    <n v="11.73"/>
    <m/>
    <m/>
    <n v="5"/>
  </r>
  <r>
    <x v="7413"/>
    <x v="1477"/>
    <x v="0"/>
    <n v="4"/>
    <n v="1200.32"/>
    <x v="538"/>
    <x v="6"/>
    <x v="0"/>
    <n v="4801.28"/>
    <m/>
    <m/>
    <n v="5"/>
  </r>
  <r>
    <x v="7414"/>
    <x v="1478"/>
    <x v="0"/>
    <n v="5"/>
    <n v="1500.4"/>
    <x v="15"/>
    <x v="2"/>
    <x v="2"/>
    <n v="7502"/>
    <m/>
    <m/>
    <n v="5"/>
  </r>
  <r>
    <x v="7415"/>
    <x v="1478"/>
    <x v="0"/>
    <n v="5"/>
    <n v="1500.4"/>
    <x v="367"/>
    <x v="5"/>
    <x v="2"/>
    <n v="7502"/>
    <m/>
    <m/>
    <n v="7"/>
  </r>
  <r>
    <x v="7416"/>
    <x v="1478"/>
    <x v="2"/>
    <n v="2"/>
    <n v="10.46"/>
    <x v="20"/>
    <x v="9"/>
    <x v="3"/>
    <n v="20.92"/>
    <m/>
    <m/>
    <n v="7"/>
  </r>
  <r>
    <x v="7417"/>
    <x v="1478"/>
    <x v="2"/>
    <n v="4"/>
    <n v="20.92"/>
    <x v="592"/>
    <x v="6"/>
    <x v="1"/>
    <n v="83.68"/>
    <m/>
    <m/>
    <n v="7"/>
  </r>
  <r>
    <x v="7418"/>
    <x v="1478"/>
    <x v="0"/>
    <n v="1"/>
    <n v="300.08"/>
    <x v="693"/>
    <x v="9"/>
    <x v="1"/>
    <n v="300.08"/>
    <m/>
    <m/>
    <n v="10"/>
  </r>
  <r>
    <x v="7419"/>
    <x v="1479"/>
    <x v="6"/>
    <n v="4"/>
    <n v="143.36000000000001"/>
    <x v="84"/>
    <x v="0"/>
    <x v="4"/>
    <n v="573.44000000000005"/>
    <m/>
    <m/>
    <n v="5"/>
  </r>
  <r>
    <x v="7420"/>
    <x v="1479"/>
    <x v="3"/>
    <n v="4"/>
    <n v="60.6"/>
    <x v="438"/>
    <x v="6"/>
    <x v="1"/>
    <n v="242.4"/>
    <m/>
    <m/>
    <n v="5"/>
  </r>
  <r>
    <x v="7421"/>
    <x v="1479"/>
    <x v="0"/>
    <n v="2"/>
    <n v="600.16"/>
    <x v="106"/>
    <x v="1"/>
    <x v="0"/>
    <n v="1200.32"/>
    <m/>
    <m/>
    <n v="5"/>
  </r>
  <r>
    <x v="7422"/>
    <x v="1479"/>
    <x v="5"/>
    <n v="2"/>
    <n v="1200.3399999999999"/>
    <x v="627"/>
    <x v="1"/>
    <x v="4"/>
    <n v="2400.6799999999998"/>
    <m/>
    <m/>
    <n v="5"/>
  </r>
  <r>
    <x v="7423"/>
    <x v="1479"/>
    <x v="1"/>
    <n v="4"/>
    <n v="162.63999999999999"/>
    <x v="710"/>
    <x v="0"/>
    <x v="3"/>
    <n v="650.55999999999995"/>
    <m/>
    <m/>
    <n v="7"/>
  </r>
  <r>
    <x v="7424"/>
    <x v="1480"/>
    <x v="1"/>
    <n v="2"/>
    <n v="81.319999999999993"/>
    <x v="85"/>
    <x v="4"/>
    <x v="1"/>
    <n v="162.63999999999999"/>
    <m/>
    <m/>
    <n v="5"/>
  </r>
  <r>
    <x v="7425"/>
    <x v="1480"/>
    <x v="2"/>
    <n v="3"/>
    <n v="15.69"/>
    <x v="417"/>
    <x v="6"/>
    <x v="1"/>
    <n v="47.07"/>
    <m/>
    <m/>
    <n v="5"/>
  </r>
  <r>
    <x v="7426"/>
    <x v="1480"/>
    <x v="2"/>
    <n v="5"/>
    <n v="26.15"/>
    <x v="167"/>
    <x v="3"/>
    <x v="3"/>
    <n v="130.75"/>
    <m/>
    <m/>
    <n v="5"/>
  </r>
  <r>
    <x v="7427"/>
    <x v="1480"/>
    <x v="6"/>
    <n v="4"/>
    <n v="143.36000000000001"/>
    <x v="354"/>
    <x v="9"/>
    <x v="2"/>
    <n v="573.44000000000005"/>
    <m/>
    <m/>
    <n v="5"/>
  </r>
  <r>
    <x v="7428"/>
    <x v="1480"/>
    <x v="2"/>
    <n v="1"/>
    <n v="5.23"/>
    <x v="362"/>
    <x v="9"/>
    <x v="3"/>
    <n v="5.23"/>
    <m/>
    <m/>
    <n v="7"/>
  </r>
  <r>
    <x v="7429"/>
    <x v="1480"/>
    <x v="2"/>
    <n v="5"/>
    <n v="26.15"/>
    <x v="630"/>
    <x v="4"/>
    <x v="0"/>
    <n v="130.75"/>
    <m/>
    <m/>
    <n v="7"/>
  </r>
  <r>
    <x v="7430"/>
    <x v="1480"/>
    <x v="7"/>
    <n v="1"/>
    <n v="11.73"/>
    <x v="211"/>
    <x v="9"/>
    <x v="1"/>
    <n v="11.73"/>
    <m/>
    <m/>
    <n v="10"/>
  </r>
  <r>
    <x v="7431"/>
    <x v="1481"/>
    <x v="0"/>
    <n v="4"/>
    <n v="1200.32"/>
    <x v="298"/>
    <x v="5"/>
    <x v="0"/>
    <n v="4801.28"/>
    <m/>
    <m/>
    <n v="5"/>
  </r>
  <r>
    <x v="7432"/>
    <x v="1481"/>
    <x v="1"/>
    <n v="3"/>
    <n v="121.98"/>
    <x v="587"/>
    <x v="4"/>
    <x v="4"/>
    <n v="365.94"/>
    <m/>
    <m/>
    <n v="5"/>
  </r>
  <r>
    <x v="7433"/>
    <x v="1481"/>
    <x v="0"/>
    <n v="2"/>
    <n v="600.16"/>
    <x v="589"/>
    <x v="4"/>
    <x v="0"/>
    <n v="1200.32"/>
    <m/>
    <m/>
    <n v="5"/>
  </r>
  <r>
    <x v="7434"/>
    <x v="1482"/>
    <x v="0"/>
    <n v="5"/>
    <n v="1500.4"/>
    <x v="541"/>
    <x v="0"/>
    <x v="2"/>
    <n v="7502"/>
    <m/>
    <m/>
    <n v="5"/>
  </r>
  <r>
    <x v="7435"/>
    <x v="1482"/>
    <x v="2"/>
    <n v="1"/>
    <n v="5.23"/>
    <x v="187"/>
    <x v="9"/>
    <x v="1"/>
    <n v="5.23"/>
    <m/>
    <m/>
    <n v="5"/>
  </r>
  <r>
    <x v="7436"/>
    <x v="1482"/>
    <x v="2"/>
    <n v="5"/>
    <n v="26.15"/>
    <x v="788"/>
    <x v="4"/>
    <x v="3"/>
    <n v="130.75"/>
    <m/>
    <m/>
    <n v="7"/>
  </r>
  <r>
    <x v="7437"/>
    <x v="1482"/>
    <x v="1"/>
    <n v="3"/>
    <n v="121.98"/>
    <x v="23"/>
    <x v="1"/>
    <x v="3"/>
    <n v="365.94"/>
    <m/>
    <m/>
    <n v="7"/>
  </r>
  <r>
    <x v="7438"/>
    <x v="1482"/>
    <x v="6"/>
    <n v="5"/>
    <n v="179.2"/>
    <x v="229"/>
    <x v="4"/>
    <x v="4"/>
    <n v="896"/>
    <m/>
    <m/>
    <n v="10"/>
  </r>
  <r>
    <x v="7439"/>
    <x v="1482"/>
    <x v="2"/>
    <n v="4"/>
    <n v="20.92"/>
    <x v="451"/>
    <x v="1"/>
    <x v="2"/>
    <n v="83.68"/>
    <m/>
    <m/>
    <n v="10"/>
  </r>
  <r>
    <x v="7440"/>
    <x v="1483"/>
    <x v="2"/>
    <n v="1"/>
    <n v="5.23"/>
    <x v="696"/>
    <x v="0"/>
    <x v="3"/>
    <n v="5.23"/>
    <m/>
    <m/>
    <n v="5"/>
  </r>
  <r>
    <x v="7441"/>
    <x v="1483"/>
    <x v="2"/>
    <n v="4"/>
    <n v="20.92"/>
    <x v="232"/>
    <x v="0"/>
    <x v="1"/>
    <n v="83.68"/>
    <m/>
    <m/>
    <n v="5"/>
  </r>
  <r>
    <x v="7442"/>
    <x v="1483"/>
    <x v="2"/>
    <n v="3"/>
    <n v="15.69"/>
    <x v="386"/>
    <x v="0"/>
    <x v="3"/>
    <n v="47.07"/>
    <m/>
    <m/>
    <n v="5"/>
  </r>
  <r>
    <x v="7443"/>
    <x v="1483"/>
    <x v="2"/>
    <n v="5"/>
    <n v="26.15"/>
    <x v="544"/>
    <x v="4"/>
    <x v="1"/>
    <n v="130.75"/>
    <m/>
    <m/>
    <n v="7"/>
  </r>
  <r>
    <x v="7444"/>
    <x v="1484"/>
    <x v="0"/>
    <n v="2"/>
    <n v="600.16"/>
    <x v="318"/>
    <x v="6"/>
    <x v="2"/>
    <n v="1200.32"/>
    <m/>
    <m/>
    <n v="5"/>
  </r>
  <r>
    <x v="7445"/>
    <x v="1484"/>
    <x v="0"/>
    <n v="1"/>
    <n v="300.08"/>
    <x v="305"/>
    <x v="5"/>
    <x v="4"/>
    <n v="300.08"/>
    <m/>
    <m/>
    <n v="5"/>
  </r>
  <r>
    <x v="7446"/>
    <x v="1484"/>
    <x v="5"/>
    <n v="4"/>
    <n v="2400.6799999999998"/>
    <x v="324"/>
    <x v="6"/>
    <x v="2"/>
    <n v="9602.7199999999993"/>
    <m/>
    <m/>
    <n v="5"/>
  </r>
  <r>
    <x v="7447"/>
    <x v="1484"/>
    <x v="3"/>
    <n v="3"/>
    <n v="45.45"/>
    <x v="28"/>
    <x v="1"/>
    <x v="0"/>
    <n v="136.35000000000002"/>
    <m/>
    <m/>
    <n v="5"/>
  </r>
  <r>
    <x v="7448"/>
    <x v="1484"/>
    <x v="0"/>
    <n v="1"/>
    <n v="300.08"/>
    <x v="23"/>
    <x v="1"/>
    <x v="2"/>
    <n v="300.08"/>
    <m/>
    <m/>
    <n v="7"/>
  </r>
  <r>
    <x v="7449"/>
    <x v="1484"/>
    <x v="0"/>
    <n v="3"/>
    <n v="900.24"/>
    <x v="772"/>
    <x v="0"/>
    <x v="3"/>
    <n v="2700.7200000000003"/>
    <m/>
    <m/>
    <n v="7"/>
  </r>
  <r>
    <x v="7450"/>
    <x v="1485"/>
    <x v="1"/>
    <n v="3"/>
    <n v="121.98"/>
    <x v="314"/>
    <x v="0"/>
    <x v="1"/>
    <n v="365.94"/>
    <m/>
    <m/>
    <n v="5"/>
  </r>
  <r>
    <x v="7451"/>
    <x v="1485"/>
    <x v="2"/>
    <n v="3"/>
    <n v="15.69"/>
    <x v="164"/>
    <x v="2"/>
    <x v="3"/>
    <n v="47.07"/>
    <m/>
    <m/>
    <n v="7"/>
  </r>
  <r>
    <x v="7452"/>
    <x v="1485"/>
    <x v="7"/>
    <n v="5"/>
    <n v="58.65"/>
    <x v="349"/>
    <x v="2"/>
    <x v="4"/>
    <n v="293.25"/>
    <m/>
    <m/>
    <n v="7"/>
  </r>
  <r>
    <x v="7453"/>
    <x v="1485"/>
    <x v="0"/>
    <n v="2"/>
    <n v="600.16"/>
    <x v="390"/>
    <x v="7"/>
    <x v="4"/>
    <n v="1200.32"/>
    <m/>
    <m/>
    <n v="7"/>
  </r>
  <r>
    <x v="7454"/>
    <x v="1485"/>
    <x v="6"/>
    <n v="3"/>
    <n v="107.52"/>
    <x v="394"/>
    <x v="9"/>
    <x v="4"/>
    <n v="322.56"/>
    <m/>
    <m/>
    <n v="7"/>
  </r>
  <r>
    <x v="7455"/>
    <x v="1485"/>
    <x v="4"/>
    <n v="1"/>
    <n v="1050"/>
    <x v="377"/>
    <x v="0"/>
    <x v="3"/>
    <n v="1050"/>
    <m/>
    <m/>
    <n v="7"/>
  </r>
  <r>
    <x v="7456"/>
    <x v="1485"/>
    <x v="5"/>
    <n v="5"/>
    <n v="3000.85"/>
    <x v="260"/>
    <x v="0"/>
    <x v="1"/>
    <n v="15004.25"/>
    <m/>
    <m/>
    <n v="7"/>
  </r>
  <r>
    <x v="7457"/>
    <x v="1486"/>
    <x v="6"/>
    <n v="4"/>
    <n v="143.36000000000001"/>
    <x v="198"/>
    <x v="0"/>
    <x v="0"/>
    <n v="573.44000000000005"/>
    <m/>
    <m/>
    <n v="5"/>
  </r>
  <r>
    <x v="7458"/>
    <x v="1486"/>
    <x v="1"/>
    <n v="5"/>
    <n v="203.3"/>
    <x v="789"/>
    <x v="7"/>
    <x v="1"/>
    <n v="1016.5"/>
    <m/>
    <m/>
    <n v="5"/>
  </r>
  <r>
    <x v="7459"/>
    <x v="1486"/>
    <x v="0"/>
    <n v="5"/>
    <n v="1500.4"/>
    <x v="587"/>
    <x v="5"/>
    <x v="4"/>
    <n v="7502"/>
    <m/>
    <m/>
    <n v="5"/>
  </r>
  <r>
    <x v="7460"/>
    <x v="1486"/>
    <x v="7"/>
    <n v="4"/>
    <n v="46.92"/>
    <x v="223"/>
    <x v="6"/>
    <x v="1"/>
    <n v="187.68"/>
    <m/>
    <m/>
    <n v="7"/>
  </r>
  <r>
    <x v="7461"/>
    <x v="1486"/>
    <x v="1"/>
    <n v="3"/>
    <n v="121.98"/>
    <x v="284"/>
    <x v="6"/>
    <x v="4"/>
    <n v="365.94"/>
    <m/>
    <m/>
    <n v="10"/>
  </r>
  <r>
    <x v="7462"/>
    <x v="1486"/>
    <x v="0"/>
    <n v="4"/>
    <n v="1200.32"/>
    <x v="765"/>
    <x v="1"/>
    <x v="4"/>
    <n v="4801.28"/>
    <m/>
    <m/>
    <n v="10"/>
  </r>
  <r>
    <x v="7463"/>
    <x v="1487"/>
    <x v="1"/>
    <n v="2"/>
    <n v="81.319999999999993"/>
    <x v="224"/>
    <x v="7"/>
    <x v="2"/>
    <n v="162.63999999999999"/>
    <m/>
    <m/>
    <n v="5"/>
  </r>
  <r>
    <x v="7464"/>
    <x v="1487"/>
    <x v="2"/>
    <n v="4"/>
    <n v="20.92"/>
    <x v="181"/>
    <x v="1"/>
    <x v="2"/>
    <n v="83.68"/>
    <m/>
    <m/>
    <n v="7"/>
  </r>
  <r>
    <x v="7465"/>
    <x v="1487"/>
    <x v="6"/>
    <n v="4"/>
    <n v="143.36000000000001"/>
    <x v="32"/>
    <x v="6"/>
    <x v="2"/>
    <n v="573.44000000000005"/>
    <m/>
    <m/>
    <n v="7"/>
  </r>
  <r>
    <x v="7466"/>
    <x v="1488"/>
    <x v="1"/>
    <n v="5"/>
    <n v="203.3"/>
    <x v="113"/>
    <x v="0"/>
    <x v="0"/>
    <n v="1016.5"/>
    <m/>
    <m/>
    <n v="5"/>
  </r>
  <r>
    <x v="7467"/>
    <x v="1488"/>
    <x v="0"/>
    <n v="3"/>
    <n v="900.24"/>
    <x v="305"/>
    <x v="6"/>
    <x v="0"/>
    <n v="2700.7200000000003"/>
    <m/>
    <m/>
    <n v="5"/>
  </r>
  <r>
    <x v="7468"/>
    <x v="1488"/>
    <x v="2"/>
    <n v="3"/>
    <n v="15.69"/>
    <x v="308"/>
    <x v="7"/>
    <x v="4"/>
    <n v="47.07"/>
    <m/>
    <m/>
    <n v="5"/>
  </r>
  <r>
    <x v="7469"/>
    <x v="1488"/>
    <x v="5"/>
    <n v="4"/>
    <n v="2400.6799999999998"/>
    <x v="427"/>
    <x v="1"/>
    <x v="1"/>
    <n v="9602.7199999999993"/>
    <m/>
    <m/>
    <n v="7"/>
  </r>
  <r>
    <x v="7470"/>
    <x v="1488"/>
    <x v="0"/>
    <n v="5"/>
    <n v="1500.4"/>
    <x v="523"/>
    <x v="4"/>
    <x v="1"/>
    <n v="7502"/>
    <m/>
    <m/>
    <n v="7"/>
  </r>
  <r>
    <x v="7471"/>
    <x v="1488"/>
    <x v="6"/>
    <n v="4"/>
    <n v="143.36000000000001"/>
    <x v="419"/>
    <x v="0"/>
    <x v="4"/>
    <n v="573.44000000000005"/>
    <m/>
    <m/>
    <n v="7"/>
  </r>
  <r>
    <x v="7472"/>
    <x v="1488"/>
    <x v="1"/>
    <n v="3"/>
    <n v="121.98"/>
    <x v="572"/>
    <x v="3"/>
    <x v="3"/>
    <n v="365.94"/>
    <m/>
    <m/>
    <n v="7"/>
  </r>
  <r>
    <x v="7473"/>
    <x v="1488"/>
    <x v="5"/>
    <n v="2"/>
    <n v="1200.3399999999999"/>
    <x v="29"/>
    <x v="9"/>
    <x v="1"/>
    <n v="2400.6799999999998"/>
    <m/>
    <m/>
    <n v="7"/>
  </r>
  <r>
    <x v="7474"/>
    <x v="1488"/>
    <x v="0"/>
    <n v="3"/>
    <n v="900.24"/>
    <x v="658"/>
    <x v="0"/>
    <x v="3"/>
    <n v="2700.7200000000003"/>
    <m/>
    <m/>
    <n v="10"/>
  </r>
  <r>
    <x v="7475"/>
    <x v="1489"/>
    <x v="5"/>
    <n v="4"/>
    <n v="2400.6799999999998"/>
    <x v="775"/>
    <x v="9"/>
    <x v="4"/>
    <n v="9602.7199999999993"/>
    <m/>
    <m/>
    <n v="5"/>
  </r>
  <r>
    <x v="7476"/>
    <x v="1489"/>
    <x v="0"/>
    <n v="1"/>
    <n v="300.08"/>
    <x v="752"/>
    <x v="1"/>
    <x v="0"/>
    <n v="300.08"/>
    <m/>
    <m/>
    <n v="5"/>
  </r>
  <r>
    <x v="7477"/>
    <x v="1489"/>
    <x v="2"/>
    <n v="4"/>
    <n v="20.92"/>
    <x v="419"/>
    <x v="8"/>
    <x v="0"/>
    <n v="83.68"/>
    <m/>
    <m/>
    <n v="7"/>
  </r>
  <r>
    <x v="7478"/>
    <x v="1490"/>
    <x v="5"/>
    <n v="4"/>
    <n v="2400.6799999999998"/>
    <x v="788"/>
    <x v="0"/>
    <x v="0"/>
    <n v="9602.7199999999993"/>
    <m/>
    <m/>
    <n v="7"/>
  </r>
  <r>
    <x v="7479"/>
    <x v="1490"/>
    <x v="1"/>
    <n v="2"/>
    <n v="81.319999999999993"/>
    <x v="114"/>
    <x v="0"/>
    <x v="2"/>
    <n v="162.63999999999999"/>
    <m/>
    <m/>
    <n v="7"/>
  </r>
  <r>
    <x v="7480"/>
    <x v="1490"/>
    <x v="1"/>
    <n v="1"/>
    <n v="40.659999999999997"/>
    <x v="741"/>
    <x v="9"/>
    <x v="4"/>
    <n v="40.659999999999997"/>
    <m/>
    <m/>
    <n v="10"/>
  </r>
  <r>
    <x v="7481"/>
    <x v="1491"/>
    <x v="4"/>
    <n v="4"/>
    <n v="4200"/>
    <x v="709"/>
    <x v="2"/>
    <x v="3"/>
    <n v="16800"/>
    <m/>
    <m/>
    <n v="5"/>
  </r>
  <r>
    <x v="7482"/>
    <x v="1491"/>
    <x v="2"/>
    <n v="4"/>
    <n v="20.92"/>
    <x v="343"/>
    <x v="0"/>
    <x v="1"/>
    <n v="83.68"/>
    <m/>
    <m/>
    <n v="7"/>
  </r>
  <r>
    <x v="7483"/>
    <x v="1491"/>
    <x v="0"/>
    <n v="2"/>
    <n v="600.16"/>
    <x v="601"/>
    <x v="6"/>
    <x v="4"/>
    <n v="1200.32"/>
    <m/>
    <m/>
    <n v="7"/>
  </r>
  <r>
    <x v="7484"/>
    <x v="1492"/>
    <x v="1"/>
    <n v="2"/>
    <n v="81.319999999999993"/>
    <x v="305"/>
    <x v="1"/>
    <x v="3"/>
    <n v="162.63999999999999"/>
    <m/>
    <m/>
    <n v="5"/>
  </r>
  <r>
    <x v="7485"/>
    <x v="1492"/>
    <x v="0"/>
    <n v="4"/>
    <n v="1200.32"/>
    <x v="207"/>
    <x v="0"/>
    <x v="4"/>
    <n v="4801.28"/>
    <m/>
    <m/>
    <n v="5"/>
  </r>
  <r>
    <x v="7486"/>
    <x v="1492"/>
    <x v="0"/>
    <n v="2"/>
    <n v="600.16"/>
    <x v="295"/>
    <x v="7"/>
    <x v="4"/>
    <n v="1200.32"/>
    <m/>
    <m/>
    <n v="5"/>
  </r>
  <r>
    <x v="7487"/>
    <x v="1492"/>
    <x v="0"/>
    <n v="4"/>
    <n v="1200.32"/>
    <x v="366"/>
    <x v="7"/>
    <x v="4"/>
    <n v="4801.28"/>
    <m/>
    <m/>
    <n v="5"/>
  </r>
  <r>
    <x v="7488"/>
    <x v="1492"/>
    <x v="0"/>
    <n v="1"/>
    <n v="300.08"/>
    <x v="663"/>
    <x v="6"/>
    <x v="2"/>
    <n v="300.08"/>
    <m/>
    <m/>
    <n v="5"/>
  </r>
  <r>
    <x v="7489"/>
    <x v="1492"/>
    <x v="6"/>
    <n v="2"/>
    <n v="71.680000000000007"/>
    <x v="742"/>
    <x v="7"/>
    <x v="0"/>
    <n v="143.36000000000001"/>
    <m/>
    <m/>
    <n v="7"/>
  </r>
  <r>
    <x v="7490"/>
    <x v="1492"/>
    <x v="7"/>
    <n v="1"/>
    <n v="11.73"/>
    <x v="195"/>
    <x v="0"/>
    <x v="1"/>
    <n v="11.73"/>
    <m/>
    <m/>
    <n v="7"/>
  </r>
  <r>
    <x v="7491"/>
    <x v="1493"/>
    <x v="0"/>
    <n v="4"/>
    <n v="1200.32"/>
    <x v="1"/>
    <x v="0"/>
    <x v="3"/>
    <n v="4801.28"/>
    <m/>
    <m/>
    <n v="5"/>
  </r>
  <r>
    <x v="7492"/>
    <x v="1493"/>
    <x v="6"/>
    <n v="2"/>
    <n v="71.680000000000007"/>
    <x v="13"/>
    <x v="1"/>
    <x v="2"/>
    <n v="143.36000000000001"/>
    <m/>
    <m/>
    <n v="5"/>
  </r>
  <r>
    <x v="7493"/>
    <x v="1493"/>
    <x v="7"/>
    <n v="3"/>
    <n v="35.19"/>
    <x v="141"/>
    <x v="2"/>
    <x v="0"/>
    <n v="105.57"/>
    <m/>
    <m/>
    <n v="5"/>
  </r>
  <r>
    <x v="7494"/>
    <x v="1493"/>
    <x v="2"/>
    <n v="2"/>
    <n v="10.46"/>
    <x v="374"/>
    <x v="3"/>
    <x v="1"/>
    <n v="20.92"/>
    <m/>
    <m/>
    <n v="5"/>
  </r>
  <r>
    <x v="7495"/>
    <x v="1493"/>
    <x v="7"/>
    <n v="5"/>
    <n v="58.65"/>
    <x v="159"/>
    <x v="0"/>
    <x v="1"/>
    <n v="293.25"/>
    <m/>
    <m/>
    <n v="5"/>
  </r>
  <r>
    <x v="7496"/>
    <x v="1493"/>
    <x v="0"/>
    <n v="5"/>
    <n v="1500.4"/>
    <x v="522"/>
    <x v="6"/>
    <x v="4"/>
    <n v="7502"/>
    <m/>
    <m/>
    <n v="5"/>
  </r>
  <r>
    <x v="7497"/>
    <x v="1493"/>
    <x v="2"/>
    <n v="4"/>
    <n v="20.92"/>
    <x v="272"/>
    <x v="2"/>
    <x v="4"/>
    <n v="83.68"/>
    <m/>
    <m/>
    <n v="7"/>
  </r>
  <r>
    <x v="7498"/>
    <x v="1493"/>
    <x v="0"/>
    <n v="5"/>
    <n v="1500.4"/>
    <x v="671"/>
    <x v="7"/>
    <x v="4"/>
    <n v="7502"/>
    <m/>
    <m/>
    <n v="7"/>
  </r>
  <r>
    <x v="7499"/>
    <x v="1493"/>
    <x v="2"/>
    <n v="5"/>
    <n v="26.15"/>
    <x v="734"/>
    <x v="0"/>
    <x v="3"/>
    <n v="130.75"/>
    <m/>
    <m/>
    <n v="7"/>
  </r>
  <r>
    <x v="7500"/>
    <x v="1494"/>
    <x v="0"/>
    <n v="1"/>
    <n v="300.08"/>
    <x v="84"/>
    <x v="2"/>
    <x v="1"/>
    <n v="300.08"/>
    <m/>
    <m/>
    <n v="5"/>
  </r>
  <r>
    <x v="7501"/>
    <x v="1494"/>
    <x v="3"/>
    <n v="1"/>
    <n v="15.15"/>
    <x v="45"/>
    <x v="0"/>
    <x v="0"/>
    <n v="15.15"/>
    <m/>
    <m/>
    <n v="5"/>
  </r>
  <r>
    <x v="7502"/>
    <x v="1494"/>
    <x v="2"/>
    <n v="5"/>
    <n v="26.15"/>
    <x v="265"/>
    <x v="0"/>
    <x v="3"/>
    <n v="130.75"/>
    <m/>
    <m/>
    <n v="5"/>
  </r>
  <r>
    <x v="7503"/>
    <x v="1494"/>
    <x v="3"/>
    <n v="2"/>
    <n v="30.3"/>
    <x v="663"/>
    <x v="8"/>
    <x v="4"/>
    <n v="60.6"/>
    <m/>
    <m/>
    <n v="5"/>
  </r>
  <r>
    <x v="7504"/>
    <x v="1494"/>
    <x v="3"/>
    <n v="4"/>
    <n v="60.6"/>
    <x v="75"/>
    <x v="1"/>
    <x v="3"/>
    <n v="242.4"/>
    <m/>
    <m/>
    <n v="7"/>
  </r>
  <r>
    <x v="7505"/>
    <x v="1494"/>
    <x v="6"/>
    <n v="3"/>
    <n v="107.52"/>
    <x v="542"/>
    <x v="3"/>
    <x v="0"/>
    <n v="322.56"/>
    <m/>
    <m/>
    <n v="7"/>
  </r>
  <r>
    <x v="7506"/>
    <x v="1494"/>
    <x v="1"/>
    <n v="2"/>
    <n v="81.319999999999993"/>
    <x v="699"/>
    <x v="7"/>
    <x v="3"/>
    <n v="162.63999999999999"/>
    <m/>
    <m/>
    <n v="7"/>
  </r>
  <r>
    <x v="7507"/>
    <x v="1494"/>
    <x v="0"/>
    <n v="3"/>
    <n v="900.24"/>
    <x v="793"/>
    <x v="7"/>
    <x v="1"/>
    <n v="2700.7200000000003"/>
    <m/>
    <m/>
    <n v="10"/>
  </r>
  <r>
    <x v="7508"/>
    <x v="1494"/>
    <x v="7"/>
    <n v="5"/>
    <n v="58.65"/>
    <x v="61"/>
    <x v="9"/>
    <x v="0"/>
    <n v="293.25"/>
    <m/>
    <m/>
    <n v="10"/>
  </r>
  <r>
    <x v="7509"/>
    <x v="1495"/>
    <x v="7"/>
    <n v="5"/>
    <n v="58.65"/>
    <x v="85"/>
    <x v="5"/>
    <x v="1"/>
    <n v="293.25"/>
    <m/>
    <m/>
    <n v="5"/>
  </r>
  <r>
    <x v="7510"/>
    <x v="1495"/>
    <x v="0"/>
    <n v="1"/>
    <n v="300.08"/>
    <x v="355"/>
    <x v="9"/>
    <x v="1"/>
    <n v="300.08"/>
    <m/>
    <m/>
    <n v="5"/>
  </r>
  <r>
    <x v="7511"/>
    <x v="1495"/>
    <x v="0"/>
    <n v="1"/>
    <n v="300.08"/>
    <x v="249"/>
    <x v="0"/>
    <x v="1"/>
    <n v="300.08"/>
    <m/>
    <m/>
    <n v="7"/>
  </r>
  <r>
    <x v="7512"/>
    <x v="1495"/>
    <x v="0"/>
    <n v="1"/>
    <n v="300.08"/>
    <x v="529"/>
    <x v="0"/>
    <x v="1"/>
    <n v="300.08"/>
    <m/>
    <m/>
    <n v="10"/>
  </r>
  <r>
    <x v="7513"/>
    <x v="1495"/>
    <x v="2"/>
    <n v="3"/>
    <n v="15.69"/>
    <x v="682"/>
    <x v="0"/>
    <x v="1"/>
    <n v="47.07"/>
    <m/>
    <m/>
    <n v="10"/>
  </r>
  <r>
    <x v="7514"/>
    <x v="1496"/>
    <x v="4"/>
    <n v="3"/>
    <n v="3150"/>
    <x v="535"/>
    <x v="4"/>
    <x v="3"/>
    <n v="9450"/>
    <m/>
    <m/>
    <n v="5"/>
  </r>
  <r>
    <x v="7515"/>
    <x v="1496"/>
    <x v="2"/>
    <n v="4"/>
    <n v="20.92"/>
    <x v="662"/>
    <x v="6"/>
    <x v="3"/>
    <n v="83.68"/>
    <m/>
    <m/>
    <n v="5"/>
  </r>
  <r>
    <x v="7516"/>
    <x v="1496"/>
    <x v="2"/>
    <n v="4"/>
    <n v="20.92"/>
    <x v="76"/>
    <x v="1"/>
    <x v="0"/>
    <n v="83.68"/>
    <m/>
    <m/>
    <n v="7"/>
  </r>
  <r>
    <x v="7517"/>
    <x v="1496"/>
    <x v="4"/>
    <n v="5"/>
    <n v="5250"/>
    <x v="681"/>
    <x v="0"/>
    <x v="0"/>
    <n v="26250"/>
    <m/>
    <m/>
    <n v="7"/>
  </r>
  <r>
    <x v="7518"/>
    <x v="1496"/>
    <x v="2"/>
    <n v="1"/>
    <n v="5.23"/>
    <x v="698"/>
    <x v="6"/>
    <x v="4"/>
    <n v="5.23"/>
    <m/>
    <m/>
    <n v="7"/>
  </r>
  <r>
    <x v="7519"/>
    <x v="1496"/>
    <x v="5"/>
    <n v="1"/>
    <n v="600.16999999999996"/>
    <x v="442"/>
    <x v="6"/>
    <x v="1"/>
    <n v="600.16999999999996"/>
    <m/>
    <m/>
    <n v="10"/>
  </r>
  <r>
    <x v="7520"/>
    <x v="1496"/>
    <x v="0"/>
    <n v="4"/>
    <n v="1200.32"/>
    <x v="645"/>
    <x v="6"/>
    <x v="2"/>
    <n v="4801.28"/>
    <m/>
    <m/>
    <n v="10"/>
  </r>
  <r>
    <x v="7521"/>
    <x v="1497"/>
    <x v="0"/>
    <n v="4"/>
    <n v="1200.32"/>
    <x v="146"/>
    <x v="4"/>
    <x v="1"/>
    <n v="4801.28"/>
    <m/>
    <m/>
    <n v="5"/>
  </r>
  <r>
    <x v="7522"/>
    <x v="1497"/>
    <x v="5"/>
    <n v="4"/>
    <n v="2400.6799999999998"/>
    <x v="152"/>
    <x v="8"/>
    <x v="0"/>
    <n v="9602.7199999999993"/>
    <m/>
    <m/>
    <n v="7"/>
  </r>
  <r>
    <x v="7523"/>
    <x v="1497"/>
    <x v="4"/>
    <n v="5"/>
    <n v="5250"/>
    <x v="368"/>
    <x v="3"/>
    <x v="1"/>
    <n v="26250"/>
    <m/>
    <m/>
    <n v="7"/>
  </r>
  <r>
    <x v="7524"/>
    <x v="1498"/>
    <x v="2"/>
    <n v="5"/>
    <n v="26.15"/>
    <x v="173"/>
    <x v="8"/>
    <x v="4"/>
    <n v="130.75"/>
    <m/>
    <m/>
    <n v="5"/>
  </r>
  <r>
    <x v="7525"/>
    <x v="1498"/>
    <x v="6"/>
    <n v="4"/>
    <n v="143.36000000000001"/>
    <x v="14"/>
    <x v="7"/>
    <x v="1"/>
    <n v="573.44000000000005"/>
    <m/>
    <m/>
    <n v="5"/>
  </r>
  <r>
    <x v="7526"/>
    <x v="1498"/>
    <x v="1"/>
    <n v="5"/>
    <n v="203.3"/>
    <x v="203"/>
    <x v="0"/>
    <x v="2"/>
    <n v="1016.5"/>
    <m/>
    <m/>
    <n v="10"/>
  </r>
  <r>
    <x v="7527"/>
    <x v="1499"/>
    <x v="0"/>
    <n v="3"/>
    <n v="900.24"/>
    <x v="387"/>
    <x v="9"/>
    <x v="4"/>
    <n v="2700.7200000000003"/>
    <m/>
    <m/>
    <n v="5"/>
  </r>
  <r>
    <x v="7528"/>
    <x v="1499"/>
    <x v="0"/>
    <n v="5"/>
    <n v="1500.4"/>
    <x v="330"/>
    <x v="0"/>
    <x v="4"/>
    <n v="7502"/>
    <m/>
    <m/>
    <n v="7"/>
  </r>
  <r>
    <x v="7529"/>
    <x v="1499"/>
    <x v="0"/>
    <n v="5"/>
    <n v="1500.4"/>
    <x v="243"/>
    <x v="5"/>
    <x v="4"/>
    <n v="7502"/>
    <m/>
    <m/>
    <n v="7"/>
  </r>
  <r>
    <x v="7530"/>
    <x v="1500"/>
    <x v="5"/>
    <n v="1"/>
    <n v="600.16999999999996"/>
    <x v="164"/>
    <x v="6"/>
    <x v="1"/>
    <n v="600.16999999999996"/>
    <m/>
    <m/>
    <n v="7"/>
  </r>
  <r>
    <x v="7531"/>
    <x v="1500"/>
    <x v="0"/>
    <n v="5"/>
    <n v="1500.4"/>
    <x v="713"/>
    <x v="6"/>
    <x v="4"/>
    <n v="7502"/>
    <m/>
    <m/>
    <n v="7"/>
  </r>
  <r>
    <x v="7532"/>
    <x v="1500"/>
    <x v="2"/>
    <n v="1"/>
    <n v="5.23"/>
    <x v="572"/>
    <x v="6"/>
    <x v="3"/>
    <n v="5.23"/>
    <m/>
    <m/>
    <n v="7"/>
  </r>
  <r>
    <x v="7533"/>
    <x v="1500"/>
    <x v="0"/>
    <n v="3"/>
    <n v="900.24"/>
    <x v="431"/>
    <x v="0"/>
    <x v="0"/>
    <n v="2700.7200000000003"/>
    <m/>
    <m/>
    <n v="7"/>
  </r>
  <r>
    <x v="7534"/>
    <x v="1501"/>
    <x v="2"/>
    <n v="3"/>
    <n v="15.69"/>
    <x v="124"/>
    <x v="9"/>
    <x v="2"/>
    <n v="47.07"/>
    <m/>
    <m/>
    <n v="7"/>
  </r>
  <r>
    <x v="7535"/>
    <x v="1501"/>
    <x v="2"/>
    <n v="4"/>
    <n v="20.92"/>
    <x v="287"/>
    <x v="0"/>
    <x v="3"/>
    <n v="83.68"/>
    <m/>
    <m/>
    <n v="7"/>
  </r>
  <r>
    <x v="7536"/>
    <x v="1501"/>
    <x v="1"/>
    <n v="4"/>
    <n v="162.63999999999999"/>
    <x v="770"/>
    <x v="6"/>
    <x v="2"/>
    <n v="650.55999999999995"/>
    <m/>
    <m/>
    <n v="7"/>
  </r>
  <r>
    <x v="7537"/>
    <x v="1502"/>
    <x v="5"/>
    <n v="5"/>
    <n v="3000.85"/>
    <x v="105"/>
    <x v="9"/>
    <x v="0"/>
    <n v="15004.25"/>
    <m/>
    <m/>
    <n v="5"/>
  </r>
  <r>
    <x v="7538"/>
    <x v="1502"/>
    <x v="0"/>
    <n v="2"/>
    <n v="600.16"/>
    <x v="0"/>
    <x v="7"/>
    <x v="2"/>
    <n v="1200.32"/>
    <m/>
    <m/>
    <n v="5"/>
  </r>
  <r>
    <x v="7539"/>
    <x v="1502"/>
    <x v="0"/>
    <n v="3"/>
    <n v="900.24"/>
    <x v="537"/>
    <x v="0"/>
    <x v="3"/>
    <n v="2700.7200000000003"/>
    <m/>
    <m/>
    <n v="5"/>
  </r>
  <r>
    <x v="7540"/>
    <x v="1502"/>
    <x v="0"/>
    <n v="2"/>
    <n v="600.16"/>
    <x v="320"/>
    <x v="6"/>
    <x v="3"/>
    <n v="1200.32"/>
    <m/>
    <m/>
    <n v="5"/>
  </r>
  <r>
    <x v="7541"/>
    <x v="1502"/>
    <x v="3"/>
    <n v="2"/>
    <n v="30.3"/>
    <x v="594"/>
    <x v="6"/>
    <x v="2"/>
    <n v="60.6"/>
    <m/>
    <m/>
    <n v="7"/>
  </r>
  <r>
    <x v="7542"/>
    <x v="1502"/>
    <x v="5"/>
    <n v="1"/>
    <n v="600.16999999999996"/>
    <x v="405"/>
    <x v="1"/>
    <x v="1"/>
    <n v="600.16999999999996"/>
    <m/>
    <m/>
    <n v="7"/>
  </r>
  <r>
    <x v="7543"/>
    <x v="1502"/>
    <x v="2"/>
    <n v="4"/>
    <n v="20.92"/>
    <x v="289"/>
    <x v="4"/>
    <x v="2"/>
    <n v="83.68"/>
    <m/>
    <m/>
    <n v="7"/>
  </r>
  <r>
    <x v="7544"/>
    <x v="1503"/>
    <x v="2"/>
    <n v="5"/>
    <n v="26.15"/>
    <x v="57"/>
    <x v="0"/>
    <x v="0"/>
    <n v="130.75"/>
    <m/>
    <m/>
    <n v="5"/>
  </r>
  <r>
    <x v="7545"/>
    <x v="1503"/>
    <x v="0"/>
    <n v="1"/>
    <n v="300.08"/>
    <x v="706"/>
    <x v="1"/>
    <x v="1"/>
    <n v="300.08"/>
    <m/>
    <m/>
    <n v="7"/>
  </r>
  <r>
    <x v="7546"/>
    <x v="1503"/>
    <x v="7"/>
    <n v="2"/>
    <n v="23.46"/>
    <x v="772"/>
    <x v="1"/>
    <x v="0"/>
    <n v="46.92"/>
    <m/>
    <m/>
    <n v="7"/>
  </r>
  <r>
    <x v="7547"/>
    <x v="1504"/>
    <x v="0"/>
    <n v="2"/>
    <n v="600.16"/>
    <x v="743"/>
    <x v="6"/>
    <x v="0"/>
    <n v="1200.32"/>
    <m/>
    <m/>
    <n v="5"/>
  </r>
  <r>
    <x v="7548"/>
    <x v="1504"/>
    <x v="6"/>
    <n v="2"/>
    <n v="71.680000000000007"/>
    <x v="638"/>
    <x v="4"/>
    <x v="0"/>
    <n v="143.36000000000001"/>
    <m/>
    <m/>
    <n v="5"/>
  </r>
  <r>
    <x v="7549"/>
    <x v="1504"/>
    <x v="4"/>
    <n v="4"/>
    <n v="4200"/>
    <x v="516"/>
    <x v="0"/>
    <x v="2"/>
    <n v="16800"/>
    <m/>
    <m/>
    <n v="7"/>
  </r>
  <r>
    <x v="7550"/>
    <x v="1504"/>
    <x v="4"/>
    <n v="1"/>
    <n v="1050"/>
    <x v="544"/>
    <x v="0"/>
    <x v="0"/>
    <n v="1050"/>
    <m/>
    <m/>
    <n v="7"/>
  </r>
  <r>
    <x v="7551"/>
    <x v="1504"/>
    <x v="0"/>
    <n v="5"/>
    <n v="1500.4"/>
    <x v="751"/>
    <x v="1"/>
    <x v="2"/>
    <n v="7502"/>
    <m/>
    <m/>
    <n v="10"/>
  </r>
  <r>
    <x v="7552"/>
    <x v="1505"/>
    <x v="0"/>
    <n v="4"/>
    <n v="1200.32"/>
    <x v="319"/>
    <x v="4"/>
    <x v="1"/>
    <n v="4801.28"/>
    <m/>
    <m/>
    <n v="5"/>
  </r>
  <r>
    <x v="7553"/>
    <x v="1505"/>
    <x v="1"/>
    <n v="3"/>
    <n v="121.98"/>
    <x v="792"/>
    <x v="6"/>
    <x v="1"/>
    <n v="365.94"/>
    <m/>
    <m/>
    <n v="5"/>
  </r>
  <r>
    <x v="7554"/>
    <x v="1505"/>
    <x v="5"/>
    <n v="2"/>
    <n v="1200.3399999999999"/>
    <x v="462"/>
    <x v="1"/>
    <x v="1"/>
    <n v="2400.6799999999998"/>
    <m/>
    <m/>
    <n v="5"/>
  </r>
  <r>
    <x v="7555"/>
    <x v="1505"/>
    <x v="2"/>
    <n v="1"/>
    <n v="5.23"/>
    <x v="787"/>
    <x v="3"/>
    <x v="3"/>
    <n v="5.23"/>
    <m/>
    <m/>
    <n v="5"/>
  </r>
  <r>
    <x v="7556"/>
    <x v="1505"/>
    <x v="1"/>
    <n v="5"/>
    <n v="203.3"/>
    <x v="92"/>
    <x v="0"/>
    <x v="0"/>
    <n v="1016.5"/>
    <m/>
    <m/>
    <n v="5"/>
  </r>
  <r>
    <x v="7557"/>
    <x v="1505"/>
    <x v="0"/>
    <n v="1"/>
    <n v="300.08"/>
    <x v="88"/>
    <x v="2"/>
    <x v="3"/>
    <n v="300.08"/>
    <m/>
    <m/>
    <n v="7"/>
  </r>
  <r>
    <x v="7558"/>
    <x v="1505"/>
    <x v="2"/>
    <n v="5"/>
    <n v="26.15"/>
    <x v="608"/>
    <x v="6"/>
    <x v="4"/>
    <n v="130.75"/>
    <m/>
    <m/>
    <n v="10"/>
  </r>
  <r>
    <x v="7559"/>
    <x v="1506"/>
    <x v="0"/>
    <n v="5"/>
    <n v="1500.4"/>
    <x v="99"/>
    <x v="0"/>
    <x v="0"/>
    <n v="7502"/>
    <m/>
    <m/>
    <n v="5"/>
  </r>
  <r>
    <x v="7560"/>
    <x v="1506"/>
    <x v="0"/>
    <n v="1"/>
    <n v="300.08"/>
    <x v="113"/>
    <x v="1"/>
    <x v="3"/>
    <n v="300.08"/>
    <m/>
    <m/>
    <n v="5"/>
  </r>
  <r>
    <x v="7561"/>
    <x v="1506"/>
    <x v="1"/>
    <n v="4"/>
    <n v="162.63999999999999"/>
    <x v="27"/>
    <x v="7"/>
    <x v="3"/>
    <n v="650.55999999999995"/>
    <m/>
    <m/>
    <n v="5"/>
  </r>
  <r>
    <x v="7562"/>
    <x v="1506"/>
    <x v="2"/>
    <n v="2"/>
    <n v="10.46"/>
    <x v="503"/>
    <x v="6"/>
    <x v="2"/>
    <n v="20.92"/>
    <m/>
    <m/>
    <n v="7"/>
  </r>
  <r>
    <x v="7563"/>
    <x v="1506"/>
    <x v="2"/>
    <n v="1"/>
    <n v="5.23"/>
    <x v="595"/>
    <x v="6"/>
    <x v="0"/>
    <n v="5.23"/>
    <m/>
    <m/>
    <n v="7"/>
  </r>
  <r>
    <x v="7564"/>
    <x v="1506"/>
    <x v="0"/>
    <n v="1"/>
    <n v="300.08"/>
    <x v="36"/>
    <x v="4"/>
    <x v="0"/>
    <n v="300.08"/>
    <m/>
    <m/>
    <n v="7"/>
  </r>
  <r>
    <x v="7565"/>
    <x v="1506"/>
    <x v="5"/>
    <n v="2"/>
    <n v="1200.3399999999999"/>
    <x v="11"/>
    <x v="9"/>
    <x v="0"/>
    <n v="2400.6799999999998"/>
    <m/>
    <m/>
    <n v="7"/>
  </r>
  <r>
    <x v="7566"/>
    <x v="1506"/>
    <x v="6"/>
    <n v="2"/>
    <n v="71.680000000000007"/>
    <x v="412"/>
    <x v="2"/>
    <x v="2"/>
    <n v="143.36000000000001"/>
    <m/>
    <m/>
    <n v="7"/>
  </r>
  <r>
    <x v="7567"/>
    <x v="1507"/>
    <x v="1"/>
    <n v="3"/>
    <n v="121.98"/>
    <x v="143"/>
    <x v="6"/>
    <x v="4"/>
    <n v="365.94"/>
    <m/>
    <m/>
    <n v="5"/>
  </r>
  <r>
    <x v="7568"/>
    <x v="1507"/>
    <x v="0"/>
    <n v="1"/>
    <n v="300.08"/>
    <x v="115"/>
    <x v="1"/>
    <x v="0"/>
    <n v="300.08"/>
    <m/>
    <m/>
    <n v="5"/>
  </r>
  <r>
    <x v="7569"/>
    <x v="1507"/>
    <x v="6"/>
    <n v="4"/>
    <n v="143.36000000000001"/>
    <x v="749"/>
    <x v="3"/>
    <x v="3"/>
    <n v="573.44000000000005"/>
    <m/>
    <m/>
    <n v="5"/>
  </r>
  <r>
    <x v="7570"/>
    <x v="1507"/>
    <x v="6"/>
    <n v="1"/>
    <n v="35.840000000000003"/>
    <x v="230"/>
    <x v="1"/>
    <x v="3"/>
    <n v="35.840000000000003"/>
    <m/>
    <m/>
    <n v="5"/>
  </r>
  <r>
    <x v="7571"/>
    <x v="1507"/>
    <x v="6"/>
    <n v="1"/>
    <n v="35.840000000000003"/>
    <x v="619"/>
    <x v="1"/>
    <x v="3"/>
    <n v="35.840000000000003"/>
    <m/>
    <m/>
    <n v="5"/>
  </r>
  <r>
    <x v="7572"/>
    <x v="1507"/>
    <x v="2"/>
    <n v="3"/>
    <n v="15.69"/>
    <x v="787"/>
    <x v="0"/>
    <x v="1"/>
    <n v="47.07"/>
    <m/>
    <m/>
    <n v="5"/>
  </r>
  <r>
    <x v="7573"/>
    <x v="1508"/>
    <x v="1"/>
    <n v="2"/>
    <n v="81.319999999999993"/>
    <x v="614"/>
    <x v="1"/>
    <x v="2"/>
    <n v="162.63999999999999"/>
    <m/>
    <m/>
    <n v="5"/>
  </r>
  <r>
    <x v="7574"/>
    <x v="1508"/>
    <x v="0"/>
    <n v="3"/>
    <n v="900.24"/>
    <x v="389"/>
    <x v="1"/>
    <x v="3"/>
    <n v="2700.7200000000003"/>
    <m/>
    <m/>
    <n v="5"/>
  </r>
  <r>
    <x v="7575"/>
    <x v="1508"/>
    <x v="5"/>
    <n v="2"/>
    <n v="1200.3399999999999"/>
    <x v="459"/>
    <x v="0"/>
    <x v="2"/>
    <n v="2400.6799999999998"/>
    <m/>
    <m/>
    <n v="5"/>
  </r>
  <r>
    <x v="7576"/>
    <x v="1508"/>
    <x v="2"/>
    <n v="1"/>
    <n v="5.23"/>
    <x v="149"/>
    <x v="6"/>
    <x v="2"/>
    <n v="5.23"/>
    <m/>
    <m/>
    <n v="5"/>
  </r>
  <r>
    <x v="7577"/>
    <x v="1509"/>
    <x v="0"/>
    <n v="4"/>
    <n v="1200.32"/>
    <x v="567"/>
    <x v="0"/>
    <x v="4"/>
    <n v="4801.28"/>
    <m/>
    <m/>
    <n v="5"/>
  </r>
  <r>
    <x v="7578"/>
    <x v="1509"/>
    <x v="2"/>
    <n v="3"/>
    <n v="15.69"/>
    <x v="67"/>
    <x v="4"/>
    <x v="2"/>
    <n v="47.07"/>
    <m/>
    <m/>
    <n v="7"/>
  </r>
  <r>
    <x v="7579"/>
    <x v="1510"/>
    <x v="1"/>
    <n v="4"/>
    <n v="162.63999999999999"/>
    <x v="175"/>
    <x v="6"/>
    <x v="1"/>
    <n v="650.55999999999995"/>
    <m/>
    <m/>
    <n v="5"/>
  </r>
  <r>
    <x v="7580"/>
    <x v="1510"/>
    <x v="0"/>
    <n v="4"/>
    <n v="1200.32"/>
    <x v="477"/>
    <x v="2"/>
    <x v="0"/>
    <n v="4801.28"/>
    <m/>
    <m/>
    <n v="5"/>
  </r>
  <r>
    <x v="7581"/>
    <x v="1510"/>
    <x v="0"/>
    <n v="4"/>
    <n v="1200.32"/>
    <x v="748"/>
    <x v="6"/>
    <x v="3"/>
    <n v="4801.28"/>
    <m/>
    <m/>
    <n v="7"/>
  </r>
  <r>
    <x v="7582"/>
    <x v="1510"/>
    <x v="2"/>
    <n v="1"/>
    <n v="5.23"/>
    <x v="448"/>
    <x v="4"/>
    <x v="4"/>
    <n v="5.23"/>
    <m/>
    <m/>
    <n v="7"/>
  </r>
  <r>
    <x v="7583"/>
    <x v="1511"/>
    <x v="6"/>
    <n v="2"/>
    <n v="71.680000000000007"/>
    <x v="326"/>
    <x v="0"/>
    <x v="3"/>
    <n v="143.36000000000001"/>
    <m/>
    <m/>
    <n v="5"/>
  </r>
  <r>
    <x v="7584"/>
    <x v="1511"/>
    <x v="6"/>
    <n v="3"/>
    <n v="107.52"/>
    <x v="652"/>
    <x v="9"/>
    <x v="0"/>
    <n v="322.56"/>
    <m/>
    <m/>
    <n v="5"/>
  </r>
  <r>
    <x v="7585"/>
    <x v="1511"/>
    <x v="0"/>
    <n v="4"/>
    <n v="1200.32"/>
    <x v="282"/>
    <x v="0"/>
    <x v="3"/>
    <n v="4801.28"/>
    <m/>
    <m/>
    <n v="7"/>
  </r>
  <r>
    <x v="7586"/>
    <x v="1511"/>
    <x v="4"/>
    <n v="5"/>
    <n v="5250"/>
    <x v="706"/>
    <x v="9"/>
    <x v="4"/>
    <n v="26250"/>
    <m/>
    <m/>
    <n v="7"/>
  </r>
  <r>
    <x v="7587"/>
    <x v="1511"/>
    <x v="2"/>
    <n v="1"/>
    <n v="5.23"/>
    <x v="447"/>
    <x v="0"/>
    <x v="2"/>
    <n v="5.23"/>
    <m/>
    <m/>
    <n v="7"/>
  </r>
  <r>
    <x v="7588"/>
    <x v="1512"/>
    <x v="2"/>
    <n v="1"/>
    <n v="5.23"/>
    <x v="432"/>
    <x v="6"/>
    <x v="4"/>
    <n v="5.23"/>
    <m/>
    <m/>
    <n v="5"/>
  </r>
  <r>
    <x v="7589"/>
    <x v="1512"/>
    <x v="0"/>
    <n v="5"/>
    <n v="1500.4"/>
    <x v="242"/>
    <x v="6"/>
    <x v="2"/>
    <n v="7502"/>
    <m/>
    <m/>
    <n v="5"/>
  </r>
  <r>
    <x v="7590"/>
    <x v="1512"/>
    <x v="1"/>
    <n v="5"/>
    <n v="203.3"/>
    <x v="748"/>
    <x v="0"/>
    <x v="1"/>
    <n v="1016.5"/>
    <m/>
    <m/>
    <n v="7"/>
  </r>
  <r>
    <x v="7591"/>
    <x v="1512"/>
    <x v="2"/>
    <n v="1"/>
    <n v="5.23"/>
    <x v="463"/>
    <x v="6"/>
    <x v="4"/>
    <n v="5.23"/>
    <m/>
    <m/>
    <n v="7"/>
  </r>
  <r>
    <x v="7592"/>
    <x v="1512"/>
    <x v="0"/>
    <n v="3"/>
    <n v="900.24"/>
    <x v="37"/>
    <x v="9"/>
    <x v="0"/>
    <n v="2700.7200000000003"/>
    <m/>
    <m/>
    <n v="7"/>
  </r>
  <r>
    <x v="7593"/>
    <x v="1512"/>
    <x v="2"/>
    <n v="4"/>
    <n v="20.92"/>
    <x v="299"/>
    <x v="6"/>
    <x v="2"/>
    <n v="83.68"/>
    <m/>
    <m/>
    <n v="10"/>
  </r>
  <r>
    <x v="7594"/>
    <x v="1513"/>
    <x v="4"/>
    <n v="4"/>
    <n v="4200"/>
    <x v="432"/>
    <x v="0"/>
    <x v="4"/>
    <n v="16800"/>
    <m/>
    <m/>
    <n v="5"/>
  </r>
  <r>
    <x v="7595"/>
    <x v="1513"/>
    <x v="0"/>
    <n v="1"/>
    <n v="300.08"/>
    <x v="248"/>
    <x v="0"/>
    <x v="3"/>
    <n v="300.08"/>
    <m/>
    <m/>
    <n v="7"/>
  </r>
  <r>
    <x v="7596"/>
    <x v="1513"/>
    <x v="1"/>
    <n v="4"/>
    <n v="162.63999999999999"/>
    <x v="674"/>
    <x v="9"/>
    <x v="1"/>
    <n v="650.55999999999995"/>
    <m/>
    <m/>
    <n v="7"/>
  </r>
  <r>
    <x v="7597"/>
    <x v="1513"/>
    <x v="0"/>
    <n v="1"/>
    <n v="300.08"/>
    <x v="558"/>
    <x v="1"/>
    <x v="4"/>
    <n v="300.08"/>
    <m/>
    <m/>
    <n v="7"/>
  </r>
  <r>
    <x v="7598"/>
    <x v="1513"/>
    <x v="5"/>
    <n v="1"/>
    <n v="600.16999999999996"/>
    <x v="125"/>
    <x v="0"/>
    <x v="2"/>
    <n v="600.16999999999996"/>
    <m/>
    <m/>
    <n v="7"/>
  </r>
  <r>
    <x v="7599"/>
    <x v="1514"/>
    <x v="2"/>
    <n v="1"/>
    <n v="5.23"/>
    <x v="318"/>
    <x v="6"/>
    <x v="1"/>
    <n v="5.23"/>
    <m/>
    <m/>
    <n v="5"/>
  </r>
  <r>
    <x v="7600"/>
    <x v="1514"/>
    <x v="2"/>
    <n v="4"/>
    <n v="20.92"/>
    <x v="775"/>
    <x v="4"/>
    <x v="1"/>
    <n v="83.68"/>
    <m/>
    <m/>
    <n v="5"/>
  </r>
  <r>
    <x v="7601"/>
    <x v="1514"/>
    <x v="7"/>
    <n v="4"/>
    <n v="46.92"/>
    <x v="217"/>
    <x v="2"/>
    <x v="4"/>
    <n v="187.68"/>
    <m/>
    <m/>
    <n v="7"/>
  </r>
  <r>
    <x v="7602"/>
    <x v="1514"/>
    <x v="0"/>
    <n v="5"/>
    <n v="1500.4"/>
    <x v="681"/>
    <x v="2"/>
    <x v="4"/>
    <n v="7502"/>
    <m/>
    <m/>
    <n v="7"/>
  </r>
  <r>
    <x v="7603"/>
    <x v="1514"/>
    <x v="0"/>
    <n v="5"/>
    <n v="1500.4"/>
    <x v="733"/>
    <x v="3"/>
    <x v="0"/>
    <n v="7502"/>
    <m/>
    <m/>
    <n v="7"/>
  </r>
  <r>
    <x v="7604"/>
    <x v="1514"/>
    <x v="1"/>
    <n v="2"/>
    <n v="81.319999999999993"/>
    <x v="630"/>
    <x v="7"/>
    <x v="3"/>
    <n v="162.63999999999999"/>
    <m/>
    <m/>
    <n v="7"/>
  </r>
  <r>
    <x v="7605"/>
    <x v="1514"/>
    <x v="1"/>
    <n v="4"/>
    <n v="162.63999999999999"/>
    <x v="412"/>
    <x v="6"/>
    <x v="2"/>
    <n v="650.55999999999995"/>
    <m/>
    <m/>
    <n v="7"/>
  </r>
  <r>
    <x v="7606"/>
    <x v="1515"/>
    <x v="5"/>
    <n v="2"/>
    <n v="1200.3399999999999"/>
    <x v="590"/>
    <x v="8"/>
    <x v="3"/>
    <n v="2400.6799999999998"/>
    <m/>
    <m/>
    <n v="7"/>
  </r>
  <r>
    <x v="7607"/>
    <x v="1515"/>
    <x v="0"/>
    <n v="1"/>
    <n v="300.08"/>
    <x v="360"/>
    <x v="6"/>
    <x v="1"/>
    <n v="300.08"/>
    <m/>
    <m/>
    <n v="7"/>
  </r>
  <r>
    <x v="7608"/>
    <x v="1515"/>
    <x v="7"/>
    <n v="3"/>
    <n v="35.19"/>
    <x v="192"/>
    <x v="7"/>
    <x v="2"/>
    <n v="105.57"/>
    <m/>
    <m/>
    <n v="7"/>
  </r>
  <r>
    <x v="7609"/>
    <x v="1515"/>
    <x v="0"/>
    <n v="4"/>
    <n v="1200.32"/>
    <x v="476"/>
    <x v="0"/>
    <x v="0"/>
    <n v="4801.28"/>
    <m/>
    <m/>
    <n v="7"/>
  </r>
  <r>
    <x v="7610"/>
    <x v="1515"/>
    <x v="0"/>
    <n v="4"/>
    <n v="1200.32"/>
    <x v="721"/>
    <x v="2"/>
    <x v="3"/>
    <n v="4801.28"/>
    <m/>
    <m/>
    <n v="7"/>
  </r>
  <r>
    <x v="7611"/>
    <x v="1516"/>
    <x v="1"/>
    <n v="1"/>
    <n v="40.659999999999997"/>
    <x v="552"/>
    <x v="6"/>
    <x v="1"/>
    <n v="40.659999999999997"/>
    <m/>
    <m/>
    <n v="5"/>
  </r>
  <r>
    <x v="7612"/>
    <x v="1516"/>
    <x v="2"/>
    <n v="5"/>
    <n v="26.15"/>
    <x v="233"/>
    <x v="8"/>
    <x v="1"/>
    <n v="130.75"/>
    <m/>
    <m/>
    <n v="5"/>
  </r>
  <r>
    <x v="7613"/>
    <x v="1517"/>
    <x v="6"/>
    <n v="5"/>
    <n v="179.2"/>
    <x v="63"/>
    <x v="3"/>
    <x v="4"/>
    <n v="896"/>
    <m/>
    <m/>
    <n v="5"/>
  </r>
  <r>
    <x v="7614"/>
    <x v="1517"/>
    <x v="2"/>
    <n v="5"/>
    <n v="26.15"/>
    <x v="515"/>
    <x v="1"/>
    <x v="0"/>
    <n v="130.75"/>
    <m/>
    <m/>
    <n v="7"/>
  </r>
  <r>
    <x v="7615"/>
    <x v="1517"/>
    <x v="1"/>
    <n v="5"/>
    <n v="203.3"/>
    <x v="711"/>
    <x v="8"/>
    <x v="3"/>
    <n v="1016.5"/>
    <m/>
    <m/>
    <n v="7"/>
  </r>
  <r>
    <x v="7616"/>
    <x v="1517"/>
    <x v="0"/>
    <n v="1"/>
    <n v="300.08"/>
    <x v="684"/>
    <x v="0"/>
    <x v="4"/>
    <n v="300.08"/>
    <m/>
    <m/>
    <n v="7"/>
  </r>
  <r>
    <x v="7617"/>
    <x v="1517"/>
    <x v="5"/>
    <n v="2"/>
    <n v="1200.3399999999999"/>
    <x v="796"/>
    <x v="6"/>
    <x v="0"/>
    <n v="2400.6799999999998"/>
    <m/>
    <m/>
    <n v="7"/>
  </r>
  <r>
    <x v="7618"/>
    <x v="1517"/>
    <x v="2"/>
    <n v="1"/>
    <n v="5.23"/>
    <x v="578"/>
    <x v="9"/>
    <x v="2"/>
    <n v="5.23"/>
    <m/>
    <m/>
    <n v="7"/>
  </r>
  <r>
    <x v="7619"/>
    <x v="1518"/>
    <x v="2"/>
    <n v="3"/>
    <n v="15.69"/>
    <x v="474"/>
    <x v="9"/>
    <x v="2"/>
    <n v="47.07"/>
    <m/>
    <m/>
    <n v="5"/>
  </r>
  <r>
    <x v="7620"/>
    <x v="1518"/>
    <x v="0"/>
    <n v="3"/>
    <n v="900.24"/>
    <x v="207"/>
    <x v="6"/>
    <x v="4"/>
    <n v="2700.7200000000003"/>
    <m/>
    <m/>
    <n v="5"/>
  </r>
  <r>
    <x v="7621"/>
    <x v="1518"/>
    <x v="0"/>
    <n v="5"/>
    <n v="1500.4"/>
    <x v="400"/>
    <x v="6"/>
    <x v="2"/>
    <n v="7502"/>
    <m/>
    <m/>
    <n v="7"/>
  </r>
  <r>
    <x v="7622"/>
    <x v="1518"/>
    <x v="2"/>
    <n v="4"/>
    <n v="20.92"/>
    <x v="411"/>
    <x v="9"/>
    <x v="0"/>
    <n v="83.68"/>
    <m/>
    <m/>
    <n v="7"/>
  </r>
  <r>
    <x v="7623"/>
    <x v="1519"/>
    <x v="1"/>
    <n v="5"/>
    <n v="203.3"/>
    <x v="68"/>
    <x v="0"/>
    <x v="3"/>
    <n v="1016.5"/>
    <m/>
    <m/>
    <n v="5"/>
  </r>
  <r>
    <x v="7624"/>
    <x v="1519"/>
    <x v="1"/>
    <n v="1"/>
    <n v="40.659999999999997"/>
    <x v="120"/>
    <x v="4"/>
    <x v="4"/>
    <n v="40.659999999999997"/>
    <m/>
    <m/>
    <n v="5"/>
  </r>
  <r>
    <x v="7625"/>
    <x v="1519"/>
    <x v="0"/>
    <n v="4"/>
    <n v="1200.32"/>
    <x v="427"/>
    <x v="1"/>
    <x v="4"/>
    <n v="4801.28"/>
    <m/>
    <m/>
    <n v="7"/>
  </r>
  <r>
    <x v="7626"/>
    <x v="1519"/>
    <x v="0"/>
    <n v="3"/>
    <n v="900.24"/>
    <x v="517"/>
    <x v="1"/>
    <x v="4"/>
    <n v="2700.7200000000003"/>
    <m/>
    <m/>
    <n v="10"/>
  </r>
  <r>
    <x v="7627"/>
    <x v="1520"/>
    <x v="0"/>
    <n v="1"/>
    <n v="300.08"/>
    <x v="554"/>
    <x v="8"/>
    <x v="2"/>
    <n v="300.08"/>
    <m/>
    <m/>
    <n v="10"/>
  </r>
  <r>
    <x v="7628"/>
    <x v="1521"/>
    <x v="0"/>
    <n v="5"/>
    <n v="1500.4"/>
    <x v="186"/>
    <x v="8"/>
    <x v="1"/>
    <n v="7502"/>
    <m/>
    <m/>
    <n v="5"/>
  </r>
  <r>
    <x v="7629"/>
    <x v="1521"/>
    <x v="1"/>
    <n v="1"/>
    <n v="40.659999999999997"/>
    <x v="204"/>
    <x v="4"/>
    <x v="0"/>
    <n v="40.659999999999997"/>
    <m/>
    <m/>
    <n v="5"/>
  </r>
  <r>
    <x v="7630"/>
    <x v="1521"/>
    <x v="2"/>
    <n v="4"/>
    <n v="20.92"/>
    <x v="552"/>
    <x v="5"/>
    <x v="2"/>
    <n v="83.68"/>
    <m/>
    <m/>
    <n v="5"/>
  </r>
  <r>
    <x v="7631"/>
    <x v="1521"/>
    <x v="4"/>
    <n v="1"/>
    <n v="1050"/>
    <x v="398"/>
    <x v="0"/>
    <x v="3"/>
    <n v="1050"/>
    <m/>
    <m/>
    <n v="5"/>
  </r>
  <r>
    <x v="7632"/>
    <x v="1521"/>
    <x v="0"/>
    <n v="1"/>
    <n v="300.08"/>
    <x v="329"/>
    <x v="6"/>
    <x v="4"/>
    <n v="300.08"/>
    <m/>
    <m/>
    <n v="7"/>
  </r>
  <r>
    <x v="7633"/>
    <x v="1521"/>
    <x v="1"/>
    <n v="1"/>
    <n v="40.659999999999997"/>
    <x v="510"/>
    <x v="5"/>
    <x v="3"/>
    <n v="40.659999999999997"/>
    <m/>
    <m/>
    <n v="7"/>
  </r>
  <r>
    <x v="7634"/>
    <x v="1521"/>
    <x v="5"/>
    <n v="4"/>
    <n v="2400.6799999999998"/>
    <x v="26"/>
    <x v="6"/>
    <x v="2"/>
    <n v="9602.7199999999993"/>
    <m/>
    <m/>
    <n v="10"/>
  </r>
  <r>
    <x v="7635"/>
    <x v="1521"/>
    <x v="1"/>
    <n v="4"/>
    <n v="162.63999999999999"/>
    <x v="436"/>
    <x v="9"/>
    <x v="0"/>
    <n v="650.55999999999995"/>
    <m/>
    <m/>
    <n v="10"/>
  </r>
  <r>
    <x v="7636"/>
    <x v="1522"/>
    <x v="0"/>
    <n v="5"/>
    <n v="1500.4"/>
    <x v="86"/>
    <x v="1"/>
    <x v="4"/>
    <n v="7502"/>
    <m/>
    <m/>
    <n v="5"/>
  </r>
  <r>
    <x v="7637"/>
    <x v="1522"/>
    <x v="3"/>
    <n v="1"/>
    <n v="15.15"/>
    <x v="100"/>
    <x v="4"/>
    <x v="0"/>
    <n v="15.15"/>
    <m/>
    <m/>
    <n v="5"/>
  </r>
  <r>
    <x v="7638"/>
    <x v="1522"/>
    <x v="4"/>
    <n v="3"/>
    <n v="3150"/>
    <x v="87"/>
    <x v="1"/>
    <x v="3"/>
    <n v="9450"/>
    <m/>
    <m/>
    <n v="5"/>
  </r>
  <r>
    <x v="7639"/>
    <x v="1522"/>
    <x v="1"/>
    <n v="1"/>
    <n v="40.659999999999997"/>
    <x v="330"/>
    <x v="7"/>
    <x v="0"/>
    <n v="40.659999999999997"/>
    <m/>
    <m/>
    <n v="7"/>
  </r>
  <r>
    <x v="7640"/>
    <x v="1523"/>
    <x v="1"/>
    <n v="5"/>
    <n v="203.3"/>
    <x v="239"/>
    <x v="8"/>
    <x v="0"/>
    <n v="1016.5"/>
    <m/>
    <m/>
    <n v="5"/>
  </r>
  <r>
    <x v="7641"/>
    <x v="1523"/>
    <x v="1"/>
    <n v="4"/>
    <n v="162.63999999999999"/>
    <x v="365"/>
    <x v="6"/>
    <x v="3"/>
    <n v="650.55999999999995"/>
    <m/>
    <m/>
    <n v="7"/>
  </r>
  <r>
    <x v="7642"/>
    <x v="1523"/>
    <x v="7"/>
    <n v="1"/>
    <n v="11.73"/>
    <x v="542"/>
    <x v="0"/>
    <x v="2"/>
    <n v="11.73"/>
    <m/>
    <m/>
    <n v="7"/>
  </r>
  <r>
    <x v="7643"/>
    <x v="1523"/>
    <x v="0"/>
    <n v="4"/>
    <n v="1200.32"/>
    <x v="751"/>
    <x v="1"/>
    <x v="4"/>
    <n v="4801.28"/>
    <m/>
    <m/>
    <n v="10"/>
  </r>
  <r>
    <x v="7644"/>
    <x v="1523"/>
    <x v="0"/>
    <n v="2"/>
    <n v="600.16"/>
    <x v="620"/>
    <x v="1"/>
    <x v="0"/>
    <n v="1200.32"/>
    <m/>
    <m/>
    <n v="10"/>
  </r>
  <r>
    <x v="7645"/>
    <x v="1524"/>
    <x v="4"/>
    <n v="1"/>
    <n v="1050"/>
    <x v="428"/>
    <x v="6"/>
    <x v="0"/>
    <n v="1050"/>
    <m/>
    <m/>
    <n v="7"/>
  </r>
  <r>
    <x v="7646"/>
    <x v="1524"/>
    <x v="1"/>
    <n v="1"/>
    <n v="40.659999999999997"/>
    <x v="586"/>
    <x v="0"/>
    <x v="1"/>
    <n v="40.659999999999997"/>
    <m/>
    <m/>
    <n v="10"/>
  </r>
  <r>
    <x v="7647"/>
    <x v="1525"/>
    <x v="0"/>
    <n v="4"/>
    <n v="1200.32"/>
    <x v="112"/>
    <x v="6"/>
    <x v="3"/>
    <n v="4801.28"/>
    <m/>
    <m/>
    <n v="5"/>
  </r>
  <r>
    <x v="7648"/>
    <x v="1525"/>
    <x v="5"/>
    <n v="4"/>
    <n v="2400.6799999999998"/>
    <x v="312"/>
    <x v="6"/>
    <x v="3"/>
    <n v="9602.7199999999993"/>
    <m/>
    <m/>
    <n v="5"/>
  </r>
  <r>
    <x v="7649"/>
    <x v="1525"/>
    <x v="0"/>
    <n v="1"/>
    <n v="300.08"/>
    <x v="469"/>
    <x v="6"/>
    <x v="1"/>
    <n v="300.08"/>
    <m/>
    <m/>
    <n v="5"/>
  </r>
  <r>
    <x v="7650"/>
    <x v="1525"/>
    <x v="0"/>
    <n v="4"/>
    <n v="1200.32"/>
    <x v="399"/>
    <x v="2"/>
    <x v="2"/>
    <n v="4801.28"/>
    <m/>
    <m/>
    <n v="7"/>
  </r>
  <r>
    <x v="7651"/>
    <x v="1525"/>
    <x v="0"/>
    <n v="5"/>
    <n v="1500.4"/>
    <x v="391"/>
    <x v="6"/>
    <x v="4"/>
    <n v="7502"/>
    <m/>
    <m/>
    <n v="7"/>
  </r>
  <r>
    <x v="7652"/>
    <x v="1525"/>
    <x v="0"/>
    <n v="2"/>
    <n v="600.16"/>
    <x v="547"/>
    <x v="6"/>
    <x v="2"/>
    <n v="1200.32"/>
    <m/>
    <m/>
    <n v="7"/>
  </r>
  <r>
    <x v="7653"/>
    <x v="1526"/>
    <x v="0"/>
    <n v="4"/>
    <n v="1200.32"/>
    <x v="515"/>
    <x v="8"/>
    <x v="0"/>
    <n v="4801.28"/>
    <m/>
    <m/>
    <n v="7"/>
  </r>
  <r>
    <x v="7654"/>
    <x v="1526"/>
    <x v="2"/>
    <n v="2"/>
    <n v="10.46"/>
    <x v="75"/>
    <x v="6"/>
    <x v="1"/>
    <n v="20.92"/>
    <m/>
    <m/>
    <n v="7"/>
  </r>
  <r>
    <x v="7655"/>
    <x v="1526"/>
    <x v="0"/>
    <n v="3"/>
    <n v="900.24"/>
    <x v="343"/>
    <x v="4"/>
    <x v="1"/>
    <n v="2700.7200000000003"/>
    <m/>
    <m/>
    <n v="7"/>
  </r>
  <r>
    <x v="7656"/>
    <x v="1526"/>
    <x v="6"/>
    <n v="2"/>
    <n v="71.680000000000007"/>
    <x v="488"/>
    <x v="6"/>
    <x v="4"/>
    <n v="143.36000000000001"/>
    <m/>
    <m/>
    <n v="7"/>
  </r>
  <r>
    <x v="7657"/>
    <x v="1526"/>
    <x v="0"/>
    <n v="2"/>
    <n v="600.16"/>
    <x v="421"/>
    <x v="0"/>
    <x v="3"/>
    <n v="1200.32"/>
    <m/>
    <m/>
    <n v="7"/>
  </r>
  <r>
    <x v="7658"/>
    <x v="1527"/>
    <x v="1"/>
    <n v="4"/>
    <n v="162.63999999999999"/>
    <x v="789"/>
    <x v="8"/>
    <x v="4"/>
    <n v="650.55999999999995"/>
    <m/>
    <m/>
    <n v="5"/>
  </r>
  <r>
    <x v="7659"/>
    <x v="1527"/>
    <x v="0"/>
    <n v="1"/>
    <n v="300.08"/>
    <x v="417"/>
    <x v="8"/>
    <x v="0"/>
    <n v="300.08"/>
    <m/>
    <m/>
    <n v="5"/>
  </r>
  <r>
    <x v="7660"/>
    <x v="1527"/>
    <x v="0"/>
    <n v="2"/>
    <n v="600.16"/>
    <x v="349"/>
    <x v="6"/>
    <x v="4"/>
    <n v="1200.32"/>
    <m/>
    <m/>
    <n v="7"/>
  </r>
  <r>
    <x v="7661"/>
    <x v="1527"/>
    <x v="0"/>
    <n v="2"/>
    <n v="600.16"/>
    <x v="110"/>
    <x v="9"/>
    <x v="4"/>
    <n v="1200.32"/>
    <m/>
    <m/>
    <n v="7"/>
  </r>
  <r>
    <x v="7662"/>
    <x v="1527"/>
    <x v="0"/>
    <n v="5"/>
    <n v="1500.4"/>
    <x v="754"/>
    <x v="6"/>
    <x v="3"/>
    <n v="7502"/>
    <m/>
    <m/>
    <n v="7"/>
  </r>
  <r>
    <x v="7663"/>
    <x v="1528"/>
    <x v="1"/>
    <n v="1"/>
    <n v="40.659999999999997"/>
    <x v="474"/>
    <x v="6"/>
    <x v="4"/>
    <n v="40.659999999999997"/>
    <m/>
    <m/>
    <n v="5"/>
  </r>
  <r>
    <x v="7664"/>
    <x v="1528"/>
    <x v="2"/>
    <n v="2"/>
    <n v="10.46"/>
    <x v="478"/>
    <x v="3"/>
    <x v="0"/>
    <n v="20.92"/>
    <m/>
    <m/>
    <n v="5"/>
  </r>
  <r>
    <x v="7665"/>
    <x v="1528"/>
    <x v="6"/>
    <n v="4"/>
    <n v="143.36000000000001"/>
    <x v="101"/>
    <x v="9"/>
    <x v="0"/>
    <n v="573.44000000000005"/>
    <m/>
    <m/>
    <n v="5"/>
  </r>
  <r>
    <x v="7666"/>
    <x v="1528"/>
    <x v="2"/>
    <n v="1"/>
    <n v="5.23"/>
    <x v="323"/>
    <x v="6"/>
    <x v="4"/>
    <n v="5.23"/>
    <m/>
    <m/>
    <n v="7"/>
  </r>
  <r>
    <x v="7667"/>
    <x v="1528"/>
    <x v="0"/>
    <n v="5"/>
    <n v="1500.4"/>
    <x v="26"/>
    <x v="0"/>
    <x v="1"/>
    <n v="7502"/>
    <m/>
    <m/>
    <n v="10"/>
  </r>
  <r>
    <x v="7668"/>
    <x v="1529"/>
    <x v="7"/>
    <n v="3"/>
    <n v="35.19"/>
    <x v="73"/>
    <x v="6"/>
    <x v="0"/>
    <n v="105.57"/>
    <m/>
    <m/>
    <n v="5"/>
  </r>
  <r>
    <x v="7669"/>
    <x v="1529"/>
    <x v="0"/>
    <n v="3"/>
    <n v="900.24"/>
    <x v="230"/>
    <x v="6"/>
    <x v="4"/>
    <n v="2700.7200000000003"/>
    <m/>
    <m/>
    <n v="5"/>
  </r>
  <r>
    <x v="7670"/>
    <x v="1529"/>
    <x v="0"/>
    <n v="2"/>
    <n v="600.16"/>
    <x v="593"/>
    <x v="6"/>
    <x v="2"/>
    <n v="1200.32"/>
    <m/>
    <m/>
    <n v="5"/>
  </r>
  <r>
    <x v="7671"/>
    <x v="1529"/>
    <x v="4"/>
    <n v="3"/>
    <n v="3150"/>
    <x v="791"/>
    <x v="3"/>
    <x v="2"/>
    <n v="9450"/>
    <m/>
    <m/>
    <n v="7"/>
  </r>
  <r>
    <x v="7672"/>
    <x v="1529"/>
    <x v="2"/>
    <n v="4"/>
    <n v="20.92"/>
    <x v="20"/>
    <x v="6"/>
    <x v="1"/>
    <n v="83.68"/>
    <m/>
    <m/>
    <n v="7"/>
  </r>
  <r>
    <x v="7673"/>
    <x v="1529"/>
    <x v="7"/>
    <n v="4"/>
    <n v="46.92"/>
    <x v="379"/>
    <x v="9"/>
    <x v="1"/>
    <n v="187.68"/>
    <m/>
    <m/>
    <n v="10"/>
  </r>
  <r>
    <x v="7674"/>
    <x v="1530"/>
    <x v="2"/>
    <n v="5"/>
    <n v="26.15"/>
    <x v="419"/>
    <x v="4"/>
    <x v="3"/>
    <n v="130.75"/>
    <m/>
    <m/>
    <n v="7"/>
  </r>
  <r>
    <x v="7675"/>
    <x v="1530"/>
    <x v="0"/>
    <n v="2"/>
    <n v="600.16"/>
    <x v="558"/>
    <x v="0"/>
    <x v="1"/>
    <n v="1200.32"/>
    <m/>
    <m/>
    <n v="7"/>
  </r>
  <r>
    <x v="7676"/>
    <x v="1531"/>
    <x v="5"/>
    <n v="3"/>
    <n v="1800.51"/>
    <x v="105"/>
    <x v="0"/>
    <x v="2"/>
    <n v="5401.53"/>
    <m/>
    <m/>
    <n v="5"/>
  </r>
  <r>
    <x v="7677"/>
    <x v="1531"/>
    <x v="5"/>
    <n v="5"/>
    <n v="3000.85"/>
    <x v="270"/>
    <x v="6"/>
    <x v="3"/>
    <n v="15004.25"/>
    <m/>
    <m/>
    <n v="5"/>
  </r>
  <r>
    <x v="7678"/>
    <x v="1531"/>
    <x v="0"/>
    <n v="3"/>
    <n v="900.24"/>
    <x v="45"/>
    <x v="3"/>
    <x v="2"/>
    <n v="2700.7200000000003"/>
    <m/>
    <m/>
    <n v="5"/>
  </r>
  <r>
    <x v="7679"/>
    <x v="1531"/>
    <x v="1"/>
    <n v="3"/>
    <n v="121.98"/>
    <x v="669"/>
    <x v="0"/>
    <x v="1"/>
    <n v="365.94"/>
    <m/>
    <m/>
    <n v="5"/>
  </r>
  <r>
    <x v="7680"/>
    <x v="1531"/>
    <x v="1"/>
    <n v="5"/>
    <n v="203.3"/>
    <x v="507"/>
    <x v="4"/>
    <x v="4"/>
    <n v="1016.5"/>
    <m/>
    <m/>
    <n v="7"/>
  </r>
  <r>
    <x v="7681"/>
    <x v="1531"/>
    <x v="1"/>
    <n v="1"/>
    <n v="40.659999999999997"/>
    <x v="94"/>
    <x v="9"/>
    <x v="3"/>
    <n v="40.659999999999997"/>
    <m/>
    <m/>
    <n v="7"/>
  </r>
  <r>
    <x v="7682"/>
    <x v="1532"/>
    <x v="2"/>
    <n v="1"/>
    <n v="5.23"/>
    <x v="695"/>
    <x v="6"/>
    <x v="3"/>
    <n v="5.23"/>
    <m/>
    <m/>
    <n v="5"/>
  </r>
  <r>
    <x v="7683"/>
    <x v="1532"/>
    <x v="5"/>
    <n v="5"/>
    <n v="3000.85"/>
    <x v="117"/>
    <x v="2"/>
    <x v="0"/>
    <n v="15004.25"/>
    <m/>
    <m/>
    <n v="5"/>
  </r>
  <r>
    <x v="7684"/>
    <x v="1532"/>
    <x v="7"/>
    <n v="1"/>
    <n v="11.73"/>
    <x v="151"/>
    <x v="6"/>
    <x v="3"/>
    <n v="11.73"/>
    <m/>
    <m/>
    <n v="5"/>
  </r>
  <r>
    <x v="7685"/>
    <x v="1532"/>
    <x v="0"/>
    <n v="4"/>
    <n v="1200.32"/>
    <x v="123"/>
    <x v="8"/>
    <x v="4"/>
    <n v="4801.28"/>
    <m/>
    <m/>
    <n v="7"/>
  </r>
  <r>
    <x v="7686"/>
    <x v="1532"/>
    <x v="3"/>
    <n v="1"/>
    <n v="15.15"/>
    <x v="547"/>
    <x v="0"/>
    <x v="4"/>
    <n v="15.15"/>
    <m/>
    <m/>
    <n v="7"/>
  </r>
  <r>
    <x v="7687"/>
    <x v="1532"/>
    <x v="0"/>
    <n v="1"/>
    <n v="300.08"/>
    <x v="218"/>
    <x v="6"/>
    <x v="1"/>
    <n v="300.08"/>
    <m/>
    <m/>
    <n v="7"/>
  </r>
  <r>
    <x v="7688"/>
    <x v="1533"/>
    <x v="6"/>
    <n v="5"/>
    <n v="179.2"/>
    <x v="81"/>
    <x v="6"/>
    <x v="1"/>
    <n v="896"/>
    <m/>
    <m/>
    <n v="5"/>
  </r>
  <r>
    <x v="7689"/>
    <x v="1533"/>
    <x v="0"/>
    <n v="5"/>
    <n v="1500.4"/>
    <x v="508"/>
    <x v="0"/>
    <x v="2"/>
    <n v="7502"/>
    <m/>
    <m/>
    <n v="7"/>
  </r>
  <r>
    <x v="7690"/>
    <x v="1533"/>
    <x v="6"/>
    <n v="1"/>
    <n v="35.840000000000003"/>
    <x v="464"/>
    <x v="1"/>
    <x v="4"/>
    <n v="35.840000000000003"/>
    <m/>
    <m/>
    <n v="7"/>
  </r>
  <r>
    <x v="7691"/>
    <x v="1533"/>
    <x v="1"/>
    <n v="4"/>
    <n v="162.63999999999999"/>
    <x v="558"/>
    <x v="6"/>
    <x v="2"/>
    <n v="650.55999999999995"/>
    <m/>
    <m/>
    <n v="7"/>
  </r>
  <r>
    <x v="7692"/>
    <x v="1533"/>
    <x v="2"/>
    <n v="5"/>
    <n v="26.15"/>
    <x v="330"/>
    <x v="7"/>
    <x v="1"/>
    <n v="130.75"/>
    <m/>
    <m/>
    <n v="7"/>
  </r>
  <r>
    <x v="7693"/>
    <x v="1534"/>
    <x v="3"/>
    <n v="1"/>
    <n v="15.15"/>
    <x v="277"/>
    <x v="0"/>
    <x v="1"/>
    <n v="15.15"/>
    <m/>
    <m/>
    <n v="7"/>
  </r>
  <r>
    <x v="7694"/>
    <x v="1534"/>
    <x v="2"/>
    <n v="5"/>
    <n v="26.15"/>
    <x v="61"/>
    <x v="4"/>
    <x v="2"/>
    <n v="130.75"/>
    <m/>
    <m/>
    <n v="10"/>
  </r>
  <r>
    <x v="7695"/>
    <x v="1535"/>
    <x v="1"/>
    <n v="4"/>
    <n v="162.63999999999999"/>
    <x v="68"/>
    <x v="9"/>
    <x v="3"/>
    <n v="650.55999999999995"/>
    <m/>
    <m/>
    <n v="5"/>
  </r>
  <r>
    <x v="7696"/>
    <x v="1535"/>
    <x v="2"/>
    <n v="3"/>
    <n v="15.69"/>
    <x v="453"/>
    <x v="7"/>
    <x v="4"/>
    <n v="47.07"/>
    <m/>
    <m/>
    <n v="5"/>
  </r>
  <r>
    <x v="7697"/>
    <x v="1535"/>
    <x v="0"/>
    <n v="5"/>
    <n v="1500.4"/>
    <x v="432"/>
    <x v="6"/>
    <x v="0"/>
    <n v="7502"/>
    <m/>
    <m/>
    <n v="5"/>
  </r>
  <r>
    <x v="7698"/>
    <x v="1535"/>
    <x v="0"/>
    <n v="5"/>
    <n v="1500.4"/>
    <x v="486"/>
    <x v="0"/>
    <x v="2"/>
    <n v="7502"/>
    <m/>
    <m/>
    <n v="7"/>
  </r>
  <r>
    <x v="7699"/>
    <x v="1535"/>
    <x v="0"/>
    <n v="4"/>
    <n v="1200.32"/>
    <x v="608"/>
    <x v="6"/>
    <x v="2"/>
    <n v="4801.28"/>
    <m/>
    <m/>
    <n v="10"/>
  </r>
  <r>
    <x v="7700"/>
    <x v="1536"/>
    <x v="0"/>
    <n v="4"/>
    <n v="1200.32"/>
    <x v="212"/>
    <x v="6"/>
    <x v="1"/>
    <n v="4801.28"/>
    <m/>
    <m/>
    <n v="5"/>
  </r>
  <r>
    <x v="7701"/>
    <x v="1536"/>
    <x v="0"/>
    <n v="5"/>
    <n v="1500.4"/>
    <x v="425"/>
    <x v="0"/>
    <x v="2"/>
    <n v="7502"/>
    <m/>
    <m/>
    <n v="5"/>
  </r>
  <r>
    <x v="7702"/>
    <x v="1536"/>
    <x v="5"/>
    <n v="5"/>
    <n v="3000.85"/>
    <x v="124"/>
    <x v="4"/>
    <x v="2"/>
    <n v="15004.25"/>
    <m/>
    <m/>
    <n v="7"/>
  </r>
  <r>
    <x v="7703"/>
    <x v="1537"/>
    <x v="1"/>
    <n v="3"/>
    <n v="121.98"/>
    <x v="126"/>
    <x v="2"/>
    <x v="4"/>
    <n v="365.94"/>
    <m/>
    <m/>
    <n v="5"/>
  </r>
  <r>
    <x v="7704"/>
    <x v="1537"/>
    <x v="0"/>
    <n v="4"/>
    <n v="1200.32"/>
    <x v="739"/>
    <x v="0"/>
    <x v="4"/>
    <n v="4801.28"/>
    <m/>
    <m/>
    <n v="5"/>
  </r>
  <r>
    <x v="7705"/>
    <x v="1537"/>
    <x v="5"/>
    <n v="1"/>
    <n v="600.16999999999996"/>
    <x v="690"/>
    <x v="9"/>
    <x v="2"/>
    <n v="600.16999999999996"/>
    <m/>
    <m/>
    <n v="7"/>
  </r>
  <r>
    <x v="7706"/>
    <x v="1537"/>
    <x v="2"/>
    <n v="3"/>
    <n v="15.69"/>
    <x v="625"/>
    <x v="6"/>
    <x v="3"/>
    <n v="47.07"/>
    <m/>
    <m/>
    <n v="7"/>
  </r>
  <r>
    <x v="7707"/>
    <x v="1537"/>
    <x v="1"/>
    <n v="5"/>
    <n v="203.3"/>
    <x v="649"/>
    <x v="2"/>
    <x v="1"/>
    <n v="1016.5"/>
    <m/>
    <m/>
    <n v="7"/>
  </r>
  <r>
    <x v="7708"/>
    <x v="1537"/>
    <x v="1"/>
    <n v="5"/>
    <n v="203.3"/>
    <x v="361"/>
    <x v="6"/>
    <x v="4"/>
    <n v="1016.5"/>
    <m/>
    <m/>
    <n v="7"/>
  </r>
  <r>
    <x v="7709"/>
    <x v="1537"/>
    <x v="0"/>
    <n v="5"/>
    <n v="1500.4"/>
    <x v="511"/>
    <x v="0"/>
    <x v="4"/>
    <n v="7502"/>
    <m/>
    <m/>
    <n v="7"/>
  </r>
  <r>
    <x v="7710"/>
    <x v="1537"/>
    <x v="0"/>
    <n v="3"/>
    <n v="900.24"/>
    <x v="218"/>
    <x v="0"/>
    <x v="3"/>
    <n v="2700.7200000000003"/>
    <m/>
    <m/>
    <n v="7"/>
  </r>
  <r>
    <x v="7711"/>
    <x v="1537"/>
    <x v="6"/>
    <n v="5"/>
    <n v="179.2"/>
    <x v="781"/>
    <x v="0"/>
    <x v="1"/>
    <n v="896"/>
    <m/>
    <m/>
    <n v="10"/>
  </r>
  <r>
    <x v="7712"/>
    <x v="1538"/>
    <x v="6"/>
    <n v="1"/>
    <n v="35.840000000000003"/>
    <x v="201"/>
    <x v="1"/>
    <x v="2"/>
    <n v="35.840000000000003"/>
    <m/>
    <m/>
    <n v="5"/>
  </r>
  <r>
    <x v="7713"/>
    <x v="1538"/>
    <x v="2"/>
    <n v="1"/>
    <n v="5.23"/>
    <x v="91"/>
    <x v="8"/>
    <x v="0"/>
    <n v="5.23"/>
    <m/>
    <m/>
    <n v="5"/>
  </r>
  <r>
    <x v="7714"/>
    <x v="1538"/>
    <x v="0"/>
    <n v="2"/>
    <n v="600.16"/>
    <x v="742"/>
    <x v="6"/>
    <x v="0"/>
    <n v="1200.32"/>
    <m/>
    <m/>
    <n v="7"/>
  </r>
  <r>
    <x v="7715"/>
    <x v="1538"/>
    <x v="0"/>
    <n v="2"/>
    <n v="600.16"/>
    <x v="746"/>
    <x v="8"/>
    <x v="0"/>
    <n v="1200.32"/>
    <m/>
    <m/>
    <n v="10"/>
  </r>
  <r>
    <x v="7716"/>
    <x v="1539"/>
    <x v="1"/>
    <n v="4"/>
    <n v="162.63999999999999"/>
    <x v="696"/>
    <x v="7"/>
    <x v="3"/>
    <n v="650.55999999999995"/>
    <m/>
    <m/>
    <n v="5"/>
  </r>
  <r>
    <x v="7717"/>
    <x v="1539"/>
    <x v="0"/>
    <n v="1"/>
    <n v="300.08"/>
    <x v="340"/>
    <x v="8"/>
    <x v="2"/>
    <n v="300.08"/>
    <m/>
    <m/>
    <n v="7"/>
  </r>
  <r>
    <x v="7718"/>
    <x v="1540"/>
    <x v="2"/>
    <n v="3"/>
    <n v="15.69"/>
    <x v="389"/>
    <x v="7"/>
    <x v="2"/>
    <n v="47.07"/>
    <m/>
    <m/>
    <n v="5"/>
  </r>
  <r>
    <x v="7719"/>
    <x v="1540"/>
    <x v="0"/>
    <n v="4"/>
    <n v="1200.32"/>
    <x v="555"/>
    <x v="0"/>
    <x v="0"/>
    <n v="4801.28"/>
    <m/>
    <m/>
    <n v="5"/>
  </r>
  <r>
    <x v="7720"/>
    <x v="1540"/>
    <x v="0"/>
    <n v="3"/>
    <n v="900.24"/>
    <x v="357"/>
    <x v="1"/>
    <x v="2"/>
    <n v="2700.7200000000003"/>
    <m/>
    <m/>
    <n v="5"/>
  </r>
  <r>
    <x v="7721"/>
    <x v="1540"/>
    <x v="1"/>
    <n v="2"/>
    <n v="81.319999999999993"/>
    <x v="576"/>
    <x v="1"/>
    <x v="1"/>
    <n v="162.63999999999999"/>
    <m/>
    <m/>
    <n v="5"/>
  </r>
  <r>
    <x v="7722"/>
    <x v="1540"/>
    <x v="5"/>
    <n v="4"/>
    <n v="2400.6799999999998"/>
    <x v="129"/>
    <x v="4"/>
    <x v="2"/>
    <n v="9602.7199999999993"/>
    <m/>
    <m/>
    <n v="7"/>
  </r>
  <r>
    <x v="7723"/>
    <x v="1540"/>
    <x v="0"/>
    <n v="3"/>
    <n v="900.24"/>
    <x v="331"/>
    <x v="9"/>
    <x v="3"/>
    <n v="2700.7200000000003"/>
    <m/>
    <m/>
    <n v="7"/>
  </r>
  <r>
    <x v="7724"/>
    <x v="1540"/>
    <x v="1"/>
    <n v="2"/>
    <n v="81.319999999999993"/>
    <x v="482"/>
    <x v="0"/>
    <x v="1"/>
    <n v="162.63999999999999"/>
    <m/>
    <m/>
    <n v="10"/>
  </r>
  <r>
    <x v="7725"/>
    <x v="1541"/>
    <x v="1"/>
    <n v="3"/>
    <n v="121.98"/>
    <x v="493"/>
    <x v="9"/>
    <x v="3"/>
    <n v="365.94"/>
    <m/>
    <m/>
    <n v="5"/>
  </r>
  <r>
    <x v="7726"/>
    <x v="1541"/>
    <x v="7"/>
    <n v="2"/>
    <n v="23.46"/>
    <x v="68"/>
    <x v="6"/>
    <x v="4"/>
    <n v="46.92"/>
    <m/>
    <m/>
    <n v="5"/>
  </r>
  <r>
    <x v="7727"/>
    <x v="1541"/>
    <x v="1"/>
    <n v="4"/>
    <n v="162.63999999999999"/>
    <x v="269"/>
    <x v="6"/>
    <x v="4"/>
    <n v="650.55999999999995"/>
    <m/>
    <m/>
    <n v="5"/>
  </r>
  <r>
    <x v="7728"/>
    <x v="1541"/>
    <x v="3"/>
    <n v="2"/>
    <n v="30.3"/>
    <x v="637"/>
    <x v="8"/>
    <x v="3"/>
    <n v="60.6"/>
    <m/>
    <m/>
    <n v="7"/>
  </r>
  <r>
    <x v="7729"/>
    <x v="1542"/>
    <x v="0"/>
    <n v="2"/>
    <n v="600.16"/>
    <x v="453"/>
    <x v="6"/>
    <x v="0"/>
    <n v="1200.32"/>
    <m/>
    <m/>
    <n v="5"/>
  </r>
  <r>
    <x v="7730"/>
    <x v="1542"/>
    <x v="0"/>
    <n v="5"/>
    <n v="1500.4"/>
    <x v="100"/>
    <x v="4"/>
    <x v="1"/>
    <n v="7502"/>
    <m/>
    <m/>
    <n v="5"/>
  </r>
  <r>
    <x v="7731"/>
    <x v="1542"/>
    <x v="5"/>
    <n v="3"/>
    <n v="1800.51"/>
    <x v="600"/>
    <x v="2"/>
    <x v="3"/>
    <n v="5401.53"/>
    <m/>
    <m/>
    <n v="5"/>
  </r>
  <r>
    <x v="7732"/>
    <x v="1542"/>
    <x v="2"/>
    <n v="1"/>
    <n v="5.23"/>
    <x v="51"/>
    <x v="1"/>
    <x v="1"/>
    <n v="5.23"/>
    <m/>
    <m/>
    <n v="7"/>
  </r>
  <r>
    <x v="7733"/>
    <x v="1542"/>
    <x v="0"/>
    <n v="1"/>
    <n v="300.08"/>
    <x v="169"/>
    <x v="6"/>
    <x v="4"/>
    <n v="300.08"/>
    <m/>
    <m/>
    <n v="7"/>
  </r>
  <r>
    <x v="7734"/>
    <x v="1542"/>
    <x v="6"/>
    <n v="3"/>
    <n v="107.52"/>
    <x v="546"/>
    <x v="4"/>
    <x v="4"/>
    <n v="322.56"/>
    <m/>
    <m/>
    <n v="7"/>
  </r>
  <r>
    <x v="7735"/>
    <x v="1542"/>
    <x v="0"/>
    <n v="4"/>
    <n v="1200.32"/>
    <x v="191"/>
    <x v="0"/>
    <x v="1"/>
    <n v="4801.28"/>
    <m/>
    <m/>
    <n v="7"/>
  </r>
  <r>
    <x v="7736"/>
    <x v="1542"/>
    <x v="6"/>
    <n v="3"/>
    <n v="107.52"/>
    <x v="531"/>
    <x v="6"/>
    <x v="0"/>
    <n v="322.56"/>
    <m/>
    <m/>
    <n v="7"/>
  </r>
  <r>
    <x v="7737"/>
    <x v="1542"/>
    <x v="4"/>
    <n v="5"/>
    <n v="5250"/>
    <x v="139"/>
    <x v="3"/>
    <x v="4"/>
    <n v="26250"/>
    <m/>
    <m/>
    <n v="7"/>
  </r>
  <r>
    <x v="7738"/>
    <x v="1542"/>
    <x v="0"/>
    <n v="2"/>
    <n v="600.16"/>
    <x v="323"/>
    <x v="3"/>
    <x v="0"/>
    <n v="1200.32"/>
    <m/>
    <m/>
    <n v="7"/>
  </r>
  <r>
    <x v="7739"/>
    <x v="1542"/>
    <x v="0"/>
    <n v="4"/>
    <n v="1200.32"/>
    <x v="733"/>
    <x v="6"/>
    <x v="2"/>
    <n v="4801.28"/>
    <m/>
    <m/>
    <n v="7"/>
  </r>
  <r>
    <x v="7740"/>
    <x v="1543"/>
    <x v="0"/>
    <n v="1"/>
    <n v="300.08"/>
    <x v="501"/>
    <x v="5"/>
    <x v="1"/>
    <n v="300.08"/>
    <m/>
    <m/>
    <n v="5"/>
  </r>
  <r>
    <x v="7741"/>
    <x v="1543"/>
    <x v="6"/>
    <n v="1"/>
    <n v="35.840000000000003"/>
    <x v="629"/>
    <x v="4"/>
    <x v="4"/>
    <n v="35.840000000000003"/>
    <m/>
    <m/>
    <n v="5"/>
  </r>
  <r>
    <x v="7742"/>
    <x v="1543"/>
    <x v="5"/>
    <n v="2"/>
    <n v="1200.3399999999999"/>
    <x v="38"/>
    <x v="8"/>
    <x v="4"/>
    <n v="2400.6799999999998"/>
    <m/>
    <m/>
    <n v="5"/>
  </r>
  <r>
    <x v="7743"/>
    <x v="1543"/>
    <x v="0"/>
    <n v="4"/>
    <n v="1200.32"/>
    <x v="469"/>
    <x v="6"/>
    <x v="1"/>
    <n v="4801.28"/>
    <m/>
    <m/>
    <n v="5"/>
  </r>
  <r>
    <x v="7744"/>
    <x v="1543"/>
    <x v="0"/>
    <n v="5"/>
    <n v="1500.4"/>
    <x v="745"/>
    <x v="7"/>
    <x v="0"/>
    <n v="7502"/>
    <m/>
    <m/>
    <n v="5"/>
  </r>
  <r>
    <x v="7745"/>
    <x v="1543"/>
    <x v="1"/>
    <n v="4"/>
    <n v="162.63999999999999"/>
    <x v="525"/>
    <x v="6"/>
    <x v="3"/>
    <n v="650.55999999999995"/>
    <m/>
    <m/>
    <n v="5"/>
  </r>
  <r>
    <x v="7746"/>
    <x v="1543"/>
    <x v="2"/>
    <n v="3"/>
    <n v="15.69"/>
    <x v="720"/>
    <x v="6"/>
    <x v="4"/>
    <n v="47.07"/>
    <m/>
    <m/>
    <n v="5"/>
  </r>
  <r>
    <x v="7747"/>
    <x v="1543"/>
    <x v="5"/>
    <n v="3"/>
    <n v="1800.51"/>
    <x v="602"/>
    <x v="9"/>
    <x v="2"/>
    <n v="5401.53"/>
    <m/>
    <m/>
    <n v="7"/>
  </r>
  <r>
    <x v="7748"/>
    <x v="1543"/>
    <x v="0"/>
    <n v="3"/>
    <n v="900.24"/>
    <x v="716"/>
    <x v="6"/>
    <x v="3"/>
    <n v="2700.7200000000003"/>
    <m/>
    <m/>
    <n v="7"/>
  </r>
  <r>
    <x v="7749"/>
    <x v="1543"/>
    <x v="6"/>
    <n v="3"/>
    <n v="107.52"/>
    <x v="605"/>
    <x v="9"/>
    <x v="3"/>
    <n v="322.56"/>
    <m/>
    <m/>
    <n v="7"/>
  </r>
  <r>
    <x v="7750"/>
    <x v="1543"/>
    <x v="7"/>
    <n v="2"/>
    <n v="23.46"/>
    <x v="780"/>
    <x v="3"/>
    <x v="3"/>
    <n v="46.92"/>
    <m/>
    <m/>
    <n v="10"/>
  </r>
  <r>
    <x v="7751"/>
    <x v="1544"/>
    <x v="6"/>
    <n v="3"/>
    <n v="107.52"/>
    <x v="275"/>
    <x v="6"/>
    <x v="3"/>
    <n v="322.56"/>
    <m/>
    <m/>
    <n v="5"/>
  </r>
  <r>
    <x v="7752"/>
    <x v="1544"/>
    <x v="0"/>
    <n v="5"/>
    <n v="1500.4"/>
    <x v="266"/>
    <x v="4"/>
    <x v="1"/>
    <n v="7502"/>
    <m/>
    <m/>
    <n v="7"/>
  </r>
  <r>
    <x v="7753"/>
    <x v="1544"/>
    <x v="0"/>
    <n v="3"/>
    <n v="900.24"/>
    <x v="476"/>
    <x v="2"/>
    <x v="0"/>
    <n v="2700.7200000000003"/>
    <m/>
    <m/>
    <n v="7"/>
  </r>
  <r>
    <x v="7754"/>
    <x v="1544"/>
    <x v="2"/>
    <n v="4"/>
    <n v="20.92"/>
    <x v="705"/>
    <x v="3"/>
    <x v="1"/>
    <n v="83.68"/>
    <m/>
    <m/>
    <n v="7"/>
  </r>
  <r>
    <x v="7755"/>
    <x v="1545"/>
    <x v="3"/>
    <n v="4"/>
    <n v="60.6"/>
    <x v="276"/>
    <x v="0"/>
    <x v="3"/>
    <n v="242.4"/>
    <m/>
    <m/>
    <n v="5"/>
  </r>
  <r>
    <x v="7756"/>
    <x v="1545"/>
    <x v="1"/>
    <n v="5"/>
    <n v="203.3"/>
    <x v="500"/>
    <x v="9"/>
    <x v="4"/>
    <n v="1016.5"/>
    <m/>
    <m/>
    <n v="5"/>
  </r>
  <r>
    <x v="7757"/>
    <x v="1545"/>
    <x v="5"/>
    <n v="3"/>
    <n v="1800.51"/>
    <x v="605"/>
    <x v="0"/>
    <x v="4"/>
    <n v="5401.53"/>
    <m/>
    <m/>
    <n v="7"/>
  </r>
  <r>
    <x v="7758"/>
    <x v="1545"/>
    <x v="0"/>
    <n v="4"/>
    <n v="1200.32"/>
    <x v="615"/>
    <x v="4"/>
    <x v="4"/>
    <n v="4801.28"/>
    <m/>
    <m/>
    <n v="7"/>
  </r>
  <r>
    <x v="7759"/>
    <x v="1546"/>
    <x v="0"/>
    <n v="1"/>
    <n v="300.08"/>
    <x v="84"/>
    <x v="2"/>
    <x v="1"/>
    <n v="300.08"/>
    <m/>
    <m/>
    <n v="5"/>
  </r>
  <r>
    <x v="7760"/>
    <x v="1546"/>
    <x v="6"/>
    <n v="2"/>
    <n v="71.680000000000007"/>
    <x v="676"/>
    <x v="6"/>
    <x v="4"/>
    <n v="143.36000000000001"/>
    <m/>
    <m/>
    <n v="5"/>
  </r>
  <r>
    <x v="7761"/>
    <x v="1546"/>
    <x v="5"/>
    <n v="4"/>
    <n v="2400.6799999999998"/>
    <x v="324"/>
    <x v="1"/>
    <x v="2"/>
    <n v="9602.7199999999993"/>
    <m/>
    <m/>
    <n v="5"/>
  </r>
  <r>
    <x v="7762"/>
    <x v="1547"/>
    <x v="5"/>
    <n v="4"/>
    <n v="2400.6799999999998"/>
    <x v="134"/>
    <x v="6"/>
    <x v="0"/>
    <n v="9602.7199999999993"/>
    <m/>
    <m/>
    <n v="5"/>
  </r>
  <r>
    <x v="7763"/>
    <x v="1547"/>
    <x v="1"/>
    <n v="1"/>
    <n v="40.659999999999997"/>
    <x v="722"/>
    <x v="6"/>
    <x v="2"/>
    <n v="40.659999999999997"/>
    <m/>
    <m/>
    <n v="10"/>
  </r>
  <r>
    <x v="7764"/>
    <x v="1547"/>
    <x v="3"/>
    <n v="2"/>
    <n v="30.3"/>
    <x v="780"/>
    <x v="1"/>
    <x v="3"/>
    <n v="60.6"/>
    <m/>
    <m/>
    <n v="10"/>
  </r>
  <r>
    <x v="7765"/>
    <x v="1548"/>
    <x v="0"/>
    <n v="2"/>
    <n v="600.16"/>
    <x v="117"/>
    <x v="9"/>
    <x v="4"/>
    <n v="1200.32"/>
    <m/>
    <m/>
    <n v="5"/>
  </r>
  <r>
    <x v="7766"/>
    <x v="1548"/>
    <x v="2"/>
    <n v="3"/>
    <n v="15.69"/>
    <x v="505"/>
    <x v="1"/>
    <x v="2"/>
    <n v="47.07"/>
    <m/>
    <m/>
    <n v="5"/>
  </r>
  <r>
    <x v="7767"/>
    <x v="1548"/>
    <x v="7"/>
    <n v="1"/>
    <n v="11.73"/>
    <x v="102"/>
    <x v="0"/>
    <x v="3"/>
    <n v="11.73"/>
    <m/>
    <m/>
    <n v="5"/>
  </r>
  <r>
    <x v="7768"/>
    <x v="1548"/>
    <x v="0"/>
    <n v="1"/>
    <n v="300.08"/>
    <x v="20"/>
    <x v="6"/>
    <x v="2"/>
    <n v="300.08"/>
    <m/>
    <m/>
    <n v="7"/>
  </r>
  <r>
    <x v="7769"/>
    <x v="1549"/>
    <x v="2"/>
    <n v="5"/>
    <n v="26.15"/>
    <x v="120"/>
    <x v="1"/>
    <x v="0"/>
    <n v="130.75"/>
    <m/>
    <m/>
    <n v="5"/>
  </r>
  <r>
    <x v="7770"/>
    <x v="1549"/>
    <x v="5"/>
    <n v="3"/>
    <n v="1800.51"/>
    <x v="319"/>
    <x v="7"/>
    <x v="2"/>
    <n v="5401.53"/>
    <m/>
    <m/>
    <n v="5"/>
  </r>
  <r>
    <x v="7771"/>
    <x v="1549"/>
    <x v="4"/>
    <n v="4"/>
    <n v="4200"/>
    <x v="122"/>
    <x v="0"/>
    <x v="1"/>
    <n v="16800"/>
    <m/>
    <m/>
    <n v="5"/>
  </r>
  <r>
    <x v="7772"/>
    <x v="1549"/>
    <x v="0"/>
    <n v="1"/>
    <n v="300.08"/>
    <x v="140"/>
    <x v="8"/>
    <x v="0"/>
    <n v="300.08"/>
    <m/>
    <m/>
    <n v="7"/>
  </r>
  <r>
    <x v="7773"/>
    <x v="1549"/>
    <x v="0"/>
    <n v="5"/>
    <n v="1500.4"/>
    <x v="548"/>
    <x v="0"/>
    <x v="2"/>
    <n v="7502"/>
    <m/>
    <m/>
    <n v="7"/>
  </r>
  <r>
    <x v="7774"/>
    <x v="1550"/>
    <x v="0"/>
    <n v="5"/>
    <n v="1500.4"/>
    <x v="576"/>
    <x v="4"/>
    <x v="2"/>
    <n v="7502"/>
    <m/>
    <m/>
    <n v="5"/>
  </r>
  <r>
    <x v="7775"/>
    <x v="1550"/>
    <x v="0"/>
    <n v="5"/>
    <n v="1500.4"/>
    <x v="476"/>
    <x v="6"/>
    <x v="4"/>
    <n v="7502"/>
    <m/>
    <m/>
    <n v="7"/>
  </r>
  <r>
    <x v="7776"/>
    <x v="1550"/>
    <x v="5"/>
    <n v="2"/>
    <n v="1200.3399999999999"/>
    <x v="705"/>
    <x v="5"/>
    <x v="4"/>
    <n v="2400.6799999999998"/>
    <m/>
    <m/>
    <n v="7"/>
  </r>
  <r>
    <x v="7777"/>
    <x v="1550"/>
    <x v="6"/>
    <n v="5"/>
    <n v="179.2"/>
    <x v="601"/>
    <x v="2"/>
    <x v="1"/>
    <n v="896"/>
    <m/>
    <m/>
    <n v="7"/>
  </r>
  <r>
    <x v="7778"/>
    <x v="1551"/>
    <x v="0"/>
    <n v="1"/>
    <n v="300.08"/>
    <x v="408"/>
    <x v="9"/>
    <x v="2"/>
    <n v="300.08"/>
    <m/>
    <m/>
    <n v="5"/>
  </r>
  <r>
    <x v="7779"/>
    <x v="1551"/>
    <x v="1"/>
    <n v="4"/>
    <n v="162.63999999999999"/>
    <x v="629"/>
    <x v="1"/>
    <x v="4"/>
    <n v="650.55999999999995"/>
    <m/>
    <m/>
    <n v="5"/>
  </r>
  <r>
    <x v="7780"/>
    <x v="1551"/>
    <x v="5"/>
    <n v="3"/>
    <n v="1800.51"/>
    <x v="230"/>
    <x v="4"/>
    <x v="4"/>
    <n v="5401.53"/>
    <m/>
    <m/>
    <n v="5"/>
  </r>
  <r>
    <x v="7781"/>
    <x v="1551"/>
    <x v="0"/>
    <n v="3"/>
    <n v="900.24"/>
    <x v="8"/>
    <x v="5"/>
    <x v="1"/>
    <n v="2700.7200000000003"/>
    <m/>
    <m/>
    <n v="7"/>
  </r>
  <r>
    <x v="7782"/>
    <x v="1551"/>
    <x v="6"/>
    <n v="4"/>
    <n v="143.36000000000001"/>
    <x v="767"/>
    <x v="0"/>
    <x v="0"/>
    <n v="573.44000000000005"/>
    <m/>
    <m/>
    <n v="7"/>
  </r>
  <r>
    <x v="7783"/>
    <x v="1551"/>
    <x v="2"/>
    <n v="5"/>
    <n v="26.15"/>
    <x v="170"/>
    <x v="6"/>
    <x v="1"/>
    <n v="130.75"/>
    <m/>
    <m/>
    <n v="10"/>
  </r>
  <r>
    <x v="7784"/>
    <x v="1552"/>
    <x v="0"/>
    <n v="3"/>
    <n v="900.24"/>
    <x v="521"/>
    <x v="9"/>
    <x v="0"/>
    <n v="2700.7200000000003"/>
    <m/>
    <m/>
    <n v="5"/>
  </r>
  <r>
    <x v="7785"/>
    <x v="1552"/>
    <x v="6"/>
    <n v="4"/>
    <n v="143.36000000000001"/>
    <x v="106"/>
    <x v="0"/>
    <x v="0"/>
    <n v="573.44000000000005"/>
    <m/>
    <m/>
    <n v="5"/>
  </r>
  <r>
    <x v="7786"/>
    <x v="1552"/>
    <x v="0"/>
    <n v="4"/>
    <n v="1200.32"/>
    <x v="314"/>
    <x v="9"/>
    <x v="2"/>
    <n v="4801.28"/>
    <m/>
    <m/>
    <n v="5"/>
  </r>
  <r>
    <x v="7787"/>
    <x v="1553"/>
    <x v="0"/>
    <n v="3"/>
    <n v="900.24"/>
    <x v="143"/>
    <x v="9"/>
    <x v="0"/>
    <n v="2700.7200000000003"/>
    <m/>
    <m/>
    <n v="5"/>
  </r>
  <r>
    <x v="7788"/>
    <x v="1553"/>
    <x v="2"/>
    <n v="2"/>
    <n v="10.46"/>
    <x v="618"/>
    <x v="4"/>
    <x v="2"/>
    <n v="20.92"/>
    <m/>
    <m/>
    <n v="5"/>
  </r>
  <r>
    <x v="7789"/>
    <x v="1553"/>
    <x v="0"/>
    <n v="5"/>
    <n v="1500.4"/>
    <x v="752"/>
    <x v="6"/>
    <x v="2"/>
    <n v="7502"/>
    <m/>
    <m/>
    <n v="5"/>
  </r>
  <r>
    <x v="7790"/>
    <x v="1553"/>
    <x v="6"/>
    <n v="3"/>
    <n v="107.52"/>
    <x v="689"/>
    <x v="1"/>
    <x v="4"/>
    <n v="322.56"/>
    <m/>
    <m/>
    <n v="7"/>
  </r>
  <r>
    <x v="7791"/>
    <x v="1553"/>
    <x v="7"/>
    <n v="4"/>
    <n v="46.92"/>
    <x v="426"/>
    <x v="4"/>
    <x v="3"/>
    <n v="187.68"/>
    <m/>
    <m/>
    <n v="7"/>
  </r>
  <r>
    <x v="7792"/>
    <x v="1553"/>
    <x v="6"/>
    <n v="3"/>
    <n v="107.52"/>
    <x v="282"/>
    <x v="4"/>
    <x v="0"/>
    <n v="322.56"/>
    <m/>
    <m/>
    <n v="7"/>
  </r>
  <r>
    <x v="7793"/>
    <x v="1553"/>
    <x v="3"/>
    <n v="3"/>
    <n v="45.45"/>
    <x v="546"/>
    <x v="4"/>
    <x v="1"/>
    <n v="136.35000000000002"/>
    <m/>
    <m/>
    <n v="7"/>
  </r>
  <r>
    <x v="7794"/>
    <x v="1554"/>
    <x v="2"/>
    <n v="2"/>
    <n v="10.46"/>
    <x v="425"/>
    <x v="6"/>
    <x v="0"/>
    <n v="20.92"/>
    <m/>
    <m/>
    <n v="5"/>
  </r>
  <r>
    <x v="7795"/>
    <x v="1554"/>
    <x v="1"/>
    <n v="2"/>
    <n v="81.319999999999993"/>
    <x v="761"/>
    <x v="1"/>
    <x v="3"/>
    <n v="162.63999999999999"/>
    <m/>
    <m/>
    <n v="7"/>
  </r>
  <r>
    <x v="7796"/>
    <x v="1554"/>
    <x v="1"/>
    <n v="3"/>
    <n v="121.98"/>
    <x v="365"/>
    <x v="1"/>
    <x v="4"/>
    <n v="365.94"/>
    <m/>
    <m/>
    <n v="7"/>
  </r>
  <r>
    <x v="7797"/>
    <x v="1555"/>
    <x v="0"/>
    <n v="3"/>
    <n v="900.24"/>
    <x v="397"/>
    <x v="5"/>
    <x v="4"/>
    <n v="2700.7200000000003"/>
    <m/>
    <m/>
    <n v="5"/>
  </r>
  <r>
    <x v="7798"/>
    <x v="1555"/>
    <x v="1"/>
    <n v="5"/>
    <n v="203.3"/>
    <x v="555"/>
    <x v="1"/>
    <x v="1"/>
    <n v="1016.5"/>
    <m/>
    <m/>
    <n v="5"/>
  </r>
  <r>
    <x v="7799"/>
    <x v="1555"/>
    <x v="1"/>
    <n v="4"/>
    <n v="162.63999999999999"/>
    <x v="787"/>
    <x v="1"/>
    <x v="3"/>
    <n v="650.55999999999995"/>
    <m/>
    <m/>
    <n v="5"/>
  </r>
  <r>
    <x v="7800"/>
    <x v="1555"/>
    <x v="5"/>
    <n v="5"/>
    <n v="3000.85"/>
    <x v="543"/>
    <x v="5"/>
    <x v="4"/>
    <n v="15004.25"/>
    <m/>
    <m/>
    <n v="5"/>
  </r>
  <r>
    <x v="7801"/>
    <x v="1555"/>
    <x v="0"/>
    <n v="1"/>
    <n v="300.08"/>
    <x v="674"/>
    <x v="0"/>
    <x v="4"/>
    <n v="300.08"/>
    <m/>
    <m/>
    <n v="7"/>
  </r>
  <r>
    <x v="7802"/>
    <x v="1555"/>
    <x v="5"/>
    <n v="2"/>
    <n v="1200.3399999999999"/>
    <x v="583"/>
    <x v="7"/>
    <x v="4"/>
    <n v="2400.6799999999998"/>
    <m/>
    <m/>
    <n v="7"/>
  </r>
  <r>
    <x v="7803"/>
    <x v="1555"/>
    <x v="1"/>
    <n v="2"/>
    <n v="81.319999999999993"/>
    <x v="53"/>
    <x v="6"/>
    <x v="4"/>
    <n v="162.63999999999999"/>
    <m/>
    <m/>
    <n v="10"/>
  </r>
  <r>
    <x v="7804"/>
    <x v="1556"/>
    <x v="0"/>
    <n v="1"/>
    <n v="300.08"/>
    <x v="545"/>
    <x v="2"/>
    <x v="0"/>
    <n v="300.08"/>
    <m/>
    <m/>
    <n v="5"/>
  </r>
  <r>
    <x v="7805"/>
    <x v="1556"/>
    <x v="1"/>
    <n v="1"/>
    <n v="40.659999999999997"/>
    <x v="177"/>
    <x v="4"/>
    <x v="4"/>
    <n v="40.659999999999997"/>
    <m/>
    <m/>
    <n v="5"/>
  </r>
  <r>
    <x v="7806"/>
    <x v="1556"/>
    <x v="0"/>
    <n v="5"/>
    <n v="1500.4"/>
    <x v="589"/>
    <x v="5"/>
    <x v="4"/>
    <n v="7502"/>
    <m/>
    <m/>
    <n v="5"/>
  </r>
  <r>
    <x v="7807"/>
    <x v="1556"/>
    <x v="0"/>
    <n v="1"/>
    <n v="300.08"/>
    <x v="52"/>
    <x v="3"/>
    <x v="4"/>
    <n v="300.08"/>
    <m/>
    <m/>
    <n v="7"/>
  </r>
  <r>
    <x v="7808"/>
    <x v="1556"/>
    <x v="0"/>
    <n v="2"/>
    <n v="600.16"/>
    <x v="565"/>
    <x v="1"/>
    <x v="0"/>
    <n v="1200.32"/>
    <m/>
    <m/>
    <n v="7"/>
  </r>
  <r>
    <x v="7809"/>
    <x v="1557"/>
    <x v="2"/>
    <n v="3"/>
    <n v="15.69"/>
    <x v="187"/>
    <x v="0"/>
    <x v="0"/>
    <n v="47.07"/>
    <m/>
    <m/>
    <n v="5"/>
  </r>
  <r>
    <x v="7810"/>
    <x v="1557"/>
    <x v="7"/>
    <n v="3"/>
    <n v="35.19"/>
    <x v="576"/>
    <x v="6"/>
    <x v="0"/>
    <n v="105.57"/>
    <m/>
    <m/>
    <n v="5"/>
  </r>
  <r>
    <x v="7811"/>
    <x v="1557"/>
    <x v="7"/>
    <n v="2"/>
    <n v="23.46"/>
    <x v="123"/>
    <x v="6"/>
    <x v="4"/>
    <n v="46.92"/>
    <m/>
    <m/>
    <n v="7"/>
  </r>
  <r>
    <x v="7812"/>
    <x v="1558"/>
    <x v="7"/>
    <n v="1"/>
    <n v="11.73"/>
    <x v="317"/>
    <x v="1"/>
    <x v="1"/>
    <n v="11.73"/>
    <m/>
    <m/>
    <n v="5"/>
  </r>
  <r>
    <x v="7813"/>
    <x v="1558"/>
    <x v="4"/>
    <n v="3"/>
    <n v="3150"/>
    <x v="771"/>
    <x v="6"/>
    <x v="4"/>
    <n v="9450"/>
    <m/>
    <m/>
    <n v="7"/>
  </r>
  <r>
    <x v="7814"/>
    <x v="1559"/>
    <x v="5"/>
    <n v="1"/>
    <n v="600.16999999999996"/>
    <x v="271"/>
    <x v="5"/>
    <x v="4"/>
    <n v="600.16999999999996"/>
    <m/>
    <m/>
    <n v="5"/>
  </r>
  <r>
    <x v="7815"/>
    <x v="1559"/>
    <x v="0"/>
    <n v="1"/>
    <n v="300.08"/>
    <x v="396"/>
    <x v="0"/>
    <x v="2"/>
    <n v="300.08"/>
    <m/>
    <m/>
    <n v="5"/>
  </r>
  <r>
    <x v="7816"/>
    <x v="1559"/>
    <x v="1"/>
    <n v="5"/>
    <n v="203.3"/>
    <x v="744"/>
    <x v="6"/>
    <x v="0"/>
    <n v="1016.5"/>
    <m/>
    <m/>
    <n v="5"/>
  </r>
  <r>
    <x v="7817"/>
    <x v="1559"/>
    <x v="4"/>
    <n v="1"/>
    <n v="1050"/>
    <x v="348"/>
    <x v="0"/>
    <x v="4"/>
    <n v="1050"/>
    <m/>
    <m/>
    <n v="7"/>
  </r>
  <r>
    <x v="7818"/>
    <x v="1559"/>
    <x v="2"/>
    <n v="2"/>
    <n v="10.46"/>
    <x v="191"/>
    <x v="1"/>
    <x v="4"/>
    <n v="20.92"/>
    <m/>
    <m/>
    <n v="7"/>
  </r>
  <r>
    <x v="7819"/>
    <x v="1559"/>
    <x v="1"/>
    <n v="1"/>
    <n v="40.659999999999997"/>
    <x v="219"/>
    <x v="6"/>
    <x v="1"/>
    <n v="40.659999999999997"/>
    <m/>
    <m/>
    <n v="7"/>
  </r>
  <r>
    <x v="7820"/>
    <x v="1559"/>
    <x v="2"/>
    <n v="2"/>
    <n v="10.46"/>
    <x v="156"/>
    <x v="9"/>
    <x v="0"/>
    <n v="20.92"/>
    <m/>
    <m/>
    <n v="10"/>
  </r>
  <r>
    <x v="7821"/>
    <x v="1560"/>
    <x v="1"/>
    <n v="3"/>
    <n v="121.98"/>
    <x v="65"/>
    <x v="4"/>
    <x v="1"/>
    <n v="365.94"/>
    <m/>
    <m/>
    <n v="5"/>
  </r>
  <r>
    <x v="7822"/>
    <x v="1560"/>
    <x v="1"/>
    <n v="4"/>
    <n v="162.63999999999999"/>
    <x v="278"/>
    <x v="0"/>
    <x v="3"/>
    <n v="650.55999999999995"/>
    <m/>
    <m/>
    <n v="5"/>
  </r>
  <r>
    <x v="7823"/>
    <x v="1560"/>
    <x v="4"/>
    <n v="2"/>
    <n v="2100"/>
    <x v="145"/>
    <x v="6"/>
    <x v="0"/>
    <n v="4200"/>
    <m/>
    <m/>
    <n v="5"/>
  </r>
  <r>
    <x v="7824"/>
    <x v="1560"/>
    <x v="2"/>
    <n v="2"/>
    <n v="10.46"/>
    <x v="642"/>
    <x v="0"/>
    <x v="0"/>
    <n v="20.92"/>
    <m/>
    <m/>
    <n v="5"/>
  </r>
  <r>
    <x v="7825"/>
    <x v="1560"/>
    <x v="6"/>
    <n v="1"/>
    <n v="35.840000000000003"/>
    <x v="627"/>
    <x v="8"/>
    <x v="4"/>
    <n v="35.840000000000003"/>
    <m/>
    <m/>
    <n v="5"/>
  </r>
  <r>
    <x v="7826"/>
    <x v="1560"/>
    <x v="0"/>
    <n v="2"/>
    <n v="600.16"/>
    <x v="168"/>
    <x v="0"/>
    <x v="4"/>
    <n v="1200.32"/>
    <m/>
    <m/>
    <n v="5"/>
  </r>
  <r>
    <x v="7827"/>
    <x v="1560"/>
    <x v="0"/>
    <n v="2"/>
    <n v="600.16"/>
    <x v="710"/>
    <x v="1"/>
    <x v="4"/>
    <n v="1200.32"/>
    <m/>
    <m/>
    <n v="7"/>
  </r>
  <r>
    <x v="7828"/>
    <x v="1561"/>
    <x v="0"/>
    <n v="5"/>
    <n v="1500.4"/>
    <x v="737"/>
    <x v="1"/>
    <x v="1"/>
    <n v="7502"/>
    <m/>
    <m/>
    <n v="5"/>
  </r>
  <r>
    <x v="7829"/>
    <x v="1561"/>
    <x v="7"/>
    <n v="5"/>
    <n v="58.65"/>
    <x v="598"/>
    <x v="6"/>
    <x v="0"/>
    <n v="293.25"/>
    <m/>
    <m/>
    <n v="5"/>
  </r>
  <r>
    <x v="7830"/>
    <x v="1561"/>
    <x v="2"/>
    <n v="3"/>
    <n v="15.69"/>
    <x v="272"/>
    <x v="5"/>
    <x v="0"/>
    <n v="47.07"/>
    <m/>
    <m/>
    <n v="7"/>
  </r>
  <r>
    <x v="7831"/>
    <x v="1562"/>
    <x v="0"/>
    <n v="1"/>
    <n v="300.08"/>
    <x v="417"/>
    <x v="1"/>
    <x v="1"/>
    <n v="300.08"/>
    <m/>
    <m/>
    <n v="5"/>
  </r>
  <r>
    <x v="7832"/>
    <x v="1562"/>
    <x v="0"/>
    <n v="4"/>
    <n v="1200.32"/>
    <x v="502"/>
    <x v="4"/>
    <x v="0"/>
    <n v="4801.28"/>
    <m/>
    <m/>
    <n v="5"/>
  </r>
  <r>
    <x v="7833"/>
    <x v="1562"/>
    <x v="6"/>
    <n v="4"/>
    <n v="143.36000000000001"/>
    <x v="337"/>
    <x v="2"/>
    <x v="4"/>
    <n v="573.44000000000005"/>
    <m/>
    <m/>
    <n v="7"/>
  </r>
  <r>
    <x v="7834"/>
    <x v="1562"/>
    <x v="1"/>
    <n v="1"/>
    <n v="40.659999999999997"/>
    <x v="12"/>
    <x v="9"/>
    <x v="0"/>
    <n v="40.659999999999997"/>
    <m/>
    <m/>
    <n v="7"/>
  </r>
  <r>
    <x v="7835"/>
    <x v="1563"/>
    <x v="1"/>
    <n v="4"/>
    <n v="162.63999999999999"/>
    <x v="231"/>
    <x v="5"/>
    <x v="0"/>
    <n v="650.55999999999995"/>
    <m/>
    <m/>
    <n v="5"/>
  </r>
  <r>
    <x v="7836"/>
    <x v="1563"/>
    <x v="0"/>
    <n v="5"/>
    <n v="1500.4"/>
    <x v="788"/>
    <x v="0"/>
    <x v="4"/>
    <n v="7502"/>
    <m/>
    <m/>
    <n v="7"/>
  </r>
  <r>
    <x v="7837"/>
    <x v="1563"/>
    <x v="5"/>
    <n v="5"/>
    <n v="3000.85"/>
    <x v="476"/>
    <x v="7"/>
    <x v="3"/>
    <n v="15004.25"/>
    <m/>
    <m/>
    <n v="7"/>
  </r>
  <r>
    <x v="7838"/>
    <x v="1564"/>
    <x v="0"/>
    <n v="2"/>
    <n v="600.16"/>
    <x v="383"/>
    <x v="0"/>
    <x v="0"/>
    <n v="1200.32"/>
    <m/>
    <m/>
    <n v="5"/>
  </r>
  <r>
    <x v="7839"/>
    <x v="1564"/>
    <x v="0"/>
    <n v="2"/>
    <n v="600.16"/>
    <x v="623"/>
    <x v="1"/>
    <x v="2"/>
    <n v="1200.32"/>
    <m/>
    <m/>
    <n v="5"/>
  </r>
  <r>
    <x v="7840"/>
    <x v="1564"/>
    <x v="4"/>
    <n v="1"/>
    <n v="1050"/>
    <x v="783"/>
    <x v="1"/>
    <x v="3"/>
    <n v="1050"/>
    <m/>
    <m/>
    <n v="7"/>
  </r>
  <r>
    <x v="7841"/>
    <x v="1564"/>
    <x v="7"/>
    <n v="1"/>
    <n v="11.73"/>
    <x v="26"/>
    <x v="0"/>
    <x v="1"/>
    <n v="11.73"/>
    <m/>
    <m/>
    <n v="10"/>
  </r>
  <r>
    <x v="7842"/>
    <x v="1565"/>
    <x v="2"/>
    <n v="3"/>
    <n v="15.69"/>
    <x v="629"/>
    <x v="8"/>
    <x v="2"/>
    <n v="47.07"/>
    <m/>
    <m/>
    <n v="5"/>
  </r>
  <r>
    <x v="7843"/>
    <x v="1565"/>
    <x v="5"/>
    <n v="1"/>
    <n v="600.16999999999996"/>
    <x v="295"/>
    <x v="0"/>
    <x v="1"/>
    <n v="600.16999999999996"/>
    <m/>
    <m/>
    <n v="5"/>
  </r>
  <r>
    <x v="7844"/>
    <x v="1565"/>
    <x v="0"/>
    <n v="1"/>
    <n v="300.08"/>
    <x v="625"/>
    <x v="1"/>
    <x v="2"/>
    <n v="300.08"/>
    <m/>
    <m/>
    <n v="7"/>
  </r>
  <r>
    <x v="7845"/>
    <x v="1565"/>
    <x v="0"/>
    <n v="5"/>
    <n v="1500.4"/>
    <x v="447"/>
    <x v="1"/>
    <x v="4"/>
    <n v="7502"/>
    <m/>
    <m/>
    <n v="7"/>
  </r>
  <r>
    <x v="7846"/>
    <x v="1566"/>
    <x v="1"/>
    <n v="4"/>
    <n v="162.63999999999999"/>
    <x v="131"/>
    <x v="6"/>
    <x v="2"/>
    <n v="650.55999999999995"/>
    <m/>
    <m/>
    <n v="5"/>
  </r>
  <r>
    <x v="7847"/>
    <x v="1566"/>
    <x v="5"/>
    <n v="5"/>
    <n v="3000.85"/>
    <x v="598"/>
    <x v="2"/>
    <x v="3"/>
    <n v="15004.25"/>
    <m/>
    <m/>
    <n v="5"/>
  </r>
  <r>
    <x v="7848"/>
    <x v="1566"/>
    <x v="4"/>
    <n v="2"/>
    <n v="2100"/>
    <x v="679"/>
    <x v="8"/>
    <x v="4"/>
    <n v="4200"/>
    <m/>
    <m/>
    <n v="7"/>
  </r>
  <r>
    <x v="7849"/>
    <x v="1566"/>
    <x v="7"/>
    <n v="2"/>
    <n v="23.46"/>
    <x v="793"/>
    <x v="9"/>
    <x v="2"/>
    <n v="46.92"/>
    <m/>
    <m/>
    <n v="10"/>
  </r>
  <r>
    <x v="7850"/>
    <x v="1567"/>
    <x v="7"/>
    <n v="3"/>
    <n v="35.19"/>
    <x v="520"/>
    <x v="5"/>
    <x v="2"/>
    <n v="105.57"/>
    <m/>
    <m/>
    <n v="5"/>
  </r>
  <r>
    <x v="7851"/>
    <x v="1567"/>
    <x v="2"/>
    <n v="4"/>
    <n v="20.92"/>
    <x v="133"/>
    <x v="6"/>
    <x v="0"/>
    <n v="83.68"/>
    <m/>
    <m/>
    <n v="5"/>
  </r>
  <r>
    <x v="7852"/>
    <x v="1567"/>
    <x v="0"/>
    <n v="5"/>
    <n v="1500.4"/>
    <x v="515"/>
    <x v="0"/>
    <x v="3"/>
    <n v="7502"/>
    <m/>
    <m/>
    <n v="7"/>
  </r>
  <r>
    <x v="7853"/>
    <x v="1567"/>
    <x v="0"/>
    <n v="2"/>
    <n v="600.16"/>
    <x v="135"/>
    <x v="7"/>
    <x v="4"/>
    <n v="1200.32"/>
    <m/>
    <m/>
    <n v="7"/>
  </r>
  <r>
    <x v="7854"/>
    <x v="1567"/>
    <x v="0"/>
    <n v="1"/>
    <n v="300.08"/>
    <x v="644"/>
    <x v="6"/>
    <x v="3"/>
    <n v="300.08"/>
    <m/>
    <m/>
    <n v="7"/>
  </r>
  <r>
    <x v="7855"/>
    <x v="1567"/>
    <x v="4"/>
    <n v="3"/>
    <n v="3150"/>
    <x v="499"/>
    <x v="0"/>
    <x v="0"/>
    <n v="9450"/>
    <m/>
    <m/>
    <n v="7"/>
  </r>
  <r>
    <x v="7856"/>
    <x v="1567"/>
    <x v="4"/>
    <n v="4"/>
    <n v="4200"/>
    <x v="423"/>
    <x v="0"/>
    <x v="1"/>
    <n v="16800"/>
    <m/>
    <m/>
    <n v="10"/>
  </r>
  <r>
    <x v="7857"/>
    <x v="1568"/>
    <x v="5"/>
    <n v="4"/>
    <n v="2400.6799999999998"/>
    <x v="201"/>
    <x v="9"/>
    <x v="2"/>
    <n v="9602.7199999999993"/>
    <m/>
    <m/>
    <n v="5"/>
  </r>
  <r>
    <x v="7858"/>
    <x v="1568"/>
    <x v="0"/>
    <n v="3"/>
    <n v="900.24"/>
    <x v="275"/>
    <x v="0"/>
    <x v="2"/>
    <n v="2700.7200000000003"/>
    <m/>
    <m/>
    <n v="5"/>
  </r>
  <r>
    <x v="7859"/>
    <x v="1568"/>
    <x v="2"/>
    <n v="1"/>
    <n v="5.23"/>
    <x v="245"/>
    <x v="5"/>
    <x v="4"/>
    <n v="5.23"/>
    <m/>
    <m/>
    <n v="5"/>
  </r>
  <r>
    <x v="7860"/>
    <x v="1568"/>
    <x v="5"/>
    <n v="1"/>
    <n v="600.16999999999996"/>
    <x v="723"/>
    <x v="7"/>
    <x v="4"/>
    <n v="600.16999999999996"/>
    <m/>
    <m/>
    <n v="5"/>
  </r>
  <r>
    <x v="7861"/>
    <x v="1568"/>
    <x v="7"/>
    <n v="1"/>
    <n v="11.73"/>
    <x v="208"/>
    <x v="6"/>
    <x v="0"/>
    <n v="11.73"/>
    <m/>
    <m/>
    <n v="5"/>
  </r>
  <r>
    <x v="7862"/>
    <x v="1568"/>
    <x v="0"/>
    <n v="4"/>
    <n v="1200.32"/>
    <x v="371"/>
    <x v="9"/>
    <x v="3"/>
    <n v="4801.28"/>
    <m/>
    <m/>
    <n v="7"/>
  </r>
  <r>
    <x v="7863"/>
    <x v="1568"/>
    <x v="0"/>
    <n v="4"/>
    <n v="1200.32"/>
    <x v="161"/>
    <x v="3"/>
    <x v="4"/>
    <n v="4801.28"/>
    <m/>
    <m/>
    <n v="7"/>
  </r>
  <r>
    <x v="7864"/>
    <x v="1569"/>
    <x v="2"/>
    <n v="5"/>
    <n v="26.15"/>
    <x v="569"/>
    <x v="6"/>
    <x v="0"/>
    <n v="130.75"/>
    <m/>
    <m/>
    <n v="5"/>
  </r>
  <r>
    <x v="7865"/>
    <x v="1569"/>
    <x v="0"/>
    <n v="3"/>
    <n v="900.24"/>
    <x v="399"/>
    <x v="1"/>
    <x v="0"/>
    <n v="2700.7200000000003"/>
    <m/>
    <m/>
    <n v="7"/>
  </r>
  <r>
    <x v="7866"/>
    <x v="1569"/>
    <x v="3"/>
    <n v="2"/>
    <n v="30.3"/>
    <x v="508"/>
    <x v="3"/>
    <x v="0"/>
    <n v="60.6"/>
    <m/>
    <m/>
    <n v="7"/>
  </r>
  <r>
    <x v="7867"/>
    <x v="1569"/>
    <x v="0"/>
    <n v="2"/>
    <n v="600.16"/>
    <x v="740"/>
    <x v="5"/>
    <x v="2"/>
    <n v="1200.32"/>
    <m/>
    <m/>
    <n v="7"/>
  </r>
  <r>
    <x v="7868"/>
    <x v="1569"/>
    <x v="0"/>
    <n v="3"/>
    <n v="900.24"/>
    <x v="574"/>
    <x v="0"/>
    <x v="1"/>
    <n v="2700.7200000000003"/>
    <m/>
    <m/>
    <n v="7"/>
  </r>
  <r>
    <x v="7869"/>
    <x v="1570"/>
    <x v="6"/>
    <n v="4"/>
    <n v="143.36000000000001"/>
    <x v="0"/>
    <x v="3"/>
    <x v="2"/>
    <n v="573.44000000000005"/>
    <m/>
    <m/>
    <n v="5"/>
  </r>
  <r>
    <x v="7870"/>
    <x v="1570"/>
    <x v="5"/>
    <n v="4"/>
    <n v="2400.6799999999998"/>
    <x v="202"/>
    <x v="0"/>
    <x v="1"/>
    <n v="9602.7199999999993"/>
    <m/>
    <m/>
    <n v="5"/>
  </r>
  <r>
    <x v="7871"/>
    <x v="1570"/>
    <x v="2"/>
    <n v="4"/>
    <n v="20.92"/>
    <x v="301"/>
    <x v="1"/>
    <x v="3"/>
    <n v="83.68"/>
    <m/>
    <m/>
    <n v="5"/>
  </r>
  <r>
    <x v="7872"/>
    <x v="1570"/>
    <x v="0"/>
    <n v="1"/>
    <n v="300.08"/>
    <x v="501"/>
    <x v="0"/>
    <x v="0"/>
    <n v="300.08"/>
    <m/>
    <m/>
    <n v="5"/>
  </r>
  <r>
    <x v="7873"/>
    <x v="1570"/>
    <x v="0"/>
    <n v="4"/>
    <n v="1200.32"/>
    <x v="374"/>
    <x v="8"/>
    <x v="0"/>
    <n v="4801.28"/>
    <m/>
    <m/>
    <n v="5"/>
  </r>
  <r>
    <x v="7874"/>
    <x v="1570"/>
    <x v="3"/>
    <n v="3"/>
    <n v="45.45"/>
    <x v="674"/>
    <x v="5"/>
    <x v="1"/>
    <n v="136.35000000000002"/>
    <m/>
    <m/>
    <n v="7"/>
  </r>
  <r>
    <x v="7875"/>
    <x v="1571"/>
    <x v="1"/>
    <n v="5"/>
    <n v="203.3"/>
    <x v="610"/>
    <x v="6"/>
    <x v="4"/>
    <n v="1016.5"/>
    <m/>
    <m/>
    <n v="5"/>
  </r>
  <r>
    <x v="7876"/>
    <x v="1571"/>
    <x v="0"/>
    <n v="1"/>
    <n v="300.08"/>
    <x v="209"/>
    <x v="1"/>
    <x v="2"/>
    <n v="300.08"/>
    <m/>
    <m/>
    <n v="7"/>
  </r>
  <r>
    <x v="7877"/>
    <x v="1571"/>
    <x v="0"/>
    <n v="1"/>
    <n v="300.08"/>
    <x v="607"/>
    <x v="3"/>
    <x v="4"/>
    <n v="300.08"/>
    <m/>
    <m/>
    <n v="7"/>
  </r>
  <r>
    <x v="7878"/>
    <x v="1571"/>
    <x v="6"/>
    <n v="1"/>
    <n v="35.840000000000003"/>
    <x v="289"/>
    <x v="7"/>
    <x v="3"/>
    <n v="35.840000000000003"/>
    <m/>
    <m/>
    <n v="7"/>
  </r>
  <r>
    <x v="7879"/>
    <x v="1572"/>
    <x v="6"/>
    <n v="5"/>
    <n v="179.2"/>
    <x v="290"/>
    <x v="0"/>
    <x v="2"/>
    <n v="896"/>
    <m/>
    <m/>
    <n v="5"/>
  </r>
  <r>
    <x v="7880"/>
    <x v="1572"/>
    <x v="7"/>
    <n v="2"/>
    <n v="23.46"/>
    <x v="372"/>
    <x v="1"/>
    <x v="1"/>
    <n v="46.92"/>
    <m/>
    <m/>
    <n v="5"/>
  </r>
  <r>
    <x v="7881"/>
    <x v="1572"/>
    <x v="7"/>
    <n v="3"/>
    <n v="35.19"/>
    <x v="467"/>
    <x v="1"/>
    <x v="2"/>
    <n v="105.57"/>
    <m/>
    <m/>
    <n v="7"/>
  </r>
  <r>
    <x v="7882"/>
    <x v="1572"/>
    <x v="1"/>
    <n v="4"/>
    <n v="162.63999999999999"/>
    <x v="124"/>
    <x v="6"/>
    <x v="2"/>
    <n v="650.55999999999995"/>
    <m/>
    <m/>
    <n v="7"/>
  </r>
  <r>
    <x v="7883"/>
    <x v="1573"/>
    <x v="1"/>
    <n v="3"/>
    <n v="121.98"/>
    <x v="184"/>
    <x v="3"/>
    <x v="3"/>
    <n v="365.94"/>
    <m/>
    <m/>
    <n v="5"/>
  </r>
  <r>
    <x v="7884"/>
    <x v="1573"/>
    <x v="0"/>
    <n v="3"/>
    <n v="900.24"/>
    <x v="590"/>
    <x v="6"/>
    <x v="1"/>
    <n v="2700.7200000000003"/>
    <m/>
    <m/>
    <n v="7"/>
  </r>
  <r>
    <x v="7885"/>
    <x v="1573"/>
    <x v="1"/>
    <n v="1"/>
    <n v="40.659999999999997"/>
    <x v="343"/>
    <x v="0"/>
    <x v="1"/>
    <n v="40.659999999999997"/>
    <m/>
    <m/>
    <n v="7"/>
  </r>
  <r>
    <x v="7886"/>
    <x v="1573"/>
    <x v="2"/>
    <n v="3"/>
    <n v="15.69"/>
    <x v="707"/>
    <x v="0"/>
    <x v="4"/>
    <n v="47.07"/>
    <m/>
    <m/>
    <n v="7"/>
  </r>
  <r>
    <x v="7887"/>
    <x v="1574"/>
    <x v="1"/>
    <n v="1"/>
    <n v="40.659999999999997"/>
    <x v="672"/>
    <x v="6"/>
    <x v="3"/>
    <n v="40.659999999999997"/>
    <m/>
    <m/>
    <n v="5"/>
  </r>
  <r>
    <x v="7888"/>
    <x v="1574"/>
    <x v="0"/>
    <n v="2"/>
    <n v="600.16"/>
    <x v="646"/>
    <x v="0"/>
    <x v="4"/>
    <n v="1200.32"/>
    <m/>
    <m/>
    <n v="5"/>
  </r>
  <r>
    <x v="7889"/>
    <x v="1574"/>
    <x v="0"/>
    <n v="4"/>
    <n v="1200.32"/>
    <x v="754"/>
    <x v="4"/>
    <x v="4"/>
    <n v="4801.28"/>
    <m/>
    <m/>
    <n v="7"/>
  </r>
  <r>
    <x v="7890"/>
    <x v="1575"/>
    <x v="4"/>
    <n v="4"/>
    <n v="4200"/>
    <x v="719"/>
    <x v="6"/>
    <x v="4"/>
    <n v="16800"/>
    <m/>
    <m/>
    <n v="7"/>
  </r>
  <r>
    <x v="7891"/>
    <x v="1575"/>
    <x v="0"/>
    <n v="2"/>
    <n v="600.16"/>
    <x v="570"/>
    <x v="4"/>
    <x v="1"/>
    <n v="1200.32"/>
    <m/>
    <m/>
    <n v="7"/>
  </r>
  <r>
    <x v="7892"/>
    <x v="1575"/>
    <x v="1"/>
    <n v="2"/>
    <n v="81.319999999999993"/>
    <x v="783"/>
    <x v="4"/>
    <x v="1"/>
    <n v="162.63999999999999"/>
    <m/>
    <m/>
    <n v="7"/>
  </r>
  <r>
    <x v="7893"/>
    <x v="1576"/>
    <x v="5"/>
    <n v="2"/>
    <n v="1200.3399999999999"/>
    <x v="533"/>
    <x v="1"/>
    <x v="3"/>
    <n v="2400.6799999999998"/>
    <m/>
    <m/>
    <n v="5"/>
  </r>
  <r>
    <x v="7894"/>
    <x v="1576"/>
    <x v="0"/>
    <n v="5"/>
    <n v="1500.4"/>
    <x v="145"/>
    <x v="9"/>
    <x v="0"/>
    <n v="7502"/>
    <m/>
    <m/>
    <n v="5"/>
  </r>
  <r>
    <x v="7895"/>
    <x v="1576"/>
    <x v="2"/>
    <n v="4"/>
    <n v="20.92"/>
    <x v="324"/>
    <x v="7"/>
    <x v="4"/>
    <n v="83.68"/>
    <m/>
    <m/>
    <n v="5"/>
  </r>
  <r>
    <x v="7896"/>
    <x v="1576"/>
    <x v="2"/>
    <n v="3"/>
    <n v="15.69"/>
    <x v="485"/>
    <x v="8"/>
    <x v="2"/>
    <n v="47.07"/>
    <m/>
    <m/>
    <n v="5"/>
  </r>
  <r>
    <x v="7897"/>
    <x v="1576"/>
    <x v="0"/>
    <n v="2"/>
    <n v="600.16"/>
    <x v="74"/>
    <x v="0"/>
    <x v="4"/>
    <n v="1200.32"/>
    <m/>
    <m/>
    <n v="5"/>
  </r>
  <r>
    <x v="7898"/>
    <x v="1576"/>
    <x v="0"/>
    <n v="2"/>
    <n v="600.16"/>
    <x v="168"/>
    <x v="6"/>
    <x v="4"/>
    <n v="1200.32"/>
    <m/>
    <m/>
    <n v="5"/>
  </r>
  <r>
    <x v="7899"/>
    <x v="1576"/>
    <x v="4"/>
    <n v="1"/>
    <n v="1050"/>
    <x v="129"/>
    <x v="0"/>
    <x v="3"/>
    <n v="1050"/>
    <m/>
    <m/>
    <n v="7"/>
  </r>
  <r>
    <x v="7900"/>
    <x v="1577"/>
    <x v="0"/>
    <n v="5"/>
    <n v="1500.4"/>
    <x v="773"/>
    <x v="8"/>
    <x v="2"/>
    <n v="7502"/>
    <m/>
    <m/>
    <n v="5"/>
  </r>
  <r>
    <x v="7901"/>
    <x v="1577"/>
    <x v="6"/>
    <n v="3"/>
    <n v="107.52"/>
    <x v="773"/>
    <x v="0"/>
    <x v="0"/>
    <n v="322.56"/>
    <m/>
    <m/>
    <n v="5"/>
  </r>
  <r>
    <x v="7902"/>
    <x v="1577"/>
    <x v="3"/>
    <n v="2"/>
    <n v="30.3"/>
    <x v="718"/>
    <x v="0"/>
    <x v="4"/>
    <n v="60.6"/>
    <m/>
    <m/>
    <n v="7"/>
  </r>
  <r>
    <x v="7903"/>
    <x v="1577"/>
    <x v="5"/>
    <n v="3"/>
    <n v="1800.51"/>
    <x v="67"/>
    <x v="9"/>
    <x v="0"/>
    <n v="5401.53"/>
    <m/>
    <m/>
    <n v="7"/>
  </r>
  <r>
    <x v="7904"/>
    <x v="1578"/>
    <x v="2"/>
    <n v="1"/>
    <n v="5.23"/>
    <x v="494"/>
    <x v="6"/>
    <x v="1"/>
    <n v="5.23"/>
    <m/>
    <m/>
    <n v="5"/>
  </r>
  <r>
    <x v="7905"/>
    <x v="1578"/>
    <x v="0"/>
    <n v="5"/>
    <n v="1500.4"/>
    <x v="749"/>
    <x v="0"/>
    <x v="1"/>
    <n v="7502"/>
    <m/>
    <m/>
    <n v="5"/>
  </r>
  <r>
    <x v="7906"/>
    <x v="1578"/>
    <x v="0"/>
    <n v="4"/>
    <n v="1200.32"/>
    <x v="594"/>
    <x v="4"/>
    <x v="3"/>
    <n v="4801.28"/>
    <m/>
    <m/>
    <n v="7"/>
  </r>
  <r>
    <x v="7907"/>
    <x v="1578"/>
    <x v="4"/>
    <n v="1"/>
    <n v="1050"/>
    <x v="193"/>
    <x v="2"/>
    <x v="4"/>
    <n v="1050"/>
    <m/>
    <m/>
    <n v="7"/>
  </r>
  <r>
    <x v="7908"/>
    <x v="1579"/>
    <x v="7"/>
    <n v="2"/>
    <n v="23.46"/>
    <x v="474"/>
    <x v="1"/>
    <x v="3"/>
    <n v="46.92"/>
    <m/>
    <m/>
    <n v="5"/>
  </r>
  <r>
    <x v="7909"/>
    <x v="1579"/>
    <x v="0"/>
    <n v="1"/>
    <n v="300.08"/>
    <x v="68"/>
    <x v="3"/>
    <x v="2"/>
    <n v="300.08"/>
    <m/>
    <m/>
    <n v="5"/>
  </r>
  <r>
    <x v="7910"/>
    <x v="1579"/>
    <x v="2"/>
    <n v="4"/>
    <n v="20.92"/>
    <x v="122"/>
    <x v="0"/>
    <x v="4"/>
    <n v="83.68"/>
    <m/>
    <m/>
    <n v="5"/>
  </r>
  <r>
    <x v="7911"/>
    <x v="1579"/>
    <x v="1"/>
    <n v="5"/>
    <n v="203.3"/>
    <x v="646"/>
    <x v="6"/>
    <x v="4"/>
    <n v="1016.5"/>
    <m/>
    <m/>
    <n v="5"/>
  </r>
  <r>
    <x v="7912"/>
    <x v="1579"/>
    <x v="0"/>
    <n v="1"/>
    <n v="300.08"/>
    <x v="477"/>
    <x v="0"/>
    <x v="2"/>
    <n v="300.08"/>
    <m/>
    <m/>
    <n v="5"/>
  </r>
  <r>
    <x v="7913"/>
    <x v="1580"/>
    <x v="7"/>
    <n v="2"/>
    <n v="23.46"/>
    <x v="84"/>
    <x v="1"/>
    <x v="3"/>
    <n v="46.92"/>
    <m/>
    <m/>
    <n v="5"/>
  </r>
  <r>
    <x v="7914"/>
    <x v="1580"/>
    <x v="2"/>
    <n v="3"/>
    <n v="15.69"/>
    <x v="636"/>
    <x v="0"/>
    <x v="1"/>
    <n v="47.07"/>
    <m/>
    <m/>
    <n v="5"/>
  </r>
  <r>
    <x v="7915"/>
    <x v="1580"/>
    <x v="1"/>
    <n v="4"/>
    <n v="162.63999999999999"/>
    <x v="500"/>
    <x v="0"/>
    <x v="2"/>
    <n v="650.55999999999995"/>
    <m/>
    <m/>
    <n v="5"/>
  </r>
  <r>
    <x v="7916"/>
    <x v="1580"/>
    <x v="0"/>
    <n v="3"/>
    <n v="900.24"/>
    <x v="16"/>
    <x v="8"/>
    <x v="2"/>
    <n v="2700.7200000000003"/>
    <m/>
    <m/>
    <n v="7"/>
  </r>
  <r>
    <x v="7917"/>
    <x v="1580"/>
    <x v="5"/>
    <n v="1"/>
    <n v="600.16999999999996"/>
    <x v="262"/>
    <x v="6"/>
    <x v="3"/>
    <n v="600.16999999999996"/>
    <m/>
    <m/>
    <n v="7"/>
  </r>
  <r>
    <x v="7918"/>
    <x v="1581"/>
    <x v="4"/>
    <n v="5"/>
    <n v="5250"/>
    <x v="536"/>
    <x v="8"/>
    <x v="3"/>
    <n v="26250"/>
    <m/>
    <m/>
    <n v="5"/>
  </r>
  <r>
    <x v="7919"/>
    <x v="1581"/>
    <x v="2"/>
    <n v="2"/>
    <n v="10.46"/>
    <x v="389"/>
    <x v="0"/>
    <x v="2"/>
    <n v="20.92"/>
    <m/>
    <m/>
    <n v="5"/>
  </r>
  <r>
    <x v="7920"/>
    <x v="1581"/>
    <x v="1"/>
    <n v="4"/>
    <n v="162.63999999999999"/>
    <x v="434"/>
    <x v="7"/>
    <x v="3"/>
    <n v="650.55999999999995"/>
    <m/>
    <m/>
    <n v="5"/>
  </r>
  <r>
    <x v="7921"/>
    <x v="1581"/>
    <x v="3"/>
    <n v="3"/>
    <n v="45.45"/>
    <x v="410"/>
    <x v="7"/>
    <x v="1"/>
    <n v="136.35000000000002"/>
    <m/>
    <m/>
    <n v="5"/>
  </r>
  <r>
    <x v="7922"/>
    <x v="1581"/>
    <x v="2"/>
    <n v="3"/>
    <n v="15.69"/>
    <x v="286"/>
    <x v="0"/>
    <x v="3"/>
    <n v="47.07"/>
    <m/>
    <m/>
    <n v="5"/>
  </r>
  <r>
    <x v="7923"/>
    <x v="1581"/>
    <x v="0"/>
    <n v="5"/>
    <n v="1500.4"/>
    <x v="682"/>
    <x v="1"/>
    <x v="4"/>
    <n v="7502"/>
    <m/>
    <m/>
    <n v="10"/>
  </r>
  <r>
    <x v="7924"/>
    <x v="1582"/>
    <x v="4"/>
    <n v="5"/>
    <n v="5250"/>
    <x v="599"/>
    <x v="9"/>
    <x v="0"/>
    <n v="26250"/>
    <m/>
    <m/>
    <n v="5"/>
  </r>
  <r>
    <x v="7925"/>
    <x v="1582"/>
    <x v="4"/>
    <n v="1"/>
    <n v="1050"/>
    <x v="784"/>
    <x v="5"/>
    <x v="3"/>
    <n v="1050"/>
    <m/>
    <m/>
    <n v="5"/>
  </r>
  <r>
    <x v="7926"/>
    <x v="1582"/>
    <x v="0"/>
    <n v="4"/>
    <n v="1200.32"/>
    <x v="598"/>
    <x v="3"/>
    <x v="3"/>
    <n v="4801.28"/>
    <m/>
    <m/>
    <n v="5"/>
  </r>
  <r>
    <x v="7927"/>
    <x v="1582"/>
    <x v="2"/>
    <n v="5"/>
    <n v="26.15"/>
    <x v="90"/>
    <x v="1"/>
    <x v="1"/>
    <n v="130.75"/>
    <m/>
    <m/>
    <n v="5"/>
  </r>
  <r>
    <x v="7928"/>
    <x v="1582"/>
    <x v="0"/>
    <n v="1"/>
    <n v="300.08"/>
    <x v="725"/>
    <x v="6"/>
    <x v="3"/>
    <n v="300.08"/>
    <m/>
    <m/>
    <n v="5"/>
  </r>
  <r>
    <x v="7929"/>
    <x v="1582"/>
    <x v="5"/>
    <n v="5"/>
    <n v="3000.85"/>
    <x v="760"/>
    <x v="6"/>
    <x v="0"/>
    <n v="15004.25"/>
    <m/>
    <m/>
    <n v="7"/>
  </r>
  <r>
    <x v="7930"/>
    <x v="1582"/>
    <x v="2"/>
    <n v="1"/>
    <n v="5.23"/>
    <x v="470"/>
    <x v="1"/>
    <x v="2"/>
    <n v="5.23"/>
    <m/>
    <m/>
    <n v="7"/>
  </r>
  <r>
    <x v="7931"/>
    <x v="1582"/>
    <x v="5"/>
    <n v="1"/>
    <n v="600.16999999999996"/>
    <x v="431"/>
    <x v="1"/>
    <x v="2"/>
    <n v="600.16999999999996"/>
    <m/>
    <m/>
    <n v="7"/>
  </r>
  <r>
    <x v="7932"/>
    <x v="1583"/>
    <x v="5"/>
    <n v="5"/>
    <n v="3000.85"/>
    <x v="490"/>
    <x v="6"/>
    <x v="0"/>
    <n v="15004.25"/>
    <m/>
    <m/>
    <n v="5"/>
  </r>
  <r>
    <x v="7933"/>
    <x v="1583"/>
    <x v="5"/>
    <n v="1"/>
    <n v="600.16999999999996"/>
    <x v="188"/>
    <x v="0"/>
    <x v="3"/>
    <n v="600.16999999999996"/>
    <m/>
    <m/>
    <n v="7"/>
  </r>
  <r>
    <x v="7934"/>
    <x v="1583"/>
    <x v="0"/>
    <n v="5"/>
    <n v="1500.4"/>
    <x v="188"/>
    <x v="1"/>
    <x v="3"/>
    <n v="7502"/>
    <m/>
    <m/>
    <n v="7"/>
  </r>
  <r>
    <x v="7935"/>
    <x v="1583"/>
    <x v="2"/>
    <n v="2"/>
    <n v="10.46"/>
    <x v="393"/>
    <x v="9"/>
    <x v="3"/>
    <n v="20.92"/>
    <m/>
    <m/>
    <n v="7"/>
  </r>
  <r>
    <x v="7936"/>
    <x v="1583"/>
    <x v="5"/>
    <n v="5"/>
    <n v="3000.85"/>
    <x v="192"/>
    <x v="0"/>
    <x v="4"/>
    <n v="15004.25"/>
    <m/>
    <m/>
    <n v="7"/>
  </r>
  <r>
    <x v="7937"/>
    <x v="1584"/>
    <x v="0"/>
    <n v="4"/>
    <n v="1200.32"/>
    <x v="347"/>
    <x v="0"/>
    <x v="0"/>
    <n v="4801.28"/>
    <m/>
    <m/>
    <n v="7"/>
  </r>
  <r>
    <x v="7938"/>
    <x v="1584"/>
    <x v="0"/>
    <n v="3"/>
    <n v="900.24"/>
    <x v="110"/>
    <x v="0"/>
    <x v="3"/>
    <n v="2700.7200000000003"/>
    <m/>
    <m/>
    <n v="7"/>
  </r>
  <r>
    <x v="7939"/>
    <x v="1584"/>
    <x v="0"/>
    <n v="2"/>
    <n v="600.16"/>
    <x v="624"/>
    <x v="7"/>
    <x v="0"/>
    <n v="1200.32"/>
    <m/>
    <m/>
    <n v="7"/>
  </r>
  <r>
    <x v="7940"/>
    <x v="1584"/>
    <x v="0"/>
    <n v="4"/>
    <n v="1200.32"/>
    <x v="444"/>
    <x v="3"/>
    <x v="1"/>
    <n v="4801.28"/>
    <m/>
    <m/>
    <n v="7"/>
  </r>
  <r>
    <x v="7941"/>
    <x v="1584"/>
    <x v="5"/>
    <n v="1"/>
    <n v="600.16999999999996"/>
    <x v="514"/>
    <x v="8"/>
    <x v="1"/>
    <n v="600.16999999999996"/>
    <m/>
    <m/>
    <n v="7"/>
  </r>
  <r>
    <x v="7942"/>
    <x v="1585"/>
    <x v="1"/>
    <n v="3"/>
    <n v="121.98"/>
    <x v="568"/>
    <x v="4"/>
    <x v="1"/>
    <n v="365.94"/>
    <m/>
    <m/>
    <n v="5"/>
  </r>
  <r>
    <x v="7943"/>
    <x v="1585"/>
    <x v="1"/>
    <n v="5"/>
    <n v="203.3"/>
    <x v="122"/>
    <x v="9"/>
    <x v="1"/>
    <n v="1016.5"/>
    <m/>
    <m/>
    <n v="5"/>
  </r>
  <r>
    <x v="7944"/>
    <x v="1585"/>
    <x v="4"/>
    <n v="5"/>
    <n v="5250"/>
    <x v="541"/>
    <x v="4"/>
    <x v="2"/>
    <n v="26250"/>
    <m/>
    <m/>
    <n v="5"/>
  </r>
  <r>
    <x v="7945"/>
    <x v="1585"/>
    <x v="7"/>
    <n v="5"/>
    <n v="58.65"/>
    <x v="300"/>
    <x v="6"/>
    <x v="2"/>
    <n v="293.25"/>
    <m/>
    <m/>
    <n v="5"/>
  </r>
  <r>
    <x v="7946"/>
    <x v="1585"/>
    <x v="2"/>
    <n v="2"/>
    <n v="10.46"/>
    <x v="738"/>
    <x v="7"/>
    <x v="0"/>
    <n v="20.92"/>
    <m/>
    <m/>
    <n v="7"/>
  </r>
  <r>
    <x v="7947"/>
    <x v="1585"/>
    <x v="0"/>
    <n v="5"/>
    <n v="1500.4"/>
    <x v="605"/>
    <x v="4"/>
    <x v="2"/>
    <n v="7502"/>
    <m/>
    <m/>
    <n v="7"/>
  </r>
  <r>
    <x v="7948"/>
    <x v="1585"/>
    <x v="4"/>
    <n v="2"/>
    <n v="2100"/>
    <x v="772"/>
    <x v="0"/>
    <x v="1"/>
    <n v="4200"/>
    <m/>
    <m/>
    <n v="7"/>
  </r>
  <r>
    <x v="7949"/>
    <x v="1585"/>
    <x v="3"/>
    <n v="2"/>
    <n v="30.3"/>
    <x v="482"/>
    <x v="1"/>
    <x v="1"/>
    <n v="60.6"/>
    <m/>
    <m/>
    <n v="10"/>
  </r>
  <r>
    <x v="7950"/>
    <x v="1586"/>
    <x v="6"/>
    <n v="3"/>
    <n v="107.52"/>
    <x v="414"/>
    <x v="6"/>
    <x v="4"/>
    <n v="322.56"/>
    <m/>
    <m/>
    <n v="5"/>
  </r>
  <r>
    <x v="7951"/>
    <x v="1586"/>
    <x v="0"/>
    <n v="5"/>
    <n v="1500.4"/>
    <x v="680"/>
    <x v="0"/>
    <x v="4"/>
    <n v="7502"/>
    <m/>
    <m/>
    <n v="5"/>
  </r>
  <r>
    <x v="7952"/>
    <x v="1586"/>
    <x v="7"/>
    <n v="1"/>
    <n v="11.73"/>
    <x v="585"/>
    <x v="4"/>
    <x v="4"/>
    <n v="11.73"/>
    <m/>
    <m/>
    <n v="7"/>
  </r>
  <r>
    <x v="7953"/>
    <x v="1586"/>
    <x v="2"/>
    <n v="3"/>
    <n v="15.69"/>
    <x v="796"/>
    <x v="6"/>
    <x v="4"/>
    <n v="47.07"/>
    <m/>
    <m/>
    <n v="7"/>
  </r>
  <r>
    <x v="7954"/>
    <x v="1586"/>
    <x v="6"/>
    <n v="3"/>
    <n v="107.52"/>
    <x v="649"/>
    <x v="1"/>
    <x v="1"/>
    <n v="322.56"/>
    <m/>
    <m/>
    <n v="7"/>
  </r>
  <r>
    <x v="7955"/>
    <x v="1587"/>
    <x v="4"/>
    <n v="2"/>
    <n v="2100"/>
    <x v="635"/>
    <x v="1"/>
    <x v="1"/>
    <n v="4200"/>
    <m/>
    <m/>
    <n v="5"/>
  </r>
  <r>
    <x v="7956"/>
    <x v="1587"/>
    <x v="7"/>
    <n v="3"/>
    <n v="35.19"/>
    <x v="202"/>
    <x v="8"/>
    <x v="4"/>
    <n v="105.57"/>
    <m/>
    <m/>
    <n v="5"/>
  </r>
  <r>
    <x v="7957"/>
    <x v="1587"/>
    <x v="5"/>
    <n v="4"/>
    <n v="2400.6799999999998"/>
    <x v="173"/>
    <x v="0"/>
    <x v="4"/>
    <n v="9602.7199999999993"/>
    <m/>
    <m/>
    <n v="5"/>
  </r>
  <r>
    <x v="7958"/>
    <x v="1587"/>
    <x v="1"/>
    <n v="2"/>
    <n v="81.319999999999993"/>
    <x v="700"/>
    <x v="6"/>
    <x v="1"/>
    <n v="162.63999999999999"/>
    <m/>
    <m/>
    <n v="7"/>
  </r>
  <r>
    <x v="7959"/>
    <x v="1588"/>
    <x v="5"/>
    <n v="2"/>
    <n v="1200.3399999999999"/>
    <x v="291"/>
    <x v="0"/>
    <x v="1"/>
    <n v="2400.6799999999998"/>
    <m/>
    <m/>
    <n v="5"/>
  </r>
  <r>
    <x v="7960"/>
    <x v="1588"/>
    <x v="0"/>
    <n v="1"/>
    <n v="300.08"/>
    <x v="788"/>
    <x v="6"/>
    <x v="3"/>
    <n v="300.08"/>
    <m/>
    <m/>
    <n v="7"/>
  </r>
  <r>
    <x v="7961"/>
    <x v="1588"/>
    <x v="0"/>
    <n v="5"/>
    <n v="1500.4"/>
    <x v="753"/>
    <x v="2"/>
    <x v="3"/>
    <n v="7502"/>
    <m/>
    <m/>
    <n v="7"/>
  </r>
  <r>
    <x v="7962"/>
    <x v="1588"/>
    <x v="0"/>
    <n v="4"/>
    <n v="1200.32"/>
    <x v="192"/>
    <x v="0"/>
    <x v="4"/>
    <n v="4801.28"/>
    <m/>
    <m/>
    <n v="7"/>
  </r>
  <r>
    <x v="7963"/>
    <x v="1588"/>
    <x v="1"/>
    <n v="4"/>
    <n v="162.63999999999999"/>
    <x v="574"/>
    <x v="3"/>
    <x v="4"/>
    <n v="650.55999999999995"/>
    <m/>
    <m/>
    <n v="7"/>
  </r>
  <r>
    <x v="7964"/>
    <x v="1588"/>
    <x v="0"/>
    <n v="1"/>
    <n v="300.08"/>
    <x v="368"/>
    <x v="1"/>
    <x v="3"/>
    <n v="300.08"/>
    <m/>
    <m/>
    <n v="7"/>
  </r>
  <r>
    <x v="7965"/>
    <x v="1588"/>
    <x v="0"/>
    <n v="3"/>
    <n v="900.24"/>
    <x v="514"/>
    <x v="0"/>
    <x v="2"/>
    <n v="2700.7200000000003"/>
    <m/>
    <m/>
    <n v="7"/>
  </r>
  <r>
    <x v="7966"/>
    <x v="1588"/>
    <x v="4"/>
    <n v="5"/>
    <n v="5250"/>
    <x v="608"/>
    <x v="8"/>
    <x v="2"/>
    <n v="26250"/>
    <m/>
    <m/>
    <n v="10"/>
  </r>
  <r>
    <x v="7967"/>
    <x v="1589"/>
    <x v="5"/>
    <n v="3"/>
    <n v="1800.51"/>
    <x v="305"/>
    <x v="6"/>
    <x v="1"/>
    <n v="5401.53"/>
    <m/>
    <m/>
    <n v="5"/>
  </r>
  <r>
    <x v="7968"/>
    <x v="1589"/>
    <x v="2"/>
    <n v="3"/>
    <n v="15.69"/>
    <x v="261"/>
    <x v="2"/>
    <x v="1"/>
    <n v="47.07"/>
    <m/>
    <m/>
    <n v="5"/>
  </r>
  <r>
    <x v="7969"/>
    <x v="1589"/>
    <x v="6"/>
    <n v="2"/>
    <n v="71.680000000000007"/>
    <x v="28"/>
    <x v="9"/>
    <x v="4"/>
    <n v="143.36000000000001"/>
    <m/>
    <m/>
    <n v="5"/>
  </r>
  <r>
    <x v="7970"/>
    <x v="1589"/>
    <x v="0"/>
    <n v="2"/>
    <n v="600.16"/>
    <x v="176"/>
    <x v="6"/>
    <x v="2"/>
    <n v="1200.32"/>
    <m/>
    <m/>
    <n v="5"/>
  </r>
  <r>
    <x v="7971"/>
    <x v="1589"/>
    <x v="7"/>
    <n v="3"/>
    <n v="35.19"/>
    <x v="110"/>
    <x v="6"/>
    <x v="0"/>
    <n v="105.57"/>
    <m/>
    <m/>
    <n v="7"/>
  </r>
  <r>
    <x v="7972"/>
    <x v="1589"/>
    <x v="4"/>
    <n v="4"/>
    <n v="4200"/>
    <x v="690"/>
    <x v="0"/>
    <x v="1"/>
    <n v="16800"/>
    <m/>
    <m/>
    <n v="7"/>
  </r>
  <r>
    <x v="7973"/>
    <x v="1589"/>
    <x v="6"/>
    <n v="1"/>
    <n v="35.840000000000003"/>
    <x v="24"/>
    <x v="0"/>
    <x v="1"/>
    <n v="35.840000000000003"/>
    <m/>
    <m/>
    <n v="7"/>
  </r>
  <r>
    <x v="7974"/>
    <x v="1589"/>
    <x v="0"/>
    <n v="3"/>
    <n v="900.24"/>
    <x v="385"/>
    <x v="1"/>
    <x v="1"/>
    <n v="2700.7200000000003"/>
    <m/>
    <m/>
    <n v="10"/>
  </r>
  <r>
    <x v="7975"/>
    <x v="1590"/>
    <x v="1"/>
    <n v="3"/>
    <n v="121.98"/>
    <x v="46"/>
    <x v="4"/>
    <x v="1"/>
    <n v="365.94"/>
    <m/>
    <m/>
    <n v="5"/>
  </r>
  <r>
    <x v="7976"/>
    <x v="1591"/>
    <x v="1"/>
    <n v="3"/>
    <n v="121.98"/>
    <x v="117"/>
    <x v="0"/>
    <x v="1"/>
    <n v="365.94"/>
    <m/>
    <m/>
    <n v="5"/>
  </r>
  <r>
    <x v="7977"/>
    <x v="1591"/>
    <x v="4"/>
    <n v="2"/>
    <n v="2100"/>
    <x v="676"/>
    <x v="7"/>
    <x v="2"/>
    <n v="4200"/>
    <m/>
    <m/>
    <n v="5"/>
  </r>
  <r>
    <x v="7978"/>
    <x v="1591"/>
    <x v="1"/>
    <n v="5"/>
    <n v="203.3"/>
    <x v="356"/>
    <x v="2"/>
    <x v="4"/>
    <n v="1016.5"/>
    <m/>
    <m/>
    <n v="7"/>
  </r>
  <r>
    <x v="7979"/>
    <x v="1591"/>
    <x v="3"/>
    <n v="4"/>
    <n v="60.6"/>
    <x v="210"/>
    <x v="0"/>
    <x v="3"/>
    <n v="242.4"/>
    <m/>
    <m/>
    <n v="7"/>
  </r>
  <r>
    <x v="7980"/>
    <x v="1591"/>
    <x v="1"/>
    <n v="3"/>
    <n v="121.98"/>
    <x v="37"/>
    <x v="0"/>
    <x v="0"/>
    <n v="365.94"/>
    <m/>
    <m/>
    <n v="7"/>
  </r>
  <r>
    <x v="7981"/>
    <x v="1592"/>
    <x v="5"/>
    <n v="2"/>
    <n v="1200.3399999999999"/>
    <x v="551"/>
    <x v="6"/>
    <x v="4"/>
    <n v="2400.6799999999998"/>
    <m/>
    <m/>
    <n v="5"/>
  </r>
  <r>
    <x v="7982"/>
    <x v="1592"/>
    <x v="0"/>
    <n v="1"/>
    <n v="300.08"/>
    <x v="629"/>
    <x v="0"/>
    <x v="4"/>
    <n v="300.08"/>
    <m/>
    <m/>
    <n v="5"/>
  </r>
  <r>
    <x v="7983"/>
    <x v="1592"/>
    <x v="0"/>
    <n v="3"/>
    <n v="900.24"/>
    <x v="22"/>
    <x v="0"/>
    <x v="0"/>
    <n v="2700.7200000000003"/>
    <m/>
    <m/>
    <n v="5"/>
  </r>
  <r>
    <x v="7984"/>
    <x v="1592"/>
    <x v="2"/>
    <n v="1"/>
    <n v="5.23"/>
    <x v="321"/>
    <x v="2"/>
    <x v="1"/>
    <n v="5.23"/>
    <m/>
    <m/>
    <n v="7"/>
  </r>
  <r>
    <x v="7985"/>
    <x v="1592"/>
    <x v="1"/>
    <n v="4"/>
    <n v="162.63999999999999"/>
    <x v="29"/>
    <x v="6"/>
    <x v="1"/>
    <n v="650.55999999999995"/>
    <m/>
    <m/>
    <n v="7"/>
  </r>
  <r>
    <x v="7986"/>
    <x v="1593"/>
    <x v="5"/>
    <n v="1"/>
    <n v="600.16999999999996"/>
    <x v="492"/>
    <x v="9"/>
    <x v="4"/>
    <n v="600.16999999999996"/>
    <m/>
    <m/>
    <n v="5"/>
  </r>
  <r>
    <x v="7987"/>
    <x v="1593"/>
    <x v="6"/>
    <n v="4"/>
    <n v="143.36000000000001"/>
    <x v="198"/>
    <x v="0"/>
    <x v="4"/>
    <n v="573.44000000000005"/>
    <m/>
    <m/>
    <n v="5"/>
  </r>
  <r>
    <x v="7988"/>
    <x v="1593"/>
    <x v="1"/>
    <n v="2"/>
    <n v="81.319999999999993"/>
    <x v="624"/>
    <x v="6"/>
    <x v="1"/>
    <n v="162.63999999999999"/>
    <m/>
    <m/>
    <n v="7"/>
  </r>
  <r>
    <x v="7989"/>
    <x v="1593"/>
    <x v="0"/>
    <n v="5"/>
    <n v="1500.4"/>
    <x v="391"/>
    <x v="1"/>
    <x v="0"/>
    <n v="7502"/>
    <m/>
    <m/>
    <n v="7"/>
  </r>
  <r>
    <x v="7990"/>
    <x v="1594"/>
    <x v="1"/>
    <n v="2"/>
    <n v="81.319999999999993"/>
    <x v="99"/>
    <x v="6"/>
    <x v="1"/>
    <n v="162.63999999999999"/>
    <m/>
    <m/>
    <n v="5"/>
  </r>
  <r>
    <x v="7991"/>
    <x v="1594"/>
    <x v="6"/>
    <n v="2"/>
    <n v="71.680000000000007"/>
    <x v="641"/>
    <x v="0"/>
    <x v="4"/>
    <n v="143.36000000000001"/>
    <m/>
    <m/>
    <n v="5"/>
  </r>
  <r>
    <x v="7992"/>
    <x v="1594"/>
    <x v="2"/>
    <n v="2"/>
    <n v="10.46"/>
    <x v="703"/>
    <x v="6"/>
    <x v="3"/>
    <n v="20.92"/>
    <m/>
    <m/>
    <n v="7"/>
  </r>
  <r>
    <x v="7993"/>
    <x v="1594"/>
    <x v="6"/>
    <n v="4"/>
    <n v="143.36000000000001"/>
    <x v="377"/>
    <x v="1"/>
    <x v="0"/>
    <n v="573.44000000000005"/>
    <m/>
    <m/>
    <n v="7"/>
  </r>
  <r>
    <x v="7994"/>
    <x v="1594"/>
    <x v="0"/>
    <n v="3"/>
    <n v="900.24"/>
    <x v="368"/>
    <x v="7"/>
    <x v="3"/>
    <n v="2700.7200000000003"/>
    <m/>
    <m/>
    <n v="7"/>
  </r>
  <r>
    <x v="7995"/>
    <x v="1594"/>
    <x v="0"/>
    <n v="5"/>
    <n v="1500.4"/>
    <x v="60"/>
    <x v="6"/>
    <x v="2"/>
    <n v="7502"/>
    <m/>
    <m/>
    <n v="10"/>
  </r>
  <r>
    <x v="7996"/>
    <x v="1594"/>
    <x v="0"/>
    <n v="4"/>
    <n v="1200.32"/>
    <x v="608"/>
    <x v="6"/>
    <x v="1"/>
    <n v="4801.28"/>
    <m/>
    <m/>
    <n v="10"/>
  </r>
  <r>
    <x v="7997"/>
    <x v="1595"/>
    <x v="0"/>
    <n v="4"/>
    <n v="1200.32"/>
    <x v="145"/>
    <x v="9"/>
    <x v="0"/>
    <n v="4801.28"/>
    <m/>
    <m/>
    <n v="5"/>
  </r>
  <r>
    <x v="7998"/>
    <x v="1595"/>
    <x v="1"/>
    <n v="3"/>
    <n v="121.98"/>
    <x v="312"/>
    <x v="4"/>
    <x v="3"/>
    <n v="365.94"/>
    <m/>
    <m/>
    <n v="5"/>
  </r>
  <r>
    <x v="7999"/>
    <x v="1595"/>
    <x v="0"/>
    <n v="1"/>
    <n v="300.08"/>
    <x v="576"/>
    <x v="9"/>
    <x v="4"/>
    <n v="300.08"/>
    <m/>
    <m/>
    <n v="5"/>
  </r>
  <r>
    <x v="8000"/>
    <x v="1595"/>
    <x v="1"/>
    <n v="1"/>
    <n v="40.659999999999997"/>
    <x v="354"/>
    <x v="9"/>
    <x v="2"/>
    <n v="40.659999999999997"/>
    <m/>
    <m/>
    <n v="5"/>
  </r>
  <r>
    <x v="8001"/>
    <x v="1595"/>
    <x v="0"/>
    <n v="2"/>
    <n v="600.16"/>
    <x v="217"/>
    <x v="4"/>
    <x v="2"/>
    <n v="1200.32"/>
    <m/>
    <m/>
    <n v="7"/>
  </r>
  <r>
    <x v="8002"/>
    <x v="1596"/>
    <x v="1"/>
    <n v="1"/>
    <n v="40.659999999999997"/>
    <x v="23"/>
    <x v="1"/>
    <x v="1"/>
    <n v="40.659999999999997"/>
    <m/>
    <m/>
    <n v="7"/>
  </r>
  <r>
    <x v="8003"/>
    <x v="1596"/>
    <x v="0"/>
    <n v="5"/>
    <n v="1500.4"/>
    <x v="206"/>
    <x v="9"/>
    <x v="2"/>
    <n v="7502"/>
    <m/>
    <m/>
    <n v="7"/>
  </r>
  <r>
    <x v="8004"/>
    <x v="1596"/>
    <x v="4"/>
    <n v="4"/>
    <n v="4200"/>
    <x v="782"/>
    <x v="6"/>
    <x v="0"/>
    <n v="16800"/>
    <m/>
    <m/>
    <n v="7"/>
  </r>
  <r>
    <x v="8005"/>
    <x v="1597"/>
    <x v="2"/>
    <n v="3"/>
    <n v="15.69"/>
    <x v="113"/>
    <x v="3"/>
    <x v="0"/>
    <n v="47.07"/>
    <m/>
    <m/>
    <n v="5"/>
  </r>
  <r>
    <x v="8006"/>
    <x v="1597"/>
    <x v="0"/>
    <n v="5"/>
    <n v="1500.4"/>
    <x v="490"/>
    <x v="6"/>
    <x v="0"/>
    <n v="7502"/>
    <m/>
    <m/>
    <n v="5"/>
  </r>
  <r>
    <x v="8007"/>
    <x v="1597"/>
    <x v="1"/>
    <n v="5"/>
    <n v="203.3"/>
    <x v="392"/>
    <x v="1"/>
    <x v="3"/>
    <n v="1016.5"/>
    <m/>
    <m/>
    <n v="5"/>
  </r>
  <r>
    <x v="8008"/>
    <x v="1597"/>
    <x v="1"/>
    <n v="4"/>
    <n v="162.63999999999999"/>
    <x v="35"/>
    <x v="5"/>
    <x v="3"/>
    <n v="650.55999999999995"/>
    <m/>
    <m/>
    <n v="7"/>
  </r>
  <r>
    <x v="8009"/>
    <x v="1597"/>
    <x v="0"/>
    <n v="5"/>
    <n v="1500.4"/>
    <x v="56"/>
    <x v="9"/>
    <x v="3"/>
    <n v="7502"/>
    <m/>
    <m/>
    <n v="7"/>
  </r>
  <r>
    <x v="8010"/>
    <x v="1597"/>
    <x v="6"/>
    <n v="5"/>
    <n v="179.2"/>
    <x v="49"/>
    <x v="9"/>
    <x v="3"/>
    <n v="896"/>
    <m/>
    <m/>
    <n v="7"/>
  </r>
  <r>
    <x v="8011"/>
    <x v="1597"/>
    <x v="3"/>
    <n v="4"/>
    <n v="60.6"/>
    <x v="402"/>
    <x v="5"/>
    <x v="4"/>
    <n v="242.4"/>
    <m/>
    <m/>
    <n v="10"/>
  </r>
  <r>
    <x v="8012"/>
    <x v="1598"/>
    <x v="1"/>
    <n v="5"/>
    <n v="203.3"/>
    <x v="509"/>
    <x v="3"/>
    <x v="4"/>
    <n v="1016.5"/>
    <m/>
    <m/>
    <n v="7"/>
  </r>
  <r>
    <x v="8013"/>
    <x v="1598"/>
    <x v="2"/>
    <n v="5"/>
    <n v="26.15"/>
    <x v="607"/>
    <x v="9"/>
    <x v="0"/>
    <n v="130.75"/>
    <m/>
    <m/>
    <n v="7"/>
  </r>
  <r>
    <x v="8014"/>
    <x v="1598"/>
    <x v="1"/>
    <n v="3"/>
    <n v="121.98"/>
    <x v="519"/>
    <x v="6"/>
    <x v="1"/>
    <n v="365.94"/>
    <m/>
    <m/>
    <n v="10"/>
  </r>
  <r>
    <x v="8015"/>
    <x v="1599"/>
    <x v="5"/>
    <n v="3"/>
    <n v="1800.51"/>
    <x v="518"/>
    <x v="7"/>
    <x v="0"/>
    <n v="5401.53"/>
    <m/>
    <m/>
    <n v="5"/>
  </r>
  <r>
    <x v="8016"/>
    <x v="1599"/>
    <x v="0"/>
    <n v="3"/>
    <n v="900.24"/>
    <x v="180"/>
    <x v="6"/>
    <x v="1"/>
    <n v="2700.7200000000003"/>
    <m/>
    <m/>
    <n v="5"/>
  </r>
  <r>
    <x v="8017"/>
    <x v="1599"/>
    <x v="5"/>
    <n v="1"/>
    <n v="600.16999999999996"/>
    <x v="380"/>
    <x v="6"/>
    <x v="1"/>
    <n v="600.16999999999996"/>
    <m/>
    <m/>
    <n v="5"/>
  </r>
  <r>
    <x v="8018"/>
    <x v="1599"/>
    <x v="0"/>
    <n v="2"/>
    <n v="600.16"/>
    <x v="710"/>
    <x v="0"/>
    <x v="4"/>
    <n v="1200.32"/>
    <m/>
    <m/>
    <n v="7"/>
  </r>
  <r>
    <x v="8019"/>
    <x v="1599"/>
    <x v="0"/>
    <n v="5"/>
    <n v="1500.4"/>
    <x v="621"/>
    <x v="7"/>
    <x v="4"/>
    <n v="7502"/>
    <m/>
    <m/>
    <n v="7"/>
  </r>
  <r>
    <x v="8020"/>
    <x v="1599"/>
    <x v="0"/>
    <n v="2"/>
    <n v="600.16"/>
    <x v="272"/>
    <x v="7"/>
    <x v="3"/>
    <n v="1200.32"/>
    <m/>
    <m/>
    <n v="7"/>
  </r>
  <r>
    <x v="8021"/>
    <x v="1600"/>
    <x v="0"/>
    <n v="4"/>
    <n v="1200.32"/>
    <x v="731"/>
    <x v="6"/>
    <x v="2"/>
    <n v="4801.28"/>
    <m/>
    <m/>
    <n v="5"/>
  </r>
  <r>
    <x v="8022"/>
    <x v="1600"/>
    <x v="0"/>
    <n v="2"/>
    <n v="600.16"/>
    <x v="668"/>
    <x v="1"/>
    <x v="1"/>
    <n v="1200.32"/>
    <m/>
    <m/>
    <n v="7"/>
  </r>
  <r>
    <x v="8023"/>
    <x v="1601"/>
    <x v="0"/>
    <n v="4"/>
    <n v="1200.32"/>
    <x v="225"/>
    <x v="0"/>
    <x v="0"/>
    <n v="4801.28"/>
    <m/>
    <m/>
    <n v="5"/>
  </r>
  <r>
    <x v="8024"/>
    <x v="1601"/>
    <x v="2"/>
    <n v="5"/>
    <n v="26.15"/>
    <x v="77"/>
    <x v="3"/>
    <x v="4"/>
    <n v="130.75"/>
    <m/>
    <m/>
    <n v="5"/>
  </r>
  <r>
    <x v="8025"/>
    <x v="1601"/>
    <x v="5"/>
    <n v="5"/>
    <n v="3000.85"/>
    <x v="640"/>
    <x v="1"/>
    <x v="2"/>
    <n v="15004.25"/>
    <m/>
    <m/>
    <n v="7"/>
  </r>
  <r>
    <x v="8026"/>
    <x v="1601"/>
    <x v="6"/>
    <n v="3"/>
    <n v="107.52"/>
    <x v="203"/>
    <x v="9"/>
    <x v="4"/>
    <n v="322.56"/>
    <m/>
    <m/>
    <n v="10"/>
  </r>
  <r>
    <x v="8027"/>
    <x v="1602"/>
    <x v="5"/>
    <n v="1"/>
    <n v="600.16999999999996"/>
    <x v="736"/>
    <x v="9"/>
    <x v="2"/>
    <n v="600.16999999999996"/>
    <m/>
    <m/>
    <n v="5"/>
  </r>
  <r>
    <x v="8028"/>
    <x v="1602"/>
    <x v="1"/>
    <n v="1"/>
    <n v="40.659999999999997"/>
    <x v="109"/>
    <x v="0"/>
    <x v="1"/>
    <n v="40.659999999999997"/>
    <m/>
    <m/>
    <n v="7"/>
  </r>
  <r>
    <x v="8029"/>
    <x v="1602"/>
    <x v="3"/>
    <n v="5"/>
    <n v="75.75"/>
    <x v="370"/>
    <x v="9"/>
    <x v="0"/>
    <n v="378.75"/>
    <m/>
    <m/>
    <n v="7"/>
  </r>
  <r>
    <x v="8030"/>
    <x v="1602"/>
    <x v="0"/>
    <n v="5"/>
    <n v="1500.4"/>
    <x v="419"/>
    <x v="4"/>
    <x v="1"/>
    <n v="7502"/>
    <m/>
    <m/>
    <n v="7"/>
  </r>
  <r>
    <x v="8031"/>
    <x v="1602"/>
    <x v="5"/>
    <n v="5"/>
    <n v="3000.85"/>
    <x v="182"/>
    <x v="7"/>
    <x v="4"/>
    <n v="15004.25"/>
    <m/>
    <m/>
    <n v="7"/>
  </r>
  <r>
    <x v="8032"/>
    <x v="1602"/>
    <x v="6"/>
    <n v="3"/>
    <n v="107.52"/>
    <x v="311"/>
    <x v="4"/>
    <x v="0"/>
    <n v="322.56"/>
    <m/>
    <m/>
    <n v="10"/>
  </r>
  <r>
    <x v="8033"/>
    <x v="1603"/>
    <x v="5"/>
    <n v="2"/>
    <n v="1200.3399999999999"/>
    <x v="122"/>
    <x v="1"/>
    <x v="0"/>
    <n v="2400.6799999999998"/>
    <m/>
    <m/>
    <n v="5"/>
  </r>
  <r>
    <x v="8034"/>
    <x v="1603"/>
    <x v="0"/>
    <n v="1"/>
    <n v="300.08"/>
    <x v="582"/>
    <x v="6"/>
    <x v="0"/>
    <n v="300.08"/>
    <m/>
    <m/>
    <n v="5"/>
  </r>
  <r>
    <x v="8035"/>
    <x v="1603"/>
    <x v="5"/>
    <n v="5"/>
    <n v="3000.85"/>
    <x v="366"/>
    <x v="5"/>
    <x v="4"/>
    <n v="15004.25"/>
    <m/>
    <m/>
    <n v="5"/>
  </r>
  <r>
    <x v="8036"/>
    <x v="1603"/>
    <x v="0"/>
    <n v="4"/>
    <n v="1200.32"/>
    <x v="701"/>
    <x v="4"/>
    <x v="4"/>
    <n v="4801.28"/>
    <m/>
    <m/>
    <n v="7"/>
  </r>
  <r>
    <x v="8037"/>
    <x v="1603"/>
    <x v="0"/>
    <n v="3"/>
    <n v="900.24"/>
    <x v="451"/>
    <x v="1"/>
    <x v="2"/>
    <n v="2700.7200000000003"/>
    <m/>
    <m/>
    <n v="10"/>
  </r>
  <r>
    <x v="8038"/>
    <x v="1604"/>
    <x v="0"/>
    <n v="4"/>
    <n v="1200.32"/>
    <x v="33"/>
    <x v="2"/>
    <x v="0"/>
    <n v="4801.28"/>
    <m/>
    <m/>
    <n v="5"/>
  </r>
  <r>
    <x v="8039"/>
    <x v="1604"/>
    <x v="0"/>
    <n v="3"/>
    <n v="900.24"/>
    <x v="648"/>
    <x v="6"/>
    <x v="0"/>
    <n v="2700.7200000000003"/>
    <m/>
    <m/>
    <n v="5"/>
  </r>
  <r>
    <x v="8040"/>
    <x v="1605"/>
    <x v="0"/>
    <n v="1"/>
    <n v="300.08"/>
    <x v="83"/>
    <x v="1"/>
    <x v="1"/>
    <n v="300.08"/>
    <m/>
    <m/>
    <n v="5"/>
  </r>
  <r>
    <x v="8041"/>
    <x v="1605"/>
    <x v="0"/>
    <n v="4"/>
    <n v="1200.32"/>
    <x v="45"/>
    <x v="5"/>
    <x v="0"/>
    <n v="4801.28"/>
    <m/>
    <m/>
    <n v="5"/>
  </r>
  <r>
    <x v="8042"/>
    <x v="1605"/>
    <x v="5"/>
    <n v="3"/>
    <n v="1800.51"/>
    <x v="480"/>
    <x v="3"/>
    <x v="4"/>
    <n v="5401.53"/>
    <m/>
    <m/>
    <n v="7"/>
  </r>
  <r>
    <x v="8043"/>
    <x v="1605"/>
    <x v="2"/>
    <n v="4"/>
    <n v="20.92"/>
    <x v="385"/>
    <x v="2"/>
    <x v="1"/>
    <n v="83.68"/>
    <m/>
    <m/>
    <n v="10"/>
  </r>
  <r>
    <x v="8044"/>
    <x v="1606"/>
    <x v="0"/>
    <n v="2"/>
    <n v="600.16"/>
    <x v="159"/>
    <x v="6"/>
    <x v="0"/>
    <n v="1200.32"/>
    <m/>
    <m/>
    <n v="5"/>
  </r>
  <r>
    <x v="8045"/>
    <x v="1606"/>
    <x v="2"/>
    <n v="3"/>
    <n v="15.69"/>
    <x v="593"/>
    <x v="4"/>
    <x v="1"/>
    <n v="47.07"/>
    <m/>
    <m/>
    <n v="5"/>
  </r>
  <r>
    <x v="8046"/>
    <x v="1606"/>
    <x v="6"/>
    <n v="2"/>
    <n v="71.680000000000007"/>
    <x v="425"/>
    <x v="1"/>
    <x v="0"/>
    <n v="143.36000000000001"/>
    <m/>
    <m/>
    <n v="5"/>
  </r>
  <r>
    <x v="8047"/>
    <x v="1607"/>
    <x v="0"/>
    <n v="5"/>
    <n v="1500.4"/>
    <x v="654"/>
    <x v="6"/>
    <x v="2"/>
    <n v="7502"/>
    <m/>
    <m/>
    <n v="5"/>
  </r>
  <r>
    <x v="8048"/>
    <x v="1607"/>
    <x v="6"/>
    <n v="5"/>
    <n v="179.2"/>
    <x v="77"/>
    <x v="7"/>
    <x v="2"/>
    <n v="896"/>
    <m/>
    <m/>
    <n v="5"/>
  </r>
  <r>
    <x v="8049"/>
    <x v="1607"/>
    <x v="2"/>
    <n v="2"/>
    <n v="10.46"/>
    <x v="538"/>
    <x v="9"/>
    <x v="4"/>
    <n v="20.92"/>
    <m/>
    <m/>
    <n v="5"/>
  </r>
  <r>
    <x v="8050"/>
    <x v="1607"/>
    <x v="4"/>
    <n v="2"/>
    <n v="2100"/>
    <x v="167"/>
    <x v="7"/>
    <x v="0"/>
    <n v="4200"/>
    <m/>
    <m/>
    <n v="5"/>
  </r>
  <r>
    <x v="8051"/>
    <x v="1607"/>
    <x v="0"/>
    <n v="2"/>
    <n v="600.16"/>
    <x v="367"/>
    <x v="1"/>
    <x v="3"/>
    <n v="1200.32"/>
    <m/>
    <m/>
    <n v="7"/>
  </r>
  <r>
    <x v="8052"/>
    <x v="1608"/>
    <x v="1"/>
    <n v="2"/>
    <n v="81.319999999999993"/>
    <x v="672"/>
    <x v="2"/>
    <x v="3"/>
    <n v="162.63999999999999"/>
    <m/>
    <m/>
    <n v="5"/>
  </r>
  <r>
    <x v="8053"/>
    <x v="1608"/>
    <x v="1"/>
    <n v="3"/>
    <n v="121.98"/>
    <x v="36"/>
    <x v="9"/>
    <x v="0"/>
    <n v="365.94"/>
    <m/>
    <m/>
    <n v="7"/>
  </r>
  <r>
    <x v="8054"/>
    <x v="1608"/>
    <x v="0"/>
    <n v="1"/>
    <n v="300.08"/>
    <x v="513"/>
    <x v="4"/>
    <x v="1"/>
    <n v="300.08"/>
    <m/>
    <m/>
    <n v="7"/>
  </r>
  <r>
    <x v="8055"/>
    <x v="1609"/>
    <x v="5"/>
    <n v="5"/>
    <n v="3000.85"/>
    <x v="163"/>
    <x v="8"/>
    <x v="3"/>
    <n v="15004.25"/>
    <m/>
    <m/>
    <n v="5"/>
  </r>
  <r>
    <x v="8056"/>
    <x v="1609"/>
    <x v="0"/>
    <n v="4"/>
    <n v="1200.32"/>
    <x v="457"/>
    <x v="1"/>
    <x v="1"/>
    <n v="4801.28"/>
    <m/>
    <m/>
    <n v="5"/>
  </r>
  <r>
    <x v="8057"/>
    <x v="1609"/>
    <x v="0"/>
    <n v="1"/>
    <n v="300.08"/>
    <x v="286"/>
    <x v="1"/>
    <x v="1"/>
    <n v="300.08"/>
    <m/>
    <m/>
    <n v="5"/>
  </r>
  <r>
    <x v="8058"/>
    <x v="1609"/>
    <x v="5"/>
    <n v="1"/>
    <n v="600.16999999999996"/>
    <x v="393"/>
    <x v="1"/>
    <x v="2"/>
    <n v="600.16999999999996"/>
    <m/>
    <m/>
    <n v="7"/>
  </r>
  <r>
    <x v="8059"/>
    <x v="1609"/>
    <x v="6"/>
    <n v="2"/>
    <n v="71.680000000000007"/>
    <x v="530"/>
    <x v="3"/>
    <x v="2"/>
    <n v="143.36000000000001"/>
    <m/>
    <m/>
    <n v="7"/>
  </r>
  <r>
    <x v="8060"/>
    <x v="1609"/>
    <x v="1"/>
    <n v="3"/>
    <n v="121.98"/>
    <x v="608"/>
    <x v="6"/>
    <x v="3"/>
    <n v="365.94"/>
    <m/>
    <m/>
    <n v="10"/>
  </r>
  <r>
    <x v="8061"/>
    <x v="1609"/>
    <x v="0"/>
    <n v="5"/>
    <n v="1500.4"/>
    <x v="211"/>
    <x v="4"/>
    <x v="3"/>
    <n v="7502"/>
    <m/>
    <m/>
    <n v="10"/>
  </r>
  <r>
    <x v="8062"/>
    <x v="1610"/>
    <x v="0"/>
    <n v="5"/>
    <n v="1500.4"/>
    <x v="339"/>
    <x v="4"/>
    <x v="2"/>
    <n v="7502"/>
    <m/>
    <m/>
    <n v="5"/>
  </r>
  <r>
    <x v="8063"/>
    <x v="1610"/>
    <x v="0"/>
    <n v="1"/>
    <n v="300.08"/>
    <x v="355"/>
    <x v="6"/>
    <x v="2"/>
    <n v="300.08"/>
    <m/>
    <m/>
    <n v="5"/>
  </r>
  <r>
    <x v="8064"/>
    <x v="1610"/>
    <x v="7"/>
    <n v="2"/>
    <n v="23.46"/>
    <x v="226"/>
    <x v="4"/>
    <x v="1"/>
    <n v="46.92"/>
    <m/>
    <m/>
    <n v="5"/>
  </r>
  <r>
    <x v="8065"/>
    <x v="1610"/>
    <x v="0"/>
    <n v="5"/>
    <n v="1500.4"/>
    <x v="531"/>
    <x v="6"/>
    <x v="3"/>
    <n v="7502"/>
    <m/>
    <m/>
    <n v="7"/>
  </r>
  <r>
    <x v="8066"/>
    <x v="1610"/>
    <x v="0"/>
    <n v="5"/>
    <n v="1500.4"/>
    <x v="514"/>
    <x v="0"/>
    <x v="0"/>
    <n v="7502"/>
    <m/>
    <m/>
    <n v="7"/>
  </r>
  <r>
    <x v="8067"/>
    <x v="1611"/>
    <x v="3"/>
    <n v="1"/>
    <n v="15.15"/>
    <x v="465"/>
    <x v="6"/>
    <x v="2"/>
    <n v="15.15"/>
    <m/>
    <m/>
    <n v="5"/>
  </r>
  <r>
    <x v="8068"/>
    <x v="1611"/>
    <x v="0"/>
    <n v="4"/>
    <n v="1200.32"/>
    <x v="90"/>
    <x v="7"/>
    <x v="4"/>
    <n v="4801.28"/>
    <m/>
    <m/>
    <n v="5"/>
  </r>
  <r>
    <x v="8069"/>
    <x v="1611"/>
    <x v="5"/>
    <n v="1"/>
    <n v="600.16999999999996"/>
    <x v="478"/>
    <x v="7"/>
    <x v="0"/>
    <n v="600.16999999999996"/>
    <m/>
    <m/>
    <n v="5"/>
  </r>
  <r>
    <x v="8070"/>
    <x v="1611"/>
    <x v="2"/>
    <n v="5"/>
    <n v="26.15"/>
    <x v="179"/>
    <x v="0"/>
    <x v="2"/>
    <n v="130.75"/>
    <m/>
    <m/>
    <n v="5"/>
  </r>
  <r>
    <x v="8071"/>
    <x v="1611"/>
    <x v="1"/>
    <n v="5"/>
    <n v="203.3"/>
    <x v="605"/>
    <x v="6"/>
    <x v="3"/>
    <n v="1016.5"/>
    <m/>
    <m/>
    <n v="7"/>
  </r>
  <r>
    <x v="8072"/>
    <x v="1612"/>
    <x v="0"/>
    <n v="4"/>
    <n v="1200.32"/>
    <x v="224"/>
    <x v="0"/>
    <x v="1"/>
    <n v="4801.28"/>
    <m/>
    <m/>
    <n v="5"/>
  </r>
  <r>
    <x v="8073"/>
    <x v="1612"/>
    <x v="6"/>
    <n v="4"/>
    <n v="143.36000000000001"/>
    <x v="89"/>
    <x v="0"/>
    <x v="4"/>
    <n v="573.44000000000005"/>
    <m/>
    <m/>
    <n v="5"/>
  </r>
  <r>
    <x v="8074"/>
    <x v="1612"/>
    <x v="2"/>
    <n v="4"/>
    <n v="20.92"/>
    <x v="326"/>
    <x v="0"/>
    <x v="3"/>
    <n v="83.68"/>
    <m/>
    <m/>
    <n v="5"/>
  </r>
  <r>
    <x v="8075"/>
    <x v="1612"/>
    <x v="5"/>
    <n v="3"/>
    <n v="1800.51"/>
    <x v="325"/>
    <x v="4"/>
    <x v="3"/>
    <n v="5401.53"/>
    <m/>
    <m/>
    <n v="7"/>
  </r>
  <r>
    <x v="8076"/>
    <x v="1612"/>
    <x v="6"/>
    <n v="5"/>
    <n v="179.2"/>
    <x v="692"/>
    <x v="9"/>
    <x v="1"/>
    <n v="896"/>
    <m/>
    <m/>
    <n v="10"/>
  </r>
  <r>
    <x v="8077"/>
    <x v="1612"/>
    <x v="1"/>
    <n v="3"/>
    <n v="121.98"/>
    <x v="776"/>
    <x v="0"/>
    <x v="3"/>
    <n v="365.94"/>
    <m/>
    <m/>
    <n v="10"/>
  </r>
  <r>
    <x v="8078"/>
    <x v="1612"/>
    <x v="3"/>
    <n v="5"/>
    <n v="75.75"/>
    <x v="50"/>
    <x v="9"/>
    <x v="3"/>
    <n v="378.75"/>
    <m/>
    <m/>
    <n v="10"/>
  </r>
  <r>
    <x v="8079"/>
    <x v="1613"/>
    <x v="4"/>
    <n v="5"/>
    <n v="5250"/>
    <x v="710"/>
    <x v="0"/>
    <x v="0"/>
    <n v="26250"/>
    <m/>
    <m/>
    <n v="7"/>
  </r>
  <r>
    <x v="8080"/>
    <x v="1613"/>
    <x v="0"/>
    <n v="1"/>
    <n v="300.08"/>
    <x v="342"/>
    <x v="7"/>
    <x v="0"/>
    <n v="300.08"/>
    <m/>
    <m/>
    <n v="7"/>
  </r>
  <r>
    <x v="8081"/>
    <x v="1613"/>
    <x v="5"/>
    <n v="2"/>
    <n v="1200.3399999999999"/>
    <x v="206"/>
    <x v="4"/>
    <x v="0"/>
    <n v="2400.6799999999998"/>
    <m/>
    <m/>
    <n v="7"/>
  </r>
  <r>
    <x v="8082"/>
    <x v="1614"/>
    <x v="1"/>
    <n v="2"/>
    <n v="81.319999999999993"/>
    <x v="0"/>
    <x v="4"/>
    <x v="1"/>
    <n v="162.63999999999999"/>
    <m/>
    <m/>
    <n v="5"/>
  </r>
  <r>
    <x v="8083"/>
    <x v="1614"/>
    <x v="0"/>
    <n v="3"/>
    <n v="900.24"/>
    <x v="117"/>
    <x v="9"/>
    <x v="2"/>
    <n v="2700.7200000000003"/>
    <m/>
    <m/>
    <n v="5"/>
  </r>
  <r>
    <x v="8084"/>
    <x v="1614"/>
    <x v="7"/>
    <n v="2"/>
    <n v="23.46"/>
    <x v="139"/>
    <x v="6"/>
    <x v="4"/>
    <n v="46.92"/>
    <m/>
    <m/>
    <n v="7"/>
  </r>
  <r>
    <x v="8085"/>
    <x v="1614"/>
    <x v="0"/>
    <n v="5"/>
    <n v="1500.4"/>
    <x v="561"/>
    <x v="6"/>
    <x v="3"/>
    <n v="7502"/>
    <m/>
    <m/>
    <n v="7"/>
  </r>
  <r>
    <x v="8086"/>
    <x v="1614"/>
    <x v="5"/>
    <n v="1"/>
    <n v="600.16999999999996"/>
    <x v="721"/>
    <x v="2"/>
    <x v="4"/>
    <n v="600.16999999999996"/>
    <m/>
    <m/>
    <n v="7"/>
  </r>
  <r>
    <x v="8087"/>
    <x v="1614"/>
    <x v="0"/>
    <n v="2"/>
    <n v="600.16"/>
    <x v="203"/>
    <x v="1"/>
    <x v="3"/>
    <n v="1200.32"/>
    <m/>
    <m/>
    <n v="10"/>
  </r>
  <r>
    <x v="8088"/>
    <x v="1615"/>
    <x v="0"/>
    <n v="5"/>
    <n v="1500.4"/>
    <x v="688"/>
    <x v="9"/>
    <x v="3"/>
    <n v="7502"/>
    <m/>
    <m/>
    <n v="5"/>
  </r>
  <r>
    <x v="8089"/>
    <x v="1615"/>
    <x v="5"/>
    <n v="4"/>
    <n v="2400.6799999999998"/>
    <x v="724"/>
    <x v="1"/>
    <x v="4"/>
    <n v="9602.7199999999993"/>
    <m/>
    <m/>
    <n v="5"/>
  </r>
  <r>
    <x v="8090"/>
    <x v="1615"/>
    <x v="0"/>
    <n v="3"/>
    <n v="900.24"/>
    <x v="794"/>
    <x v="6"/>
    <x v="0"/>
    <n v="2700.7200000000003"/>
    <m/>
    <m/>
    <n v="5"/>
  </r>
  <r>
    <x v="8091"/>
    <x v="1615"/>
    <x v="6"/>
    <n v="2"/>
    <n v="71.680000000000007"/>
    <x v="181"/>
    <x v="1"/>
    <x v="0"/>
    <n v="143.36000000000001"/>
    <m/>
    <m/>
    <n v="7"/>
  </r>
  <r>
    <x v="8092"/>
    <x v="1615"/>
    <x v="0"/>
    <n v="2"/>
    <n v="600.16"/>
    <x v="771"/>
    <x v="1"/>
    <x v="3"/>
    <n v="1200.32"/>
    <m/>
    <m/>
    <n v="7"/>
  </r>
  <r>
    <x v="8093"/>
    <x v="1615"/>
    <x v="5"/>
    <n v="5"/>
    <n v="3000.85"/>
    <x v="686"/>
    <x v="2"/>
    <x v="2"/>
    <n v="15004.25"/>
    <m/>
    <m/>
    <n v="7"/>
  </r>
  <r>
    <x v="8094"/>
    <x v="1616"/>
    <x v="0"/>
    <n v="3"/>
    <n v="900.24"/>
    <x v="238"/>
    <x v="6"/>
    <x v="2"/>
    <n v="2700.7200000000003"/>
    <m/>
    <m/>
    <n v="5"/>
  </r>
  <r>
    <x v="8095"/>
    <x v="1616"/>
    <x v="0"/>
    <n v="4"/>
    <n v="1200.32"/>
    <x v="731"/>
    <x v="6"/>
    <x v="1"/>
    <n v="4801.28"/>
    <m/>
    <m/>
    <n v="5"/>
  </r>
  <r>
    <x v="8096"/>
    <x v="1616"/>
    <x v="1"/>
    <n v="4"/>
    <n v="162.63999999999999"/>
    <x v="87"/>
    <x v="6"/>
    <x v="2"/>
    <n v="650.55999999999995"/>
    <m/>
    <m/>
    <n v="5"/>
  </r>
  <r>
    <x v="8097"/>
    <x v="1616"/>
    <x v="0"/>
    <n v="4"/>
    <n v="1200.32"/>
    <x v="588"/>
    <x v="1"/>
    <x v="1"/>
    <n v="4801.28"/>
    <m/>
    <m/>
    <n v="7"/>
  </r>
  <r>
    <x v="8098"/>
    <x v="1616"/>
    <x v="0"/>
    <n v="3"/>
    <n v="900.24"/>
    <x v="98"/>
    <x v="6"/>
    <x v="0"/>
    <n v="2700.7200000000003"/>
    <m/>
    <m/>
    <n v="7"/>
  </r>
  <r>
    <x v="8099"/>
    <x v="1617"/>
    <x v="6"/>
    <n v="5"/>
    <n v="179.2"/>
    <x v="120"/>
    <x v="1"/>
    <x v="3"/>
    <n v="896"/>
    <m/>
    <m/>
    <n v="5"/>
  </r>
  <r>
    <x v="8100"/>
    <x v="1617"/>
    <x v="7"/>
    <n v="3"/>
    <n v="35.19"/>
    <x v="639"/>
    <x v="9"/>
    <x v="3"/>
    <n v="105.57"/>
    <m/>
    <m/>
    <n v="5"/>
  </r>
  <r>
    <x v="8101"/>
    <x v="1617"/>
    <x v="5"/>
    <n v="4"/>
    <n v="2400.6799999999998"/>
    <x v="177"/>
    <x v="1"/>
    <x v="2"/>
    <n v="9602.7199999999993"/>
    <m/>
    <m/>
    <n v="5"/>
  </r>
  <r>
    <x v="8102"/>
    <x v="1617"/>
    <x v="4"/>
    <n v="5"/>
    <n v="5250"/>
    <x v="619"/>
    <x v="8"/>
    <x v="2"/>
    <n v="26250"/>
    <m/>
    <m/>
    <n v="5"/>
  </r>
  <r>
    <x v="8103"/>
    <x v="1617"/>
    <x v="6"/>
    <n v="2"/>
    <n v="71.680000000000007"/>
    <x v="231"/>
    <x v="0"/>
    <x v="4"/>
    <n v="143.36000000000001"/>
    <m/>
    <m/>
    <n v="5"/>
  </r>
  <r>
    <x v="8104"/>
    <x v="1618"/>
    <x v="2"/>
    <n v="2"/>
    <n v="10.46"/>
    <x v="474"/>
    <x v="6"/>
    <x v="0"/>
    <n v="20.92"/>
    <m/>
    <m/>
    <n v="5"/>
  </r>
  <r>
    <x v="8105"/>
    <x v="1618"/>
    <x v="5"/>
    <n v="3"/>
    <n v="1800.51"/>
    <x v="147"/>
    <x v="3"/>
    <x v="0"/>
    <n v="5401.53"/>
    <m/>
    <m/>
    <n v="5"/>
  </r>
  <r>
    <x v="8106"/>
    <x v="1618"/>
    <x v="6"/>
    <n v="1"/>
    <n v="35.840000000000003"/>
    <x v="109"/>
    <x v="0"/>
    <x v="2"/>
    <n v="35.840000000000003"/>
    <m/>
    <m/>
    <n v="7"/>
  </r>
  <r>
    <x v="8107"/>
    <x v="1618"/>
    <x v="0"/>
    <n v="1"/>
    <n v="300.08"/>
    <x v="193"/>
    <x v="9"/>
    <x v="2"/>
    <n v="300.08"/>
    <m/>
    <m/>
    <n v="7"/>
  </r>
  <r>
    <x v="8108"/>
    <x v="1619"/>
    <x v="6"/>
    <n v="4"/>
    <n v="143.36000000000001"/>
    <x v="591"/>
    <x v="1"/>
    <x v="0"/>
    <n v="573.44000000000005"/>
    <m/>
    <m/>
    <n v="7"/>
  </r>
  <r>
    <x v="8109"/>
    <x v="1620"/>
    <x v="0"/>
    <n v="2"/>
    <n v="600.16"/>
    <x v="438"/>
    <x v="1"/>
    <x v="3"/>
    <n v="1200.32"/>
    <m/>
    <m/>
    <n v="5"/>
  </r>
  <r>
    <x v="8110"/>
    <x v="1620"/>
    <x v="1"/>
    <n v="4"/>
    <n v="162.63999999999999"/>
    <x v="204"/>
    <x v="6"/>
    <x v="0"/>
    <n v="650.55999999999995"/>
    <m/>
    <m/>
    <n v="5"/>
  </r>
  <r>
    <x v="8111"/>
    <x v="1620"/>
    <x v="2"/>
    <n v="3"/>
    <n v="15.69"/>
    <x v="231"/>
    <x v="7"/>
    <x v="0"/>
    <n v="47.07"/>
    <m/>
    <m/>
    <n v="5"/>
  </r>
  <r>
    <x v="8112"/>
    <x v="1620"/>
    <x v="7"/>
    <n v="4"/>
    <n v="46.92"/>
    <x v="227"/>
    <x v="0"/>
    <x v="3"/>
    <n v="187.68"/>
    <m/>
    <m/>
    <n v="7"/>
  </r>
  <r>
    <x v="8113"/>
    <x v="1620"/>
    <x v="0"/>
    <n v="1"/>
    <n v="300.08"/>
    <x v="564"/>
    <x v="7"/>
    <x v="1"/>
    <n v="300.08"/>
    <m/>
    <m/>
    <n v="7"/>
  </r>
  <r>
    <x v="8114"/>
    <x v="1620"/>
    <x v="2"/>
    <n v="4"/>
    <n v="20.92"/>
    <x v="620"/>
    <x v="0"/>
    <x v="2"/>
    <n v="83.68"/>
    <m/>
    <m/>
    <n v="10"/>
  </r>
  <r>
    <x v="8115"/>
    <x v="1621"/>
    <x v="0"/>
    <n v="2"/>
    <n v="600.16"/>
    <x v="222"/>
    <x v="0"/>
    <x v="2"/>
    <n v="1200.32"/>
    <m/>
    <m/>
    <n v="7"/>
  </r>
  <r>
    <x v="8116"/>
    <x v="1621"/>
    <x v="4"/>
    <n v="1"/>
    <n v="1050"/>
    <x v="574"/>
    <x v="6"/>
    <x v="1"/>
    <n v="1050"/>
    <m/>
    <m/>
    <n v="7"/>
  </r>
  <r>
    <x v="8117"/>
    <x v="1621"/>
    <x v="7"/>
    <n v="5"/>
    <n v="58.65"/>
    <x v="540"/>
    <x v="6"/>
    <x v="1"/>
    <n v="293.25"/>
    <m/>
    <m/>
    <n v="7"/>
  </r>
  <r>
    <x v="8118"/>
    <x v="1622"/>
    <x v="0"/>
    <n v="2"/>
    <n v="600.16"/>
    <x v="269"/>
    <x v="6"/>
    <x v="2"/>
    <n v="1200.32"/>
    <m/>
    <m/>
    <n v="5"/>
  </r>
  <r>
    <x v="8119"/>
    <x v="1622"/>
    <x v="1"/>
    <n v="3"/>
    <n v="121.98"/>
    <x v="180"/>
    <x v="2"/>
    <x v="4"/>
    <n v="365.94"/>
    <m/>
    <m/>
    <n v="5"/>
  </r>
  <r>
    <x v="8120"/>
    <x v="1622"/>
    <x v="4"/>
    <n v="4"/>
    <n v="4200"/>
    <x v="795"/>
    <x v="4"/>
    <x v="0"/>
    <n v="16800"/>
    <m/>
    <m/>
    <n v="5"/>
  </r>
  <r>
    <x v="8121"/>
    <x v="1622"/>
    <x v="3"/>
    <n v="4"/>
    <n v="60.6"/>
    <x v="580"/>
    <x v="0"/>
    <x v="1"/>
    <n v="242.4"/>
    <m/>
    <m/>
    <n v="7"/>
  </r>
  <r>
    <x v="8122"/>
    <x v="1622"/>
    <x v="2"/>
    <n v="4"/>
    <n v="20.92"/>
    <x v="155"/>
    <x v="7"/>
    <x v="1"/>
    <n v="83.68"/>
    <m/>
    <m/>
    <n v="10"/>
  </r>
  <r>
    <x v="8123"/>
    <x v="1623"/>
    <x v="0"/>
    <n v="3"/>
    <n v="900.24"/>
    <x v="136"/>
    <x v="0"/>
    <x v="1"/>
    <n v="2700.7200000000003"/>
    <m/>
    <m/>
    <n v="5"/>
  </r>
  <r>
    <x v="8124"/>
    <x v="1623"/>
    <x v="2"/>
    <n v="4"/>
    <n v="20.92"/>
    <x v="571"/>
    <x v="6"/>
    <x v="0"/>
    <n v="83.68"/>
    <m/>
    <m/>
    <n v="5"/>
  </r>
  <r>
    <x v="8125"/>
    <x v="1623"/>
    <x v="6"/>
    <n v="3"/>
    <n v="107.52"/>
    <x v="168"/>
    <x v="6"/>
    <x v="1"/>
    <n v="322.56"/>
    <m/>
    <m/>
    <n v="5"/>
  </r>
  <r>
    <x v="8126"/>
    <x v="1623"/>
    <x v="6"/>
    <n v="4"/>
    <n v="143.36000000000001"/>
    <x v="774"/>
    <x v="4"/>
    <x v="3"/>
    <n v="573.44000000000005"/>
    <m/>
    <m/>
    <n v="7"/>
  </r>
  <r>
    <x v="8127"/>
    <x v="1623"/>
    <x v="1"/>
    <n v="2"/>
    <n v="81.319999999999993"/>
    <x v="732"/>
    <x v="0"/>
    <x v="1"/>
    <n v="162.63999999999999"/>
    <m/>
    <m/>
    <n v="7"/>
  </r>
  <r>
    <x v="8128"/>
    <x v="1624"/>
    <x v="0"/>
    <n v="2"/>
    <n v="600.16"/>
    <x v="543"/>
    <x v="4"/>
    <x v="2"/>
    <n v="1200.32"/>
    <m/>
    <m/>
    <n v="5"/>
  </r>
  <r>
    <x v="8129"/>
    <x v="1624"/>
    <x v="0"/>
    <n v="2"/>
    <n v="600.16"/>
    <x v="665"/>
    <x v="4"/>
    <x v="4"/>
    <n v="1200.32"/>
    <m/>
    <m/>
    <n v="7"/>
  </r>
  <r>
    <x v="8130"/>
    <x v="1624"/>
    <x v="7"/>
    <n v="4"/>
    <n v="46.92"/>
    <x v="248"/>
    <x v="6"/>
    <x v="4"/>
    <n v="187.68"/>
    <m/>
    <m/>
    <n v="7"/>
  </r>
  <r>
    <x v="8131"/>
    <x v="1624"/>
    <x v="1"/>
    <n v="2"/>
    <n v="81.319999999999993"/>
    <x v="782"/>
    <x v="1"/>
    <x v="2"/>
    <n v="162.63999999999999"/>
    <m/>
    <m/>
    <n v="7"/>
  </r>
  <r>
    <x v="8132"/>
    <x v="1625"/>
    <x v="2"/>
    <n v="2"/>
    <n v="10.46"/>
    <x v="320"/>
    <x v="4"/>
    <x v="2"/>
    <n v="20.92"/>
    <m/>
    <m/>
    <n v="5"/>
  </r>
  <r>
    <x v="8133"/>
    <x v="1625"/>
    <x v="0"/>
    <n v="1"/>
    <n v="300.08"/>
    <x v="490"/>
    <x v="1"/>
    <x v="4"/>
    <n v="300.08"/>
    <m/>
    <m/>
    <n v="5"/>
  </r>
  <r>
    <x v="8134"/>
    <x v="1625"/>
    <x v="0"/>
    <n v="1"/>
    <n v="300.08"/>
    <x v="295"/>
    <x v="0"/>
    <x v="2"/>
    <n v="300.08"/>
    <m/>
    <m/>
    <n v="5"/>
  </r>
  <r>
    <x v="8135"/>
    <x v="1625"/>
    <x v="0"/>
    <n v="1"/>
    <n v="300.08"/>
    <x v="40"/>
    <x v="1"/>
    <x v="2"/>
    <n v="300.08"/>
    <m/>
    <m/>
    <n v="7"/>
  </r>
  <r>
    <x v="8136"/>
    <x v="1626"/>
    <x v="0"/>
    <n v="2"/>
    <n v="600.16"/>
    <x v="493"/>
    <x v="4"/>
    <x v="2"/>
    <n v="1200.32"/>
    <m/>
    <m/>
    <n v="5"/>
  </r>
  <r>
    <x v="8137"/>
    <x v="1626"/>
    <x v="0"/>
    <n v="5"/>
    <n v="1500.4"/>
    <x v="651"/>
    <x v="7"/>
    <x v="2"/>
    <n v="7502"/>
    <m/>
    <m/>
    <n v="5"/>
  </r>
  <r>
    <x v="8138"/>
    <x v="1626"/>
    <x v="0"/>
    <n v="1"/>
    <n v="300.08"/>
    <x v="212"/>
    <x v="9"/>
    <x v="4"/>
    <n v="300.08"/>
    <m/>
    <m/>
    <n v="5"/>
  </r>
  <r>
    <x v="8139"/>
    <x v="1626"/>
    <x v="0"/>
    <n v="4"/>
    <n v="1200.32"/>
    <x v="276"/>
    <x v="1"/>
    <x v="3"/>
    <n v="4801.28"/>
    <m/>
    <m/>
    <n v="5"/>
  </r>
  <r>
    <x v="8140"/>
    <x v="1626"/>
    <x v="2"/>
    <n v="5"/>
    <n v="26.15"/>
    <x v="557"/>
    <x v="0"/>
    <x v="4"/>
    <n v="130.75"/>
    <m/>
    <m/>
    <n v="7"/>
  </r>
  <r>
    <x v="8141"/>
    <x v="1626"/>
    <x v="6"/>
    <n v="3"/>
    <n v="107.52"/>
    <x v="205"/>
    <x v="3"/>
    <x v="1"/>
    <n v="322.56"/>
    <m/>
    <m/>
    <n v="7"/>
  </r>
  <r>
    <x v="8142"/>
    <x v="1626"/>
    <x v="0"/>
    <n v="3"/>
    <n v="900.24"/>
    <x v="704"/>
    <x v="2"/>
    <x v="4"/>
    <n v="2700.7200000000003"/>
    <m/>
    <m/>
    <n v="7"/>
  </r>
  <r>
    <x v="8143"/>
    <x v="1626"/>
    <x v="5"/>
    <n v="3"/>
    <n v="1800.51"/>
    <x v="517"/>
    <x v="5"/>
    <x v="4"/>
    <n v="5401.53"/>
    <m/>
    <m/>
    <n v="10"/>
  </r>
  <r>
    <x v="8144"/>
    <x v="1627"/>
    <x v="2"/>
    <n v="3"/>
    <n v="15.69"/>
    <x v="5"/>
    <x v="7"/>
    <x v="3"/>
    <n v="47.07"/>
    <m/>
    <m/>
    <n v="5"/>
  </r>
  <r>
    <x v="8145"/>
    <x v="1627"/>
    <x v="1"/>
    <n v="4"/>
    <n v="162.63999999999999"/>
    <x v="635"/>
    <x v="1"/>
    <x v="2"/>
    <n v="650.55999999999995"/>
    <m/>
    <m/>
    <n v="5"/>
  </r>
  <r>
    <x v="8146"/>
    <x v="1627"/>
    <x v="2"/>
    <n v="4"/>
    <n v="20.92"/>
    <x v="57"/>
    <x v="5"/>
    <x v="2"/>
    <n v="83.68"/>
    <m/>
    <m/>
    <n v="5"/>
  </r>
  <r>
    <x v="8147"/>
    <x v="1627"/>
    <x v="6"/>
    <n v="1"/>
    <n v="35.840000000000003"/>
    <x v="146"/>
    <x v="4"/>
    <x v="3"/>
    <n v="35.840000000000003"/>
    <m/>
    <m/>
    <n v="5"/>
  </r>
  <r>
    <x v="8148"/>
    <x v="1627"/>
    <x v="0"/>
    <n v="1"/>
    <n v="300.08"/>
    <x v="571"/>
    <x v="6"/>
    <x v="1"/>
    <n v="300.08"/>
    <m/>
    <m/>
    <n v="5"/>
  </r>
  <r>
    <x v="8149"/>
    <x v="1627"/>
    <x v="0"/>
    <n v="1"/>
    <n v="300.08"/>
    <x v="647"/>
    <x v="6"/>
    <x v="0"/>
    <n v="300.08"/>
    <m/>
    <m/>
    <n v="7"/>
  </r>
  <r>
    <x v="8150"/>
    <x v="1627"/>
    <x v="5"/>
    <n v="2"/>
    <n v="1200.3399999999999"/>
    <x v="679"/>
    <x v="6"/>
    <x v="0"/>
    <n v="2400.6799999999998"/>
    <m/>
    <m/>
    <n v="7"/>
  </r>
  <r>
    <x v="8151"/>
    <x v="1627"/>
    <x v="3"/>
    <n v="3"/>
    <n v="45.45"/>
    <x v="76"/>
    <x v="0"/>
    <x v="2"/>
    <n v="136.35000000000002"/>
    <m/>
    <m/>
    <n v="7"/>
  </r>
  <r>
    <x v="8152"/>
    <x v="1627"/>
    <x v="0"/>
    <n v="1"/>
    <n v="300.08"/>
    <x v="585"/>
    <x v="6"/>
    <x v="4"/>
    <n v="300.08"/>
    <m/>
    <m/>
    <n v="7"/>
  </r>
  <r>
    <x v="8153"/>
    <x v="1627"/>
    <x v="1"/>
    <n v="5"/>
    <n v="203.3"/>
    <x v="388"/>
    <x v="3"/>
    <x v="3"/>
    <n v="1016.5"/>
    <m/>
    <m/>
    <n v="7"/>
  </r>
  <r>
    <x v="8154"/>
    <x v="1627"/>
    <x v="1"/>
    <n v="1"/>
    <n v="40.659999999999997"/>
    <x v="191"/>
    <x v="0"/>
    <x v="1"/>
    <n v="40.659999999999997"/>
    <m/>
    <m/>
    <n v="7"/>
  </r>
  <r>
    <x v="8155"/>
    <x v="1627"/>
    <x v="6"/>
    <n v="1"/>
    <n v="35.840000000000003"/>
    <x v="160"/>
    <x v="8"/>
    <x v="4"/>
    <n v="35.840000000000003"/>
    <m/>
    <m/>
    <n v="7"/>
  </r>
  <r>
    <x v="8156"/>
    <x v="1627"/>
    <x v="3"/>
    <n v="5"/>
    <n v="75.75"/>
    <x v="667"/>
    <x v="1"/>
    <x v="0"/>
    <n v="378.75"/>
    <m/>
    <m/>
    <n v="7"/>
  </r>
  <r>
    <x v="8157"/>
    <x v="1628"/>
    <x v="0"/>
    <n v="3"/>
    <n v="900.24"/>
    <x v="606"/>
    <x v="9"/>
    <x v="4"/>
    <n v="2700.7200000000003"/>
    <m/>
    <m/>
    <n v="5"/>
  </r>
  <r>
    <x v="8158"/>
    <x v="1628"/>
    <x v="0"/>
    <n v="5"/>
    <n v="1500.4"/>
    <x v="648"/>
    <x v="1"/>
    <x v="3"/>
    <n v="7502"/>
    <m/>
    <m/>
    <n v="5"/>
  </r>
  <r>
    <x v="8159"/>
    <x v="1628"/>
    <x v="5"/>
    <n v="4"/>
    <n v="2400.6799999999998"/>
    <x v="427"/>
    <x v="7"/>
    <x v="1"/>
    <n v="9602.7199999999993"/>
    <m/>
    <m/>
    <n v="7"/>
  </r>
  <r>
    <x v="8160"/>
    <x v="1628"/>
    <x v="0"/>
    <n v="3"/>
    <n v="900.24"/>
    <x v="376"/>
    <x v="6"/>
    <x v="0"/>
    <n v="2700.7200000000003"/>
    <m/>
    <m/>
    <n v="7"/>
  </r>
  <r>
    <x v="8161"/>
    <x v="1629"/>
    <x v="1"/>
    <n v="2"/>
    <n v="81.319999999999993"/>
    <x v="99"/>
    <x v="9"/>
    <x v="3"/>
    <n v="162.63999999999999"/>
    <m/>
    <m/>
    <n v="5"/>
  </r>
  <r>
    <x v="8162"/>
    <x v="1629"/>
    <x v="2"/>
    <n v="2"/>
    <n v="10.46"/>
    <x v="230"/>
    <x v="0"/>
    <x v="3"/>
    <n v="20.92"/>
    <m/>
    <m/>
    <n v="5"/>
  </r>
  <r>
    <x v="8163"/>
    <x v="1629"/>
    <x v="2"/>
    <n v="5"/>
    <n v="26.15"/>
    <x v="747"/>
    <x v="9"/>
    <x v="3"/>
    <n v="130.75"/>
    <m/>
    <m/>
    <n v="7"/>
  </r>
  <r>
    <x v="8164"/>
    <x v="1629"/>
    <x v="6"/>
    <n v="4"/>
    <n v="143.36000000000001"/>
    <x v="450"/>
    <x v="5"/>
    <x v="4"/>
    <n v="573.44000000000005"/>
    <m/>
    <m/>
    <n v="7"/>
  </r>
  <r>
    <x v="8165"/>
    <x v="1629"/>
    <x v="2"/>
    <n v="4"/>
    <n v="20.92"/>
    <x v="247"/>
    <x v="4"/>
    <x v="4"/>
    <n v="83.68"/>
    <m/>
    <m/>
    <n v="10"/>
  </r>
  <r>
    <x v="8166"/>
    <x v="1630"/>
    <x v="0"/>
    <n v="5"/>
    <n v="1500.4"/>
    <x v="443"/>
    <x v="6"/>
    <x v="4"/>
    <n v="7502"/>
    <m/>
    <m/>
    <n v="7"/>
  </r>
  <r>
    <x v="8167"/>
    <x v="1630"/>
    <x v="0"/>
    <n v="5"/>
    <n v="1500.4"/>
    <x v="482"/>
    <x v="8"/>
    <x v="1"/>
    <n v="7502"/>
    <m/>
    <m/>
    <n v="10"/>
  </r>
  <r>
    <x v="8168"/>
    <x v="1631"/>
    <x v="0"/>
    <n v="5"/>
    <n v="1500.4"/>
    <x v="270"/>
    <x v="7"/>
    <x v="4"/>
    <n v="7502"/>
    <m/>
    <m/>
    <n v="5"/>
  </r>
  <r>
    <x v="8169"/>
    <x v="1631"/>
    <x v="5"/>
    <n v="2"/>
    <n v="1200.3399999999999"/>
    <x v="694"/>
    <x v="6"/>
    <x v="1"/>
    <n v="2400.6799999999998"/>
    <m/>
    <m/>
    <n v="5"/>
  </r>
  <r>
    <x v="8170"/>
    <x v="1631"/>
    <x v="4"/>
    <n v="4"/>
    <n v="4200"/>
    <x v="265"/>
    <x v="6"/>
    <x v="3"/>
    <n v="16800"/>
    <m/>
    <m/>
    <n v="5"/>
  </r>
  <r>
    <x v="8171"/>
    <x v="1631"/>
    <x v="6"/>
    <n v="2"/>
    <n v="71.680000000000007"/>
    <x v="729"/>
    <x v="9"/>
    <x v="1"/>
    <n v="143.36000000000001"/>
    <m/>
    <m/>
    <n v="7"/>
  </r>
  <r>
    <x v="8172"/>
    <x v="1631"/>
    <x v="5"/>
    <n v="3"/>
    <n v="1800.51"/>
    <x v="634"/>
    <x v="0"/>
    <x v="1"/>
    <n v="5401.53"/>
    <m/>
    <m/>
    <n v="7"/>
  </r>
  <r>
    <x v="8173"/>
    <x v="1632"/>
    <x v="0"/>
    <n v="1"/>
    <n v="300.08"/>
    <x v="479"/>
    <x v="4"/>
    <x v="3"/>
    <n v="300.08"/>
    <m/>
    <m/>
    <n v="5"/>
  </r>
  <r>
    <x v="8174"/>
    <x v="1632"/>
    <x v="1"/>
    <n v="5"/>
    <n v="203.3"/>
    <x v="160"/>
    <x v="6"/>
    <x v="3"/>
    <n v="1016.5"/>
    <m/>
    <m/>
    <n v="7"/>
  </r>
  <r>
    <x v="8175"/>
    <x v="1632"/>
    <x v="1"/>
    <n v="5"/>
    <n v="203.3"/>
    <x v="547"/>
    <x v="2"/>
    <x v="2"/>
    <n v="1016.5"/>
    <m/>
    <m/>
    <n v="7"/>
  </r>
  <r>
    <x v="8176"/>
    <x v="1632"/>
    <x v="2"/>
    <n v="5"/>
    <n v="26.15"/>
    <x v="444"/>
    <x v="0"/>
    <x v="0"/>
    <n v="130.75"/>
    <m/>
    <m/>
    <n v="7"/>
  </r>
  <r>
    <x v="8177"/>
    <x v="1632"/>
    <x v="0"/>
    <n v="1"/>
    <n v="300.08"/>
    <x v="363"/>
    <x v="0"/>
    <x v="3"/>
    <n v="300.08"/>
    <m/>
    <m/>
    <n v="7"/>
  </r>
  <r>
    <x v="8178"/>
    <x v="1633"/>
    <x v="0"/>
    <n v="4"/>
    <n v="1200.32"/>
    <x v="143"/>
    <x v="2"/>
    <x v="0"/>
    <n v="4801.28"/>
    <m/>
    <m/>
    <n v="5"/>
  </r>
  <r>
    <x v="8179"/>
    <x v="1633"/>
    <x v="0"/>
    <n v="4"/>
    <n v="1200.32"/>
    <x v="453"/>
    <x v="1"/>
    <x v="0"/>
    <n v="4801.28"/>
    <m/>
    <m/>
    <n v="5"/>
  </r>
  <r>
    <x v="8180"/>
    <x v="1633"/>
    <x v="0"/>
    <n v="4"/>
    <n v="1200.32"/>
    <x v="309"/>
    <x v="1"/>
    <x v="4"/>
    <n v="4801.28"/>
    <m/>
    <m/>
    <n v="7"/>
  </r>
  <r>
    <x v="8181"/>
    <x v="1633"/>
    <x v="5"/>
    <n v="5"/>
    <n v="3000.85"/>
    <x v="379"/>
    <x v="5"/>
    <x v="1"/>
    <n v="15004.25"/>
    <m/>
    <m/>
    <n v="10"/>
  </r>
  <r>
    <x v="8182"/>
    <x v="1634"/>
    <x v="6"/>
    <n v="3"/>
    <n v="107.52"/>
    <x v="186"/>
    <x v="8"/>
    <x v="0"/>
    <n v="322.56"/>
    <m/>
    <m/>
    <n v="5"/>
  </r>
  <r>
    <x v="8183"/>
    <x v="1634"/>
    <x v="0"/>
    <n v="2"/>
    <n v="600.16"/>
    <x v="555"/>
    <x v="0"/>
    <x v="4"/>
    <n v="1200.32"/>
    <m/>
    <m/>
    <n v="5"/>
  </r>
  <r>
    <x v="8184"/>
    <x v="1634"/>
    <x v="2"/>
    <n v="1"/>
    <n v="5.23"/>
    <x v="555"/>
    <x v="1"/>
    <x v="0"/>
    <n v="5.23"/>
    <m/>
    <m/>
    <n v="5"/>
  </r>
  <r>
    <x v="8185"/>
    <x v="1634"/>
    <x v="6"/>
    <n v="3"/>
    <n v="107.52"/>
    <x v="639"/>
    <x v="0"/>
    <x v="1"/>
    <n v="322.56"/>
    <m/>
    <m/>
    <n v="5"/>
  </r>
  <r>
    <x v="8186"/>
    <x v="1634"/>
    <x v="0"/>
    <n v="1"/>
    <n v="300.08"/>
    <x v="209"/>
    <x v="3"/>
    <x v="1"/>
    <n v="300.08"/>
    <m/>
    <m/>
    <n v="7"/>
  </r>
  <r>
    <x v="8187"/>
    <x v="1634"/>
    <x v="0"/>
    <n v="3"/>
    <n v="900.24"/>
    <x v="253"/>
    <x v="1"/>
    <x v="2"/>
    <n v="2700.7200000000003"/>
    <m/>
    <m/>
    <n v="7"/>
  </r>
  <r>
    <x v="8188"/>
    <x v="1634"/>
    <x v="2"/>
    <n v="2"/>
    <n v="10.46"/>
    <x v="20"/>
    <x v="2"/>
    <x v="4"/>
    <n v="20.92"/>
    <m/>
    <m/>
    <n v="7"/>
  </r>
  <r>
    <x v="8189"/>
    <x v="1634"/>
    <x v="0"/>
    <n v="4"/>
    <n v="1200.32"/>
    <x v="451"/>
    <x v="0"/>
    <x v="2"/>
    <n v="4801.28"/>
    <m/>
    <m/>
    <n v="10"/>
  </r>
  <r>
    <x v="8190"/>
    <x v="1635"/>
    <x v="5"/>
    <n v="3"/>
    <n v="1800.51"/>
    <x v="526"/>
    <x v="8"/>
    <x v="0"/>
    <n v="5401.53"/>
    <m/>
    <m/>
    <n v="5"/>
  </r>
  <r>
    <x v="8191"/>
    <x v="1635"/>
    <x v="6"/>
    <n v="1"/>
    <n v="35.840000000000003"/>
    <x v="745"/>
    <x v="6"/>
    <x v="4"/>
    <n v="35.840000000000003"/>
    <m/>
    <m/>
    <n v="5"/>
  </r>
  <r>
    <x v="8192"/>
    <x v="1635"/>
    <x v="1"/>
    <n v="2"/>
    <n v="81.319999999999993"/>
    <x v="116"/>
    <x v="4"/>
    <x v="4"/>
    <n v="162.63999999999999"/>
    <m/>
    <m/>
    <n v="5"/>
  </r>
  <r>
    <x v="8193"/>
    <x v="1635"/>
    <x v="7"/>
    <n v="3"/>
    <n v="35.19"/>
    <x v="569"/>
    <x v="8"/>
    <x v="4"/>
    <n v="105.57"/>
    <m/>
    <m/>
    <n v="5"/>
  </r>
  <r>
    <x v="8194"/>
    <x v="1635"/>
    <x v="0"/>
    <n v="3"/>
    <n v="900.24"/>
    <x v="624"/>
    <x v="0"/>
    <x v="2"/>
    <n v="2700.7200000000003"/>
    <m/>
    <m/>
    <n v="7"/>
  </r>
  <r>
    <x v="8195"/>
    <x v="1636"/>
    <x v="6"/>
    <n v="1"/>
    <n v="35.840000000000003"/>
    <x v="694"/>
    <x v="4"/>
    <x v="2"/>
    <n v="35.840000000000003"/>
    <m/>
    <m/>
    <n v="5"/>
  </r>
  <r>
    <x v="8196"/>
    <x v="1636"/>
    <x v="5"/>
    <n v="5"/>
    <n v="3000.85"/>
    <x v="631"/>
    <x v="6"/>
    <x v="0"/>
    <n v="15004.25"/>
    <m/>
    <m/>
    <n v="7"/>
  </r>
  <r>
    <x v="8197"/>
    <x v="1637"/>
    <x v="6"/>
    <n v="4"/>
    <n v="143.36000000000001"/>
    <x v="15"/>
    <x v="0"/>
    <x v="4"/>
    <n v="573.44000000000005"/>
    <m/>
    <m/>
    <n v="5"/>
  </r>
  <r>
    <x v="8198"/>
    <x v="1637"/>
    <x v="0"/>
    <n v="5"/>
    <n v="1500.4"/>
    <x v="341"/>
    <x v="0"/>
    <x v="0"/>
    <n v="7502"/>
    <m/>
    <m/>
    <n v="5"/>
  </r>
  <r>
    <x v="8199"/>
    <x v="1637"/>
    <x v="0"/>
    <n v="5"/>
    <n v="1500.4"/>
    <x v="153"/>
    <x v="6"/>
    <x v="1"/>
    <n v="7502"/>
    <m/>
    <m/>
    <n v="7"/>
  </r>
  <r>
    <x v="8200"/>
    <x v="1637"/>
    <x v="1"/>
    <n v="4"/>
    <n v="162.63999999999999"/>
    <x v="71"/>
    <x v="9"/>
    <x v="3"/>
    <n v="650.55999999999995"/>
    <m/>
    <m/>
    <n v="10"/>
  </r>
  <r>
    <x v="8201"/>
    <x v="1638"/>
    <x v="3"/>
    <n v="5"/>
    <n v="75.75"/>
    <x v="484"/>
    <x v="6"/>
    <x v="3"/>
    <n v="378.75"/>
    <m/>
    <m/>
    <n v="5"/>
  </r>
  <r>
    <x v="8202"/>
    <x v="1638"/>
    <x v="1"/>
    <n v="5"/>
    <n v="203.3"/>
    <x v="433"/>
    <x v="9"/>
    <x v="2"/>
    <n v="1016.5"/>
    <m/>
    <m/>
    <n v="5"/>
  </r>
  <r>
    <x v="8203"/>
    <x v="1638"/>
    <x v="1"/>
    <n v="2"/>
    <n v="81.319999999999993"/>
    <x v="463"/>
    <x v="9"/>
    <x v="2"/>
    <n v="162.63999999999999"/>
    <m/>
    <m/>
    <n v="7"/>
  </r>
  <r>
    <x v="8204"/>
    <x v="1638"/>
    <x v="0"/>
    <n v="1"/>
    <n v="300.08"/>
    <x v="626"/>
    <x v="1"/>
    <x v="4"/>
    <n v="300.08"/>
    <m/>
    <m/>
    <n v="10"/>
  </r>
  <r>
    <x v="8205"/>
    <x v="1639"/>
    <x v="1"/>
    <n v="4"/>
    <n v="162.63999999999999"/>
    <x v="454"/>
    <x v="1"/>
    <x v="1"/>
    <n v="650.55999999999995"/>
    <m/>
    <m/>
    <n v="7"/>
  </r>
  <r>
    <x v="8206"/>
    <x v="1639"/>
    <x v="1"/>
    <n v="1"/>
    <n v="40.659999999999997"/>
    <x v="735"/>
    <x v="0"/>
    <x v="4"/>
    <n v="40.659999999999997"/>
    <m/>
    <m/>
    <n v="7"/>
  </r>
  <r>
    <x v="8207"/>
    <x v="1639"/>
    <x v="0"/>
    <n v="4"/>
    <n v="1200.32"/>
    <x v="50"/>
    <x v="6"/>
    <x v="2"/>
    <n v="4801.28"/>
    <m/>
    <m/>
    <n v="10"/>
  </r>
  <r>
    <x v="8208"/>
    <x v="1640"/>
    <x v="5"/>
    <n v="3"/>
    <n v="1800.51"/>
    <x v="257"/>
    <x v="2"/>
    <x v="2"/>
    <n v="5401.53"/>
    <m/>
    <m/>
    <n v="5"/>
  </r>
  <r>
    <x v="8209"/>
    <x v="1640"/>
    <x v="1"/>
    <n v="3"/>
    <n v="121.98"/>
    <x v="522"/>
    <x v="0"/>
    <x v="1"/>
    <n v="365.94"/>
    <m/>
    <m/>
    <n v="5"/>
  </r>
  <r>
    <x v="8210"/>
    <x v="1640"/>
    <x v="7"/>
    <n v="3"/>
    <n v="35.19"/>
    <x v="252"/>
    <x v="0"/>
    <x v="4"/>
    <n v="105.57"/>
    <m/>
    <m/>
    <n v="7"/>
  </r>
  <r>
    <x v="8211"/>
    <x v="1641"/>
    <x v="0"/>
    <n v="4"/>
    <n v="1200.32"/>
    <x v="763"/>
    <x v="2"/>
    <x v="1"/>
    <n v="4801.28"/>
    <m/>
    <m/>
    <n v="5"/>
  </r>
  <r>
    <x v="8212"/>
    <x v="1641"/>
    <x v="1"/>
    <n v="4"/>
    <n v="162.63999999999999"/>
    <x v="159"/>
    <x v="0"/>
    <x v="0"/>
    <n v="650.55999999999995"/>
    <m/>
    <m/>
    <n v="5"/>
  </r>
  <r>
    <x v="8213"/>
    <x v="1641"/>
    <x v="0"/>
    <n v="2"/>
    <n v="600.16"/>
    <x v="381"/>
    <x v="1"/>
    <x v="4"/>
    <n v="1200.32"/>
    <m/>
    <m/>
    <n v="5"/>
  </r>
  <r>
    <x v="8214"/>
    <x v="1642"/>
    <x v="5"/>
    <n v="3"/>
    <n v="1800.51"/>
    <x v="122"/>
    <x v="8"/>
    <x v="0"/>
    <n v="5401.53"/>
    <m/>
    <m/>
    <n v="5"/>
  </r>
  <r>
    <x v="8215"/>
    <x v="1642"/>
    <x v="2"/>
    <n v="2"/>
    <n v="10.46"/>
    <x v="504"/>
    <x v="2"/>
    <x v="0"/>
    <n v="20.92"/>
    <m/>
    <m/>
    <n v="7"/>
  </r>
  <r>
    <x v="8216"/>
    <x v="1642"/>
    <x v="5"/>
    <n v="4"/>
    <n v="2400.6799999999998"/>
    <x v="56"/>
    <x v="1"/>
    <x v="3"/>
    <n v="9602.7199999999993"/>
    <m/>
    <m/>
    <n v="7"/>
  </r>
  <r>
    <x v="8217"/>
    <x v="1642"/>
    <x v="1"/>
    <n v="3"/>
    <n v="121.98"/>
    <x v="741"/>
    <x v="0"/>
    <x v="2"/>
    <n v="365.94"/>
    <m/>
    <m/>
    <n v="10"/>
  </r>
  <r>
    <x v="8218"/>
    <x v="1643"/>
    <x v="2"/>
    <n v="2"/>
    <n v="10.46"/>
    <x v="533"/>
    <x v="6"/>
    <x v="2"/>
    <n v="20.92"/>
    <m/>
    <m/>
    <n v="5"/>
  </r>
  <r>
    <x v="8219"/>
    <x v="1643"/>
    <x v="6"/>
    <n v="4"/>
    <n v="143.36000000000001"/>
    <x v="332"/>
    <x v="1"/>
    <x v="4"/>
    <n v="573.44000000000005"/>
    <m/>
    <m/>
    <n v="5"/>
  </r>
  <r>
    <x v="8220"/>
    <x v="1643"/>
    <x v="0"/>
    <n v="5"/>
    <n v="1500.4"/>
    <x v="672"/>
    <x v="8"/>
    <x v="2"/>
    <n v="7502"/>
    <m/>
    <m/>
    <n v="5"/>
  </r>
  <r>
    <x v="8221"/>
    <x v="1643"/>
    <x v="0"/>
    <n v="5"/>
    <n v="1500.4"/>
    <x v="610"/>
    <x v="7"/>
    <x v="4"/>
    <n v="7502"/>
    <m/>
    <m/>
    <n v="5"/>
  </r>
  <r>
    <x v="8222"/>
    <x v="1643"/>
    <x v="2"/>
    <n v="3"/>
    <n v="15.69"/>
    <x v="138"/>
    <x v="1"/>
    <x v="2"/>
    <n v="47.07"/>
    <m/>
    <m/>
    <n v="5"/>
  </r>
  <r>
    <x v="8223"/>
    <x v="1643"/>
    <x v="3"/>
    <n v="2"/>
    <n v="30.3"/>
    <x v="208"/>
    <x v="5"/>
    <x v="1"/>
    <n v="60.6"/>
    <m/>
    <m/>
    <n v="5"/>
  </r>
  <r>
    <x v="8224"/>
    <x v="1643"/>
    <x v="0"/>
    <n v="2"/>
    <n v="600.16"/>
    <x v="48"/>
    <x v="3"/>
    <x v="4"/>
    <n v="1200.32"/>
    <m/>
    <m/>
    <n v="7"/>
  </r>
  <r>
    <x v="8225"/>
    <x v="1643"/>
    <x v="2"/>
    <n v="1"/>
    <n v="5.23"/>
    <x v="140"/>
    <x v="8"/>
    <x v="1"/>
    <n v="5.23"/>
    <m/>
    <m/>
    <n v="7"/>
  </r>
  <r>
    <x v="8226"/>
    <x v="1643"/>
    <x v="1"/>
    <n v="1"/>
    <n v="40.659999999999997"/>
    <x v="420"/>
    <x v="6"/>
    <x v="1"/>
    <n v="40.659999999999997"/>
    <m/>
    <m/>
    <n v="7"/>
  </r>
  <r>
    <x v="8227"/>
    <x v="1643"/>
    <x v="0"/>
    <n v="4"/>
    <n v="1200.32"/>
    <x v="67"/>
    <x v="1"/>
    <x v="4"/>
    <n v="4801.28"/>
    <m/>
    <m/>
    <n v="7"/>
  </r>
  <r>
    <x v="8228"/>
    <x v="1643"/>
    <x v="2"/>
    <n v="5"/>
    <n v="26.15"/>
    <x v="299"/>
    <x v="9"/>
    <x v="2"/>
    <n v="130.75"/>
    <m/>
    <m/>
    <n v="10"/>
  </r>
  <r>
    <x v="8229"/>
    <x v="1644"/>
    <x v="5"/>
    <n v="4"/>
    <n v="2400.6799999999998"/>
    <x v="654"/>
    <x v="6"/>
    <x v="0"/>
    <n v="9602.7199999999993"/>
    <m/>
    <m/>
    <n v="5"/>
  </r>
  <r>
    <x v="8230"/>
    <x v="1644"/>
    <x v="6"/>
    <n v="2"/>
    <n v="71.680000000000007"/>
    <x v="307"/>
    <x v="2"/>
    <x v="1"/>
    <n v="143.36000000000001"/>
    <m/>
    <m/>
    <n v="5"/>
  </r>
  <r>
    <x v="8231"/>
    <x v="1644"/>
    <x v="2"/>
    <n v="5"/>
    <n v="26.15"/>
    <x v="374"/>
    <x v="9"/>
    <x v="2"/>
    <n v="130.75"/>
    <m/>
    <m/>
    <n v="5"/>
  </r>
  <r>
    <x v="8232"/>
    <x v="1644"/>
    <x v="4"/>
    <n v="1"/>
    <n v="1050"/>
    <x v="560"/>
    <x v="0"/>
    <x v="0"/>
    <n v="1050"/>
    <m/>
    <m/>
    <n v="5"/>
  </r>
  <r>
    <x v="8233"/>
    <x v="1644"/>
    <x v="2"/>
    <n v="1"/>
    <n v="5.23"/>
    <x v="454"/>
    <x v="4"/>
    <x v="2"/>
    <n v="5.23"/>
    <m/>
    <m/>
    <n v="7"/>
  </r>
  <r>
    <x v="8234"/>
    <x v="1644"/>
    <x v="6"/>
    <n v="1"/>
    <n v="35.840000000000003"/>
    <x v="612"/>
    <x v="0"/>
    <x v="1"/>
    <n v="35.840000000000003"/>
    <m/>
    <m/>
    <n v="7"/>
  </r>
  <r>
    <x v="8235"/>
    <x v="1644"/>
    <x v="5"/>
    <n v="4"/>
    <n v="2400.6799999999998"/>
    <x v="649"/>
    <x v="9"/>
    <x v="1"/>
    <n v="9602.7199999999993"/>
    <m/>
    <m/>
    <n v="7"/>
  </r>
  <r>
    <x v="8236"/>
    <x v="1644"/>
    <x v="0"/>
    <n v="5"/>
    <n v="1500.4"/>
    <x v="250"/>
    <x v="1"/>
    <x v="1"/>
    <n v="7502"/>
    <m/>
    <m/>
    <n v="7"/>
  </r>
  <r>
    <x v="8237"/>
    <x v="1645"/>
    <x v="6"/>
    <n v="4"/>
    <n v="143.36000000000001"/>
    <x v="372"/>
    <x v="2"/>
    <x v="0"/>
    <n v="573.44000000000005"/>
    <m/>
    <m/>
    <n v="5"/>
  </r>
  <r>
    <x v="8238"/>
    <x v="1645"/>
    <x v="2"/>
    <n v="5"/>
    <n v="26.15"/>
    <x v="366"/>
    <x v="1"/>
    <x v="1"/>
    <n v="130.75"/>
    <m/>
    <m/>
    <n v="5"/>
  </r>
  <r>
    <x v="8239"/>
    <x v="1646"/>
    <x v="7"/>
    <n v="2"/>
    <n v="23.46"/>
    <x v="126"/>
    <x v="6"/>
    <x v="0"/>
    <n v="46.92"/>
    <m/>
    <m/>
    <n v="5"/>
  </r>
  <r>
    <x v="8240"/>
    <x v="1646"/>
    <x v="5"/>
    <n v="3"/>
    <n v="1800.51"/>
    <x v="236"/>
    <x v="1"/>
    <x v="0"/>
    <n v="5401.53"/>
    <m/>
    <m/>
    <n v="7"/>
  </r>
  <r>
    <x v="8241"/>
    <x v="1646"/>
    <x v="0"/>
    <n v="1"/>
    <n v="300.08"/>
    <x v="206"/>
    <x v="4"/>
    <x v="2"/>
    <n v="300.08"/>
    <m/>
    <m/>
    <n v="7"/>
  </r>
  <r>
    <x v="8242"/>
    <x v="1646"/>
    <x v="2"/>
    <n v="1"/>
    <n v="5.23"/>
    <x v="395"/>
    <x v="9"/>
    <x v="2"/>
    <n v="5.23"/>
    <m/>
    <m/>
    <n v="7"/>
  </r>
  <r>
    <x v="8243"/>
    <x v="1646"/>
    <x v="1"/>
    <n v="5"/>
    <n v="203.3"/>
    <x v="246"/>
    <x v="0"/>
    <x v="0"/>
    <n v="1016.5"/>
    <m/>
    <m/>
    <n v="10"/>
  </r>
  <r>
    <x v="8244"/>
    <x v="1647"/>
    <x v="6"/>
    <n v="2"/>
    <n v="71.680000000000007"/>
    <x v="105"/>
    <x v="0"/>
    <x v="3"/>
    <n v="143.36000000000001"/>
    <m/>
    <m/>
    <n v="5"/>
  </r>
  <r>
    <x v="8245"/>
    <x v="1647"/>
    <x v="2"/>
    <n v="3"/>
    <n v="15.69"/>
    <x v="687"/>
    <x v="0"/>
    <x v="1"/>
    <n v="47.07"/>
    <m/>
    <m/>
    <n v="5"/>
  </r>
  <r>
    <x v="8246"/>
    <x v="1647"/>
    <x v="0"/>
    <n v="3"/>
    <n v="900.24"/>
    <x v="424"/>
    <x v="6"/>
    <x v="2"/>
    <n v="2700.7200000000003"/>
    <m/>
    <m/>
    <n v="5"/>
  </r>
  <r>
    <x v="8247"/>
    <x v="1647"/>
    <x v="1"/>
    <n v="4"/>
    <n v="162.63999999999999"/>
    <x v="109"/>
    <x v="6"/>
    <x v="1"/>
    <n v="650.55999999999995"/>
    <m/>
    <m/>
    <n v="7"/>
  </r>
  <r>
    <x v="8248"/>
    <x v="1647"/>
    <x v="4"/>
    <n v="4"/>
    <n v="4200"/>
    <x v="152"/>
    <x v="9"/>
    <x v="4"/>
    <n v="16800"/>
    <m/>
    <m/>
    <n v="7"/>
  </r>
  <r>
    <x v="8249"/>
    <x v="1647"/>
    <x v="1"/>
    <n v="2"/>
    <n v="81.319999999999993"/>
    <x v="480"/>
    <x v="1"/>
    <x v="3"/>
    <n v="162.63999999999999"/>
    <m/>
    <m/>
    <n v="7"/>
  </r>
  <r>
    <x v="8250"/>
    <x v="1647"/>
    <x v="0"/>
    <n v="3"/>
    <n v="900.24"/>
    <x v="297"/>
    <x v="9"/>
    <x v="3"/>
    <n v="2700.7200000000003"/>
    <m/>
    <m/>
    <n v="7"/>
  </r>
  <r>
    <x v="8251"/>
    <x v="1648"/>
    <x v="3"/>
    <n v="3"/>
    <n v="45.45"/>
    <x v="653"/>
    <x v="6"/>
    <x v="3"/>
    <n v="136.35000000000002"/>
    <m/>
    <m/>
    <n v="5"/>
  </r>
  <r>
    <x v="8252"/>
    <x v="1648"/>
    <x v="0"/>
    <n v="1"/>
    <n v="300.08"/>
    <x v="512"/>
    <x v="8"/>
    <x v="4"/>
    <n v="300.08"/>
    <m/>
    <m/>
    <n v="5"/>
  </r>
  <r>
    <x v="8253"/>
    <x v="1648"/>
    <x v="6"/>
    <n v="2"/>
    <n v="71.680000000000007"/>
    <x v="277"/>
    <x v="6"/>
    <x v="4"/>
    <n v="143.36000000000001"/>
    <m/>
    <m/>
    <n v="7"/>
  </r>
  <r>
    <x v="8254"/>
    <x v="1649"/>
    <x v="0"/>
    <n v="3"/>
    <n v="900.24"/>
    <x v="147"/>
    <x v="6"/>
    <x v="2"/>
    <n v="2700.7200000000003"/>
    <m/>
    <m/>
    <n v="5"/>
  </r>
  <r>
    <x v="8255"/>
    <x v="1649"/>
    <x v="5"/>
    <n v="3"/>
    <n v="1800.51"/>
    <x v="710"/>
    <x v="1"/>
    <x v="0"/>
    <n v="5401.53"/>
    <m/>
    <m/>
    <n v="7"/>
  </r>
  <r>
    <x v="8256"/>
    <x v="1649"/>
    <x v="0"/>
    <n v="5"/>
    <n v="1500.4"/>
    <x v="756"/>
    <x v="6"/>
    <x v="3"/>
    <n v="7502"/>
    <m/>
    <m/>
    <n v="7"/>
  </r>
  <r>
    <x v="8257"/>
    <x v="1649"/>
    <x v="0"/>
    <n v="3"/>
    <n v="900.24"/>
    <x v="124"/>
    <x v="6"/>
    <x v="3"/>
    <n v="2700.7200000000003"/>
    <m/>
    <m/>
    <n v="7"/>
  </r>
  <r>
    <x v="8258"/>
    <x v="1649"/>
    <x v="0"/>
    <n v="5"/>
    <n v="1500.4"/>
    <x v="751"/>
    <x v="7"/>
    <x v="3"/>
    <n v="7502"/>
    <m/>
    <m/>
    <n v="10"/>
  </r>
  <r>
    <x v="8259"/>
    <x v="1650"/>
    <x v="1"/>
    <n v="2"/>
    <n v="81.319999999999993"/>
    <x v="551"/>
    <x v="1"/>
    <x v="4"/>
    <n v="162.63999999999999"/>
    <m/>
    <m/>
    <n v="5"/>
  </r>
  <r>
    <x v="8260"/>
    <x v="1650"/>
    <x v="5"/>
    <n v="2"/>
    <n v="1200.3399999999999"/>
    <x v="444"/>
    <x v="2"/>
    <x v="4"/>
    <n v="2400.6799999999998"/>
    <m/>
    <m/>
    <n v="7"/>
  </r>
  <r>
    <x v="8261"/>
    <x v="1650"/>
    <x v="5"/>
    <n v="3"/>
    <n v="1800.51"/>
    <x v="363"/>
    <x v="1"/>
    <x v="1"/>
    <n v="5401.53"/>
    <m/>
    <m/>
    <n v="7"/>
  </r>
  <r>
    <x v="8262"/>
    <x v="1651"/>
    <x v="2"/>
    <n v="5"/>
    <n v="26.15"/>
    <x v="720"/>
    <x v="0"/>
    <x v="1"/>
    <n v="130.75"/>
    <m/>
    <m/>
    <n v="5"/>
  </r>
  <r>
    <x v="8263"/>
    <x v="1651"/>
    <x v="1"/>
    <n v="3"/>
    <n v="121.98"/>
    <x v="735"/>
    <x v="0"/>
    <x v="0"/>
    <n v="365.94"/>
    <m/>
    <m/>
    <n v="7"/>
  </r>
  <r>
    <x v="8264"/>
    <x v="1651"/>
    <x v="0"/>
    <n v="2"/>
    <n v="600.16"/>
    <x v="519"/>
    <x v="6"/>
    <x v="1"/>
    <n v="1200.32"/>
    <m/>
    <m/>
    <n v="10"/>
  </r>
  <r>
    <x v="8265"/>
    <x v="1651"/>
    <x v="0"/>
    <n v="4"/>
    <n v="1200.32"/>
    <x v="645"/>
    <x v="2"/>
    <x v="2"/>
    <n v="4801.28"/>
    <m/>
    <m/>
    <n v="10"/>
  </r>
  <r>
    <x v="8266"/>
    <x v="1652"/>
    <x v="4"/>
    <n v="4"/>
    <n v="4200"/>
    <x v="293"/>
    <x v="8"/>
    <x v="1"/>
    <n v="16800"/>
    <m/>
    <m/>
    <n v="5"/>
  </r>
  <r>
    <x v="8267"/>
    <x v="1652"/>
    <x v="2"/>
    <n v="4"/>
    <n v="20.92"/>
    <x v="293"/>
    <x v="9"/>
    <x v="4"/>
    <n v="83.68"/>
    <m/>
    <m/>
    <n v="5"/>
  </r>
  <r>
    <x v="8268"/>
    <x v="1652"/>
    <x v="0"/>
    <n v="5"/>
    <n v="1500.4"/>
    <x v="503"/>
    <x v="4"/>
    <x v="2"/>
    <n v="7502"/>
    <m/>
    <m/>
    <n v="7"/>
  </r>
  <r>
    <x v="8269"/>
    <x v="1652"/>
    <x v="7"/>
    <n v="1"/>
    <n v="11.73"/>
    <x v="683"/>
    <x v="8"/>
    <x v="0"/>
    <n v="11.73"/>
    <m/>
    <m/>
    <n v="7"/>
  </r>
  <r>
    <x v="8270"/>
    <x v="1652"/>
    <x v="6"/>
    <n v="3"/>
    <n v="107.52"/>
    <x v="165"/>
    <x v="7"/>
    <x v="1"/>
    <n v="322.56"/>
    <m/>
    <m/>
    <n v="10"/>
  </r>
  <r>
    <x v="8271"/>
    <x v="1653"/>
    <x v="1"/>
    <n v="3"/>
    <n v="121.98"/>
    <x v="656"/>
    <x v="0"/>
    <x v="3"/>
    <n v="365.94"/>
    <m/>
    <m/>
    <n v="5"/>
  </r>
  <r>
    <x v="8272"/>
    <x v="1653"/>
    <x v="0"/>
    <n v="2"/>
    <n v="600.16"/>
    <x v="425"/>
    <x v="6"/>
    <x v="0"/>
    <n v="1200.32"/>
    <m/>
    <m/>
    <n v="5"/>
  </r>
  <r>
    <x v="8273"/>
    <x v="1653"/>
    <x v="5"/>
    <n v="4"/>
    <n v="2400.6799999999998"/>
    <x v="744"/>
    <x v="6"/>
    <x v="0"/>
    <n v="9602.7199999999993"/>
    <m/>
    <m/>
    <n v="5"/>
  </r>
  <r>
    <x v="8274"/>
    <x v="1653"/>
    <x v="0"/>
    <n v="3"/>
    <n v="900.24"/>
    <x v="94"/>
    <x v="6"/>
    <x v="0"/>
    <n v="2700.7200000000003"/>
    <m/>
    <m/>
    <n v="7"/>
  </r>
  <r>
    <x v="8275"/>
    <x v="1653"/>
    <x v="2"/>
    <n v="2"/>
    <n v="10.46"/>
    <x v="668"/>
    <x v="8"/>
    <x v="3"/>
    <n v="20.92"/>
    <m/>
    <m/>
    <n v="7"/>
  </r>
  <r>
    <x v="8276"/>
    <x v="1653"/>
    <x v="4"/>
    <n v="4"/>
    <n v="4200"/>
    <x v="734"/>
    <x v="4"/>
    <x v="4"/>
    <n v="16800"/>
    <m/>
    <m/>
    <n v="7"/>
  </r>
  <r>
    <x v="8277"/>
    <x v="1654"/>
    <x v="2"/>
    <n v="2"/>
    <n v="10.46"/>
    <x v="201"/>
    <x v="9"/>
    <x v="2"/>
    <n v="20.92"/>
    <m/>
    <m/>
    <n v="5"/>
  </r>
  <r>
    <x v="8278"/>
    <x v="1654"/>
    <x v="5"/>
    <n v="5"/>
    <n v="3000.85"/>
    <x v="339"/>
    <x v="6"/>
    <x v="1"/>
    <n v="15004.25"/>
    <m/>
    <m/>
    <n v="5"/>
  </r>
  <r>
    <x v="8279"/>
    <x v="1654"/>
    <x v="2"/>
    <n v="5"/>
    <n v="26.15"/>
    <x v="656"/>
    <x v="0"/>
    <x v="0"/>
    <n v="130.75"/>
    <m/>
    <m/>
    <n v="5"/>
  </r>
  <r>
    <x v="8280"/>
    <x v="1654"/>
    <x v="2"/>
    <n v="3"/>
    <n v="15.69"/>
    <x v="440"/>
    <x v="8"/>
    <x v="4"/>
    <n v="47.07"/>
    <m/>
    <m/>
    <n v="5"/>
  </r>
  <r>
    <x v="8281"/>
    <x v="1654"/>
    <x v="3"/>
    <n v="4"/>
    <n v="60.6"/>
    <x v="32"/>
    <x v="1"/>
    <x v="4"/>
    <n v="242.4"/>
    <m/>
    <m/>
    <n v="7"/>
  </r>
  <r>
    <x v="8282"/>
    <x v="1654"/>
    <x v="6"/>
    <n v="2"/>
    <n v="71.680000000000007"/>
    <x v="692"/>
    <x v="0"/>
    <x v="0"/>
    <n v="143.36000000000001"/>
    <m/>
    <m/>
    <n v="10"/>
  </r>
  <r>
    <x v="8283"/>
    <x v="1655"/>
    <x v="4"/>
    <n v="3"/>
    <n v="3150"/>
    <x v="648"/>
    <x v="1"/>
    <x v="2"/>
    <n v="9450"/>
    <m/>
    <m/>
    <n v="5"/>
  </r>
  <r>
    <x v="8284"/>
    <x v="1655"/>
    <x v="2"/>
    <n v="3"/>
    <n v="15.69"/>
    <x v="194"/>
    <x v="7"/>
    <x v="2"/>
    <n v="47.07"/>
    <m/>
    <m/>
    <n v="7"/>
  </r>
  <r>
    <x v="8285"/>
    <x v="1655"/>
    <x v="1"/>
    <n v="1"/>
    <n v="40.659999999999997"/>
    <x v="219"/>
    <x v="0"/>
    <x v="4"/>
    <n v="40.659999999999997"/>
    <m/>
    <m/>
    <n v="7"/>
  </r>
  <r>
    <x v="8286"/>
    <x v="1655"/>
    <x v="0"/>
    <n v="5"/>
    <n v="1500.4"/>
    <x v="592"/>
    <x v="4"/>
    <x v="0"/>
    <n v="7502"/>
    <m/>
    <m/>
    <n v="7"/>
  </r>
  <r>
    <x v="8287"/>
    <x v="1656"/>
    <x v="0"/>
    <n v="3"/>
    <n v="900.24"/>
    <x v="688"/>
    <x v="7"/>
    <x v="3"/>
    <n v="2700.7200000000003"/>
    <m/>
    <m/>
    <n v="5"/>
  </r>
  <r>
    <x v="8288"/>
    <x v="1657"/>
    <x v="4"/>
    <n v="3"/>
    <n v="3150"/>
    <x v="157"/>
    <x v="6"/>
    <x v="3"/>
    <n v="9450"/>
    <m/>
    <m/>
    <n v="5"/>
  </r>
  <r>
    <x v="8289"/>
    <x v="1657"/>
    <x v="1"/>
    <n v="3"/>
    <n v="121.98"/>
    <x v="173"/>
    <x v="4"/>
    <x v="1"/>
    <n v="365.94"/>
    <m/>
    <m/>
    <n v="5"/>
  </r>
  <r>
    <x v="8290"/>
    <x v="1657"/>
    <x v="1"/>
    <n v="1"/>
    <n v="40.659999999999997"/>
    <x v="785"/>
    <x v="4"/>
    <x v="3"/>
    <n v="40.659999999999997"/>
    <m/>
    <m/>
    <n v="5"/>
  </r>
  <r>
    <x v="8291"/>
    <x v="1657"/>
    <x v="3"/>
    <n v="2"/>
    <n v="30.3"/>
    <x v="743"/>
    <x v="1"/>
    <x v="4"/>
    <n v="60.6"/>
    <m/>
    <m/>
    <n v="5"/>
  </r>
  <r>
    <x v="8292"/>
    <x v="1657"/>
    <x v="4"/>
    <n v="2"/>
    <n v="2100"/>
    <x v="625"/>
    <x v="8"/>
    <x v="4"/>
    <n v="4200"/>
    <m/>
    <m/>
    <n v="7"/>
  </r>
  <r>
    <x v="8293"/>
    <x v="1658"/>
    <x v="5"/>
    <n v="3"/>
    <n v="1800.51"/>
    <x v="281"/>
    <x v="0"/>
    <x v="0"/>
    <n v="5401.53"/>
    <m/>
    <m/>
    <n v="7"/>
  </r>
  <r>
    <x v="8294"/>
    <x v="1658"/>
    <x v="0"/>
    <n v="4"/>
    <n v="1200.32"/>
    <x v="719"/>
    <x v="7"/>
    <x v="3"/>
    <n v="4801.28"/>
    <m/>
    <m/>
    <n v="7"/>
  </r>
  <r>
    <x v="8295"/>
    <x v="1659"/>
    <x v="6"/>
    <n v="2"/>
    <n v="71.680000000000007"/>
    <x v="157"/>
    <x v="6"/>
    <x v="3"/>
    <n v="143.36000000000001"/>
    <m/>
    <m/>
    <n v="5"/>
  </r>
  <r>
    <x v="8296"/>
    <x v="1659"/>
    <x v="6"/>
    <n v="2"/>
    <n v="71.680000000000007"/>
    <x v="112"/>
    <x v="6"/>
    <x v="4"/>
    <n v="143.36000000000001"/>
    <m/>
    <m/>
    <n v="5"/>
  </r>
  <r>
    <x v="8297"/>
    <x v="1659"/>
    <x v="2"/>
    <n v="3"/>
    <n v="15.69"/>
    <x v="292"/>
    <x v="5"/>
    <x v="3"/>
    <n v="47.07"/>
    <m/>
    <m/>
    <n v="5"/>
  </r>
  <r>
    <x v="8298"/>
    <x v="1659"/>
    <x v="0"/>
    <n v="1"/>
    <n v="300.08"/>
    <x v="232"/>
    <x v="6"/>
    <x v="1"/>
    <n v="300.08"/>
    <m/>
    <m/>
    <n v="5"/>
  </r>
  <r>
    <x v="8299"/>
    <x v="1659"/>
    <x v="2"/>
    <n v="1"/>
    <n v="5.23"/>
    <x v="235"/>
    <x v="6"/>
    <x v="4"/>
    <n v="5.23"/>
    <m/>
    <m/>
    <n v="7"/>
  </r>
  <r>
    <x v="8300"/>
    <x v="1659"/>
    <x v="2"/>
    <n v="1"/>
    <n v="5.23"/>
    <x v="667"/>
    <x v="1"/>
    <x v="3"/>
    <n v="5.23"/>
    <m/>
    <m/>
    <n v="7"/>
  </r>
  <r>
    <x v="8301"/>
    <x v="1659"/>
    <x v="2"/>
    <n v="3"/>
    <n v="15.69"/>
    <x v="165"/>
    <x v="0"/>
    <x v="1"/>
    <n v="47.07"/>
    <m/>
    <m/>
    <n v="10"/>
  </r>
  <r>
    <x v="8302"/>
    <x v="1660"/>
    <x v="7"/>
    <n v="4"/>
    <n v="46.92"/>
    <x v="126"/>
    <x v="3"/>
    <x v="0"/>
    <n v="187.68"/>
    <m/>
    <m/>
    <n v="5"/>
  </r>
  <r>
    <x v="8303"/>
    <x v="1660"/>
    <x v="6"/>
    <n v="4"/>
    <n v="143.36000000000001"/>
    <x v="537"/>
    <x v="4"/>
    <x v="3"/>
    <n v="573.44000000000005"/>
    <m/>
    <m/>
    <n v="5"/>
  </r>
  <r>
    <x v="8304"/>
    <x v="1660"/>
    <x v="2"/>
    <n v="2"/>
    <n v="10.46"/>
    <x v="736"/>
    <x v="0"/>
    <x v="3"/>
    <n v="20.92"/>
    <m/>
    <m/>
    <n v="5"/>
  </r>
  <r>
    <x v="8305"/>
    <x v="1660"/>
    <x v="2"/>
    <n v="5"/>
    <n v="26.15"/>
    <x v="151"/>
    <x v="1"/>
    <x v="3"/>
    <n v="130.75"/>
    <m/>
    <m/>
    <n v="5"/>
  </r>
  <r>
    <x v="8306"/>
    <x v="1660"/>
    <x v="0"/>
    <n v="1"/>
    <n v="300.08"/>
    <x v="164"/>
    <x v="6"/>
    <x v="4"/>
    <n v="300.08"/>
    <m/>
    <m/>
    <n v="7"/>
  </r>
  <r>
    <x v="8307"/>
    <x v="1660"/>
    <x v="2"/>
    <n v="3"/>
    <n v="15.69"/>
    <x v="421"/>
    <x v="1"/>
    <x v="4"/>
    <n v="47.07"/>
    <m/>
    <m/>
    <n v="7"/>
  </r>
  <r>
    <x v="8308"/>
    <x v="1660"/>
    <x v="1"/>
    <n v="1"/>
    <n v="40.659999999999997"/>
    <x v="303"/>
    <x v="6"/>
    <x v="0"/>
    <n v="40.659999999999997"/>
    <m/>
    <m/>
    <n v="7"/>
  </r>
  <r>
    <x v="8309"/>
    <x v="1660"/>
    <x v="4"/>
    <n v="2"/>
    <n v="2100"/>
    <x v="615"/>
    <x v="2"/>
    <x v="2"/>
    <n v="4200"/>
    <m/>
    <m/>
    <n v="7"/>
  </r>
  <r>
    <x v="8310"/>
    <x v="1661"/>
    <x v="0"/>
    <n v="2"/>
    <n v="600.16"/>
    <x v="347"/>
    <x v="5"/>
    <x v="2"/>
    <n v="1200.32"/>
    <m/>
    <m/>
    <n v="7"/>
  </r>
  <r>
    <x v="8311"/>
    <x v="1661"/>
    <x v="0"/>
    <n v="5"/>
    <n v="1500.4"/>
    <x v="791"/>
    <x v="5"/>
    <x v="0"/>
    <n v="7502"/>
    <m/>
    <m/>
    <n v="7"/>
  </r>
  <r>
    <x v="8312"/>
    <x v="1661"/>
    <x v="6"/>
    <n v="3"/>
    <n v="107.52"/>
    <x v="12"/>
    <x v="1"/>
    <x v="3"/>
    <n v="322.56"/>
    <m/>
    <m/>
    <n v="7"/>
  </r>
  <r>
    <x v="8313"/>
    <x v="1662"/>
    <x v="0"/>
    <n v="1"/>
    <n v="300.08"/>
    <x v="13"/>
    <x v="5"/>
    <x v="3"/>
    <n v="300.08"/>
    <m/>
    <m/>
    <n v="5"/>
  </r>
  <r>
    <x v="8314"/>
    <x v="1662"/>
    <x v="7"/>
    <n v="2"/>
    <n v="23.46"/>
    <x v="623"/>
    <x v="8"/>
    <x v="1"/>
    <n v="46.92"/>
    <m/>
    <m/>
    <n v="5"/>
  </r>
  <r>
    <x v="8315"/>
    <x v="1662"/>
    <x v="6"/>
    <n v="4"/>
    <n v="143.36000000000001"/>
    <x v="81"/>
    <x v="0"/>
    <x v="2"/>
    <n v="573.44000000000005"/>
    <m/>
    <m/>
    <n v="5"/>
  </r>
  <r>
    <x v="8316"/>
    <x v="1662"/>
    <x v="1"/>
    <n v="5"/>
    <n v="203.3"/>
    <x v="59"/>
    <x v="0"/>
    <x v="2"/>
    <n v="1016.5"/>
    <m/>
    <m/>
    <n v="7"/>
  </r>
  <r>
    <x v="8317"/>
    <x v="1662"/>
    <x v="5"/>
    <n v="4"/>
    <n v="2400.6799999999998"/>
    <x v="729"/>
    <x v="0"/>
    <x v="0"/>
    <n v="9602.7199999999993"/>
    <m/>
    <m/>
    <n v="7"/>
  </r>
  <r>
    <x v="8318"/>
    <x v="1662"/>
    <x v="5"/>
    <n v="4"/>
    <n v="2400.6799999999998"/>
    <x v="388"/>
    <x v="1"/>
    <x v="0"/>
    <n v="9602.7199999999993"/>
    <m/>
    <m/>
    <n v="7"/>
  </r>
  <r>
    <x v="8319"/>
    <x v="1662"/>
    <x v="1"/>
    <n v="5"/>
    <n v="203.3"/>
    <x v="673"/>
    <x v="4"/>
    <x v="3"/>
    <n v="1016.5"/>
    <m/>
    <m/>
    <n v="7"/>
  </r>
  <r>
    <x v="8320"/>
    <x v="1662"/>
    <x v="4"/>
    <n v="1"/>
    <n v="1050"/>
    <x v="496"/>
    <x v="1"/>
    <x v="3"/>
    <n v="1050"/>
    <m/>
    <m/>
    <n v="10"/>
  </r>
  <r>
    <x v="8321"/>
    <x v="1663"/>
    <x v="0"/>
    <n v="5"/>
    <n v="1500.4"/>
    <x v="599"/>
    <x v="6"/>
    <x v="2"/>
    <n v="7502"/>
    <m/>
    <m/>
    <n v="5"/>
  </r>
  <r>
    <x v="8322"/>
    <x v="1663"/>
    <x v="0"/>
    <n v="1"/>
    <n v="300.08"/>
    <x v="350"/>
    <x v="1"/>
    <x v="3"/>
    <n v="300.08"/>
    <m/>
    <m/>
    <n v="7"/>
  </r>
  <r>
    <x v="8323"/>
    <x v="1664"/>
    <x v="2"/>
    <n v="3"/>
    <n v="15.69"/>
    <x v="75"/>
    <x v="1"/>
    <x v="1"/>
    <n v="47.07"/>
    <m/>
    <m/>
    <n v="7"/>
  </r>
  <r>
    <x v="8324"/>
    <x v="1664"/>
    <x v="5"/>
    <n v="2"/>
    <n v="1200.3399999999999"/>
    <x v="486"/>
    <x v="2"/>
    <x v="1"/>
    <n v="2400.6799999999998"/>
    <m/>
    <m/>
    <n v="7"/>
  </r>
  <r>
    <x v="8325"/>
    <x v="1665"/>
    <x v="0"/>
    <n v="1"/>
    <n v="300.08"/>
    <x v="86"/>
    <x v="2"/>
    <x v="3"/>
    <n v="300.08"/>
    <m/>
    <m/>
    <n v="5"/>
  </r>
  <r>
    <x v="8326"/>
    <x v="1665"/>
    <x v="4"/>
    <n v="5"/>
    <n v="5250"/>
    <x v="52"/>
    <x v="5"/>
    <x v="1"/>
    <n v="26250"/>
    <m/>
    <m/>
    <n v="7"/>
  </r>
  <r>
    <x v="8327"/>
    <x v="1665"/>
    <x v="5"/>
    <n v="3"/>
    <n v="1800.51"/>
    <x v="626"/>
    <x v="7"/>
    <x v="0"/>
    <n v="5401.53"/>
    <m/>
    <m/>
    <n v="10"/>
  </r>
  <r>
    <x v="8328"/>
    <x v="1666"/>
    <x v="4"/>
    <n v="3"/>
    <n v="3150"/>
    <x v="63"/>
    <x v="0"/>
    <x v="0"/>
    <n v="9450"/>
    <m/>
    <m/>
    <n v="5"/>
  </r>
  <r>
    <x v="8329"/>
    <x v="1666"/>
    <x v="6"/>
    <n v="2"/>
    <n v="71.680000000000007"/>
    <x v="275"/>
    <x v="7"/>
    <x v="2"/>
    <n v="143.36000000000001"/>
    <m/>
    <m/>
    <n v="5"/>
  </r>
  <r>
    <x v="8330"/>
    <x v="1666"/>
    <x v="0"/>
    <n v="2"/>
    <n v="600.16"/>
    <x v="85"/>
    <x v="1"/>
    <x v="0"/>
    <n v="1200.32"/>
    <m/>
    <m/>
    <n v="5"/>
  </r>
  <r>
    <x v="8331"/>
    <x v="1666"/>
    <x v="0"/>
    <n v="5"/>
    <n v="1500.4"/>
    <x v="521"/>
    <x v="2"/>
    <x v="3"/>
    <n v="7502"/>
    <m/>
    <m/>
    <n v="5"/>
  </r>
  <r>
    <x v="8332"/>
    <x v="1666"/>
    <x v="0"/>
    <n v="5"/>
    <n v="1500.4"/>
    <x v="133"/>
    <x v="5"/>
    <x v="1"/>
    <n v="7502"/>
    <m/>
    <m/>
    <n v="5"/>
  </r>
  <r>
    <x v="8333"/>
    <x v="1666"/>
    <x v="0"/>
    <n v="3"/>
    <n v="900.24"/>
    <x v="242"/>
    <x v="1"/>
    <x v="2"/>
    <n v="2700.7200000000003"/>
    <m/>
    <m/>
    <n v="5"/>
  </r>
  <r>
    <x v="8334"/>
    <x v="1666"/>
    <x v="0"/>
    <n v="3"/>
    <n v="900.24"/>
    <x v="149"/>
    <x v="9"/>
    <x v="4"/>
    <n v="2700.7200000000003"/>
    <m/>
    <m/>
    <n v="5"/>
  </r>
  <r>
    <x v="8335"/>
    <x v="1666"/>
    <x v="6"/>
    <n v="5"/>
    <n v="179.2"/>
    <x v="398"/>
    <x v="1"/>
    <x v="3"/>
    <n v="896"/>
    <m/>
    <m/>
    <n v="5"/>
  </r>
  <r>
    <x v="8336"/>
    <x v="1666"/>
    <x v="1"/>
    <n v="3"/>
    <n v="121.98"/>
    <x v="713"/>
    <x v="0"/>
    <x v="4"/>
    <n v="365.94"/>
    <m/>
    <m/>
    <n v="7"/>
  </r>
  <r>
    <x v="8337"/>
    <x v="1666"/>
    <x v="0"/>
    <n v="5"/>
    <n v="1500.4"/>
    <x v="643"/>
    <x v="4"/>
    <x v="1"/>
    <n v="7502"/>
    <m/>
    <m/>
    <n v="7"/>
  </r>
  <r>
    <x v="8338"/>
    <x v="1666"/>
    <x v="5"/>
    <n v="2"/>
    <n v="1200.3399999999999"/>
    <x v="442"/>
    <x v="2"/>
    <x v="1"/>
    <n v="2400.6799999999998"/>
    <m/>
    <m/>
    <n v="10"/>
  </r>
  <r>
    <x v="8339"/>
    <x v="1667"/>
    <x v="6"/>
    <n v="3"/>
    <n v="107.52"/>
    <x v="635"/>
    <x v="6"/>
    <x v="4"/>
    <n v="322.56"/>
    <m/>
    <m/>
    <n v="5"/>
  </r>
  <r>
    <x v="8340"/>
    <x v="1667"/>
    <x v="0"/>
    <n v="4"/>
    <n v="1200.32"/>
    <x v="85"/>
    <x v="5"/>
    <x v="2"/>
    <n v="4801.28"/>
    <m/>
    <m/>
    <n v="5"/>
  </r>
  <r>
    <x v="8341"/>
    <x v="1667"/>
    <x v="6"/>
    <n v="4"/>
    <n v="143.36000000000001"/>
    <x v="491"/>
    <x v="1"/>
    <x v="3"/>
    <n v="573.44000000000005"/>
    <m/>
    <m/>
    <n v="7"/>
  </r>
  <r>
    <x v="8342"/>
    <x v="1667"/>
    <x v="5"/>
    <n v="3"/>
    <n v="1800.51"/>
    <x v="611"/>
    <x v="6"/>
    <x v="0"/>
    <n v="5401.53"/>
    <m/>
    <m/>
    <n v="7"/>
  </r>
  <r>
    <x v="8343"/>
    <x v="1668"/>
    <x v="0"/>
    <n v="5"/>
    <n v="1500.4"/>
    <x v="57"/>
    <x v="4"/>
    <x v="1"/>
    <n v="7502"/>
    <m/>
    <m/>
    <n v="5"/>
  </r>
  <r>
    <x v="8344"/>
    <x v="1668"/>
    <x v="2"/>
    <n v="3"/>
    <n v="15.69"/>
    <x v="212"/>
    <x v="0"/>
    <x v="1"/>
    <n v="47.07"/>
    <m/>
    <m/>
    <n v="5"/>
  </r>
  <r>
    <x v="8345"/>
    <x v="1668"/>
    <x v="2"/>
    <n v="3"/>
    <n v="15.69"/>
    <x v="507"/>
    <x v="5"/>
    <x v="0"/>
    <n v="47.07"/>
    <m/>
    <m/>
    <n v="7"/>
  </r>
  <r>
    <x v="8346"/>
    <x v="1668"/>
    <x v="2"/>
    <n v="3"/>
    <n v="15.69"/>
    <x v="531"/>
    <x v="5"/>
    <x v="2"/>
    <n v="47.07"/>
    <m/>
    <m/>
    <n v="7"/>
  </r>
  <r>
    <x v="8347"/>
    <x v="1669"/>
    <x v="0"/>
    <n v="2"/>
    <n v="600.16"/>
    <x v="758"/>
    <x v="9"/>
    <x v="2"/>
    <n v="1200.32"/>
    <m/>
    <m/>
    <n v="5"/>
  </r>
  <r>
    <x v="8348"/>
    <x v="1669"/>
    <x v="1"/>
    <n v="3"/>
    <n v="121.98"/>
    <x v="142"/>
    <x v="9"/>
    <x v="1"/>
    <n v="365.94"/>
    <m/>
    <m/>
    <n v="7"/>
  </r>
  <r>
    <x v="8349"/>
    <x v="1669"/>
    <x v="4"/>
    <n v="2"/>
    <n v="2100"/>
    <x v="287"/>
    <x v="2"/>
    <x v="0"/>
    <n v="4200"/>
    <m/>
    <m/>
    <n v="7"/>
  </r>
  <r>
    <x v="8350"/>
    <x v="1669"/>
    <x v="4"/>
    <n v="4"/>
    <n v="4200"/>
    <x v="751"/>
    <x v="0"/>
    <x v="3"/>
    <n v="16800"/>
    <m/>
    <m/>
    <n v="10"/>
  </r>
  <r>
    <x v="8351"/>
    <x v="1669"/>
    <x v="6"/>
    <n v="4"/>
    <n v="143.36000000000001"/>
    <x v="442"/>
    <x v="1"/>
    <x v="3"/>
    <n v="573.44000000000005"/>
    <m/>
    <m/>
    <n v="10"/>
  </r>
  <r>
    <x v="8352"/>
    <x v="1670"/>
    <x v="0"/>
    <n v="4"/>
    <n v="1200.32"/>
    <x v="115"/>
    <x v="0"/>
    <x v="0"/>
    <n v="4801.28"/>
    <m/>
    <m/>
    <n v="5"/>
  </r>
  <r>
    <x v="8353"/>
    <x v="1670"/>
    <x v="2"/>
    <n v="2"/>
    <n v="10.46"/>
    <x v="172"/>
    <x v="0"/>
    <x v="1"/>
    <n v="20.92"/>
    <m/>
    <m/>
    <n v="5"/>
  </r>
  <r>
    <x v="8354"/>
    <x v="1670"/>
    <x v="1"/>
    <n v="3"/>
    <n v="121.98"/>
    <x v="127"/>
    <x v="8"/>
    <x v="4"/>
    <n v="365.94"/>
    <m/>
    <m/>
    <n v="7"/>
  </r>
  <r>
    <x v="8355"/>
    <x v="1670"/>
    <x v="0"/>
    <n v="2"/>
    <n v="600.16"/>
    <x v="3"/>
    <x v="4"/>
    <x v="1"/>
    <n v="1200.32"/>
    <m/>
    <m/>
    <n v="7"/>
  </r>
  <r>
    <x v="8356"/>
    <x v="1670"/>
    <x v="6"/>
    <n v="1"/>
    <n v="35.840000000000003"/>
    <x v="206"/>
    <x v="0"/>
    <x v="3"/>
    <n v="35.840000000000003"/>
    <m/>
    <m/>
    <n v="7"/>
  </r>
  <r>
    <x v="8357"/>
    <x v="1670"/>
    <x v="2"/>
    <n v="1"/>
    <n v="5.23"/>
    <x v="394"/>
    <x v="9"/>
    <x v="4"/>
    <n v="5.23"/>
    <m/>
    <m/>
    <n v="7"/>
  </r>
  <r>
    <x v="8358"/>
    <x v="1670"/>
    <x v="7"/>
    <n v="1"/>
    <n v="11.73"/>
    <x v="361"/>
    <x v="1"/>
    <x v="4"/>
    <n v="11.73"/>
    <m/>
    <m/>
    <n v="7"/>
  </r>
  <r>
    <x v="8359"/>
    <x v="1671"/>
    <x v="6"/>
    <n v="1"/>
    <n v="35.840000000000003"/>
    <x v="184"/>
    <x v="8"/>
    <x v="3"/>
    <n v="35.840000000000003"/>
    <m/>
    <m/>
    <n v="5"/>
  </r>
  <r>
    <x v="8360"/>
    <x v="1671"/>
    <x v="5"/>
    <n v="4"/>
    <n v="2400.6799999999998"/>
    <x v="162"/>
    <x v="3"/>
    <x v="2"/>
    <n v="9602.7199999999993"/>
    <m/>
    <m/>
    <n v="5"/>
  </r>
  <r>
    <x v="8361"/>
    <x v="1671"/>
    <x v="5"/>
    <n v="2"/>
    <n v="1200.3399999999999"/>
    <x v="474"/>
    <x v="9"/>
    <x v="0"/>
    <n v="2400.6799999999998"/>
    <m/>
    <m/>
    <n v="5"/>
  </r>
  <r>
    <x v="8362"/>
    <x v="1671"/>
    <x v="4"/>
    <n v="5"/>
    <n v="5250"/>
    <x v="81"/>
    <x v="9"/>
    <x v="2"/>
    <n v="26250"/>
    <m/>
    <m/>
    <n v="5"/>
  </r>
  <r>
    <x v="8363"/>
    <x v="1671"/>
    <x v="2"/>
    <n v="2"/>
    <n v="10.46"/>
    <x v="107"/>
    <x v="1"/>
    <x v="4"/>
    <n v="20.92"/>
    <m/>
    <m/>
    <n v="5"/>
  </r>
  <r>
    <x v="8364"/>
    <x v="1671"/>
    <x v="6"/>
    <n v="3"/>
    <n v="107.52"/>
    <x v="55"/>
    <x v="0"/>
    <x v="2"/>
    <n v="322.56"/>
    <m/>
    <m/>
    <n v="7"/>
  </r>
  <r>
    <x v="8365"/>
    <x v="1671"/>
    <x v="6"/>
    <n v="4"/>
    <n v="143.36000000000001"/>
    <x v="586"/>
    <x v="1"/>
    <x v="0"/>
    <n v="573.44000000000005"/>
    <m/>
    <m/>
    <n v="10"/>
  </r>
  <r>
    <x v="8366"/>
    <x v="1672"/>
    <x v="4"/>
    <n v="4"/>
    <n v="4200"/>
    <x v="304"/>
    <x v="2"/>
    <x v="1"/>
    <n v="16800"/>
    <m/>
    <m/>
    <n v="5"/>
  </r>
  <r>
    <x v="8367"/>
    <x v="1672"/>
    <x v="3"/>
    <n v="1"/>
    <n v="15.15"/>
    <x v="587"/>
    <x v="9"/>
    <x v="3"/>
    <n v="15.15"/>
    <m/>
    <m/>
    <n v="5"/>
  </r>
  <r>
    <x v="8368"/>
    <x v="1672"/>
    <x v="0"/>
    <n v="3"/>
    <n v="900.24"/>
    <x v="454"/>
    <x v="1"/>
    <x v="1"/>
    <n v="2700.7200000000003"/>
    <m/>
    <m/>
    <n v="7"/>
  </r>
  <r>
    <x v="8369"/>
    <x v="1672"/>
    <x v="0"/>
    <n v="1"/>
    <n v="300.08"/>
    <x v="603"/>
    <x v="9"/>
    <x v="0"/>
    <n v="300.08"/>
    <m/>
    <m/>
    <n v="7"/>
  </r>
  <r>
    <x v="8370"/>
    <x v="1673"/>
    <x v="5"/>
    <n v="3"/>
    <n v="1800.51"/>
    <x v="745"/>
    <x v="8"/>
    <x v="3"/>
    <n v="5401.53"/>
    <m/>
    <m/>
    <n v="5"/>
  </r>
  <r>
    <x v="8371"/>
    <x v="1673"/>
    <x v="5"/>
    <n v="5"/>
    <n v="3000.85"/>
    <x v="543"/>
    <x v="0"/>
    <x v="4"/>
    <n v="15004.25"/>
    <m/>
    <m/>
    <n v="5"/>
  </r>
  <r>
    <x v="8372"/>
    <x v="1673"/>
    <x v="0"/>
    <n v="5"/>
    <n v="1500.4"/>
    <x v="704"/>
    <x v="1"/>
    <x v="0"/>
    <n v="7502"/>
    <m/>
    <m/>
    <n v="7"/>
  </r>
  <r>
    <x v="8373"/>
    <x v="1673"/>
    <x v="6"/>
    <n v="5"/>
    <n v="179.2"/>
    <x v="420"/>
    <x v="2"/>
    <x v="2"/>
    <n v="896"/>
    <m/>
    <m/>
    <n v="7"/>
  </r>
  <r>
    <x v="8374"/>
    <x v="1674"/>
    <x v="0"/>
    <n v="1"/>
    <n v="300.08"/>
    <x v="224"/>
    <x v="6"/>
    <x v="3"/>
    <n v="300.08"/>
    <m/>
    <m/>
    <n v="5"/>
  </r>
  <r>
    <x v="8375"/>
    <x v="1674"/>
    <x v="0"/>
    <n v="3"/>
    <n v="900.24"/>
    <x v="292"/>
    <x v="6"/>
    <x v="2"/>
    <n v="2700.7200000000003"/>
    <m/>
    <m/>
    <n v="5"/>
  </r>
  <r>
    <x v="8376"/>
    <x v="1674"/>
    <x v="4"/>
    <n v="4"/>
    <n v="4200"/>
    <x v="257"/>
    <x v="6"/>
    <x v="3"/>
    <n v="16800"/>
    <m/>
    <m/>
    <n v="5"/>
  </r>
  <r>
    <x v="8377"/>
    <x v="1674"/>
    <x v="3"/>
    <n v="4"/>
    <n v="60.6"/>
    <x v="647"/>
    <x v="0"/>
    <x v="2"/>
    <n v="242.4"/>
    <m/>
    <m/>
    <n v="7"/>
  </r>
  <r>
    <x v="8378"/>
    <x v="1674"/>
    <x v="0"/>
    <n v="1"/>
    <n v="300.08"/>
    <x v="572"/>
    <x v="9"/>
    <x v="4"/>
    <n v="300.08"/>
    <m/>
    <m/>
    <n v="7"/>
  </r>
  <r>
    <x v="8379"/>
    <x v="1675"/>
    <x v="0"/>
    <n v="3"/>
    <n v="900.24"/>
    <x v="145"/>
    <x v="7"/>
    <x v="0"/>
    <n v="2700.7200000000003"/>
    <m/>
    <m/>
    <n v="5"/>
  </r>
  <r>
    <x v="8380"/>
    <x v="1675"/>
    <x v="5"/>
    <n v="1"/>
    <n v="600.16999999999996"/>
    <x v="242"/>
    <x v="2"/>
    <x v="4"/>
    <n v="600.16999999999996"/>
    <m/>
    <m/>
    <n v="5"/>
  </r>
  <r>
    <x v="8381"/>
    <x v="1675"/>
    <x v="1"/>
    <n v="3"/>
    <n v="121.98"/>
    <x v="545"/>
    <x v="0"/>
    <x v="0"/>
    <n v="365.94"/>
    <m/>
    <m/>
    <n v="5"/>
  </r>
  <r>
    <x v="8382"/>
    <x v="1675"/>
    <x v="2"/>
    <n v="4"/>
    <n v="20.92"/>
    <x v="379"/>
    <x v="8"/>
    <x v="2"/>
    <n v="83.68"/>
    <m/>
    <m/>
    <n v="10"/>
  </r>
  <r>
    <x v="8383"/>
    <x v="1676"/>
    <x v="2"/>
    <n v="1"/>
    <n v="5.23"/>
    <x v="294"/>
    <x v="1"/>
    <x v="0"/>
    <n v="5.23"/>
    <m/>
    <m/>
    <n v="5"/>
  </r>
  <r>
    <x v="8384"/>
    <x v="1676"/>
    <x v="0"/>
    <n v="5"/>
    <n v="1500.4"/>
    <x v="525"/>
    <x v="4"/>
    <x v="2"/>
    <n v="7502"/>
    <m/>
    <m/>
    <n v="5"/>
  </r>
  <r>
    <x v="8385"/>
    <x v="1676"/>
    <x v="6"/>
    <n v="2"/>
    <n v="71.680000000000007"/>
    <x v="375"/>
    <x v="7"/>
    <x v="3"/>
    <n v="143.36000000000001"/>
    <m/>
    <m/>
    <n v="5"/>
  </r>
  <r>
    <x v="8386"/>
    <x v="1676"/>
    <x v="0"/>
    <n v="2"/>
    <n v="600.16"/>
    <x v="663"/>
    <x v="9"/>
    <x v="3"/>
    <n v="1200.32"/>
    <m/>
    <m/>
    <n v="5"/>
  </r>
  <r>
    <x v="8387"/>
    <x v="1676"/>
    <x v="4"/>
    <n v="5"/>
    <n v="5250"/>
    <x v="47"/>
    <x v="8"/>
    <x v="3"/>
    <n v="26250"/>
    <m/>
    <m/>
    <n v="5"/>
  </r>
  <r>
    <x v="8388"/>
    <x v="1676"/>
    <x v="0"/>
    <n v="5"/>
    <n v="1500.4"/>
    <x v="689"/>
    <x v="0"/>
    <x v="4"/>
    <n v="7502"/>
    <m/>
    <m/>
    <n v="7"/>
  </r>
  <r>
    <x v="8389"/>
    <x v="1676"/>
    <x v="7"/>
    <n v="4"/>
    <n v="46.92"/>
    <x v="719"/>
    <x v="9"/>
    <x v="1"/>
    <n v="187.68"/>
    <m/>
    <m/>
    <n v="7"/>
  </r>
  <r>
    <x v="8390"/>
    <x v="1677"/>
    <x v="0"/>
    <n v="4"/>
    <n v="1200.32"/>
    <x v="113"/>
    <x v="7"/>
    <x v="1"/>
    <n v="4801.28"/>
    <m/>
    <m/>
    <n v="5"/>
  </r>
  <r>
    <x v="8391"/>
    <x v="1677"/>
    <x v="7"/>
    <n v="3"/>
    <n v="35.19"/>
    <x v="662"/>
    <x v="0"/>
    <x v="2"/>
    <n v="105.57"/>
    <m/>
    <m/>
    <n v="5"/>
  </r>
  <r>
    <x v="8392"/>
    <x v="1677"/>
    <x v="1"/>
    <n v="3"/>
    <n v="121.98"/>
    <x v="4"/>
    <x v="0"/>
    <x v="3"/>
    <n v="365.94"/>
    <m/>
    <m/>
    <n v="7"/>
  </r>
  <r>
    <x v="8393"/>
    <x v="1677"/>
    <x v="0"/>
    <n v="3"/>
    <n v="900.24"/>
    <x v="363"/>
    <x v="0"/>
    <x v="4"/>
    <n v="2700.7200000000003"/>
    <m/>
    <m/>
    <n v="7"/>
  </r>
  <r>
    <x v="8394"/>
    <x v="1678"/>
    <x v="5"/>
    <n v="2"/>
    <n v="1200.3399999999999"/>
    <x v="569"/>
    <x v="9"/>
    <x v="3"/>
    <n v="2400.6799999999998"/>
    <m/>
    <m/>
    <n v="5"/>
  </r>
  <r>
    <x v="8395"/>
    <x v="1678"/>
    <x v="0"/>
    <n v="5"/>
    <n v="1500.4"/>
    <x v="706"/>
    <x v="1"/>
    <x v="3"/>
    <n v="7502"/>
    <m/>
    <m/>
    <n v="7"/>
  </r>
  <r>
    <x v="8396"/>
    <x v="1678"/>
    <x v="0"/>
    <n v="3"/>
    <n v="900.24"/>
    <x v="288"/>
    <x v="4"/>
    <x v="0"/>
    <n v="2700.7200000000003"/>
    <m/>
    <m/>
    <n v="7"/>
  </r>
  <r>
    <x v="8397"/>
    <x v="1678"/>
    <x v="2"/>
    <n v="5"/>
    <n v="26.15"/>
    <x v="456"/>
    <x v="8"/>
    <x v="1"/>
    <n v="130.75"/>
    <m/>
    <m/>
    <n v="7"/>
  </r>
  <r>
    <x v="8398"/>
    <x v="1678"/>
    <x v="0"/>
    <n v="2"/>
    <n v="600.16"/>
    <x v="607"/>
    <x v="3"/>
    <x v="3"/>
    <n v="1200.32"/>
    <m/>
    <m/>
    <n v="7"/>
  </r>
  <r>
    <x v="8399"/>
    <x v="1679"/>
    <x v="4"/>
    <n v="1"/>
    <n v="1050"/>
    <x v="319"/>
    <x v="4"/>
    <x v="4"/>
    <n v="1050"/>
    <m/>
    <m/>
    <n v="5"/>
  </r>
  <r>
    <x v="8400"/>
    <x v="1679"/>
    <x v="6"/>
    <n v="3"/>
    <n v="107.52"/>
    <x v="762"/>
    <x v="1"/>
    <x v="1"/>
    <n v="322.56"/>
    <m/>
    <m/>
    <n v="5"/>
  </r>
  <r>
    <x v="8401"/>
    <x v="1679"/>
    <x v="2"/>
    <n v="4"/>
    <n v="20.92"/>
    <x v="254"/>
    <x v="6"/>
    <x v="0"/>
    <n v="83.68"/>
    <m/>
    <m/>
    <n v="7"/>
  </r>
  <r>
    <x v="8402"/>
    <x v="1679"/>
    <x v="1"/>
    <n v="4"/>
    <n v="162.63999999999999"/>
    <x v="416"/>
    <x v="1"/>
    <x v="1"/>
    <n v="650.55999999999995"/>
    <m/>
    <m/>
    <n v="10"/>
  </r>
  <r>
    <x v="8403"/>
    <x v="1679"/>
    <x v="0"/>
    <n v="5"/>
    <n v="1500.4"/>
    <x v="53"/>
    <x v="9"/>
    <x v="0"/>
    <n v="7502"/>
    <m/>
    <m/>
    <n v="10"/>
  </r>
  <r>
    <x v="8404"/>
    <x v="1680"/>
    <x v="3"/>
    <n v="5"/>
    <n v="75.75"/>
    <x v="697"/>
    <x v="1"/>
    <x v="0"/>
    <n v="378.75"/>
    <m/>
    <m/>
    <n v="5"/>
  </r>
  <r>
    <x v="8405"/>
    <x v="1680"/>
    <x v="6"/>
    <n v="1"/>
    <n v="35.840000000000003"/>
    <x v="684"/>
    <x v="0"/>
    <x v="2"/>
    <n v="35.840000000000003"/>
    <m/>
    <m/>
    <n v="7"/>
  </r>
  <r>
    <x v="8406"/>
    <x v="1680"/>
    <x v="4"/>
    <n v="4"/>
    <n v="4200"/>
    <x v="486"/>
    <x v="1"/>
    <x v="4"/>
    <n v="16800"/>
    <m/>
    <m/>
    <n v="7"/>
  </r>
  <r>
    <x v="8407"/>
    <x v="1680"/>
    <x v="0"/>
    <n v="5"/>
    <n v="1500.4"/>
    <x v="388"/>
    <x v="4"/>
    <x v="1"/>
    <n v="7502"/>
    <m/>
    <m/>
    <n v="7"/>
  </r>
  <r>
    <x v="8408"/>
    <x v="1680"/>
    <x v="5"/>
    <n v="4"/>
    <n v="2400.6799999999998"/>
    <x v="581"/>
    <x v="4"/>
    <x v="0"/>
    <n v="9602.7199999999993"/>
    <m/>
    <m/>
    <n v="7"/>
  </r>
  <r>
    <x v="8409"/>
    <x v="1680"/>
    <x v="1"/>
    <n v="2"/>
    <n v="81.319999999999993"/>
    <x v="547"/>
    <x v="0"/>
    <x v="0"/>
    <n v="162.63999999999999"/>
    <m/>
    <m/>
    <n v="7"/>
  </r>
  <r>
    <x v="8410"/>
    <x v="1680"/>
    <x v="0"/>
    <n v="4"/>
    <n v="1200.32"/>
    <x v="510"/>
    <x v="4"/>
    <x v="1"/>
    <n v="4801.28"/>
    <m/>
    <m/>
    <n v="7"/>
  </r>
  <r>
    <x v="8411"/>
    <x v="1680"/>
    <x v="7"/>
    <n v="3"/>
    <n v="35.19"/>
    <x v="382"/>
    <x v="6"/>
    <x v="3"/>
    <n v="105.57"/>
    <m/>
    <m/>
    <n v="7"/>
  </r>
  <r>
    <x v="8412"/>
    <x v="1680"/>
    <x v="1"/>
    <n v="5"/>
    <n v="203.3"/>
    <x v="200"/>
    <x v="4"/>
    <x v="2"/>
    <n v="1016.5"/>
    <m/>
    <m/>
    <n v="10"/>
  </r>
  <r>
    <x v="8413"/>
    <x v="1681"/>
    <x v="0"/>
    <n v="4"/>
    <n v="1200.32"/>
    <x v="373"/>
    <x v="2"/>
    <x v="2"/>
    <n v="4801.28"/>
    <m/>
    <m/>
    <n v="5"/>
  </r>
  <r>
    <x v="8414"/>
    <x v="1681"/>
    <x v="7"/>
    <n v="5"/>
    <n v="58.65"/>
    <x v="425"/>
    <x v="3"/>
    <x v="3"/>
    <n v="293.25"/>
    <m/>
    <m/>
    <n v="5"/>
  </r>
  <r>
    <x v="8415"/>
    <x v="1681"/>
    <x v="0"/>
    <n v="3"/>
    <n v="900.24"/>
    <x v="150"/>
    <x v="8"/>
    <x v="2"/>
    <n v="2700.7200000000003"/>
    <m/>
    <m/>
    <n v="5"/>
  </r>
  <r>
    <x v="8416"/>
    <x v="1681"/>
    <x v="6"/>
    <n v="1"/>
    <n v="35.840000000000003"/>
    <x v="522"/>
    <x v="9"/>
    <x v="4"/>
    <n v="35.840000000000003"/>
    <m/>
    <m/>
    <n v="5"/>
  </r>
  <r>
    <x v="8417"/>
    <x v="1681"/>
    <x v="1"/>
    <n v="5"/>
    <n v="203.3"/>
    <x v="426"/>
    <x v="4"/>
    <x v="2"/>
    <n v="1016.5"/>
    <m/>
    <m/>
    <n v="7"/>
  </r>
  <r>
    <x v="8418"/>
    <x v="1681"/>
    <x v="4"/>
    <n v="2"/>
    <n v="2100"/>
    <x v="217"/>
    <x v="6"/>
    <x v="3"/>
    <n v="4200"/>
    <m/>
    <m/>
    <n v="7"/>
  </r>
  <r>
    <x v="8419"/>
    <x v="1681"/>
    <x v="1"/>
    <n v="4"/>
    <n v="162.63999999999999"/>
    <x v="237"/>
    <x v="0"/>
    <x v="3"/>
    <n v="650.55999999999995"/>
    <m/>
    <m/>
    <n v="7"/>
  </r>
  <r>
    <x v="8420"/>
    <x v="1682"/>
    <x v="5"/>
    <n v="5"/>
    <n v="3000.85"/>
    <x v="231"/>
    <x v="1"/>
    <x v="1"/>
    <n v="15004.25"/>
    <m/>
    <m/>
    <n v="5"/>
  </r>
  <r>
    <x v="8421"/>
    <x v="1682"/>
    <x v="5"/>
    <n v="1"/>
    <n v="600.16999999999996"/>
    <x v="602"/>
    <x v="1"/>
    <x v="0"/>
    <n v="600.16999999999996"/>
    <m/>
    <m/>
    <n v="7"/>
  </r>
  <r>
    <x v="8422"/>
    <x v="1682"/>
    <x v="1"/>
    <n v="5"/>
    <n v="203.3"/>
    <x v="624"/>
    <x v="9"/>
    <x v="1"/>
    <n v="1016.5"/>
    <m/>
    <m/>
    <n v="7"/>
  </r>
  <r>
    <x v="8423"/>
    <x v="1682"/>
    <x v="0"/>
    <n v="4"/>
    <n v="1200.32"/>
    <x v="253"/>
    <x v="1"/>
    <x v="0"/>
    <n v="4801.28"/>
    <m/>
    <m/>
    <n v="7"/>
  </r>
  <r>
    <x v="8424"/>
    <x v="1682"/>
    <x v="0"/>
    <n v="3"/>
    <n v="900.24"/>
    <x v="200"/>
    <x v="1"/>
    <x v="2"/>
    <n v="2700.7200000000003"/>
    <m/>
    <m/>
    <n v="10"/>
  </r>
  <r>
    <x v="8425"/>
    <x v="1683"/>
    <x v="4"/>
    <n v="2"/>
    <n v="2100"/>
    <x v="293"/>
    <x v="6"/>
    <x v="0"/>
    <n v="4200"/>
    <m/>
    <m/>
    <n v="5"/>
  </r>
  <r>
    <x v="8426"/>
    <x v="1683"/>
    <x v="0"/>
    <n v="3"/>
    <n v="900.24"/>
    <x v="351"/>
    <x v="6"/>
    <x v="3"/>
    <n v="2700.7200000000003"/>
    <m/>
    <m/>
    <n v="5"/>
  </r>
  <r>
    <x v="8427"/>
    <x v="1683"/>
    <x v="0"/>
    <n v="3"/>
    <n v="900.24"/>
    <x v="144"/>
    <x v="7"/>
    <x v="1"/>
    <n v="2700.7200000000003"/>
    <m/>
    <m/>
    <n v="5"/>
  </r>
  <r>
    <x v="8428"/>
    <x v="1683"/>
    <x v="4"/>
    <n v="3"/>
    <n v="3150"/>
    <x v="339"/>
    <x v="0"/>
    <x v="2"/>
    <n v="9450"/>
    <m/>
    <m/>
    <n v="5"/>
  </r>
  <r>
    <x v="8429"/>
    <x v="1683"/>
    <x v="0"/>
    <n v="3"/>
    <n v="900.24"/>
    <x v="539"/>
    <x v="6"/>
    <x v="2"/>
    <n v="2700.7200000000003"/>
    <m/>
    <m/>
    <n v="7"/>
  </r>
  <r>
    <x v="8430"/>
    <x v="1683"/>
    <x v="0"/>
    <n v="2"/>
    <n v="600.16"/>
    <x v="675"/>
    <x v="6"/>
    <x v="3"/>
    <n v="1200.32"/>
    <m/>
    <m/>
    <n v="7"/>
  </r>
  <r>
    <x v="8431"/>
    <x v="1683"/>
    <x v="2"/>
    <n v="3"/>
    <n v="15.69"/>
    <x v="782"/>
    <x v="6"/>
    <x v="2"/>
    <n v="47.07"/>
    <m/>
    <m/>
    <n v="7"/>
  </r>
  <r>
    <x v="8432"/>
    <x v="1684"/>
    <x v="5"/>
    <n v="3"/>
    <n v="1800.51"/>
    <x v="552"/>
    <x v="9"/>
    <x v="3"/>
    <n v="5401.53"/>
    <m/>
    <m/>
    <n v="5"/>
  </r>
  <r>
    <x v="8433"/>
    <x v="1684"/>
    <x v="0"/>
    <n v="3"/>
    <n v="900.24"/>
    <x v="559"/>
    <x v="0"/>
    <x v="0"/>
    <n v="2700.7200000000003"/>
    <m/>
    <m/>
    <n v="7"/>
  </r>
  <r>
    <x v="8434"/>
    <x v="1684"/>
    <x v="5"/>
    <n v="5"/>
    <n v="3000.85"/>
    <x v="52"/>
    <x v="1"/>
    <x v="1"/>
    <n v="15004.25"/>
    <m/>
    <m/>
    <n v="7"/>
  </r>
  <r>
    <x v="8435"/>
    <x v="1684"/>
    <x v="6"/>
    <n v="2"/>
    <n v="71.680000000000007"/>
    <x v="553"/>
    <x v="0"/>
    <x v="4"/>
    <n v="143.36000000000001"/>
    <m/>
    <m/>
    <n v="7"/>
  </r>
  <r>
    <x v="8436"/>
    <x v="1685"/>
    <x v="2"/>
    <n v="3"/>
    <n v="15.69"/>
    <x v="609"/>
    <x v="0"/>
    <x v="2"/>
    <n v="47.07"/>
    <m/>
    <m/>
    <n v="5"/>
  </r>
  <r>
    <x v="8437"/>
    <x v="1685"/>
    <x v="5"/>
    <n v="3"/>
    <n v="1800.51"/>
    <x v="598"/>
    <x v="0"/>
    <x v="1"/>
    <n v="5401.53"/>
    <m/>
    <m/>
    <n v="5"/>
  </r>
  <r>
    <x v="8438"/>
    <x v="1685"/>
    <x v="6"/>
    <n v="4"/>
    <n v="143.36000000000001"/>
    <x v="372"/>
    <x v="0"/>
    <x v="1"/>
    <n v="573.44000000000005"/>
    <m/>
    <m/>
    <n v="5"/>
  </r>
  <r>
    <x v="8439"/>
    <x v="1685"/>
    <x v="0"/>
    <n v="2"/>
    <n v="600.16"/>
    <x v="521"/>
    <x v="6"/>
    <x v="0"/>
    <n v="1200.32"/>
    <m/>
    <m/>
    <n v="5"/>
  </r>
  <r>
    <x v="8440"/>
    <x v="1685"/>
    <x v="2"/>
    <n v="1"/>
    <n v="5.23"/>
    <x v="386"/>
    <x v="6"/>
    <x v="3"/>
    <n v="5.23"/>
    <m/>
    <m/>
    <n v="5"/>
  </r>
  <r>
    <x v="8441"/>
    <x v="1685"/>
    <x v="0"/>
    <n v="3"/>
    <n v="900.24"/>
    <x v="348"/>
    <x v="1"/>
    <x v="2"/>
    <n v="2700.7200000000003"/>
    <m/>
    <m/>
    <n v="7"/>
  </r>
  <r>
    <x v="8442"/>
    <x v="1685"/>
    <x v="1"/>
    <n v="2"/>
    <n v="81.319999999999993"/>
    <x v="631"/>
    <x v="1"/>
    <x v="2"/>
    <n v="162.63999999999999"/>
    <m/>
    <m/>
    <n v="7"/>
  </r>
  <r>
    <x v="8443"/>
    <x v="1686"/>
    <x v="0"/>
    <n v="1"/>
    <n v="300.08"/>
    <x v="275"/>
    <x v="0"/>
    <x v="1"/>
    <n v="300.08"/>
    <m/>
    <m/>
    <n v="5"/>
  </r>
  <r>
    <x v="8444"/>
    <x v="1686"/>
    <x v="5"/>
    <n v="3"/>
    <n v="1800.51"/>
    <x v="313"/>
    <x v="0"/>
    <x v="0"/>
    <n v="5401.53"/>
    <m/>
    <m/>
    <n v="5"/>
  </r>
  <r>
    <x v="8445"/>
    <x v="1686"/>
    <x v="6"/>
    <n v="2"/>
    <n v="71.680000000000007"/>
    <x v="787"/>
    <x v="9"/>
    <x v="1"/>
    <n v="143.36000000000001"/>
    <m/>
    <m/>
    <n v="5"/>
  </r>
  <r>
    <x v="8446"/>
    <x v="1686"/>
    <x v="7"/>
    <n v="3"/>
    <n v="35.19"/>
    <x v="460"/>
    <x v="9"/>
    <x v="1"/>
    <n v="105.57"/>
    <m/>
    <m/>
    <n v="7"/>
  </r>
  <r>
    <x v="8447"/>
    <x v="1686"/>
    <x v="1"/>
    <n v="3"/>
    <n v="121.98"/>
    <x v="591"/>
    <x v="3"/>
    <x v="4"/>
    <n v="365.94"/>
    <m/>
    <m/>
    <n v="7"/>
  </r>
  <r>
    <x v="8448"/>
    <x v="1686"/>
    <x v="4"/>
    <n v="5"/>
    <n v="5250"/>
    <x v="444"/>
    <x v="0"/>
    <x v="2"/>
    <n v="26250"/>
    <m/>
    <m/>
    <n v="7"/>
  </r>
  <r>
    <x v="8449"/>
    <x v="1687"/>
    <x v="2"/>
    <n v="2"/>
    <n v="10.46"/>
    <x v="85"/>
    <x v="0"/>
    <x v="0"/>
    <n v="20.92"/>
    <m/>
    <m/>
    <n v="5"/>
  </r>
  <r>
    <x v="8450"/>
    <x v="1687"/>
    <x v="1"/>
    <n v="1"/>
    <n v="40.659999999999997"/>
    <x v="14"/>
    <x v="6"/>
    <x v="1"/>
    <n v="40.659999999999997"/>
    <m/>
    <m/>
    <n v="5"/>
  </r>
  <r>
    <x v="8451"/>
    <x v="1687"/>
    <x v="5"/>
    <n v="2"/>
    <n v="1200.3399999999999"/>
    <x v="686"/>
    <x v="7"/>
    <x v="4"/>
    <n v="2400.6799999999998"/>
    <m/>
    <m/>
    <n v="7"/>
  </r>
  <r>
    <x v="8452"/>
    <x v="1688"/>
    <x v="0"/>
    <n v="2"/>
    <n v="600.16"/>
    <x v="498"/>
    <x v="4"/>
    <x v="2"/>
    <n v="1200.32"/>
    <m/>
    <m/>
    <n v="5"/>
  </r>
  <r>
    <x v="8453"/>
    <x v="1688"/>
    <x v="0"/>
    <n v="4"/>
    <n v="1200.32"/>
    <x v="725"/>
    <x v="0"/>
    <x v="0"/>
    <n v="4801.28"/>
    <m/>
    <m/>
    <n v="5"/>
  </r>
  <r>
    <x v="8454"/>
    <x v="1688"/>
    <x v="7"/>
    <n v="1"/>
    <n v="11.73"/>
    <x v="265"/>
    <x v="3"/>
    <x v="3"/>
    <n v="11.73"/>
    <m/>
    <m/>
    <n v="5"/>
  </r>
  <r>
    <x v="8455"/>
    <x v="1688"/>
    <x v="3"/>
    <n v="2"/>
    <n v="30.3"/>
    <x v="425"/>
    <x v="9"/>
    <x v="0"/>
    <n v="60.6"/>
    <m/>
    <m/>
    <n v="5"/>
  </r>
  <r>
    <x v="8456"/>
    <x v="1688"/>
    <x v="0"/>
    <n v="5"/>
    <n v="1500.4"/>
    <x v="781"/>
    <x v="6"/>
    <x v="3"/>
    <n v="7502"/>
    <m/>
    <m/>
    <n v="10"/>
  </r>
  <r>
    <x v="8457"/>
    <x v="1689"/>
    <x v="0"/>
    <n v="3"/>
    <n v="900.24"/>
    <x v="492"/>
    <x v="4"/>
    <x v="4"/>
    <n v="2700.7200000000003"/>
    <m/>
    <m/>
    <n v="5"/>
  </r>
  <r>
    <x v="8458"/>
    <x v="1689"/>
    <x v="6"/>
    <n v="4"/>
    <n v="143.36000000000001"/>
    <x v="89"/>
    <x v="4"/>
    <x v="0"/>
    <n v="573.44000000000005"/>
    <m/>
    <m/>
    <n v="5"/>
  </r>
  <r>
    <x v="8459"/>
    <x v="1689"/>
    <x v="4"/>
    <n v="3"/>
    <n v="3150"/>
    <x v="326"/>
    <x v="5"/>
    <x v="1"/>
    <n v="9450"/>
    <m/>
    <m/>
    <n v="5"/>
  </r>
  <r>
    <x v="8460"/>
    <x v="1689"/>
    <x v="1"/>
    <n v="4"/>
    <n v="162.63999999999999"/>
    <x v="430"/>
    <x v="6"/>
    <x v="0"/>
    <n v="650.55999999999995"/>
    <m/>
    <m/>
    <n v="7"/>
  </r>
  <r>
    <x v="8461"/>
    <x v="1690"/>
    <x v="2"/>
    <n v="5"/>
    <n v="26.15"/>
    <x v="13"/>
    <x v="0"/>
    <x v="4"/>
    <n v="130.75"/>
    <m/>
    <m/>
    <n v="5"/>
  </r>
  <r>
    <x v="8462"/>
    <x v="1690"/>
    <x v="1"/>
    <n v="5"/>
    <n v="203.3"/>
    <x v="459"/>
    <x v="3"/>
    <x v="4"/>
    <n v="1016.5"/>
    <m/>
    <m/>
    <n v="5"/>
  </r>
  <r>
    <x v="8463"/>
    <x v="1690"/>
    <x v="0"/>
    <n v="2"/>
    <n v="600.16"/>
    <x v="356"/>
    <x v="0"/>
    <x v="1"/>
    <n v="1200.32"/>
    <m/>
    <m/>
    <n v="7"/>
  </r>
  <r>
    <x v="8464"/>
    <x v="1690"/>
    <x v="3"/>
    <n v="4"/>
    <n v="60.6"/>
    <x v="782"/>
    <x v="9"/>
    <x v="1"/>
    <n v="242.4"/>
    <m/>
    <m/>
    <n v="7"/>
  </r>
  <r>
    <x v="8465"/>
    <x v="1691"/>
    <x v="0"/>
    <n v="1"/>
    <n v="300.08"/>
    <x v="662"/>
    <x v="6"/>
    <x v="1"/>
    <n v="300.08"/>
    <m/>
    <m/>
    <n v="5"/>
  </r>
  <r>
    <x v="8466"/>
    <x v="1691"/>
    <x v="6"/>
    <n v="1"/>
    <n v="35.840000000000003"/>
    <x v="89"/>
    <x v="0"/>
    <x v="4"/>
    <n v="35.840000000000003"/>
    <m/>
    <m/>
    <n v="5"/>
  </r>
  <r>
    <x v="8467"/>
    <x v="1691"/>
    <x v="1"/>
    <n v="5"/>
    <n v="203.3"/>
    <x v="399"/>
    <x v="6"/>
    <x v="3"/>
    <n v="1016.5"/>
    <m/>
    <m/>
    <n v="7"/>
  </r>
  <r>
    <x v="8468"/>
    <x v="1691"/>
    <x v="6"/>
    <n v="5"/>
    <n v="179.2"/>
    <x v="129"/>
    <x v="2"/>
    <x v="3"/>
    <n v="896"/>
    <m/>
    <m/>
    <n v="7"/>
  </r>
  <r>
    <x v="8469"/>
    <x v="1691"/>
    <x v="5"/>
    <n v="1"/>
    <n v="600.16999999999996"/>
    <x v="450"/>
    <x v="7"/>
    <x v="4"/>
    <n v="600.16999999999996"/>
    <m/>
    <m/>
    <n v="7"/>
  </r>
  <r>
    <x v="8470"/>
    <x v="1692"/>
    <x v="3"/>
    <n v="4"/>
    <n v="60.6"/>
    <x v="146"/>
    <x v="6"/>
    <x v="2"/>
    <n v="242.4"/>
    <m/>
    <m/>
    <n v="5"/>
  </r>
  <r>
    <x v="8471"/>
    <x v="1692"/>
    <x v="0"/>
    <n v="4"/>
    <n v="1200.32"/>
    <x v="398"/>
    <x v="3"/>
    <x v="2"/>
    <n v="4801.28"/>
    <m/>
    <m/>
    <n v="5"/>
  </r>
  <r>
    <x v="8472"/>
    <x v="1692"/>
    <x v="6"/>
    <n v="5"/>
    <n v="179.2"/>
    <x v="534"/>
    <x v="1"/>
    <x v="4"/>
    <n v="896"/>
    <m/>
    <m/>
    <n v="5"/>
  </r>
  <r>
    <x v="8473"/>
    <x v="1692"/>
    <x v="0"/>
    <n v="2"/>
    <n v="600.16"/>
    <x v="515"/>
    <x v="0"/>
    <x v="1"/>
    <n v="1200.32"/>
    <m/>
    <m/>
    <n v="7"/>
  </r>
  <r>
    <x v="8474"/>
    <x v="1692"/>
    <x v="0"/>
    <n v="1"/>
    <n v="300.08"/>
    <x v="258"/>
    <x v="1"/>
    <x v="4"/>
    <n v="300.08"/>
    <m/>
    <m/>
    <n v="7"/>
  </r>
  <r>
    <x v="8475"/>
    <x v="1692"/>
    <x v="0"/>
    <n v="2"/>
    <n v="600.16"/>
    <x v="61"/>
    <x v="0"/>
    <x v="1"/>
    <n v="1200.32"/>
    <m/>
    <m/>
    <n v="10"/>
  </r>
  <r>
    <x v="8476"/>
    <x v="1693"/>
    <x v="1"/>
    <n v="2"/>
    <n v="81.319999999999993"/>
    <x v="372"/>
    <x v="1"/>
    <x v="1"/>
    <n v="162.63999999999999"/>
    <m/>
    <m/>
    <n v="5"/>
  </r>
  <r>
    <x v="8477"/>
    <x v="1693"/>
    <x v="6"/>
    <n v="5"/>
    <n v="179.2"/>
    <x v="280"/>
    <x v="4"/>
    <x v="1"/>
    <n v="896"/>
    <m/>
    <m/>
    <n v="7"/>
  </r>
  <r>
    <x v="8478"/>
    <x v="1693"/>
    <x v="2"/>
    <n v="1"/>
    <n v="5.23"/>
    <x v="139"/>
    <x v="0"/>
    <x v="3"/>
    <n v="5.23"/>
    <m/>
    <m/>
    <n v="7"/>
  </r>
  <r>
    <x v="8479"/>
    <x v="1693"/>
    <x v="0"/>
    <n v="2"/>
    <n v="600.16"/>
    <x v="754"/>
    <x v="6"/>
    <x v="4"/>
    <n v="1200.32"/>
    <m/>
    <m/>
    <n v="7"/>
  </r>
  <r>
    <x v="8480"/>
    <x v="1693"/>
    <x v="1"/>
    <n v="5"/>
    <n v="203.3"/>
    <x v="572"/>
    <x v="4"/>
    <x v="0"/>
    <n v="1016.5"/>
    <m/>
    <m/>
    <n v="7"/>
  </r>
  <r>
    <x v="8481"/>
    <x v="1693"/>
    <x v="0"/>
    <n v="4"/>
    <n v="1200.32"/>
    <x v="643"/>
    <x v="6"/>
    <x v="4"/>
    <n v="4801.28"/>
    <m/>
    <m/>
    <n v="7"/>
  </r>
  <r>
    <x v="8482"/>
    <x v="1694"/>
    <x v="3"/>
    <n v="4"/>
    <n v="60.6"/>
    <x v="527"/>
    <x v="6"/>
    <x v="3"/>
    <n v="242.4"/>
    <m/>
    <m/>
    <n v="5"/>
  </r>
  <r>
    <x v="8483"/>
    <x v="1694"/>
    <x v="2"/>
    <n v="3"/>
    <n v="15.69"/>
    <x v="789"/>
    <x v="5"/>
    <x v="0"/>
    <n v="47.07"/>
    <m/>
    <m/>
    <n v="5"/>
  </r>
  <r>
    <x v="8484"/>
    <x v="1694"/>
    <x v="1"/>
    <n v="5"/>
    <n v="203.3"/>
    <x v="636"/>
    <x v="9"/>
    <x v="1"/>
    <n v="1016.5"/>
    <m/>
    <m/>
    <n v="5"/>
  </r>
  <r>
    <x v="8485"/>
    <x v="1694"/>
    <x v="2"/>
    <n v="2"/>
    <n v="10.46"/>
    <x v="676"/>
    <x v="5"/>
    <x v="0"/>
    <n v="20.92"/>
    <m/>
    <m/>
    <n v="5"/>
  </r>
  <r>
    <x v="8486"/>
    <x v="1694"/>
    <x v="2"/>
    <n v="3"/>
    <n v="15.69"/>
    <x v="180"/>
    <x v="9"/>
    <x v="1"/>
    <n v="47.07"/>
    <m/>
    <m/>
    <n v="5"/>
  </r>
  <r>
    <x v="8487"/>
    <x v="1694"/>
    <x v="2"/>
    <n v="2"/>
    <n v="10.46"/>
    <x v="512"/>
    <x v="0"/>
    <x v="3"/>
    <n v="20.92"/>
    <m/>
    <m/>
    <n v="5"/>
  </r>
  <r>
    <x v="8488"/>
    <x v="1694"/>
    <x v="2"/>
    <n v="5"/>
    <n v="26.15"/>
    <x v="147"/>
    <x v="6"/>
    <x v="1"/>
    <n v="130.75"/>
    <m/>
    <m/>
    <n v="5"/>
  </r>
  <r>
    <x v="8489"/>
    <x v="1694"/>
    <x v="5"/>
    <n v="5"/>
    <n v="3000.85"/>
    <x v="579"/>
    <x v="1"/>
    <x v="4"/>
    <n v="15004.25"/>
    <m/>
    <m/>
    <n v="7"/>
  </r>
  <r>
    <x v="8490"/>
    <x v="1694"/>
    <x v="2"/>
    <n v="1"/>
    <n v="5.23"/>
    <x v="249"/>
    <x v="1"/>
    <x v="4"/>
    <n v="5.23"/>
    <m/>
    <m/>
    <n v="7"/>
  </r>
  <r>
    <x v="8491"/>
    <x v="1694"/>
    <x v="0"/>
    <n v="4"/>
    <n v="1200.32"/>
    <x v="439"/>
    <x v="1"/>
    <x v="1"/>
    <n v="4801.28"/>
    <m/>
    <m/>
    <n v="7"/>
  </r>
  <r>
    <x v="8492"/>
    <x v="1694"/>
    <x v="1"/>
    <n v="5"/>
    <n v="203.3"/>
    <x v="9"/>
    <x v="0"/>
    <x v="3"/>
    <n v="1016.5"/>
    <m/>
    <m/>
    <n v="7"/>
  </r>
  <r>
    <x v="8493"/>
    <x v="1694"/>
    <x v="0"/>
    <n v="4"/>
    <n v="1200.32"/>
    <x v="274"/>
    <x v="6"/>
    <x v="0"/>
    <n v="4801.28"/>
    <m/>
    <m/>
    <n v="7"/>
  </r>
  <r>
    <x v="8494"/>
    <x v="1694"/>
    <x v="1"/>
    <n v="1"/>
    <n v="40.659999999999997"/>
    <x v="156"/>
    <x v="0"/>
    <x v="3"/>
    <n v="40.659999999999997"/>
    <m/>
    <m/>
    <n v="10"/>
  </r>
  <r>
    <x v="8495"/>
    <x v="1695"/>
    <x v="2"/>
    <n v="2"/>
    <n v="10.46"/>
    <x v="132"/>
    <x v="2"/>
    <x v="1"/>
    <n v="20.92"/>
    <m/>
    <m/>
    <n v="5"/>
  </r>
  <r>
    <x v="8496"/>
    <x v="1695"/>
    <x v="1"/>
    <n v="2"/>
    <n v="81.319999999999993"/>
    <x v="271"/>
    <x v="0"/>
    <x v="3"/>
    <n v="162.63999999999999"/>
    <m/>
    <m/>
    <n v="5"/>
  </r>
  <r>
    <x v="8497"/>
    <x v="1695"/>
    <x v="4"/>
    <n v="3"/>
    <n v="3150"/>
    <x v="708"/>
    <x v="6"/>
    <x v="3"/>
    <n v="9450"/>
    <m/>
    <m/>
    <n v="5"/>
  </r>
  <r>
    <x v="8498"/>
    <x v="1695"/>
    <x v="2"/>
    <n v="5"/>
    <n v="26.15"/>
    <x v="324"/>
    <x v="6"/>
    <x v="3"/>
    <n v="130.75"/>
    <m/>
    <m/>
    <n v="5"/>
  </r>
  <r>
    <x v="8499"/>
    <x v="1695"/>
    <x v="0"/>
    <n v="5"/>
    <n v="1500.4"/>
    <x v="532"/>
    <x v="4"/>
    <x v="4"/>
    <n v="7502"/>
    <m/>
    <m/>
    <n v="7"/>
  </r>
  <r>
    <x v="8500"/>
    <x v="1695"/>
    <x v="0"/>
    <n v="2"/>
    <n v="600.16"/>
    <x v="37"/>
    <x v="0"/>
    <x v="1"/>
    <n v="1200.32"/>
    <m/>
    <m/>
    <n v="7"/>
  </r>
  <r>
    <x v="8501"/>
    <x v="1695"/>
    <x v="0"/>
    <n v="3"/>
    <n v="900.24"/>
    <x v="103"/>
    <x v="8"/>
    <x v="0"/>
    <n v="2700.7200000000003"/>
    <m/>
    <m/>
    <n v="10"/>
  </r>
  <r>
    <x v="8502"/>
    <x v="1696"/>
    <x v="0"/>
    <n v="4"/>
    <n v="1200.32"/>
    <x v="204"/>
    <x v="6"/>
    <x v="4"/>
    <n v="4801.28"/>
    <m/>
    <m/>
    <n v="5"/>
  </r>
  <r>
    <x v="8503"/>
    <x v="1696"/>
    <x v="1"/>
    <n v="1"/>
    <n v="40.659999999999997"/>
    <x v="480"/>
    <x v="6"/>
    <x v="1"/>
    <n v="40.659999999999997"/>
    <m/>
    <m/>
    <n v="7"/>
  </r>
  <r>
    <x v="8504"/>
    <x v="1696"/>
    <x v="0"/>
    <n v="3"/>
    <n v="900.24"/>
    <x v="161"/>
    <x v="0"/>
    <x v="2"/>
    <n v="2700.7200000000003"/>
    <m/>
    <m/>
    <n v="7"/>
  </r>
  <r>
    <x v="8505"/>
    <x v="1697"/>
    <x v="0"/>
    <n v="2"/>
    <n v="600.16"/>
    <x v="275"/>
    <x v="0"/>
    <x v="2"/>
    <n v="1200.32"/>
    <m/>
    <m/>
    <n v="5"/>
  </r>
  <r>
    <x v="8506"/>
    <x v="1697"/>
    <x v="5"/>
    <n v="1"/>
    <n v="600.16999999999996"/>
    <x v="694"/>
    <x v="2"/>
    <x v="4"/>
    <n v="600.16999999999996"/>
    <m/>
    <m/>
    <n v="5"/>
  </r>
  <r>
    <x v="8507"/>
    <x v="1697"/>
    <x v="7"/>
    <n v="4"/>
    <n v="46.92"/>
    <x v="96"/>
    <x v="7"/>
    <x v="2"/>
    <n v="187.68"/>
    <m/>
    <m/>
    <n v="7"/>
  </r>
  <r>
    <x v="8508"/>
    <x v="1697"/>
    <x v="0"/>
    <n v="1"/>
    <n v="300.08"/>
    <x v="218"/>
    <x v="1"/>
    <x v="2"/>
    <n v="300.08"/>
    <m/>
    <m/>
    <n v="7"/>
  </r>
  <r>
    <x v="8509"/>
    <x v="1697"/>
    <x v="4"/>
    <n v="2"/>
    <n v="2100"/>
    <x v="246"/>
    <x v="6"/>
    <x v="1"/>
    <n v="4200"/>
    <m/>
    <m/>
    <n v="10"/>
  </r>
  <r>
    <x v="8510"/>
    <x v="1698"/>
    <x v="1"/>
    <n v="1"/>
    <n v="40.659999999999997"/>
    <x v="792"/>
    <x v="8"/>
    <x v="4"/>
    <n v="40.659999999999997"/>
    <m/>
    <m/>
    <n v="5"/>
  </r>
  <r>
    <x v="8511"/>
    <x v="1698"/>
    <x v="0"/>
    <n v="1"/>
    <n v="300.08"/>
    <x v="433"/>
    <x v="6"/>
    <x v="2"/>
    <n v="300.08"/>
    <m/>
    <m/>
    <n v="5"/>
  </r>
  <r>
    <x v="8512"/>
    <x v="1698"/>
    <x v="6"/>
    <n v="3"/>
    <n v="107.52"/>
    <x v="525"/>
    <x v="4"/>
    <x v="2"/>
    <n v="322.56"/>
    <m/>
    <m/>
    <n v="5"/>
  </r>
  <r>
    <x v="8513"/>
    <x v="1698"/>
    <x v="3"/>
    <n v="1"/>
    <n v="15.15"/>
    <x v="388"/>
    <x v="3"/>
    <x v="1"/>
    <n v="15.15"/>
    <m/>
    <m/>
    <n v="7"/>
  </r>
  <r>
    <x v="8514"/>
    <x v="1698"/>
    <x v="2"/>
    <n v="4"/>
    <n v="20.92"/>
    <x v="241"/>
    <x v="3"/>
    <x v="4"/>
    <n v="83.68"/>
    <m/>
    <m/>
    <n v="7"/>
  </r>
  <r>
    <x v="8515"/>
    <x v="1698"/>
    <x v="4"/>
    <n v="1"/>
    <n v="1050"/>
    <x v="682"/>
    <x v="2"/>
    <x v="2"/>
    <n v="1050"/>
    <m/>
    <m/>
    <n v="10"/>
  </r>
  <r>
    <x v="8516"/>
    <x v="1699"/>
    <x v="2"/>
    <n v="4"/>
    <n v="20.92"/>
    <x v="632"/>
    <x v="4"/>
    <x v="4"/>
    <n v="83.68"/>
    <m/>
    <m/>
    <n v="5"/>
  </r>
  <r>
    <x v="8517"/>
    <x v="1699"/>
    <x v="4"/>
    <n v="5"/>
    <n v="5250"/>
    <x v="180"/>
    <x v="2"/>
    <x v="4"/>
    <n v="26250"/>
    <m/>
    <m/>
    <n v="5"/>
  </r>
  <r>
    <x v="8518"/>
    <x v="1699"/>
    <x v="4"/>
    <n v="4"/>
    <n v="4200"/>
    <x v="282"/>
    <x v="3"/>
    <x v="1"/>
    <n v="16800"/>
    <m/>
    <m/>
    <n v="7"/>
  </r>
  <r>
    <x v="8519"/>
    <x v="1699"/>
    <x v="0"/>
    <n v="2"/>
    <n v="600.16"/>
    <x v="223"/>
    <x v="1"/>
    <x v="3"/>
    <n v="1200.32"/>
    <m/>
    <m/>
    <n v="7"/>
  </r>
  <r>
    <x v="8520"/>
    <x v="1699"/>
    <x v="2"/>
    <n v="3"/>
    <n v="15.69"/>
    <x v="740"/>
    <x v="7"/>
    <x v="2"/>
    <n v="47.07"/>
    <m/>
    <m/>
    <n v="7"/>
  </r>
  <r>
    <x v="8521"/>
    <x v="1700"/>
    <x v="1"/>
    <n v="5"/>
    <n v="203.3"/>
    <x v="74"/>
    <x v="0"/>
    <x v="4"/>
    <n v="1016.5"/>
    <m/>
    <m/>
    <n v="5"/>
  </r>
  <r>
    <x v="8522"/>
    <x v="1700"/>
    <x v="1"/>
    <n v="2"/>
    <n v="81.319999999999993"/>
    <x v="579"/>
    <x v="9"/>
    <x v="2"/>
    <n v="162.63999999999999"/>
    <m/>
    <m/>
    <n v="7"/>
  </r>
  <r>
    <x v="8523"/>
    <x v="1700"/>
    <x v="4"/>
    <n v="3"/>
    <n v="3150"/>
    <x v="23"/>
    <x v="7"/>
    <x v="2"/>
    <n v="9450"/>
    <m/>
    <m/>
    <n v="7"/>
  </r>
  <r>
    <x v="8524"/>
    <x v="1700"/>
    <x v="0"/>
    <n v="1"/>
    <n v="300.08"/>
    <x v="350"/>
    <x v="6"/>
    <x v="2"/>
    <n v="300.08"/>
    <m/>
    <m/>
    <n v="7"/>
  </r>
  <r>
    <x v="8525"/>
    <x v="1700"/>
    <x v="2"/>
    <n v="2"/>
    <n v="10.46"/>
    <x v="170"/>
    <x v="0"/>
    <x v="2"/>
    <n v="20.92"/>
    <m/>
    <m/>
    <n v="10"/>
  </r>
  <r>
    <x v="8526"/>
    <x v="1701"/>
    <x v="0"/>
    <n v="3"/>
    <n v="900.24"/>
    <x v="304"/>
    <x v="0"/>
    <x v="1"/>
    <n v="2700.7200000000003"/>
    <m/>
    <m/>
    <n v="5"/>
  </r>
  <r>
    <x v="8527"/>
    <x v="1701"/>
    <x v="0"/>
    <n v="3"/>
    <n v="900.24"/>
    <x v="73"/>
    <x v="6"/>
    <x v="0"/>
    <n v="2700.7200000000003"/>
    <m/>
    <m/>
    <n v="5"/>
  </r>
  <r>
    <x v="8528"/>
    <x v="1701"/>
    <x v="6"/>
    <n v="3"/>
    <n v="107.52"/>
    <x v="638"/>
    <x v="0"/>
    <x v="2"/>
    <n v="322.56"/>
    <m/>
    <m/>
    <n v="5"/>
  </r>
  <r>
    <x v="8529"/>
    <x v="1701"/>
    <x v="5"/>
    <n v="5"/>
    <n v="3000.85"/>
    <x v="578"/>
    <x v="1"/>
    <x v="1"/>
    <n v="15004.25"/>
    <m/>
    <m/>
    <n v="7"/>
  </r>
  <r>
    <x v="8530"/>
    <x v="1702"/>
    <x v="7"/>
    <n v="3"/>
    <n v="35.19"/>
    <x v="99"/>
    <x v="8"/>
    <x v="0"/>
    <n v="105.57"/>
    <m/>
    <m/>
    <n v="5"/>
  </r>
  <r>
    <x v="8531"/>
    <x v="1702"/>
    <x v="7"/>
    <n v="3"/>
    <n v="35.19"/>
    <x v="724"/>
    <x v="6"/>
    <x v="0"/>
    <n v="105.57"/>
    <m/>
    <m/>
    <n v="5"/>
  </r>
  <r>
    <x v="8532"/>
    <x v="1703"/>
    <x v="5"/>
    <n v="4"/>
    <n v="2400.6799999999998"/>
    <x v="374"/>
    <x v="0"/>
    <x v="1"/>
    <n v="9602.7199999999993"/>
    <m/>
    <m/>
    <n v="5"/>
  </r>
  <r>
    <x v="8533"/>
    <x v="1703"/>
    <x v="0"/>
    <n v="1"/>
    <n v="300.08"/>
    <x v="322"/>
    <x v="4"/>
    <x v="1"/>
    <n v="300.08"/>
    <m/>
    <m/>
    <n v="7"/>
  </r>
  <r>
    <x v="8534"/>
    <x v="1703"/>
    <x v="0"/>
    <n v="1"/>
    <n v="300.08"/>
    <x v="303"/>
    <x v="0"/>
    <x v="1"/>
    <n v="300.08"/>
    <m/>
    <m/>
    <n v="7"/>
  </r>
  <r>
    <x v="8535"/>
    <x v="1703"/>
    <x v="6"/>
    <n v="2"/>
    <n v="71.680000000000007"/>
    <x v="428"/>
    <x v="9"/>
    <x v="4"/>
    <n v="143.36000000000001"/>
    <m/>
    <m/>
    <n v="7"/>
  </r>
  <r>
    <x v="8536"/>
    <x v="1703"/>
    <x v="1"/>
    <n v="5"/>
    <n v="203.3"/>
    <x v="741"/>
    <x v="9"/>
    <x v="4"/>
    <n v="1016.5"/>
    <m/>
    <m/>
    <n v="10"/>
  </r>
  <r>
    <x v="8537"/>
    <x v="1704"/>
    <x v="0"/>
    <n v="5"/>
    <n v="1500.4"/>
    <x v="563"/>
    <x v="1"/>
    <x v="4"/>
    <n v="7502"/>
    <m/>
    <m/>
    <n v="5"/>
  </r>
  <r>
    <x v="8538"/>
    <x v="1704"/>
    <x v="0"/>
    <n v="5"/>
    <n v="1500.4"/>
    <x v="287"/>
    <x v="9"/>
    <x v="3"/>
    <n v="7502"/>
    <m/>
    <m/>
    <n v="7"/>
  </r>
  <r>
    <x v="8539"/>
    <x v="1704"/>
    <x v="0"/>
    <n v="5"/>
    <n v="1500.4"/>
    <x v="29"/>
    <x v="4"/>
    <x v="3"/>
    <n v="7502"/>
    <m/>
    <m/>
    <n v="7"/>
  </r>
  <r>
    <x v="8540"/>
    <x v="1704"/>
    <x v="5"/>
    <n v="2"/>
    <n v="1200.3399999999999"/>
    <x v="643"/>
    <x v="0"/>
    <x v="0"/>
    <n v="2400.6799999999998"/>
    <m/>
    <m/>
    <n v="7"/>
  </r>
  <r>
    <x v="8541"/>
    <x v="1704"/>
    <x v="0"/>
    <n v="3"/>
    <n v="900.24"/>
    <x v="218"/>
    <x v="5"/>
    <x v="3"/>
    <n v="2700.7200000000003"/>
    <m/>
    <m/>
    <n v="7"/>
  </r>
  <r>
    <x v="8542"/>
    <x v="1704"/>
    <x v="1"/>
    <n v="4"/>
    <n v="162.63999999999999"/>
    <x v="423"/>
    <x v="2"/>
    <x v="4"/>
    <n v="650.55999999999995"/>
    <m/>
    <m/>
    <n v="10"/>
  </r>
  <r>
    <x v="8543"/>
    <x v="1705"/>
    <x v="3"/>
    <n v="3"/>
    <n v="45.45"/>
    <x v="267"/>
    <x v="6"/>
    <x v="2"/>
    <n v="136.35000000000002"/>
    <m/>
    <m/>
    <n v="7"/>
  </r>
  <r>
    <x v="8544"/>
    <x v="1706"/>
    <x v="0"/>
    <n v="3"/>
    <n v="900.24"/>
    <x v="465"/>
    <x v="9"/>
    <x v="4"/>
    <n v="2700.7200000000003"/>
    <m/>
    <m/>
    <n v="5"/>
  </r>
  <r>
    <x v="8545"/>
    <x v="1706"/>
    <x v="4"/>
    <n v="3"/>
    <n v="3150"/>
    <x v="478"/>
    <x v="9"/>
    <x v="1"/>
    <n v="9450"/>
    <m/>
    <m/>
    <n v="5"/>
  </r>
  <r>
    <x v="8546"/>
    <x v="1706"/>
    <x v="7"/>
    <n v="2"/>
    <n v="23.46"/>
    <x v="752"/>
    <x v="6"/>
    <x v="1"/>
    <n v="46.92"/>
    <m/>
    <m/>
    <n v="5"/>
  </r>
  <r>
    <x v="8547"/>
    <x v="1706"/>
    <x v="2"/>
    <n v="4"/>
    <n v="20.92"/>
    <x v="580"/>
    <x v="1"/>
    <x v="3"/>
    <n v="83.68"/>
    <m/>
    <m/>
    <n v="7"/>
  </r>
  <r>
    <x v="8548"/>
    <x v="1706"/>
    <x v="0"/>
    <n v="4"/>
    <n v="1200.32"/>
    <x v="779"/>
    <x v="5"/>
    <x v="3"/>
    <n v="4801.28"/>
    <m/>
    <m/>
    <n v="7"/>
  </r>
  <r>
    <x v="8549"/>
    <x v="1707"/>
    <x v="5"/>
    <n v="3"/>
    <n v="1800.51"/>
    <x v="528"/>
    <x v="9"/>
    <x v="1"/>
    <n v="5401.53"/>
    <m/>
    <m/>
    <n v="7"/>
  </r>
  <r>
    <x v="8550"/>
    <x v="1707"/>
    <x v="2"/>
    <n v="1"/>
    <n v="5.23"/>
    <x v="428"/>
    <x v="9"/>
    <x v="1"/>
    <n v="5.23"/>
    <m/>
    <m/>
    <n v="7"/>
  </r>
  <r>
    <x v="8551"/>
    <x v="1707"/>
    <x v="1"/>
    <n v="4"/>
    <n v="162.63999999999999"/>
    <x v="586"/>
    <x v="6"/>
    <x v="3"/>
    <n v="650.55999999999995"/>
    <m/>
    <m/>
    <n v="10"/>
  </r>
  <r>
    <x v="8552"/>
    <x v="1708"/>
    <x v="4"/>
    <n v="5"/>
    <n v="5250"/>
    <x v="483"/>
    <x v="6"/>
    <x v="0"/>
    <n v="26250"/>
    <m/>
    <m/>
    <n v="5"/>
  </r>
  <r>
    <x v="8553"/>
    <x v="1708"/>
    <x v="1"/>
    <n v="1"/>
    <n v="40.659999999999997"/>
    <x v="81"/>
    <x v="6"/>
    <x v="3"/>
    <n v="40.659999999999997"/>
    <m/>
    <m/>
    <n v="5"/>
  </r>
  <r>
    <x v="8554"/>
    <x v="1708"/>
    <x v="0"/>
    <n v="5"/>
    <n v="1500.4"/>
    <x v="361"/>
    <x v="9"/>
    <x v="4"/>
    <n v="7502"/>
    <m/>
    <m/>
    <n v="7"/>
  </r>
  <r>
    <x v="8555"/>
    <x v="1709"/>
    <x v="0"/>
    <n v="4"/>
    <n v="1200.32"/>
    <x v="526"/>
    <x v="0"/>
    <x v="1"/>
    <n v="4801.28"/>
    <m/>
    <m/>
    <n v="5"/>
  </r>
  <r>
    <x v="8556"/>
    <x v="1709"/>
    <x v="0"/>
    <n v="4"/>
    <n v="1200.32"/>
    <x v="108"/>
    <x v="1"/>
    <x v="0"/>
    <n v="4801.28"/>
    <m/>
    <m/>
    <n v="5"/>
  </r>
  <r>
    <x v="8557"/>
    <x v="1709"/>
    <x v="5"/>
    <n v="3"/>
    <n v="1800.51"/>
    <x v="381"/>
    <x v="5"/>
    <x v="0"/>
    <n v="5401.53"/>
    <m/>
    <m/>
    <n v="5"/>
  </r>
  <r>
    <x v="8558"/>
    <x v="1709"/>
    <x v="0"/>
    <n v="1"/>
    <n v="300.08"/>
    <x v="287"/>
    <x v="6"/>
    <x v="3"/>
    <n v="300.08"/>
    <m/>
    <m/>
    <n v="7"/>
  </r>
  <r>
    <x v="8559"/>
    <x v="1709"/>
    <x v="1"/>
    <n v="2"/>
    <n v="81.319999999999993"/>
    <x v="330"/>
    <x v="6"/>
    <x v="2"/>
    <n v="162.63999999999999"/>
    <m/>
    <m/>
    <n v="7"/>
  </r>
  <r>
    <x v="8560"/>
    <x v="1709"/>
    <x v="0"/>
    <n v="4"/>
    <n v="1200.32"/>
    <x v="733"/>
    <x v="1"/>
    <x v="0"/>
    <n v="4801.28"/>
    <m/>
    <m/>
    <n v="7"/>
  </r>
  <r>
    <x v="8561"/>
    <x v="1709"/>
    <x v="1"/>
    <n v="4"/>
    <n v="162.63999999999999"/>
    <x v="182"/>
    <x v="9"/>
    <x v="1"/>
    <n v="650.55999999999995"/>
    <m/>
    <m/>
    <n v="7"/>
  </r>
  <r>
    <x v="8562"/>
    <x v="1710"/>
    <x v="5"/>
    <n v="4"/>
    <n v="2400.6799999999998"/>
    <x v="128"/>
    <x v="5"/>
    <x v="2"/>
    <n v="9602.7199999999993"/>
    <m/>
    <m/>
    <n v="5"/>
  </r>
  <r>
    <x v="8563"/>
    <x v="1710"/>
    <x v="0"/>
    <n v="2"/>
    <n v="600.16"/>
    <x v="629"/>
    <x v="0"/>
    <x v="4"/>
    <n v="1200.32"/>
    <m/>
    <m/>
    <n v="5"/>
  </r>
  <r>
    <x v="8564"/>
    <x v="1710"/>
    <x v="2"/>
    <n v="5"/>
    <n v="26.15"/>
    <x v="21"/>
    <x v="1"/>
    <x v="0"/>
    <n v="130.75"/>
    <m/>
    <m/>
    <n v="5"/>
  </r>
  <r>
    <x v="8565"/>
    <x v="1710"/>
    <x v="0"/>
    <n v="1"/>
    <n v="300.08"/>
    <x v="715"/>
    <x v="5"/>
    <x v="3"/>
    <n v="300.08"/>
    <m/>
    <m/>
    <n v="7"/>
  </r>
  <r>
    <x v="8566"/>
    <x v="1710"/>
    <x v="1"/>
    <n v="3"/>
    <n v="121.98"/>
    <x v="733"/>
    <x v="6"/>
    <x v="0"/>
    <n v="365.94"/>
    <m/>
    <m/>
    <n v="7"/>
  </r>
  <r>
    <x v="8567"/>
    <x v="1711"/>
    <x v="0"/>
    <n v="1"/>
    <n v="300.08"/>
    <x v="749"/>
    <x v="4"/>
    <x v="4"/>
    <n v="300.08"/>
    <m/>
    <m/>
    <n v="5"/>
  </r>
  <r>
    <x v="8568"/>
    <x v="1711"/>
    <x v="0"/>
    <n v="1"/>
    <n v="300.08"/>
    <x v="433"/>
    <x v="3"/>
    <x v="3"/>
    <n v="300.08"/>
    <m/>
    <m/>
    <n v="5"/>
  </r>
  <r>
    <x v="8569"/>
    <x v="1711"/>
    <x v="2"/>
    <n v="2"/>
    <n v="10.46"/>
    <x v="417"/>
    <x v="4"/>
    <x v="4"/>
    <n v="20.92"/>
    <m/>
    <m/>
    <n v="5"/>
  </r>
  <r>
    <x v="8570"/>
    <x v="1711"/>
    <x v="7"/>
    <n v="2"/>
    <n v="23.46"/>
    <x v="323"/>
    <x v="0"/>
    <x v="1"/>
    <n v="46.92"/>
    <m/>
    <m/>
    <n v="7"/>
  </r>
  <r>
    <x v="8571"/>
    <x v="1711"/>
    <x v="4"/>
    <n v="5"/>
    <n v="5250"/>
    <x v="470"/>
    <x v="0"/>
    <x v="3"/>
    <n v="26250"/>
    <m/>
    <m/>
    <n v="7"/>
  </r>
  <r>
    <x v="8572"/>
    <x v="1711"/>
    <x v="4"/>
    <n v="5"/>
    <n v="5250"/>
    <x v="148"/>
    <x v="2"/>
    <x v="4"/>
    <n v="26250"/>
    <m/>
    <m/>
    <n v="7"/>
  </r>
  <r>
    <x v="8573"/>
    <x v="1711"/>
    <x v="1"/>
    <n v="2"/>
    <n v="81.319999999999993"/>
    <x v="668"/>
    <x v="9"/>
    <x v="4"/>
    <n v="162.63999999999999"/>
    <m/>
    <m/>
    <n v="7"/>
  </r>
  <r>
    <x v="8574"/>
    <x v="1711"/>
    <x v="4"/>
    <n v="5"/>
    <n v="5250"/>
    <x v="346"/>
    <x v="1"/>
    <x v="1"/>
    <n v="26250"/>
    <m/>
    <m/>
    <n v="7"/>
  </r>
  <r>
    <x v="8575"/>
    <x v="1712"/>
    <x v="4"/>
    <n v="1"/>
    <n v="1050"/>
    <x v="618"/>
    <x v="7"/>
    <x v="3"/>
    <n v="1050"/>
    <m/>
    <m/>
    <n v="5"/>
  </r>
  <r>
    <x v="8576"/>
    <x v="1712"/>
    <x v="2"/>
    <n v="4"/>
    <n v="20.92"/>
    <x v="518"/>
    <x v="8"/>
    <x v="0"/>
    <n v="83.68"/>
    <m/>
    <m/>
    <n v="5"/>
  </r>
  <r>
    <x v="8577"/>
    <x v="1712"/>
    <x v="1"/>
    <n v="4"/>
    <n v="162.63999999999999"/>
    <x v="203"/>
    <x v="4"/>
    <x v="4"/>
    <n v="650.55999999999995"/>
    <m/>
    <m/>
    <n v="10"/>
  </r>
  <r>
    <x v="8578"/>
    <x v="1713"/>
    <x v="6"/>
    <n v="3"/>
    <n v="107.52"/>
    <x v="616"/>
    <x v="1"/>
    <x v="3"/>
    <n v="322.56"/>
    <m/>
    <m/>
    <n v="5"/>
  </r>
  <r>
    <x v="8579"/>
    <x v="1713"/>
    <x v="7"/>
    <n v="1"/>
    <n v="11.73"/>
    <x v="177"/>
    <x v="0"/>
    <x v="2"/>
    <n v="11.73"/>
    <m/>
    <m/>
    <n v="5"/>
  </r>
  <r>
    <x v="8580"/>
    <x v="1713"/>
    <x v="0"/>
    <n v="4"/>
    <n v="1200.32"/>
    <x v="738"/>
    <x v="6"/>
    <x v="3"/>
    <n v="4801.28"/>
    <m/>
    <m/>
    <n v="7"/>
  </r>
  <r>
    <x v="8581"/>
    <x v="1713"/>
    <x v="0"/>
    <n v="4"/>
    <n v="1200.32"/>
    <x v="340"/>
    <x v="5"/>
    <x v="4"/>
    <n v="4801.28"/>
    <m/>
    <m/>
    <n v="7"/>
  </r>
  <r>
    <x v="8582"/>
    <x v="1713"/>
    <x v="0"/>
    <n v="2"/>
    <n v="600.16"/>
    <x v="193"/>
    <x v="0"/>
    <x v="2"/>
    <n v="1200.32"/>
    <m/>
    <m/>
    <n v="7"/>
  </r>
  <r>
    <x v="8583"/>
    <x v="1713"/>
    <x v="4"/>
    <n v="2"/>
    <n v="2100"/>
    <x v="125"/>
    <x v="0"/>
    <x v="1"/>
    <n v="4200"/>
    <m/>
    <m/>
    <n v="7"/>
  </r>
  <r>
    <x v="8584"/>
    <x v="1714"/>
    <x v="0"/>
    <n v="5"/>
    <n v="1500.4"/>
    <x v="766"/>
    <x v="1"/>
    <x v="0"/>
    <n v="7502"/>
    <m/>
    <m/>
    <n v="5"/>
  </r>
  <r>
    <x v="8585"/>
    <x v="1714"/>
    <x v="5"/>
    <n v="1"/>
    <n v="600.16999999999996"/>
    <x v="580"/>
    <x v="2"/>
    <x v="2"/>
    <n v="600.16999999999996"/>
    <m/>
    <m/>
    <n v="7"/>
  </r>
  <r>
    <x v="8586"/>
    <x v="1714"/>
    <x v="5"/>
    <n v="2"/>
    <n v="1200.3399999999999"/>
    <x v="634"/>
    <x v="9"/>
    <x v="4"/>
    <n v="2400.6799999999998"/>
    <m/>
    <m/>
    <n v="7"/>
  </r>
  <r>
    <x v="8587"/>
    <x v="1714"/>
    <x v="6"/>
    <n v="5"/>
    <n v="179.2"/>
    <x v="746"/>
    <x v="7"/>
    <x v="4"/>
    <n v="896"/>
    <m/>
    <m/>
    <n v="10"/>
  </r>
  <r>
    <x v="8588"/>
    <x v="1715"/>
    <x v="1"/>
    <n v="5"/>
    <n v="203.3"/>
    <x v="562"/>
    <x v="6"/>
    <x v="1"/>
    <n v="1016.5"/>
    <m/>
    <m/>
    <n v="5"/>
  </r>
  <r>
    <x v="8589"/>
    <x v="1715"/>
    <x v="0"/>
    <n v="2"/>
    <n v="600.16"/>
    <x v="563"/>
    <x v="5"/>
    <x v="3"/>
    <n v="1200.32"/>
    <m/>
    <m/>
    <n v="5"/>
  </r>
  <r>
    <x v="8590"/>
    <x v="1715"/>
    <x v="0"/>
    <n v="2"/>
    <n v="600.16"/>
    <x v="302"/>
    <x v="0"/>
    <x v="0"/>
    <n v="1200.32"/>
    <m/>
    <m/>
    <n v="5"/>
  </r>
  <r>
    <x v="8591"/>
    <x v="1715"/>
    <x v="5"/>
    <n v="2"/>
    <n v="1200.3399999999999"/>
    <x v="362"/>
    <x v="2"/>
    <x v="1"/>
    <n v="2400.6799999999998"/>
    <m/>
    <m/>
    <n v="7"/>
  </r>
  <r>
    <x v="8592"/>
    <x v="1715"/>
    <x v="4"/>
    <n v="3"/>
    <n v="3150"/>
    <x v="111"/>
    <x v="8"/>
    <x v="1"/>
    <n v="9450"/>
    <m/>
    <m/>
    <n v="7"/>
  </r>
  <r>
    <x v="8593"/>
    <x v="1716"/>
    <x v="1"/>
    <n v="3"/>
    <n v="121.98"/>
    <x v="373"/>
    <x v="1"/>
    <x v="1"/>
    <n v="365.94"/>
    <m/>
    <m/>
    <n v="5"/>
  </r>
  <r>
    <x v="8594"/>
    <x v="1716"/>
    <x v="0"/>
    <n v="3"/>
    <n v="900.24"/>
    <x v="391"/>
    <x v="4"/>
    <x v="2"/>
    <n v="2700.7200000000003"/>
    <m/>
    <m/>
    <n v="7"/>
  </r>
  <r>
    <x v="8595"/>
    <x v="1716"/>
    <x v="3"/>
    <n v="4"/>
    <n v="60.6"/>
    <x v="542"/>
    <x v="9"/>
    <x v="0"/>
    <n v="242.4"/>
    <m/>
    <m/>
    <n v="7"/>
  </r>
  <r>
    <x v="8596"/>
    <x v="1716"/>
    <x v="6"/>
    <n v="4"/>
    <n v="143.36000000000001"/>
    <x v="413"/>
    <x v="1"/>
    <x v="4"/>
    <n v="573.44000000000005"/>
    <m/>
    <m/>
    <n v="7"/>
  </r>
  <r>
    <x v="8597"/>
    <x v="1717"/>
    <x v="5"/>
    <n v="3"/>
    <n v="1800.51"/>
    <x v="318"/>
    <x v="3"/>
    <x v="4"/>
    <n v="5401.53"/>
    <m/>
    <m/>
    <n v="5"/>
  </r>
  <r>
    <x v="8598"/>
    <x v="1717"/>
    <x v="0"/>
    <n v="4"/>
    <n v="1200.32"/>
    <x v="750"/>
    <x v="1"/>
    <x v="4"/>
    <n v="4801.28"/>
    <m/>
    <m/>
    <n v="5"/>
  </r>
  <r>
    <x v="8599"/>
    <x v="1717"/>
    <x v="1"/>
    <n v="1"/>
    <n v="40.659999999999997"/>
    <x v="410"/>
    <x v="6"/>
    <x v="2"/>
    <n v="40.659999999999997"/>
    <m/>
    <m/>
    <n v="5"/>
  </r>
  <r>
    <x v="8600"/>
    <x v="1717"/>
    <x v="0"/>
    <n v="2"/>
    <n v="600.16"/>
    <x v="718"/>
    <x v="6"/>
    <x v="0"/>
    <n v="1200.32"/>
    <m/>
    <m/>
    <n v="7"/>
  </r>
  <r>
    <x v="8601"/>
    <x v="1717"/>
    <x v="2"/>
    <n v="4"/>
    <n v="20.92"/>
    <x v="514"/>
    <x v="6"/>
    <x v="4"/>
    <n v="83.68"/>
    <m/>
    <m/>
    <n v="7"/>
  </r>
  <r>
    <x v="8602"/>
    <x v="1717"/>
    <x v="7"/>
    <n v="4"/>
    <n v="46.92"/>
    <x v="211"/>
    <x v="0"/>
    <x v="2"/>
    <n v="187.68"/>
    <m/>
    <m/>
    <n v="10"/>
  </r>
  <r>
    <x v="8603"/>
    <x v="1718"/>
    <x v="7"/>
    <n v="3"/>
    <n v="35.19"/>
    <x v="14"/>
    <x v="0"/>
    <x v="0"/>
    <n v="105.57"/>
    <m/>
    <m/>
    <n v="5"/>
  </r>
  <r>
    <x v="8604"/>
    <x v="1718"/>
    <x v="0"/>
    <n v="1"/>
    <n v="300.08"/>
    <x v="508"/>
    <x v="1"/>
    <x v="2"/>
    <n v="300.08"/>
    <m/>
    <m/>
    <n v="7"/>
  </r>
  <r>
    <x v="8605"/>
    <x v="1718"/>
    <x v="2"/>
    <n v="1"/>
    <n v="5.23"/>
    <x v="262"/>
    <x v="8"/>
    <x v="0"/>
    <n v="5.23"/>
    <m/>
    <m/>
    <n v="7"/>
  </r>
  <r>
    <x v="8606"/>
    <x v="1718"/>
    <x v="0"/>
    <n v="1"/>
    <n v="300.08"/>
    <x v="456"/>
    <x v="0"/>
    <x v="2"/>
    <n v="300.08"/>
    <m/>
    <m/>
    <n v="7"/>
  </r>
  <r>
    <x v="8607"/>
    <x v="1719"/>
    <x v="0"/>
    <n v="4"/>
    <n v="1200.32"/>
    <x v="493"/>
    <x v="5"/>
    <x v="4"/>
    <n v="4801.28"/>
    <m/>
    <m/>
    <n v="5"/>
  </r>
  <r>
    <x v="8608"/>
    <x v="1719"/>
    <x v="2"/>
    <n v="5"/>
    <n v="26.15"/>
    <x v="115"/>
    <x v="6"/>
    <x v="4"/>
    <n v="130.75"/>
    <m/>
    <m/>
    <n v="5"/>
  </r>
  <r>
    <x v="8609"/>
    <x v="1719"/>
    <x v="5"/>
    <n v="2"/>
    <n v="1200.3399999999999"/>
    <x v="187"/>
    <x v="4"/>
    <x v="4"/>
    <n v="2400.6799999999998"/>
    <m/>
    <m/>
    <n v="5"/>
  </r>
  <r>
    <x v="8610"/>
    <x v="1719"/>
    <x v="2"/>
    <n v="2"/>
    <n v="10.46"/>
    <x v="738"/>
    <x v="1"/>
    <x v="1"/>
    <n v="20.92"/>
    <m/>
    <m/>
    <n v="7"/>
  </r>
  <r>
    <x v="8611"/>
    <x v="1720"/>
    <x v="1"/>
    <n v="4"/>
    <n v="162.63999999999999"/>
    <x v="539"/>
    <x v="6"/>
    <x v="2"/>
    <n v="650.55999999999995"/>
    <m/>
    <m/>
    <n v="7"/>
  </r>
  <r>
    <x v="8612"/>
    <x v="1720"/>
    <x v="0"/>
    <n v="3"/>
    <n v="900.24"/>
    <x v="123"/>
    <x v="4"/>
    <x v="2"/>
    <n v="2700.7200000000003"/>
    <m/>
    <m/>
    <n v="7"/>
  </r>
  <r>
    <x v="8613"/>
    <x v="1721"/>
    <x v="6"/>
    <n v="5"/>
    <n v="179.2"/>
    <x v="419"/>
    <x v="0"/>
    <x v="0"/>
    <n v="896"/>
    <m/>
    <m/>
    <n v="7"/>
  </r>
  <r>
    <x v="8614"/>
    <x v="1721"/>
    <x v="2"/>
    <n v="4"/>
    <n v="20.92"/>
    <x v="297"/>
    <x v="6"/>
    <x v="2"/>
    <n v="83.68"/>
    <m/>
    <m/>
    <n v="7"/>
  </r>
  <r>
    <x v="8615"/>
    <x v="1721"/>
    <x v="0"/>
    <n v="1"/>
    <n v="300.08"/>
    <x v="553"/>
    <x v="1"/>
    <x v="2"/>
    <n v="300.08"/>
    <m/>
    <m/>
    <n v="7"/>
  </r>
  <r>
    <x v="8616"/>
    <x v="1722"/>
    <x v="2"/>
    <n v="1"/>
    <n v="5.23"/>
    <x v="157"/>
    <x v="2"/>
    <x v="2"/>
    <n v="5.23"/>
    <m/>
    <m/>
    <n v="5"/>
  </r>
  <r>
    <x v="8617"/>
    <x v="1722"/>
    <x v="2"/>
    <n v="5"/>
    <n v="26.15"/>
    <x v="262"/>
    <x v="6"/>
    <x v="1"/>
    <n v="130.75"/>
    <m/>
    <m/>
    <n v="7"/>
  </r>
  <r>
    <x v="8618"/>
    <x v="1722"/>
    <x v="2"/>
    <n v="2"/>
    <n v="10.46"/>
    <x v="25"/>
    <x v="3"/>
    <x v="4"/>
    <n v="20.92"/>
    <m/>
    <m/>
    <n v="7"/>
  </r>
  <r>
    <x v="8619"/>
    <x v="1722"/>
    <x v="0"/>
    <n v="2"/>
    <n v="600.16"/>
    <x v="196"/>
    <x v="4"/>
    <x v="0"/>
    <n v="1200.32"/>
    <m/>
    <m/>
    <n v="10"/>
  </r>
  <r>
    <x v="8620"/>
    <x v="1723"/>
    <x v="0"/>
    <n v="3"/>
    <n v="900.24"/>
    <x v="691"/>
    <x v="9"/>
    <x v="2"/>
    <n v="2700.7200000000003"/>
    <m/>
    <m/>
    <n v="7"/>
  </r>
  <r>
    <x v="8621"/>
    <x v="1723"/>
    <x v="2"/>
    <n v="1"/>
    <n v="5.23"/>
    <x v="321"/>
    <x v="0"/>
    <x v="1"/>
    <n v="5.23"/>
    <m/>
    <m/>
    <n v="7"/>
  </r>
  <r>
    <x v="8622"/>
    <x v="1723"/>
    <x v="0"/>
    <n v="5"/>
    <n v="1500.4"/>
    <x v="3"/>
    <x v="1"/>
    <x v="4"/>
    <n v="7502"/>
    <m/>
    <m/>
    <n v="7"/>
  </r>
  <r>
    <x v="8623"/>
    <x v="1723"/>
    <x v="6"/>
    <n v="1"/>
    <n v="35.840000000000003"/>
    <x v="496"/>
    <x v="0"/>
    <x v="4"/>
    <n v="35.840000000000003"/>
    <m/>
    <m/>
    <n v="10"/>
  </r>
  <r>
    <x v="8624"/>
    <x v="1724"/>
    <x v="2"/>
    <n v="2"/>
    <n v="10.46"/>
    <x v="493"/>
    <x v="0"/>
    <x v="2"/>
    <n v="20.92"/>
    <m/>
    <m/>
    <n v="5"/>
  </r>
  <r>
    <x v="8625"/>
    <x v="1724"/>
    <x v="7"/>
    <n v="2"/>
    <n v="23.46"/>
    <x v="737"/>
    <x v="0"/>
    <x v="1"/>
    <n v="46.92"/>
    <m/>
    <m/>
    <n v="5"/>
  </r>
  <r>
    <x v="8626"/>
    <x v="1724"/>
    <x v="4"/>
    <n v="1"/>
    <n v="1050"/>
    <x v="391"/>
    <x v="6"/>
    <x v="0"/>
    <n v="1050"/>
    <m/>
    <m/>
    <n v="7"/>
  </r>
  <r>
    <x v="8627"/>
    <x v="1724"/>
    <x v="1"/>
    <n v="2"/>
    <n v="81.319999999999993"/>
    <x v="394"/>
    <x v="8"/>
    <x v="1"/>
    <n v="162.63999999999999"/>
    <m/>
    <m/>
    <n v="7"/>
  </r>
  <r>
    <x v="8628"/>
    <x v="1724"/>
    <x v="7"/>
    <n v="4"/>
    <n v="46.92"/>
    <x v="20"/>
    <x v="1"/>
    <x v="1"/>
    <n v="187.68"/>
    <m/>
    <m/>
    <n v="7"/>
  </r>
  <r>
    <x v="8629"/>
    <x v="1725"/>
    <x v="3"/>
    <n v="2"/>
    <n v="30.3"/>
    <x v="587"/>
    <x v="1"/>
    <x v="0"/>
    <n v="60.6"/>
    <m/>
    <m/>
    <n v="5"/>
  </r>
  <r>
    <x v="8630"/>
    <x v="1725"/>
    <x v="4"/>
    <n v="5"/>
    <n v="5250"/>
    <x v="388"/>
    <x v="2"/>
    <x v="0"/>
    <n v="26250"/>
    <m/>
    <m/>
    <n v="7"/>
  </r>
  <r>
    <x v="8631"/>
    <x v="1725"/>
    <x v="5"/>
    <n v="4"/>
    <n v="2400.6799999999998"/>
    <x v="530"/>
    <x v="1"/>
    <x v="3"/>
    <n v="9602.7199999999993"/>
    <m/>
    <m/>
    <n v="7"/>
  </r>
  <r>
    <x v="8632"/>
    <x v="1725"/>
    <x v="6"/>
    <n v="2"/>
    <n v="71.680000000000007"/>
    <x v="250"/>
    <x v="3"/>
    <x v="2"/>
    <n v="143.36000000000001"/>
    <m/>
    <m/>
    <n v="7"/>
  </r>
  <r>
    <x v="8633"/>
    <x v="1725"/>
    <x v="6"/>
    <n v="4"/>
    <n v="143.36000000000001"/>
    <x v="746"/>
    <x v="2"/>
    <x v="4"/>
    <n v="573.44000000000005"/>
    <m/>
    <m/>
    <n v="10"/>
  </r>
  <r>
    <x v="8634"/>
    <x v="1726"/>
    <x v="1"/>
    <n v="1"/>
    <n v="40.659999999999997"/>
    <x v="57"/>
    <x v="6"/>
    <x v="4"/>
    <n v="40.659999999999997"/>
    <m/>
    <m/>
    <n v="5"/>
  </r>
  <r>
    <x v="8635"/>
    <x v="1726"/>
    <x v="0"/>
    <n v="4"/>
    <n v="1200.32"/>
    <x v="575"/>
    <x v="7"/>
    <x v="3"/>
    <n v="4801.28"/>
    <m/>
    <m/>
    <n v="5"/>
  </r>
  <r>
    <x v="8636"/>
    <x v="1726"/>
    <x v="2"/>
    <n v="5"/>
    <n v="26.15"/>
    <x v="479"/>
    <x v="1"/>
    <x v="2"/>
    <n v="130.75"/>
    <m/>
    <m/>
    <n v="5"/>
  </r>
  <r>
    <x v="8637"/>
    <x v="1726"/>
    <x v="0"/>
    <n v="2"/>
    <n v="600.16"/>
    <x v="234"/>
    <x v="2"/>
    <x v="2"/>
    <n v="1200.32"/>
    <m/>
    <m/>
    <n v="7"/>
  </r>
  <r>
    <x v="8638"/>
    <x v="1726"/>
    <x v="5"/>
    <n v="5"/>
    <n v="3000.85"/>
    <x v="559"/>
    <x v="2"/>
    <x v="0"/>
    <n v="15004.25"/>
    <m/>
    <m/>
    <n v="7"/>
  </r>
  <r>
    <x v="8639"/>
    <x v="1727"/>
    <x v="1"/>
    <n v="1"/>
    <n v="40.659999999999997"/>
    <x v="125"/>
    <x v="1"/>
    <x v="4"/>
    <n v="40.659999999999997"/>
    <m/>
    <m/>
    <n v="7"/>
  </r>
  <r>
    <x v="8640"/>
    <x v="1727"/>
    <x v="7"/>
    <n v="4"/>
    <n v="46.92"/>
    <x v="511"/>
    <x v="9"/>
    <x v="4"/>
    <n v="187.68"/>
    <m/>
    <m/>
    <n v="7"/>
  </r>
  <r>
    <x v="8641"/>
    <x v="1728"/>
    <x v="4"/>
    <n v="5"/>
    <n v="5250"/>
    <x v="290"/>
    <x v="2"/>
    <x v="0"/>
    <n v="26250"/>
    <m/>
    <m/>
    <n v="5"/>
  </r>
  <r>
    <x v="8642"/>
    <x v="1728"/>
    <x v="3"/>
    <n v="1"/>
    <n v="15.15"/>
    <x v="290"/>
    <x v="9"/>
    <x v="1"/>
    <n v="15.15"/>
    <m/>
    <m/>
    <n v="5"/>
  </r>
  <r>
    <x v="8643"/>
    <x v="1728"/>
    <x v="1"/>
    <n v="1"/>
    <n v="40.659999999999997"/>
    <x v="47"/>
    <x v="0"/>
    <x v="2"/>
    <n v="40.659999999999997"/>
    <m/>
    <m/>
    <n v="5"/>
  </r>
  <r>
    <x v="8644"/>
    <x v="1728"/>
    <x v="1"/>
    <n v="2"/>
    <n v="81.319999999999993"/>
    <x v="677"/>
    <x v="0"/>
    <x v="2"/>
    <n v="162.63999999999999"/>
    <m/>
    <m/>
    <n v="5"/>
  </r>
  <r>
    <x v="8645"/>
    <x v="1728"/>
    <x v="4"/>
    <n v="2"/>
    <n v="2100"/>
    <x v="594"/>
    <x v="6"/>
    <x v="3"/>
    <n v="4200"/>
    <m/>
    <m/>
    <n v="7"/>
  </r>
  <r>
    <x v="8646"/>
    <x v="1728"/>
    <x v="7"/>
    <n v="4"/>
    <n v="46.92"/>
    <x v="611"/>
    <x v="6"/>
    <x v="4"/>
    <n v="187.68"/>
    <m/>
    <m/>
    <n v="7"/>
  </r>
  <r>
    <x v="8647"/>
    <x v="1728"/>
    <x v="1"/>
    <n v="1"/>
    <n v="40.659999999999997"/>
    <x v="52"/>
    <x v="4"/>
    <x v="1"/>
    <n v="40.659999999999997"/>
    <m/>
    <m/>
    <n v="7"/>
  </r>
  <r>
    <x v="8648"/>
    <x v="1728"/>
    <x v="0"/>
    <n v="3"/>
    <n v="900.24"/>
    <x v="630"/>
    <x v="5"/>
    <x v="1"/>
    <n v="2700.7200000000003"/>
    <m/>
    <m/>
    <n v="7"/>
  </r>
  <r>
    <x v="8649"/>
    <x v="1729"/>
    <x v="2"/>
    <n v="5"/>
    <n v="26.15"/>
    <x v="636"/>
    <x v="1"/>
    <x v="0"/>
    <n v="130.75"/>
    <m/>
    <m/>
    <n v="5"/>
  </r>
  <r>
    <x v="8650"/>
    <x v="1729"/>
    <x v="0"/>
    <n v="4"/>
    <n v="1200.32"/>
    <x v="601"/>
    <x v="2"/>
    <x v="2"/>
    <n v="4801.28"/>
    <m/>
    <m/>
    <n v="7"/>
  </r>
  <r>
    <x v="8651"/>
    <x v="1730"/>
    <x v="7"/>
    <n v="1"/>
    <n v="11.73"/>
    <x v="16"/>
    <x v="9"/>
    <x v="1"/>
    <n v="11.73"/>
    <m/>
    <m/>
    <n v="7"/>
  </r>
  <r>
    <x v="8652"/>
    <x v="1730"/>
    <x v="0"/>
    <n v="5"/>
    <n v="1500.4"/>
    <x v="75"/>
    <x v="0"/>
    <x v="1"/>
    <n v="7502"/>
    <m/>
    <m/>
    <n v="7"/>
  </r>
  <r>
    <x v="8653"/>
    <x v="1730"/>
    <x v="1"/>
    <n v="2"/>
    <n v="81.319999999999993"/>
    <x v="633"/>
    <x v="6"/>
    <x v="1"/>
    <n v="162.63999999999999"/>
    <m/>
    <m/>
    <n v="7"/>
  </r>
  <r>
    <x v="8654"/>
    <x v="1730"/>
    <x v="1"/>
    <n v="4"/>
    <n v="162.63999999999999"/>
    <x v="578"/>
    <x v="6"/>
    <x v="1"/>
    <n v="650.55999999999995"/>
    <m/>
    <m/>
    <n v="7"/>
  </r>
  <r>
    <x v="8655"/>
    <x v="1730"/>
    <x v="7"/>
    <n v="1"/>
    <n v="11.73"/>
    <x v="42"/>
    <x v="6"/>
    <x v="4"/>
    <n v="11.73"/>
    <m/>
    <m/>
    <n v="10"/>
  </r>
  <r>
    <x v="8656"/>
    <x v="1731"/>
    <x v="5"/>
    <n v="1"/>
    <n v="600.16999999999996"/>
    <x v="151"/>
    <x v="6"/>
    <x v="2"/>
    <n v="600.16999999999996"/>
    <m/>
    <m/>
    <n v="5"/>
  </r>
  <r>
    <x v="8657"/>
    <x v="1731"/>
    <x v="6"/>
    <n v="4"/>
    <n v="143.36000000000001"/>
    <x v="689"/>
    <x v="6"/>
    <x v="1"/>
    <n v="573.44000000000005"/>
    <m/>
    <m/>
    <n v="7"/>
  </r>
  <r>
    <x v="8658"/>
    <x v="1731"/>
    <x v="1"/>
    <n v="5"/>
    <n v="203.3"/>
    <x v="393"/>
    <x v="9"/>
    <x v="4"/>
    <n v="1016.5"/>
    <m/>
    <m/>
    <n v="7"/>
  </r>
  <r>
    <x v="8659"/>
    <x v="1731"/>
    <x v="7"/>
    <n v="5"/>
    <n v="58.65"/>
    <x v="61"/>
    <x v="5"/>
    <x v="0"/>
    <n v="293.25"/>
    <m/>
    <m/>
    <n v="10"/>
  </r>
  <r>
    <x v="8660"/>
    <x v="1732"/>
    <x v="2"/>
    <n v="5"/>
    <n v="26.15"/>
    <x v="446"/>
    <x v="0"/>
    <x v="1"/>
    <n v="130.75"/>
    <m/>
    <m/>
    <n v="5"/>
  </r>
  <r>
    <x v="8661"/>
    <x v="1732"/>
    <x v="4"/>
    <n v="3"/>
    <n v="3150"/>
    <x v="431"/>
    <x v="9"/>
    <x v="0"/>
    <n v="9450"/>
    <m/>
    <m/>
    <n v="7"/>
  </r>
  <r>
    <x v="8662"/>
    <x v="1733"/>
    <x v="0"/>
    <n v="5"/>
    <n v="1500.4"/>
    <x v="537"/>
    <x v="1"/>
    <x v="1"/>
    <n v="7502"/>
    <m/>
    <m/>
    <n v="5"/>
  </r>
  <r>
    <x v="8663"/>
    <x v="1733"/>
    <x v="0"/>
    <n v="1"/>
    <n v="300.08"/>
    <x v="10"/>
    <x v="7"/>
    <x v="3"/>
    <n v="300.08"/>
    <m/>
    <m/>
    <n v="5"/>
  </r>
  <r>
    <x v="8664"/>
    <x v="1733"/>
    <x v="0"/>
    <n v="2"/>
    <n v="600.16"/>
    <x v="743"/>
    <x v="6"/>
    <x v="1"/>
    <n v="1200.32"/>
    <m/>
    <m/>
    <n v="5"/>
  </r>
  <r>
    <x v="8665"/>
    <x v="1733"/>
    <x v="5"/>
    <n v="4"/>
    <n v="2400.6799999999998"/>
    <x v="753"/>
    <x v="2"/>
    <x v="0"/>
    <n v="9602.7199999999993"/>
    <m/>
    <m/>
    <n v="7"/>
  </r>
  <r>
    <x v="8666"/>
    <x v="1733"/>
    <x v="6"/>
    <n v="4"/>
    <n v="143.36000000000001"/>
    <x v="683"/>
    <x v="1"/>
    <x v="2"/>
    <n v="573.44000000000005"/>
    <m/>
    <m/>
    <n v="7"/>
  </r>
  <r>
    <x v="8667"/>
    <x v="1734"/>
    <x v="1"/>
    <n v="4"/>
    <n v="162.63999999999999"/>
    <x v="30"/>
    <x v="1"/>
    <x v="3"/>
    <n v="650.55999999999995"/>
    <m/>
    <m/>
    <n v="5"/>
  </r>
  <r>
    <x v="8668"/>
    <x v="1734"/>
    <x v="0"/>
    <n v="5"/>
    <n v="1500.4"/>
    <x v="279"/>
    <x v="8"/>
    <x v="4"/>
    <n v="7502"/>
    <m/>
    <m/>
    <n v="5"/>
  </r>
  <r>
    <x v="8669"/>
    <x v="1734"/>
    <x v="0"/>
    <n v="4"/>
    <n v="1200.32"/>
    <x v="448"/>
    <x v="7"/>
    <x v="0"/>
    <n v="4801.28"/>
    <m/>
    <m/>
    <n v="7"/>
  </r>
  <r>
    <x v="8670"/>
    <x v="1735"/>
    <x v="7"/>
    <n v="4"/>
    <n v="46.92"/>
    <x v="133"/>
    <x v="1"/>
    <x v="4"/>
    <n v="187.68"/>
    <m/>
    <m/>
    <n v="5"/>
  </r>
  <r>
    <x v="8671"/>
    <x v="1735"/>
    <x v="2"/>
    <n v="1"/>
    <n v="5.23"/>
    <x v="271"/>
    <x v="5"/>
    <x v="2"/>
    <n v="5.23"/>
    <m/>
    <m/>
    <n v="5"/>
  </r>
  <r>
    <x v="8672"/>
    <x v="1735"/>
    <x v="0"/>
    <n v="4"/>
    <n v="1200.32"/>
    <x v="373"/>
    <x v="7"/>
    <x v="3"/>
    <n v="4801.28"/>
    <m/>
    <m/>
    <n v="5"/>
  </r>
  <r>
    <x v="8673"/>
    <x v="1735"/>
    <x v="2"/>
    <n v="2"/>
    <n v="10.46"/>
    <x v="79"/>
    <x v="6"/>
    <x v="4"/>
    <n v="20.92"/>
    <m/>
    <m/>
    <n v="5"/>
  </r>
  <r>
    <x v="8674"/>
    <x v="1735"/>
    <x v="0"/>
    <n v="3"/>
    <n v="900.24"/>
    <x v="374"/>
    <x v="9"/>
    <x v="3"/>
    <n v="2700.7200000000003"/>
    <m/>
    <m/>
    <n v="5"/>
  </r>
  <r>
    <x v="8675"/>
    <x v="1735"/>
    <x v="0"/>
    <n v="4"/>
    <n v="1200.32"/>
    <x v="40"/>
    <x v="8"/>
    <x v="4"/>
    <n v="4801.28"/>
    <m/>
    <m/>
    <n v="7"/>
  </r>
  <r>
    <x v="8676"/>
    <x v="1735"/>
    <x v="0"/>
    <n v="3"/>
    <n v="900.24"/>
    <x v="260"/>
    <x v="6"/>
    <x v="1"/>
    <n v="2700.7200000000003"/>
    <m/>
    <m/>
    <n v="7"/>
  </r>
  <r>
    <x v="8677"/>
    <x v="1736"/>
    <x v="0"/>
    <n v="4"/>
    <n v="1200.32"/>
    <x v="78"/>
    <x v="0"/>
    <x v="0"/>
    <n v="4801.28"/>
    <m/>
    <m/>
    <n v="5"/>
  </r>
  <r>
    <x v="8678"/>
    <x v="1736"/>
    <x v="1"/>
    <n v="4"/>
    <n v="162.63999999999999"/>
    <x v="557"/>
    <x v="1"/>
    <x v="1"/>
    <n v="650.55999999999995"/>
    <m/>
    <m/>
    <n v="7"/>
  </r>
  <r>
    <x v="8679"/>
    <x v="1736"/>
    <x v="1"/>
    <n v="3"/>
    <n v="121.98"/>
    <x v="703"/>
    <x v="9"/>
    <x v="1"/>
    <n v="365.94"/>
    <m/>
    <m/>
    <n v="7"/>
  </r>
  <r>
    <x v="8680"/>
    <x v="1736"/>
    <x v="0"/>
    <n v="3"/>
    <n v="900.24"/>
    <x v="241"/>
    <x v="2"/>
    <x v="0"/>
    <n v="2700.7200000000003"/>
    <m/>
    <m/>
    <n v="7"/>
  </r>
  <r>
    <x v="8681"/>
    <x v="1737"/>
    <x v="1"/>
    <n v="3"/>
    <n v="121.98"/>
    <x v="318"/>
    <x v="8"/>
    <x v="2"/>
    <n v="365.94"/>
    <m/>
    <m/>
    <n v="5"/>
  </r>
  <r>
    <x v="8682"/>
    <x v="1737"/>
    <x v="2"/>
    <n v="4"/>
    <n v="20.92"/>
    <x v="387"/>
    <x v="4"/>
    <x v="0"/>
    <n v="83.68"/>
    <m/>
    <m/>
    <n v="5"/>
  </r>
  <r>
    <x v="8683"/>
    <x v="1737"/>
    <x v="6"/>
    <n v="1"/>
    <n v="35.840000000000003"/>
    <x v="217"/>
    <x v="0"/>
    <x v="3"/>
    <n v="35.840000000000003"/>
    <m/>
    <m/>
    <n v="7"/>
  </r>
  <r>
    <x v="8684"/>
    <x v="1737"/>
    <x v="0"/>
    <n v="5"/>
    <n v="1500.4"/>
    <x v="160"/>
    <x v="5"/>
    <x v="0"/>
    <n v="7502"/>
    <m/>
    <m/>
    <n v="7"/>
  </r>
  <r>
    <x v="8685"/>
    <x v="1737"/>
    <x v="0"/>
    <n v="4"/>
    <n v="1200.32"/>
    <x v="340"/>
    <x v="0"/>
    <x v="3"/>
    <n v="4801.28"/>
    <m/>
    <m/>
    <n v="7"/>
  </r>
  <r>
    <x v="8686"/>
    <x v="1738"/>
    <x v="3"/>
    <n v="1"/>
    <n v="15.15"/>
    <x v="501"/>
    <x v="7"/>
    <x v="0"/>
    <n v="15.15"/>
    <m/>
    <m/>
    <n v="5"/>
  </r>
  <r>
    <x v="8687"/>
    <x v="1738"/>
    <x v="7"/>
    <n v="1"/>
    <n v="11.73"/>
    <x v="498"/>
    <x v="7"/>
    <x v="3"/>
    <n v="11.73"/>
    <m/>
    <m/>
    <n v="5"/>
  </r>
  <r>
    <x v="8688"/>
    <x v="1738"/>
    <x v="2"/>
    <n v="3"/>
    <n v="15.69"/>
    <x v="697"/>
    <x v="0"/>
    <x v="0"/>
    <n v="47.07"/>
    <m/>
    <m/>
    <n v="5"/>
  </r>
  <r>
    <x v="8689"/>
    <x v="1738"/>
    <x v="1"/>
    <n v="5"/>
    <n v="203.3"/>
    <x v="778"/>
    <x v="6"/>
    <x v="3"/>
    <n v="1016.5"/>
    <m/>
    <m/>
    <n v="7"/>
  </r>
  <r>
    <x v="8690"/>
    <x v="1738"/>
    <x v="5"/>
    <n v="5"/>
    <n v="3000.85"/>
    <x v="703"/>
    <x v="6"/>
    <x v="0"/>
    <n v="15004.25"/>
    <m/>
    <m/>
    <n v="7"/>
  </r>
  <r>
    <x v="8691"/>
    <x v="1738"/>
    <x v="3"/>
    <n v="3"/>
    <n v="45.45"/>
    <x v="771"/>
    <x v="2"/>
    <x v="3"/>
    <n v="136.35000000000002"/>
    <m/>
    <m/>
    <n v="7"/>
  </r>
  <r>
    <x v="8692"/>
    <x v="1739"/>
    <x v="0"/>
    <n v="4"/>
    <n v="1200.32"/>
    <x v="221"/>
    <x v="4"/>
    <x v="1"/>
    <n v="4801.28"/>
    <m/>
    <m/>
    <n v="5"/>
  </r>
  <r>
    <x v="8693"/>
    <x v="1739"/>
    <x v="2"/>
    <n v="3"/>
    <n v="15.69"/>
    <x v="696"/>
    <x v="3"/>
    <x v="3"/>
    <n v="47.07"/>
    <m/>
    <m/>
    <n v="5"/>
  </r>
  <r>
    <x v="8694"/>
    <x v="1739"/>
    <x v="1"/>
    <n v="4"/>
    <n v="162.63999999999999"/>
    <x v="49"/>
    <x v="0"/>
    <x v="3"/>
    <n v="650.55999999999995"/>
    <m/>
    <m/>
    <n v="7"/>
  </r>
  <r>
    <x v="8695"/>
    <x v="1739"/>
    <x v="4"/>
    <n v="2"/>
    <n v="2100"/>
    <x v="649"/>
    <x v="0"/>
    <x v="2"/>
    <n v="4200"/>
    <m/>
    <m/>
    <n v="7"/>
  </r>
  <r>
    <x v="8696"/>
    <x v="1740"/>
    <x v="1"/>
    <n v="4"/>
    <n v="162.63999999999999"/>
    <x v="168"/>
    <x v="1"/>
    <x v="3"/>
    <n v="650.55999999999995"/>
    <m/>
    <m/>
    <n v="5"/>
  </r>
  <r>
    <x v="8697"/>
    <x v="1740"/>
    <x v="0"/>
    <n v="5"/>
    <n v="1500.4"/>
    <x v="539"/>
    <x v="0"/>
    <x v="0"/>
    <n v="7502"/>
    <m/>
    <m/>
    <n v="7"/>
  </r>
  <r>
    <x v="8698"/>
    <x v="1740"/>
    <x v="2"/>
    <n v="4"/>
    <n v="20.92"/>
    <x v="491"/>
    <x v="3"/>
    <x v="4"/>
    <n v="83.68"/>
    <m/>
    <m/>
    <n v="7"/>
  </r>
  <r>
    <x v="8699"/>
    <x v="1740"/>
    <x v="0"/>
    <n v="4"/>
    <n v="1200.32"/>
    <x v="771"/>
    <x v="0"/>
    <x v="3"/>
    <n v="4801.28"/>
    <m/>
    <m/>
    <n v="7"/>
  </r>
  <r>
    <x v="8700"/>
    <x v="1740"/>
    <x v="1"/>
    <n v="2"/>
    <n v="81.319999999999993"/>
    <x v="273"/>
    <x v="6"/>
    <x v="1"/>
    <n v="162.63999999999999"/>
    <m/>
    <m/>
    <n v="7"/>
  </r>
  <r>
    <x v="8701"/>
    <x v="1740"/>
    <x v="0"/>
    <n v="2"/>
    <n v="600.16"/>
    <x v="377"/>
    <x v="3"/>
    <x v="2"/>
    <n v="1200.32"/>
    <m/>
    <m/>
    <n v="7"/>
  </r>
  <r>
    <x v="8702"/>
    <x v="1741"/>
    <x v="1"/>
    <n v="5"/>
    <n v="203.3"/>
    <x v="578"/>
    <x v="4"/>
    <x v="3"/>
    <n v="1016.5"/>
    <m/>
    <m/>
    <n v="7"/>
  </r>
  <r>
    <x v="8703"/>
    <x v="1741"/>
    <x v="3"/>
    <n v="4"/>
    <n v="60.6"/>
    <x v="229"/>
    <x v="0"/>
    <x v="2"/>
    <n v="242.4"/>
    <m/>
    <m/>
    <n v="10"/>
  </r>
  <r>
    <x v="8704"/>
    <x v="1741"/>
    <x v="2"/>
    <n v="3"/>
    <n v="15.69"/>
    <x v="402"/>
    <x v="7"/>
    <x v="1"/>
    <n v="47.07"/>
    <m/>
    <m/>
    <n v="10"/>
  </r>
  <r>
    <x v="8705"/>
    <x v="1741"/>
    <x v="0"/>
    <n v="3"/>
    <n v="900.24"/>
    <x v="379"/>
    <x v="5"/>
    <x v="2"/>
    <n v="2700.7200000000003"/>
    <m/>
    <m/>
    <n v="10"/>
  </r>
  <r>
    <x v="8706"/>
    <x v="1742"/>
    <x v="0"/>
    <n v="4"/>
    <n v="1200.32"/>
    <x v="688"/>
    <x v="7"/>
    <x v="3"/>
    <n v="4801.28"/>
    <m/>
    <m/>
    <n v="5"/>
  </r>
  <r>
    <x v="8707"/>
    <x v="1742"/>
    <x v="5"/>
    <n v="5"/>
    <n v="3000.85"/>
    <x v="355"/>
    <x v="4"/>
    <x v="3"/>
    <n v="15004.25"/>
    <m/>
    <m/>
    <n v="5"/>
  </r>
  <r>
    <x v="8708"/>
    <x v="1742"/>
    <x v="0"/>
    <n v="4"/>
    <n v="1200.32"/>
    <x v="176"/>
    <x v="1"/>
    <x v="3"/>
    <n v="4801.28"/>
    <m/>
    <m/>
    <n v="5"/>
  </r>
  <r>
    <x v="8709"/>
    <x v="1742"/>
    <x v="6"/>
    <n v="5"/>
    <n v="179.2"/>
    <x v="406"/>
    <x v="1"/>
    <x v="3"/>
    <n v="896"/>
    <m/>
    <m/>
    <n v="5"/>
  </r>
  <r>
    <x v="8710"/>
    <x v="1742"/>
    <x v="4"/>
    <n v="4"/>
    <n v="4200"/>
    <x v="726"/>
    <x v="1"/>
    <x v="3"/>
    <n v="16800"/>
    <m/>
    <m/>
    <n v="7"/>
  </r>
  <r>
    <x v="8711"/>
    <x v="1742"/>
    <x v="6"/>
    <n v="3"/>
    <n v="107.52"/>
    <x v="325"/>
    <x v="5"/>
    <x v="2"/>
    <n v="322.56"/>
    <m/>
    <m/>
    <n v="7"/>
  </r>
  <r>
    <x v="8712"/>
    <x v="1742"/>
    <x v="2"/>
    <n v="5"/>
    <n v="26.15"/>
    <x v="249"/>
    <x v="5"/>
    <x v="3"/>
    <n v="130.75"/>
    <m/>
    <m/>
    <n v="7"/>
  </r>
  <r>
    <x v="8713"/>
    <x v="1742"/>
    <x v="6"/>
    <n v="2"/>
    <n v="71.680000000000007"/>
    <x v="779"/>
    <x v="4"/>
    <x v="3"/>
    <n v="143.36000000000001"/>
    <m/>
    <m/>
    <n v="7"/>
  </r>
  <r>
    <x v="8714"/>
    <x v="1742"/>
    <x v="1"/>
    <n v="5"/>
    <n v="203.3"/>
    <x v="540"/>
    <x v="6"/>
    <x v="3"/>
    <n v="1016.5"/>
    <m/>
    <m/>
    <n v="7"/>
  </r>
  <r>
    <x v="8715"/>
    <x v="1742"/>
    <x v="4"/>
    <n v="3"/>
    <n v="3150"/>
    <x v="71"/>
    <x v="0"/>
    <x v="1"/>
    <n v="9450"/>
    <m/>
    <m/>
    <n v="10"/>
  </r>
  <r>
    <x v="8716"/>
    <x v="1743"/>
    <x v="3"/>
    <n v="3"/>
    <n v="45.45"/>
    <x v="271"/>
    <x v="6"/>
    <x v="0"/>
    <n v="136.35000000000002"/>
    <m/>
    <m/>
    <n v="5"/>
  </r>
  <r>
    <x v="8717"/>
    <x v="1743"/>
    <x v="0"/>
    <n v="4"/>
    <n v="1200.32"/>
    <x v="302"/>
    <x v="6"/>
    <x v="0"/>
    <n v="4801.28"/>
    <m/>
    <m/>
    <n v="5"/>
  </r>
  <r>
    <x v="8718"/>
    <x v="1743"/>
    <x v="0"/>
    <n v="2"/>
    <n v="600.16"/>
    <x v="645"/>
    <x v="6"/>
    <x v="3"/>
    <n v="1200.32"/>
    <m/>
    <m/>
    <n v="10"/>
  </r>
  <r>
    <x v="8719"/>
    <x v="1744"/>
    <x v="0"/>
    <n v="4"/>
    <n v="1200.32"/>
    <x v="351"/>
    <x v="4"/>
    <x v="3"/>
    <n v="4801.28"/>
    <m/>
    <m/>
    <n v="5"/>
  </r>
  <r>
    <x v="8720"/>
    <x v="1744"/>
    <x v="0"/>
    <n v="3"/>
    <n v="900.24"/>
    <x v="785"/>
    <x v="8"/>
    <x v="3"/>
    <n v="2700.7200000000003"/>
    <m/>
    <m/>
    <n v="5"/>
  </r>
  <r>
    <x v="8721"/>
    <x v="1744"/>
    <x v="0"/>
    <n v="5"/>
    <n v="1500.4"/>
    <x v="270"/>
    <x v="1"/>
    <x v="0"/>
    <n v="7502"/>
    <m/>
    <m/>
    <n v="5"/>
  </r>
  <r>
    <x v="8722"/>
    <x v="1744"/>
    <x v="1"/>
    <n v="3"/>
    <n v="121.98"/>
    <x v="604"/>
    <x v="9"/>
    <x v="1"/>
    <n v="365.94"/>
    <m/>
    <m/>
    <n v="5"/>
  </r>
  <r>
    <x v="8723"/>
    <x v="1744"/>
    <x v="0"/>
    <n v="5"/>
    <n v="1500.4"/>
    <x v="31"/>
    <x v="0"/>
    <x v="2"/>
    <n v="7502"/>
    <m/>
    <m/>
    <n v="7"/>
  </r>
  <r>
    <x v="8724"/>
    <x v="1744"/>
    <x v="0"/>
    <n v="1"/>
    <n v="300.08"/>
    <x v="55"/>
    <x v="1"/>
    <x v="2"/>
    <n v="300.08"/>
    <m/>
    <m/>
    <n v="7"/>
  </r>
  <r>
    <x v="8725"/>
    <x v="1744"/>
    <x v="1"/>
    <n v="3"/>
    <n v="121.98"/>
    <x v="421"/>
    <x v="4"/>
    <x v="2"/>
    <n v="365.94"/>
    <m/>
    <m/>
    <n v="7"/>
  </r>
  <r>
    <x v="8726"/>
    <x v="1744"/>
    <x v="4"/>
    <n v="3"/>
    <n v="3150"/>
    <x v="770"/>
    <x v="3"/>
    <x v="2"/>
    <n v="9450"/>
    <m/>
    <m/>
    <n v="7"/>
  </r>
  <r>
    <x v="8727"/>
    <x v="1745"/>
    <x v="2"/>
    <n v="4"/>
    <n v="20.92"/>
    <x v="271"/>
    <x v="9"/>
    <x v="2"/>
    <n v="83.68"/>
    <m/>
    <m/>
    <n v="5"/>
  </r>
  <r>
    <x v="8728"/>
    <x v="1745"/>
    <x v="0"/>
    <n v="2"/>
    <n v="600.16"/>
    <x v="392"/>
    <x v="9"/>
    <x v="4"/>
    <n v="1200.32"/>
    <m/>
    <m/>
    <n v="5"/>
  </r>
  <r>
    <x v="8729"/>
    <x v="1745"/>
    <x v="2"/>
    <n v="3"/>
    <n v="15.69"/>
    <x v="291"/>
    <x v="6"/>
    <x v="4"/>
    <n v="47.07"/>
    <m/>
    <m/>
    <n v="5"/>
  </r>
  <r>
    <x v="8730"/>
    <x v="1745"/>
    <x v="0"/>
    <n v="2"/>
    <n v="600.16"/>
    <x v="352"/>
    <x v="2"/>
    <x v="0"/>
    <n v="1200.32"/>
    <m/>
    <m/>
    <n v="5"/>
  </r>
  <r>
    <x v="8731"/>
    <x v="1745"/>
    <x v="0"/>
    <n v="1"/>
    <n v="300.08"/>
    <x v="169"/>
    <x v="9"/>
    <x v="1"/>
    <n v="300.08"/>
    <m/>
    <m/>
    <n v="7"/>
  </r>
  <r>
    <x v="8732"/>
    <x v="1745"/>
    <x v="7"/>
    <n v="2"/>
    <n v="23.46"/>
    <x v="450"/>
    <x v="0"/>
    <x v="3"/>
    <n v="46.92"/>
    <m/>
    <m/>
    <n v="7"/>
  </r>
  <r>
    <x v="8733"/>
    <x v="1746"/>
    <x v="1"/>
    <n v="3"/>
    <n v="121.98"/>
    <x v="269"/>
    <x v="6"/>
    <x v="3"/>
    <n v="365.94"/>
    <m/>
    <m/>
    <n v="5"/>
  </r>
  <r>
    <x v="8734"/>
    <x v="1746"/>
    <x v="6"/>
    <n v="3"/>
    <n v="107.52"/>
    <x v="231"/>
    <x v="6"/>
    <x v="3"/>
    <n v="322.56"/>
    <m/>
    <m/>
    <n v="5"/>
  </r>
  <r>
    <x v="8735"/>
    <x v="1746"/>
    <x v="3"/>
    <n v="2"/>
    <n v="30.3"/>
    <x v="359"/>
    <x v="9"/>
    <x v="4"/>
    <n v="60.6"/>
    <m/>
    <m/>
    <n v="5"/>
  </r>
  <r>
    <x v="8736"/>
    <x v="1746"/>
    <x v="0"/>
    <n v="5"/>
    <n v="1500.4"/>
    <x v="663"/>
    <x v="0"/>
    <x v="3"/>
    <n v="7502"/>
    <m/>
    <m/>
    <n v="5"/>
  </r>
  <r>
    <x v="8737"/>
    <x v="1746"/>
    <x v="2"/>
    <n v="5"/>
    <n v="26.15"/>
    <x v="717"/>
    <x v="1"/>
    <x v="1"/>
    <n v="130.75"/>
    <m/>
    <m/>
    <n v="5"/>
  </r>
  <r>
    <x v="8738"/>
    <x v="1746"/>
    <x v="1"/>
    <n v="5"/>
    <n v="203.3"/>
    <x v="788"/>
    <x v="5"/>
    <x v="3"/>
    <n v="1016.5"/>
    <m/>
    <m/>
    <n v="7"/>
  </r>
  <r>
    <x v="8739"/>
    <x v="1746"/>
    <x v="1"/>
    <n v="2"/>
    <n v="81.319999999999993"/>
    <x v="8"/>
    <x v="1"/>
    <x v="4"/>
    <n v="162.63999999999999"/>
    <m/>
    <m/>
    <n v="7"/>
  </r>
  <r>
    <x v="8740"/>
    <x v="1746"/>
    <x v="1"/>
    <n v="4"/>
    <n v="162.63999999999999"/>
    <x v="681"/>
    <x v="9"/>
    <x v="4"/>
    <n v="650.55999999999995"/>
    <m/>
    <m/>
    <n v="7"/>
  </r>
  <r>
    <x v="8741"/>
    <x v="1746"/>
    <x v="0"/>
    <n v="1"/>
    <n v="300.08"/>
    <x v="561"/>
    <x v="8"/>
    <x v="0"/>
    <n v="300.08"/>
    <m/>
    <m/>
    <n v="7"/>
  </r>
  <r>
    <x v="8742"/>
    <x v="1747"/>
    <x v="0"/>
    <n v="3"/>
    <n v="900.24"/>
    <x v="116"/>
    <x v="3"/>
    <x v="3"/>
    <n v="2700.7200000000003"/>
    <m/>
    <m/>
    <n v="5"/>
  </r>
  <r>
    <x v="8743"/>
    <x v="1747"/>
    <x v="0"/>
    <n v="1"/>
    <n v="300.08"/>
    <x v="571"/>
    <x v="1"/>
    <x v="0"/>
    <n v="300.08"/>
    <m/>
    <m/>
    <n v="5"/>
  </r>
  <r>
    <x v="8744"/>
    <x v="1747"/>
    <x v="7"/>
    <n v="4"/>
    <n v="46.92"/>
    <x v="706"/>
    <x v="6"/>
    <x v="1"/>
    <n v="187.68"/>
    <m/>
    <m/>
    <n v="7"/>
  </r>
  <r>
    <x v="8745"/>
    <x v="1748"/>
    <x v="3"/>
    <n v="1"/>
    <n v="15.15"/>
    <x v="591"/>
    <x v="6"/>
    <x v="0"/>
    <n v="15.15"/>
    <m/>
    <m/>
    <n v="7"/>
  </r>
  <r>
    <x v="8746"/>
    <x v="1748"/>
    <x v="3"/>
    <n v="5"/>
    <n v="75.75"/>
    <x v="777"/>
    <x v="0"/>
    <x v="2"/>
    <n v="378.75"/>
    <m/>
    <m/>
    <n v="7"/>
  </r>
  <r>
    <x v="8747"/>
    <x v="1748"/>
    <x v="6"/>
    <n v="2"/>
    <n v="71.680000000000007"/>
    <x v="9"/>
    <x v="1"/>
    <x v="0"/>
    <n v="143.36000000000001"/>
    <m/>
    <m/>
    <n v="7"/>
  </r>
  <r>
    <x v="8748"/>
    <x v="1748"/>
    <x v="7"/>
    <n v="5"/>
    <n v="58.65"/>
    <x v="421"/>
    <x v="0"/>
    <x v="3"/>
    <n v="293.25"/>
    <m/>
    <m/>
    <n v="7"/>
  </r>
  <r>
    <x v="8749"/>
    <x v="1749"/>
    <x v="1"/>
    <n v="5"/>
    <n v="203.3"/>
    <x v="34"/>
    <x v="9"/>
    <x v="1"/>
    <n v="1016.5"/>
    <m/>
    <m/>
    <n v="5"/>
  </r>
  <r>
    <x v="8750"/>
    <x v="1749"/>
    <x v="0"/>
    <n v="2"/>
    <n v="600.16"/>
    <x v="257"/>
    <x v="0"/>
    <x v="2"/>
    <n v="1200.32"/>
    <m/>
    <m/>
    <n v="5"/>
  </r>
  <r>
    <x v="8751"/>
    <x v="1749"/>
    <x v="1"/>
    <n v="5"/>
    <n v="203.3"/>
    <x v="684"/>
    <x v="9"/>
    <x v="1"/>
    <n v="1016.5"/>
    <m/>
    <m/>
    <n v="7"/>
  </r>
  <r>
    <x v="8752"/>
    <x v="1749"/>
    <x v="1"/>
    <n v="4"/>
    <n v="162.63999999999999"/>
    <x v="98"/>
    <x v="6"/>
    <x v="2"/>
    <n v="650.55999999999995"/>
    <m/>
    <m/>
    <n v="7"/>
  </r>
  <r>
    <x v="8753"/>
    <x v="1750"/>
    <x v="0"/>
    <n v="3"/>
    <n v="900.24"/>
    <x v="163"/>
    <x v="6"/>
    <x v="2"/>
    <n v="2700.7200000000003"/>
    <m/>
    <m/>
    <n v="5"/>
  </r>
  <r>
    <x v="8754"/>
    <x v="1750"/>
    <x v="7"/>
    <n v="3"/>
    <n v="35.19"/>
    <x v="295"/>
    <x v="0"/>
    <x v="1"/>
    <n v="105.57"/>
    <m/>
    <m/>
    <n v="5"/>
  </r>
  <r>
    <x v="8755"/>
    <x v="1750"/>
    <x v="0"/>
    <n v="5"/>
    <n v="1500.4"/>
    <x v="291"/>
    <x v="0"/>
    <x v="1"/>
    <n v="7502"/>
    <m/>
    <m/>
    <n v="5"/>
  </r>
  <r>
    <x v="8756"/>
    <x v="1750"/>
    <x v="1"/>
    <n v="1"/>
    <n v="40.659999999999997"/>
    <x v="147"/>
    <x v="2"/>
    <x v="3"/>
    <n v="40.659999999999997"/>
    <m/>
    <m/>
    <n v="5"/>
  </r>
  <r>
    <x v="8757"/>
    <x v="1750"/>
    <x v="2"/>
    <n v="3"/>
    <n v="15.69"/>
    <x v="248"/>
    <x v="2"/>
    <x v="0"/>
    <n v="47.07"/>
    <m/>
    <m/>
    <n v="7"/>
  </r>
  <r>
    <x v="8758"/>
    <x v="1751"/>
    <x v="2"/>
    <n v="5"/>
    <n v="26.15"/>
    <x v="334"/>
    <x v="0"/>
    <x v="2"/>
    <n v="130.75"/>
    <m/>
    <m/>
    <n v="5"/>
  </r>
  <r>
    <x v="8759"/>
    <x v="1751"/>
    <x v="3"/>
    <n v="3"/>
    <n v="45.45"/>
    <x v="448"/>
    <x v="6"/>
    <x v="3"/>
    <n v="136.35000000000002"/>
    <m/>
    <m/>
    <n v="7"/>
  </r>
  <r>
    <x v="8760"/>
    <x v="1751"/>
    <x v="6"/>
    <n v="3"/>
    <n v="107.52"/>
    <x v="622"/>
    <x v="8"/>
    <x v="0"/>
    <n v="322.56"/>
    <m/>
    <m/>
    <n v="7"/>
  </r>
  <r>
    <x v="8761"/>
    <x v="1752"/>
    <x v="1"/>
    <n v="5"/>
    <n v="203.3"/>
    <x v="789"/>
    <x v="3"/>
    <x v="0"/>
    <n v="1016.5"/>
    <m/>
    <m/>
    <n v="5"/>
  </r>
  <r>
    <x v="8762"/>
    <x v="1752"/>
    <x v="2"/>
    <n v="1"/>
    <n v="5.23"/>
    <x v="680"/>
    <x v="8"/>
    <x v="4"/>
    <n v="5.23"/>
    <m/>
    <m/>
    <n v="5"/>
  </r>
  <r>
    <x v="8763"/>
    <x v="1752"/>
    <x v="1"/>
    <n v="2"/>
    <n v="81.319999999999993"/>
    <x v="713"/>
    <x v="4"/>
    <x v="2"/>
    <n v="162.63999999999999"/>
    <m/>
    <m/>
    <n v="7"/>
  </r>
  <r>
    <x v="8764"/>
    <x v="1752"/>
    <x v="0"/>
    <n v="1"/>
    <n v="300.08"/>
    <x v="439"/>
    <x v="0"/>
    <x v="4"/>
    <n v="300.08"/>
    <m/>
    <m/>
    <n v="7"/>
  </r>
  <r>
    <x v="8765"/>
    <x v="1752"/>
    <x v="0"/>
    <n v="2"/>
    <n v="600.16"/>
    <x v="511"/>
    <x v="1"/>
    <x v="3"/>
    <n v="1200.32"/>
    <m/>
    <m/>
    <n v="7"/>
  </r>
  <r>
    <x v="8766"/>
    <x v="1753"/>
    <x v="5"/>
    <n v="1"/>
    <n v="600.16999999999996"/>
    <x v="245"/>
    <x v="8"/>
    <x v="0"/>
    <n v="600.16999999999996"/>
    <m/>
    <m/>
    <n v="5"/>
  </r>
  <r>
    <x v="8767"/>
    <x v="1753"/>
    <x v="0"/>
    <n v="2"/>
    <n v="600.16"/>
    <x v="490"/>
    <x v="7"/>
    <x v="0"/>
    <n v="1200.32"/>
    <m/>
    <m/>
    <n v="5"/>
  </r>
  <r>
    <x v="8768"/>
    <x v="1753"/>
    <x v="5"/>
    <n v="2"/>
    <n v="1200.3399999999999"/>
    <x v="469"/>
    <x v="1"/>
    <x v="1"/>
    <n v="2400.6799999999998"/>
    <m/>
    <m/>
    <n v="5"/>
  </r>
  <r>
    <x v="8769"/>
    <x v="1753"/>
    <x v="1"/>
    <n v="4"/>
    <n v="162.63999999999999"/>
    <x v="731"/>
    <x v="6"/>
    <x v="4"/>
    <n v="650.55999999999995"/>
    <m/>
    <m/>
    <n v="5"/>
  </r>
  <r>
    <x v="8770"/>
    <x v="1753"/>
    <x v="0"/>
    <n v="1"/>
    <n v="300.08"/>
    <x v="415"/>
    <x v="2"/>
    <x v="3"/>
    <n v="300.08"/>
    <m/>
    <m/>
    <n v="7"/>
  </r>
  <r>
    <x v="8771"/>
    <x v="1753"/>
    <x v="2"/>
    <n v="4"/>
    <n v="20.92"/>
    <x v="297"/>
    <x v="9"/>
    <x v="3"/>
    <n v="83.68"/>
    <m/>
    <m/>
    <n v="7"/>
  </r>
  <r>
    <x v="8772"/>
    <x v="1753"/>
    <x v="6"/>
    <n v="5"/>
    <n v="179.2"/>
    <x v="197"/>
    <x v="7"/>
    <x v="2"/>
    <n v="896"/>
    <m/>
    <m/>
    <n v="10"/>
  </r>
  <r>
    <x v="8773"/>
    <x v="1754"/>
    <x v="2"/>
    <n v="4"/>
    <n v="20.92"/>
    <x v="339"/>
    <x v="1"/>
    <x v="1"/>
    <n v="83.68"/>
    <m/>
    <m/>
    <n v="5"/>
  </r>
  <r>
    <x v="8774"/>
    <x v="1754"/>
    <x v="0"/>
    <n v="1"/>
    <n v="300.08"/>
    <x v="638"/>
    <x v="4"/>
    <x v="2"/>
    <n v="300.08"/>
    <m/>
    <m/>
    <n v="5"/>
  </r>
  <r>
    <x v="8775"/>
    <x v="1754"/>
    <x v="0"/>
    <n v="4"/>
    <n v="1200.32"/>
    <x v="684"/>
    <x v="9"/>
    <x v="4"/>
    <n v="4801.28"/>
    <m/>
    <m/>
    <n v="7"/>
  </r>
  <r>
    <x v="8776"/>
    <x v="1754"/>
    <x v="4"/>
    <n v="3"/>
    <n v="3150"/>
    <x v="430"/>
    <x v="4"/>
    <x v="1"/>
    <n v="9450"/>
    <m/>
    <m/>
    <n v="7"/>
  </r>
  <r>
    <x v="8777"/>
    <x v="1754"/>
    <x v="0"/>
    <n v="5"/>
    <n v="1500.4"/>
    <x v="23"/>
    <x v="8"/>
    <x v="4"/>
    <n v="7502"/>
    <m/>
    <m/>
    <n v="7"/>
  </r>
  <r>
    <x v="8778"/>
    <x v="1754"/>
    <x v="7"/>
    <n v="1"/>
    <n v="11.73"/>
    <x v="504"/>
    <x v="0"/>
    <x v="1"/>
    <n v="11.73"/>
    <m/>
    <m/>
    <n v="7"/>
  </r>
  <r>
    <x v="8779"/>
    <x v="1754"/>
    <x v="4"/>
    <n v="1"/>
    <n v="1050"/>
    <x v="439"/>
    <x v="7"/>
    <x v="0"/>
    <n v="1050"/>
    <m/>
    <m/>
    <n v="7"/>
  </r>
  <r>
    <x v="8780"/>
    <x v="1754"/>
    <x v="2"/>
    <n v="2"/>
    <n v="10.46"/>
    <x v="658"/>
    <x v="8"/>
    <x v="0"/>
    <n v="20.92"/>
    <m/>
    <m/>
    <n v="10"/>
  </r>
  <r>
    <x v="8781"/>
    <x v="1755"/>
    <x v="6"/>
    <n v="4"/>
    <n v="143.36000000000001"/>
    <x v="244"/>
    <x v="0"/>
    <x v="3"/>
    <n v="573.44000000000005"/>
    <m/>
    <m/>
    <n v="5"/>
  </r>
  <r>
    <x v="8782"/>
    <x v="1755"/>
    <x v="0"/>
    <n v="4"/>
    <n v="1200.32"/>
    <x v="147"/>
    <x v="6"/>
    <x v="4"/>
    <n v="4801.28"/>
    <m/>
    <m/>
    <n v="5"/>
  </r>
  <r>
    <x v="8783"/>
    <x v="1755"/>
    <x v="1"/>
    <n v="5"/>
    <n v="203.3"/>
    <x v="439"/>
    <x v="5"/>
    <x v="2"/>
    <n v="1016.5"/>
    <m/>
    <m/>
    <n v="7"/>
  </r>
  <r>
    <x v="8784"/>
    <x v="1755"/>
    <x v="1"/>
    <n v="3"/>
    <n v="121.98"/>
    <x v="42"/>
    <x v="6"/>
    <x v="0"/>
    <n v="365.94"/>
    <m/>
    <m/>
    <n v="10"/>
  </r>
  <r>
    <x v="8785"/>
    <x v="1755"/>
    <x v="4"/>
    <n v="5"/>
    <n v="5250"/>
    <x v="197"/>
    <x v="8"/>
    <x v="0"/>
    <n v="26250"/>
    <m/>
    <m/>
    <n v="10"/>
  </r>
  <r>
    <x v="8786"/>
    <x v="1756"/>
    <x v="0"/>
    <n v="4"/>
    <n v="1200.32"/>
    <x v="484"/>
    <x v="3"/>
    <x v="0"/>
    <n v="4801.28"/>
    <m/>
    <m/>
    <n v="5"/>
  </r>
  <r>
    <x v="8787"/>
    <x v="1756"/>
    <x v="6"/>
    <n v="3"/>
    <n v="107.52"/>
    <x v="469"/>
    <x v="6"/>
    <x v="3"/>
    <n v="322.56"/>
    <m/>
    <m/>
    <n v="5"/>
  </r>
  <r>
    <x v="8788"/>
    <x v="1756"/>
    <x v="4"/>
    <n v="3"/>
    <n v="3150"/>
    <x v="758"/>
    <x v="6"/>
    <x v="0"/>
    <n v="9450"/>
    <m/>
    <m/>
    <n v="5"/>
  </r>
  <r>
    <x v="8789"/>
    <x v="1756"/>
    <x v="0"/>
    <n v="1"/>
    <n v="300.08"/>
    <x v="485"/>
    <x v="1"/>
    <x v="0"/>
    <n v="300.08"/>
    <m/>
    <m/>
    <n v="5"/>
  </r>
  <r>
    <x v="8790"/>
    <x v="1757"/>
    <x v="5"/>
    <n v="2"/>
    <n v="1200.3399999999999"/>
    <x v="599"/>
    <x v="9"/>
    <x v="0"/>
    <n v="2400.6799999999998"/>
    <m/>
    <m/>
    <n v="5"/>
  </r>
  <r>
    <x v="8791"/>
    <x v="1757"/>
    <x v="5"/>
    <n v="2"/>
    <n v="1200.3399999999999"/>
    <x v="69"/>
    <x v="4"/>
    <x v="0"/>
    <n v="2400.6799999999998"/>
    <m/>
    <m/>
    <n v="5"/>
  </r>
  <r>
    <x v="8792"/>
    <x v="1757"/>
    <x v="3"/>
    <n v="5"/>
    <n v="75.75"/>
    <x v="497"/>
    <x v="7"/>
    <x v="4"/>
    <n v="378.75"/>
    <m/>
    <m/>
    <n v="5"/>
  </r>
  <r>
    <x v="8793"/>
    <x v="1758"/>
    <x v="2"/>
    <n v="4"/>
    <n v="20.92"/>
    <x v="162"/>
    <x v="2"/>
    <x v="4"/>
    <n v="83.68"/>
    <m/>
    <m/>
    <n v="5"/>
  </r>
  <r>
    <x v="8794"/>
    <x v="1758"/>
    <x v="6"/>
    <n v="2"/>
    <n v="71.680000000000007"/>
    <x v="239"/>
    <x v="4"/>
    <x v="1"/>
    <n v="143.36000000000001"/>
    <m/>
    <m/>
    <n v="5"/>
  </r>
  <r>
    <x v="8795"/>
    <x v="1758"/>
    <x v="5"/>
    <n v="2"/>
    <n v="1200.3399999999999"/>
    <x v="113"/>
    <x v="1"/>
    <x v="2"/>
    <n v="2400.6799999999998"/>
    <m/>
    <m/>
    <n v="5"/>
  </r>
  <r>
    <x v="8796"/>
    <x v="1758"/>
    <x v="2"/>
    <n v="1"/>
    <n v="5.23"/>
    <x v="584"/>
    <x v="6"/>
    <x v="0"/>
    <n v="5.23"/>
    <m/>
    <m/>
    <n v="7"/>
  </r>
  <r>
    <x v="8797"/>
    <x v="1758"/>
    <x v="2"/>
    <n v="2"/>
    <n v="10.46"/>
    <x v="368"/>
    <x v="4"/>
    <x v="4"/>
    <n v="20.92"/>
    <m/>
    <m/>
    <n v="7"/>
  </r>
  <r>
    <x v="8798"/>
    <x v="1758"/>
    <x v="0"/>
    <n v="3"/>
    <n v="900.24"/>
    <x v="243"/>
    <x v="0"/>
    <x v="4"/>
    <n v="2700.7200000000003"/>
    <m/>
    <m/>
    <n v="7"/>
  </r>
  <r>
    <x v="8799"/>
    <x v="1758"/>
    <x v="6"/>
    <n v="3"/>
    <n v="107.52"/>
    <x v="402"/>
    <x v="9"/>
    <x v="1"/>
    <n v="322.56"/>
    <m/>
    <m/>
    <n v="10"/>
  </r>
  <r>
    <x v="8800"/>
    <x v="1758"/>
    <x v="2"/>
    <n v="2"/>
    <n v="10.46"/>
    <x v="666"/>
    <x v="1"/>
    <x v="1"/>
    <n v="20.92"/>
    <m/>
    <m/>
    <n v="10"/>
  </r>
  <r>
    <x v="8801"/>
    <x v="1759"/>
    <x v="4"/>
    <n v="5"/>
    <n v="5250"/>
    <x v="305"/>
    <x v="6"/>
    <x v="2"/>
    <n v="26250"/>
    <m/>
    <m/>
    <n v="5"/>
  </r>
  <r>
    <x v="8802"/>
    <x v="1759"/>
    <x v="0"/>
    <n v="5"/>
    <n v="1500.4"/>
    <x v="723"/>
    <x v="1"/>
    <x v="0"/>
    <n v="7502"/>
    <m/>
    <m/>
    <n v="5"/>
  </r>
  <r>
    <x v="8803"/>
    <x v="1759"/>
    <x v="0"/>
    <n v="4"/>
    <n v="1200.32"/>
    <x v="571"/>
    <x v="7"/>
    <x v="0"/>
    <n v="4801.28"/>
    <m/>
    <m/>
    <n v="5"/>
  </r>
  <r>
    <x v="8804"/>
    <x v="1759"/>
    <x v="0"/>
    <n v="3"/>
    <n v="900.24"/>
    <x v="70"/>
    <x v="1"/>
    <x v="1"/>
    <n v="2700.7200000000003"/>
    <m/>
    <m/>
    <n v="5"/>
  </r>
  <r>
    <x v="8805"/>
    <x v="1759"/>
    <x v="0"/>
    <n v="1"/>
    <n v="300.08"/>
    <x v="557"/>
    <x v="9"/>
    <x v="3"/>
    <n v="300.08"/>
    <m/>
    <m/>
    <n v="7"/>
  </r>
  <r>
    <x v="8806"/>
    <x v="1759"/>
    <x v="2"/>
    <n v="4"/>
    <n v="20.92"/>
    <x v="249"/>
    <x v="8"/>
    <x v="4"/>
    <n v="83.68"/>
    <m/>
    <m/>
    <n v="7"/>
  </r>
  <r>
    <x v="8807"/>
    <x v="1759"/>
    <x v="0"/>
    <n v="5"/>
    <n v="1500.4"/>
    <x v="488"/>
    <x v="7"/>
    <x v="4"/>
    <n v="7502"/>
    <m/>
    <m/>
    <n v="7"/>
  </r>
  <r>
    <x v="8808"/>
    <x v="1759"/>
    <x v="0"/>
    <n v="3"/>
    <n v="900.24"/>
    <x v="217"/>
    <x v="6"/>
    <x v="1"/>
    <n v="2700.7200000000003"/>
    <m/>
    <m/>
    <n v="7"/>
  </r>
  <r>
    <x v="8809"/>
    <x v="1759"/>
    <x v="4"/>
    <n v="2"/>
    <n v="2100"/>
    <x v="608"/>
    <x v="8"/>
    <x v="1"/>
    <n v="4200"/>
    <m/>
    <m/>
    <n v="10"/>
  </r>
  <r>
    <x v="8810"/>
    <x v="1760"/>
    <x v="3"/>
    <n v="3"/>
    <n v="45.45"/>
    <x v="494"/>
    <x v="0"/>
    <x v="2"/>
    <n v="136.35000000000002"/>
    <m/>
    <m/>
    <n v="5"/>
  </r>
  <r>
    <x v="8811"/>
    <x v="1760"/>
    <x v="0"/>
    <n v="1"/>
    <n v="300.08"/>
    <x v="10"/>
    <x v="1"/>
    <x v="3"/>
    <n v="300.08"/>
    <m/>
    <m/>
    <n v="5"/>
  </r>
  <r>
    <x v="8812"/>
    <x v="1760"/>
    <x v="5"/>
    <n v="1"/>
    <n v="600.16999999999996"/>
    <x v="366"/>
    <x v="3"/>
    <x v="3"/>
    <n v="600.16999999999996"/>
    <m/>
    <m/>
    <n v="5"/>
  </r>
  <r>
    <x v="8813"/>
    <x v="1760"/>
    <x v="0"/>
    <n v="5"/>
    <n v="1500.4"/>
    <x v="232"/>
    <x v="6"/>
    <x v="0"/>
    <n v="7502"/>
    <m/>
    <m/>
    <n v="5"/>
  </r>
  <r>
    <x v="8814"/>
    <x v="1760"/>
    <x v="0"/>
    <n v="2"/>
    <n v="600.16"/>
    <x v="108"/>
    <x v="0"/>
    <x v="4"/>
    <n v="1200.32"/>
    <m/>
    <m/>
    <n v="5"/>
  </r>
  <r>
    <x v="8815"/>
    <x v="1760"/>
    <x v="0"/>
    <n v="5"/>
    <n v="1500.4"/>
    <x v="50"/>
    <x v="0"/>
    <x v="3"/>
    <n v="7502"/>
    <m/>
    <m/>
    <n v="10"/>
  </r>
  <r>
    <x v="8816"/>
    <x v="1761"/>
    <x v="0"/>
    <n v="5"/>
    <n v="1500.4"/>
    <x v="163"/>
    <x v="6"/>
    <x v="2"/>
    <n v="7502"/>
    <m/>
    <m/>
    <n v="5"/>
  </r>
  <r>
    <x v="8817"/>
    <x v="1761"/>
    <x v="5"/>
    <n v="1"/>
    <n v="600.16999999999996"/>
    <x v="276"/>
    <x v="4"/>
    <x v="1"/>
    <n v="600.16999999999996"/>
    <m/>
    <m/>
    <n v="5"/>
  </r>
  <r>
    <x v="8818"/>
    <x v="1761"/>
    <x v="1"/>
    <n v="4"/>
    <n v="162.63999999999999"/>
    <x v="35"/>
    <x v="6"/>
    <x v="2"/>
    <n v="650.55999999999995"/>
    <m/>
    <m/>
    <n v="7"/>
  </r>
  <r>
    <x v="8819"/>
    <x v="1761"/>
    <x v="2"/>
    <n v="2"/>
    <n v="10.46"/>
    <x v="753"/>
    <x v="4"/>
    <x v="0"/>
    <n v="20.92"/>
    <m/>
    <m/>
    <n v="7"/>
  </r>
  <r>
    <x v="8820"/>
    <x v="1762"/>
    <x v="0"/>
    <n v="1"/>
    <n v="300.08"/>
    <x v="414"/>
    <x v="1"/>
    <x v="0"/>
    <n v="300.08"/>
    <m/>
    <m/>
    <n v="5"/>
  </r>
  <r>
    <x v="8821"/>
    <x v="1762"/>
    <x v="5"/>
    <n v="3"/>
    <n v="1800.51"/>
    <x v="327"/>
    <x v="7"/>
    <x v="2"/>
    <n v="5401.53"/>
    <m/>
    <m/>
    <n v="5"/>
  </r>
  <r>
    <x v="8822"/>
    <x v="1762"/>
    <x v="0"/>
    <n v="1"/>
    <n v="300.08"/>
    <x v="328"/>
    <x v="8"/>
    <x v="2"/>
    <n v="300.08"/>
    <m/>
    <m/>
    <n v="5"/>
  </r>
  <r>
    <x v="8823"/>
    <x v="1762"/>
    <x v="1"/>
    <n v="1"/>
    <n v="40.659999999999997"/>
    <x v="8"/>
    <x v="6"/>
    <x v="4"/>
    <n v="40.659999999999997"/>
    <m/>
    <m/>
    <n v="7"/>
  </r>
  <r>
    <x v="8824"/>
    <x v="1762"/>
    <x v="4"/>
    <n v="5"/>
    <n v="5250"/>
    <x v="722"/>
    <x v="6"/>
    <x v="2"/>
    <n v="26250"/>
    <m/>
    <m/>
    <n v="10"/>
  </r>
  <r>
    <x v="8825"/>
    <x v="1763"/>
    <x v="1"/>
    <n v="3"/>
    <n v="121.98"/>
    <x v="143"/>
    <x v="6"/>
    <x v="4"/>
    <n v="365.94"/>
    <m/>
    <m/>
    <n v="5"/>
  </r>
  <r>
    <x v="8826"/>
    <x v="1763"/>
    <x v="5"/>
    <n v="3"/>
    <n v="1800.51"/>
    <x v="104"/>
    <x v="4"/>
    <x v="1"/>
    <n v="5401.53"/>
    <m/>
    <m/>
    <n v="5"/>
  </r>
  <r>
    <x v="8827"/>
    <x v="1763"/>
    <x v="6"/>
    <n v="2"/>
    <n v="71.680000000000007"/>
    <x v="494"/>
    <x v="8"/>
    <x v="3"/>
    <n v="143.36000000000001"/>
    <m/>
    <m/>
    <n v="5"/>
  </r>
  <r>
    <x v="8828"/>
    <x v="1763"/>
    <x v="6"/>
    <n v="5"/>
    <n v="179.2"/>
    <x v="268"/>
    <x v="6"/>
    <x v="4"/>
    <n v="896"/>
    <m/>
    <m/>
    <n v="5"/>
  </r>
  <r>
    <x v="8829"/>
    <x v="1763"/>
    <x v="6"/>
    <n v="5"/>
    <n v="179.2"/>
    <x v="485"/>
    <x v="6"/>
    <x v="1"/>
    <n v="896"/>
    <m/>
    <m/>
    <n v="5"/>
  </r>
  <r>
    <x v="8830"/>
    <x v="1763"/>
    <x v="1"/>
    <n v="1"/>
    <n v="40.659999999999997"/>
    <x v="129"/>
    <x v="6"/>
    <x v="4"/>
    <n v="40.659999999999997"/>
    <m/>
    <m/>
    <n v="7"/>
  </r>
  <r>
    <x v="8831"/>
    <x v="1763"/>
    <x v="6"/>
    <n v="1"/>
    <n v="35.840000000000003"/>
    <x v="331"/>
    <x v="1"/>
    <x v="2"/>
    <n v="35.840000000000003"/>
    <m/>
    <m/>
    <n v="7"/>
  </r>
  <r>
    <x v="8832"/>
    <x v="1764"/>
    <x v="0"/>
    <n v="5"/>
    <n v="1500.4"/>
    <x v="22"/>
    <x v="6"/>
    <x v="3"/>
    <n v="7502"/>
    <m/>
    <m/>
    <n v="5"/>
  </r>
  <r>
    <x v="8833"/>
    <x v="1764"/>
    <x v="0"/>
    <n v="4"/>
    <n v="1200.32"/>
    <x v="101"/>
    <x v="0"/>
    <x v="0"/>
    <n v="4801.28"/>
    <m/>
    <m/>
    <n v="5"/>
  </r>
  <r>
    <x v="8834"/>
    <x v="1764"/>
    <x v="0"/>
    <n v="1"/>
    <n v="300.08"/>
    <x v="766"/>
    <x v="0"/>
    <x v="0"/>
    <n v="300.08"/>
    <m/>
    <m/>
    <n v="5"/>
  </r>
  <r>
    <x v="8835"/>
    <x v="1764"/>
    <x v="1"/>
    <n v="5"/>
    <n v="203.3"/>
    <x v="471"/>
    <x v="2"/>
    <x v="4"/>
    <n v="1016.5"/>
    <m/>
    <m/>
    <n v="5"/>
  </r>
  <r>
    <x v="8836"/>
    <x v="1764"/>
    <x v="3"/>
    <n v="2"/>
    <n v="30.3"/>
    <x v="124"/>
    <x v="0"/>
    <x v="3"/>
    <n v="60.6"/>
    <m/>
    <m/>
    <n v="7"/>
  </r>
  <r>
    <x v="8837"/>
    <x v="1764"/>
    <x v="1"/>
    <n v="5"/>
    <n v="203.3"/>
    <x v="480"/>
    <x v="6"/>
    <x v="3"/>
    <n v="1016.5"/>
    <m/>
    <m/>
    <n v="7"/>
  </r>
  <r>
    <x v="8838"/>
    <x v="1765"/>
    <x v="0"/>
    <n v="4"/>
    <n v="1200.32"/>
    <x v="33"/>
    <x v="6"/>
    <x v="4"/>
    <n v="4801.28"/>
    <m/>
    <m/>
    <n v="5"/>
  </r>
  <r>
    <x v="8839"/>
    <x v="1765"/>
    <x v="5"/>
    <n v="2"/>
    <n v="1200.3399999999999"/>
    <x v="82"/>
    <x v="9"/>
    <x v="1"/>
    <n v="2400.6799999999998"/>
    <m/>
    <m/>
    <n v="5"/>
  </r>
  <r>
    <x v="8840"/>
    <x v="1765"/>
    <x v="1"/>
    <n v="1"/>
    <n v="40.659999999999997"/>
    <x v="276"/>
    <x v="0"/>
    <x v="0"/>
    <n v="40.659999999999997"/>
    <m/>
    <m/>
    <n v="5"/>
  </r>
  <r>
    <x v="8841"/>
    <x v="1765"/>
    <x v="3"/>
    <n v="4"/>
    <n v="60.6"/>
    <x v="286"/>
    <x v="1"/>
    <x v="2"/>
    <n v="242.4"/>
    <m/>
    <m/>
    <n v="5"/>
  </r>
  <r>
    <x v="8842"/>
    <x v="1765"/>
    <x v="1"/>
    <n v="5"/>
    <n v="203.3"/>
    <x v="686"/>
    <x v="2"/>
    <x v="0"/>
    <n v="1016.5"/>
    <m/>
    <m/>
    <n v="7"/>
  </r>
  <r>
    <x v="8843"/>
    <x v="1765"/>
    <x v="5"/>
    <n v="1"/>
    <n v="600.16999999999996"/>
    <x v="659"/>
    <x v="1"/>
    <x v="2"/>
    <n v="600.16999999999996"/>
    <m/>
    <m/>
    <n v="7"/>
  </r>
  <r>
    <x v="8844"/>
    <x v="1766"/>
    <x v="0"/>
    <n v="5"/>
    <n v="1500.4"/>
    <x v="318"/>
    <x v="0"/>
    <x v="2"/>
    <n v="7502"/>
    <m/>
    <m/>
    <n v="5"/>
  </r>
  <r>
    <x v="8845"/>
    <x v="1766"/>
    <x v="4"/>
    <n v="3"/>
    <n v="3150"/>
    <x v="386"/>
    <x v="9"/>
    <x v="4"/>
    <n v="9450"/>
    <m/>
    <m/>
    <n v="5"/>
  </r>
  <r>
    <x v="8846"/>
    <x v="1766"/>
    <x v="1"/>
    <n v="1"/>
    <n v="40.659999999999997"/>
    <x v="194"/>
    <x v="4"/>
    <x v="2"/>
    <n v="40.659999999999997"/>
    <m/>
    <m/>
    <n v="7"/>
  </r>
  <r>
    <x v="8847"/>
    <x v="1766"/>
    <x v="6"/>
    <n v="5"/>
    <n v="179.2"/>
    <x v="247"/>
    <x v="6"/>
    <x v="1"/>
    <n v="896"/>
    <m/>
    <m/>
    <n v="10"/>
  </r>
  <r>
    <x v="8848"/>
    <x v="1767"/>
    <x v="0"/>
    <n v="4"/>
    <n v="1200.32"/>
    <x v="351"/>
    <x v="0"/>
    <x v="1"/>
    <n v="4801.28"/>
    <m/>
    <m/>
    <n v="5"/>
  </r>
  <r>
    <x v="8849"/>
    <x v="1767"/>
    <x v="3"/>
    <n v="5"/>
    <n v="75.75"/>
    <x v="328"/>
    <x v="0"/>
    <x v="0"/>
    <n v="378.75"/>
    <m/>
    <m/>
    <n v="5"/>
  </r>
  <r>
    <x v="8850"/>
    <x v="1767"/>
    <x v="0"/>
    <n v="2"/>
    <n v="600.16"/>
    <x v="509"/>
    <x v="6"/>
    <x v="2"/>
    <n v="1200.32"/>
    <m/>
    <m/>
    <n v="7"/>
  </r>
  <r>
    <x v="8851"/>
    <x v="1767"/>
    <x v="2"/>
    <n v="5"/>
    <n v="26.15"/>
    <x v="441"/>
    <x v="6"/>
    <x v="2"/>
    <n v="130.75"/>
    <m/>
    <m/>
    <n v="10"/>
  </r>
  <r>
    <x v="8852"/>
    <x v="1768"/>
    <x v="2"/>
    <n v="1"/>
    <n v="5.23"/>
    <x v="417"/>
    <x v="0"/>
    <x v="4"/>
    <n v="5.23"/>
    <m/>
    <m/>
    <n v="5"/>
  </r>
  <r>
    <x v="8853"/>
    <x v="1768"/>
    <x v="2"/>
    <n v="1"/>
    <n v="5.23"/>
    <x v="394"/>
    <x v="0"/>
    <x v="4"/>
    <n v="5.23"/>
    <m/>
    <m/>
    <n v="7"/>
  </r>
  <r>
    <x v="8854"/>
    <x v="1768"/>
    <x v="5"/>
    <n v="5"/>
    <n v="3000.85"/>
    <x v="449"/>
    <x v="0"/>
    <x v="4"/>
    <n v="15004.25"/>
    <m/>
    <m/>
    <n v="7"/>
  </r>
  <r>
    <x v="8855"/>
    <x v="1768"/>
    <x v="5"/>
    <n v="4"/>
    <n v="2400.6799999999998"/>
    <x v="203"/>
    <x v="9"/>
    <x v="0"/>
    <n v="9602.7199999999993"/>
    <m/>
    <m/>
    <n v="10"/>
  </r>
  <r>
    <x v="8856"/>
    <x v="1768"/>
    <x v="2"/>
    <n v="5"/>
    <n v="26.15"/>
    <x v="299"/>
    <x v="1"/>
    <x v="4"/>
    <n v="130.75"/>
    <m/>
    <m/>
    <n v="10"/>
  </r>
  <r>
    <x v="8857"/>
    <x v="1769"/>
    <x v="0"/>
    <n v="3"/>
    <n v="900.24"/>
    <x v="48"/>
    <x v="0"/>
    <x v="3"/>
    <n v="2700.7200000000003"/>
    <m/>
    <m/>
    <n v="7"/>
  </r>
  <r>
    <x v="8858"/>
    <x v="1769"/>
    <x v="0"/>
    <n v="3"/>
    <n v="900.24"/>
    <x v="454"/>
    <x v="0"/>
    <x v="4"/>
    <n v="2700.7200000000003"/>
    <m/>
    <m/>
    <n v="7"/>
  </r>
  <r>
    <x v="8859"/>
    <x v="1769"/>
    <x v="3"/>
    <n v="3"/>
    <n v="45.45"/>
    <x v="267"/>
    <x v="5"/>
    <x v="4"/>
    <n v="136.35000000000002"/>
    <m/>
    <m/>
    <n v="7"/>
  </r>
  <r>
    <x v="8860"/>
    <x v="1769"/>
    <x v="2"/>
    <n v="1"/>
    <n v="5.23"/>
    <x v="253"/>
    <x v="6"/>
    <x v="0"/>
    <n v="5.23"/>
    <m/>
    <m/>
    <n v="7"/>
  </r>
  <r>
    <x v="8861"/>
    <x v="1770"/>
    <x v="4"/>
    <n v="1"/>
    <n v="1050"/>
    <x v="128"/>
    <x v="5"/>
    <x v="3"/>
    <n v="1050"/>
    <m/>
    <m/>
    <n v="5"/>
  </r>
  <r>
    <x v="8862"/>
    <x v="1770"/>
    <x v="0"/>
    <n v="4"/>
    <n v="1200.32"/>
    <x v="790"/>
    <x v="7"/>
    <x v="1"/>
    <n v="4801.28"/>
    <m/>
    <m/>
    <n v="5"/>
  </r>
  <r>
    <x v="8863"/>
    <x v="1770"/>
    <x v="0"/>
    <n v="4"/>
    <n v="1200.32"/>
    <x v="679"/>
    <x v="4"/>
    <x v="1"/>
    <n v="4801.28"/>
    <m/>
    <m/>
    <n v="7"/>
  </r>
  <r>
    <x v="8864"/>
    <x v="1770"/>
    <x v="0"/>
    <n v="3"/>
    <n v="900.24"/>
    <x v="223"/>
    <x v="6"/>
    <x v="4"/>
    <n v="2700.7200000000003"/>
    <m/>
    <m/>
    <n v="7"/>
  </r>
  <r>
    <x v="8865"/>
    <x v="1771"/>
    <x v="1"/>
    <n v="4"/>
    <n v="162.63999999999999"/>
    <x v="614"/>
    <x v="4"/>
    <x v="4"/>
    <n v="650.55999999999995"/>
    <m/>
    <m/>
    <n v="5"/>
  </r>
  <r>
    <x v="8866"/>
    <x v="1771"/>
    <x v="2"/>
    <n v="5"/>
    <n v="26.15"/>
    <x v="369"/>
    <x v="3"/>
    <x v="0"/>
    <n v="130.75"/>
    <m/>
    <m/>
    <n v="5"/>
  </r>
  <r>
    <x v="8867"/>
    <x v="1771"/>
    <x v="1"/>
    <n v="1"/>
    <n v="40.659999999999997"/>
    <x v="31"/>
    <x v="2"/>
    <x v="0"/>
    <n v="40.659999999999997"/>
    <m/>
    <m/>
    <n v="7"/>
  </r>
  <r>
    <x v="8868"/>
    <x v="1771"/>
    <x v="2"/>
    <n v="5"/>
    <n v="26.15"/>
    <x v="448"/>
    <x v="0"/>
    <x v="0"/>
    <n v="130.75"/>
    <m/>
    <m/>
    <n v="7"/>
  </r>
  <r>
    <x v="8869"/>
    <x v="1771"/>
    <x v="4"/>
    <n v="3"/>
    <n v="3150"/>
    <x v="254"/>
    <x v="4"/>
    <x v="1"/>
    <n v="9450"/>
    <m/>
    <m/>
    <n v="7"/>
  </r>
  <r>
    <x v="8870"/>
    <x v="1772"/>
    <x v="1"/>
    <n v="1"/>
    <n v="40.659999999999997"/>
    <x v="497"/>
    <x v="7"/>
    <x v="3"/>
    <n v="40.659999999999997"/>
    <m/>
    <m/>
    <n v="5"/>
  </r>
  <r>
    <x v="8871"/>
    <x v="1772"/>
    <x v="7"/>
    <n v="1"/>
    <n v="11.73"/>
    <x v="122"/>
    <x v="0"/>
    <x v="4"/>
    <n v="11.73"/>
    <m/>
    <m/>
    <n v="5"/>
  </r>
  <r>
    <x v="8872"/>
    <x v="1772"/>
    <x v="3"/>
    <n v="3"/>
    <n v="45.45"/>
    <x v="150"/>
    <x v="0"/>
    <x v="3"/>
    <n v="136.35000000000002"/>
    <m/>
    <m/>
    <n v="5"/>
  </r>
  <r>
    <x v="8873"/>
    <x v="1772"/>
    <x v="0"/>
    <n v="2"/>
    <n v="600.16"/>
    <x v="460"/>
    <x v="4"/>
    <x v="3"/>
    <n v="1200.32"/>
    <m/>
    <m/>
    <n v="7"/>
  </r>
  <r>
    <x v="8874"/>
    <x v="1773"/>
    <x v="1"/>
    <n v="4"/>
    <n v="162.63999999999999"/>
    <x v="85"/>
    <x v="0"/>
    <x v="0"/>
    <n v="650.55999999999995"/>
    <m/>
    <m/>
    <n v="5"/>
  </r>
  <r>
    <x v="8875"/>
    <x v="1773"/>
    <x v="1"/>
    <n v="3"/>
    <n v="121.98"/>
    <x v="790"/>
    <x v="7"/>
    <x v="2"/>
    <n v="365.94"/>
    <m/>
    <m/>
    <n v="5"/>
  </r>
  <r>
    <x v="8876"/>
    <x v="1773"/>
    <x v="6"/>
    <n v="2"/>
    <n v="71.680000000000007"/>
    <x v="102"/>
    <x v="0"/>
    <x v="3"/>
    <n v="143.36000000000001"/>
    <m/>
    <m/>
    <n v="5"/>
  </r>
  <r>
    <x v="8877"/>
    <x v="1773"/>
    <x v="0"/>
    <n v="2"/>
    <n v="600.16"/>
    <x v="590"/>
    <x v="6"/>
    <x v="0"/>
    <n v="1200.32"/>
    <m/>
    <m/>
    <n v="7"/>
  </r>
  <r>
    <x v="8878"/>
    <x v="1773"/>
    <x v="0"/>
    <n v="5"/>
    <n v="1500.4"/>
    <x v="55"/>
    <x v="0"/>
    <x v="3"/>
    <n v="7502"/>
    <m/>
    <m/>
    <n v="7"/>
  </r>
  <r>
    <x v="8879"/>
    <x v="1773"/>
    <x v="2"/>
    <n v="1"/>
    <n v="5.23"/>
    <x v="549"/>
    <x v="7"/>
    <x v="4"/>
    <n v="5.23"/>
    <m/>
    <m/>
    <n v="7"/>
  </r>
  <r>
    <x v="8880"/>
    <x v="1774"/>
    <x v="0"/>
    <n v="1"/>
    <n v="300.08"/>
    <x v="162"/>
    <x v="7"/>
    <x v="0"/>
    <n v="300.08"/>
    <m/>
    <m/>
    <n v="5"/>
  </r>
  <r>
    <x v="8881"/>
    <x v="1774"/>
    <x v="6"/>
    <n v="5"/>
    <n v="179.2"/>
    <x v="240"/>
    <x v="6"/>
    <x v="3"/>
    <n v="896"/>
    <m/>
    <m/>
    <n v="5"/>
  </r>
  <r>
    <x v="8882"/>
    <x v="1774"/>
    <x v="0"/>
    <n v="2"/>
    <n v="600.16"/>
    <x v="109"/>
    <x v="6"/>
    <x v="1"/>
    <n v="1200.32"/>
    <m/>
    <m/>
    <n v="7"/>
  </r>
  <r>
    <x v="8883"/>
    <x v="1774"/>
    <x v="2"/>
    <n v="4"/>
    <n v="20.92"/>
    <x v="470"/>
    <x v="0"/>
    <x v="1"/>
    <n v="83.68"/>
    <m/>
    <m/>
    <n v="7"/>
  </r>
  <r>
    <x v="8884"/>
    <x v="1775"/>
    <x v="0"/>
    <n v="4"/>
    <n v="1200.32"/>
    <x v="293"/>
    <x v="9"/>
    <x v="3"/>
    <n v="4801.28"/>
    <m/>
    <m/>
    <n v="5"/>
  </r>
  <r>
    <x v="8885"/>
    <x v="1775"/>
    <x v="6"/>
    <n v="4"/>
    <n v="143.36000000000001"/>
    <x v="568"/>
    <x v="4"/>
    <x v="3"/>
    <n v="573.44000000000005"/>
    <m/>
    <m/>
    <n v="5"/>
  </r>
  <r>
    <x v="8886"/>
    <x v="1775"/>
    <x v="0"/>
    <n v="5"/>
    <n v="1500.4"/>
    <x v="106"/>
    <x v="2"/>
    <x v="1"/>
    <n v="7502"/>
    <m/>
    <m/>
    <n v="5"/>
  </r>
  <r>
    <x v="8887"/>
    <x v="1775"/>
    <x v="4"/>
    <n v="5"/>
    <n v="5250"/>
    <x v="646"/>
    <x v="6"/>
    <x v="4"/>
    <n v="26250"/>
    <m/>
    <m/>
    <n v="5"/>
  </r>
  <r>
    <x v="8888"/>
    <x v="1775"/>
    <x v="1"/>
    <n v="4"/>
    <n v="162.63999999999999"/>
    <x v="699"/>
    <x v="4"/>
    <x v="3"/>
    <n v="650.55999999999995"/>
    <m/>
    <m/>
    <n v="7"/>
  </r>
  <r>
    <x v="8889"/>
    <x v="1776"/>
    <x v="0"/>
    <n v="4"/>
    <n v="1200.32"/>
    <x v="474"/>
    <x v="1"/>
    <x v="3"/>
    <n v="4801.28"/>
    <m/>
    <m/>
    <n v="5"/>
  </r>
  <r>
    <x v="8890"/>
    <x v="1776"/>
    <x v="0"/>
    <n v="3"/>
    <n v="900.24"/>
    <x v="187"/>
    <x v="1"/>
    <x v="3"/>
    <n v="2700.7200000000003"/>
    <m/>
    <m/>
    <n v="5"/>
  </r>
  <r>
    <x v="8891"/>
    <x v="1776"/>
    <x v="5"/>
    <n v="4"/>
    <n v="2400.6799999999998"/>
    <x v="217"/>
    <x v="5"/>
    <x v="3"/>
    <n v="9602.7199999999993"/>
    <m/>
    <m/>
    <n v="7"/>
  </r>
  <r>
    <x v="8892"/>
    <x v="1776"/>
    <x v="2"/>
    <n v="2"/>
    <n v="10.46"/>
    <x v="227"/>
    <x v="6"/>
    <x v="3"/>
    <n v="20.92"/>
    <m/>
    <m/>
    <n v="7"/>
  </r>
  <r>
    <x v="8893"/>
    <x v="1776"/>
    <x v="0"/>
    <n v="5"/>
    <n v="1500.4"/>
    <x v="331"/>
    <x v="7"/>
    <x v="0"/>
    <n v="7502"/>
    <m/>
    <m/>
    <n v="7"/>
  </r>
  <r>
    <x v="8894"/>
    <x v="1777"/>
    <x v="0"/>
    <n v="1"/>
    <n v="300.08"/>
    <x v="703"/>
    <x v="9"/>
    <x v="1"/>
    <n v="300.08"/>
    <m/>
    <m/>
    <n v="7"/>
  </r>
  <r>
    <x v="8895"/>
    <x v="1777"/>
    <x v="2"/>
    <n v="2"/>
    <n v="10.46"/>
    <x v="394"/>
    <x v="0"/>
    <x v="2"/>
    <n v="20.92"/>
    <m/>
    <m/>
    <n v="7"/>
  </r>
  <r>
    <x v="8896"/>
    <x v="1777"/>
    <x v="0"/>
    <n v="3"/>
    <n v="900.24"/>
    <x v="671"/>
    <x v="6"/>
    <x v="2"/>
    <n v="2700.7200000000003"/>
    <m/>
    <m/>
    <n v="7"/>
  </r>
  <r>
    <x v="8897"/>
    <x v="1777"/>
    <x v="6"/>
    <n v="2"/>
    <n v="71.680000000000007"/>
    <x v="549"/>
    <x v="8"/>
    <x v="2"/>
    <n v="143.36000000000001"/>
    <m/>
    <m/>
    <n v="7"/>
  </r>
  <r>
    <x v="8898"/>
    <x v="1777"/>
    <x v="3"/>
    <n v="1"/>
    <n v="15.15"/>
    <x v="513"/>
    <x v="1"/>
    <x v="3"/>
    <n v="15.15"/>
    <m/>
    <m/>
    <n v="7"/>
  </r>
  <r>
    <x v="8899"/>
    <x v="1778"/>
    <x v="0"/>
    <n v="3"/>
    <n v="900.24"/>
    <x v="498"/>
    <x v="1"/>
    <x v="3"/>
    <n v="2700.7200000000003"/>
    <m/>
    <m/>
    <n v="5"/>
  </r>
  <r>
    <x v="8900"/>
    <x v="1778"/>
    <x v="5"/>
    <n v="3"/>
    <n v="1800.51"/>
    <x v="177"/>
    <x v="6"/>
    <x v="1"/>
    <n v="5401.53"/>
    <m/>
    <m/>
    <n v="5"/>
  </r>
  <r>
    <x v="8901"/>
    <x v="1778"/>
    <x v="5"/>
    <n v="5"/>
    <n v="3000.85"/>
    <x v="276"/>
    <x v="0"/>
    <x v="0"/>
    <n v="15004.25"/>
    <m/>
    <m/>
    <n v="5"/>
  </r>
  <r>
    <x v="8902"/>
    <x v="1778"/>
    <x v="7"/>
    <n v="5"/>
    <n v="58.65"/>
    <x v="296"/>
    <x v="1"/>
    <x v="1"/>
    <n v="293.25"/>
    <m/>
    <m/>
    <n v="5"/>
  </r>
  <r>
    <x v="8903"/>
    <x v="1778"/>
    <x v="0"/>
    <n v="5"/>
    <n v="1500.4"/>
    <x v="343"/>
    <x v="8"/>
    <x v="4"/>
    <n v="7502"/>
    <m/>
    <m/>
    <n v="7"/>
  </r>
  <r>
    <x v="8904"/>
    <x v="1778"/>
    <x v="1"/>
    <n v="4"/>
    <n v="162.63999999999999"/>
    <x v="118"/>
    <x v="3"/>
    <x v="4"/>
    <n v="650.55999999999995"/>
    <m/>
    <m/>
    <n v="7"/>
  </r>
  <r>
    <x v="8905"/>
    <x v="1778"/>
    <x v="0"/>
    <n v="3"/>
    <n v="900.24"/>
    <x v="235"/>
    <x v="6"/>
    <x v="3"/>
    <n v="2700.7200000000003"/>
    <m/>
    <m/>
    <n v="7"/>
  </r>
  <r>
    <x v="8906"/>
    <x v="1778"/>
    <x v="6"/>
    <n v="4"/>
    <n v="143.36000000000001"/>
    <x v="29"/>
    <x v="0"/>
    <x v="0"/>
    <n v="573.44000000000005"/>
    <m/>
    <m/>
    <n v="7"/>
  </r>
  <r>
    <x v="8907"/>
    <x v="1779"/>
    <x v="0"/>
    <n v="1"/>
    <n v="300.08"/>
    <x v="184"/>
    <x v="7"/>
    <x v="0"/>
    <n v="300.08"/>
    <m/>
    <m/>
    <n v="5"/>
  </r>
  <r>
    <x v="8908"/>
    <x v="1779"/>
    <x v="6"/>
    <n v="3"/>
    <n v="107.52"/>
    <x v="737"/>
    <x v="9"/>
    <x v="3"/>
    <n v="322.56"/>
    <m/>
    <m/>
    <n v="5"/>
  </r>
  <r>
    <x v="8909"/>
    <x v="1779"/>
    <x v="2"/>
    <n v="5"/>
    <n v="26.15"/>
    <x v="538"/>
    <x v="6"/>
    <x v="1"/>
    <n v="130.75"/>
    <m/>
    <m/>
    <n v="5"/>
  </r>
  <r>
    <x v="8910"/>
    <x v="1779"/>
    <x v="5"/>
    <n v="3"/>
    <n v="1800.51"/>
    <x v="338"/>
    <x v="1"/>
    <x v="1"/>
    <n v="5401.53"/>
    <m/>
    <m/>
    <n v="5"/>
  </r>
  <r>
    <x v="8911"/>
    <x v="1779"/>
    <x v="2"/>
    <n v="4"/>
    <n v="20.92"/>
    <x v="141"/>
    <x v="2"/>
    <x v="2"/>
    <n v="83.68"/>
    <m/>
    <m/>
    <n v="5"/>
  </r>
  <r>
    <x v="8912"/>
    <x v="1779"/>
    <x v="5"/>
    <n v="2"/>
    <n v="1200.3399999999999"/>
    <x v="249"/>
    <x v="6"/>
    <x v="1"/>
    <n v="2400.6799999999998"/>
    <m/>
    <m/>
    <n v="7"/>
  </r>
  <r>
    <x v="8913"/>
    <x v="1779"/>
    <x v="4"/>
    <n v="3"/>
    <n v="3150"/>
    <x v="29"/>
    <x v="0"/>
    <x v="1"/>
    <n v="9450"/>
    <m/>
    <m/>
    <n v="7"/>
  </r>
  <r>
    <x v="8914"/>
    <x v="1780"/>
    <x v="0"/>
    <n v="1"/>
    <n v="300.08"/>
    <x v="285"/>
    <x v="6"/>
    <x v="4"/>
    <n v="300.08"/>
    <m/>
    <m/>
    <n v="5"/>
  </r>
  <r>
    <x v="8915"/>
    <x v="1780"/>
    <x v="2"/>
    <n v="2"/>
    <n v="10.46"/>
    <x v="353"/>
    <x v="1"/>
    <x v="2"/>
    <n v="20.92"/>
    <m/>
    <m/>
    <n v="7"/>
  </r>
  <r>
    <x v="8916"/>
    <x v="1780"/>
    <x v="2"/>
    <n v="3"/>
    <n v="15.69"/>
    <x v="7"/>
    <x v="9"/>
    <x v="3"/>
    <n v="47.07"/>
    <m/>
    <m/>
    <n v="7"/>
  </r>
  <r>
    <x v="8917"/>
    <x v="1780"/>
    <x v="5"/>
    <n v="5"/>
    <n v="3000.85"/>
    <x v="772"/>
    <x v="0"/>
    <x v="0"/>
    <n v="15004.25"/>
    <m/>
    <m/>
    <n v="7"/>
  </r>
  <r>
    <x v="8918"/>
    <x v="1781"/>
    <x v="0"/>
    <n v="5"/>
    <n v="1500.4"/>
    <x v="39"/>
    <x v="1"/>
    <x v="3"/>
    <n v="7502"/>
    <m/>
    <m/>
    <n v="5"/>
  </r>
  <r>
    <x v="8919"/>
    <x v="1781"/>
    <x v="5"/>
    <n v="2"/>
    <n v="1200.3399999999999"/>
    <x v="205"/>
    <x v="1"/>
    <x v="2"/>
    <n v="2400.6799999999998"/>
    <m/>
    <m/>
    <n v="7"/>
  </r>
  <r>
    <x v="8920"/>
    <x v="1781"/>
    <x v="5"/>
    <n v="1"/>
    <n v="600.16999999999996"/>
    <x v="235"/>
    <x v="6"/>
    <x v="0"/>
    <n v="600.16999999999996"/>
    <m/>
    <m/>
    <n v="7"/>
  </r>
  <r>
    <x v="8921"/>
    <x v="1781"/>
    <x v="0"/>
    <n v="2"/>
    <n v="600.16"/>
    <x v="415"/>
    <x v="0"/>
    <x v="4"/>
    <n v="1200.32"/>
    <m/>
    <m/>
    <n v="7"/>
  </r>
  <r>
    <x v="8922"/>
    <x v="1781"/>
    <x v="1"/>
    <n v="1"/>
    <n v="40.659999999999997"/>
    <x v="19"/>
    <x v="4"/>
    <x v="2"/>
    <n v="40.659999999999997"/>
    <m/>
    <m/>
    <n v="7"/>
  </r>
  <r>
    <x v="8923"/>
    <x v="1781"/>
    <x v="4"/>
    <n v="5"/>
    <n v="5250"/>
    <x v="626"/>
    <x v="6"/>
    <x v="4"/>
    <n v="26250"/>
    <m/>
    <m/>
    <n v="10"/>
  </r>
  <r>
    <x v="8924"/>
    <x v="1782"/>
    <x v="4"/>
    <n v="5"/>
    <n v="5250"/>
    <x v="167"/>
    <x v="5"/>
    <x v="2"/>
    <n v="26250"/>
    <m/>
    <m/>
    <n v="5"/>
  </r>
  <r>
    <x v="8925"/>
    <x v="1782"/>
    <x v="7"/>
    <n v="1"/>
    <n v="11.73"/>
    <x v="576"/>
    <x v="1"/>
    <x v="3"/>
    <n v="11.73"/>
    <m/>
    <m/>
    <n v="5"/>
  </r>
  <r>
    <x v="8926"/>
    <x v="1782"/>
    <x v="1"/>
    <n v="3"/>
    <n v="121.98"/>
    <x v="630"/>
    <x v="6"/>
    <x v="2"/>
    <n v="365.94"/>
    <m/>
    <m/>
    <n v="7"/>
  </r>
  <r>
    <x v="8927"/>
    <x v="1782"/>
    <x v="5"/>
    <n v="3"/>
    <n v="1800.51"/>
    <x v="626"/>
    <x v="1"/>
    <x v="2"/>
    <n v="5401.53"/>
    <m/>
    <m/>
    <n v="10"/>
  </r>
  <r>
    <x v="8928"/>
    <x v="1782"/>
    <x v="1"/>
    <n v="2"/>
    <n v="81.319999999999993"/>
    <x v="765"/>
    <x v="4"/>
    <x v="3"/>
    <n v="162.63999999999999"/>
    <m/>
    <m/>
    <n v="10"/>
  </r>
  <r>
    <x v="8929"/>
    <x v="1783"/>
    <x v="2"/>
    <n v="4"/>
    <n v="20.92"/>
    <x v="757"/>
    <x v="4"/>
    <x v="1"/>
    <n v="83.68"/>
    <m/>
    <m/>
    <n v="5"/>
  </r>
  <r>
    <x v="8930"/>
    <x v="1783"/>
    <x v="4"/>
    <n v="5"/>
    <n v="5250"/>
    <x v="484"/>
    <x v="3"/>
    <x v="0"/>
    <n v="26250"/>
    <m/>
    <m/>
    <n v="5"/>
  </r>
  <r>
    <x v="8931"/>
    <x v="1783"/>
    <x v="0"/>
    <n v="2"/>
    <n v="600.16"/>
    <x v="18"/>
    <x v="9"/>
    <x v="2"/>
    <n v="1200.32"/>
    <m/>
    <m/>
    <n v="7"/>
  </r>
  <r>
    <x v="8932"/>
    <x v="1783"/>
    <x v="7"/>
    <n v="5"/>
    <n v="58.65"/>
    <x v="325"/>
    <x v="2"/>
    <x v="3"/>
    <n v="293.25"/>
    <m/>
    <m/>
    <n v="7"/>
  </r>
  <r>
    <x v="8933"/>
    <x v="1783"/>
    <x v="4"/>
    <n v="4"/>
    <n v="4200"/>
    <x v="96"/>
    <x v="4"/>
    <x v="1"/>
    <n v="16800"/>
    <m/>
    <m/>
    <n v="7"/>
  </r>
  <r>
    <x v="8934"/>
    <x v="1783"/>
    <x v="5"/>
    <n v="3"/>
    <n v="1800.51"/>
    <x v="214"/>
    <x v="4"/>
    <x v="0"/>
    <n v="5401.53"/>
    <m/>
    <m/>
    <n v="7"/>
  </r>
  <r>
    <x v="8935"/>
    <x v="1783"/>
    <x v="2"/>
    <n v="5"/>
    <n v="26.15"/>
    <x v="705"/>
    <x v="0"/>
    <x v="1"/>
    <n v="130.75"/>
    <m/>
    <m/>
    <n v="7"/>
  </r>
  <r>
    <x v="8936"/>
    <x v="1784"/>
    <x v="5"/>
    <n v="1"/>
    <n v="600.16999999999996"/>
    <x v="13"/>
    <x v="5"/>
    <x v="1"/>
    <n v="600.16999999999996"/>
    <m/>
    <m/>
    <n v="5"/>
  </r>
  <r>
    <x v="8937"/>
    <x v="1784"/>
    <x v="5"/>
    <n v="3"/>
    <n v="1800.51"/>
    <x v="629"/>
    <x v="2"/>
    <x v="2"/>
    <n v="5401.53"/>
    <m/>
    <m/>
    <n v="5"/>
  </r>
  <r>
    <x v="8938"/>
    <x v="1784"/>
    <x v="0"/>
    <n v="5"/>
    <n v="1500.4"/>
    <x v="498"/>
    <x v="9"/>
    <x v="3"/>
    <n v="7502"/>
    <m/>
    <m/>
    <n v="5"/>
  </r>
  <r>
    <x v="8939"/>
    <x v="1784"/>
    <x v="5"/>
    <n v="3"/>
    <n v="1800.51"/>
    <x v="734"/>
    <x v="9"/>
    <x v="0"/>
    <n v="5401.53"/>
    <m/>
    <m/>
    <n v="7"/>
  </r>
  <r>
    <x v="8940"/>
    <x v="1785"/>
    <x v="0"/>
    <n v="1"/>
    <n v="300.08"/>
    <x v="304"/>
    <x v="1"/>
    <x v="3"/>
    <n v="300.08"/>
    <m/>
    <m/>
    <n v="5"/>
  </r>
  <r>
    <x v="8941"/>
    <x v="1785"/>
    <x v="7"/>
    <n v="3"/>
    <n v="35.19"/>
    <x v="432"/>
    <x v="0"/>
    <x v="4"/>
    <n v="105.57"/>
    <m/>
    <m/>
    <n v="5"/>
  </r>
  <r>
    <x v="8942"/>
    <x v="1785"/>
    <x v="2"/>
    <n v="3"/>
    <n v="15.69"/>
    <x v="81"/>
    <x v="9"/>
    <x v="2"/>
    <n v="47.07"/>
    <m/>
    <m/>
    <n v="5"/>
  </r>
  <r>
    <x v="8943"/>
    <x v="1785"/>
    <x v="0"/>
    <n v="4"/>
    <n v="1200.32"/>
    <x v="455"/>
    <x v="5"/>
    <x v="0"/>
    <n v="4801.28"/>
    <m/>
    <m/>
    <n v="7"/>
  </r>
  <r>
    <x v="8944"/>
    <x v="1786"/>
    <x v="0"/>
    <n v="1"/>
    <n v="300.08"/>
    <x v="501"/>
    <x v="0"/>
    <x v="2"/>
    <n v="300.08"/>
    <m/>
    <m/>
    <n v="5"/>
  </r>
  <r>
    <x v="8945"/>
    <x v="1786"/>
    <x v="7"/>
    <n v="3"/>
    <n v="35.19"/>
    <x v="405"/>
    <x v="1"/>
    <x v="3"/>
    <n v="105.57"/>
    <m/>
    <m/>
    <n v="7"/>
  </r>
  <r>
    <x v="8946"/>
    <x v="1786"/>
    <x v="0"/>
    <n v="5"/>
    <n v="1500.4"/>
    <x v="297"/>
    <x v="9"/>
    <x v="4"/>
    <n v="7502"/>
    <m/>
    <m/>
    <n v="7"/>
  </r>
  <r>
    <x v="8947"/>
    <x v="1786"/>
    <x v="3"/>
    <n v="4"/>
    <n v="60.6"/>
    <x v="751"/>
    <x v="4"/>
    <x v="2"/>
    <n v="242.4"/>
    <m/>
    <m/>
    <n v="10"/>
  </r>
  <r>
    <x v="8948"/>
    <x v="1786"/>
    <x v="0"/>
    <n v="1"/>
    <n v="300.08"/>
    <x v="246"/>
    <x v="2"/>
    <x v="2"/>
    <n v="300.08"/>
    <m/>
    <m/>
    <n v="10"/>
  </r>
  <r>
    <x v="8949"/>
    <x v="1786"/>
    <x v="0"/>
    <n v="2"/>
    <n v="600.16"/>
    <x v="246"/>
    <x v="1"/>
    <x v="4"/>
    <n v="1200.32"/>
    <m/>
    <m/>
    <n v="10"/>
  </r>
  <r>
    <x v="8950"/>
    <x v="1786"/>
    <x v="4"/>
    <n v="3"/>
    <n v="3150"/>
    <x v="402"/>
    <x v="6"/>
    <x v="4"/>
    <n v="9450"/>
    <m/>
    <m/>
    <n v="10"/>
  </r>
  <r>
    <x v="8951"/>
    <x v="1786"/>
    <x v="1"/>
    <n v="4"/>
    <n v="162.63999999999999"/>
    <x v="645"/>
    <x v="9"/>
    <x v="3"/>
    <n v="650.55999999999995"/>
    <m/>
    <m/>
    <n v="10"/>
  </r>
  <r>
    <x v="8952"/>
    <x v="1787"/>
    <x v="0"/>
    <n v="1"/>
    <n v="300.08"/>
    <x v="80"/>
    <x v="0"/>
    <x v="4"/>
    <n v="300.08"/>
    <m/>
    <m/>
    <n v="5"/>
  </r>
  <r>
    <x v="8953"/>
    <x v="1787"/>
    <x v="0"/>
    <n v="4"/>
    <n v="1200.32"/>
    <x v="313"/>
    <x v="0"/>
    <x v="3"/>
    <n v="4801.28"/>
    <m/>
    <m/>
    <n v="5"/>
  </r>
  <r>
    <x v="8954"/>
    <x v="1787"/>
    <x v="3"/>
    <n v="5"/>
    <n v="75.75"/>
    <x v="459"/>
    <x v="2"/>
    <x v="3"/>
    <n v="378.75"/>
    <m/>
    <m/>
    <n v="5"/>
  </r>
  <r>
    <x v="8955"/>
    <x v="1787"/>
    <x v="4"/>
    <n v="2"/>
    <n v="2100"/>
    <x v="489"/>
    <x v="1"/>
    <x v="4"/>
    <n v="4200"/>
    <m/>
    <m/>
    <n v="7"/>
  </r>
  <r>
    <x v="8956"/>
    <x v="1787"/>
    <x v="2"/>
    <n v="2"/>
    <n v="10.46"/>
    <x v="781"/>
    <x v="4"/>
    <x v="1"/>
    <n v="20.92"/>
    <m/>
    <m/>
    <n v="10"/>
  </r>
  <r>
    <x v="8957"/>
    <x v="1788"/>
    <x v="0"/>
    <n v="5"/>
    <n v="1500.4"/>
    <x v="654"/>
    <x v="0"/>
    <x v="2"/>
    <n v="7502"/>
    <m/>
    <m/>
    <n v="5"/>
  </r>
  <r>
    <x v="8958"/>
    <x v="1788"/>
    <x v="3"/>
    <n v="5"/>
    <n v="75.75"/>
    <x v="68"/>
    <x v="6"/>
    <x v="0"/>
    <n v="378.75"/>
    <m/>
    <m/>
    <n v="5"/>
  </r>
  <r>
    <x v="8959"/>
    <x v="1788"/>
    <x v="2"/>
    <n v="3"/>
    <n v="15.69"/>
    <x v="352"/>
    <x v="9"/>
    <x v="1"/>
    <n v="47.07"/>
    <m/>
    <m/>
    <n v="5"/>
  </r>
  <r>
    <x v="8960"/>
    <x v="1788"/>
    <x v="2"/>
    <n v="2"/>
    <n v="10.46"/>
    <x v="546"/>
    <x v="1"/>
    <x v="3"/>
    <n v="20.92"/>
    <m/>
    <m/>
    <n v="7"/>
  </r>
  <r>
    <x v="8961"/>
    <x v="1788"/>
    <x v="0"/>
    <n v="5"/>
    <n v="1500.4"/>
    <x v="753"/>
    <x v="4"/>
    <x v="3"/>
    <n v="7502"/>
    <m/>
    <m/>
    <n v="7"/>
  </r>
  <r>
    <x v="8962"/>
    <x v="1789"/>
    <x v="0"/>
    <n v="2"/>
    <n v="600.16"/>
    <x v="485"/>
    <x v="1"/>
    <x v="1"/>
    <n v="1200.32"/>
    <m/>
    <m/>
    <n v="5"/>
  </r>
  <r>
    <x v="8963"/>
    <x v="1789"/>
    <x v="2"/>
    <n v="5"/>
    <n v="26.15"/>
    <x v="213"/>
    <x v="4"/>
    <x v="2"/>
    <n v="130.75"/>
    <m/>
    <m/>
    <n v="7"/>
  </r>
  <r>
    <x v="8964"/>
    <x v="1789"/>
    <x v="5"/>
    <n v="5"/>
    <n v="3000.85"/>
    <x v="218"/>
    <x v="6"/>
    <x v="1"/>
    <n v="15004.25"/>
    <m/>
    <m/>
    <n v="7"/>
  </r>
  <r>
    <x v="8965"/>
    <x v="1790"/>
    <x v="1"/>
    <n v="4"/>
    <n v="162.63999999999999"/>
    <x v="21"/>
    <x v="5"/>
    <x v="1"/>
    <n v="650.55999999999995"/>
    <m/>
    <m/>
    <n v="5"/>
  </r>
  <r>
    <x v="8966"/>
    <x v="1790"/>
    <x v="0"/>
    <n v="4"/>
    <n v="1200.32"/>
    <x v="366"/>
    <x v="4"/>
    <x v="0"/>
    <n v="4801.28"/>
    <m/>
    <m/>
    <n v="5"/>
  </r>
  <r>
    <x v="8967"/>
    <x v="1790"/>
    <x v="1"/>
    <n v="1"/>
    <n v="40.659999999999997"/>
    <x v="508"/>
    <x v="1"/>
    <x v="3"/>
    <n v="40.659999999999997"/>
    <m/>
    <m/>
    <n v="7"/>
  </r>
  <r>
    <x v="8968"/>
    <x v="1790"/>
    <x v="0"/>
    <n v="3"/>
    <n v="900.24"/>
    <x v="129"/>
    <x v="6"/>
    <x v="0"/>
    <n v="2700.7200000000003"/>
    <m/>
    <m/>
    <n v="7"/>
  </r>
  <r>
    <x v="8969"/>
    <x v="1790"/>
    <x v="2"/>
    <n v="3"/>
    <n v="15.69"/>
    <x v="634"/>
    <x v="0"/>
    <x v="1"/>
    <n v="47.07"/>
    <m/>
    <m/>
    <n v="7"/>
  </r>
  <r>
    <x v="8970"/>
    <x v="1790"/>
    <x v="3"/>
    <n v="2"/>
    <n v="30.3"/>
    <x v="330"/>
    <x v="7"/>
    <x v="0"/>
    <n v="60.6"/>
    <m/>
    <m/>
    <n v="7"/>
  </r>
  <r>
    <x v="8971"/>
    <x v="1791"/>
    <x v="2"/>
    <n v="2"/>
    <n v="10.46"/>
    <x v="65"/>
    <x v="6"/>
    <x v="3"/>
    <n v="20.92"/>
    <m/>
    <m/>
    <n v="5"/>
  </r>
  <r>
    <x v="8972"/>
    <x v="1791"/>
    <x v="6"/>
    <n v="1"/>
    <n v="35.840000000000003"/>
    <x v="636"/>
    <x v="1"/>
    <x v="1"/>
    <n v="35.840000000000003"/>
    <m/>
    <m/>
    <n v="5"/>
  </r>
  <r>
    <x v="8973"/>
    <x v="1791"/>
    <x v="1"/>
    <n v="2"/>
    <n v="81.319999999999993"/>
    <x v="655"/>
    <x v="6"/>
    <x v="0"/>
    <n v="162.63999999999999"/>
    <m/>
    <m/>
    <n v="5"/>
  </r>
  <r>
    <x v="8974"/>
    <x v="1791"/>
    <x v="2"/>
    <n v="5"/>
    <n v="26.15"/>
    <x v="66"/>
    <x v="1"/>
    <x v="4"/>
    <n v="130.75"/>
    <m/>
    <m/>
    <n v="7"/>
  </r>
  <r>
    <x v="8975"/>
    <x v="1791"/>
    <x v="2"/>
    <n v="4"/>
    <n v="20.92"/>
    <x v="142"/>
    <x v="6"/>
    <x v="3"/>
    <n v="83.68"/>
    <m/>
    <m/>
    <n v="7"/>
  </r>
  <r>
    <x v="8976"/>
    <x v="1791"/>
    <x v="5"/>
    <n v="2"/>
    <n v="1200.3399999999999"/>
    <x v="405"/>
    <x v="9"/>
    <x v="2"/>
    <n v="2400.6799999999998"/>
    <m/>
    <m/>
    <n v="7"/>
  </r>
  <r>
    <x v="8977"/>
    <x v="1791"/>
    <x v="6"/>
    <n v="4"/>
    <n v="143.36000000000001"/>
    <x v="532"/>
    <x v="1"/>
    <x v="4"/>
    <n v="573.44000000000005"/>
    <m/>
    <m/>
    <n v="7"/>
  </r>
  <r>
    <x v="8978"/>
    <x v="1792"/>
    <x v="1"/>
    <n v="5"/>
    <n v="203.3"/>
    <x v="146"/>
    <x v="1"/>
    <x v="3"/>
    <n v="1016.5"/>
    <m/>
    <m/>
    <n v="5"/>
  </r>
  <r>
    <x v="8979"/>
    <x v="1792"/>
    <x v="2"/>
    <n v="5"/>
    <n v="26.15"/>
    <x v="260"/>
    <x v="1"/>
    <x v="4"/>
    <n v="130.75"/>
    <m/>
    <m/>
    <n v="7"/>
  </r>
  <r>
    <x v="8980"/>
    <x v="1792"/>
    <x v="4"/>
    <n v="4"/>
    <n v="4200"/>
    <x v="416"/>
    <x v="8"/>
    <x v="1"/>
    <n v="16800"/>
    <m/>
    <m/>
    <n v="10"/>
  </r>
  <r>
    <x v="8981"/>
    <x v="1792"/>
    <x v="2"/>
    <n v="4"/>
    <n v="20.92"/>
    <x v="385"/>
    <x v="9"/>
    <x v="3"/>
    <n v="83.68"/>
    <m/>
    <m/>
    <n v="10"/>
  </r>
  <r>
    <x v="8982"/>
    <x v="1793"/>
    <x v="0"/>
    <n v="3"/>
    <n v="900.24"/>
    <x v="757"/>
    <x v="4"/>
    <x v="0"/>
    <n v="2700.7200000000003"/>
    <m/>
    <m/>
    <n v="5"/>
  </r>
  <r>
    <x v="8983"/>
    <x v="1793"/>
    <x v="1"/>
    <n v="5"/>
    <n v="203.3"/>
    <x v="447"/>
    <x v="3"/>
    <x v="4"/>
    <n v="1016.5"/>
    <m/>
    <m/>
    <n v="7"/>
  </r>
  <r>
    <x v="8984"/>
    <x v="1794"/>
    <x v="0"/>
    <n v="3"/>
    <n v="900.24"/>
    <x v="789"/>
    <x v="2"/>
    <x v="4"/>
    <n v="2700.7200000000003"/>
    <m/>
    <m/>
    <n v="5"/>
  </r>
  <r>
    <x v="8985"/>
    <x v="1794"/>
    <x v="6"/>
    <n v="2"/>
    <n v="71.680000000000007"/>
    <x v="44"/>
    <x v="6"/>
    <x v="4"/>
    <n v="143.36000000000001"/>
    <m/>
    <m/>
    <n v="7"/>
  </r>
  <r>
    <x v="8986"/>
    <x v="1794"/>
    <x v="6"/>
    <n v="5"/>
    <n v="179.2"/>
    <x v="644"/>
    <x v="4"/>
    <x v="2"/>
    <n v="896"/>
    <m/>
    <m/>
    <n v="7"/>
  </r>
  <r>
    <x v="8987"/>
    <x v="1795"/>
    <x v="0"/>
    <n v="1"/>
    <n v="300.08"/>
    <x v="373"/>
    <x v="0"/>
    <x v="3"/>
    <n v="300.08"/>
    <m/>
    <m/>
    <n v="5"/>
  </r>
  <r>
    <x v="8988"/>
    <x v="1795"/>
    <x v="0"/>
    <n v="4"/>
    <n v="1200.32"/>
    <x v="587"/>
    <x v="6"/>
    <x v="0"/>
    <n v="4801.28"/>
    <m/>
    <m/>
    <n v="5"/>
  </r>
  <r>
    <x v="8989"/>
    <x v="1795"/>
    <x v="0"/>
    <n v="4"/>
    <n v="1200.32"/>
    <x v="180"/>
    <x v="8"/>
    <x v="1"/>
    <n v="4801.28"/>
    <m/>
    <m/>
    <n v="5"/>
  </r>
  <r>
    <x v="8990"/>
    <x v="1795"/>
    <x v="0"/>
    <n v="3"/>
    <n v="900.24"/>
    <x v="719"/>
    <x v="5"/>
    <x v="4"/>
    <n v="2700.7200000000003"/>
    <m/>
    <m/>
    <n v="7"/>
  </r>
  <r>
    <x v="8991"/>
    <x v="1795"/>
    <x v="7"/>
    <n v="2"/>
    <n v="23.46"/>
    <x v="439"/>
    <x v="4"/>
    <x v="3"/>
    <n v="46.92"/>
    <m/>
    <m/>
    <n v="7"/>
  </r>
  <r>
    <x v="8992"/>
    <x v="1795"/>
    <x v="5"/>
    <n v="5"/>
    <n v="3000.85"/>
    <x v="561"/>
    <x v="4"/>
    <x v="3"/>
    <n v="15004.25"/>
    <m/>
    <m/>
    <n v="7"/>
  </r>
  <r>
    <x v="8993"/>
    <x v="1795"/>
    <x v="3"/>
    <n v="5"/>
    <n v="75.75"/>
    <x v="297"/>
    <x v="0"/>
    <x v="4"/>
    <n v="378.75"/>
    <m/>
    <m/>
    <n v="7"/>
  </r>
  <r>
    <x v="8994"/>
    <x v="1796"/>
    <x v="0"/>
    <n v="1"/>
    <n v="300.08"/>
    <x v="459"/>
    <x v="6"/>
    <x v="4"/>
    <n v="300.08"/>
    <m/>
    <m/>
    <n v="5"/>
  </r>
  <r>
    <x v="8995"/>
    <x v="1796"/>
    <x v="0"/>
    <n v="1"/>
    <n v="300.08"/>
    <x v="435"/>
    <x v="0"/>
    <x v="4"/>
    <n v="300.08"/>
    <m/>
    <m/>
    <n v="5"/>
  </r>
  <r>
    <x v="8996"/>
    <x v="1796"/>
    <x v="6"/>
    <n v="1"/>
    <n v="35.840000000000003"/>
    <x v="720"/>
    <x v="0"/>
    <x v="0"/>
    <n v="35.840000000000003"/>
    <m/>
    <m/>
    <n v="5"/>
  </r>
  <r>
    <x v="8997"/>
    <x v="1796"/>
    <x v="6"/>
    <n v="3"/>
    <n v="107.52"/>
    <x v="347"/>
    <x v="5"/>
    <x v="4"/>
    <n v="322.56"/>
    <m/>
    <m/>
    <n v="7"/>
  </r>
  <r>
    <x v="8998"/>
    <x v="1796"/>
    <x v="1"/>
    <n v="3"/>
    <n v="121.98"/>
    <x v="213"/>
    <x v="5"/>
    <x v="3"/>
    <n v="365.94"/>
    <m/>
    <m/>
    <n v="7"/>
  </r>
  <r>
    <x v="8999"/>
    <x v="1796"/>
    <x v="5"/>
    <n v="4"/>
    <n v="2400.6799999999998"/>
    <x v="23"/>
    <x v="0"/>
    <x v="4"/>
    <n v="9602.7199999999993"/>
    <m/>
    <m/>
    <n v="7"/>
  </r>
  <r>
    <x v="9000"/>
    <x v="1796"/>
    <x v="6"/>
    <n v="1"/>
    <n v="35.840000000000003"/>
    <x v="363"/>
    <x v="0"/>
    <x v="0"/>
    <n v="35.840000000000003"/>
    <m/>
    <m/>
    <n v="7"/>
  </r>
  <r>
    <x v="9001"/>
    <x v="1796"/>
    <x v="1"/>
    <n v="2"/>
    <n v="81.319999999999993"/>
    <x v="423"/>
    <x v="0"/>
    <x v="2"/>
    <n v="162.63999999999999"/>
    <m/>
    <m/>
    <n v="10"/>
  </r>
  <r>
    <x v="9002"/>
    <x v="1797"/>
    <x v="0"/>
    <n v="4"/>
    <n v="1200.32"/>
    <x v="687"/>
    <x v="0"/>
    <x v="4"/>
    <n v="4801.28"/>
    <m/>
    <m/>
    <n v="5"/>
  </r>
  <r>
    <x v="9003"/>
    <x v="1797"/>
    <x v="5"/>
    <n v="5"/>
    <n v="3000.85"/>
    <x v="742"/>
    <x v="5"/>
    <x v="1"/>
    <n v="15004.25"/>
    <m/>
    <m/>
    <n v="7"/>
  </r>
  <r>
    <x v="9004"/>
    <x v="1797"/>
    <x v="1"/>
    <n v="2"/>
    <n v="81.319999999999993"/>
    <x v="154"/>
    <x v="7"/>
    <x v="0"/>
    <n v="162.63999999999999"/>
    <m/>
    <m/>
    <n v="7"/>
  </r>
  <r>
    <x v="9005"/>
    <x v="1797"/>
    <x v="1"/>
    <n v="4"/>
    <n v="162.63999999999999"/>
    <x v="52"/>
    <x v="7"/>
    <x v="1"/>
    <n v="650.55999999999995"/>
    <m/>
    <m/>
    <n v="7"/>
  </r>
  <r>
    <x v="9006"/>
    <x v="1797"/>
    <x v="1"/>
    <n v="1"/>
    <n v="40.659999999999997"/>
    <x v="540"/>
    <x v="1"/>
    <x v="3"/>
    <n v="40.659999999999997"/>
    <m/>
    <m/>
    <n v="7"/>
  </r>
  <r>
    <x v="9007"/>
    <x v="1797"/>
    <x v="1"/>
    <n v="4"/>
    <n v="162.63999999999999"/>
    <x v="26"/>
    <x v="4"/>
    <x v="4"/>
    <n v="650.55999999999995"/>
    <m/>
    <m/>
    <n v="10"/>
  </r>
  <r>
    <x v="9008"/>
    <x v="1798"/>
    <x v="1"/>
    <n v="4"/>
    <n v="162.63999999999999"/>
    <x v="87"/>
    <x v="9"/>
    <x v="0"/>
    <n v="650.55999999999995"/>
    <m/>
    <m/>
    <n v="5"/>
  </r>
  <r>
    <x v="9009"/>
    <x v="1799"/>
    <x v="0"/>
    <n v="2"/>
    <n v="600.16"/>
    <x v="90"/>
    <x v="9"/>
    <x v="4"/>
    <n v="1200.32"/>
    <m/>
    <m/>
    <n v="5"/>
  </r>
  <r>
    <x v="9010"/>
    <x v="1799"/>
    <x v="6"/>
    <n v="2"/>
    <n v="71.680000000000007"/>
    <x v="453"/>
    <x v="6"/>
    <x v="1"/>
    <n v="143.36000000000001"/>
    <m/>
    <m/>
    <n v="5"/>
  </r>
  <r>
    <x v="9011"/>
    <x v="1799"/>
    <x v="4"/>
    <n v="5"/>
    <n v="5250"/>
    <x v="743"/>
    <x v="1"/>
    <x v="3"/>
    <n v="26250"/>
    <m/>
    <m/>
    <n v="5"/>
  </r>
  <r>
    <x v="9012"/>
    <x v="1799"/>
    <x v="2"/>
    <n v="3"/>
    <n v="15.69"/>
    <x v="39"/>
    <x v="2"/>
    <x v="1"/>
    <n v="47.07"/>
    <m/>
    <m/>
    <n v="5"/>
  </r>
  <r>
    <x v="9013"/>
    <x v="1799"/>
    <x v="0"/>
    <n v="1"/>
    <n v="300.08"/>
    <x v="525"/>
    <x v="8"/>
    <x v="1"/>
    <n v="300.08"/>
    <m/>
    <m/>
    <n v="5"/>
  </r>
  <r>
    <x v="9014"/>
    <x v="1799"/>
    <x v="1"/>
    <n v="4"/>
    <n v="162.63999999999999"/>
    <x v="213"/>
    <x v="6"/>
    <x v="3"/>
    <n v="650.55999999999995"/>
    <m/>
    <m/>
    <n v="7"/>
  </r>
  <r>
    <x v="9015"/>
    <x v="1799"/>
    <x v="1"/>
    <n v="5"/>
    <n v="203.3"/>
    <x v="426"/>
    <x v="0"/>
    <x v="1"/>
    <n v="1016.5"/>
    <m/>
    <m/>
    <n v="7"/>
  </r>
  <r>
    <x v="9016"/>
    <x v="1800"/>
    <x v="7"/>
    <n v="5"/>
    <n v="58.65"/>
    <x v="238"/>
    <x v="0"/>
    <x v="2"/>
    <n v="293.25"/>
    <m/>
    <m/>
    <n v="5"/>
  </r>
  <r>
    <x v="9017"/>
    <x v="1800"/>
    <x v="3"/>
    <n v="4"/>
    <n v="60.6"/>
    <x v="527"/>
    <x v="4"/>
    <x v="0"/>
    <n v="242.4"/>
    <m/>
    <m/>
    <n v="5"/>
  </r>
  <r>
    <x v="9018"/>
    <x v="1800"/>
    <x v="2"/>
    <n v="4"/>
    <n v="20.92"/>
    <x v="239"/>
    <x v="2"/>
    <x v="3"/>
    <n v="83.68"/>
    <m/>
    <m/>
    <n v="5"/>
  </r>
  <r>
    <x v="9019"/>
    <x v="1800"/>
    <x v="6"/>
    <n v="4"/>
    <n v="143.36000000000001"/>
    <x v="525"/>
    <x v="6"/>
    <x v="0"/>
    <n v="573.44000000000005"/>
    <m/>
    <m/>
    <n v="5"/>
  </r>
  <r>
    <x v="9020"/>
    <x v="1800"/>
    <x v="2"/>
    <n v="2"/>
    <n v="10.46"/>
    <x v="534"/>
    <x v="2"/>
    <x v="2"/>
    <n v="20.92"/>
    <m/>
    <m/>
    <n v="5"/>
  </r>
  <r>
    <x v="9021"/>
    <x v="1800"/>
    <x v="0"/>
    <n v="3"/>
    <n v="900.24"/>
    <x v="365"/>
    <x v="4"/>
    <x v="3"/>
    <n v="2700.7200000000003"/>
    <m/>
    <m/>
    <n v="7"/>
  </r>
  <r>
    <x v="9022"/>
    <x v="1800"/>
    <x v="6"/>
    <n v="1"/>
    <n v="35.840000000000003"/>
    <x v="93"/>
    <x v="2"/>
    <x v="3"/>
    <n v="35.840000000000003"/>
    <m/>
    <m/>
    <n v="7"/>
  </r>
  <r>
    <x v="9023"/>
    <x v="1800"/>
    <x v="4"/>
    <n v="4"/>
    <n v="4200"/>
    <x v="401"/>
    <x v="1"/>
    <x v="2"/>
    <n v="16800"/>
    <m/>
    <m/>
    <n v="7"/>
  </r>
  <r>
    <x v="9024"/>
    <x v="1800"/>
    <x v="1"/>
    <n v="1"/>
    <n v="40.659999999999997"/>
    <x v="420"/>
    <x v="9"/>
    <x v="2"/>
    <n v="40.659999999999997"/>
    <m/>
    <m/>
    <n v="7"/>
  </r>
  <r>
    <x v="9025"/>
    <x v="1801"/>
    <x v="1"/>
    <n v="3"/>
    <n v="121.98"/>
    <x v="563"/>
    <x v="1"/>
    <x v="0"/>
    <n v="365.94"/>
    <m/>
    <m/>
    <n v="5"/>
  </r>
  <r>
    <x v="9026"/>
    <x v="1801"/>
    <x v="1"/>
    <n v="4"/>
    <n v="162.63999999999999"/>
    <x v="724"/>
    <x v="2"/>
    <x v="1"/>
    <n v="650.55999999999995"/>
    <m/>
    <m/>
    <n v="5"/>
  </r>
  <r>
    <x v="9027"/>
    <x v="1801"/>
    <x v="0"/>
    <n v="1"/>
    <n v="300.08"/>
    <x v="567"/>
    <x v="0"/>
    <x v="3"/>
    <n v="300.08"/>
    <m/>
    <m/>
    <n v="5"/>
  </r>
  <r>
    <x v="9028"/>
    <x v="1801"/>
    <x v="0"/>
    <n v="1"/>
    <n v="300.08"/>
    <x v="714"/>
    <x v="7"/>
    <x v="1"/>
    <n v="300.08"/>
    <m/>
    <m/>
    <n v="7"/>
  </r>
  <r>
    <x v="9029"/>
    <x v="1801"/>
    <x v="0"/>
    <n v="4"/>
    <n v="1200.32"/>
    <x v="427"/>
    <x v="0"/>
    <x v="0"/>
    <n v="4801.28"/>
    <m/>
    <m/>
    <n v="7"/>
  </r>
  <r>
    <x v="9030"/>
    <x v="1801"/>
    <x v="4"/>
    <n v="4"/>
    <n v="4200"/>
    <x v="310"/>
    <x v="6"/>
    <x v="1"/>
    <n v="16800"/>
    <m/>
    <m/>
    <n v="7"/>
  </r>
  <r>
    <x v="9031"/>
    <x v="1802"/>
    <x v="0"/>
    <n v="2"/>
    <n v="600.16"/>
    <x v="526"/>
    <x v="9"/>
    <x v="3"/>
    <n v="1200.32"/>
    <m/>
    <m/>
    <n v="5"/>
  </r>
  <r>
    <x v="9032"/>
    <x v="1802"/>
    <x v="0"/>
    <n v="3"/>
    <n v="900.24"/>
    <x v="145"/>
    <x v="2"/>
    <x v="4"/>
    <n v="2700.7200000000003"/>
    <m/>
    <m/>
    <n v="5"/>
  </r>
  <r>
    <x v="9033"/>
    <x v="1802"/>
    <x v="7"/>
    <n v="3"/>
    <n v="35.19"/>
    <x v="766"/>
    <x v="7"/>
    <x v="0"/>
    <n v="105.57"/>
    <m/>
    <m/>
    <n v="5"/>
  </r>
  <r>
    <x v="9034"/>
    <x v="1803"/>
    <x v="0"/>
    <n v="1"/>
    <n v="300.08"/>
    <x v="773"/>
    <x v="1"/>
    <x v="1"/>
    <n v="300.08"/>
    <m/>
    <m/>
    <n v="5"/>
  </r>
  <r>
    <x v="9035"/>
    <x v="1803"/>
    <x v="5"/>
    <n v="4"/>
    <n v="2400.6799999999998"/>
    <x v="531"/>
    <x v="7"/>
    <x v="2"/>
    <n v="9602.7199999999993"/>
    <m/>
    <m/>
    <n v="7"/>
  </r>
  <r>
    <x v="9036"/>
    <x v="1803"/>
    <x v="2"/>
    <n v="1"/>
    <n v="5.23"/>
    <x v="367"/>
    <x v="1"/>
    <x v="4"/>
    <n v="5.23"/>
    <m/>
    <m/>
    <n v="7"/>
  </r>
  <r>
    <x v="9037"/>
    <x v="1803"/>
    <x v="6"/>
    <n v="5"/>
    <n v="179.2"/>
    <x v="734"/>
    <x v="4"/>
    <x v="4"/>
    <n v="896"/>
    <m/>
    <m/>
    <n v="7"/>
  </r>
  <r>
    <x v="9038"/>
    <x v="1804"/>
    <x v="0"/>
    <n v="3"/>
    <n v="900.24"/>
    <x v="432"/>
    <x v="3"/>
    <x v="3"/>
    <n v="2700.7200000000003"/>
    <m/>
    <m/>
    <n v="5"/>
  </r>
  <r>
    <x v="9039"/>
    <x v="1804"/>
    <x v="0"/>
    <n v="2"/>
    <n v="600.16"/>
    <x v="485"/>
    <x v="1"/>
    <x v="0"/>
    <n v="1200.32"/>
    <m/>
    <m/>
    <n v="5"/>
  </r>
  <r>
    <x v="9040"/>
    <x v="1804"/>
    <x v="2"/>
    <n v="1"/>
    <n v="5.23"/>
    <x v="630"/>
    <x v="0"/>
    <x v="3"/>
    <n v="5.23"/>
    <m/>
    <m/>
    <n v="7"/>
  </r>
  <r>
    <x v="9041"/>
    <x v="1805"/>
    <x v="0"/>
    <n v="5"/>
    <n v="1500.4"/>
    <x v="204"/>
    <x v="6"/>
    <x v="0"/>
    <n v="7502"/>
    <m/>
    <m/>
    <n v="5"/>
  </r>
  <r>
    <x v="9042"/>
    <x v="1805"/>
    <x v="2"/>
    <n v="5"/>
    <n v="26.15"/>
    <x v="779"/>
    <x v="5"/>
    <x v="3"/>
    <n v="130.75"/>
    <m/>
    <m/>
    <n v="7"/>
  </r>
  <r>
    <x v="9043"/>
    <x v="1805"/>
    <x v="0"/>
    <n v="3"/>
    <n v="900.24"/>
    <x v="227"/>
    <x v="1"/>
    <x v="1"/>
    <n v="2700.7200000000003"/>
    <m/>
    <m/>
    <n v="7"/>
  </r>
  <r>
    <x v="9044"/>
    <x v="1805"/>
    <x v="0"/>
    <n v="2"/>
    <n v="600.16"/>
    <x v="371"/>
    <x v="8"/>
    <x v="3"/>
    <n v="1200.32"/>
    <m/>
    <m/>
    <n v="7"/>
  </r>
  <r>
    <x v="9045"/>
    <x v="1805"/>
    <x v="6"/>
    <n v="5"/>
    <n v="179.2"/>
    <x v="668"/>
    <x v="9"/>
    <x v="2"/>
    <n v="896"/>
    <m/>
    <m/>
    <n v="7"/>
  </r>
  <r>
    <x v="9046"/>
    <x v="1806"/>
    <x v="1"/>
    <n v="4"/>
    <n v="162.63999999999999"/>
    <x v="425"/>
    <x v="0"/>
    <x v="3"/>
    <n v="650.55999999999995"/>
    <m/>
    <m/>
    <n v="5"/>
  </r>
  <r>
    <x v="9047"/>
    <x v="1806"/>
    <x v="0"/>
    <n v="4"/>
    <n v="1200.32"/>
    <x v="404"/>
    <x v="4"/>
    <x v="0"/>
    <n v="4801.28"/>
    <m/>
    <m/>
    <n v="7"/>
  </r>
  <r>
    <x v="9048"/>
    <x v="1806"/>
    <x v="1"/>
    <n v="4"/>
    <n v="162.63999999999999"/>
    <x v="574"/>
    <x v="1"/>
    <x v="1"/>
    <n v="650.55999999999995"/>
    <m/>
    <m/>
    <n v="7"/>
  </r>
  <r>
    <x v="9049"/>
    <x v="1806"/>
    <x v="0"/>
    <n v="3"/>
    <n v="900.24"/>
    <x v="712"/>
    <x v="7"/>
    <x v="4"/>
    <n v="2700.7200000000003"/>
    <m/>
    <m/>
    <n v="7"/>
  </r>
  <r>
    <x v="9050"/>
    <x v="1806"/>
    <x v="0"/>
    <n v="3"/>
    <n v="900.24"/>
    <x v="284"/>
    <x v="2"/>
    <x v="4"/>
    <n v="2700.7200000000003"/>
    <m/>
    <m/>
    <n v="10"/>
  </r>
  <r>
    <x v="9051"/>
    <x v="1807"/>
    <x v="0"/>
    <n v="1"/>
    <n v="300.08"/>
    <x v="317"/>
    <x v="3"/>
    <x v="4"/>
    <n v="300.08"/>
    <m/>
    <m/>
    <n v="5"/>
  </r>
  <r>
    <x v="9052"/>
    <x v="1807"/>
    <x v="2"/>
    <n v="3"/>
    <n v="15.69"/>
    <x v="185"/>
    <x v="0"/>
    <x v="3"/>
    <n v="47.07"/>
    <m/>
    <m/>
    <n v="5"/>
  </r>
  <r>
    <x v="9053"/>
    <x v="1807"/>
    <x v="5"/>
    <n v="3"/>
    <n v="1800.51"/>
    <x v="112"/>
    <x v="1"/>
    <x v="0"/>
    <n v="5401.53"/>
    <m/>
    <m/>
    <n v="5"/>
  </r>
  <r>
    <x v="9054"/>
    <x v="1807"/>
    <x v="0"/>
    <n v="2"/>
    <n v="600.16"/>
    <x v="387"/>
    <x v="6"/>
    <x v="3"/>
    <n v="1200.32"/>
    <m/>
    <m/>
    <n v="5"/>
  </r>
  <r>
    <x v="9055"/>
    <x v="1807"/>
    <x v="2"/>
    <n v="1"/>
    <n v="5.23"/>
    <x v="710"/>
    <x v="1"/>
    <x v="2"/>
    <n v="5.23"/>
    <m/>
    <m/>
    <n v="7"/>
  </r>
  <r>
    <x v="9056"/>
    <x v="1807"/>
    <x v="6"/>
    <n v="2"/>
    <n v="71.680000000000007"/>
    <x v="323"/>
    <x v="1"/>
    <x v="1"/>
    <n v="143.36000000000001"/>
    <m/>
    <m/>
    <n v="7"/>
  </r>
  <r>
    <x v="9057"/>
    <x v="1808"/>
    <x v="1"/>
    <n v="1"/>
    <n v="40.659999999999997"/>
    <x v="334"/>
    <x v="0"/>
    <x v="0"/>
    <n v="40.659999999999997"/>
    <m/>
    <m/>
    <n v="5"/>
  </r>
  <r>
    <x v="9058"/>
    <x v="1808"/>
    <x v="6"/>
    <n v="3"/>
    <n v="107.52"/>
    <x v="728"/>
    <x v="4"/>
    <x v="3"/>
    <n v="322.56"/>
    <m/>
    <m/>
    <n v="5"/>
  </r>
  <r>
    <x v="9059"/>
    <x v="1808"/>
    <x v="5"/>
    <n v="5"/>
    <n v="3000.85"/>
    <x v="31"/>
    <x v="9"/>
    <x v="4"/>
    <n v="15004.25"/>
    <m/>
    <m/>
    <n v="7"/>
  </r>
  <r>
    <x v="9060"/>
    <x v="1808"/>
    <x v="2"/>
    <n v="3"/>
    <n v="15.69"/>
    <x v="125"/>
    <x v="1"/>
    <x v="1"/>
    <n v="47.07"/>
    <m/>
    <m/>
    <n v="7"/>
  </r>
  <r>
    <x v="9061"/>
    <x v="1808"/>
    <x v="4"/>
    <n v="4"/>
    <n v="4200"/>
    <x v="346"/>
    <x v="1"/>
    <x v="4"/>
    <n v="16800"/>
    <m/>
    <m/>
    <n v="7"/>
  </r>
  <r>
    <x v="9062"/>
    <x v="1809"/>
    <x v="7"/>
    <n v="4"/>
    <n v="46.92"/>
    <x v="62"/>
    <x v="3"/>
    <x v="3"/>
    <n v="187.68"/>
    <m/>
    <m/>
    <n v="5"/>
  </r>
  <r>
    <x v="9063"/>
    <x v="1809"/>
    <x v="0"/>
    <n v="3"/>
    <n v="900.24"/>
    <x v="609"/>
    <x v="5"/>
    <x v="3"/>
    <n v="2700.7200000000003"/>
    <m/>
    <m/>
    <n v="5"/>
  </r>
  <r>
    <x v="9064"/>
    <x v="1809"/>
    <x v="0"/>
    <n v="2"/>
    <n v="600.16"/>
    <x v="47"/>
    <x v="0"/>
    <x v="2"/>
    <n v="1200.32"/>
    <m/>
    <m/>
    <n v="5"/>
  </r>
  <r>
    <x v="9065"/>
    <x v="1809"/>
    <x v="1"/>
    <n v="3"/>
    <n v="121.98"/>
    <x v="540"/>
    <x v="0"/>
    <x v="2"/>
    <n v="365.94"/>
    <m/>
    <m/>
    <n v="7"/>
  </r>
  <r>
    <x v="9066"/>
    <x v="1809"/>
    <x v="1"/>
    <n v="5"/>
    <n v="203.3"/>
    <x v="413"/>
    <x v="5"/>
    <x v="1"/>
    <n v="1016.5"/>
    <m/>
    <m/>
    <n v="7"/>
  </r>
  <r>
    <x v="9067"/>
    <x v="1809"/>
    <x v="1"/>
    <n v="4"/>
    <n v="162.63999999999999"/>
    <x v="553"/>
    <x v="7"/>
    <x v="2"/>
    <n v="650.55999999999995"/>
    <m/>
    <m/>
    <n v="7"/>
  </r>
  <r>
    <x v="9068"/>
    <x v="1810"/>
    <x v="0"/>
    <n v="1"/>
    <n v="300.08"/>
    <x v="131"/>
    <x v="3"/>
    <x v="0"/>
    <n v="300.08"/>
    <m/>
    <m/>
    <n v="5"/>
  </r>
  <r>
    <x v="9069"/>
    <x v="1810"/>
    <x v="1"/>
    <n v="2"/>
    <n v="81.319999999999993"/>
    <x v="739"/>
    <x v="6"/>
    <x v="1"/>
    <n v="162.63999999999999"/>
    <m/>
    <m/>
    <n v="5"/>
  </r>
  <r>
    <x v="9070"/>
    <x v="1810"/>
    <x v="3"/>
    <n v="1"/>
    <n v="15.15"/>
    <x v="508"/>
    <x v="4"/>
    <x v="1"/>
    <n v="15.15"/>
    <m/>
    <m/>
    <n v="7"/>
  </r>
  <r>
    <x v="9071"/>
    <x v="1810"/>
    <x v="0"/>
    <n v="5"/>
    <n v="1500.4"/>
    <x v="547"/>
    <x v="6"/>
    <x v="2"/>
    <n v="7502"/>
    <m/>
    <m/>
    <n v="7"/>
  </r>
  <r>
    <x v="9072"/>
    <x v="1811"/>
    <x v="0"/>
    <n v="1"/>
    <n v="300.08"/>
    <x v="317"/>
    <x v="9"/>
    <x v="0"/>
    <n v="300.08"/>
    <m/>
    <m/>
    <n v="5"/>
  </r>
  <r>
    <x v="9073"/>
    <x v="1811"/>
    <x v="1"/>
    <n v="1"/>
    <n v="40.659999999999997"/>
    <x v="189"/>
    <x v="6"/>
    <x v="4"/>
    <n v="40.659999999999997"/>
    <m/>
    <m/>
    <n v="7"/>
  </r>
  <r>
    <x v="9074"/>
    <x v="1811"/>
    <x v="7"/>
    <n v="3"/>
    <n v="35.19"/>
    <x v="570"/>
    <x v="6"/>
    <x v="4"/>
    <n v="105.57"/>
    <m/>
    <m/>
    <n v="7"/>
  </r>
  <r>
    <x v="9075"/>
    <x v="1811"/>
    <x v="6"/>
    <n v="2"/>
    <n v="71.680000000000007"/>
    <x v="583"/>
    <x v="7"/>
    <x v="1"/>
    <n v="143.36000000000001"/>
    <m/>
    <m/>
    <n v="7"/>
  </r>
  <r>
    <x v="9076"/>
    <x v="1811"/>
    <x v="0"/>
    <n v="3"/>
    <n v="900.24"/>
    <x v="754"/>
    <x v="4"/>
    <x v="4"/>
    <n v="2700.7200000000003"/>
    <m/>
    <m/>
    <n v="7"/>
  </r>
  <r>
    <x v="9077"/>
    <x v="1812"/>
    <x v="1"/>
    <n v="3"/>
    <n v="121.98"/>
    <x v="728"/>
    <x v="8"/>
    <x v="0"/>
    <n v="365.94"/>
    <m/>
    <m/>
    <n v="5"/>
  </r>
  <r>
    <x v="9078"/>
    <x v="1812"/>
    <x v="0"/>
    <n v="2"/>
    <n v="600.16"/>
    <x v="355"/>
    <x v="3"/>
    <x v="0"/>
    <n v="1200.32"/>
    <m/>
    <m/>
    <n v="5"/>
  </r>
  <r>
    <x v="9079"/>
    <x v="1812"/>
    <x v="6"/>
    <n v="1"/>
    <n v="35.840000000000003"/>
    <x v="362"/>
    <x v="2"/>
    <x v="3"/>
    <n v="35.840000000000003"/>
    <m/>
    <m/>
    <n v="7"/>
  </r>
  <r>
    <x v="9080"/>
    <x v="1812"/>
    <x v="1"/>
    <n v="4"/>
    <n v="162.63999999999999"/>
    <x v="528"/>
    <x v="6"/>
    <x v="2"/>
    <n v="650.55999999999995"/>
    <m/>
    <m/>
    <n v="7"/>
  </r>
  <r>
    <x v="9081"/>
    <x v="1812"/>
    <x v="5"/>
    <n v="4"/>
    <n v="2400.6799999999998"/>
    <x v="299"/>
    <x v="6"/>
    <x v="3"/>
    <n v="9602.7199999999993"/>
    <m/>
    <m/>
    <n v="10"/>
  </r>
  <r>
    <x v="9082"/>
    <x v="1813"/>
    <x v="2"/>
    <n v="1"/>
    <n v="5.23"/>
    <x v="357"/>
    <x v="8"/>
    <x v="0"/>
    <n v="5.23"/>
    <m/>
    <m/>
    <n v="5"/>
  </r>
  <r>
    <x v="9083"/>
    <x v="1813"/>
    <x v="2"/>
    <n v="2"/>
    <n v="10.46"/>
    <x v="358"/>
    <x v="0"/>
    <x v="1"/>
    <n v="20.92"/>
    <m/>
    <m/>
    <n v="5"/>
  </r>
  <r>
    <x v="9084"/>
    <x v="1813"/>
    <x v="6"/>
    <n v="4"/>
    <n v="143.36000000000001"/>
    <x v="731"/>
    <x v="4"/>
    <x v="3"/>
    <n v="573.44000000000005"/>
    <m/>
    <m/>
    <n v="5"/>
  </r>
  <r>
    <x v="9085"/>
    <x v="1813"/>
    <x v="2"/>
    <n v="3"/>
    <n v="15.69"/>
    <x v="600"/>
    <x v="0"/>
    <x v="2"/>
    <n v="47.07"/>
    <m/>
    <m/>
    <n v="5"/>
  </r>
  <r>
    <x v="9086"/>
    <x v="1814"/>
    <x v="0"/>
    <n v="1"/>
    <n v="300.08"/>
    <x v="474"/>
    <x v="8"/>
    <x v="0"/>
    <n v="300.08"/>
    <m/>
    <m/>
    <n v="5"/>
  </r>
  <r>
    <x v="9087"/>
    <x v="1814"/>
    <x v="0"/>
    <n v="4"/>
    <n v="1200.32"/>
    <x v="245"/>
    <x v="1"/>
    <x v="0"/>
    <n v="4801.28"/>
    <m/>
    <m/>
    <n v="5"/>
  </r>
  <r>
    <x v="9088"/>
    <x v="1814"/>
    <x v="3"/>
    <n v="3"/>
    <n v="45.45"/>
    <x v="321"/>
    <x v="6"/>
    <x v="1"/>
    <n v="136.35000000000002"/>
    <m/>
    <m/>
    <n v="7"/>
  </r>
  <r>
    <x v="9089"/>
    <x v="1814"/>
    <x v="6"/>
    <n v="4"/>
    <n v="143.36000000000001"/>
    <x v="377"/>
    <x v="6"/>
    <x v="1"/>
    <n v="573.44000000000005"/>
    <m/>
    <m/>
    <n v="7"/>
  </r>
  <r>
    <x v="9090"/>
    <x v="1814"/>
    <x v="1"/>
    <n v="4"/>
    <n v="162.63999999999999"/>
    <x v="288"/>
    <x v="4"/>
    <x v="0"/>
    <n v="650.55999999999995"/>
    <m/>
    <m/>
    <n v="7"/>
  </r>
  <r>
    <x v="9091"/>
    <x v="1815"/>
    <x v="4"/>
    <n v="4"/>
    <n v="4200"/>
    <x v="309"/>
    <x v="9"/>
    <x v="0"/>
    <n v="16800"/>
    <m/>
    <m/>
    <n v="7"/>
  </r>
  <r>
    <x v="9092"/>
    <x v="1815"/>
    <x v="3"/>
    <n v="5"/>
    <n v="75.75"/>
    <x v="542"/>
    <x v="7"/>
    <x v="2"/>
    <n v="378.75"/>
    <m/>
    <m/>
    <n v="7"/>
  </r>
  <r>
    <x v="9093"/>
    <x v="1815"/>
    <x v="2"/>
    <n v="2"/>
    <n v="10.46"/>
    <x v="273"/>
    <x v="0"/>
    <x v="4"/>
    <n v="20.92"/>
    <m/>
    <m/>
    <n v="7"/>
  </r>
  <r>
    <x v="9094"/>
    <x v="1815"/>
    <x v="4"/>
    <n v="1"/>
    <n v="1050"/>
    <x v="196"/>
    <x v="9"/>
    <x v="4"/>
    <n v="1050"/>
    <m/>
    <m/>
    <n v="10"/>
  </r>
  <r>
    <x v="9095"/>
    <x v="1815"/>
    <x v="2"/>
    <n v="4"/>
    <n v="20.92"/>
    <x v="626"/>
    <x v="2"/>
    <x v="0"/>
    <n v="83.68"/>
    <m/>
    <m/>
    <n v="10"/>
  </r>
  <r>
    <x v="9096"/>
    <x v="1816"/>
    <x v="0"/>
    <n v="5"/>
    <n v="1500.4"/>
    <x v="493"/>
    <x v="1"/>
    <x v="0"/>
    <n v="7502"/>
    <m/>
    <m/>
    <n v="5"/>
  </r>
  <r>
    <x v="9097"/>
    <x v="1816"/>
    <x v="0"/>
    <n v="1"/>
    <n v="300.08"/>
    <x v="173"/>
    <x v="9"/>
    <x v="1"/>
    <n v="300.08"/>
    <m/>
    <m/>
    <n v="5"/>
  </r>
  <r>
    <x v="9098"/>
    <x v="1816"/>
    <x v="6"/>
    <n v="4"/>
    <n v="143.36000000000001"/>
    <x v="434"/>
    <x v="6"/>
    <x v="0"/>
    <n v="573.44000000000005"/>
    <m/>
    <m/>
    <n v="5"/>
  </r>
  <r>
    <x v="9099"/>
    <x v="1816"/>
    <x v="5"/>
    <n v="5"/>
    <n v="3000.85"/>
    <x v="403"/>
    <x v="0"/>
    <x v="3"/>
    <n v="15004.25"/>
    <m/>
    <m/>
    <n v="10"/>
  </r>
  <r>
    <x v="9100"/>
    <x v="1817"/>
    <x v="6"/>
    <n v="1"/>
    <n v="35.840000000000003"/>
    <x v="462"/>
    <x v="0"/>
    <x v="0"/>
    <n v="35.840000000000003"/>
    <m/>
    <m/>
    <n v="5"/>
  </r>
  <r>
    <x v="9101"/>
    <x v="1817"/>
    <x v="1"/>
    <n v="5"/>
    <n v="203.3"/>
    <x v="651"/>
    <x v="6"/>
    <x v="0"/>
    <n v="1016.5"/>
    <m/>
    <m/>
    <n v="5"/>
  </r>
  <r>
    <x v="9102"/>
    <x v="1817"/>
    <x v="0"/>
    <n v="4"/>
    <n v="1200.32"/>
    <x v="102"/>
    <x v="3"/>
    <x v="2"/>
    <n v="4801.28"/>
    <m/>
    <m/>
    <n v="5"/>
  </r>
  <r>
    <x v="9103"/>
    <x v="1817"/>
    <x v="2"/>
    <n v="4"/>
    <n v="20.92"/>
    <x v="602"/>
    <x v="6"/>
    <x v="3"/>
    <n v="83.68"/>
    <m/>
    <m/>
    <n v="7"/>
  </r>
  <r>
    <x v="9104"/>
    <x v="1817"/>
    <x v="2"/>
    <n v="5"/>
    <n v="26.15"/>
    <x v="684"/>
    <x v="9"/>
    <x v="2"/>
    <n v="130.75"/>
    <m/>
    <m/>
    <n v="7"/>
  </r>
  <r>
    <x v="9105"/>
    <x v="1817"/>
    <x v="5"/>
    <n v="4"/>
    <n v="2400.6799999999998"/>
    <x v="356"/>
    <x v="6"/>
    <x v="0"/>
    <n v="9602.7199999999993"/>
    <m/>
    <m/>
    <n v="7"/>
  </r>
  <r>
    <x v="9106"/>
    <x v="1817"/>
    <x v="0"/>
    <n v="5"/>
    <n v="1500.4"/>
    <x v="71"/>
    <x v="5"/>
    <x v="3"/>
    <n v="7502"/>
    <m/>
    <m/>
    <n v="10"/>
  </r>
  <r>
    <x v="9107"/>
    <x v="1818"/>
    <x v="1"/>
    <n v="4"/>
    <n v="162.63999999999999"/>
    <x v="85"/>
    <x v="0"/>
    <x v="1"/>
    <n v="650.55999999999995"/>
    <m/>
    <m/>
    <n v="5"/>
  </r>
  <r>
    <x v="9108"/>
    <x v="1818"/>
    <x v="3"/>
    <n v="2"/>
    <n v="30.3"/>
    <x v="313"/>
    <x v="1"/>
    <x v="2"/>
    <n v="60.6"/>
    <m/>
    <m/>
    <n v="5"/>
  </r>
  <r>
    <x v="9109"/>
    <x v="1818"/>
    <x v="0"/>
    <n v="5"/>
    <n v="1500.4"/>
    <x v="653"/>
    <x v="0"/>
    <x v="3"/>
    <n v="7502"/>
    <m/>
    <m/>
    <n v="5"/>
  </r>
  <r>
    <x v="9110"/>
    <x v="1818"/>
    <x v="0"/>
    <n v="1"/>
    <n v="300.08"/>
    <x v="375"/>
    <x v="6"/>
    <x v="3"/>
    <n v="300.08"/>
    <m/>
    <m/>
    <n v="5"/>
  </r>
  <r>
    <x v="9111"/>
    <x v="1818"/>
    <x v="0"/>
    <n v="5"/>
    <n v="1500.4"/>
    <x v="762"/>
    <x v="4"/>
    <x v="3"/>
    <n v="7502"/>
    <m/>
    <m/>
    <n v="5"/>
  </r>
  <r>
    <x v="9112"/>
    <x v="1818"/>
    <x v="0"/>
    <n v="5"/>
    <n v="1500.4"/>
    <x v="572"/>
    <x v="6"/>
    <x v="2"/>
    <n v="7502"/>
    <m/>
    <m/>
    <n v="7"/>
  </r>
  <r>
    <x v="9113"/>
    <x v="1818"/>
    <x v="0"/>
    <n v="4"/>
    <n v="1200.32"/>
    <x v="574"/>
    <x v="8"/>
    <x v="4"/>
    <n v="4801.28"/>
    <m/>
    <m/>
    <n v="7"/>
  </r>
  <r>
    <x v="9114"/>
    <x v="1819"/>
    <x v="6"/>
    <n v="5"/>
    <n v="179.2"/>
    <x v="485"/>
    <x v="4"/>
    <x v="2"/>
    <n v="896"/>
    <m/>
    <m/>
    <n v="5"/>
  </r>
  <r>
    <x v="9115"/>
    <x v="1819"/>
    <x v="6"/>
    <n v="1"/>
    <n v="35.840000000000003"/>
    <x v="657"/>
    <x v="0"/>
    <x v="0"/>
    <n v="35.840000000000003"/>
    <m/>
    <m/>
    <n v="5"/>
  </r>
  <r>
    <x v="9116"/>
    <x v="1819"/>
    <x v="5"/>
    <n v="4"/>
    <n v="2400.6799999999998"/>
    <x v="477"/>
    <x v="3"/>
    <x v="0"/>
    <n v="9602.7199999999993"/>
    <m/>
    <m/>
    <n v="5"/>
  </r>
  <r>
    <x v="9117"/>
    <x v="1819"/>
    <x v="0"/>
    <n v="2"/>
    <n v="600.16"/>
    <x v="76"/>
    <x v="6"/>
    <x v="2"/>
    <n v="1200.32"/>
    <m/>
    <m/>
    <n v="7"/>
  </r>
  <r>
    <x v="9118"/>
    <x v="1819"/>
    <x v="7"/>
    <n v="5"/>
    <n v="58.65"/>
    <x v="222"/>
    <x v="6"/>
    <x v="1"/>
    <n v="293.25"/>
    <m/>
    <m/>
    <n v="7"/>
  </r>
  <r>
    <x v="9119"/>
    <x v="1819"/>
    <x v="1"/>
    <n v="1"/>
    <n v="40.659999999999997"/>
    <x v="488"/>
    <x v="8"/>
    <x v="4"/>
    <n v="40.659999999999997"/>
    <m/>
    <m/>
    <n v="7"/>
  </r>
  <r>
    <x v="9120"/>
    <x v="1819"/>
    <x v="0"/>
    <n v="4"/>
    <n v="1200.32"/>
    <x v="699"/>
    <x v="4"/>
    <x v="3"/>
    <n v="4801.28"/>
    <m/>
    <m/>
    <n v="7"/>
  </r>
  <r>
    <x v="9121"/>
    <x v="1820"/>
    <x v="0"/>
    <n v="2"/>
    <n v="600.16"/>
    <x v="261"/>
    <x v="0"/>
    <x v="3"/>
    <n v="1200.32"/>
    <m/>
    <m/>
    <n v="5"/>
  </r>
  <r>
    <x v="9122"/>
    <x v="1820"/>
    <x v="0"/>
    <n v="3"/>
    <n v="900.24"/>
    <x v="749"/>
    <x v="8"/>
    <x v="1"/>
    <n v="2700.7200000000003"/>
    <m/>
    <m/>
    <n v="5"/>
  </r>
  <r>
    <x v="9123"/>
    <x v="1820"/>
    <x v="2"/>
    <n v="5"/>
    <n v="26.15"/>
    <x v="697"/>
    <x v="6"/>
    <x v="2"/>
    <n v="130.75"/>
    <m/>
    <m/>
    <n v="5"/>
  </r>
  <r>
    <x v="9124"/>
    <x v="1820"/>
    <x v="2"/>
    <n v="5"/>
    <n v="26.15"/>
    <x v="516"/>
    <x v="2"/>
    <x v="1"/>
    <n v="130.75"/>
    <m/>
    <m/>
    <n v="7"/>
  </r>
  <r>
    <x v="9125"/>
    <x v="1820"/>
    <x v="0"/>
    <n v="5"/>
    <n v="1500.4"/>
    <x v="742"/>
    <x v="9"/>
    <x v="0"/>
    <n v="7502"/>
    <m/>
    <m/>
    <n v="7"/>
  </r>
  <r>
    <x v="9126"/>
    <x v="1821"/>
    <x v="3"/>
    <n v="4"/>
    <n v="60.6"/>
    <x v="357"/>
    <x v="3"/>
    <x v="2"/>
    <n v="242.4"/>
    <m/>
    <m/>
    <n v="5"/>
  </r>
  <r>
    <x v="9127"/>
    <x v="1821"/>
    <x v="0"/>
    <n v="1"/>
    <n v="300.08"/>
    <x v="375"/>
    <x v="6"/>
    <x v="0"/>
    <n v="300.08"/>
    <m/>
    <m/>
    <n v="5"/>
  </r>
  <r>
    <x v="9128"/>
    <x v="1821"/>
    <x v="2"/>
    <n v="1"/>
    <n v="5.23"/>
    <x v="491"/>
    <x v="7"/>
    <x v="0"/>
    <n v="5.23"/>
    <m/>
    <m/>
    <n v="7"/>
  </r>
  <r>
    <x v="9129"/>
    <x v="1822"/>
    <x v="0"/>
    <n v="4"/>
    <n v="1200.32"/>
    <x v="113"/>
    <x v="6"/>
    <x v="3"/>
    <n v="4801.28"/>
    <m/>
    <m/>
    <n v="5"/>
  </r>
  <r>
    <x v="9130"/>
    <x v="1822"/>
    <x v="0"/>
    <n v="4"/>
    <n v="1200.32"/>
    <x v="556"/>
    <x v="1"/>
    <x v="4"/>
    <n v="4801.28"/>
    <m/>
    <m/>
    <n v="5"/>
  </r>
  <r>
    <x v="9131"/>
    <x v="1822"/>
    <x v="3"/>
    <n v="1"/>
    <n v="15.15"/>
    <x v="188"/>
    <x v="6"/>
    <x v="3"/>
    <n v="15.15"/>
    <m/>
    <m/>
    <n v="7"/>
  </r>
  <r>
    <x v="9132"/>
    <x v="1822"/>
    <x v="0"/>
    <n v="1"/>
    <n v="300.08"/>
    <x v="142"/>
    <x v="7"/>
    <x v="4"/>
    <n v="300.08"/>
    <m/>
    <m/>
    <n v="7"/>
  </r>
  <r>
    <x v="9133"/>
    <x v="1823"/>
    <x v="2"/>
    <n v="3"/>
    <n v="15.69"/>
    <x v="304"/>
    <x v="1"/>
    <x v="1"/>
    <n v="47.07"/>
    <m/>
    <m/>
    <n v="5"/>
  </r>
  <r>
    <x v="9134"/>
    <x v="1823"/>
    <x v="4"/>
    <n v="2"/>
    <n v="2100"/>
    <x v="10"/>
    <x v="6"/>
    <x v="4"/>
    <n v="4200"/>
    <m/>
    <m/>
    <n v="5"/>
  </r>
  <r>
    <x v="9135"/>
    <x v="1823"/>
    <x v="2"/>
    <n v="5"/>
    <n v="26.15"/>
    <x v="313"/>
    <x v="7"/>
    <x v="0"/>
    <n v="130.75"/>
    <m/>
    <m/>
    <n v="5"/>
  </r>
  <r>
    <x v="9136"/>
    <x v="1823"/>
    <x v="0"/>
    <n v="1"/>
    <n v="300.08"/>
    <x v="384"/>
    <x v="8"/>
    <x v="4"/>
    <n v="300.08"/>
    <m/>
    <m/>
    <n v="7"/>
  </r>
  <r>
    <x v="9137"/>
    <x v="1823"/>
    <x v="5"/>
    <n v="1"/>
    <n v="600.16999999999996"/>
    <x v="405"/>
    <x v="5"/>
    <x v="3"/>
    <n v="600.16999999999996"/>
    <m/>
    <m/>
    <n v="7"/>
  </r>
  <r>
    <x v="9138"/>
    <x v="1823"/>
    <x v="0"/>
    <n v="5"/>
    <n v="1500.4"/>
    <x v="356"/>
    <x v="9"/>
    <x v="1"/>
    <n v="7502"/>
    <m/>
    <m/>
    <n v="7"/>
  </r>
  <r>
    <x v="9139"/>
    <x v="1823"/>
    <x v="5"/>
    <n v="4"/>
    <n v="2400.6799999999998"/>
    <x v="439"/>
    <x v="7"/>
    <x v="4"/>
    <n v="9602.7199999999993"/>
    <m/>
    <m/>
    <n v="7"/>
  </r>
  <r>
    <x v="9140"/>
    <x v="1823"/>
    <x v="0"/>
    <n v="3"/>
    <n v="900.24"/>
    <x v="565"/>
    <x v="6"/>
    <x v="2"/>
    <n v="2700.7200000000003"/>
    <m/>
    <m/>
    <n v="7"/>
  </r>
  <r>
    <x v="9141"/>
    <x v="1824"/>
    <x v="0"/>
    <n v="4"/>
    <n v="1200.32"/>
    <x v="261"/>
    <x v="6"/>
    <x v="2"/>
    <n v="4801.28"/>
    <m/>
    <m/>
    <n v="5"/>
  </r>
  <r>
    <x v="9142"/>
    <x v="1824"/>
    <x v="0"/>
    <n v="2"/>
    <n v="600.16"/>
    <x v="580"/>
    <x v="9"/>
    <x v="1"/>
    <n v="1200.32"/>
    <m/>
    <m/>
    <n v="7"/>
  </r>
  <r>
    <x v="9143"/>
    <x v="1824"/>
    <x v="4"/>
    <n v="3"/>
    <n v="3150"/>
    <x v="140"/>
    <x v="3"/>
    <x v="3"/>
    <n v="9450"/>
    <m/>
    <m/>
    <n v="7"/>
  </r>
  <r>
    <x v="9144"/>
    <x v="1825"/>
    <x v="7"/>
    <n v="2"/>
    <n v="23.46"/>
    <x v="257"/>
    <x v="6"/>
    <x v="0"/>
    <n v="46.92"/>
    <m/>
    <m/>
    <n v="5"/>
  </r>
  <r>
    <x v="9145"/>
    <x v="1825"/>
    <x v="2"/>
    <n v="4"/>
    <n v="20.92"/>
    <x v="670"/>
    <x v="3"/>
    <x v="3"/>
    <n v="83.68"/>
    <m/>
    <m/>
    <n v="5"/>
  </r>
  <r>
    <x v="9146"/>
    <x v="1825"/>
    <x v="0"/>
    <n v="1"/>
    <n v="300.08"/>
    <x v="74"/>
    <x v="9"/>
    <x v="4"/>
    <n v="300.08"/>
    <m/>
    <m/>
    <n v="5"/>
  </r>
  <r>
    <x v="9147"/>
    <x v="1825"/>
    <x v="0"/>
    <n v="2"/>
    <n v="600.16"/>
    <x v="589"/>
    <x v="6"/>
    <x v="4"/>
    <n v="1200.32"/>
    <m/>
    <m/>
    <n v="5"/>
  </r>
  <r>
    <x v="9148"/>
    <x v="1825"/>
    <x v="2"/>
    <n v="1"/>
    <n v="5.23"/>
    <x v="92"/>
    <x v="0"/>
    <x v="0"/>
    <n v="5.23"/>
    <m/>
    <m/>
    <n v="5"/>
  </r>
  <r>
    <x v="9149"/>
    <x v="1825"/>
    <x v="5"/>
    <n v="5"/>
    <n v="3000.85"/>
    <x v="569"/>
    <x v="1"/>
    <x v="0"/>
    <n v="15004.25"/>
    <m/>
    <m/>
    <n v="5"/>
  </r>
  <r>
    <x v="9150"/>
    <x v="1825"/>
    <x v="6"/>
    <n v="1"/>
    <n v="35.840000000000003"/>
    <x v="774"/>
    <x v="0"/>
    <x v="3"/>
    <n v="35.840000000000003"/>
    <m/>
    <m/>
    <n v="7"/>
  </r>
  <r>
    <x v="9151"/>
    <x v="1825"/>
    <x v="5"/>
    <n v="1"/>
    <n v="600.16999999999996"/>
    <x v="447"/>
    <x v="4"/>
    <x v="1"/>
    <n v="600.16999999999996"/>
    <m/>
    <m/>
    <n v="7"/>
  </r>
  <r>
    <x v="9152"/>
    <x v="1826"/>
    <x v="4"/>
    <n v="5"/>
    <n v="5250"/>
    <x v="351"/>
    <x v="6"/>
    <x v="4"/>
    <n v="26250"/>
    <m/>
    <m/>
    <n v="5"/>
  </r>
  <r>
    <x v="9153"/>
    <x v="1826"/>
    <x v="6"/>
    <n v="4"/>
    <n v="143.36000000000001"/>
    <x v="584"/>
    <x v="2"/>
    <x v="3"/>
    <n v="573.44000000000005"/>
    <m/>
    <m/>
    <n v="7"/>
  </r>
  <r>
    <x v="9154"/>
    <x v="1826"/>
    <x v="0"/>
    <n v="5"/>
    <n v="1500.4"/>
    <x v="365"/>
    <x v="6"/>
    <x v="2"/>
    <n v="7502"/>
    <m/>
    <m/>
    <n v="7"/>
  </r>
  <r>
    <x v="9155"/>
    <x v="1826"/>
    <x v="0"/>
    <n v="3"/>
    <n v="900.24"/>
    <x v="439"/>
    <x v="6"/>
    <x v="0"/>
    <n v="2700.7200000000003"/>
    <m/>
    <m/>
    <n v="7"/>
  </r>
  <r>
    <x v="9156"/>
    <x v="1826"/>
    <x v="5"/>
    <n v="4"/>
    <n v="2400.6799999999998"/>
    <x v="764"/>
    <x v="0"/>
    <x v="1"/>
    <n v="9602.7199999999993"/>
    <m/>
    <m/>
    <n v="7"/>
  </r>
  <r>
    <x v="9157"/>
    <x v="1826"/>
    <x v="1"/>
    <n v="2"/>
    <n v="81.319999999999993"/>
    <x v="219"/>
    <x v="9"/>
    <x v="0"/>
    <n v="162.63999999999999"/>
    <m/>
    <m/>
    <n v="7"/>
  </r>
  <r>
    <x v="9158"/>
    <x v="1826"/>
    <x v="0"/>
    <n v="4"/>
    <n v="1200.32"/>
    <x v="554"/>
    <x v="9"/>
    <x v="4"/>
    <n v="4801.28"/>
    <m/>
    <m/>
    <n v="10"/>
  </r>
  <r>
    <x v="9159"/>
    <x v="1826"/>
    <x v="1"/>
    <n v="4"/>
    <n v="162.63999999999999"/>
    <x v="216"/>
    <x v="0"/>
    <x v="0"/>
    <n v="650.55999999999995"/>
    <m/>
    <m/>
    <n v="10"/>
  </r>
  <r>
    <x v="9160"/>
    <x v="1827"/>
    <x v="2"/>
    <n v="1"/>
    <n v="5.23"/>
    <x v="334"/>
    <x v="6"/>
    <x v="2"/>
    <n v="5.23"/>
    <m/>
    <m/>
    <n v="5"/>
  </r>
  <r>
    <x v="9161"/>
    <x v="1827"/>
    <x v="1"/>
    <n v="5"/>
    <n v="203.3"/>
    <x v="763"/>
    <x v="6"/>
    <x v="4"/>
    <n v="1016.5"/>
    <m/>
    <m/>
    <n v="5"/>
  </r>
  <r>
    <x v="9162"/>
    <x v="1827"/>
    <x v="5"/>
    <n v="2"/>
    <n v="1200.3399999999999"/>
    <x v="563"/>
    <x v="0"/>
    <x v="0"/>
    <n v="2400.6799999999998"/>
    <m/>
    <m/>
    <n v="5"/>
  </r>
  <r>
    <x v="9163"/>
    <x v="1827"/>
    <x v="2"/>
    <n v="3"/>
    <n v="15.69"/>
    <x v="760"/>
    <x v="5"/>
    <x v="3"/>
    <n v="47.07"/>
    <m/>
    <m/>
    <n v="7"/>
  </r>
  <r>
    <x v="9164"/>
    <x v="1828"/>
    <x v="3"/>
    <n v="5"/>
    <n v="75.75"/>
    <x v="437"/>
    <x v="6"/>
    <x v="4"/>
    <n v="378.75"/>
    <m/>
    <m/>
    <n v="5"/>
  </r>
  <r>
    <x v="9165"/>
    <x v="1828"/>
    <x v="0"/>
    <n v="4"/>
    <n v="1200.32"/>
    <x v="294"/>
    <x v="1"/>
    <x v="3"/>
    <n v="4801.28"/>
    <m/>
    <m/>
    <n v="5"/>
  </r>
  <r>
    <x v="9166"/>
    <x v="1828"/>
    <x v="1"/>
    <n v="2"/>
    <n v="81.319999999999993"/>
    <x v="388"/>
    <x v="1"/>
    <x v="0"/>
    <n v="162.63999999999999"/>
    <m/>
    <m/>
    <n v="7"/>
  </r>
  <r>
    <x v="9167"/>
    <x v="1828"/>
    <x v="5"/>
    <n v="2"/>
    <n v="1200.3399999999999"/>
    <x v="796"/>
    <x v="0"/>
    <x v="4"/>
    <n v="2400.6799999999998"/>
    <m/>
    <m/>
    <n v="7"/>
  </r>
  <r>
    <x v="9168"/>
    <x v="1828"/>
    <x v="5"/>
    <n v="2"/>
    <n v="1200.3399999999999"/>
    <x v="597"/>
    <x v="1"/>
    <x v="2"/>
    <n v="2400.6799999999998"/>
    <m/>
    <m/>
    <n v="7"/>
  </r>
  <r>
    <x v="9169"/>
    <x v="1829"/>
    <x v="5"/>
    <n v="3"/>
    <n v="1800.51"/>
    <x v="756"/>
    <x v="4"/>
    <x v="0"/>
    <n v="5401.53"/>
    <m/>
    <m/>
    <n v="7"/>
  </r>
  <r>
    <x v="9170"/>
    <x v="1829"/>
    <x v="2"/>
    <n v="2"/>
    <n v="10.46"/>
    <x v="427"/>
    <x v="4"/>
    <x v="2"/>
    <n v="20.92"/>
    <m/>
    <m/>
    <n v="7"/>
  </r>
  <r>
    <x v="9171"/>
    <x v="1829"/>
    <x v="0"/>
    <n v="2"/>
    <n v="600.16"/>
    <x v="769"/>
    <x v="1"/>
    <x v="4"/>
    <n v="1200.32"/>
    <m/>
    <m/>
    <n v="10"/>
  </r>
  <r>
    <x v="9172"/>
    <x v="1830"/>
    <x v="6"/>
    <n v="5"/>
    <n v="179.2"/>
    <x v="65"/>
    <x v="0"/>
    <x v="3"/>
    <n v="896"/>
    <m/>
    <m/>
    <n v="5"/>
  </r>
  <r>
    <x v="9173"/>
    <x v="1830"/>
    <x v="0"/>
    <n v="3"/>
    <n v="900.24"/>
    <x v="779"/>
    <x v="7"/>
    <x v="3"/>
    <n v="2700.7200000000003"/>
    <m/>
    <m/>
    <n v="7"/>
  </r>
  <r>
    <x v="9174"/>
    <x v="1830"/>
    <x v="6"/>
    <n v="4"/>
    <n v="143.36000000000001"/>
    <x v="25"/>
    <x v="9"/>
    <x v="3"/>
    <n v="573.44000000000005"/>
    <m/>
    <m/>
    <n v="7"/>
  </r>
  <r>
    <x v="9175"/>
    <x v="1831"/>
    <x v="0"/>
    <n v="2"/>
    <n v="600.16"/>
    <x v="490"/>
    <x v="0"/>
    <x v="4"/>
    <n v="1200.32"/>
    <m/>
    <m/>
    <n v="5"/>
  </r>
  <r>
    <x v="9176"/>
    <x v="1831"/>
    <x v="0"/>
    <n v="2"/>
    <n v="600.16"/>
    <x v="407"/>
    <x v="9"/>
    <x v="2"/>
    <n v="1200.32"/>
    <m/>
    <m/>
    <n v="7"/>
  </r>
  <r>
    <x v="9177"/>
    <x v="1831"/>
    <x v="0"/>
    <n v="2"/>
    <n v="600.16"/>
    <x v="303"/>
    <x v="3"/>
    <x v="2"/>
    <n v="1200.32"/>
    <m/>
    <m/>
    <n v="7"/>
  </r>
  <r>
    <x v="9178"/>
    <x v="1832"/>
    <x v="6"/>
    <n v="1"/>
    <n v="35.840000000000003"/>
    <x v="204"/>
    <x v="3"/>
    <x v="4"/>
    <n v="35.840000000000003"/>
    <m/>
    <m/>
    <n v="5"/>
  </r>
  <r>
    <x v="9179"/>
    <x v="1832"/>
    <x v="6"/>
    <n v="4"/>
    <n v="143.36000000000001"/>
    <x v="729"/>
    <x v="9"/>
    <x v="1"/>
    <n v="573.44000000000005"/>
    <m/>
    <m/>
    <n v="7"/>
  </r>
  <r>
    <x v="9180"/>
    <x v="1832"/>
    <x v="1"/>
    <n v="1"/>
    <n v="40.659999999999997"/>
    <x v="362"/>
    <x v="9"/>
    <x v="0"/>
    <n v="40.659999999999997"/>
    <m/>
    <m/>
    <n v="7"/>
  </r>
  <r>
    <x v="9181"/>
    <x v="1832"/>
    <x v="0"/>
    <n v="3"/>
    <n v="900.24"/>
    <x v="203"/>
    <x v="1"/>
    <x v="1"/>
    <n v="2700.7200000000003"/>
    <m/>
    <m/>
    <n v="10"/>
  </r>
  <r>
    <x v="9182"/>
    <x v="1833"/>
    <x v="7"/>
    <n v="5"/>
    <n v="58.65"/>
    <x v="112"/>
    <x v="6"/>
    <x v="2"/>
    <n v="293.25"/>
    <m/>
    <m/>
    <n v="5"/>
  </r>
  <r>
    <x v="9183"/>
    <x v="1833"/>
    <x v="0"/>
    <n v="3"/>
    <n v="900.24"/>
    <x v="542"/>
    <x v="1"/>
    <x v="4"/>
    <n v="2700.7200000000003"/>
    <m/>
    <m/>
    <n v="7"/>
  </r>
  <r>
    <x v="9184"/>
    <x v="1833"/>
    <x v="0"/>
    <n v="2"/>
    <n v="600.16"/>
    <x v="476"/>
    <x v="6"/>
    <x v="0"/>
    <n v="1200.32"/>
    <m/>
    <m/>
    <n v="7"/>
  </r>
  <r>
    <x v="9185"/>
    <x v="1834"/>
    <x v="6"/>
    <n v="4"/>
    <n v="143.36000000000001"/>
    <x v="244"/>
    <x v="4"/>
    <x v="4"/>
    <n v="573.44000000000005"/>
    <m/>
    <m/>
    <n v="5"/>
  </r>
  <r>
    <x v="9186"/>
    <x v="1834"/>
    <x v="1"/>
    <n v="4"/>
    <n v="162.63999999999999"/>
    <x v="739"/>
    <x v="0"/>
    <x v="3"/>
    <n v="650.55999999999995"/>
    <m/>
    <m/>
    <n v="5"/>
  </r>
  <r>
    <x v="9187"/>
    <x v="1834"/>
    <x v="0"/>
    <n v="2"/>
    <n v="600.16"/>
    <x v="612"/>
    <x v="6"/>
    <x v="0"/>
    <n v="1200.32"/>
    <m/>
    <m/>
    <n v="7"/>
  </r>
  <r>
    <x v="9188"/>
    <x v="1835"/>
    <x v="6"/>
    <n v="2"/>
    <n v="71.680000000000007"/>
    <x v="374"/>
    <x v="0"/>
    <x v="2"/>
    <n v="143.36000000000001"/>
    <m/>
    <m/>
    <n v="5"/>
  </r>
  <r>
    <x v="9189"/>
    <x v="1835"/>
    <x v="1"/>
    <n v="5"/>
    <n v="203.3"/>
    <x v="19"/>
    <x v="6"/>
    <x v="4"/>
    <n v="1016.5"/>
    <m/>
    <m/>
    <n v="7"/>
  </r>
  <r>
    <x v="9190"/>
    <x v="1835"/>
    <x v="3"/>
    <n v="1"/>
    <n v="15.15"/>
    <x v="215"/>
    <x v="8"/>
    <x v="2"/>
    <n v="15.15"/>
    <m/>
    <m/>
    <n v="10"/>
  </r>
  <r>
    <x v="9191"/>
    <x v="1836"/>
    <x v="2"/>
    <n v="5"/>
    <n v="26.15"/>
    <x v="1"/>
    <x v="0"/>
    <x v="0"/>
    <n v="130.75"/>
    <m/>
    <m/>
    <n v="5"/>
  </r>
  <r>
    <x v="9192"/>
    <x v="1836"/>
    <x v="0"/>
    <n v="4"/>
    <n v="1200.32"/>
    <x v="501"/>
    <x v="1"/>
    <x v="2"/>
    <n v="4801.28"/>
    <m/>
    <m/>
    <n v="5"/>
  </r>
  <r>
    <x v="9193"/>
    <x v="1836"/>
    <x v="1"/>
    <n v="5"/>
    <n v="203.3"/>
    <x v="278"/>
    <x v="0"/>
    <x v="2"/>
    <n v="1016.5"/>
    <m/>
    <m/>
    <n v="5"/>
  </r>
  <r>
    <x v="9194"/>
    <x v="1836"/>
    <x v="6"/>
    <n v="5"/>
    <n v="179.2"/>
    <x v="766"/>
    <x v="0"/>
    <x v="3"/>
    <n v="896"/>
    <m/>
    <m/>
    <n v="5"/>
  </r>
  <r>
    <x v="9195"/>
    <x v="1836"/>
    <x v="5"/>
    <n v="3"/>
    <n v="1800.51"/>
    <x v="40"/>
    <x v="6"/>
    <x v="3"/>
    <n v="5401.53"/>
    <m/>
    <m/>
    <n v="7"/>
  </r>
  <r>
    <x v="9196"/>
    <x v="1836"/>
    <x v="0"/>
    <n v="3"/>
    <n v="900.24"/>
    <x v="703"/>
    <x v="0"/>
    <x v="1"/>
    <n v="2700.7200000000003"/>
    <m/>
    <m/>
    <n v="7"/>
  </r>
  <r>
    <x v="9197"/>
    <x v="1836"/>
    <x v="1"/>
    <n v="4"/>
    <n v="162.63999999999999"/>
    <x v="236"/>
    <x v="0"/>
    <x v="2"/>
    <n v="650.55999999999995"/>
    <m/>
    <m/>
    <n v="7"/>
  </r>
  <r>
    <x v="9198"/>
    <x v="1836"/>
    <x v="0"/>
    <n v="2"/>
    <n v="600.16"/>
    <x v="382"/>
    <x v="4"/>
    <x v="2"/>
    <n v="1200.32"/>
    <m/>
    <m/>
    <n v="7"/>
  </r>
  <r>
    <x v="9199"/>
    <x v="1837"/>
    <x v="2"/>
    <n v="2"/>
    <n v="10.46"/>
    <x v="526"/>
    <x v="6"/>
    <x v="0"/>
    <n v="20.92"/>
    <m/>
    <m/>
    <n v="5"/>
  </r>
  <r>
    <x v="9200"/>
    <x v="1837"/>
    <x v="0"/>
    <n v="3"/>
    <n v="900.24"/>
    <x v="425"/>
    <x v="5"/>
    <x v="4"/>
    <n v="2700.7200000000003"/>
    <m/>
    <m/>
    <n v="5"/>
  </r>
  <r>
    <x v="9201"/>
    <x v="1837"/>
    <x v="5"/>
    <n v="5"/>
    <n v="3000.85"/>
    <x v="455"/>
    <x v="5"/>
    <x v="4"/>
    <n v="15004.25"/>
    <m/>
    <m/>
    <n v="7"/>
  </r>
  <r>
    <x v="9202"/>
    <x v="1837"/>
    <x v="2"/>
    <n v="5"/>
    <n v="26.15"/>
    <x v="362"/>
    <x v="8"/>
    <x v="3"/>
    <n v="130.75"/>
    <m/>
    <m/>
    <n v="7"/>
  </r>
  <r>
    <x v="9203"/>
    <x v="1837"/>
    <x v="6"/>
    <n v="5"/>
    <n v="179.2"/>
    <x v="139"/>
    <x v="0"/>
    <x v="0"/>
    <n v="896"/>
    <m/>
    <m/>
    <n v="7"/>
  </r>
  <r>
    <x v="9204"/>
    <x v="1837"/>
    <x v="0"/>
    <n v="3"/>
    <n v="900.24"/>
    <x v="592"/>
    <x v="7"/>
    <x v="0"/>
    <n v="2700.7200000000003"/>
    <m/>
    <m/>
    <n v="7"/>
  </r>
  <r>
    <x v="9205"/>
    <x v="1838"/>
    <x v="1"/>
    <n v="2"/>
    <n v="81.319999999999993"/>
    <x v="494"/>
    <x v="5"/>
    <x v="4"/>
    <n v="162.63999999999999"/>
    <m/>
    <m/>
    <n v="5"/>
  </r>
  <r>
    <x v="9206"/>
    <x v="1838"/>
    <x v="4"/>
    <n v="4"/>
    <n v="4200"/>
    <x v="730"/>
    <x v="9"/>
    <x v="1"/>
    <n v="16800"/>
    <m/>
    <m/>
    <n v="5"/>
  </r>
  <r>
    <x v="9207"/>
    <x v="1838"/>
    <x v="6"/>
    <n v="5"/>
    <n v="179.2"/>
    <x v="110"/>
    <x v="0"/>
    <x v="3"/>
    <n v="896"/>
    <m/>
    <m/>
    <n v="7"/>
  </r>
  <r>
    <x v="9208"/>
    <x v="1839"/>
    <x v="4"/>
    <n v="3"/>
    <n v="3150"/>
    <x v="293"/>
    <x v="4"/>
    <x v="0"/>
    <n v="9450"/>
    <m/>
    <m/>
    <n v="5"/>
  </r>
  <r>
    <x v="9209"/>
    <x v="1839"/>
    <x v="5"/>
    <n v="2"/>
    <n v="1200.3399999999999"/>
    <x v="651"/>
    <x v="6"/>
    <x v="0"/>
    <n v="2400.6799999999998"/>
    <m/>
    <m/>
    <n v="5"/>
  </r>
  <r>
    <x v="9210"/>
    <x v="1839"/>
    <x v="5"/>
    <n v="5"/>
    <n v="3000.85"/>
    <x v="228"/>
    <x v="4"/>
    <x v="2"/>
    <n v="15004.25"/>
    <m/>
    <m/>
    <n v="7"/>
  </r>
  <r>
    <x v="9211"/>
    <x v="1839"/>
    <x v="0"/>
    <n v="3"/>
    <n v="900.24"/>
    <x v="503"/>
    <x v="1"/>
    <x v="1"/>
    <n v="2700.7200000000003"/>
    <m/>
    <m/>
    <n v="7"/>
  </r>
  <r>
    <x v="9212"/>
    <x v="1839"/>
    <x v="2"/>
    <n v="4"/>
    <n v="20.92"/>
    <x v="439"/>
    <x v="2"/>
    <x v="3"/>
    <n v="83.68"/>
    <m/>
    <m/>
    <n v="7"/>
  </r>
  <r>
    <x v="9213"/>
    <x v="1839"/>
    <x v="3"/>
    <n v="5"/>
    <n v="75.75"/>
    <x v="200"/>
    <x v="0"/>
    <x v="2"/>
    <n v="378.75"/>
    <m/>
    <m/>
    <n v="10"/>
  </r>
  <r>
    <x v="9214"/>
    <x v="1840"/>
    <x v="1"/>
    <n v="2"/>
    <n v="81.319999999999993"/>
    <x v="245"/>
    <x v="6"/>
    <x v="0"/>
    <n v="162.63999999999999"/>
    <m/>
    <m/>
    <n v="5"/>
  </r>
  <r>
    <x v="9215"/>
    <x v="1840"/>
    <x v="0"/>
    <n v="3"/>
    <n v="900.24"/>
    <x v="709"/>
    <x v="1"/>
    <x v="0"/>
    <n v="2700.7200000000003"/>
    <m/>
    <m/>
    <n v="5"/>
  </r>
  <r>
    <x v="9216"/>
    <x v="1840"/>
    <x v="1"/>
    <n v="2"/>
    <n v="81.319999999999993"/>
    <x v="85"/>
    <x v="8"/>
    <x v="4"/>
    <n v="162.63999999999999"/>
    <m/>
    <m/>
    <n v="5"/>
  </r>
  <r>
    <x v="9217"/>
    <x v="1840"/>
    <x v="2"/>
    <n v="4"/>
    <n v="20.92"/>
    <x v="775"/>
    <x v="6"/>
    <x v="3"/>
    <n v="83.68"/>
    <m/>
    <m/>
    <n v="5"/>
  </r>
  <r>
    <x v="9218"/>
    <x v="1840"/>
    <x v="0"/>
    <n v="4"/>
    <n v="1200.32"/>
    <x v="11"/>
    <x v="0"/>
    <x v="0"/>
    <n v="4801.28"/>
    <m/>
    <m/>
    <n v="7"/>
  </r>
  <r>
    <x v="9219"/>
    <x v="1840"/>
    <x v="0"/>
    <n v="1"/>
    <n v="300.08"/>
    <x v="155"/>
    <x v="6"/>
    <x v="2"/>
    <n v="300.08"/>
    <m/>
    <m/>
    <n v="10"/>
  </r>
  <r>
    <x v="9220"/>
    <x v="1841"/>
    <x v="1"/>
    <n v="4"/>
    <n v="162.63999999999999"/>
    <x v="670"/>
    <x v="0"/>
    <x v="2"/>
    <n v="650.55999999999995"/>
    <m/>
    <m/>
    <n v="5"/>
  </r>
  <r>
    <x v="9221"/>
    <x v="1841"/>
    <x v="4"/>
    <n v="2"/>
    <n v="2100"/>
    <x v="435"/>
    <x v="5"/>
    <x v="2"/>
    <n v="4200"/>
    <m/>
    <m/>
    <n v="5"/>
  </r>
  <r>
    <x v="9222"/>
    <x v="1842"/>
    <x v="0"/>
    <n v="5"/>
    <n v="1500.4"/>
    <x v="424"/>
    <x v="4"/>
    <x v="2"/>
    <n v="7502"/>
    <m/>
    <m/>
    <n v="5"/>
  </r>
  <r>
    <x v="9223"/>
    <x v="1842"/>
    <x v="0"/>
    <n v="1"/>
    <n v="300.08"/>
    <x v="567"/>
    <x v="7"/>
    <x v="0"/>
    <n v="300.08"/>
    <m/>
    <m/>
    <n v="5"/>
  </r>
  <r>
    <x v="9224"/>
    <x v="1842"/>
    <x v="1"/>
    <n v="5"/>
    <n v="203.3"/>
    <x v="223"/>
    <x v="9"/>
    <x v="2"/>
    <n v="1016.5"/>
    <m/>
    <m/>
    <n v="7"/>
  </r>
  <r>
    <x v="9225"/>
    <x v="1842"/>
    <x v="1"/>
    <n v="3"/>
    <n v="121.98"/>
    <x v="252"/>
    <x v="1"/>
    <x v="4"/>
    <n v="365.94"/>
    <m/>
    <m/>
    <n v="7"/>
  </r>
  <r>
    <x v="9226"/>
    <x v="1842"/>
    <x v="3"/>
    <n v="5"/>
    <n v="75.75"/>
    <x v="50"/>
    <x v="6"/>
    <x v="0"/>
    <n v="378.75"/>
    <m/>
    <m/>
    <n v="10"/>
  </r>
  <r>
    <x v="9227"/>
    <x v="1843"/>
    <x v="0"/>
    <n v="5"/>
    <n v="1500.4"/>
    <x v="278"/>
    <x v="4"/>
    <x v="1"/>
    <n v="7502"/>
    <m/>
    <m/>
    <n v="5"/>
  </r>
  <r>
    <x v="9228"/>
    <x v="1843"/>
    <x v="5"/>
    <n v="1"/>
    <n v="600.16999999999996"/>
    <x v="321"/>
    <x v="9"/>
    <x v="1"/>
    <n v="600.16999999999996"/>
    <m/>
    <m/>
    <n v="7"/>
  </r>
  <r>
    <x v="9229"/>
    <x v="1843"/>
    <x v="6"/>
    <n v="4"/>
    <n v="143.36000000000001"/>
    <x v="342"/>
    <x v="0"/>
    <x v="2"/>
    <n v="573.44000000000005"/>
    <m/>
    <m/>
    <n v="7"/>
  </r>
  <r>
    <x v="9230"/>
    <x v="1843"/>
    <x v="2"/>
    <n v="1"/>
    <n v="5.23"/>
    <x v="362"/>
    <x v="6"/>
    <x v="4"/>
    <n v="5.23"/>
    <m/>
    <m/>
    <n v="7"/>
  </r>
  <r>
    <x v="9231"/>
    <x v="1844"/>
    <x v="3"/>
    <n v="3"/>
    <n v="45.45"/>
    <x v="708"/>
    <x v="6"/>
    <x v="2"/>
    <n v="136.35000000000002"/>
    <m/>
    <m/>
    <n v="5"/>
  </r>
  <r>
    <x v="9232"/>
    <x v="1844"/>
    <x v="0"/>
    <n v="5"/>
    <n v="1500.4"/>
    <x v="164"/>
    <x v="3"/>
    <x v="4"/>
    <n v="7502"/>
    <m/>
    <m/>
    <n v="7"/>
  </r>
  <r>
    <x v="9233"/>
    <x v="1844"/>
    <x v="5"/>
    <n v="2"/>
    <n v="1200.3399999999999"/>
    <x v="329"/>
    <x v="0"/>
    <x v="3"/>
    <n v="2400.6799999999998"/>
    <m/>
    <m/>
    <n v="7"/>
  </r>
  <r>
    <x v="9234"/>
    <x v="1844"/>
    <x v="0"/>
    <n v="2"/>
    <n v="600.16"/>
    <x v="8"/>
    <x v="7"/>
    <x v="0"/>
    <n v="1200.32"/>
    <m/>
    <m/>
    <n v="7"/>
  </r>
  <r>
    <x v="9235"/>
    <x v="1844"/>
    <x v="5"/>
    <n v="2"/>
    <n v="1200.3399999999999"/>
    <x v="625"/>
    <x v="4"/>
    <x v="1"/>
    <n v="2400.6799999999998"/>
    <m/>
    <m/>
    <n v="7"/>
  </r>
  <r>
    <x v="9236"/>
    <x v="1845"/>
    <x v="4"/>
    <n v="2"/>
    <n v="2100"/>
    <x v="651"/>
    <x v="0"/>
    <x v="1"/>
    <n v="4200"/>
    <m/>
    <m/>
    <n v="5"/>
  </r>
  <r>
    <x v="9237"/>
    <x v="1845"/>
    <x v="0"/>
    <n v="3"/>
    <n v="900.24"/>
    <x v="4"/>
    <x v="9"/>
    <x v="0"/>
    <n v="2700.7200000000003"/>
    <m/>
    <m/>
    <n v="7"/>
  </r>
  <r>
    <x v="9238"/>
    <x v="1845"/>
    <x v="1"/>
    <n v="2"/>
    <n v="81.319999999999993"/>
    <x v="528"/>
    <x v="1"/>
    <x v="1"/>
    <n v="162.63999999999999"/>
    <m/>
    <m/>
    <n v="7"/>
  </r>
  <r>
    <x v="9239"/>
    <x v="1845"/>
    <x v="2"/>
    <n v="2"/>
    <n v="10.46"/>
    <x v="733"/>
    <x v="9"/>
    <x v="0"/>
    <n v="20.92"/>
    <m/>
    <m/>
    <n v="7"/>
  </r>
  <r>
    <x v="9240"/>
    <x v="1846"/>
    <x v="6"/>
    <n v="3"/>
    <n v="107.52"/>
    <x v="725"/>
    <x v="6"/>
    <x v="3"/>
    <n v="322.56"/>
    <m/>
    <m/>
    <n v="5"/>
  </r>
  <r>
    <x v="9241"/>
    <x v="1846"/>
    <x v="3"/>
    <n v="2"/>
    <n v="30.3"/>
    <x v="703"/>
    <x v="2"/>
    <x v="0"/>
    <n v="60.6"/>
    <m/>
    <m/>
    <n v="7"/>
  </r>
  <r>
    <x v="9242"/>
    <x v="1846"/>
    <x v="2"/>
    <n v="2"/>
    <n v="10.46"/>
    <x v="241"/>
    <x v="6"/>
    <x v="0"/>
    <n v="20.92"/>
    <m/>
    <m/>
    <n v="7"/>
  </r>
  <r>
    <x v="9243"/>
    <x v="1846"/>
    <x v="0"/>
    <n v="3"/>
    <n v="900.24"/>
    <x v="733"/>
    <x v="0"/>
    <x v="0"/>
    <n v="2700.7200000000003"/>
    <m/>
    <m/>
    <n v="7"/>
  </r>
  <r>
    <x v="9244"/>
    <x v="1847"/>
    <x v="0"/>
    <n v="3"/>
    <n v="900.24"/>
    <x v="494"/>
    <x v="1"/>
    <x v="2"/>
    <n v="2700.7200000000003"/>
    <m/>
    <m/>
    <n v="5"/>
  </r>
  <r>
    <x v="9245"/>
    <x v="1847"/>
    <x v="6"/>
    <n v="4"/>
    <n v="143.36000000000001"/>
    <x v="763"/>
    <x v="0"/>
    <x v="2"/>
    <n v="573.44000000000005"/>
    <m/>
    <m/>
    <n v="5"/>
  </r>
  <r>
    <x v="9246"/>
    <x v="1847"/>
    <x v="5"/>
    <n v="1"/>
    <n v="600.16999999999996"/>
    <x v="656"/>
    <x v="6"/>
    <x v="4"/>
    <n v="600.16999999999996"/>
    <m/>
    <m/>
    <n v="5"/>
  </r>
  <r>
    <x v="9247"/>
    <x v="1847"/>
    <x v="5"/>
    <n v="3"/>
    <n v="1800.51"/>
    <x v="154"/>
    <x v="2"/>
    <x v="1"/>
    <n v="5401.53"/>
    <m/>
    <m/>
    <n v="7"/>
  </r>
  <r>
    <x v="9248"/>
    <x v="1848"/>
    <x v="0"/>
    <n v="4"/>
    <n v="1200.32"/>
    <x v="185"/>
    <x v="7"/>
    <x v="1"/>
    <n v="4801.28"/>
    <m/>
    <m/>
    <n v="5"/>
  </r>
  <r>
    <x v="9249"/>
    <x v="1848"/>
    <x v="5"/>
    <n v="3"/>
    <n v="1800.51"/>
    <x v="90"/>
    <x v="6"/>
    <x v="1"/>
    <n v="5401.53"/>
    <m/>
    <m/>
    <n v="5"/>
  </r>
  <r>
    <x v="9250"/>
    <x v="1848"/>
    <x v="3"/>
    <n v="3"/>
    <n v="45.45"/>
    <x v="677"/>
    <x v="0"/>
    <x v="2"/>
    <n v="136.35000000000002"/>
    <m/>
    <m/>
    <n v="5"/>
  </r>
  <r>
    <x v="9251"/>
    <x v="1848"/>
    <x v="0"/>
    <n v="5"/>
    <n v="1500.4"/>
    <x v="591"/>
    <x v="0"/>
    <x v="4"/>
    <n v="7502"/>
    <m/>
    <m/>
    <n v="7"/>
  </r>
  <r>
    <x v="9252"/>
    <x v="1848"/>
    <x v="1"/>
    <n v="4"/>
    <n v="162.63999999999999"/>
    <x v="401"/>
    <x v="2"/>
    <x v="2"/>
    <n v="650.55999999999995"/>
    <m/>
    <m/>
    <n v="7"/>
  </r>
  <r>
    <x v="9253"/>
    <x v="1848"/>
    <x v="6"/>
    <n v="2"/>
    <n v="71.680000000000007"/>
    <x v="236"/>
    <x v="3"/>
    <x v="3"/>
    <n v="143.36000000000001"/>
    <m/>
    <m/>
    <n v="7"/>
  </r>
  <r>
    <x v="9254"/>
    <x v="1848"/>
    <x v="7"/>
    <n v="5"/>
    <n v="58.65"/>
    <x v="572"/>
    <x v="4"/>
    <x v="2"/>
    <n v="293.25"/>
    <m/>
    <m/>
    <n v="7"/>
  </r>
  <r>
    <x v="9255"/>
    <x v="1848"/>
    <x v="3"/>
    <n v="5"/>
    <n v="75.75"/>
    <x v="200"/>
    <x v="0"/>
    <x v="0"/>
    <n v="378.75"/>
    <m/>
    <m/>
    <n v="10"/>
  </r>
  <r>
    <x v="9256"/>
    <x v="1849"/>
    <x v="1"/>
    <n v="1"/>
    <n v="40.659999999999997"/>
    <x v="43"/>
    <x v="0"/>
    <x v="2"/>
    <n v="40.659999999999997"/>
    <m/>
    <m/>
    <n v="5"/>
  </r>
  <r>
    <x v="9257"/>
    <x v="1849"/>
    <x v="0"/>
    <n v="1"/>
    <n v="300.08"/>
    <x v="328"/>
    <x v="0"/>
    <x v="4"/>
    <n v="300.08"/>
    <m/>
    <m/>
    <n v="5"/>
  </r>
  <r>
    <x v="9258"/>
    <x v="1849"/>
    <x v="6"/>
    <n v="1"/>
    <n v="35.840000000000003"/>
    <x v="595"/>
    <x v="4"/>
    <x v="4"/>
    <n v="35.840000000000003"/>
    <m/>
    <m/>
    <n v="7"/>
  </r>
  <r>
    <x v="9259"/>
    <x v="1849"/>
    <x v="5"/>
    <n v="1"/>
    <n v="600.16999999999996"/>
    <x v="401"/>
    <x v="3"/>
    <x v="2"/>
    <n v="600.16999999999996"/>
    <m/>
    <m/>
    <n v="7"/>
  </r>
  <r>
    <x v="9260"/>
    <x v="1850"/>
    <x v="1"/>
    <n v="2"/>
    <n v="81.319999999999993"/>
    <x v="172"/>
    <x v="9"/>
    <x v="2"/>
    <n v="162.63999999999999"/>
    <m/>
    <m/>
    <n v="5"/>
  </r>
  <r>
    <x v="9261"/>
    <x v="1850"/>
    <x v="5"/>
    <n v="3"/>
    <n v="1800.51"/>
    <x v="367"/>
    <x v="1"/>
    <x v="1"/>
    <n v="5401.53"/>
    <m/>
    <m/>
    <n v="7"/>
  </r>
  <r>
    <x v="9262"/>
    <x v="1850"/>
    <x v="0"/>
    <n v="4"/>
    <n v="1200.32"/>
    <x v="377"/>
    <x v="1"/>
    <x v="4"/>
    <n v="4801.28"/>
    <m/>
    <m/>
    <n v="7"/>
  </r>
  <r>
    <x v="9263"/>
    <x v="1850"/>
    <x v="2"/>
    <n v="3"/>
    <n v="15.69"/>
    <x v="368"/>
    <x v="0"/>
    <x v="0"/>
    <n v="47.07"/>
    <m/>
    <m/>
    <n v="7"/>
  </r>
  <r>
    <x v="9264"/>
    <x v="1850"/>
    <x v="0"/>
    <n v="1"/>
    <n v="300.08"/>
    <x v="564"/>
    <x v="8"/>
    <x v="4"/>
    <n v="300.08"/>
    <m/>
    <m/>
    <n v="7"/>
  </r>
  <r>
    <x v="9265"/>
    <x v="1850"/>
    <x v="0"/>
    <n v="3"/>
    <n v="900.24"/>
    <x v="20"/>
    <x v="6"/>
    <x v="2"/>
    <n v="2700.7200000000003"/>
    <m/>
    <m/>
    <n v="7"/>
  </r>
  <r>
    <x v="9266"/>
    <x v="1851"/>
    <x v="0"/>
    <n v="2"/>
    <n v="600.16"/>
    <x v="137"/>
    <x v="9"/>
    <x v="3"/>
    <n v="1200.32"/>
    <m/>
    <m/>
    <n v="5"/>
  </r>
  <r>
    <x v="9267"/>
    <x v="1851"/>
    <x v="5"/>
    <n v="1"/>
    <n v="600.16999999999996"/>
    <x v="530"/>
    <x v="2"/>
    <x v="4"/>
    <n v="600.16999999999996"/>
    <m/>
    <m/>
    <n v="7"/>
  </r>
  <r>
    <x v="9268"/>
    <x v="1851"/>
    <x v="0"/>
    <n v="4"/>
    <n v="1200.32"/>
    <x v="772"/>
    <x v="6"/>
    <x v="2"/>
    <n v="4801.28"/>
    <m/>
    <m/>
    <n v="7"/>
  </r>
  <r>
    <x v="9269"/>
    <x v="1851"/>
    <x v="6"/>
    <n v="4"/>
    <n v="143.36000000000001"/>
    <x v="702"/>
    <x v="6"/>
    <x v="1"/>
    <n v="573.44000000000005"/>
    <m/>
    <m/>
    <n v="7"/>
  </r>
  <r>
    <x v="9270"/>
    <x v="1851"/>
    <x v="5"/>
    <n v="2"/>
    <n v="1200.3399999999999"/>
    <x v="767"/>
    <x v="0"/>
    <x v="2"/>
    <n v="2400.6799999999998"/>
    <m/>
    <m/>
    <n v="7"/>
  </r>
  <r>
    <x v="9271"/>
    <x v="1851"/>
    <x v="1"/>
    <n v="3"/>
    <n v="121.98"/>
    <x v="786"/>
    <x v="2"/>
    <x v="1"/>
    <n v="365.94"/>
    <m/>
    <m/>
    <n v="7"/>
  </r>
  <r>
    <x v="9272"/>
    <x v="1852"/>
    <x v="0"/>
    <n v="5"/>
    <n v="1500.4"/>
    <x v="606"/>
    <x v="2"/>
    <x v="0"/>
    <n v="7502"/>
    <m/>
    <m/>
    <n v="5"/>
  </r>
  <r>
    <x v="9273"/>
    <x v="1853"/>
    <x v="3"/>
    <n v="5"/>
    <n v="75.75"/>
    <x v="172"/>
    <x v="3"/>
    <x v="4"/>
    <n v="378.75"/>
    <m/>
    <m/>
    <n v="5"/>
  </r>
  <r>
    <x v="9274"/>
    <x v="1853"/>
    <x v="5"/>
    <n v="5"/>
    <n v="3000.85"/>
    <x v="292"/>
    <x v="0"/>
    <x v="3"/>
    <n v="15004.25"/>
    <m/>
    <m/>
    <n v="5"/>
  </r>
  <r>
    <x v="9275"/>
    <x v="1853"/>
    <x v="0"/>
    <n v="1"/>
    <n v="300.08"/>
    <x v="562"/>
    <x v="6"/>
    <x v="3"/>
    <n v="300.08"/>
    <m/>
    <m/>
    <n v="5"/>
  </r>
  <r>
    <x v="9276"/>
    <x v="1853"/>
    <x v="2"/>
    <n v="1"/>
    <n v="5.23"/>
    <x v="717"/>
    <x v="9"/>
    <x v="2"/>
    <n v="5.23"/>
    <m/>
    <m/>
    <n v="5"/>
  </r>
  <r>
    <x v="9277"/>
    <x v="1853"/>
    <x v="0"/>
    <n v="2"/>
    <n v="600.16"/>
    <x v="597"/>
    <x v="6"/>
    <x v="4"/>
    <n v="1200.32"/>
    <m/>
    <m/>
    <n v="7"/>
  </r>
  <r>
    <x v="9278"/>
    <x v="1854"/>
    <x v="5"/>
    <n v="5"/>
    <n v="3000.85"/>
    <x v="189"/>
    <x v="9"/>
    <x v="2"/>
    <n v="15004.25"/>
    <m/>
    <m/>
    <n v="7"/>
  </r>
  <r>
    <x v="9279"/>
    <x v="1854"/>
    <x v="0"/>
    <n v="2"/>
    <n v="600.16"/>
    <x v="506"/>
    <x v="1"/>
    <x v="1"/>
    <n v="1200.32"/>
    <m/>
    <m/>
    <n v="7"/>
  </r>
  <r>
    <x v="9280"/>
    <x v="1854"/>
    <x v="0"/>
    <n v="4"/>
    <n v="1200.32"/>
    <x v="577"/>
    <x v="6"/>
    <x v="4"/>
    <n v="4801.28"/>
    <m/>
    <m/>
    <n v="7"/>
  </r>
  <r>
    <x v="9281"/>
    <x v="1854"/>
    <x v="0"/>
    <n v="3"/>
    <n v="900.24"/>
    <x v="182"/>
    <x v="9"/>
    <x v="0"/>
    <n v="2700.7200000000003"/>
    <m/>
    <m/>
    <n v="7"/>
  </r>
  <r>
    <x v="9282"/>
    <x v="1855"/>
    <x v="0"/>
    <n v="4"/>
    <n v="1200.32"/>
    <x v="97"/>
    <x v="0"/>
    <x v="2"/>
    <n v="4801.28"/>
    <m/>
    <m/>
    <n v="5"/>
  </r>
  <r>
    <x v="9283"/>
    <x v="1855"/>
    <x v="0"/>
    <n v="3"/>
    <n v="900.24"/>
    <x v="106"/>
    <x v="4"/>
    <x v="3"/>
    <n v="2700.7200000000003"/>
    <m/>
    <m/>
    <n v="5"/>
  </r>
  <r>
    <x v="9284"/>
    <x v="1855"/>
    <x v="2"/>
    <n v="1"/>
    <n v="5.23"/>
    <x v="135"/>
    <x v="1"/>
    <x v="3"/>
    <n v="5.23"/>
    <m/>
    <m/>
    <n v="7"/>
  </r>
  <r>
    <x v="9285"/>
    <x v="1855"/>
    <x v="6"/>
    <n v="5"/>
    <n v="179.2"/>
    <x v="684"/>
    <x v="2"/>
    <x v="4"/>
    <n v="896"/>
    <m/>
    <m/>
    <n v="7"/>
  </r>
  <r>
    <x v="9286"/>
    <x v="1855"/>
    <x v="5"/>
    <n v="5"/>
    <n v="3000.85"/>
    <x v="394"/>
    <x v="2"/>
    <x v="3"/>
    <n v="15004.25"/>
    <m/>
    <m/>
    <n v="7"/>
  </r>
  <r>
    <x v="9287"/>
    <x v="1856"/>
    <x v="1"/>
    <n v="3"/>
    <n v="121.98"/>
    <x v="28"/>
    <x v="4"/>
    <x v="0"/>
    <n v="365.94"/>
    <m/>
    <m/>
    <n v="5"/>
  </r>
  <r>
    <x v="9288"/>
    <x v="1856"/>
    <x v="3"/>
    <n v="4"/>
    <n v="60.6"/>
    <x v="638"/>
    <x v="6"/>
    <x v="3"/>
    <n v="242.4"/>
    <m/>
    <m/>
    <n v="5"/>
  </r>
  <r>
    <x v="9289"/>
    <x v="1856"/>
    <x v="2"/>
    <n v="4"/>
    <n v="20.92"/>
    <x v="75"/>
    <x v="9"/>
    <x v="0"/>
    <n v="83.68"/>
    <m/>
    <m/>
    <n v="7"/>
  </r>
  <r>
    <x v="9290"/>
    <x v="1856"/>
    <x v="1"/>
    <n v="1"/>
    <n v="40.659999999999997"/>
    <x v="761"/>
    <x v="2"/>
    <x v="4"/>
    <n v="40.659999999999997"/>
    <m/>
    <m/>
    <n v="7"/>
  </r>
  <r>
    <x v="9291"/>
    <x v="1856"/>
    <x v="1"/>
    <n v="3"/>
    <n v="121.98"/>
    <x v="735"/>
    <x v="1"/>
    <x v="4"/>
    <n v="365.94"/>
    <m/>
    <m/>
    <n v="7"/>
  </r>
  <r>
    <x v="9292"/>
    <x v="1856"/>
    <x v="1"/>
    <n v="4"/>
    <n v="162.63999999999999"/>
    <x v="511"/>
    <x v="9"/>
    <x v="4"/>
    <n v="650.55999999999995"/>
    <m/>
    <m/>
    <n v="7"/>
  </r>
  <r>
    <x v="9293"/>
    <x v="1857"/>
    <x v="0"/>
    <n v="5"/>
    <n v="1500.4"/>
    <x v="619"/>
    <x v="9"/>
    <x v="0"/>
    <n v="7502"/>
    <m/>
    <m/>
    <n v="5"/>
  </r>
  <r>
    <x v="9294"/>
    <x v="1858"/>
    <x v="0"/>
    <n v="5"/>
    <n v="1500.4"/>
    <x v="261"/>
    <x v="8"/>
    <x v="1"/>
    <n v="7502"/>
    <m/>
    <m/>
    <n v="5"/>
  </r>
  <r>
    <x v="9295"/>
    <x v="1858"/>
    <x v="7"/>
    <n v="5"/>
    <n v="58.65"/>
    <x v="687"/>
    <x v="6"/>
    <x v="4"/>
    <n v="293.25"/>
    <m/>
    <m/>
    <n v="5"/>
  </r>
  <r>
    <x v="9296"/>
    <x v="1858"/>
    <x v="2"/>
    <n v="4"/>
    <n v="20.92"/>
    <x v="671"/>
    <x v="4"/>
    <x v="2"/>
    <n v="83.68"/>
    <m/>
    <m/>
    <n v="7"/>
  </r>
  <r>
    <x v="9297"/>
    <x v="1859"/>
    <x v="3"/>
    <n v="4"/>
    <n v="60.6"/>
    <x v="465"/>
    <x v="6"/>
    <x v="4"/>
    <n v="242.4"/>
    <m/>
    <m/>
    <n v="5"/>
  </r>
  <r>
    <x v="9298"/>
    <x v="1859"/>
    <x v="0"/>
    <n v="2"/>
    <n v="600.16"/>
    <x v="30"/>
    <x v="1"/>
    <x v="4"/>
    <n v="1200.32"/>
    <m/>
    <m/>
    <n v="5"/>
  </r>
  <r>
    <x v="9299"/>
    <x v="1859"/>
    <x v="6"/>
    <n v="1"/>
    <n v="35.840000000000003"/>
    <x v="203"/>
    <x v="8"/>
    <x v="0"/>
    <n v="35.840000000000003"/>
    <m/>
    <m/>
    <n v="10"/>
  </r>
  <r>
    <x v="9300"/>
    <x v="1860"/>
    <x v="2"/>
    <n v="5"/>
    <n v="26.15"/>
    <x v="33"/>
    <x v="4"/>
    <x v="1"/>
    <n v="130.75"/>
    <m/>
    <m/>
    <n v="5"/>
  </r>
  <r>
    <x v="9301"/>
    <x v="1860"/>
    <x v="1"/>
    <n v="1"/>
    <n v="40.659999999999997"/>
    <x v="312"/>
    <x v="6"/>
    <x v="1"/>
    <n v="40.659999999999997"/>
    <m/>
    <m/>
    <n v="5"/>
  </r>
  <r>
    <x v="9302"/>
    <x v="1860"/>
    <x v="6"/>
    <n v="5"/>
    <n v="179.2"/>
    <x v="584"/>
    <x v="6"/>
    <x v="2"/>
    <n v="896"/>
    <m/>
    <m/>
    <n v="7"/>
  </r>
  <r>
    <x v="9303"/>
    <x v="1860"/>
    <x v="6"/>
    <n v="1"/>
    <n v="35.840000000000003"/>
    <x v="565"/>
    <x v="9"/>
    <x v="1"/>
    <n v="35.840000000000003"/>
    <m/>
    <m/>
    <n v="7"/>
  </r>
  <r>
    <x v="9304"/>
    <x v="1861"/>
    <x v="1"/>
    <n v="4"/>
    <n v="162.63999999999999"/>
    <x v="113"/>
    <x v="0"/>
    <x v="2"/>
    <n v="650.55999999999995"/>
    <m/>
    <m/>
    <n v="5"/>
  </r>
  <r>
    <x v="9305"/>
    <x v="1861"/>
    <x v="0"/>
    <n v="1"/>
    <n v="300.08"/>
    <x v="90"/>
    <x v="0"/>
    <x v="2"/>
    <n v="300.08"/>
    <m/>
    <m/>
    <n v="5"/>
  </r>
  <r>
    <x v="9306"/>
    <x v="1861"/>
    <x v="2"/>
    <n v="4"/>
    <n v="20.92"/>
    <x v="28"/>
    <x v="2"/>
    <x v="0"/>
    <n v="83.68"/>
    <m/>
    <m/>
    <n v="5"/>
  </r>
  <r>
    <x v="9307"/>
    <x v="1861"/>
    <x v="0"/>
    <n v="2"/>
    <n v="600.16"/>
    <x v="147"/>
    <x v="8"/>
    <x v="2"/>
    <n v="1200.32"/>
    <m/>
    <m/>
    <n v="5"/>
  </r>
  <r>
    <x v="9308"/>
    <x v="1861"/>
    <x v="6"/>
    <n v="4"/>
    <n v="143.36000000000001"/>
    <x v="788"/>
    <x v="6"/>
    <x v="2"/>
    <n v="573.44000000000005"/>
    <m/>
    <m/>
    <n v="7"/>
  </r>
  <r>
    <x v="9309"/>
    <x v="1861"/>
    <x v="6"/>
    <n v="5"/>
    <n v="179.2"/>
    <x v="344"/>
    <x v="6"/>
    <x v="4"/>
    <n v="896"/>
    <m/>
    <m/>
    <n v="7"/>
  </r>
  <r>
    <x v="9310"/>
    <x v="1861"/>
    <x v="2"/>
    <n v="5"/>
    <n v="26.15"/>
    <x v="139"/>
    <x v="1"/>
    <x v="3"/>
    <n v="130.75"/>
    <m/>
    <m/>
    <n v="7"/>
  </r>
  <r>
    <x v="9311"/>
    <x v="1861"/>
    <x v="4"/>
    <n v="4"/>
    <n v="4200"/>
    <x v="262"/>
    <x v="3"/>
    <x v="2"/>
    <n v="16800"/>
    <m/>
    <m/>
    <n v="7"/>
  </r>
  <r>
    <x v="9312"/>
    <x v="1862"/>
    <x v="7"/>
    <n v="3"/>
    <n v="35.19"/>
    <x v="295"/>
    <x v="1"/>
    <x v="2"/>
    <n v="105.57"/>
    <m/>
    <m/>
    <n v="5"/>
  </r>
  <r>
    <x v="9313"/>
    <x v="1862"/>
    <x v="0"/>
    <n v="5"/>
    <n v="1500.4"/>
    <x v="262"/>
    <x v="6"/>
    <x v="3"/>
    <n v="7502"/>
    <m/>
    <m/>
    <n v="7"/>
  </r>
  <r>
    <x v="9314"/>
    <x v="1862"/>
    <x v="5"/>
    <n v="4"/>
    <n v="2400.6799999999998"/>
    <x v="206"/>
    <x v="4"/>
    <x v="0"/>
    <n v="9602.7199999999993"/>
    <m/>
    <m/>
    <n v="7"/>
  </r>
  <r>
    <x v="9315"/>
    <x v="1862"/>
    <x v="0"/>
    <n v="2"/>
    <n v="600.16"/>
    <x v="532"/>
    <x v="1"/>
    <x v="0"/>
    <n v="1200.32"/>
    <m/>
    <m/>
    <n v="7"/>
  </r>
  <r>
    <x v="9316"/>
    <x v="1862"/>
    <x v="0"/>
    <n v="3"/>
    <n v="900.24"/>
    <x v="421"/>
    <x v="0"/>
    <x v="3"/>
    <n v="2700.7200000000003"/>
    <m/>
    <m/>
    <n v="7"/>
  </r>
  <r>
    <x v="9317"/>
    <x v="1862"/>
    <x v="0"/>
    <n v="1"/>
    <n v="300.08"/>
    <x v="395"/>
    <x v="7"/>
    <x v="0"/>
    <n v="300.08"/>
    <m/>
    <m/>
    <n v="7"/>
  </r>
  <r>
    <x v="9318"/>
    <x v="1862"/>
    <x v="2"/>
    <n v="5"/>
    <n v="26.15"/>
    <x v="447"/>
    <x v="0"/>
    <x v="1"/>
    <n v="130.75"/>
    <m/>
    <m/>
    <n v="7"/>
  </r>
  <r>
    <x v="9319"/>
    <x v="1863"/>
    <x v="2"/>
    <n v="3"/>
    <n v="15.69"/>
    <x v="332"/>
    <x v="9"/>
    <x v="3"/>
    <n v="47.07"/>
    <m/>
    <m/>
    <n v="5"/>
  </r>
  <r>
    <x v="9320"/>
    <x v="1863"/>
    <x v="2"/>
    <n v="4"/>
    <n v="20.92"/>
    <x v="224"/>
    <x v="8"/>
    <x v="0"/>
    <n v="83.68"/>
    <m/>
    <m/>
    <n v="5"/>
  </r>
  <r>
    <x v="9321"/>
    <x v="1863"/>
    <x v="6"/>
    <n v="3"/>
    <n v="107.52"/>
    <x v="38"/>
    <x v="8"/>
    <x v="1"/>
    <n v="322.56"/>
    <m/>
    <m/>
    <n v="5"/>
  </r>
  <r>
    <x v="9322"/>
    <x v="1863"/>
    <x v="0"/>
    <n v="5"/>
    <n v="1500.4"/>
    <x v="35"/>
    <x v="0"/>
    <x v="0"/>
    <n v="7502"/>
    <m/>
    <m/>
    <n v="7"/>
  </r>
  <r>
    <x v="9323"/>
    <x v="1863"/>
    <x v="3"/>
    <n v="1"/>
    <n v="15.15"/>
    <x v="222"/>
    <x v="1"/>
    <x v="3"/>
    <n v="15.15"/>
    <m/>
    <m/>
    <n v="7"/>
  </r>
  <r>
    <x v="9324"/>
    <x v="1863"/>
    <x v="0"/>
    <n v="1"/>
    <n v="300.08"/>
    <x v="532"/>
    <x v="5"/>
    <x v="0"/>
    <n v="300.08"/>
    <m/>
    <m/>
    <n v="7"/>
  </r>
  <r>
    <x v="9325"/>
    <x v="1864"/>
    <x v="6"/>
    <n v="3"/>
    <n v="107.52"/>
    <x v="445"/>
    <x v="0"/>
    <x v="0"/>
    <n v="322.56"/>
    <m/>
    <m/>
    <n v="5"/>
  </r>
  <r>
    <x v="9326"/>
    <x v="1864"/>
    <x v="0"/>
    <n v="4"/>
    <n v="1200.32"/>
    <x v="775"/>
    <x v="0"/>
    <x v="0"/>
    <n v="4801.28"/>
    <m/>
    <m/>
    <n v="5"/>
  </r>
  <r>
    <x v="9327"/>
    <x v="1864"/>
    <x v="0"/>
    <n v="3"/>
    <n v="900.24"/>
    <x v="498"/>
    <x v="1"/>
    <x v="3"/>
    <n v="2700.7200000000003"/>
    <m/>
    <m/>
    <n v="5"/>
  </r>
  <r>
    <x v="9328"/>
    <x v="1864"/>
    <x v="1"/>
    <n v="2"/>
    <n v="81.319999999999993"/>
    <x v="477"/>
    <x v="1"/>
    <x v="2"/>
    <n v="162.63999999999999"/>
    <m/>
    <m/>
    <n v="5"/>
  </r>
  <r>
    <x v="9329"/>
    <x v="1864"/>
    <x v="1"/>
    <n v="1"/>
    <n v="40.659999999999997"/>
    <x v="727"/>
    <x v="5"/>
    <x v="2"/>
    <n v="40.659999999999997"/>
    <m/>
    <m/>
    <n v="10"/>
  </r>
  <r>
    <x v="9330"/>
    <x v="1865"/>
    <x v="5"/>
    <n v="1"/>
    <n v="600.16999999999996"/>
    <x v="296"/>
    <x v="6"/>
    <x v="2"/>
    <n v="600.16999999999996"/>
    <m/>
    <m/>
    <n v="5"/>
  </r>
  <r>
    <x v="9331"/>
    <x v="1866"/>
    <x v="0"/>
    <n v="3"/>
    <n v="900.24"/>
    <x v="474"/>
    <x v="9"/>
    <x v="2"/>
    <n v="2700.7200000000003"/>
    <m/>
    <m/>
    <n v="5"/>
  </r>
  <r>
    <x v="9332"/>
    <x v="1866"/>
    <x v="0"/>
    <n v="2"/>
    <n v="600.16"/>
    <x v="522"/>
    <x v="1"/>
    <x v="4"/>
    <n v="1200.32"/>
    <m/>
    <m/>
    <n v="5"/>
  </r>
  <r>
    <x v="9333"/>
    <x v="1866"/>
    <x v="2"/>
    <n v="1"/>
    <n v="5.23"/>
    <x v="94"/>
    <x v="6"/>
    <x v="0"/>
    <n v="5.23"/>
    <m/>
    <m/>
    <n v="7"/>
  </r>
  <r>
    <x v="9334"/>
    <x v="1866"/>
    <x v="0"/>
    <n v="3"/>
    <n v="900.24"/>
    <x v="203"/>
    <x v="6"/>
    <x v="0"/>
    <n v="2700.7200000000003"/>
    <m/>
    <m/>
    <n v="10"/>
  </r>
  <r>
    <x v="9335"/>
    <x v="1867"/>
    <x v="6"/>
    <n v="3"/>
    <n v="107.52"/>
    <x v="749"/>
    <x v="6"/>
    <x v="0"/>
    <n v="322.56"/>
    <m/>
    <m/>
    <n v="5"/>
  </r>
  <r>
    <x v="9336"/>
    <x v="1867"/>
    <x v="0"/>
    <n v="3"/>
    <n v="900.24"/>
    <x v="337"/>
    <x v="1"/>
    <x v="4"/>
    <n v="2700.7200000000003"/>
    <m/>
    <m/>
    <n v="7"/>
  </r>
  <r>
    <x v="9337"/>
    <x v="1867"/>
    <x v="2"/>
    <n v="4"/>
    <n v="20.92"/>
    <x v="631"/>
    <x v="0"/>
    <x v="4"/>
    <n v="83.68"/>
    <m/>
    <m/>
    <n v="7"/>
  </r>
  <r>
    <x v="9338"/>
    <x v="1868"/>
    <x v="1"/>
    <n v="3"/>
    <n v="121.98"/>
    <x v="1"/>
    <x v="7"/>
    <x v="1"/>
    <n v="365.94"/>
    <m/>
    <m/>
    <n v="5"/>
  </r>
  <r>
    <x v="9339"/>
    <x v="1868"/>
    <x v="1"/>
    <n v="4"/>
    <n v="162.63999999999999"/>
    <x v="27"/>
    <x v="7"/>
    <x v="2"/>
    <n v="650.55999999999995"/>
    <m/>
    <m/>
    <n v="5"/>
  </r>
  <r>
    <x v="9340"/>
    <x v="1868"/>
    <x v="5"/>
    <n v="3"/>
    <n v="1800.51"/>
    <x v="276"/>
    <x v="0"/>
    <x v="0"/>
    <n v="5401.53"/>
    <m/>
    <m/>
    <n v="5"/>
  </r>
  <r>
    <x v="9341"/>
    <x v="1868"/>
    <x v="0"/>
    <n v="3"/>
    <n v="900.24"/>
    <x v="463"/>
    <x v="6"/>
    <x v="4"/>
    <n v="2700.7200000000003"/>
    <m/>
    <m/>
    <n v="7"/>
  </r>
  <r>
    <x v="9342"/>
    <x v="1868"/>
    <x v="4"/>
    <n v="2"/>
    <n v="2100"/>
    <x v="716"/>
    <x v="9"/>
    <x v="3"/>
    <n v="4200"/>
    <m/>
    <m/>
    <n v="7"/>
  </r>
  <r>
    <x v="9343"/>
    <x v="1868"/>
    <x v="2"/>
    <n v="5"/>
    <n v="26.15"/>
    <x v="455"/>
    <x v="1"/>
    <x v="2"/>
    <n v="130.75"/>
    <m/>
    <m/>
    <n v="7"/>
  </r>
  <r>
    <x v="9344"/>
    <x v="1868"/>
    <x v="1"/>
    <n v="1"/>
    <n v="40.659999999999997"/>
    <x v="472"/>
    <x v="0"/>
    <x v="3"/>
    <n v="40.659999999999997"/>
    <m/>
    <m/>
    <n v="7"/>
  </r>
  <r>
    <x v="9345"/>
    <x v="1869"/>
    <x v="0"/>
    <n v="1"/>
    <n v="300.08"/>
    <x v="327"/>
    <x v="4"/>
    <x v="3"/>
    <n v="300.08"/>
    <m/>
    <m/>
    <n v="5"/>
  </r>
  <r>
    <x v="9346"/>
    <x v="1869"/>
    <x v="2"/>
    <n v="5"/>
    <n v="26.15"/>
    <x v="508"/>
    <x v="0"/>
    <x v="4"/>
    <n v="130.75"/>
    <m/>
    <m/>
    <n v="7"/>
  </r>
  <r>
    <x v="9347"/>
    <x v="1869"/>
    <x v="0"/>
    <n v="4"/>
    <n v="1200.32"/>
    <x v="675"/>
    <x v="6"/>
    <x v="4"/>
    <n v="4801.28"/>
    <m/>
    <m/>
    <n v="7"/>
  </r>
  <r>
    <x v="9348"/>
    <x v="1869"/>
    <x v="1"/>
    <n v="1"/>
    <n v="40.659999999999997"/>
    <x v="161"/>
    <x v="6"/>
    <x v="4"/>
    <n v="40.659999999999997"/>
    <m/>
    <m/>
    <n v="7"/>
  </r>
  <r>
    <x v="9349"/>
    <x v="1870"/>
    <x v="2"/>
    <n v="5"/>
    <n v="26.15"/>
    <x v="224"/>
    <x v="2"/>
    <x v="3"/>
    <n v="130.75"/>
    <m/>
    <m/>
    <n v="5"/>
  </r>
  <r>
    <x v="9350"/>
    <x v="1870"/>
    <x v="1"/>
    <n v="3"/>
    <n v="121.98"/>
    <x v="474"/>
    <x v="9"/>
    <x v="0"/>
    <n v="365.94"/>
    <m/>
    <m/>
    <n v="5"/>
  </r>
  <r>
    <x v="9351"/>
    <x v="1870"/>
    <x v="0"/>
    <n v="1"/>
    <n v="300.08"/>
    <x v="46"/>
    <x v="6"/>
    <x v="1"/>
    <n v="300.08"/>
    <m/>
    <m/>
    <n v="5"/>
  </r>
  <r>
    <x v="9352"/>
    <x v="1870"/>
    <x v="2"/>
    <n v="5"/>
    <n v="26.15"/>
    <x v="168"/>
    <x v="1"/>
    <x v="2"/>
    <n v="130.75"/>
    <m/>
    <m/>
    <n v="5"/>
  </r>
  <r>
    <x v="9353"/>
    <x v="1870"/>
    <x v="7"/>
    <n v="5"/>
    <n v="58.65"/>
    <x v="466"/>
    <x v="0"/>
    <x v="0"/>
    <n v="293.25"/>
    <m/>
    <m/>
    <n v="7"/>
  </r>
  <r>
    <x v="9354"/>
    <x v="1870"/>
    <x v="4"/>
    <n v="3"/>
    <n v="3150"/>
    <x v="754"/>
    <x v="9"/>
    <x v="2"/>
    <n v="9450"/>
    <m/>
    <m/>
    <n v="7"/>
  </r>
  <r>
    <x v="9355"/>
    <x v="1871"/>
    <x v="0"/>
    <n v="2"/>
    <n v="600.16"/>
    <x v="318"/>
    <x v="4"/>
    <x v="1"/>
    <n v="1200.32"/>
    <m/>
    <m/>
    <n v="5"/>
  </r>
  <r>
    <x v="9356"/>
    <x v="1871"/>
    <x v="3"/>
    <n v="1"/>
    <n v="15.15"/>
    <x v="567"/>
    <x v="8"/>
    <x v="3"/>
    <n v="15.15"/>
    <m/>
    <m/>
    <n v="5"/>
  </r>
  <r>
    <x v="9357"/>
    <x v="1871"/>
    <x v="1"/>
    <n v="3"/>
    <n v="121.98"/>
    <x v="321"/>
    <x v="6"/>
    <x v="2"/>
    <n v="365.94"/>
    <m/>
    <m/>
    <n v="7"/>
  </r>
  <r>
    <x v="9358"/>
    <x v="1871"/>
    <x v="0"/>
    <n v="1"/>
    <n v="300.08"/>
    <x v="426"/>
    <x v="6"/>
    <x v="1"/>
    <n v="300.08"/>
    <m/>
    <m/>
    <n v="7"/>
  </r>
  <r>
    <x v="9359"/>
    <x v="1871"/>
    <x v="0"/>
    <n v="5"/>
    <n v="1500.4"/>
    <x v="8"/>
    <x v="1"/>
    <x v="4"/>
    <n v="7502"/>
    <m/>
    <m/>
    <n v="7"/>
  </r>
  <r>
    <x v="9360"/>
    <x v="1871"/>
    <x v="0"/>
    <n v="4"/>
    <n v="1200.32"/>
    <x v="675"/>
    <x v="8"/>
    <x v="2"/>
    <n v="4801.28"/>
    <m/>
    <m/>
    <n v="7"/>
  </r>
  <r>
    <x v="9361"/>
    <x v="1871"/>
    <x v="2"/>
    <n v="5"/>
    <n v="26.15"/>
    <x v="237"/>
    <x v="1"/>
    <x v="4"/>
    <n v="130.75"/>
    <m/>
    <m/>
    <n v="7"/>
  </r>
  <r>
    <x v="9362"/>
    <x v="1872"/>
    <x v="2"/>
    <n v="2"/>
    <n v="10.46"/>
    <x v="533"/>
    <x v="5"/>
    <x v="3"/>
    <n v="20.92"/>
    <m/>
    <m/>
    <n v="5"/>
  </r>
  <r>
    <x v="9363"/>
    <x v="1872"/>
    <x v="5"/>
    <n v="1"/>
    <n v="600.16999999999996"/>
    <x v="212"/>
    <x v="3"/>
    <x v="3"/>
    <n v="600.16999999999996"/>
    <m/>
    <m/>
    <n v="5"/>
  </r>
  <r>
    <x v="9364"/>
    <x v="1872"/>
    <x v="0"/>
    <n v="4"/>
    <n v="1200.32"/>
    <x v="228"/>
    <x v="0"/>
    <x v="4"/>
    <n v="4801.28"/>
    <m/>
    <m/>
    <n v="7"/>
  </r>
  <r>
    <x v="9365"/>
    <x v="1872"/>
    <x v="1"/>
    <n v="5"/>
    <n v="203.3"/>
    <x v="685"/>
    <x v="7"/>
    <x v="0"/>
    <n v="1016.5"/>
    <m/>
    <m/>
    <n v="7"/>
  </r>
  <r>
    <x v="9366"/>
    <x v="1872"/>
    <x v="1"/>
    <n v="2"/>
    <n v="81.319999999999993"/>
    <x v="449"/>
    <x v="4"/>
    <x v="0"/>
    <n v="162.63999999999999"/>
    <m/>
    <m/>
    <n v="7"/>
  </r>
  <r>
    <x v="9367"/>
    <x v="1873"/>
    <x v="0"/>
    <n v="5"/>
    <n v="1500.4"/>
    <x v="332"/>
    <x v="8"/>
    <x v="2"/>
    <n v="7502"/>
    <m/>
    <m/>
    <n v="5"/>
  </r>
  <r>
    <x v="9368"/>
    <x v="1873"/>
    <x v="1"/>
    <n v="1"/>
    <n v="40.659999999999997"/>
    <x v="120"/>
    <x v="1"/>
    <x v="4"/>
    <n v="40.659999999999997"/>
    <m/>
    <m/>
    <n v="5"/>
  </r>
  <r>
    <x v="9369"/>
    <x v="1873"/>
    <x v="4"/>
    <n v="1"/>
    <n v="1050"/>
    <x v="273"/>
    <x v="0"/>
    <x v="4"/>
    <n v="1050"/>
    <m/>
    <m/>
    <n v="7"/>
  </r>
  <r>
    <x v="9370"/>
    <x v="1874"/>
    <x v="0"/>
    <n v="4"/>
    <n v="1200.32"/>
    <x v="512"/>
    <x v="2"/>
    <x v="4"/>
    <n v="4801.28"/>
    <m/>
    <m/>
    <n v="5"/>
  </r>
  <r>
    <x v="9371"/>
    <x v="1874"/>
    <x v="1"/>
    <n v="1"/>
    <n v="40.659999999999997"/>
    <x v="508"/>
    <x v="0"/>
    <x v="2"/>
    <n v="40.659999999999997"/>
    <m/>
    <m/>
    <n v="7"/>
  </r>
  <r>
    <x v="9372"/>
    <x v="1874"/>
    <x v="3"/>
    <n v="5"/>
    <n v="75.75"/>
    <x v="620"/>
    <x v="2"/>
    <x v="3"/>
    <n v="378.75"/>
    <m/>
    <m/>
    <n v="10"/>
  </r>
  <r>
    <x v="9373"/>
    <x v="1875"/>
    <x v="1"/>
    <n v="1"/>
    <n v="40.659999999999997"/>
    <x v="398"/>
    <x v="1"/>
    <x v="2"/>
    <n v="40.659999999999997"/>
    <m/>
    <m/>
    <n v="5"/>
  </r>
  <r>
    <x v="9374"/>
    <x v="1875"/>
    <x v="0"/>
    <n v="2"/>
    <n v="600.16"/>
    <x v="88"/>
    <x v="6"/>
    <x v="4"/>
    <n v="1200.32"/>
    <m/>
    <m/>
    <n v="7"/>
  </r>
  <r>
    <x v="9375"/>
    <x v="1875"/>
    <x v="0"/>
    <n v="5"/>
    <n v="1500.4"/>
    <x v="3"/>
    <x v="1"/>
    <x v="4"/>
    <n v="7502"/>
    <m/>
    <m/>
    <n v="7"/>
  </r>
  <r>
    <x v="9376"/>
    <x v="1875"/>
    <x v="2"/>
    <n v="3"/>
    <n v="15.69"/>
    <x v="449"/>
    <x v="4"/>
    <x v="4"/>
    <n v="47.07"/>
    <m/>
    <m/>
    <n v="7"/>
  </r>
  <r>
    <x v="9377"/>
    <x v="1876"/>
    <x v="2"/>
    <n v="5"/>
    <n v="26.15"/>
    <x v="588"/>
    <x v="9"/>
    <x v="2"/>
    <n v="130.75"/>
    <m/>
    <m/>
    <n v="7"/>
  </r>
  <r>
    <x v="9378"/>
    <x v="1876"/>
    <x v="5"/>
    <n v="5"/>
    <n v="3000.85"/>
    <x v="771"/>
    <x v="8"/>
    <x v="1"/>
    <n v="15004.25"/>
    <m/>
    <m/>
    <n v="7"/>
  </r>
  <r>
    <x v="9379"/>
    <x v="1876"/>
    <x v="1"/>
    <n v="2"/>
    <n v="81.319999999999993"/>
    <x v="420"/>
    <x v="6"/>
    <x v="0"/>
    <n v="162.63999999999999"/>
    <m/>
    <m/>
    <n v="7"/>
  </r>
  <r>
    <x v="9380"/>
    <x v="1876"/>
    <x v="0"/>
    <n v="3"/>
    <n v="900.24"/>
    <x v="403"/>
    <x v="6"/>
    <x v="1"/>
    <n v="2700.7200000000003"/>
    <m/>
    <m/>
    <n v="10"/>
  </r>
  <r>
    <x v="9381"/>
    <x v="1877"/>
    <x v="0"/>
    <n v="5"/>
    <n v="1500.4"/>
    <x v="121"/>
    <x v="2"/>
    <x v="3"/>
    <n v="7502"/>
    <m/>
    <m/>
    <n v="5"/>
  </r>
  <r>
    <x v="9382"/>
    <x v="1877"/>
    <x v="1"/>
    <n v="2"/>
    <n v="81.319999999999993"/>
    <x v="328"/>
    <x v="8"/>
    <x v="3"/>
    <n v="162.63999999999999"/>
    <m/>
    <m/>
    <n v="5"/>
  </r>
  <r>
    <x v="9383"/>
    <x v="1877"/>
    <x v="0"/>
    <n v="3"/>
    <n v="900.24"/>
    <x v="758"/>
    <x v="6"/>
    <x v="3"/>
    <n v="2700.7200000000003"/>
    <m/>
    <m/>
    <n v="5"/>
  </r>
  <r>
    <x v="9384"/>
    <x v="1877"/>
    <x v="1"/>
    <n v="4"/>
    <n v="162.63999999999999"/>
    <x v="443"/>
    <x v="4"/>
    <x v="0"/>
    <n v="650.55999999999995"/>
    <m/>
    <m/>
    <n v="7"/>
  </r>
  <r>
    <x v="9385"/>
    <x v="1877"/>
    <x v="2"/>
    <n v="1"/>
    <n v="5.23"/>
    <x v="195"/>
    <x v="3"/>
    <x v="4"/>
    <n v="5.23"/>
    <m/>
    <m/>
    <n v="7"/>
  </r>
  <r>
    <x v="9386"/>
    <x v="1877"/>
    <x v="6"/>
    <n v="4"/>
    <n v="143.36000000000001"/>
    <x v="428"/>
    <x v="4"/>
    <x v="0"/>
    <n v="573.44000000000005"/>
    <m/>
    <m/>
    <n v="7"/>
  </r>
  <r>
    <x v="9387"/>
    <x v="1878"/>
    <x v="0"/>
    <n v="2"/>
    <n v="600.16"/>
    <x v="728"/>
    <x v="0"/>
    <x v="4"/>
    <n v="1200.32"/>
    <m/>
    <m/>
    <n v="5"/>
  </r>
  <r>
    <x v="9388"/>
    <x v="1878"/>
    <x v="5"/>
    <n v="2"/>
    <n v="1200.3399999999999"/>
    <x v="73"/>
    <x v="0"/>
    <x v="4"/>
    <n v="2400.6799999999998"/>
    <m/>
    <m/>
    <n v="5"/>
  </r>
  <r>
    <x v="9389"/>
    <x v="1878"/>
    <x v="4"/>
    <n v="5"/>
    <n v="5250"/>
    <x v="701"/>
    <x v="2"/>
    <x v="1"/>
    <n v="26250"/>
    <m/>
    <m/>
    <n v="7"/>
  </r>
  <r>
    <x v="9390"/>
    <x v="1878"/>
    <x v="6"/>
    <n v="5"/>
    <n v="179.2"/>
    <x v="456"/>
    <x v="8"/>
    <x v="2"/>
    <n v="896"/>
    <m/>
    <m/>
    <n v="7"/>
  </r>
  <r>
    <x v="9391"/>
    <x v="1878"/>
    <x v="0"/>
    <n v="5"/>
    <n v="1500.4"/>
    <x v="786"/>
    <x v="5"/>
    <x v="0"/>
    <n v="7502"/>
    <m/>
    <m/>
    <n v="7"/>
  </r>
  <r>
    <x v="9392"/>
    <x v="1878"/>
    <x v="5"/>
    <n v="4"/>
    <n v="2400.6799999999998"/>
    <x v="776"/>
    <x v="4"/>
    <x v="3"/>
    <n v="9602.7199999999993"/>
    <m/>
    <m/>
    <n v="10"/>
  </r>
  <r>
    <x v="9393"/>
    <x v="1879"/>
    <x v="2"/>
    <n v="5"/>
    <n v="26.15"/>
    <x v="551"/>
    <x v="5"/>
    <x v="0"/>
    <n v="130.75"/>
    <m/>
    <m/>
    <n v="5"/>
  </r>
  <r>
    <x v="9394"/>
    <x v="1879"/>
    <x v="1"/>
    <n v="3"/>
    <n v="121.98"/>
    <x v="91"/>
    <x v="1"/>
    <x v="2"/>
    <n v="365.94"/>
    <m/>
    <m/>
    <n v="5"/>
  </r>
  <r>
    <x v="9395"/>
    <x v="1879"/>
    <x v="1"/>
    <n v="1"/>
    <n v="40.659999999999997"/>
    <x v="179"/>
    <x v="1"/>
    <x v="3"/>
    <n v="40.659999999999997"/>
    <m/>
    <m/>
    <n v="5"/>
  </r>
  <r>
    <x v="9396"/>
    <x v="1879"/>
    <x v="1"/>
    <n v="5"/>
    <n v="203.3"/>
    <x v="512"/>
    <x v="9"/>
    <x v="4"/>
    <n v="1016.5"/>
    <m/>
    <m/>
    <n v="5"/>
  </r>
  <r>
    <x v="9397"/>
    <x v="1879"/>
    <x v="4"/>
    <n v="4"/>
    <n v="4200"/>
    <x v="169"/>
    <x v="1"/>
    <x v="0"/>
    <n v="16800"/>
    <m/>
    <m/>
    <n v="7"/>
  </r>
  <r>
    <x v="9398"/>
    <x v="1879"/>
    <x v="0"/>
    <n v="3"/>
    <n v="900.24"/>
    <x v="391"/>
    <x v="8"/>
    <x v="2"/>
    <n v="2700.7200000000003"/>
    <m/>
    <m/>
    <n v="7"/>
  </r>
  <r>
    <x v="9399"/>
    <x v="1879"/>
    <x v="5"/>
    <n v="3"/>
    <n v="1800.51"/>
    <x v="574"/>
    <x v="2"/>
    <x v="2"/>
    <n v="5401.53"/>
    <m/>
    <m/>
    <n v="7"/>
  </r>
  <r>
    <x v="9400"/>
    <x v="1879"/>
    <x v="0"/>
    <n v="3"/>
    <n v="900.24"/>
    <x v="287"/>
    <x v="5"/>
    <x v="3"/>
    <n v="2700.7200000000003"/>
    <m/>
    <m/>
    <n v="7"/>
  </r>
  <r>
    <x v="9401"/>
    <x v="1880"/>
    <x v="2"/>
    <n v="2"/>
    <n v="10.46"/>
    <x v="290"/>
    <x v="4"/>
    <x v="4"/>
    <n v="20.92"/>
    <m/>
    <m/>
    <n v="5"/>
  </r>
  <r>
    <x v="9402"/>
    <x v="1880"/>
    <x v="6"/>
    <n v="4"/>
    <n v="143.36000000000001"/>
    <x v="137"/>
    <x v="6"/>
    <x v="0"/>
    <n v="573.44000000000005"/>
    <m/>
    <m/>
    <n v="5"/>
  </r>
  <r>
    <x v="9403"/>
    <x v="1880"/>
    <x v="5"/>
    <n v="4"/>
    <n v="2400.6799999999998"/>
    <x v="429"/>
    <x v="0"/>
    <x v="4"/>
    <n v="9602.7199999999993"/>
    <m/>
    <m/>
    <n v="5"/>
  </r>
  <r>
    <x v="9404"/>
    <x v="1881"/>
    <x v="5"/>
    <n v="2"/>
    <n v="1200.3399999999999"/>
    <x v="585"/>
    <x v="8"/>
    <x v="0"/>
    <n v="2400.6799999999998"/>
    <m/>
    <m/>
    <n v="7"/>
  </r>
  <r>
    <x v="9405"/>
    <x v="1882"/>
    <x v="1"/>
    <n v="4"/>
    <n v="162.63999999999999"/>
    <x v="521"/>
    <x v="2"/>
    <x v="4"/>
    <n v="650.55999999999995"/>
    <m/>
    <m/>
    <n v="5"/>
  </r>
  <r>
    <x v="9406"/>
    <x v="1882"/>
    <x v="5"/>
    <n v="1"/>
    <n v="600.16999999999996"/>
    <x v="459"/>
    <x v="3"/>
    <x v="4"/>
    <n v="600.16999999999996"/>
    <m/>
    <m/>
    <n v="5"/>
  </r>
  <r>
    <x v="9407"/>
    <x v="1883"/>
    <x v="5"/>
    <n v="5"/>
    <n v="3000.85"/>
    <x v="101"/>
    <x v="2"/>
    <x v="2"/>
    <n v="15004.25"/>
    <m/>
    <m/>
    <n v="5"/>
  </r>
  <r>
    <x v="9408"/>
    <x v="1883"/>
    <x v="3"/>
    <n v="3"/>
    <n v="45.45"/>
    <x v="502"/>
    <x v="0"/>
    <x v="4"/>
    <n v="136.35000000000002"/>
    <m/>
    <m/>
    <n v="5"/>
  </r>
  <r>
    <x v="9409"/>
    <x v="1883"/>
    <x v="2"/>
    <n v="1"/>
    <n v="5.23"/>
    <x v="691"/>
    <x v="1"/>
    <x v="1"/>
    <n v="5.23"/>
    <m/>
    <m/>
    <n v="7"/>
  </r>
  <r>
    <x v="9410"/>
    <x v="1883"/>
    <x v="0"/>
    <n v="3"/>
    <n v="900.24"/>
    <x v="681"/>
    <x v="0"/>
    <x v="2"/>
    <n v="2700.7200000000003"/>
    <m/>
    <m/>
    <n v="7"/>
  </r>
  <r>
    <x v="9411"/>
    <x v="1883"/>
    <x v="1"/>
    <n v="4"/>
    <n v="162.63999999999999"/>
    <x v="192"/>
    <x v="4"/>
    <x v="4"/>
    <n v="650.55999999999995"/>
    <m/>
    <m/>
    <n v="7"/>
  </r>
  <r>
    <x v="9412"/>
    <x v="1884"/>
    <x v="2"/>
    <n v="2"/>
    <n v="10.46"/>
    <x v="248"/>
    <x v="6"/>
    <x v="1"/>
    <n v="20.92"/>
    <m/>
    <m/>
    <n v="7"/>
  </r>
  <r>
    <x v="9413"/>
    <x v="1884"/>
    <x v="2"/>
    <n v="2"/>
    <n v="10.46"/>
    <x v="376"/>
    <x v="6"/>
    <x v="3"/>
    <n v="20.92"/>
    <m/>
    <m/>
    <n v="7"/>
  </r>
  <r>
    <x v="9414"/>
    <x v="1884"/>
    <x v="0"/>
    <n v="2"/>
    <n v="600.16"/>
    <x v="407"/>
    <x v="1"/>
    <x v="0"/>
    <n v="1200.32"/>
    <m/>
    <m/>
    <n v="7"/>
  </r>
  <r>
    <x v="9415"/>
    <x v="1884"/>
    <x v="0"/>
    <n v="3"/>
    <n v="900.24"/>
    <x v="409"/>
    <x v="8"/>
    <x v="1"/>
    <n v="2700.7200000000003"/>
    <m/>
    <m/>
    <n v="7"/>
  </r>
  <r>
    <x v="9416"/>
    <x v="1885"/>
    <x v="0"/>
    <n v="1"/>
    <n v="300.08"/>
    <x v="295"/>
    <x v="7"/>
    <x v="0"/>
    <n v="300.08"/>
    <m/>
    <m/>
    <n v="5"/>
  </r>
  <r>
    <x v="9417"/>
    <x v="1885"/>
    <x v="5"/>
    <n v="2"/>
    <n v="1200.3399999999999"/>
    <x v="235"/>
    <x v="6"/>
    <x v="2"/>
    <n v="2400.6799999999998"/>
    <m/>
    <m/>
    <n v="7"/>
  </r>
  <r>
    <x v="9418"/>
    <x v="1885"/>
    <x v="0"/>
    <n v="2"/>
    <n v="600.16"/>
    <x v="418"/>
    <x v="6"/>
    <x v="0"/>
    <n v="1200.32"/>
    <m/>
    <m/>
    <n v="7"/>
  </r>
  <r>
    <x v="9419"/>
    <x v="1885"/>
    <x v="7"/>
    <n v="1"/>
    <n v="11.73"/>
    <x v="693"/>
    <x v="0"/>
    <x v="0"/>
    <n v="11.73"/>
    <m/>
    <m/>
    <n v="10"/>
  </r>
  <r>
    <x v="9420"/>
    <x v="1886"/>
    <x v="5"/>
    <n v="3"/>
    <n v="1800.51"/>
    <x v="186"/>
    <x v="6"/>
    <x v="3"/>
    <n v="5401.53"/>
    <m/>
    <m/>
    <n v="5"/>
  </r>
  <r>
    <x v="9421"/>
    <x v="1886"/>
    <x v="3"/>
    <n v="4"/>
    <n v="60.6"/>
    <x v="39"/>
    <x v="4"/>
    <x v="4"/>
    <n v="242.4"/>
    <m/>
    <m/>
    <n v="5"/>
  </r>
  <r>
    <x v="9422"/>
    <x v="1886"/>
    <x v="2"/>
    <n v="4"/>
    <n v="20.92"/>
    <x v="354"/>
    <x v="0"/>
    <x v="3"/>
    <n v="83.68"/>
    <m/>
    <m/>
    <n v="5"/>
  </r>
  <r>
    <x v="9423"/>
    <x v="1886"/>
    <x v="0"/>
    <n v="3"/>
    <n v="900.24"/>
    <x v="647"/>
    <x v="7"/>
    <x v="0"/>
    <n v="2700.7200000000003"/>
    <m/>
    <m/>
    <n v="7"/>
  </r>
  <r>
    <x v="9424"/>
    <x v="1886"/>
    <x v="2"/>
    <n v="3"/>
    <n v="15.69"/>
    <x v="595"/>
    <x v="3"/>
    <x v="1"/>
    <n v="47.07"/>
    <m/>
    <m/>
    <n v="7"/>
  </r>
  <r>
    <x v="9425"/>
    <x v="1886"/>
    <x v="2"/>
    <n v="2"/>
    <n v="10.46"/>
    <x v="470"/>
    <x v="6"/>
    <x v="2"/>
    <n v="20.92"/>
    <m/>
    <m/>
    <n v="7"/>
  </r>
  <r>
    <x v="9426"/>
    <x v="1886"/>
    <x v="7"/>
    <n v="1"/>
    <n v="11.73"/>
    <x v="170"/>
    <x v="0"/>
    <x v="1"/>
    <n v="11.73"/>
    <m/>
    <m/>
    <n v="10"/>
  </r>
  <r>
    <x v="9427"/>
    <x v="1887"/>
    <x v="2"/>
    <n v="3"/>
    <n v="15.69"/>
    <x v="183"/>
    <x v="9"/>
    <x v="3"/>
    <n v="47.07"/>
    <m/>
    <m/>
    <n v="5"/>
  </r>
  <r>
    <x v="9428"/>
    <x v="1887"/>
    <x v="1"/>
    <n v="4"/>
    <n v="162.63999999999999"/>
    <x v="342"/>
    <x v="4"/>
    <x v="4"/>
    <n v="650.55999999999995"/>
    <m/>
    <m/>
    <n v="7"/>
  </r>
  <r>
    <x v="9429"/>
    <x v="1887"/>
    <x v="7"/>
    <n v="4"/>
    <n v="46.92"/>
    <x v="595"/>
    <x v="4"/>
    <x v="0"/>
    <n v="187.68"/>
    <m/>
    <m/>
    <n v="7"/>
  </r>
  <r>
    <x v="9430"/>
    <x v="1887"/>
    <x v="4"/>
    <n v="2"/>
    <n v="2100"/>
    <x v="625"/>
    <x v="7"/>
    <x v="3"/>
    <n v="4200"/>
    <m/>
    <m/>
    <n v="7"/>
  </r>
  <r>
    <x v="9431"/>
    <x v="1887"/>
    <x v="0"/>
    <n v="3"/>
    <n v="900.24"/>
    <x v="451"/>
    <x v="6"/>
    <x v="1"/>
    <n v="2700.7200000000003"/>
    <m/>
    <m/>
    <n v="10"/>
  </r>
  <r>
    <x v="9432"/>
    <x v="1887"/>
    <x v="0"/>
    <n v="4"/>
    <n v="1200.32"/>
    <x v="171"/>
    <x v="4"/>
    <x v="4"/>
    <n v="4801.28"/>
    <m/>
    <m/>
    <n v="10"/>
  </r>
  <r>
    <x v="9433"/>
    <x v="1887"/>
    <x v="2"/>
    <n v="5"/>
    <n v="26.15"/>
    <x v="311"/>
    <x v="2"/>
    <x v="2"/>
    <n v="130.75"/>
    <m/>
    <m/>
    <n v="10"/>
  </r>
  <r>
    <x v="9434"/>
    <x v="1888"/>
    <x v="0"/>
    <n v="4"/>
    <n v="1200.32"/>
    <x v="78"/>
    <x v="1"/>
    <x v="3"/>
    <n v="4801.28"/>
    <m/>
    <m/>
    <n v="5"/>
  </r>
  <r>
    <x v="9435"/>
    <x v="1888"/>
    <x v="7"/>
    <n v="1"/>
    <n v="11.73"/>
    <x v="468"/>
    <x v="0"/>
    <x v="4"/>
    <n v="11.73"/>
    <m/>
    <m/>
    <n v="7"/>
  </r>
  <r>
    <x v="9436"/>
    <x v="1888"/>
    <x v="1"/>
    <n v="2"/>
    <n v="81.319999999999993"/>
    <x v="466"/>
    <x v="1"/>
    <x v="3"/>
    <n v="162.63999999999999"/>
    <m/>
    <m/>
    <n v="7"/>
  </r>
  <r>
    <x v="9437"/>
    <x v="1888"/>
    <x v="6"/>
    <n v="5"/>
    <n v="179.2"/>
    <x v="588"/>
    <x v="0"/>
    <x v="0"/>
    <n v="896"/>
    <m/>
    <m/>
    <n v="7"/>
  </r>
  <r>
    <x v="9438"/>
    <x v="1888"/>
    <x v="0"/>
    <n v="1"/>
    <n v="300.08"/>
    <x v="344"/>
    <x v="0"/>
    <x v="1"/>
    <n v="300.08"/>
    <m/>
    <m/>
    <n v="7"/>
  </r>
  <r>
    <x v="9439"/>
    <x v="1888"/>
    <x v="2"/>
    <n v="4"/>
    <n v="20.92"/>
    <x v="564"/>
    <x v="0"/>
    <x v="0"/>
    <n v="83.68"/>
    <m/>
    <m/>
    <n v="7"/>
  </r>
  <r>
    <x v="9440"/>
    <x v="1888"/>
    <x v="1"/>
    <n v="5"/>
    <n v="203.3"/>
    <x v="53"/>
    <x v="9"/>
    <x v="4"/>
    <n v="1016.5"/>
    <m/>
    <m/>
    <n v="10"/>
  </r>
  <r>
    <x v="9441"/>
    <x v="1889"/>
    <x v="2"/>
    <n v="4"/>
    <n v="20.92"/>
    <x v="245"/>
    <x v="3"/>
    <x v="4"/>
    <n v="83.68"/>
    <m/>
    <m/>
    <n v="5"/>
  </r>
  <r>
    <x v="9442"/>
    <x v="1889"/>
    <x v="0"/>
    <n v="1"/>
    <n v="300.08"/>
    <x v="790"/>
    <x v="8"/>
    <x v="1"/>
    <n v="300.08"/>
    <m/>
    <m/>
    <n v="5"/>
  </r>
  <r>
    <x v="9443"/>
    <x v="1889"/>
    <x v="6"/>
    <n v="2"/>
    <n v="71.680000000000007"/>
    <x v="166"/>
    <x v="6"/>
    <x v="3"/>
    <n v="143.36000000000001"/>
    <m/>
    <m/>
    <n v="5"/>
  </r>
  <r>
    <x v="9444"/>
    <x v="1889"/>
    <x v="5"/>
    <n v="3"/>
    <n v="1800.51"/>
    <x v="531"/>
    <x v="8"/>
    <x v="4"/>
    <n v="5401.53"/>
    <m/>
    <m/>
    <n v="7"/>
  </r>
  <r>
    <x v="9445"/>
    <x v="1889"/>
    <x v="6"/>
    <n v="4"/>
    <n v="143.36000000000001"/>
    <x v="407"/>
    <x v="6"/>
    <x v="2"/>
    <n v="573.44000000000005"/>
    <m/>
    <m/>
    <n v="7"/>
  </r>
  <r>
    <x v="9446"/>
    <x v="1889"/>
    <x v="1"/>
    <n v="5"/>
    <n v="203.3"/>
    <x v="767"/>
    <x v="9"/>
    <x v="0"/>
    <n v="1016.5"/>
    <m/>
    <m/>
    <n v="7"/>
  </r>
  <r>
    <x v="9447"/>
    <x v="1889"/>
    <x v="5"/>
    <n v="2"/>
    <n v="1200.3399999999999"/>
    <x v="200"/>
    <x v="0"/>
    <x v="2"/>
    <n v="2400.6799999999998"/>
    <m/>
    <m/>
    <n v="10"/>
  </r>
  <r>
    <x v="9448"/>
    <x v="1890"/>
    <x v="0"/>
    <n v="1"/>
    <n v="300.08"/>
    <x v="162"/>
    <x v="1"/>
    <x v="1"/>
    <n v="300.08"/>
    <m/>
    <m/>
    <n v="5"/>
  </r>
  <r>
    <x v="9449"/>
    <x v="1890"/>
    <x v="1"/>
    <n v="5"/>
    <n v="203.3"/>
    <x v="627"/>
    <x v="6"/>
    <x v="4"/>
    <n v="1016.5"/>
    <m/>
    <m/>
    <n v="5"/>
  </r>
  <r>
    <x v="9450"/>
    <x v="1890"/>
    <x v="1"/>
    <n v="2"/>
    <n v="81.319999999999993"/>
    <x v="486"/>
    <x v="5"/>
    <x v="0"/>
    <n v="162.63999999999999"/>
    <m/>
    <m/>
    <n v="7"/>
  </r>
  <r>
    <x v="9451"/>
    <x v="1890"/>
    <x v="4"/>
    <n v="4"/>
    <n v="4200"/>
    <x v="625"/>
    <x v="1"/>
    <x v="2"/>
    <n v="16800"/>
    <m/>
    <m/>
    <n v="7"/>
  </r>
  <r>
    <x v="9452"/>
    <x v="1890"/>
    <x v="0"/>
    <n v="1"/>
    <n v="300.08"/>
    <x v="605"/>
    <x v="6"/>
    <x v="3"/>
    <n v="300.08"/>
    <m/>
    <m/>
    <n v="7"/>
  </r>
  <r>
    <x v="9453"/>
    <x v="1890"/>
    <x v="2"/>
    <n v="3"/>
    <n v="15.69"/>
    <x v="783"/>
    <x v="6"/>
    <x v="0"/>
    <n v="47.07"/>
    <m/>
    <m/>
    <n v="7"/>
  </r>
  <r>
    <x v="9454"/>
    <x v="1890"/>
    <x v="2"/>
    <n v="1"/>
    <n v="5.23"/>
    <x v="693"/>
    <x v="5"/>
    <x v="0"/>
    <n v="5.23"/>
    <m/>
    <m/>
    <n v="10"/>
  </r>
  <r>
    <x v="9455"/>
    <x v="1891"/>
    <x v="7"/>
    <n v="1"/>
    <n v="11.73"/>
    <x v="789"/>
    <x v="4"/>
    <x v="0"/>
    <n v="11.73"/>
    <m/>
    <m/>
    <n v="5"/>
  </r>
  <r>
    <x v="9456"/>
    <x v="1891"/>
    <x v="0"/>
    <n v="4"/>
    <n v="1200.32"/>
    <x v="328"/>
    <x v="1"/>
    <x v="1"/>
    <n v="4801.28"/>
    <m/>
    <m/>
    <n v="5"/>
  </r>
  <r>
    <x v="9457"/>
    <x v="1891"/>
    <x v="1"/>
    <n v="1"/>
    <n v="40.659999999999997"/>
    <x v="468"/>
    <x v="0"/>
    <x v="2"/>
    <n v="40.659999999999997"/>
    <m/>
    <m/>
    <n v="7"/>
  </r>
  <r>
    <x v="9458"/>
    <x v="1891"/>
    <x v="0"/>
    <n v="5"/>
    <n v="1500.4"/>
    <x v="747"/>
    <x v="4"/>
    <x v="1"/>
    <n v="7502"/>
    <m/>
    <m/>
    <n v="7"/>
  </r>
  <r>
    <x v="9459"/>
    <x v="1891"/>
    <x v="0"/>
    <n v="1"/>
    <n v="300.08"/>
    <x v="630"/>
    <x v="0"/>
    <x v="4"/>
    <n v="300.08"/>
    <m/>
    <m/>
    <n v="7"/>
  </r>
  <r>
    <x v="9460"/>
    <x v="1892"/>
    <x v="1"/>
    <n v="2"/>
    <n v="81.319999999999993"/>
    <x v="313"/>
    <x v="1"/>
    <x v="0"/>
    <n v="162.63999999999999"/>
    <m/>
    <m/>
    <n v="5"/>
  </r>
  <r>
    <x v="9461"/>
    <x v="1892"/>
    <x v="4"/>
    <n v="4"/>
    <n v="4200"/>
    <x v="697"/>
    <x v="6"/>
    <x v="4"/>
    <n v="16800"/>
    <m/>
    <m/>
    <n v="5"/>
  </r>
  <r>
    <x v="9462"/>
    <x v="1892"/>
    <x v="0"/>
    <n v="1"/>
    <n v="300.08"/>
    <x v="281"/>
    <x v="1"/>
    <x v="3"/>
    <n v="300.08"/>
    <m/>
    <m/>
    <n v="7"/>
  </r>
  <r>
    <x v="9463"/>
    <x v="1892"/>
    <x v="7"/>
    <n v="2"/>
    <n v="23.46"/>
    <x v="427"/>
    <x v="2"/>
    <x v="0"/>
    <n v="46.92"/>
    <m/>
    <m/>
    <n v="7"/>
  </r>
  <r>
    <x v="9464"/>
    <x v="1892"/>
    <x v="5"/>
    <n v="2"/>
    <n v="1200.3399999999999"/>
    <x v="634"/>
    <x v="0"/>
    <x v="4"/>
    <n v="2400.6799999999998"/>
    <m/>
    <m/>
    <n v="7"/>
  </r>
  <r>
    <x v="9465"/>
    <x v="1892"/>
    <x v="2"/>
    <n v="2"/>
    <n v="10.46"/>
    <x v="344"/>
    <x v="6"/>
    <x v="2"/>
    <n v="20.92"/>
    <m/>
    <m/>
    <n v="7"/>
  </r>
  <r>
    <x v="9466"/>
    <x v="1892"/>
    <x v="0"/>
    <n v="3"/>
    <n v="900.24"/>
    <x v="67"/>
    <x v="4"/>
    <x v="4"/>
    <n v="2700.7200000000003"/>
    <m/>
    <m/>
    <n v="7"/>
  </r>
  <r>
    <x v="9467"/>
    <x v="1892"/>
    <x v="0"/>
    <n v="2"/>
    <n v="600.16"/>
    <x v="237"/>
    <x v="9"/>
    <x v="1"/>
    <n v="1200.32"/>
    <m/>
    <m/>
    <n v="7"/>
  </r>
  <r>
    <x v="9468"/>
    <x v="1893"/>
    <x v="0"/>
    <n v="1"/>
    <n v="300.08"/>
    <x v="104"/>
    <x v="3"/>
    <x v="2"/>
    <n v="300.08"/>
    <m/>
    <m/>
    <n v="5"/>
  </r>
  <r>
    <x v="9469"/>
    <x v="1893"/>
    <x v="0"/>
    <n v="5"/>
    <n v="1500.4"/>
    <x v="725"/>
    <x v="6"/>
    <x v="1"/>
    <n v="7502"/>
    <m/>
    <m/>
    <n v="5"/>
  </r>
  <r>
    <x v="9470"/>
    <x v="1893"/>
    <x v="1"/>
    <n v="5"/>
    <n v="203.3"/>
    <x v="135"/>
    <x v="9"/>
    <x v="0"/>
    <n v="1016.5"/>
    <m/>
    <m/>
    <n v="7"/>
  </r>
  <r>
    <x v="9471"/>
    <x v="1893"/>
    <x v="1"/>
    <n v="2"/>
    <n v="81.319999999999993"/>
    <x v="592"/>
    <x v="1"/>
    <x v="1"/>
    <n v="162.63999999999999"/>
    <m/>
    <m/>
    <n v="7"/>
  </r>
  <r>
    <x v="9472"/>
    <x v="1894"/>
    <x v="0"/>
    <n v="2"/>
    <n v="600.16"/>
    <x v="695"/>
    <x v="1"/>
    <x v="1"/>
    <n v="1200.32"/>
    <m/>
    <m/>
    <n v="5"/>
  </r>
  <r>
    <x v="9473"/>
    <x v="1894"/>
    <x v="0"/>
    <n v="4"/>
    <n v="1200.32"/>
    <x v="516"/>
    <x v="0"/>
    <x v="1"/>
    <n v="4801.28"/>
    <m/>
    <m/>
    <n v="7"/>
  </r>
  <r>
    <x v="9474"/>
    <x v="1894"/>
    <x v="1"/>
    <n v="3"/>
    <n v="121.98"/>
    <x v="6"/>
    <x v="0"/>
    <x v="4"/>
    <n v="365.94"/>
    <m/>
    <m/>
    <n v="7"/>
  </r>
  <r>
    <x v="9475"/>
    <x v="1894"/>
    <x v="3"/>
    <n v="4"/>
    <n v="60.6"/>
    <x v="153"/>
    <x v="4"/>
    <x v="3"/>
    <n v="242.4"/>
    <m/>
    <m/>
    <n v="7"/>
  </r>
  <r>
    <x v="9476"/>
    <x v="1894"/>
    <x v="1"/>
    <n v="2"/>
    <n v="81.319999999999993"/>
    <x v="581"/>
    <x v="9"/>
    <x v="1"/>
    <n v="162.63999999999999"/>
    <m/>
    <m/>
    <n v="7"/>
  </r>
  <r>
    <x v="9477"/>
    <x v="1894"/>
    <x v="0"/>
    <n v="4"/>
    <n v="1200.32"/>
    <x v="603"/>
    <x v="6"/>
    <x v="1"/>
    <n v="4801.28"/>
    <m/>
    <m/>
    <n v="7"/>
  </r>
  <r>
    <x v="9478"/>
    <x v="1894"/>
    <x v="2"/>
    <n v="4"/>
    <n v="20.92"/>
    <x v="444"/>
    <x v="5"/>
    <x v="2"/>
    <n v="83.68"/>
    <m/>
    <m/>
    <n v="7"/>
  </r>
  <r>
    <x v="9479"/>
    <x v="1895"/>
    <x v="5"/>
    <n v="4"/>
    <n v="2400.6799999999998"/>
    <x v="115"/>
    <x v="8"/>
    <x v="1"/>
    <n v="9602.7199999999993"/>
    <m/>
    <m/>
    <n v="5"/>
  </r>
  <r>
    <x v="9480"/>
    <x v="1895"/>
    <x v="0"/>
    <n v="3"/>
    <n v="900.24"/>
    <x v="91"/>
    <x v="6"/>
    <x v="0"/>
    <n v="2700.7200000000003"/>
    <m/>
    <m/>
    <n v="5"/>
  </r>
  <r>
    <x v="9481"/>
    <x v="1895"/>
    <x v="0"/>
    <n v="1"/>
    <n v="300.08"/>
    <x v="404"/>
    <x v="0"/>
    <x v="4"/>
    <n v="300.08"/>
    <m/>
    <m/>
    <n v="7"/>
  </r>
  <r>
    <x v="9482"/>
    <x v="1896"/>
    <x v="6"/>
    <n v="3"/>
    <n v="107.52"/>
    <x v="172"/>
    <x v="6"/>
    <x v="2"/>
    <n v="322.56"/>
    <m/>
    <m/>
    <n v="5"/>
  </r>
  <r>
    <x v="9483"/>
    <x v="1896"/>
    <x v="0"/>
    <n v="2"/>
    <n v="600.16"/>
    <x v="638"/>
    <x v="6"/>
    <x v="0"/>
    <n v="1200.32"/>
    <m/>
    <m/>
    <n v="5"/>
  </r>
  <r>
    <x v="9484"/>
    <x v="1896"/>
    <x v="2"/>
    <n v="2"/>
    <n v="10.46"/>
    <x v="628"/>
    <x v="0"/>
    <x v="4"/>
    <n v="20.92"/>
    <m/>
    <m/>
    <n v="10"/>
  </r>
  <r>
    <x v="9485"/>
    <x v="1897"/>
    <x v="5"/>
    <n v="4"/>
    <n v="2400.6799999999998"/>
    <x v="694"/>
    <x v="6"/>
    <x v="1"/>
    <n v="9602.7199999999993"/>
    <m/>
    <m/>
    <n v="5"/>
  </r>
  <r>
    <x v="9486"/>
    <x v="1897"/>
    <x v="0"/>
    <n v="5"/>
    <n v="1500.4"/>
    <x v="265"/>
    <x v="4"/>
    <x v="1"/>
    <n v="7502"/>
    <m/>
    <m/>
    <n v="5"/>
  </r>
  <r>
    <x v="9487"/>
    <x v="1897"/>
    <x v="0"/>
    <n v="3"/>
    <n v="900.24"/>
    <x v="209"/>
    <x v="9"/>
    <x v="1"/>
    <n v="2700.7200000000003"/>
    <m/>
    <m/>
    <n v="7"/>
  </r>
  <r>
    <x v="9488"/>
    <x v="1897"/>
    <x v="0"/>
    <n v="5"/>
    <n v="1500.4"/>
    <x v="519"/>
    <x v="4"/>
    <x v="0"/>
    <n v="7502"/>
    <m/>
    <m/>
    <n v="10"/>
  </r>
  <r>
    <x v="9489"/>
    <x v="1897"/>
    <x v="1"/>
    <n v="4"/>
    <n v="162.63999999999999"/>
    <x v="171"/>
    <x v="3"/>
    <x v="1"/>
    <n v="650.55999999999995"/>
    <m/>
    <m/>
    <n v="10"/>
  </r>
  <r>
    <x v="9490"/>
    <x v="1898"/>
    <x v="0"/>
    <n v="4"/>
    <n v="1200.32"/>
    <x v="46"/>
    <x v="1"/>
    <x v="0"/>
    <n v="4801.28"/>
    <m/>
    <m/>
    <n v="5"/>
  </r>
  <r>
    <x v="9491"/>
    <x v="1898"/>
    <x v="6"/>
    <n v="2"/>
    <n v="71.680000000000007"/>
    <x v="652"/>
    <x v="5"/>
    <x v="4"/>
    <n v="143.36000000000001"/>
    <m/>
    <m/>
    <n v="5"/>
  </r>
  <r>
    <x v="9492"/>
    <x v="1898"/>
    <x v="2"/>
    <n v="4"/>
    <n v="20.92"/>
    <x v="559"/>
    <x v="6"/>
    <x v="4"/>
    <n v="83.68"/>
    <m/>
    <m/>
    <n v="7"/>
  </r>
  <r>
    <x v="9493"/>
    <x v="1898"/>
    <x v="3"/>
    <n v="4"/>
    <n v="60.6"/>
    <x v="796"/>
    <x v="4"/>
    <x v="0"/>
    <n v="242.4"/>
    <m/>
    <m/>
    <n v="7"/>
  </r>
  <r>
    <x v="9494"/>
    <x v="1898"/>
    <x v="0"/>
    <n v="5"/>
    <n v="1500.4"/>
    <x v="649"/>
    <x v="6"/>
    <x v="1"/>
    <n v="7502"/>
    <m/>
    <m/>
    <n v="7"/>
  </r>
  <r>
    <x v="9495"/>
    <x v="1899"/>
    <x v="0"/>
    <n v="4"/>
    <n v="1200.32"/>
    <x v="64"/>
    <x v="6"/>
    <x v="3"/>
    <n v="4801.28"/>
    <m/>
    <m/>
    <n v="5"/>
  </r>
  <r>
    <x v="9496"/>
    <x v="1899"/>
    <x v="3"/>
    <n v="1"/>
    <n v="15.15"/>
    <x v="78"/>
    <x v="5"/>
    <x v="1"/>
    <n v="15.15"/>
    <m/>
    <m/>
    <n v="5"/>
  </r>
  <r>
    <x v="9497"/>
    <x v="1899"/>
    <x v="2"/>
    <n v="2"/>
    <n v="10.46"/>
    <x v="285"/>
    <x v="6"/>
    <x v="4"/>
    <n v="20.92"/>
    <m/>
    <m/>
    <n v="5"/>
  </r>
  <r>
    <x v="9498"/>
    <x v="1899"/>
    <x v="5"/>
    <n v="2"/>
    <n v="1200.3399999999999"/>
    <x v="763"/>
    <x v="1"/>
    <x v="4"/>
    <n v="2400.6799999999998"/>
    <m/>
    <m/>
    <n v="5"/>
  </r>
  <r>
    <x v="9499"/>
    <x v="1899"/>
    <x v="0"/>
    <n v="1"/>
    <n v="300.08"/>
    <x v="435"/>
    <x v="0"/>
    <x v="3"/>
    <n v="300.08"/>
    <m/>
    <m/>
    <n v="5"/>
  </r>
  <r>
    <x v="9500"/>
    <x v="1899"/>
    <x v="2"/>
    <n v="3"/>
    <n v="15.69"/>
    <x v="660"/>
    <x v="1"/>
    <x v="2"/>
    <n v="47.07"/>
    <m/>
    <m/>
    <n v="7"/>
  </r>
  <r>
    <x v="9501"/>
    <x v="1899"/>
    <x v="0"/>
    <n v="2"/>
    <n v="600.16"/>
    <x v="577"/>
    <x v="4"/>
    <x v="2"/>
    <n v="1200.32"/>
    <m/>
    <m/>
    <n v="7"/>
  </r>
  <r>
    <x v="9502"/>
    <x v="1899"/>
    <x v="0"/>
    <n v="2"/>
    <n v="600.16"/>
    <x v="216"/>
    <x v="0"/>
    <x v="3"/>
    <n v="1200.32"/>
    <m/>
    <m/>
    <n v="10"/>
  </r>
  <r>
    <x v="9503"/>
    <x v="1900"/>
    <x v="1"/>
    <n v="2"/>
    <n v="81.319999999999993"/>
    <x v="306"/>
    <x v="6"/>
    <x v="4"/>
    <n v="162.63999999999999"/>
    <m/>
    <m/>
    <n v="5"/>
  </r>
  <r>
    <x v="9504"/>
    <x v="1900"/>
    <x v="2"/>
    <n v="4"/>
    <n v="20.92"/>
    <x v="17"/>
    <x v="4"/>
    <x v="2"/>
    <n v="83.68"/>
    <m/>
    <m/>
    <n v="5"/>
  </r>
  <r>
    <x v="9505"/>
    <x v="1900"/>
    <x v="2"/>
    <n v="2"/>
    <n v="10.46"/>
    <x v="375"/>
    <x v="9"/>
    <x v="1"/>
    <n v="20.92"/>
    <m/>
    <m/>
    <n v="5"/>
  </r>
  <r>
    <x v="9506"/>
    <x v="1900"/>
    <x v="0"/>
    <n v="5"/>
    <n v="1500.4"/>
    <x v="44"/>
    <x v="0"/>
    <x v="2"/>
    <n v="7502"/>
    <m/>
    <m/>
    <n v="7"/>
  </r>
  <r>
    <x v="9507"/>
    <x v="1900"/>
    <x v="1"/>
    <n v="4"/>
    <n v="162.63999999999999"/>
    <x v="684"/>
    <x v="8"/>
    <x v="1"/>
    <n v="650.55999999999995"/>
    <m/>
    <m/>
    <n v="7"/>
  </r>
  <r>
    <x v="9508"/>
    <x v="1900"/>
    <x v="2"/>
    <n v="1"/>
    <n v="5.23"/>
    <x v="88"/>
    <x v="6"/>
    <x v="1"/>
    <n v="5.23"/>
    <m/>
    <m/>
    <n v="7"/>
  </r>
  <r>
    <x v="9509"/>
    <x v="1900"/>
    <x v="0"/>
    <n v="2"/>
    <n v="600.16"/>
    <x v="205"/>
    <x v="5"/>
    <x v="0"/>
    <n v="1200.32"/>
    <m/>
    <m/>
    <n v="7"/>
  </r>
  <r>
    <x v="9510"/>
    <x v="1900"/>
    <x v="0"/>
    <n v="3"/>
    <n v="900.24"/>
    <x v="227"/>
    <x v="1"/>
    <x v="1"/>
    <n v="2700.7200000000003"/>
    <m/>
    <m/>
    <n v="7"/>
  </r>
  <r>
    <x v="9511"/>
    <x v="1901"/>
    <x v="0"/>
    <n v="2"/>
    <n v="600.16"/>
    <x v="750"/>
    <x v="5"/>
    <x v="2"/>
    <n v="1200.32"/>
    <m/>
    <m/>
    <n v="5"/>
  </r>
  <r>
    <x v="9512"/>
    <x v="1901"/>
    <x v="7"/>
    <n v="4"/>
    <n v="46.92"/>
    <x v="378"/>
    <x v="1"/>
    <x v="2"/>
    <n v="187.68"/>
    <m/>
    <m/>
    <n v="7"/>
  </r>
  <r>
    <x v="9513"/>
    <x v="1902"/>
    <x v="0"/>
    <n v="3"/>
    <n v="900.24"/>
    <x v="57"/>
    <x v="6"/>
    <x v="0"/>
    <n v="2700.7200000000003"/>
    <m/>
    <m/>
    <n v="5"/>
  </r>
  <r>
    <x v="9514"/>
    <x v="1902"/>
    <x v="5"/>
    <n v="1"/>
    <n v="600.16999999999996"/>
    <x v="688"/>
    <x v="9"/>
    <x v="0"/>
    <n v="600.16999999999996"/>
    <m/>
    <m/>
    <n v="5"/>
  </r>
  <r>
    <x v="9515"/>
    <x v="1902"/>
    <x v="4"/>
    <n v="3"/>
    <n v="3150"/>
    <x v="728"/>
    <x v="1"/>
    <x v="3"/>
    <n v="9450"/>
    <m/>
    <m/>
    <n v="5"/>
  </r>
  <r>
    <x v="9516"/>
    <x v="1903"/>
    <x v="5"/>
    <n v="2"/>
    <n v="1200.3399999999999"/>
    <x v="572"/>
    <x v="1"/>
    <x v="4"/>
    <n v="2400.6799999999998"/>
    <m/>
    <m/>
    <n v="7"/>
  </r>
  <r>
    <x v="9517"/>
    <x v="1903"/>
    <x v="1"/>
    <n v="2"/>
    <n v="81.319999999999993"/>
    <x v="346"/>
    <x v="2"/>
    <x v="4"/>
    <n v="162.63999999999999"/>
    <m/>
    <m/>
    <n v="7"/>
  </r>
  <r>
    <x v="9518"/>
    <x v="1904"/>
    <x v="0"/>
    <n v="4"/>
    <n v="1200.32"/>
    <x v="408"/>
    <x v="0"/>
    <x v="0"/>
    <n v="4801.28"/>
    <m/>
    <m/>
    <n v="5"/>
  </r>
  <r>
    <x v="9519"/>
    <x v="1904"/>
    <x v="0"/>
    <n v="3"/>
    <n v="900.24"/>
    <x v="653"/>
    <x v="1"/>
    <x v="3"/>
    <n v="2700.7200000000003"/>
    <m/>
    <m/>
    <n v="5"/>
  </r>
  <r>
    <x v="9520"/>
    <x v="1904"/>
    <x v="0"/>
    <n v="1"/>
    <n v="300.08"/>
    <x v="632"/>
    <x v="8"/>
    <x v="4"/>
    <n v="300.08"/>
    <m/>
    <m/>
    <n v="5"/>
  </r>
  <r>
    <x v="9521"/>
    <x v="1904"/>
    <x v="0"/>
    <n v="3"/>
    <n v="900.24"/>
    <x v="720"/>
    <x v="5"/>
    <x v="1"/>
    <n v="2700.7200000000003"/>
    <m/>
    <m/>
    <n v="5"/>
  </r>
  <r>
    <x v="9522"/>
    <x v="1904"/>
    <x v="0"/>
    <n v="4"/>
    <n v="1200.32"/>
    <x v="577"/>
    <x v="0"/>
    <x v="3"/>
    <n v="4801.28"/>
    <m/>
    <m/>
    <n v="7"/>
  </r>
  <r>
    <x v="9523"/>
    <x v="1904"/>
    <x v="0"/>
    <n v="3"/>
    <n v="900.24"/>
    <x v="368"/>
    <x v="0"/>
    <x v="2"/>
    <n v="2700.7200000000003"/>
    <m/>
    <m/>
    <n v="7"/>
  </r>
  <r>
    <x v="9524"/>
    <x v="1904"/>
    <x v="2"/>
    <n v="5"/>
    <n v="26.15"/>
    <x v="783"/>
    <x v="0"/>
    <x v="3"/>
    <n v="130.75"/>
    <m/>
    <m/>
    <n v="7"/>
  </r>
  <r>
    <x v="9525"/>
    <x v="1904"/>
    <x v="0"/>
    <n v="5"/>
    <n v="1500.4"/>
    <x v="214"/>
    <x v="0"/>
    <x v="1"/>
    <n v="7502"/>
    <m/>
    <m/>
    <n v="7"/>
  </r>
  <r>
    <x v="9526"/>
    <x v="1905"/>
    <x v="1"/>
    <n v="5"/>
    <n v="203.3"/>
    <x v="65"/>
    <x v="3"/>
    <x v="2"/>
    <n v="1016.5"/>
    <m/>
    <m/>
    <n v="5"/>
  </r>
  <r>
    <x v="9527"/>
    <x v="1905"/>
    <x v="2"/>
    <n v="1"/>
    <n v="5.23"/>
    <x v="207"/>
    <x v="1"/>
    <x v="3"/>
    <n v="5.23"/>
    <m/>
    <m/>
    <n v="5"/>
  </r>
  <r>
    <x v="9528"/>
    <x v="1905"/>
    <x v="0"/>
    <n v="4"/>
    <n v="1200.32"/>
    <x v="387"/>
    <x v="4"/>
    <x v="1"/>
    <n v="4801.28"/>
    <m/>
    <m/>
    <n v="5"/>
  </r>
  <r>
    <x v="9529"/>
    <x v="1905"/>
    <x v="0"/>
    <n v="5"/>
    <n v="1500.4"/>
    <x v="114"/>
    <x v="0"/>
    <x v="2"/>
    <n v="7502"/>
    <m/>
    <m/>
    <n v="7"/>
  </r>
  <r>
    <x v="9530"/>
    <x v="1905"/>
    <x v="2"/>
    <n v="3"/>
    <n v="15.69"/>
    <x v="781"/>
    <x v="6"/>
    <x v="4"/>
    <n v="47.07"/>
    <m/>
    <m/>
    <n v="10"/>
  </r>
  <r>
    <x v="9531"/>
    <x v="1906"/>
    <x v="2"/>
    <n v="2"/>
    <n v="10.46"/>
    <x v="186"/>
    <x v="4"/>
    <x v="1"/>
    <n v="20.92"/>
    <m/>
    <m/>
    <n v="5"/>
  </r>
  <r>
    <x v="9532"/>
    <x v="1906"/>
    <x v="4"/>
    <n v="4"/>
    <n v="4200"/>
    <x v="312"/>
    <x v="6"/>
    <x v="2"/>
    <n v="16800"/>
    <m/>
    <m/>
    <n v="5"/>
  </r>
  <r>
    <x v="9533"/>
    <x v="1906"/>
    <x v="0"/>
    <n v="5"/>
    <n v="1500.4"/>
    <x v="204"/>
    <x v="9"/>
    <x v="0"/>
    <n v="7502"/>
    <m/>
    <m/>
    <n v="5"/>
  </r>
  <r>
    <x v="9534"/>
    <x v="1906"/>
    <x v="1"/>
    <n v="2"/>
    <n v="81.319999999999993"/>
    <x v="82"/>
    <x v="6"/>
    <x v="2"/>
    <n v="162.63999999999999"/>
    <m/>
    <m/>
    <n v="5"/>
  </r>
  <r>
    <x v="9535"/>
    <x v="1906"/>
    <x v="0"/>
    <n v="1"/>
    <n v="300.08"/>
    <x v="748"/>
    <x v="6"/>
    <x v="3"/>
    <n v="300.08"/>
    <m/>
    <m/>
    <n v="7"/>
  </r>
  <r>
    <x v="9536"/>
    <x v="1906"/>
    <x v="7"/>
    <n v="4"/>
    <n v="46.92"/>
    <x v="439"/>
    <x v="0"/>
    <x v="3"/>
    <n v="187.68"/>
    <m/>
    <m/>
    <n v="7"/>
  </r>
  <r>
    <x v="9537"/>
    <x v="1906"/>
    <x v="0"/>
    <n v="4"/>
    <n v="1200.32"/>
    <x v="712"/>
    <x v="6"/>
    <x v="1"/>
    <n v="4801.28"/>
    <m/>
    <m/>
    <n v="7"/>
  </r>
  <r>
    <x v="9538"/>
    <x v="1906"/>
    <x v="2"/>
    <n v="4"/>
    <n v="20.92"/>
    <x v="211"/>
    <x v="0"/>
    <x v="1"/>
    <n v="83.68"/>
    <m/>
    <m/>
    <n v="10"/>
  </r>
  <r>
    <x v="9539"/>
    <x v="1907"/>
    <x v="0"/>
    <n v="3"/>
    <n v="900.24"/>
    <x v="627"/>
    <x v="2"/>
    <x v="4"/>
    <n v="2700.7200000000003"/>
    <m/>
    <m/>
    <n v="5"/>
  </r>
  <r>
    <x v="9540"/>
    <x v="1907"/>
    <x v="1"/>
    <n v="1"/>
    <n v="40.659999999999997"/>
    <x v="335"/>
    <x v="1"/>
    <x v="2"/>
    <n v="40.659999999999997"/>
    <m/>
    <m/>
    <n v="5"/>
  </r>
  <r>
    <x v="9541"/>
    <x v="1907"/>
    <x v="0"/>
    <n v="1"/>
    <n v="300.08"/>
    <x v="689"/>
    <x v="9"/>
    <x v="4"/>
    <n v="300.08"/>
    <m/>
    <m/>
    <n v="7"/>
  </r>
  <r>
    <x v="9542"/>
    <x v="1907"/>
    <x v="0"/>
    <n v="3"/>
    <n v="900.24"/>
    <x v="56"/>
    <x v="1"/>
    <x v="4"/>
    <n v="2700.7200000000003"/>
    <m/>
    <m/>
    <n v="7"/>
  </r>
  <r>
    <x v="9543"/>
    <x v="1907"/>
    <x v="2"/>
    <n v="4"/>
    <n v="20.92"/>
    <x v="718"/>
    <x v="1"/>
    <x v="1"/>
    <n v="83.68"/>
    <m/>
    <m/>
    <n v="7"/>
  </r>
  <r>
    <x v="9544"/>
    <x v="1908"/>
    <x v="5"/>
    <n v="1"/>
    <n v="600.16999999999996"/>
    <x v="158"/>
    <x v="3"/>
    <x v="3"/>
    <n v="600.16999999999996"/>
    <m/>
    <m/>
    <n v="5"/>
  </r>
  <r>
    <x v="9545"/>
    <x v="1908"/>
    <x v="6"/>
    <n v="3"/>
    <n v="107.52"/>
    <x v="667"/>
    <x v="6"/>
    <x v="0"/>
    <n v="322.56"/>
    <m/>
    <m/>
    <n v="7"/>
  </r>
  <r>
    <x v="9546"/>
    <x v="1909"/>
    <x v="0"/>
    <n v="4"/>
    <n v="1200.32"/>
    <x v="84"/>
    <x v="0"/>
    <x v="0"/>
    <n v="4801.28"/>
    <m/>
    <m/>
    <n v="5"/>
  </r>
  <r>
    <x v="9547"/>
    <x v="1909"/>
    <x v="2"/>
    <n v="4"/>
    <n v="20.92"/>
    <x v="497"/>
    <x v="9"/>
    <x v="0"/>
    <n v="83.68"/>
    <m/>
    <m/>
    <n v="5"/>
  </r>
  <r>
    <x v="9548"/>
    <x v="1909"/>
    <x v="3"/>
    <n v="5"/>
    <n v="75.75"/>
    <x v="149"/>
    <x v="2"/>
    <x v="4"/>
    <n v="378.75"/>
    <m/>
    <m/>
    <n v="5"/>
  </r>
  <r>
    <x v="9549"/>
    <x v="1909"/>
    <x v="0"/>
    <n v="3"/>
    <n v="900.24"/>
    <x v="677"/>
    <x v="0"/>
    <x v="4"/>
    <n v="2700.7200000000003"/>
    <m/>
    <m/>
    <n v="5"/>
  </r>
  <r>
    <x v="9550"/>
    <x v="1909"/>
    <x v="3"/>
    <n v="2"/>
    <n v="30.3"/>
    <x v="50"/>
    <x v="0"/>
    <x v="4"/>
    <n v="60.6"/>
    <m/>
    <m/>
    <n v="10"/>
  </r>
  <r>
    <x v="9551"/>
    <x v="1910"/>
    <x v="6"/>
    <n v="3"/>
    <n v="107.52"/>
    <x v="477"/>
    <x v="9"/>
    <x v="0"/>
    <n v="322.56"/>
    <m/>
    <m/>
    <n v="5"/>
  </r>
  <r>
    <x v="9552"/>
    <x v="1911"/>
    <x v="2"/>
    <n v="5"/>
    <n v="26.15"/>
    <x v="563"/>
    <x v="7"/>
    <x v="0"/>
    <n v="130.75"/>
    <m/>
    <m/>
    <n v="5"/>
  </r>
  <r>
    <x v="9553"/>
    <x v="1911"/>
    <x v="2"/>
    <n v="5"/>
    <n v="26.15"/>
    <x v="724"/>
    <x v="6"/>
    <x v="0"/>
    <n v="130.75"/>
    <m/>
    <m/>
    <n v="5"/>
  </r>
  <r>
    <x v="9554"/>
    <x v="1911"/>
    <x v="1"/>
    <n v="2"/>
    <n v="81.319999999999993"/>
    <x v="341"/>
    <x v="6"/>
    <x v="3"/>
    <n v="162.63999999999999"/>
    <m/>
    <m/>
    <n v="5"/>
  </r>
  <r>
    <x v="9555"/>
    <x v="1911"/>
    <x v="2"/>
    <n v="5"/>
    <n v="26.15"/>
    <x v="766"/>
    <x v="1"/>
    <x v="4"/>
    <n v="130.75"/>
    <m/>
    <m/>
    <n v="5"/>
  </r>
  <r>
    <x v="9556"/>
    <x v="1911"/>
    <x v="0"/>
    <n v="3"/>
    <n v="900.24"/>
    <x v="596"/>
    <x v="4"/>
    <x v="4"/>
    <n v="2700.7200000000003"/>
    <m/>
    <m/>
    <n v="7"/>
  </r>
  <r>
    <x v="9557"/>
    <x v="1911"/>
    <x v="1"/>
    <n v="3"/>
    <n v="121.98"/>
    <x v="506"/>
    <x v="5"/>
    <x v="4"/>
    <n v="365.94"/>
    <m/>
    <m/>
    <n v="7"/>
  </r>
  <r>
    <x v="9558"/>
    <x v="1911"/>
    <x v="5"/>
    <n v="4"/>
    <n v="2400.6799999999998"/>
    <x v="71"/>
    <x v="9"/>
    <x v="3"/>
    <n v="9602.7199999999993"/>
    <m/>
    <m/>
    <n v="10"/>
  </r>
  <r>
    <x v="9559"/>
    <x v="1912"/>
    <x v="0"/>
    <n v="1"/>
    <n v="300.08"/>
    <x v="605"/>
    <x v="9"/>
    <x v="4"/>
    <n v="300.08"/>
    <m/>
    <m/>
    <n v="7"/>
  </r>
  <r>
    <x v="9560"/>
    <x v="1913"/>
    <x v="0"/>
    <n v="5"/>
    <n v="1500.4"/>
    <x v="175"/>
    <x v="6"/>
    <x v="0"/>
    <n v="7502"/>
    <m/>
    <m/>
    <n v="5"/>
  </r>
  <r>
    <x v="9561"/>
    <x v="1913"/>
    <x v="1"/>
    <n v="4"/>
    <n v="162.63999999999999"/>
    <x v="728"/>
    <x v="8"/>
    <x v="2"/>
    <n v="650.55999999999995"/>
    <m/>
    <m/>
    <n v="5"/>
  </r>
  <r>
    <x v="9562"/>
    <x v="1913"/>
    <x v="0"/>
    <n v="5"/>
    <n v="1500.4"/>
    <x v="523"/>
    <x v="4"/>
    <x v="0"/>
    <n v="7502"/>
    <m/>
    <m/>
    <n v="7"/>
  </r>
  <r>
    <x v="9563"/>
    <x v="1913"/>
    <x v="1"/>
    <n v="4"/>
    <n v="162.63999999999999"/>
    <x v="251"/>
    <x v="8"/>
    <x v="2"/>
    <n v="650.55999999999995"/>
    <m/>
    <m/>
    <n v="10"/>
  </r>
  <r>
    <x v="9564"/>
    <x v="1914"/>
    <x v="0"/>
    <n v="2"/>
    <n v="600.16"/>
    <x v="341"/>
    <x v="6"/>
    <x v="0"/>
    <n v="1200.32"/>
    <m/>
    <m/>
    <n v="5"/>
  </r>
  <r>
    <x v="9565"/>
    <x v="1914"/>
    <x v="0"/>
    <n v="5"/>
    <n v="1500.4"/>
    <x v="452"/>
    <x v="6"/>
    <x v="2"/>
    <n v="7502"/>
    <m/>
    <m/>
    <n v="10"/>
  </r>
  <r>
    <x v="9566"/>
    <x v="1915"/>
    <x v="0"/>
    <n v="1"/>
    <n v="300.08"/>
    <x v="205"/>
    <x v="6"/>
    <x v="1"/>
    <n v="300.08"/>
    <m/>
    <m/>
    <n v="7"/>
  </r>
  <r>
    <x v="9567"/>
    <x v="1915"/>
    <x v="6"/>
    <n v="3"/>
    <n v="107.52"/>
    <x v="111"/>
    <x v="0"/>
    <x v="1"/>
    <n v="322.56"/>
    <m/>
    <m/>
    <n v="7"/>
  </r>
  <r>
    <x v="9568"/>
    <x v="1915"/>
    <x v="2"/>
    <n v="3"/>
    <n v="15.69"/>
    <x v="378"/>
    <x v="2"/>
    <x v="0"/>
    <n v="47.07"/>
    <m/>
    <m/>
    <n v="7"/>
  </r>
  <r>
    <x v="9569"/>
    <x v="1916"/>
    <x v="0"/>
    <n v="4"/>
    <n v="1200.32"/>
    <x v="676"/>
    <x v="4"/>
    <x v="4"/>
    <n v="4801.28"/>
    <m/>
    <m/>
    <n v="5"/>
  </r>
  <r>
    <x v="9570"/>
    <x v="1916"/>
    <x v="6"/>
    <n v="3"/>
    <n v="107.52"/>
    <x v="670"/>
    <x v="0"/>
    <x v="1"/>
    <n v="322.56"/>
    <m/>
    <m/>
    <n v="5"/>
  </r>
  <r>
    <x v="9571"/>
    <x v="1916"/>
    <x v="6"/>
    <n v="1"/>
    <n v="35.840000000000003"/>
    <x v="390"/>
    <x v="0"/>
    <x v="0"/>
    <n v="35.840000000000003"/>
    <m/>
    <m/>
    <n v="7"/>
  </r>
  <r>
    <x v="9572"/>
    <x v="1916"/>
    <x v="1"/>
    <n v="1"/>
    <n v="40.659999999999997"/>
    <x v="382"/>
    <x v="1"/>
    <x v="0"/>
    <n v="40.659999999999997"/>
    <m/>
    <m/>
    <n v="7"/>
  </r>
  <r>
    <x v="9573"/>
    <x v="1917"/>
    <x v="5"/>
    <n v="4"/>
    <n v="2400.6799999999998"/>
    <x v="584"/>
    <x v="2"/>
    <x v="4"/>
    <n v="9602.7199999999993"/>
    <m/>
    <m/>
    <n v="7"/>
  </r>
  <r>
    <x v="9574"/>
    <x v="1917"/>
    <x v="6"/>
    <n v="3"/>
    <n v="107.52"/>
    <x v="573"/>
    <x v="4"/>
    <x v="4"/>
    <n v="322.56"/>
    <m/>
    <m/>
    <n v="7"/>
  </r>
  <r>
    <x v="9575"/>
    <x v="1917"/>
    <x v="2"/>
    <n v="3"/>
    <n v="15.69"/>
    <x v="419"/>
    <x v="6"/>
    <x v="0"/>
    <n v="47.07"/>
    <m/>
    <m/>
    <n v="7"/>
  </r>
  <r>
    <x v="9576"/>
    <x v="1917"/>
    <x v="2"/>
    <n v="1"/>
    <n v="5.23"/>
    <x v="330"/>
    <x v="2"/>
    <x v="2"/>
    <n v="5.23"/>
    <m/>
    <m/>
    <n v="7"/>
  </r>
  <r>
    <x v="9577"/>
    <x v="1918"/>
    <x v="0"/>
    <n v="3"/>
    <n v="900.24"/>
    <x v="369"/>
    <x v="7"/>
    <x v="3"/>
    <n v="2700.7200000000003"/>
    <m/>
    <m/>
    <n v="5"/>
  </r>
  <r>
    <x v="9578"/>
    <x v="1918"/>
    <x v="5"/>
    <n v="1"/>
    <n v="600.16999999999996"/>
    <x v="636"/>
    <x v="6"/>
    <x v="3"/>
    <n v="600.16999999999996"/>
    <m/>
    <m/>
    <n v="5"/>
  </r>
  <r>
    <x v="9579"/>
    <x v="1918"/>
    <x v="5"/>
    <n v="2"/>
    <n v="1200.3399999999999"/>
    <x v="479"/>
    <x v="9"/>
    <x v="3"/>
    <n v="2400.6799999999998"/>
    <m/>
    <m/>
    <n v="5"/>
  </r>
  <r>
    <x v="9580"/>
    <x v="1918"/>
    <x v="2"/>
    <n v="3"/>
    <n v="15.69"/>
    <x v="300"/>
    <x v="9"/>
    <x v="1"/>
    <n v="47.07"/>
    <m/>
    <m/>
    <n v="5"/>
  </r>
  <r>
    <x v="9581"/>
    <x v="1918"/>
    <x v="1"/>
    <n v="5"/>
    <n v="203.3"/>
    <x v="500"/>
    <x v="0"/>
    <x v="1"/>
    <n v="1016.5"/>
    <m/>
    <m/>
    <n v="5"/>
  </r>
  <r>
    <x v="9582"/>
    <x v="1918"/>
    <x v="1"/>
    <n v="3"/>
    <n v="121.98"/>
    <x v="779"/>
    <x v="2"/>
    <x v="0"/>
    <n v="365.94"/>
    <m/>
    <m/>
    <n v="7"/>
  </r>
  <r>
    <x v="9583"/>
    <x v="1918"/>
    <x v="5"/>
    <n v="4"/>
    <n v="2400.6799999999998"/>
    <x v="362"/>
    <x v="6"/>
    <x v="1"/>
    <n v="9602.7199999999993"/>
    <m/>
    <m/>
    <n v="7"/>
  </r>
  <r>
    <x v="9584"/>
    <x v="1919"/>
    <x v="3"/>
    <n v="5"/>
    <n v="75.75"/>
    <x v="131"/>
    <x v="7"/>
    <x v="3"/>
    <n v="378.75"/>
    <m/>
    <m/>
    <n v="5"/>
  </r>
  <r>
    <x v="9585"/>
    <x v="1919"/>
    <x v="4"/>
    <n v="1"/>
    <n v="1050"/>
    <x v="290"/>
    <x v="0"/>
    <x v="0"/>
    <n v="1050"/>
    <m/>
    <m/>
    <n v="5"/>
  </r>
  <r>
    <x v="9586"/>
    <x v="1919"/>
    <x v="5"/>
    <n v="4"/>
    <n v="2400.6799999999998"/>
    <x v="207"/>
    <x v="0"/>
    <x v="4"/>
    <n v="9602.7199999999993"/>
    <m/>
    <m/>
    <n v="5"/>
  </r>
  <r>
    <x v="9587"/>
    <x v="1919"/>
    <x v="7"/>
    <n v="5"/>
    <n v="58.65"/>
    <x v="22"/>
    <x v="1"/>
    <x v="3"/>
    <n v="293.25"/>
    <m/>
    <m/>
    <n v="5"/>
  </r>
  <r>
    <x v="9588"/>
    <x v="1919"/>
    <x v="0"/>
    <n v="2"/>
    <n v="600.16"/>
    <x v="381"/>
    <x v="6"/>
    <x v="2"/>
    <n v="1200.32"/>
    <m/>
    <m/>
    <n v="5"/>
  </r>
  <r>
    <x v="9589"/>
    <x v="1919"/>
    <x v="6"/>
    <n v="3"/>
    <n v="107.52"/>
    <x v="267"/>
    <x v="6"/>
    <x v="2"/>
    <n v="322.56"/>
    <m/>
    <m/>
    <n v="7"/>
  </r>
  <r>
    <x v="9590"/>
    <x v="1919"/>
    <x v="3"/>
    <n v="2"/>
    <n v="30.3"/>
    <x v="378"/>
    <x v="1"/>
    <x v="4"/>
    <n v="60.6"/>
    <m/>
    <m/>
    <n v="7"/>
  </r>
  <r>
    <x v="9591"/>
    <x v="1920"/>
    <x v="3"/>
    <n v="1"/>
    <n v="15.15"/>
    <x v="109"/>
    <x v="4"/>
    <x v="4"/>
    <n v="15.15"/>
    <m/>
    <m/>
    <n v="7"/>
  </r>
  <r>
    <x v="9592"/>
    <x v="1920"/>
    <x v="4"/>
    <n v="2"/>
    <n v="2100"/>
    <x v="281"/>
    <x v="6"/>
    <x v="0"/>
    <n v="4200"/>
    <m/>
    <m/>
    <n v="7"/>
  </r>
  <r>
    <x v="9593"/>
    <x v="1920"/>
    <x v="1"/>
    <n v="2"/>
    <n v="81.319999999999993"/>
    <x v="461"/>
    <x v="1"/>
    <x v="4"/>
    <n v="162.63999999999999"/>
    <m/>
    <m/>
    <n v="7"/>
  </r>
  <r>
    <x v="9594"/>
    <x v="1920"/>
    <x v="6"/>
    <n v="4"/>
    <n v="143.36000000000001"/>
    <x v="558"/>
    <x v="0"/>
    <x v="1"/>
    <n v="573.44000000000005"/>
    <m/>
    <m/>
    <n v="7"/>
  </r>
  <r>
    <x v="9595"/>
    <x v="1920"/>
    <x v="3"/>
    <n v="2"/>
    <n v="30.3"/>
    <x v="564"/>
    <x v="7"/>
    <x v="4"/>
    <n v="60.6"/>
    <m/>
    <m/>
    <n v="7"/>
  </r>
  <r>
    <x v="9596"/>
    <x v="1920"/>
    <x v="5"/>
    <n v="5"/>
    <n v="3000.85"/>
    <x v="361"/>
    <x v="6"/>
    <x v="2"/>
    <n v="15004.25"/>
    <m/>
    <m/>
    <n v="7"/>
  </r>
  <r>
    <x v="9597"/>
    <x v="1921"/>
    <x v="5"/>
    <n v="5"/>
    <n v="3000.85"/>
    <x v="86"/>
    <x v="4"/>
    <x v="3"/>
    <n v="15004.25"/>
    <m/>
    <m/>
    <n v="5"/>
  </r>
  <r>
    <x v="9598"/>
    <x v="1921"/>
    <x v="2"/>
    <n v="5"/>
    <n v="26.15"/>
    <x v="483"/>
    <x v="1"/>
    <x v="3"/>
    <n v="130.75"/>
    <m/>
    <m/>
    <n v="5"/>
  </r>
  <r>
    <x v="9599"/>
    <x v="1921"/>
    <x v="2"/>
    <n v="2"/>
    <n v="10.46"/>
    <x v="538"/>
    <x v="5"/>
    <x v="0"/>
    <n v="20.92"/>
    <m/>
    <m/>
    <n v="5"/>
  </r>
  <r>
    <x v="9600"/>
    <x v="1921"/>
    <x v="1"/>
    <n v="3"/>
    <n v="121.98"/>
    <x v="453"/>
    <x v="6"/>
    <x v="4"/>
    <n v="365.94"/>
    <m/>
    <m/>
    <n v="5"/>
  </r>
  <r>
    <x v="9601"/>
    <x v="1921"/>
    <x v="6"/>
    <n v="2"/>
    <n v="71.680000000000007"/>
    <x v="613"/>
    <x v="6"/>
    <x v="3"/>
    <n v="143.36000000000001"/>
    <m/>
    <m/>
    <n v="5"/>
  </r>
  <r>
    <x v="9602"/>
    <x v="1921"/>
    <x v="0"/>
    <n v="2"/>
    <n v="600.16"/>
    <x v="739"/>
    <x v="6"/>
    <x v="2"/>
    <n v="1200.32"/>
    <m/>
    <m/>
    <n v="5"/>
  </r>
  <r>
    <x v="9603"/>
    <x v="1921"/>
    <x v="2"/>
    <n v="3"/>
    <n v="15.69"/>
    <x v="442"/>
    <x v="0"/>
    <x v="0"/>
    <n v="47.07"/>
    <m/>
    <m/>
    <n v="10"/>
  </r>
  <r>
    <x v="9604"/>
    <x v="1921"/>
    <x v="6"/>
    <n v="1"/>
    <n v="35.840000000000003"/>
    <x v="554"/>
    <x v="6"/>
    <x v="2"/>
    <n v="35.840000000000003"/>
    <m/>
    <m/>
    <n v="10"/>
  </r>
  <r>
    <x v="9605"/>
    <x v="1921"/>
    <x v="2"/>
    <n v="3"/>
    <n v="15.69"/>
    <x v="769"/>
    <x v="9"/>
    <x v="4"/>
    <n v="47.07"/>
    <m/>
    <m/>
    <n v="10"/>
  </r>
  <r>
    <x v="9606"/>
    <x v="1922"/>
    <x v="5"/>
    <n v="5"/>
    <n v="3000.85"/>
    <x v="422"/>
    <x v="0"/>
    <x v="3"/>
    <n v="15004.25"/>
    <m/>
    <m/>
    <n v="5"/>
  </r>
  <r>
    <x v="9607"/>
    <x v="1922"/>
    <x v="2"/>
    <n v="1"/>
    <n v="5.23"/>
    <x v="14"/>
    <x v="6"/>
    <x v="0"/>
    <n v="5.23"/>
    <m/>
    <m/>
    <n v="5"/>
  </r>
  <r>
    <x v="9608"/>
    <x v="1922"/>
    <x v="1"/>
    <n v="4"/>
    <n v="162.63999999999999"/>
    <x v="228"/>
    <x v="4"/>
    <x v="3"/>
    <n v="650.55999999999995"/>
    <m/>
    <m/>
    <n v="7"/>
  </r>
  <r>
    <x v="9609"/>
    <x v="1922"/>
    <x v="6"/>
    <n v="3"/>
    <n v="107.52"/>
    <x v="56"/>
    <x v="9"/>
    <x v="0"/>
    <n v="322.56"/>
    <m/>
    <m/>
    <n v="7"/>
  </r>
  <r>
    <x v="9610"/>
    <x v="1922"/>
    <x v="4"/>
    <n v="3"/>
    <n v="3150"/>
    <x v="346"/>
    <x v="4"/>
    <x v="1"/>
    <n v="9450"/>
    <m/>
    <m/>
    <n v="7"/>
  </r>
  <r>
    <x v="9611"/>
    <x v="1923"/>
    <x v="1"/>
    <n v="5"/>
    <n v="203.3"/>
    <x v="85"/>
    <x v="6"/>
    <x v="2"/>
    <n v="1016.5"/>
    <m/>
    <m/>
    <n v="5"/>
  </r>
  <r>
    <x v="9612"/>
    <x v="1923"/>
    <x v="0"/>
    <n v="3"/>
    <n v="900.24"/>
    <x v="270"/>
    <x v="7"/>
    <x v="2"/>
    <n v="2700.7200000000003"/>
    <m/>
    <m/>
    <n v="5"/>
  </r>
  <r>
    <x v="9613"/>
    <x v="1923"/>
    <x v="0"/>
    <n v="5"/>
    <n v="1500.4"/>
    <x v="525"/>
    <x v="6"/>
    <x v="4"/>
    <n v="7502"/>
    <m/>
    <m/>
    <n v="5"/>
  </r>
  <r>
    <x v="9614"/>
    <x v="1923"/>
    <x v="1"/>
    <n v="1"/>
    <n v="40.659999999999997"/>
    <x v="796"/>
    <x v="1"/>
    <x v="4"/>
    <n v="40.659999999999997"/>
    <m/>
    <m/>
    <n v="7"/>
  </r>
  <r>
    <x v="9615"/>
    <x v="1924"/>
    <x v="0"/>
    <n v="1"/>
    <n v="300.08"/>
    <x v="582"/>
    <x v="1"/>
    <x v="1"/>
    <n v="300.08"/>
    <m/>
    <m/>
    <n v="5"/>
  </r>
  <r>
    <x v="9616"/>
    <x v="1924"/>
    <x v="0"/>
    <n v="2"/>
    <n v="600.16"/>
    <x v="296"/>
    <x v="3"/>
    <x v="4"/>
    <n v="1200.32"/>
    <m/>
    <m/>
    <n v="5"/>
  </r>
  <r>
    <x v="9617"/>
    <x v="1924"/>
    <x v="0"/>
    <n v="1"/>
    <n v="300.08"/>
    <x v="466"/>
    <x v="7"/>
    <x v="2"/>
    <n v="300.08"/>
    <m/>
    <m/>
    <n v="7"/>
  </r>
  <r>
    <x v="9618"/>
    <x v="1924"/>
    <x v="0"/>
    <n v="4"/>
    <n v="1200.32"/>
    <x v="581"/>
    <x v="0"/>
    <x v="4"/>
    <n v="4801.28"/>
    <m/>
    <m/>
    <n v="7"/>
  </r>
  <r>
    <x v="9619"/>
    <x v="1924"/>
    <x v="1"/>
    <n v="2"/>
    <n v="81.319999999999993"/>
    <x v="603"/>
    <x v="0"/>
    <x v="2"/>
    <n v="162.63999999999999"/>
    <m/>
    <m/>
    <n v="7"/>
  </r>
  <r>
    <x v="9620"/>
    <x v="1924"/>
    <x v="2"/>
    <n v="5"/>
    <n v="26.15"/>
    <x v="699"/>
    <x v="4"/>
    <x v="2"/>
    <n v="130.75"/>
    <m/>
    <m/>
    <n v="7"/>
  </r>
  <r>
    <x v="9621"/>
    <x v="1924"/>
    <x v="6"/>
    <n v="5"/>
    <n v="179.2"/>
    <x v="692"/>
    <x v="1"/>
    <x v="2"/>
    <n v="896"/>
    <m/>
    <m/>
    <n v="10"/>
  </r>
  <r>
    <x v="9622"/>
    <x v="1925"/>
    <x v="0"/>
    <n v="4"/>
    <n v="1200.32"/>
    <x v="89"/>
    <x v="3"/>
    <x v="0"/>
    <n v="4801.28"/>
    <m/>
    <m/>
    <n v="5"/>
  </r>
  <r>
    <x v="9623"/>
    <x v="1925"/>
    <x v="2"/>
    <n v="2"/>
    <n v="10.46"/>
    <x v="48"/>
    <x v="0"/>
    <x v="3"/>
    <n v="20.92"/>
    <m/>
    <m/>
    <n v="7"/>
  </r>
  <r>
    <x v="9624"/>
    <x v="1925"/>
    <x v="0"/>
    <n v="1"/>
    <n v="300.08"/>
    <x v="135"/>
    <x v="1"/>
    <x v="2"/>
    <n v="300.08"/>
    <m/>
    <m/>
    <n v="7"/>
  </r>
  <r>
    <x v="9625"/>
    <x v="1925"/>
    <x v="1"/>
    <n v="2"/>
    <n v="81.319999999999993"/>
    <x v="356"/>
    <x v="4"/>
    <x v="3"/>
    <n v="162.63999999999999"/>
    <m/>
    <m/>
    <n v="7"/>
  </r>
  <r>
    <x v="9626"/>
    <x v="1925"/>
    <x v="6"/>
    <n v="4"/>
    <n v="143.36000000000001"/>
    <x v="514"/>
    <x v="0"/>
    <x v="4"/>
    <n v="573.44000000000005"/>
    <m/>
    <m/>
    <n v="7"/>
  </r>
  <r>
    <x v="9627"/>
    <x v="1926"/>
    <x v="3"/>
    <n v="3"/>
    <n v="45.45"/>
    <x v="301"/>
    <x v="0"/>
    <x v="1"/>
    <n v="136.35000000000002"/>
    <m/>
    <m/>
    <n v="5"/>
  </r>
  <r>
    <x v="9628"/>
    <x v="1926"/>
    <x v="3"/>
    <n v="3"/>
    <n v="45.45"/>
    <x v="433"/>
    <x v="2"/>
    <x v="4"/>
    <n v="136.35000000000002"/>
    <m/>
    <m/>
    <n v="5"/>
  </r>
  <r>
    <x v="9629"/>
    <x v="1926"/>
    <x v="0"/>
    <n v="2"/>
    <n v="600.16"/>
    <x v="649"/>
    <x v="0"/>
    <x v="4"/>
    <n v="1200.32"/>
    <m/>
    <m/>
    <n v="7"/>
  </r>
  <r>
    <x v="9630"/>
    <x v="1926"/>
    <x v="1"/>
    <n v="1"/>
    <n v="40.659999999999997"/>
    <x v="496"/>
    <x v="8"/>
    <x v="4"/>
    <n v="40.659999999999997"/>
    <m/>
    <m/>
    <n v="10"/>
  </r>
  <r>
    <x v="9631"/>
    <x v="1927"/>
    <x v="5"/>
    <n v="2"/>
    <n v="1200.3399999999999"/>
    <x v="294"/>
    <x v="0"/>
    <x v="2"/>
    <n v="2400.6799999999998"/>
    <m/>
    <m/>
    <n v="5"/>
  </r>
  <r>
    <x v="9632"/>
    <x v="1927"/>
    <x v="0"/>
    <n v="3"/>
    <n v="900.24"/>
    <x v="16"/>
    <x v="2"/>
    <x v="3"/>
    <n v="2700.7200000000003"/>
    <m/>
    <m/>
    <n v="7"/>
  </r>
  <r>
    <x v="9633"/>
    <x v="1927"/>
    <x v="2"/>
    <n v="3"/>
    <n v="15.69"/>
    <x v="585"/>
    <x v="6"/>
    <x v="2"/>
    <n v="47.07"/>
    <m/>
    <m/>
    <n v="7"/>
  </r>
  <r>
    <x v="9634"/>
    <x v="1927"/>
    <x v="1"/>
    <n v="2"/>
    <n v="81.319999999999993"/>
    <x v="55"/>
    <x v="9"/>
    <x v="2"/>
    <n v="162.63999999999999"/>
    <m/>
    <m/>
    <n v="7"/>
  </r>
  <r>
    <x v="9635"/>
    <x v="1927"/>
    <x v="2"/>
    <n v="4"/>
    <n v="20.92"/>
    <x v="740"/>
    <x v="6"/>
    <x v="4"/>
    <n v="83.68"/>
    <m/>
    <m/>
    <n v="7"/>
  </r>
  <r>
    <x v="9636"/>
    <x v="1928"/>
    <x v="2"/>
    <n v="2"/>
    <n v="10.46"/>
    <x v="518"/>
    <x v="5"/>
    <x v="2"/>
    <n v="20.92"/>
    <m/>
    <m/>
    <n v="5"/>
  </r>
  <r>
    <x v="9637"/>
    <x v="1928"/>
    <x v="1"/>
    <n v="1"/>
    <n v="40.659999999999997"/>
    <x v="725"/>
    <x v="0"/>
    <x v="3"/>
    <n v="40.659999999999997"/>
    <m/>
    <m/>
    <n v="5"/>
  </r>
  <r>
    <x v="9638"/>
    <x v="1928"/>
    <x v="6"/>
    <n v="1"/>
    <n v="35.840000000000003"/>
    <x v="376"/>
    <x v="6"/>
    <x v="0"/>
    <n v="35.840000000000003"/>
    <m/>
    <m/>
    <n v="7"/>
  </r>
  <r>
    <x v="9639"/>
    <x v="1928"/>
    <x v="2"/>
    <n v="2"/>
    <n v="10.46"/>
    <x v="195"/>
    <x v="1"/>
    <x v="4"/>
    <n v="20.92"/>
    <m/>
    <m/>
    <n v="7"/>
  </r>
  <r>
    <x v="9640"/>
    <x v="1928"/>
    <x v="2"/>
    <n v="1"/>
    <n v="5.23"/>
    <x v="214"/>
    <x v="1"/>
    <x v="1"/>
    <n v="5.23"/>
    <m/>
    <m/>
    <n v="7"/>
  </r>
  <r>
    <x v="9641"/>
    <x v="1928"/>
    <x v="0"/>
    <n v="4"/>
    <n v="1200.32"/>
    <x v="385"/>
    <x v="7"/>
    <x v="3"/>
    <n v="4801.28"/>
    <m/>
    <m/>
    <n v="10"/>
  </r>
  <r>
    <x v="9642"/>
    <x v="1929"/>
    <x v="1"/>
    <n v="2"/>
    <n v="81.319999999999993"/>
    <x v="290"/>
    <x v="0"/>
    <x v="3"/>
    <n v="162.63999999999999"/>
    <m/>
    <m/>
    <n v="5"/>
  </r>
  <r>
    <x v="9643"/>
    <x v="1929"/>
    <x v="1"/>
    <n v="1"/>
    <n v="40.659999999999997"/>
    <x v="417"/>
    <x v="9"/>
    <x v="1"/>
    <n v="40.659999999999997"/>
    <m/>
    <m/>
    <n v="5"/>
  </r>
  <r>
    <x v="9644"/>
    <x v="1929"/>
    <x v="1"/>
    <n v="4"/>
    <n v="162.63999999999999"/>
    <x v="694"/>
    <x v="1"/>
    <x v="0"/>
    <n v="650.55999999999995"/>
    <m/>
    <m/>
    <n v="5"/>
  </r>
  <r>
    <x v="9645"/>
    <x v="1929"/>
    <x v="2"/>
    <n v="2"/>
    <n v="10.46"/>
    <x v="116"/>
    <x v="0"/>
    <x v="1"/>
    <n v="20.92"/>
    <m/>
    <m/>
    <n v="5"/>
  </r>
  <r>
    <x v="9646"/>
    <x v="1930"/>
    <x v="0"/>
    <n v="3"/>
    <n v="900.24"/>
    <x v="240"/>
    <x v="1"/>
    <x v="4"/>
    <n v="2700.7200000000003"/>
    <m/>
    <m/>
    <n v="5"/>
  </r>
  <r>
    <x v="9647"/>
    <x v="1930"/>
    <x v="0"/>
    <n v="4"/>
    <n v="1200.32"/>
    <x v="469"/>
    <x v="0"/>
    <x v="3"/>
    <n v="4801.28"/>
    <m/>
    <m/>
    <n v="5"/>
  </r>
  <r>
    <x v="9648"/>
    <x v="1930"/>
    <x v="2"/>
    <n v="1"/>
    <n v="5.23"/>
    <x v="711"/>
    <x v="6"/>
    <x v="0"/>
    <n v="5.23"/>
    <m/>
    <m/>
    <n v="7"/>
  </r>
  <r>
    <x v="9649"/>
    <x v="1930"/>
    <x v="1"/>
    <n v="3"/>
    <n v="121.98"/>
    <x v="707"/>
    <x v="0"/>
    <x v="4"/>
    <n v="365.94"/>
    <m/>
    <m/>
    <n v="7"/>
  </r>
  <r>
    <x v="9650"/>
    <x v="1930"/>
    <x v="0"/>
    <n v="4"/>
    <n v="1200.32"/>
    <x v="577"/>
    <x v="0"/>
    <x v="2"/>
    <n v="4801.28"/>
    <m/>
    <m/>
    <n v="7"/>
  </r>
  <r>
    <x v="9651"/>
    <x v="1930"/>
    <x v="5"/>
    <n v="2"/>
    <n v="1200.3399999999999"/>
    <x v="250"/>
    <x v="2"/>
    <x v="1"/>
    <n v="2400.6799999999998"/>
    <m/>
    <m/>
    <n v="7"/>
  </r>
  <r>
    <x v="9652"/>
    <x v="1930"/>
    <x v="0"/>
    <n v="4"/>
    <n v="1200.32"/>
    <x v="481"/>
    <x v="6"/>
    <x v="4"/>
    <n v="4801.28"/>
    <m/>
    <m/>
    <n v="7"/>
  </r>
  <r>
    <x v="9653"/>
    <x v="1930"/>
    <x v="3"/>
    <n v="4"/>
    <n v="60.6"/>
    <x v="385"/>
    <x v="1"/>
    <x v="3"/>
    <n v="242.4"/>
    <m/>
    <m/>
    <n v="10"/>
  </r>
  <r>
    <x v="9654"/>
    <x v="1931"/>
    <x v="6"/>
    <n v="3"/>
    <n v="107.52"/>
    <x v="768"/>
    <x v="9"/>
    <x v="1"/>
    <n v="322.56"/>
    <m/>
    <m/>
    <n v="5"/>
  </r>
  <r>
    <x v="9655"/>
    <x v="1931"/>
    <x v="0"/>
    <n v="5"/>
    <n v="1500.4"/>
    <x v="278"/>
    <x v="3"/>
    <x v="2"/>
    <n v="7502"/>
    <m/>
    <m/>
    <n v="5"/>
  </r>
  <r>
    <x v="9656"/>
    <x v="1931"/>
    <x v="1"/>
    <n v="3"/>
    <n v="121.98"/>
    <x v="302"/>
    <x v="1"/>
    <x v="2"/>
    <n v="365.94"/>
    <m/>
    <m/>
    <n v="5"/>
  </r>
  <r>
    <x v="9657"/>
    <x v="1931"/>
    <x v="0"/>
    <n v="3"/>
    <n v="900.24"/>
    <x v="467"/>
    <x v="6"/>
    <x v="1"/>
    <n v="2700.7200000000003"/>
    <m/>
    <m/>
    <n v="7"/>
  </r>
  <r>
    <x v="9658"/>
    <x v="1931"/>
    <x v="1"/>
    <n v="4"/>
    <n v="162.63999999999999"/>
    <x v="402"/>
    <x v="2"/>
    <x v="2"/>
    <n v="650.55999999999995"/>
    <m/>
    <m/>
    <n v="10"/>
  </r>
  <r>
    <x v="9659"/>
    <x v="1932"/>
    <x v="1"/>
    <n v="5"/>
    <n v="203.3"/>
    <x v="680"/>
    <x v="1"/>
    <x v="0"/>
    <n v="1016.5"/>
    <m/>
    <m/>
    <n v="5"/>
  </r>
  <r>
    <x v="9660"/>
    <x v="1932"/>
    <x v="3"/>
    <n v="1"/>
    <n v="15.15"/>
    <x v="508"/>
    <x v="7"/>
    <x v="3"/>
    <n v="15.15"/>
    <m/>
    <m/>
    <n v="7"/>
  </r>
  <r>
    <x v="9661"/>
    <x v="1932"/>
    <x v="5"/>
    <n v="2"/>
    <n v="1200.3399999999999"/>
    <x v="713"/>
    <x v="4"/>
    <x v="1"/>
    <n v="2400.6799999999998"/>
    <m/>
    <m/>
    <n v="7"/>
  </r>
  <r>
    <x v="9662"/>
    <x v="1932"/>
    <x v="2"/>
    <n v="1"/>
    <n v="5.23"/>
    <x v="191"/>
    <x v="6"/>
    <x v="3"/>
    <n v="5.23"/>
    <m/>
    <m/>
    <n v="7"/>
  </r>
  <r>
    <x v="9663"/>
    <x v="1932"/>
    <x v="5"/>
    <n v="3"/>
    <n v="1800.51"/>
    <x v="583"/>
    <x v="9"/>
    <x v="3"/>
    <n v="5401.53"/>
    <m/>
    <m/>
    <n v="7"/>
  </r>
  <r>
    <x v="9664"/>
    <x v="1932"/>
    <x v="2"/>
    <n v="5"/>
    <n v="26.15"/>
    <x v="8"/>
    <x v="9"/>
    <x v="0"/>
    <n v="130.75"/>
    <m/>
    <m/>
    <n v="7"/>
  </r>
  <r>
    <x v="9665"/>
    <x v="1932"/>
    <x v="6"/>
    <n v="2"/>
    <n v="71.680000000000007"/>
    <x v="171"/>
    <x v="0"/>
    <x v="3"/>
    <n v="143.36000000000001"/>
    <m/>
    <m/>
    <n v="10"/>
  </r>
  <r>
    <x v="9666"/>
    <x v="1933"/>
    <x v="2"/>
    <n v="5"/>
    <n v="26.15"/>
    <x v="101"/>
    <x v="7"/>
    <x v="4"/>
    <n v="130.75"/>
    <m/>
    <m/>
    <n v="5"/>
  </r>
  <r>
    <x v="9667"/>
    <x v="1933"/>
    <x v="2"/>
    <n v="2"/>
    <n v="10.46"/>
    <x v="387"/>
    <x v="6"/>
    <x v="4"/>
    <n v="20.92"/>
    <m/>
    <m/>
    <n v="5"/>
  </r>
  <r>
    <x v="9668"/>
    <x v="1933"/>
    <x v="0"/>
    <n v="4"/>
    <n v="1200.32"/>
    <x v="684"/>
    <x v="4"/>
    <x v="4"/>
    <n v="4801.28"/>
    <m/>
    <m/>
    <n v="7"/>
  </r>
  <r>
    <x v="9669"/>
    <x v="1933"/>
    <x v="0"/>
    <n v="5"/>
    <n v="1500.4"/>
    <x v="430"/>
    <x v="7"/>
    <x v="1"/>
    <n v="7502"/>
    <m/>
    <m/>
    <n v="7"/>
  </r>
  <r>
    <x v="9670"/>
    <x v="1933"/>
    <x v="6"/>
    <n v="2"/>
    <n v="71.680000000000007"/>
    <x v="481"/>
    <x v="6"/>
    <x v="0"/>
    <n v="143.36000000000001"/>
    <m/>
    <m/>
    <n v="7"/>
  </r>
  <r>
    <x v="9671"/>
    <x v="1934"/>
    <x v="1"/>
    <n v="1"/>
    <n v="40.659999999999997"/>
    <x v="293"/>
    <x v="0"/>
    <x v="4"/>
    <n v="40.659999999999997"/>
    <m/>
    <m/>
    <n v="5"/>
  </r>
  <r>
    <x v="9672"/>
    <x v="1934"/>
    <x v="2"/>
    <n v="5"/>
    <n v="26.15"/>
    <x v="97"/>
    <x v="0"/>
    <x v="3"/>
    <n v="130.75"/>
    <m/>
    <m/>
    <n v="5"/>
  </r>
  <r>
    <x v="9673"/>
    <x v="1934"/>
    <x v="7"/>
    <n v="3"/>
    <n v="35.19"/>
    <x v="207"/>
    <x v="8"/>
    <x v="2"/>
    <n v="105.57"/>
    <m/>
    <m/>
    <n v="5"/>
  </r>
  <r>
    <x v="9674"/>
    <x v="1934"/>
    <x v="3"/>
    <n v="5"/>
    <n v="75.75"/>
    <x v="246"/>
    <x v="6"/>
    <x v="1"/>
    <n v="378.75"/>
    <m/>
    <m/>
    <n v="10"/>
  </r>
  <r>
    <x v="9675"/>
    <x v="1935"/>
    <x v="6"/>
    <n v="4"/>
    <n v="143.36000000000001"/>
    <x v="434"/>
    <x v="1"/>
    <x v="2"/>
    <n v="573.44000000000005"/>
    <m/>
    <m/>
    <n v="5"/>
  </r>
  <r>
    <x v="9676"/>
    <x v="1935"/>
    <x v="7"/>
    <n v="4"/>
    <n v="46.92"/>
    <x v="589"/>
    <x v="1"/>
    <x v="4"/>
    <n v="187.68"/>
    <m/>
    <m/>
    <n v="5"/>
  </r>
  <r>
    <x v="9677"/>
    <x v="1935"/>
    <x v="2"/>
    <n v="1"/>
    <n v="5.23"/>
    <x v="66"/>
    <x v="6"/>
    <x v="4"/>
    <n v="5.23"/>
    <m/>
    <m/>
    <n v="7"/>
  </r>
  <r>
    <x v="9678"/>
    <x v="1935"/>
    <x v="6"/>
    <n v="3"/>
    <n v="107.52"/>
    <x v="699"/>
    <x v="1"/>
    <x v="3"/>
    <n v="322.56"/>
    <m/>
    <m/>
    <n v="7"/>
  </r>
  <r>
    <x v="9679"/>
    <x v="1936"/>
    <x v="0"/>
    <n v="2"/>
    <n v="600.16"/>
    <x v="502"/>
    <x v="4"/>
    <x v="4"/>
    <n v="1200.32"/>
    <m/>
    <m/>
    <n v="5"/>
  </r>
  <r>
    <x v="9680"/>
    <x v="1936"/>
    <x v="5"/>
    <n v="1"/>
    <n v="600.16999999999996"/>
    <x v="721"/>
    <x v="6"/>
    <x v="2"/>
    <n v="600.16999999999996"/>
    <m/>
    <m/>
    <n v="7"/>
  </r>
  <r>
    <x v="9681"/>
    <x v="1936"/>
    <x v="1"/>
    <n v="1"/>
    <n v="40.659999999999997"/>
    <x v="722"/>
    <x v="2"/>
    <x v="2"/>
    <n v="40.659999999999997"/>
    <m/>
    <m/>
    <n v="10"/>
  </r>
  <r>
    <x v="9682"/>
    <x v="1936"/>
    <x v="0"/>
    <n v="1"/>
    <n v="300.08"/>
    <x v="402"/>
    <x v="1"/>
    <x v="4"/>
    <n v="300.08"/>
    <m/>
    <m/>
    <n v="10"/>
  </r>
  <r>
    <x v="9683"/>
    <x v="1937"/>
    <x v="0"/>
    <n v="5"/>
    <n v="1500.4"/>
    <x v="749"/>
    <x v="0"/>
    <x v="0"/>
    <n v="7502"/>
    <m/>
    <m/>
    <n v="5"/>
  </r>
  <r>
    <x v="9684"/>
    <x v="1937"/>
    <x v="4"/>
    <n v="3"/>
    <n v="3150"/>
    <x v="38"/>
    <x v="6"/>
    <x v="3"/>
    <n v="9450"/>
    <m/>
    <m/>
    <n v="5"/>
  </r>
  <r>
    <x v="9685"/>
    <x v="1937"/>
    <x v="6"/>
    <n v="4"/>
    <n v="143.36000000000001"/>
    <x v="516"/>
    <x v="9"/>
    <x v="3"/>
    <n v="573.44000000000005"/>
    <m/>
    <m/>
    <n v="7"/>
  </r>
  <r>
    <x v="9686"/>
    <x v="1937"/>
    <x v="0"/>
    <n v="3"/>
    <n v="900.24"/>
    <x v="703"/>
    <x v="0"/>
    <x v="2"/>
    <n v="2700.7200000000003"/>
    <m/>
    <m/>
    <n v="7"/>
  </r>
  <r>
    <x v="9687"/>
    <x v="1937"/>
    <x v="2"/>
    <n v="2"/>
    <n v="10.46"/>
    <x v="594"/>
    <x v="6"/>
    <x v="1"/>
    <n v="20.92"/>
    <m/>
    <m/>
    <n v="7"/>
  </r>
  <r>
    <x v="9688"/>
    <x v="1937"/>
    <x v="0"/>
    <n v="2"/>
    <n v="600.16"/>
    <x v="529"/>
    <x v="4"/>
    <x v="4"/>
    <n v="1200.32"/>
    <m/>
    <m/>
    <n v="10"/>
  </r>
  <r>
    <x v="9689"/>
    <x v="1938"/>
    <x v="2"/>
    <n v="1"/>
    <n v="5.23"/>
    <x v="207"/>
    <x v="0"/>
    <x v="3"/>
    <n v="5.23"/>
    <m/>
    <m/>
    <n v="5"/>
  </r>
  <r>
    <x v="9690"/>
    <x v="1938"/>
    <x v="0"/>
    <n v="3"/>
    <n v="900.24"/>
    <x v="639"/>
    <x v="8"/>
    <x v="2"/>
    <n v="2700.7200000000003"/>
    <m/>
    <m/>
    <n v="5"/>
  </r>
  <r>
    <x v="9691"/>
    <x v="1938"/>
    <x v="6"/>
    <n v="1"/>
    <n v="35.840000000000003"/>
    <x v="759"/>
    <x v="2"/>
    <x v="4"/>
    <n v="35.840000000000003"/>
    <m/>
    <m/>
    <n v="7"/>
  </r>
  <r>
    <x v="9692"/>
    <x v="1938"/>
    <x v="1"/>
    <n v="4"/>
    <n v="162.63999999999999"/>
    <x v="503"/>
    <x v="7"/>
    <x v="2"/>
    <n v="650.55999999999995"/>
    <m/>
    <m/>
    <n v="7"/>
  </r>
  <r>
    <x v="9693"/>
    <x v="1938"/>
    <x v="0"/>
    <n v="5"/>
    <n v="1500.4"/>
    <x v="405"/>
    <x v="4"/>
    <x v="0"/>
    <n v="7502"/>
    <m/>
    <m/>
    <n v="7"/>
  </r>
  <r>
    <x v="9694"/>
    <x v="1938"/>
    <x v="4"/>
    <n v="3"/>
    <n v="3150"/>
    <x v="4"/>
    <x v="6"/>
    <x v="2"/>
    <n v="9450"/>
    <m/>
    <m/>
    <n v="7"/>
  </r>
  <r>
    <x v="9695"/>
    <x v="1938"/>
    <x v="2"/>
    <n v="5"/>
    <n v="26.15"/>
    <x v="409"/>
    <x v="4"/>
    <x v="3"/>
    <n v="130.75"/>
    <m/>
    <m/>
    <n v="7"/>
  </r>
  <r>
    <x v="9696"/>
    <x v="1939"/>
    <x v="1"/>
    <n v="2"/>
    <n v="81.319999999999993"/>
    <x v="537"/>
    <x v="9"/>
    <x v="3"/>
    <n v="162.63999999999999"/>
    <m/>
    <m/>
    <n v="5"/>
  </r>
  <r>
    <x v="9697"/>
    <x v="1939"/>
    <x v="0"/>
    <n v="4"/>
    <n v="1200.32"/>
    <x v="438"/>
    <x v="6"/>
    <x v="0"/>
    <n v="4801.28"/>
    <m/>
    <m/>
    <n v="5"/>
  </r>
  <r>
    <x v="9698"/>
    <x v="1939"/>
    <x v="2"/>
    <n v="5"/>
    <n v="26.15"/>
    <x v="349"/>
    <x v="0"/>
    <x v="3"/>
    <n v="130.75"/>
    <m/>
    <m/>
    <n v="7"/>
  </r>
  <r>
    <x v="9699"/>
    <x v="1939"/>
    <x v="6"/>
    <n v="4"/>
    <n v="143.36000000000001"/>
    <x v="682"/>
    <x v="5"/>
    <x v="3"/>
    <n v="573.44000000000005"/>
    <m/>
    <m/>
    <n v="10"/>
  </r>
  <r>
    <x v="9700"/>
    <x v="1939"/>
    <x v="1"/>
    <n v="3"/>
    <n v="121.98"/>
    <x v="53"/>
    <x v="4"/>
    <x v="2"/>
    <n v="365.94"/>
    <m/>
    <m/>
    <n v="10"/>
  </r>
  <r>
    <x v="9701"/>
    <x v="1939"/>
    <x v="0"/>
    <n v="3"/>
    <n v="900.24"/>
    <x v="211"/>
    <x v="1"/>
    <x v="2"/>
    <n v="2700.7200000000003"/>
    <m/>
    <m/>
    <n v="10"/>
  </r>
  <r>
    <x v="9702"/>
    <x v="1940"/>
    <x v="3"/>
    <n v="4"/>
    <n v="60.6"/>
    <x v="1"/>
    <x v="1"/>
    <x v="2"/>
    <n v="242.4"/>
    <m/>
    <m/>
    <n v="5"/>
  </r>
  <r>
    <x v="9703"/>
    <x v="1940"/>
    <x v="2"/>
    <n v="1"/>
    <n v="5.23"/>
    <x v="352"/>
    <x v="6"/>
    <x v="3"/>
    <n v="5.23"/>
    <m/>
    <m/>
    <n v="5"/>
  </r>
  <r>
    <x v="9704"/>
    <x v="1940"/>
    <x v="2"/>
    <n v="5"/>
    <n v="26.15"/>
    <x v="504"/>
    <x v="7"/>
    <x v="2"/>
    <n v="130.75"/>
    <m/>
    <m/>
    <n v="7"/>
  </r>
  <r>
    <x v="9705"/>
    <x v="1940"/>
    <x v="0"/>
    <n v="1"/>
    <n v="300.08"/>
    <x v="219"/>
    <x v="6"/>
    <x v="0"/>
    <n v="300.08"/>
    <m/>
    <m/>
    <n v="7"/>
  </r>
  <r>
    <x v="9706"/>
    <x v="1941"/>
    <x v="2"/>
    <n v="4"/>
    <n v="20.92"/>
    <x v="264"/>
    <x v="8"/>
    <x v="0"/>
    <n v="83.68"/>
    <m/>
    <m/>
    <n v="5"/>
  </r>
  <r>
    <x v="9707"/>
    <x v="1941"/>
    <x v="2"/>
    <n v="5"/>
    <n v="26.15"/>
    <x v="189"/>
    <x v="6"/>
    <x v="1"/>
    <n v="130.75"/>
    <m/>
    <m/>
    <n v="7"/>
  </r>
  <r>
    <x v="9708"/>
    <x v="1941"/>
    <x v="6"/>
    <n v="4"/>
    <n v="143.36000000000001"/>
    <x v="336"/>
    <x v="4"/>
    <x v="1"/>
    <n v="573.44000000000005"/>
    <m/>
    <m/>
    <n v="7"/>
  </r>
  <r>
    <x v="9709"/>
    <x v="1941"/>
    <x v="2"/>
    <n v="3"/>
    <n v="15.69"/>
    <x v="513"/>
    <x v="5"/>
    <x v="2"/>
    <n v="47.07"/>
    <m/>
    <m/>
    <n v="7"/>
  </r>
  <r>
    <x v="9710"/>
    <x v="1941"/>
    <x v="2"/>
    <n v="1"/>
    <n v="5.23"/>
    <x v="692"/>
    <x v="1"/>
    <x v="1"/>
    <n v="5.23"/>
    <m/>
    <m/>
    <n v="10"/>
  </r>
  <r>
    <x v="9711"/>
    <x v="1941"/>
    <x v="5"/>
    <n v="4"/>
    <n v="2400.6799999999998"/>
    <x v="196"/>
    <x v="4"/>
    <x v="1"/>
    <n v="9602.7199999999993"/>
    <m/>
    <m/>
    <n v="10"/>
  </r>
  <r>
    <x v="9712"/>
    <x v="1942"/>
    <x v="4"/>
    <n v="1"/>
    <n v="1050"/>
    <x v="232"/>
    <x v="3"/>
    <x v="1"/>
    <n v="1050"/>
    <m/>
    <m/>
    <n v="5"/>
  </r>
  <r>
    <x v="9713"/>
    <x v="1942"/>
    <x v="5"/>
    <n v="4"/>
    <n v="2400.6799999999998"/>
    <x v="479"/>
    <x v="5"/>
    <x v="3"/>
    <n v="9602.7199999999993"/>
    <m/>
    <m/>
    <n v="5"/>
  </r>
  <r>
    <x v="9714"/>
    <x v="1942"/>
    <x v="0"/>
    <n v="4"/>
    <n v="1200.32"/>
    <x v="673"/>
    <x v="8"/>
    <x v="1"/>
    <n v="4801.28"/>
    <m/>
    <m/>
    <n v="7"/>
  </r>
  <r>
    <x v="9715"/>
    <x v="1942"/>
    <x v="5"/>
    <n v="1"/>
    <n v="600.16999999999996"/>
    <x v="8"/>
    <x v="0"/>
    <x v="3"/>
    <n v="600.16999999999996"/>
    <m/>
    <m/>
    <n v="7"/>
  </r>
  <r>
    <x v="9716"/>
    <x v="1942"/>
    <x v="6"/>
    <n v="2"/>
    <n v="71.680000000000007"/>
    <x v="456"/>
    <x v="0"/>
    <x v="2"/>
    <n v="143.36000000000001"/>
    <m/>
    <m/>
    <n v="7"/>
  </r>
  <r>
    <x v="9717"/>
    <x v="1942"/>
    <x v="5"/>
    <n v="5"/>
    <n v="3000.85"/>
    <x v="20"/>
    <x v="3"/>
    <x v="3"/>
    <n v="15004.25"/>
    <m/>
    <m/>
    <n v="7"/>
  </r>
  <r>
    <x v="9718"/>
    <x v="1943"/>
    <x v="0"/>
    <n v="3"/>
    <n v="900.24"/>
    <x v="525"/>
    <x v="8"/>
    <x v="3"/>
    <n v="2700.7200000000003"/>
    <m/>
    <m/>
    <n v="5"/>
  </r>
  <r>
    <x v="9719"/>
    <x v="1943"/>
    <x v="5"/>
    <n v="3"/>
    <n v="1800.51"/>
    <x v="605"/>
    <x v="0"/>
    <x v="4"/>
    <n v="5401.53"/>
    <m/>
    <m/>
    <n v="7"/>
  </r>
  <r>
    <x v="9720"/>
    <x v="1944"/>
    <x v="3"/>
    <n v="2"/>
    <n v="30.3"/>
    <x v="17"/>
    <x v="9"/>
    <x v="0"/>
    <n v="60.6"/>
    <m/>
    <m/>
    <n v="5"/>
  </r>
  <r>
    <x v="9721"/>
    <x v="1944"/>
    <x v="3"/>
    <n v="3"/>
    <n v="45.45"/>
    <x v="787"/>
    <x v="1"/>
    <x v="2"/>
    <n v="136.35000000000002"/>
    <m/>
    <m/>
    <n v="5"/>
  </r>
  <r>
    <x v="9722"/>
    <x v="1944"/>
    <x v="0"/>
    <n v="3"/>
    <n v="900.24"/>
    <x v="404"/>
    <x v="1"/>
    <x v="4"/>
    <n v="2700.7200000000003"/>
    <m/>
    <m/>
    <n v="7"/>
  </r>
  <r>
    <x v="9723"/>
    <x v="1944"/>
    <x v="6"/>
    <n v="4"/>
    <n v="143.36000000000001"/>
    <x v="181"/>
    <x v="3"/>
    <x v="3"/>
    <n v="573.44000000000005"/>
    <m/>
    <m/>
    <n v="7"/>
  </r>
  <r>
    <x v="9724"/>
    <x v="1945"/>
    <x v="0"/>
    <n v="1"/>
    <n v="300.08"/>
    <x v="162"/>
    <x v="1"/>
    <x v="2"/>
    <n v="300.08"/>
    <m/>
    <m/>
    <n v="5"/>
  </r>
  <r>
    <x v="9725"/>
    <x v="1945"/>
    <x v="5"/>
    <n v="1"/>
    <n v="600.16999999999996"/>
    <x v="434"/>
    <x v="6"/>
    <x v="0"/>
    <n v="600.16999999999996"/>
    <m/>
    <m/>
    <n v="5"/>
  </r>
  <r>
    <x v="9726"/>
    <x v="1945"/>
    <x v="5"/>
    <n v="1"/>
    <n v="600.16999999999996"/>
    <x v="773"/>
    <x v="9"/>
    <x v="2"/>
    <n v="600.16999999999996"/>
    <m/>
    <m/>
    <n v="5"/>
  </r>
  <r>
    <x v="9727"/>
    <x v="1945"/>
    <x v="3"/>
    <n v="5"/>
    <n v="75.75"/>
    <x v="151"/>
    <x v="2"/>
    <x v="0"/>
    <n v="378.75"/>
    <m/>
    <m/>
    <n v="5"/>
  </r>
  <r>
    <x v="9728"/>
    <x v="1945"/>
    <x v="2"/>
    <n v="1"/>
    <n v="5.23"/>
    <x v="280"/>
    <x v="3"/>
    <x v="4"/>
    <n v="5.23"/>
    <m/>
    <m/>
    <n v="7"/>
  </r>
  <r>
    <x v="9729"/>
    <x v="1945"/>
    <x v="2"/>
    <n v="5"/>
    <n v="26.15"/>
    <x v="443"/>
    <x v="4"/>
    <x v="3"/>
    <n v="130.75"/>
    <m/>
    <m/>
    <n v="7"/>
  </r>
  <r>
    <x v="9730"/>
    <x v="1945"/>
    <x v="5"/>
    <n v="5"/>
    <n v="3000.85"/>
    <x v="461"/>
    <x v="0"/>
    <x v="4"/>
    <n v="15004.25"/>
    <m/>
    <m/>
    <n v="7"/>
  </r>
  <r>
    <x v="9731"/>
    <x v="1945"/>
    <x v="1"/>
    <n v="5"/>
    <n v="203.3"/>
    <x v="409"/>
    <x v="6"/>
    <x v="1"/>
    <n v="1016.5"/>
    <m/>
    <m/>
    <n v="7"/>
  </r>
  <r>
    <x v="9732"/>
    <x v="1945"/>
    <x v="0"/>
    <n v="5"/>
    <n v="1500.4"/>
    <x v="130"/>
    <x v="6"/>
    <x v="3"/>
    <n v="7502"/>
    <m/>
    <m/>
    <n v="7"/>
  </r>
  <r>
    <x v="9733"/>
    <x v="1945"/>
    <x v="1"/>
    <n v="4"/>
    <n v="162.63999999999999"/>
    <x v="197"/>
    <x v="1"/>
    <x v="0"/>
    <n v="650.55999999999995"/>
    <m/>
    <m/>
    <n v="10"/>
  </r>
  <r>
    <x v="9734"/>
    <x v="1945"/>
    <x v="0"/>
    <n v="4"/>
    <n v="1200.32"/>
    <x v="71"/>
    <x v="7"/>
    <x v="0"/>
    <n v="4801.28"/>
    <m/>
    <m/>
    <n v="10"/>
  </r>
  <r>
    <x v="9735"/>
    <x v="1946"/>
    <x v="0"/>
    <n v="3"/>
    <n v="900.24"/>
    <x v="438"/>
    <x v="1"/>
    <x v="3"/>
    <n v="2700.7200000000003"/>
    <m/>
    <m/>
    <n v="5"/>
  </r>
  <r>
    <x v="9736"/>
    <x v="1946"/>
    <x v="0"/>
    <n v="4"/>
    <n v="1200.32"/>
    <x v="518"/>
    <x v="5"/>
    <x v="4"/>
    <n v="4801.28"/>
    <m/>
    <m/>
    <n v="5"/>
  </r>
  <r>
    <x v="9737"/>
    <x v="1946"/>
    <x v="3"/>
    <n v="4"/>
    <n v="60.6"/>
    <x v="485"/>
    <x v="6"/>
    <x v="0"/>
    <n v="242.4"/>
    <m/>
    <m/>
    <n v="5"/>
  </r>
  <r>
    <x v="9738"/>
    <x v="1946"/>
    <x v="1"/>
    <n v="4"/>
    <n v="162.63999999999999"/>
    <x v="615"/>
    <x v="5"/>
    <x v="2"/>
    <n v="650.55999999999995"/>
    <m/>
    <m/>
    <n v="7"/>
  </r>
  <r>
    <x v="9739"/>
    <x v="1947"/>
    <x v="0"/>
    <n v="2"/>
    <n v="600.16"/>
    <x v="174"/>
    <x v="0"/>
    <x v="3"/>
    <n v="1200.32"/>
    <m/>
    <m/>
    <n v="5"/>
  </r>
  <r>
    <x v="9740"/>
    <x v="1947"/>
    <x v="5"/>
    <n v="5"/>
    <n v="3000.85"/>
    <x v="269"/>
    <x v="6"/>
    <x v="0"/>
    <n v="15004.25"/>
    <m/>
    <m/>
    <n v="5"/>
  </r>
  <r>
    <x v="9741"/>
    <x v="1947"/>
    <x v="0"/>
    <n v="3"/>
    <n v="900.24"/>
    <x v="466"/>
    <x v="0"/>
    <x v="2"/>
    <n v="2700.7200000000003"/>
    <m/>
    <m/>
    <n v="7"/>
  </r>
  <r>
    <x v="9742"/>
    <x v="1947"/>
    <x v="4"/>
    <n v="2"/>
    <n v="2100"/>
    <x v="412"/>
    <x v="1"/>
    <x v="2"/>
    <n v="4200"/>
    <m/>
    <m/>
    <n v="7"/>
  </r>
  <r>
    <x v="9743"/>
    <x v="1948"/>
    <x v="4"/>
    <n v="1"/>
    <n v="1050"/>
    <x v="526"/>
    <x v="1"/>
    <x v="1"/>
    <n v="1050"/>
    <m/>
    <m/>
    <n v="5"/>
  </r>
  <r>
    <x v="9744"/>
    <x v="1948"/>
    <x v="0"/>
    <n v="2"/>
    <n v="600.16"/>
    <x v="490"/>
    <x v="0"/>
    <x v="1"/>
    <n v="1200.32"/>
    <m/>
    <m/>
    <n v="5"/>
  </r>
  <r>
    <x v="9745"/>
    <x v="1948"/>
    <x v="1"/>
    <n v="2"/>
    <n v="81.319999999999993"/>
    <x v="462"/>
    <x v="1"/>
    <x v="0"/>
    <n v="162.63999999999999"/>
    <m/>
    <m/>
    <n v="5"/>
  </r>
  <r>
    <x v="9746"/>
    <x v="1948"/>
    <x v="0"/>
    <n v="3"/>
    <n v="900.24"/>
    <x v="87"/>
    <x v="0"/>
    <x v="4"/>
    <n v="2700.7200000000003"/>
    <m/>
    <m/>
    <n v="5"/>
  </r>
  <r>
    <x v="9747"/>
    <x v="1948"/>
    <x v="5"/>
    <n v="3"/>
    <n v="1800.51"/>
    <x v="187"/>
    <x v="1"/>
    <x v="4"/>
    <n v="5401.53"/>
    <m/>
    <m/>
    <n v="5"/>
  </r>
  <r>
    <x v="9748"/>
    <x v="1948"/>
    <x v="7"/>
    <n v="5"/>
    <n v="58.65"/>
    <x v="762"/>
    <x v="4"/>
    <x v="4"/>
    <n v="293.25"/>
    <m/>
    <m/>
    <n v="5"/>
  </r>
  <r>
    <x v="9749"/>
    <x v="1948"/>
    <x v="2"/>
    <n v="4"/>
    <n v="20.92"/>
    <x v="431"/>
    <x v="6"/>
    <x v="3"/>
    <n v="83.68"/>
    <m/>
    <m/>
    <n v="7"/>
  </r>
  <r>
    <x v="9750"/>
    <x v="1949"/>
    <x v="0"/>
    <n v="3"/>
    <n v="900.24"/>
    <x v="673"/>
    <x v="9"/>
    <x v="0"/>
    <n v="2700.7200000000003"/>
    <m/>
    <m/>
    <n v="7"/>
  </r>
  <r>
    <x v="9751"/>
    <x v="1949"/>
    <x v="3"/>
    <n v="3"/>
    <n v="45.45"/>
    <x v="193"/>
    <x v="8"/>
    <x v="1"/>
    <n v="136.35000000000002"/>
    <m/>
    <m/>
    <n v="7"/>
  </r>
  <r>
    <x v="9752"/>
    <x v="1949"/>
    <x v="0"/>
    <n v="4"/>
    <n v="1200.32"/>
    <x v="210"/>
    <x v="1"/>
    <x v="3"/>
    <n v="4801.28"/>
    <m/>
    <m/>
    <n v="7"/>
  </r>
  <r>
    <x v="9753"/>
    <x v="1949"/>
    <x v="0"/>
    <n v="4"/>
    <n v="1200.32"/>
    <x v="732"/>
    <x v="0"/>
    <x v="0"/>
    <n v="4801.28"/>
    <m/>
    <m/>
    <n v="7"/>
  </r>
  <r>
    <x v="9754"/>
    <x v="1950"/>
    <x v="0"/>
    <n v="4"/>
    <n v="1200.32"/>
    <x v="663"/>
    <x v="4"/>
    <x v="2"/>
    <n v="4801.28"/>
    <m/>
    <m/>
    <n v="5"/>
  </r>
  <r>
    <x v="9755"/>
    <x v="1950"/>
    <x v="0"/>
    <n v="1"/>
    <n v="300.08"/>
    <x v="477"/>
    <x v="4"/>
    <x v="3"/>
    <n v="300.08"/>
    <m/>
    <m/>
    <n v="5"/>
  </r>
  <r>
    <x v="9756"/>
    <x v="1950"/>
    <x v="6"/>
    <n v="1"/>
    <n v="35.840000000000003"/>
    <x v="602"/>
    <x v="4"/>
    <x v="2"/>
    <n v="35.840000000000003"/>
    <m/>
    <m/>
    <n v="7"/>
  </r>
  <r>
    <x v="9757"/>
    <x v="1950"/>
    <x v="5"/>
    <n v="5"/>
    <n v="3000.85"/>
    <x v="487"/>
    <x v="6"/>
    <x v="4"/>
    <n v="15004.25"/>
    <m/>
    <m/>
    <n v="7"/>
  </r>
  <r>
    <x v="9758"/>
    <x v="1950"/>
    <x v="0"/>
    <n v="5"/>
    <n v="1500.4"/>
    <x v="260"/>
    <x v="6"/>
    <x v="1"/>
    <n v="7502"/>
    <m/>
    <m/>
    <n v="7"/>
  </r>
  <r>
    <x v="9759"/>
    <x v="1950"/>
    <x v="0"/>
    <n v="1"/>
    <n v="300.08"/>
    <x v="699"/>
    <x v="9"/>
    <x v="3"/>
    <n v="300.08"/>
    <m/>
    <m/>
    <n v="7"/>
  </r>
  <r>
    <x v="9760"/>
    <x v="1951"/>
    <x v="0"/>
    <n v="3"/>
    <n v="900.24"/>
    <x v="104"/>
    <x v="6"/>
    <x v="1"/>
    <n v="2700.7200000000003"/>
    <m/>
    <m/>
    <n v="5"/>
  </r>
  <r>
    <x v="9761"/>
    <x v="1951"/>
    <x v="1"/>
    <n v="2"/>
    <n v="81.319999999999993"/>
    <x v="408"/>
    <x v="1"/>
    <x v="4"/>
    <n v="162.63999999999999"/>
    <m/>
    <m/>
    <n v="5"/>
  </r>
  <r>
    <x v="9762"/>
    <x v="1951"/>
    <x v="6"/>
    <n v="5"/>
    <n v="179.2"/>
    <x v="502"/>
    <x v="9"/>
    <x v="2"/>
    <n v="896"/>
    <m/>
    <m/>
    <n v="5"/>
  </r>
  <r>
    <x v="9763"/>
    <x v="1951"/>
    <x v="0"/>
    <n v="2"/>
    <n v="600.16"/>
    <x v="659"/>
    <x v="1"/>
    <x v="2"/>
    <n v="1200.32"/>
    <m/>
    <m/>
    <n v="7"/>
  </r>
  <r>
    <x v="9764"/>
    <x v="1951"/>
    <x v="5"/>
    <n v="5"/>
    <n v="3000.85"/>
    <x v="772"/>
    <x v="0"/>
    <x v="2"/>
    <n v="15004.25"/>
    <m/>
    <m/>
    <n v="7"/>
  </r>
  <r>
    <x v="9765"/>
    <x v="1952"/>
    <x v="0"/>
    <n v="5"/>
    <n v="1500.4"/>
    <x v="192"/>
    <x v="5"/>
    <x v="4"/>
    <n v="7502"/>
    <m/>
    <m/>
    <n v="7"/>
  </r>
  <r>
    <x v="9766"/>
    <x v="1952"/>
    <x v="6"/>
    <n v="2"/>
    <n v="71.680000000000007"/>
    <x v="273"/>
    <x v="1"/>
    <x v="3"/>
    <n v="143.36000000000001"/>
    <m/>
    <m/>
    <n v="7"/>
  </r>
  <r>
    <x v="9767"/>
    <x v="1953"/>
    <x v="3"/>
    <n v="1"/>
    <n v="15.15"/>
    <x v="68"/>
    <x v="5"/>
    <x v="4"/>
    <n v="15.15"/>
    <m/>
    <m/>
    <n v="5"/>
  </r>
  <r>
    <x v="9768"/>
    <x v="1953"/>
    <x v="4"/>
    <n v="1"/>
    <n v="1050"/>
    <x v="305"/>
    <x v="1"/>
    <x v="0"/>
    <n v="1050"/>
    <m/>
    <m/>
    <n v="5"/>
  </r>
  <r>
    <x v="9769"/>
    <x v="1953"/>
    <x v="3"/>
    <n v="1"/>
    <n v="15.15"/>
    <x v="324"/>
    <x v="2"/>
    <x v="4"/>
    <n v="15.15"/>
    <m/>
    <m/>
    <n v="5"/>
  </r>
  <r>
    <x v="9770"/>
    <x v="1953"/>
    <x v="5"/>
    <n v="4"/>
    <n v="2400.6799999999998"/>
    <x v="627"/>
    <x v="9"/>
    <x v="4"/>
    <n v="9602.7199999999993"/>
    <m/>
    <m/>
    <n v="5"/>
  </r>
  <r>
    <x v="9771"/>
    <x v="1953"/>
    <x v="3"/>
    <n v="4"/>
    <n v="60.6"/>
    <x v="543"/>
    <x v="5"/>
    <x v="0"/>
    <n v="242.4"/>
    <m/>
    <m/>
    <n v="5"/>
  </r>
  <r>
    <x v="9772"/>
    <x v="1953"/>
    <x v="6"/>
    <n v="1"/>
    <n v="35.840000000000003"/>
    <x v="370"/>
    <x v="1"/>
    <x v="0"/>
    <n v="35.840000000000003"/>
    <m/>
    <m/>
    <n v="7"/>
  </r>
  <r>
    <x v="9773"/>
    <x v="1953"/>
    <x v="2"/>
    <n v="3"/>
    <n v="15.69"/>
    <x v="476"/>
    <x v="0"/>
    <x v="0"/>
    <n v="47.07"/>
    <m/>
    <m/>
    <n v="7"/>
  </r>
  <r>
    <x v="9774"/>
    <x v="1954"/>
    <x v="1"/>
    <n v="4"/>
    <n v="162.63999999999999"/>
    <x v="204"/>
    <x v="9"/>
    <x v="1"/>
    <n v="650.55999999999995"/>
    <m/>
    <m/>
    <n v="5"/>
  </r>
  <r>
    <x v="9775"/>
    <x v="1954"/>
    <x v="0"/>
    <n v="4"/>
    <n v="1200.32"/>
    <x v="581"/>
    <x v="1"/>
    <x v="1"/>
    <n v="4801.28"/>
    <m/>
    <m/>
    <n v="7"/>
  </r>
  <r>
    <x v="9776"/>
    <x v="1954"/>
    <x v="2"/>
    <n v="4"/>
    <n v="20.92"/>
    <x v="154"/>
    <x v="1"/>
    <x v="0"/>
    <n v="83.68"/>
    <m/>
    <m/>
    <n v="7"/>
  </r>
  <r>
    <x v="9777"/>
    <x v="1954"/>
    <x v="0"/>
    <n v="5"/>
    <n v="1500.4"/>
    <x v="528"/>
    <x v="1"/>
    <x v="0"/>
    <n v="7502"/>
    <m/>
    <m/>
    <n v="7"/>
  </r>
  <r>
    <x v="9778"/>
    <x v="1954"/>
    <x v="1"/>
    <n v="1"/>
    <n v="40.659999999999997"/>
    <x v="540"/>
    <x v="6"/>
    <x v="2"/>
    <n v="40.659999999999997"/>
    <m/>
    <m/>
    <n v="7"/>
  </r>
  <r>
    <x v="9779"/>
    <x v="1955"/>
    <x v="1"/>
    <n v="3"/>
    <n v="121.98"/>
    <x v="314"/>
    <x v="1"/>
    <x v="4"/>
    <n v="365.94"/>
    <m/>
    <m/>
    <n v="5"/>
  </r>
  <r>
    <x v="9780"/>
    <x v="1955"/>
    <x v="6"/>
    <n v="4"/>
    <n v="143.36000000000001"/>
    <x v="677"/>
    <x v="0"/>
    <x v="4"/>
    <n v="573.44000000000005"/>
    <m/>
    <m/>
    <n v="5"/>
  </r>
  <r>
    <x v="9781"/>
    <x v="1955"/>
    <x v="6"/>
    <n v="1"/>
    <n v="35.840000000000003"/>
    <x v="210"/>
    <x v="8"/>
    <x v="1"/>
    <n v="35.840000000000003"/>
    <m/>
    <m/>
    <n v="7"/>
  </r>
  <r>
    <x v="9782"/>
    <x v="1955"/>
    <x v="0"/>
    <n v="5"/>
    <n v="1500.4"/>
    <x v="29"/>
    <x v="7"/>
    <x v="0"/>
    <n v="7502"/>
    <m/>
    <m/>
    <n v="7"/>
  </r>
  <r>
    <x v="9783"/>
    <x v="1955"/>
    <x v="0"/>
    <n v="2"/>
    <n v="600.16"/>
    <x v="256"/>
    <x v="6"/>
    <x v="2"/>
    <n v="1200.32"/>
    <m/>
    <m/>
    <n v="7"/>
  </r>
  <r>
    <x v="9784"/>
    <x v="1955"/>
    <x v="2"/>
    <n v="1"/>
    <n v="5.23"/>
    <x v="50"/>
    <x v="1"/>
    <x v="3"/>
    <n v="5.23"/>
    <m/>
    <m/>
    <n v="10"/>
  </r>
  <r>
    <x v="9785"/>
    <x v="1956"/>
    <x v="0"/>
    <n v="5"/>
    <n v="1500.4"/>
    <x v="453"/>
    <x v="6"/>
    <x v="1"/>
    <n v="7502"/>
    <m/>
    <m/>
    <n v="5"/>
  </r>
  <r>
    <x v="9786"/>
    <x v="1956"/>
    <x v="0"/>
    <n v="4"/>
    <n v="1200.32"/>
    <x v="38"/>
    <x v="2"/>
    <x v="1"/>
    <n v="4801.28"/>
    <m/>
    <m/>
    <n v="5"/>
  </r>
  <r>
    <x v="9787"/>
    <x v="1956"/>
    <x v="5"/>
    <n v="2"/>
    <n v="1200.3399999999999"/>
    <x v="176"/>
    <x v="1"/>
    <x v="4"/>
    <n v="2400.6799999999998"/>
    <m/>
    <m/>
    <n v="5"/>
  </r>
  <r>
    <x v="9788"/>
    <x v="1956"/>
    <x v="0"/>
    <n v="3"/>
    <n v="900.24"/>
    <x v="677"/>
    <x v="0"/>
    <x v="0"/>
    <n v="2700.7200000000003"/>
    <m/>
    <m/>
    <n v="5"/>
  </r>
  <r>
    <x v="9789"/>
    <x v="1956"/>
    <x v="0"/>
    <n v="5"/>
    <n v="1500.4"/>
    <x v="774"/>
    <x v="1"/>
    <x v="0"/>
    <n v="7502"/>
    <m/>
    <m/>
    <n v="7"/>
  </r>
  <r>
    <x v="9790"/>
    <x v="1956"/>
    <x v="0"/>
    <n v="4"/>
    <n v="1200.32"/>
    <x v="3"/>
    <x v="6"/>
    <x v="3"/>
    <n v="4801.28"/>
    <m/>
    <m/>
    <n v="7"/>
  </r>
  <r>
    <x v="9791"/>
    <x v="1956"/>
    <x v="2"/>
    <n v="3"/>
    <n v="15.69"/>
    <x v="192"/>
    <x v="9"/>
    <x v="4"/>
    <n v="47.07"/>
    <m/>
    <m/>
    <n v="7"/>
  </r>
  <r>
    <x v="9792"/>
    <x v="1956"/>
    <x v="1"/>
    <n v="2"/>
    <n v="81.319999999999993"/>
    <x v="558"/>
    <x v="4"/>
    <x v="0"/>
    <n v="162.63999999999999"/>
    <m/>
    <m/>
    <n v="7"/>
  </r>
  <r>
    <x v="9793"/>
    <x v="1957"/>
    <x v="5"/>
    <n v="4"/>
    <n v="2400.6799999999998"/>
    <x v="619"/>
    <x v="6"/>
    <x v="2"/>
    <n v="9602.7199999999993"/>
    <m/>
    <m/>
    <n v="5"/>
  </r>
  <r>
    <x v="9794"/>
    <x v="1957"/>
    <x v="1"/>
    <n v="4"/>
    <n v="162.63999999999999"/>
    <x v="149"/>
    <x v="0"/>
    <x v="1"/>
    <n v="650.55999999999995"/>
    <m/>
    <m/>
    <n v="5"/>
  </r>
  <r>
    <x v="9795"/>
    <x v="1957"/>
    <x v="5"/>
    <n v="4"/>
    <n v="2400.6799999999998"/>
    <x v="475"/>
    <x v="1"/>
    <x v="4"/>
    <n v="9602.7199999999993"/>
    <m/>
    <m/>
    <n v="5"/>
  </r>
  <r>
    <x v="9796"/>
    <x v="1957"/>
    <x v="1"/>
    <n v="2"/>
    <n v="81.319999999999993"/>
    <x v="477"/>
    <x v="1"/>
    <x v="2"/>
    <n v="162.63999999999999"/>
    <m/>
    <m/>
    <n v="5"/>
  </r>
  <r>
    <x v="9797"/>
    <x v="1958"/>
    <x v="2"/>
    <n v="3"/>
    <n v="15.69"/>
    <x v="99"/>
    <x v="0"/>
    <x v="1"/>
    <n v="47.07"/>
    <m/>
    <m/>
    <n v="5"/>
  </r>
  <r>
    <x v="9798"/>
    <x v="1958"/>
    <x v="5"/>
    <n v="4"/>
    <n v="2400.6799999999998"/>
    <x v="89"/>
    <x v="4"/>
    <x v="0"/>
    <n v="9602.7199999999993"/>
    <m/>
    <m/>
    <n v="5"/>
  </r>
  <r>
    <x v="9799"/>
    <x v="1958"/>
    <x v="0"/>
    <n v="4"/>
    <n v="1200.32"/>
    <x v="515"/>
    <x v="9"/>
    <x v="4"/>
    <n v="4801.28"/>
    <m/>
    <m/>
    <n v="7"/>
  </r>
  <r>
    <x v="9800"/>
    <x v="1958"/>
    <x v="0"/>
    <n v="1"/>
    <n v="300.08"/>
    <x v="611"/>
    <x v="9"/>
    <x v="4"/>
    <n v="300.08"/>
    <m/>
    <m/>
    <n v="7"/>
  </r>
  <r>
    <x v="9801"/>
    <x v="1959"/>
    <x v="5"/>
    <n v="4"/>
    <n v="2400.6799999999998"/>
    <x v="708"/>
    <x v="5"/>
    <x v="2"/>
    <n v="9602.7199999999993"/>
    <m/>
    <m/>
    <n v="5"/>
  </r>
  <r>
    <x v="9802"/>
    <x v="1959"/>
    <x v="3"/>
    <n v="1"/>
    <n v="15.15"/>
    <x v="594"/>
    <x v="4"/>
    <x v="1"/>
    <n v="15.15"/>
    <m/>
    <m/>
    <n v="7"/>
  </r>
  <r>
    <x v="9803"/>
    <x v="1959"/>
    <x v="0"/>
    <n v="2"/>
    <n v="600.16"/>
    <x v="706"/>
    <x v="2"/>
    <x v="0"/>
    <n v="1200.32"/>
    <m/>
    <m/>
    <n v="7"/>
  </r>
  <r>
    <x v="9804"/>
    <x v="1959"/>
    <x v="1"/>
    <n v="4"/>
    <n v="162.63999999999999"/>
    <x v="130"/>
    <x v="6"/>
    <x v="0"/>
    <n v="650.55999999999995"/>
    <m/>
    <m/>
    <n v="7"/>
  </r>
  <r>
    <x v="9805"/>
    <x v="1959"/>
    <x v="0"/>
    <n v="3"/>
    <n v="900.24"/>
    <x v="54"/>
    <x v="9"/>
    <x v="0"/>
    <n v="2700.7200000000003"/>
    <m/>
    <m/>
    <n v="10"/>
  </r>
  <r>
    <x v="9806"/>
    <x v="1960"/>
    <x v="1"/>
    <n v="2"/>
    <n v="81.319999999999993"/>
    <x v="535"/>
    <x v="4"/>
    <x v="1"/>
    <n v="162.63999999999999"/>
    <m/>
    <m/>
    <n v="5"/>
  </r>
  <r>
    <x v="9807"/>
    <x v="1960"/>
    <x v="6"/>
    <n v="3"/>
    <n v="107.52"/>
    <x v="172"/>
    <x v="4"/>
    <x v="0"/>
    <n v="322.56"/>
    <m/>
    <m/>
    <n v="5"/>
  </r>
  <r>
    <x v="9808"/>
    <x v="1960"/>
    <x v="7"/>
    <n v="3"/>
    <n v="35.19"/>
    <x v="301"/>
    <x v="6"/>
    <x v="1"/>
    <n v="105.57"/>
    <m/>
    <m/>
    <n v="5"/>
  </r>
  <r>
    <x v="9809"/>
    <x v="1960"/>
    <x v="1"/>
    <n v="4"/>
    <n v="162.63999999999999"/>
    <x v="10"/>
    <x v="0"/>
    <x v="1"/>
    <n v="650.55999999999995"/>
    <m/>
    <m/>
    <n v="5"/>
  </r>
  <r>
    <x v="9810"/>
    <x v="1960"/>
    <x v="0"/>
    <n v="2"/>
    <n v="600.16"/>
    <x v="231"/>
    <x v="0"/>
    <x v="0"/>
    <n v="1200.32"/>
    <m/>
    <m/>
    <n v="5"/>
  </r>
  <r>
    <x v="9811"/>
    <x v="1960"/>
    <x v="4"/>
    <n v="1"/>
    <n v="1050"/>
    <x v="56"/>
    <x v="0"/>
    <x v="4"/>
    <n v="1050"/>
    <m/>
    <m/>
    <n v="7"/>
  </r>
  <r>
    <x v="9812"/>
    <x v="1960"/>
    <x v="3"/>
    <n v="2"/>
    <n v="30.3"/>
    <x v="764"/>
    <x v="4"/>
    <x v="4"/>
    <n v="60.6"/>
    <m/>
    <m/>
    <n v="7"/>
  </r>
  <r>
    <x v="9813"/>
    <x v="1961"/>
    <x v="0"/>
    <n v="2"/>
    <n v="600.16"/>
    <x v="518"/>
    <x v="9"/>
    <x v="1"/>
    <n v="1200.32"/>
    <m/>
    <m/>
    <n v="5"/>
  </r>
  <r>
    <x v="9814"/>
    <x v="1961"/>
    <x v="0"/>
    <n v="1"/>
    <n v="300.08"/>
    <x v="522"/>
    <x v="0"/>
    <x v="4"/>
    <n v="300.08"/>
    <m/>
    <m/>
    <n v="5"/>
  </r>
  <r>
    <x v="9815"/>
    <x v="1961"/>
    <x v="0"/>
    <n v="3"/>
    <n v="900.24"/>
    <x v="777"/>
    <x v="9"/>
    <x v="1"/>
    <n v="2700.7200000000003"/>
    <m/>
    <m/>
    <n v="7"/>
  </r>
  <r>
    <x v="9816"/>
    <x v="1961"/>
    <x v="0"/>
    <n v="2"/>
    <n v="600.16"/>
    <x v="514"/>
    <x v="9"/>
    <x v="2"/>
    <n v="1200.32"/>
    <m/>
    <m/>
    <n v="7"/>
  </r>
  <r>
    <x v="9817"/>
    <x v="1962"/>
    <x v="0"/>
    <n v="4"/>
    <n v="1200.32"/>
    <x v="278"/>
    <x v="9"/>
    <x v="2"/>
    <n v="4801.28"/>
    <m/>
    <m/>
    <n v="5"/>
  </r>
  <r>
    <x v="9818"/>
    <x v="1962"/>
    <x v="2"/>
    <n v="1"/>
    <n v="5.23"/>
    <x v="717"/>
    <x v="6"/>
    <x v="2"/>
    <n v="5.23"/>
    <m/>
    <m/>
    <n v="5"/>
  </r>
  <r>
    <x v="9819"/>
    <x v="1962"/>
    <x v="1"/>
    <n v="3"/>
    <n v="121.98"/>
    <x v="9"/>
    <x v="1"/>
    <x v="3"/>
    <n v="365.94"/>
    <m/>
    <m/>
    <n v="7"/>
  </r>
  <r>
    <x v="9820"/>
    <x v="1962"/>
    <x v="2"/>
    <n v="5"/>
    <n v="26.15"/>
    <x v="263"/>
    <x v="4"/>
    <x v="3"/>
    <n v="130.75"/>
    <m/>
    <m/>
    <n v="7"/>
  </r>
  <r>
    <x v="9821"/>
    <x v="1962"/>
    <x v="5"/>
    <n v="2"/>
    <n v="1200.3399999999999"/>
    <x v="413"/>
    <x v="9"/>
    <x v="0"/>
    <n v="2400.6799999999998"/>
    <m/>
    <m/>
    <n v="7"/>
  </r>
  <r>
    <x v="9822"/>
    <x v="1963"/>
    <x v="1"/>
    <n v="5"/>
    <n v="203.3"/>
    <x v="239"/>
    <x v="5"/>
    <x v="0"/>
    <n v="1016.5"/>
    <m/>
    <m/>
    <n v="5"/>
  </r>
  <r>
    <x v="9823"/>
    <x v="1963"/>
    <x v="1"/>
    <n v="3"/>
    <n v="121.98"/>
    <x v="498"/>
    <x v="1"/>
    <x v="0"/>
    <n v="365.94"/>
    <m/>
    <m/>
    <n v="5"/>
  </r>
  <r>
    <x v="9824"/>
    <x v="1963"/>
    <x v="0"/>
    <n v="1"/>
    <n v="300.08"/>
    <x v="655"/>
    <x v="3"/>
    <x v="2"/>
    <n v="300.08"/>
    <m/>
    <m/>
    <n v="5"/>
  </r>
  <r>
    <x v="9825"/>
    <x v="1963"/>
    <x v="4"/>
    <n v="4"/>
    <n v="4200"/>
    <x v="413"/>
    <x v="0"/>
    <x v="0"/>
    <n v="16800"/>
    <m/>
    <m/>
    <n v="7"/>
  </r>
  <r>
    <x v="9826"/>
    <x v="1964"/>
    <x v="0"/>
    <n v="1"/>
    <n v="300.08"/>
    <x v="326"/>
    <x v="0"/>
    <x v="0"/>
    <n v="300.08"/>
    <m/>
    <m/>
    <n v="5"/>
  </r>
  <r>
    <x v="9827"/>
    <x v="1964"/>
    <x v="4"/>
    <n v="3"/>
    <n v="3150"/>
    <x v="106"/>
    <x v="8"/>
    <x v="4"/>
    <n v="9450"/>
    <m/>
    <m/>
    <n v="5"/>
  </r>
  <r>
    <x v="9828"/>
    <x v="1964"/>
    <x v="0"/>
    <n v="4"/>
    <n v="1200.32"/>
    <x v="656"/>
    <x v="6"/>
    <x v="0"/>
    <n v="4801.28"/>
    <m/>
    <m/>
    <n v="5"/>
  </r>
  <r>
    <x v="9829"/>
    <x v="1964"/>
    <x v="7"/>
    <n v="2"/>
    <n v="23.46"/>
    <x v="152"/>
    <x v="0"/>
    <x v="3"/>
    <n v="46.92"/>
    <m/>
    <m/>
    <n v="7"/>
  </r>
  <r>
    <x v="9830"/>
    <x v="1964"/>
    <x v="6"/>
    <n v="5"/>
    <n v="179.2"/>
    <x v="153"/>
    <x v="1"/>
    <x v="1"/>
    <n v="896"/>
    <m/>
    <m/>
    <n v="7"/>
  </r>
  <r>
    <x v="9831"/>
    <x v="1964"/>
    <x v="0"/>
    <n v="4"/>
    <n v="1200.32"/>
    <x v="528"/>
    <x v="7"/>
    <x v="4"/>
    <n v="4801.28"/>
    <m/>
    <m/>
    <n v="7"/>
  </r>
  <r>
    <x v="9832"/>
    <x v="1964"/>
    <x v="7"/>
    <n v="1"/>
    <n v="11.73"/>
    <x v="26"/>
    <x v="1"/>
    <x v="2"/>
    <n v="11.73"/>
    <m/>
    <m/>
    <n v="10"/>
  </r>
  <r>
    <x v="9833"/>
    <x v="1965"/>
    <x v="0"/>
    <n v="4"/>
    <n v="1200.32"/>
    <x v="729"/>
    <x v="2"/>
    <x v="4"/>
    <n v="4801.28"/>
    <m/>
    <m/>
    <n v="7"/>
  </r>
  <r>
    <x v="9834"/>
    <x v="1965"/>
    <x v="3"/>
    <n v="2"/>
    <n v="30.3"/>
    <x v="388"/>
    <x v="3"/>
    <x v="4"/>
    <n v="60.6"/>
    <m/>
    <m/>
    <n v="7"/>
  </r>
  <r>
    <x v="9835"/>
    <x v="1965"/>
    <x v="1"/>
    <n v="1"/>
    <n v="40.659999999999997"/>
    <x v="153"/>
    <x v="9"/>
    <x v="3"/>
    <n v="40.659999999999997"/>
    <m/>
    <m/>
    <n v="7"/>
  </r>
  <r>
    <x v="9836"/>
    <x v="1965"/>
    <x v="3"/>
    <n v="2"/>
    <n v="30.3"/>
    <x v="125"/>
    <x v="7"/>
    <x v="3"/>
    <n v="60.6"/>
    <m/>
    <m/>
    <n v="7"/>
  </r>
  <r>
    <x v="9837"/>
    <x v="1965"/>
    <x v="1"/>
    <n v="4"/>
    <n v="162.63999999999999"/>
    <x v="597"/>
    <x v="0"/>
    <x v="4"/>
    <n v="650.55999999999995"/>
    <m/>
    <m/>
    <n v="7"/>
  </r>
  <r>
    <x v="9838"/>
    <x v="1965"/>
    <x v="0"/>
    <n v="5"/>
    <n v="1500.4"/>
    <x v="472"/>
    <x v="0"/>
    <x v="3"/>
    <n v="7502"/>
    <m/>
    <m/>
    <n v="7"/>
  </r>
  <r>
    <x v="9839"/>
    <x v="1965"/>
    <x v="1"/>
    <n v="5"/>
    <n v="203.3"/>
    <x v="243"/>
    <x v="0"/>
    <x v="2"/>
    <n v="1016.5"/>
    <m/>
    <m/>
    <n v="7"/>
  </r>
  <r>
    <x v="9840"/>
    <x v="1965"/>
    <x v="0"/>
    <n v="1"/>
    <n v="300.08"/>
    <x v="769"/>
    <x v="2"/>
    <x v="2"/>
    <n v="300.08"/>
    <m/>
    <m/>
    <n v="10"/>
  </r>
  <r>
    <x v="9841"/>
    <x v="1966"/>
    <x v="0"/>
    <n v="5"/>
    <n v="1500.4"/>
    <x v="202"/>
    <x v="5"/>
    <x v="2"/>
    <n v="7502"/>
    <m/>
    <m/>
    <n v="5"/>
  </r>
  <r>
    <x v="9842"/>
    <x v="1966"/>
    <x v="2"/>
    <n v="2"/>
    <n v="10.46"/>
    <x v="59"/>
    <x v="0"/>
    <x v="0"/>
    <n v="20.92"/>
    <m/>
    <m/>
    <n v="7"/>
  </r>
  <r>
    <x v="9843"/>
    <x v="1966"/>
    <x v="1"/>
    <n v="1"/>
    <n v="40.659999999999997"/>
    <x v="561"/>
    <x v="0"/>
    <x v="4"/>
    <n v="40.659999999999997"/>
    <m/>
    <m/>
    <n v="7"/>
  </r>
  <r>
    <x v="9844"/>
    <x v="1966"/>
    <x v="3"/>
    <n v="1"/>
    <n v="15.15"/>
    <x v="37"/>
    <x v="1"/>
    <x v="4"/>
    <n v="15.15"/>
    <m/>
    <m/>
    <n v="7"/>
  </r>
  <r>
    <x v="9845"/>
    <x v="1966"/>
    <x v="0"/>
    <n v="2"/>
    <n v="600.16"/>
    <x v="50"/>
    <x v="6"/>
    <x v="3"/>
    <n v="1200.32"/>
    <m/>
    <m/>
    <n v="10"/>
  </r>
  <r>
    <x v="9846"/>
    <x v="1967"/>
    <x v="7"/>
    <n v="2"/>
    <n v="23.46"/>
    <x v="687"/>
    <x v="6"/>
    <x v="4"/>
    <n v="46.92"/>
    <m/>
    <m/>
    <n v="5"/>
  </r>
  <r>
    <x v="9847"/>
    <x v="1967"/>
    <x v="0"/>
    <n v="3"/>
    <n v="900.24"/>
    <x v="622"/>
    <x v="0"/>
    <x v="0"/>
    <n v="2700.7200000000003"/>
    <m/>
    <m/>
    <n v="7"/>
  </r>
  <r>
    <x v="9848"/>
    <x v="1968"/>
    <x v="1"/>
    <n v="5"/>
    <n v="203.3"/>
    <x v="657"/>
    <x v="1"/>
    <x v="0"/>
    <n v="1016.5"/>
    <m/>
    <m/>
    <n v="5"/>
  </r>
  <r>
    <x v="9849"/>
    <x v="1968"/>
    <x v="6"/>
    <n v="4"/>
    <n v="143.36000000000001"/>
    <x v="66"/>
    <x v="7"/>
    <x v="3"/>
    <n v="573.44000000000005"/>
    <m/>
    <m/>
    <n v="7"/>
  </r>
  <r>
    <x v="9850"/>
    <x v="1968"/>
    <x v="6"/>
    <n v="3"/>
    <n v="107.52"/>
    <x v="56"/>
    <x v="3"/>
    <x v="4"/>
    <n v="322.56"/>
    <m/>
    <m/>
    <n v="7"/>
  </r>
  <r>
    <x v="9851"/>
    <x v="1968"/>
    <x v="1"/>
    <n v="1"/>
    <n v="40.659999999999997"/>
    <x v="36"/>
    <x v="1"/>
    <x v="1"/>
    <n v="40.659999999999997"/>
    <m/>
    <m/>
    <n v="7"/>
  </r>
  <r>
    <x v="9852"/>
    <x v="1969"/>
    <x v="4"/>
    <n v="3"/>
    <n v="3150"/>
    <x v="1"/>
    <x v="6"/>
    <x v="1"/>
    <n v="9450"/>
    <m/>
    <m/>
    <n v="5"/>
  </r>
  <r>
    <x v="9853"/>
    <x v="1969"/>
    <x v="0"/>
    <n v="2"/>
    <n v="600.16"/>
    <x v="459"/>
    <x v="6"/>
    <x v="2"/>
    <n v="1200.32"/>
    <m/>
    <m/>
    <n v="5"/>
  </r>
  <r>
    <x v="9854"/>
    <x v="1969"/>
    <x v="2"/>
    <n v="4"/>
    <n v="20.92"/>
    <x v="587"/>
    <x v="9"/>
    <x v="0"/>
    <n v="83.68"/>
    <m/>
    <m/>
    <n v="5"/>
  </r>
  <r>
    <x v="9855"/>
    <x v="1969"/>
    <x v="2"/>
    <n v="4"/>
    <n v="20.92"/>
    <x v="556"/>
    <x v="0"/>
    <x v="2"/>
    <n v="83.68"/>
    <m/>
    <m/>
    <n v="5"/>
  </r>
  <r>
    <x v="9856"/>
    <x v="1969"/>
    <x v="5"/>
    <n v="4"/>
    <n v="2400.6799999999998"/>
    <x v="350"/>
    <x v="0"/>
    <x v="1"/>
    <n v="9602.7199999999993"/>
    <m/>
    <m/>
    <n v="7"/>
  </r>
  <r>
    <x v="9857"/>
    <x v="1970"/>
    <x v="0"/>
    <n v="3"/>
    <n v="900.24"/>
    <x v="757"/>
    <x v="1"/>
    <x v="1"/>
    <n v="2700.7200000000003"/>
    <m/>
    <m/>
    <n v="5"/>
  </r>
  <r>
    <x v="9858"/>
    <x v="1970"/>
    <x v="7"/>
    <n v="2"/>
    <n v="23.46"/>
    <x v="648"/>
    <x v="6"/>
    <x v="2"/>
    <n v="46.92"/>
    <m/>
    <m/>
    <n v="5"/>
  </r>
  <r>
    <x v="9859"/>
    <x v="1971"/>
    <x v="5"/>
    <n v="1"/>
    <n v="600.16999999999996"/>
    <x v="184"/>
    <x v="1"/>
    <x v="3"/>
    <n v="600.16999999999996"/>
    <m/>
    <m/>
    <n v="5"/>
  </r>
  <r>
    <x v="9860"/>
    <x v="1971"/>
    <x v="0"/>
    <n v="4"/>
    <n v="1200.32"/>
    <x v="678"/>
    <x v="5"/>
    <x v="0"/>
    <n v="4801.28"/>
    <m/>
    <m/>
    <n v="5"/>
  </r>
  <r>
    <x v="9861"/>
    <x v="1971"/>
    <x v="6"/>
    <n v="2"/>
    <n v="71.680000000000007"/>
    <x v="557"/>
    <x v="1"/>
    <x v="1"/>
    <n v="143.36000000000001"/>
    <m/>
    <m/>
    <n v="7"/>
  </r>
  <r>
    <x v="9862"/>
    <x v="1971"/>
    <x v="5"/>
    <n v="5"/>
    <n v="3000.85"/>
    <x v="367"/>
    <x v="0"/>
    <x v="4"/>
    <n v="15004.25"/>
    <m/>
    <m/>
    <n v="7"/>
  </r>
  <r>
    <x v="9863"/>
    <x v="1971"/>
    <x v="5"/>
    <n v="5"/>
    <n v="3000.85"/>
    <x v="60"/>
    <x v="1"/>
    <x v="3"/>
    <n v="15004.25"/>
    <m/>
    <m/>
    <n v="10"/>
  </r>
  <r>
    <x v="9864"/>
    <x v="1971"/>
    <x v="3"/>
    <n v="1"/>
    <n v="15.15"/>
    <x v="741"/>
    <x v="1"/>
    <x v="0"/>
    <n v="15.15"/>
    <m/>
    <m/>
    <n v="10"/>
  </r>
  <r>
    <x v="9865"/>
    <x v="1972"/>
    <x v="0"/>
    <n v="1"/>
    <n v="300.08"/>
    <x v="629"/>
    <x v="6"/>
    <x v="1"/>
    <n v="300.08"/>
    <m/>
    <m/>
    <n v="5"/>
  </r>
  <r>
    <x v="9866"/>
    <x v="1972"/>
    <x v="1"/>
    <n v="5"/>
    <n v="203.3"/>
    <x v="16"/>
    <x v="3"/>
    <x v="4"/>
    <n v="1016.5"/>
    <m/>
    <m/>
    <n v="7"/>
  </r>
  <r>
    <x v="9867"/>
    <x v="1972"/>
    <x v="0"/>
    <n v="1"/>
    <n v="300.08"/>
    <x v="617"/>
    <x v="0"/>
    <x v="0"/>
    <n v="300.08"/>
    <m/>
    <m/>
    <n v="7"/>
  </r>
  <r>
    <x v="9868"/>
    <x v="1972"/>
    <x v="6"/>
    <n v="4"/>
    <n v="143.36000000000001"/>
    <x v="631"/>
    <x v="5"/>
    <x v="4"/>
    <n v="573.44000000000005"/>
    <m/>
    <m/>
    <n v="7"/>
  </r>
  <r>
    <x v="9869"/>
    <x v="1972"/>
    <x v="4"/>
    <n v="5"/>
    <n v="5250"/>
    <x v="53"/>
    <x v="5"/>
    <x v="1"/>
    <n v="26250"/>
    <m/>
    <m/>
    <n v="10"/>
  </r>
  <r>
    <x v="9870"/>
    <x v="1973"/>
    <x v="2"/>
    <n v="3"/>
    <n v="15.69"/>
    <x v="775"/>
    <x v="0"/>
    <x v="1"/>
    <n v="47.07"/>
    <m/>
    <m/>
    <n v="5"/>
  </r>
  <r>
    <x v="9871"/>
    <x v="1973"/>
    <x v="6"/>
    <n v="4"/>
    <n v="143.36000000000001"/>
    <x v="462"/>
    <x v="9"/>
    <x v="2"/>
    <n v="573.44000000000005"/>
    <m/>
    <m/>
    <n v="5"/>
  </r>
  <r>
    <x v="9872"/>
    <x v="1973"/>
    <x v="7"/>
    <n v="3"/>
    <n v="35.19"/>
    <x v="417"/>
    <x v="0"/>
    <x v="4"/>
    <n v="105.57"/>
    <m/>
    <m/>
    <n v="5"/>
  </r>
  <r>
    <x v="9873"/>
    <x v="1973"/>
    <x v="0"/>
    <n v="3"/>
    <n v="900.24"/>
    <x v="48"/>
    <x v="0"/>
    <x v="3"/>
    <n v="2700.7200000000003"/>
    <m/>
    <m/>
    <n v="7"/>
  </r>
  <r>
    <x v="9874"/>
    <x v="1973"/>
    <x v="1"/>
    <n v="3"/>
    <n v="121.98"/>
    <x v="342"/>
    <x v="6"/>
    <x v="1"/>
    <n v="365.94"/>
    <m/>
    <m/>
    <n v="7"/>
  </r>
  <r>
    <x v="9875"/>
    <x v="1974"/>
    <x v="0"/>
    <n v="1"/>
    <n v="300.08"/>
    <x v="120"/>
    <x v="4"/>
    <x v="4"/>
    <n v="300.08"/>
    <m/>
    <m/>
    <n v="5"/>
  </r>
  <r>
    <x v="9876"/>
    <x v="1974"/>
    <x v="4"/>
    <n v="2"/>
    <n v="2100"/>
    <x v="720"/>
    <x v="1"/>
    <x v="3"/>
    <n v="4200"/>
    <m/>
    <m/>
    <n v="5"/>
  </r>
  <r>
    <x v="9877"/>
    <x v="1974"/>
    <x v="1"/>
    <n v="2"/>
    <n v="81.319999999999993"/>
    <x v="703"/>
    <x v="6"/>
    <x v="0"/>
    <n v="162.63999999999999"/>
    <m/>
    <m/>
    <n v="7"/>
  </r>
  <r>
    <x v="9878"/>
    <x v="1974"/>
    <x v="1"/>
    <n v="4"/>
    <n v="162.63999999999999"/>
    <x v="8"/>
    <x v="6"/>
    <x v="2"/>
    <n v="650.55999999999995"/>
    <m/>
    <m/>
    <n v="7"/>
  </r>
  <r>
    <x v="9879"/>
    <x v="1974"/>
    <x v="0"/>
    <n v="3"/>
    <n v="900.24"/>
    <x v="363"/>
    <x v="7"/>
    <x v="2"/>
    <n v="2700.7200000000003"/>
    <m/>
    <m/>
    <n v="7"/>
  </r>
  <r>
    <x v="9880"/>
    <x v="1975"/>
    <x v="0"/>
    <n v="4"/>
    <n v="1200.32"/>
    <x v="369"/>
    <x v="0"/>
    <x v="3"/>
    <n v="4801.28"/>
    <m/>
    <m/>
    <n v="5"/>
  </r>
  <r>
    <x v="9881"/>
    <x v="1975"/>
    <x v="6"/>
    <n v="4"/>
    <n v="143.36000000000001"/>
    <x v="226"/>
    <x v="3"/>
    <x v="0"/>
    <n v="573.44000000000005"/>
    <m/>
    <m/>
    <n v="5"/>
  </r>
  <r>
    <x v="9882"/>
    <x v="1975"/>
    <x v="5"/>
    <n v="3"/>
    <n v="1800.51"/>
    <x v="196"/>
    <x v="8"/>
    <x v="4"/>
    <n v="5401.53"/>
    <m/>
    <m/>
    <n v="10"/>
  </r>
  <r>
    <x v="9883"/>
    <x v="1975"/>
    <x v="5"/>
    <n v="3"/>
    <n v="1800.51"/>
    <x v="722"/>
    <x v="6"/>
    <x v="3"/>
    <n v="5401.53"/>
    <m/>
    <m/>
    <n v="10"/>
  </r>
  <r>
    <x v="9884"/>
    <x v="1976"/>
    <x v="0"/>
    <n v="2"/>
    <n v="600.16"/>
    <x v="391"/>
    <x v="6"/>
    <x v="0"/>
    <n v="1200.32"/>
    <m/>
    <m/>
    <n v="7"/>
  </r>
  <r>
    <x v="9885"/>
    <x v="1976"/>
    <x v="0"/>
    <n v="2"/>
    <n v="600.16"/>
    <x v="456"/>
    <x v="7"/>
    <x v="2"/>
    <n v="1200.32"/>
    <m/>
    <m/>
    <n v="7"/>
  </r>
  <r>
    <x v="9886"/>
    <x v="1976"/>
    <x v="0"/>
    <n v="5"/>
    <n v="1500.4"/>
    <x v="289"/>
    <x v="8"/>
    <x v="1"/>
    <n v="7502"/>
    <m/>
    <m/>
    <n v="7"/>
  </r>
  <r>
    <x v="9887"/>
    <x v="1977"/>
    <x v="0"/>
    <n v="3"/>
    <n v="900.24"/>
    <x v="224"/>
    <x v="4"/>
    <x v="4"/>
    <n v="2700.7200000000003"/>
    <m/>
    <m/>
    <n v="5"/>
  </r>
  <r>
    <x v="9888"/>
    <x v="1977"/>
    <x v="2"/>
    <n v="1"/>
    <n v="5.23"/>
    <x v="743"/>
    <x v="6"/>
    <x v="4"/>
    <n v="5.23"/>
    <m/>
    <m/>
    <n v="5"/>
  </r>
  <r>
    <x v="9889"/>
    <x v="1977"/>
    <x v="7"/>
    <n v="4"/>
    <n v="46.92"/>
    <x v="327"/>
    <x v="6"/>
    <x v="4"/>
    <n v="187.68"/>
    <m/>
    <m/>
    <n v="5"/>
  </r>
  <r>
    <x v="9890"/>
    <x v="1978"/>
    <x v="2"/>
    <n v="5"/>
    <n v="26.15"/>
    <x v="490"/>
    <x v="3"/>
    <x v="1"/>
    <n v="130.75"/>
    <m/>
    <m/>
    <n v="5"/>
  </r>
  <r>
    <x v="9891"/>
    <x v="1978"/>
    <x v="0"/>
    <n v="5"/>
    <n v="1500.4"/>
    <x v="341"/>
    <x v="3"/>
    <x v="1"/>
    <n v="7502"/>
    <m/>
    <m/>
    <n v="5"/>
  </r>
  <r>
    <x v="9892"/>
    <x v="1978"/>
    <x v="3"/>
    <n v="2"/>
    <n v="30.3"/>
    <x v="32"/>
    <x v="1"/>
    <x v="0"/>
    <n v="60.6"/>
    <m/>
    <m/>
    <n v="7"/>
  </r>
  <r>
    <x v="9893"/>
    <x v="1978"/>
    <x v="5"/>
    <n v="1"/>
    <n v="600.16999999999996"/>
    <x v="658"/>
    <x v="7"/>
    <x v="1"/>
    <n v="600.16999999999996"/>
    <m/>
    <m/>
    <n v="10"/>
  </r>
  <r>
    <x v="9894"/>
    <x v="1978"/>
    <x v="7"/>
    <n v="2"/>
    <n v="23.46"/>
    <x v="71"/>
    <x v="6"/>
    <x v="0"/>
    <n v="46.92"/>
    <m/>
    <m/>
    <n v="10"/>
  </r>
  <r>
    <x v="9895"/>
    <x v="1979"/>
    <x v="2"/>
    <n v="5"/>
    <n v="26.15"/>
    <x v="212"/>
    <x v="6"/>
    <x v="2"/>
    <n v="130.75"/>
    <m/>
    <m/>
    <n v="5"/>
  </r>
  <r>
    <x v="9896"/>
    <x v="1979"/>
    <x v="1"/>
    <n v="2"/>
    <n v="81.319999999999993"/>
    <x v="352"/>
    <x v="1"/>
    <x v="3"/>
    <n v="162.63999999999999"/>
    <m/>
    <m/>
    <n v="5"/>
  </r>
  <r>
    <x v="9897"/>
    <x v="1979"/>
    <x v="0"/>
    <n v="4"/>
    <n v="1200.32"/>
    <x v="400"/>
    <x v="6"/>
    <x v="2"/>
    <n v="4801.28"/>
    <m/>
    <m/>
    <n v="7"/>
  </r>
  <r>
    <x v="9898"/>
    <x v="1979"/>
    <x v="2"/>
    <n v="5"/>
    <n v="26.15"/>
    <x v="796"/>
    <x v="6"/>
    <x v="3"/>
    <n v="130.75"/>
    <m/>
    <m/>
    <n v="7"/>
  </r>
  <r>
    <x v="9899"/>
    <x v="1979"/>
    <x v="0"/>
    <n v="5"/>
    <n v="1500.4"/>
    <x v="682"/>
    <x v="8"/>
    <x v="1"/>
    <n v="7502"/>
    <m/>
    <m/>
    <n v="10"/>
  </r>
  <r>
    <x v="9900"/>
    <x v="1980"/>
    <x v="1"/>
    <n v="1"/>
    <n v="40.659999999999997"/>
    <x v="68"/>
    <x v="3"/>
    <x v="1"/>
    <n v="40.659999999999997"/>
    <m/>
    <m/>
    <n v="5"/>
  </r>
  <r>
    <x v="9901"/>
    <x v="1980"/>
    <x v="0"/>
    <n v="1"/>
    <n v="300.08"/>
    <x v="91"/>
    <x v="6"/>
    <x v="4"/>
    <n v="300.08"/>
    <m/>
    <m/>
    <n v="5"/>
  </r>
  <r>
    <x v="9902"/>
    <x v="1980"/>
    <x v="2"/>
    <n v="1"/>
    <n v="5.23"/>
    <x v="590"/>
    <x v="0"/>
    <x v="1"/>
    <n v="5.23"/>
    <m/>
    <m/>
    <n v="7"/>
  </r>
  <r>
    <x v="9903"/>
    <x v="1980"/>
    <x v="0"/>
    <n v="3"/>
    <n v="900.24"/>
    <x v="588"/>
    <x v="4"/>
    <x v="3"/>
    <n v="2700.7200000000003"/>
    <m/>
    <m/>
    <n v="7"/>
  </r>
  <r>
    <x v="9904"/>
    <x v="1980"/>
    <x v="0"/>
    <n v="3"/>
    <n v="900.24"/>
    <x v="690"/>
    <x v="4"/>
    <x v="1"/>
    <n v="2700.7200000000003"/>
    <m/>
    <m/>
    <n v="7"/>
  </r>
  <r>
    <x v="9905"/>
    <x v="1980"/>
    <x v="2"/>
    <n v="1"/>
    <n v="5.23"/>
    <x v="480"/>
    <x v="6"/>
    <x v="3"/>
    <n v="5.23"/>
    <m/>
    <m/>
    <n v="7"/>
  </r>
  <r>
    <x v="9906"/>
    <x v="1980"/>
    <x v="1"/>
    <n v="3"/>
    <n v="121.98"/>
    <x v="699"/>
    <x v="9"/>
    <x v="0"/>
    <n v="365.94"/>
    <m/>
    <m/>
    <n v="7"/>
  </r>
  <r>
    <x v="9907"/>
    <x v="1981"/>
    <x v="2"/>
    <n v="1"/>
    <n v="5.23"/>
    <x v="352"/>
    <x v="6"/>
    <x v="4"/>
    <n v="5.23"/>
    <m/>
    <m/>
    <n v="5"/>
  </r>
  <r>
    <x v="9908"/>
    <x v="1981"/>
    <x v="1"/>
    <n v="3"/>
    <n v="121.98"/>
    <x v="203"/>
    <x v="6"/>
    <x v="2"/>
    <n v="365.94"/>
    <m/>
    <m/>
    <n v="10"/>
  </r>
  <r>
    <x v="9909"/>
    <x v="1982"/>
    <x v="5"/>
    <n v="4"/>
    <n v="2400.6799999999998"/>
    <x v="238"/>
    <x v="3"/>
    <x v="2"/>
    <n v="9602.7199999999993"/>
    <m/>
    <m/>
    <n v="5"/>
  </r>
  <r>
    <x v="9910"/>
    <x v="1982"/>
    <x v="4"/>
    <n v="5"/>
    <n v="5250"/>
    <x v="179"/>
    <x v="4"/>
    <x v="4"/>
    <n v="26250"/>
    <m/>
    <m/>
    <n v="5"/>
  </r>
  <r>
    <x v="9911"/>
    <x v="1982"/>
    <x v="2"/>
    <n v="3"/>
    <n v="15.69"/>
    <x v="456"/>
    <x v="9"/>
    <x v="1"/>
    <n v="47.07"/>
    <m/>
    <m/>
    <n v="7"/>
  </r>
  <r>
    <x v="9912"/>
    <x v="1982"/>
    <x v="2"/>
    <n v="2"/>
    <n v="10.46"/>
    <x v="416"/>
    <x v="4"/>
    <x v="3"/>
    <n v="20.92"/>
    <m/>
    <m/>
    <n v="10"/>
  </r>
  <r>
    <x v="9913"/>
    <x v="1982"/>
    <x v="0"/>
    <n v="2"/>
    <n v="600.16"/>
    <x v="211"/>
    <x v="4"/>
    <x v="0"/>
    <n v="1200.32"/>
    <m/>
    <m/>
    <n v="10"/>
  </r>
  <r>
    <x v="9914"/>
    <x v="1983"/>
    <x v="2"/>
    <n v="2"/>
    <n v="10.46"/>
    <x v="83"/>
    <x v="4"/>
    <x v="0"/>
    <n v="20.92"/>
    <m/>
    <m/>
    <n v="5"/>
  </r>
  <r>
    <x v="9915"/>
    <x v="1983"/>
    <x v="5"/>
    <n v="3"/>
    <n v="1800.51"/>
    <x v="646"/>
    <x v="9"/>
    <x v="2"/>
    <n v="5401.53"/>
    <m/>
    <m/>
    <n v="5"/>
  </r>
  <r>
    <x v="9916"/>
    <x v="1983"/>
    <x v="0"/>
    <n v="1"/>
    <n v="300.08"/>
    <x v="667"/>
    <x v="9"/>
    <x v="4"/>
    <n v="300.08"/>
    <m/>
    <m/>
    <n v="7"/>
  </r>
  <r>
    <x v="9917"/>
    <x v="1983"/>
    <x v="6"/>
    <n v="3"/>
    <n v="107.52"/>
    <x v="620"/>
    <x v="6"/>
    <x v="4"/>
    <n v="322.56"/>
    <m/>
    <m/>
    <n v="10"/>
  </r>
  <r>
    <x v="9918"/>
    <x v="1984"/>
    <x v="5"/>
    <n v="2"/>
    <n v="1200.3399999999999"/>
    <x v="209"/>
    <x v="0"/>
    <x v="0"/>
    <n v="2400.6799999999998"/>
    <m/>
    <m/>
    <n v="7"/>
  </r>
  <r>
    <x v="9919"/>
    <x v="1984"/>
    <x v="5"/>
    <n v="2"/>
    <n v="1200.3399999999999"/>
    <x v="289"/>
    <x v="1"/>
    <x v="4"/>
    <n v="2400.6799999999998"/>
    <m/>
    <m/>
    <n v="7"/>
  </r>
  <r>
    <x v="9920"/>
    <x v="1985"/>
    <x v="0"/>
    <n v="1"/>
    <n v="300.08"/>
    <x v="599"/>
    <x v="0"/>
    <x v="2"/>
    <n v="300.08"/>
    <m/>
    <m/>
    <n v="5"/>
  </r>
  <r>
    <x v="9921"/>
    <x v="1985"/>
    <x v="0"/>
    <n v="3"/>
    <n v="900.24"/>
    <x v="397"/>
    <x v="5"/>
    <x v="2"/>
    <n v="2700.7200000000003"/>
    <m/>
    <m/>
    <n v="5"/>
  </r>
  <r>
    <x v="9922"/>
    <x v="1985"/>
    <x v="5"/>
    <n v="2"/>
    <n v="1200.3399999999999"/>
    <x v="30"/>
    <x v="5"/>
    <x v="3"/>
    <n v="2400.6799999999998"/>
    <m/>
    <m/>
    <n v="5"/>
  </r>
  <r>
    <x v="9923"/>
    <x v="1985"/>
    <x v="3"/>
    <n v="1"/>
    <n v="15.15"/>
    <x v="90"/>
    <x v="0"/>
    <x v="2"/>
    <n v="15.15"/>
    <m/>
    <m/>
    <n v="5"/>
  </r>
  <r>
    <x v="9924"/>
    <x v="1985"/>
    <x v="6"/>
    <n v="5"/>
    <n v="179.2"/>
    <x v="45"/>
    <x v="5"/>
    <x v="0"/>
    <n v="896"/>
    <m/>
    <m/>
    <n v="5"/>
  </r>
  <r>
    <x v="9925"/>
    <x v="1985"/>
    <x v="5"/>
    <n v="4"/>
    <n v="2400.6799999999998"/>
    <x v="432"/>
    <x v="9"/>
    <x v="0"/>
    <n v="9602.7199999999993"/>
    <m/>
    <m/>
    <n v="5"/>
  </r>
  <r>
    <x v="9926"/>
    <x v="1986"/>
    <x v="0"/>
    <n v="2"/>
    <n v="600.16"/>
    <x v="117"/>
    <x v="2"/>
    <x v="4"/>
    <n v="1200.32"/>
    <m/>
    <m/>
    <n v="5"/>
  </r>
  <r>
    <x v="9927"/>
    <x v="1986"/>
    <x v="1"/>
    <n v="2"/>
    <n v="81.319999999999993"/>
    <x v="141"/>
    <x v="5"/>
    <x v="1"/>
    <n v="162.63999999999999"/>
    <m/>
    <m/>
    <n v="5"/>
  </r>
  <r>
    <x v="9928"/>
    <x v="1986"/>
    <x v="0"/>
    <n v="4"/>
    <n v="1200.32"/>
    <x v="745"/>
    <x v="5"/>
    <x v="1"/>
    <n v="4801.28"/>
    <m/>
    <m/>
    <n v="5"/>
  </r>
  <r>
    <x v="9929"/>
    <x v="1986"/>
    <x v="0"/>
    <n v="4"/>
    <n v="1200.32"/>
    <x v="485"/>
    <x v="6"/>
    <x v="4"/>
    <n v="4801.28"/>
    <m/>
    <m/>
    <n v="5"/>
  </r>
  <r>
    <x v="9930"/>
    <x v="1986"/>
    <x v="1"/>
    <n v="2"/>
    <n v="81.319999999999993"/>
    <x v="674"/>
    <x v="4"/>
    <x v="1"/>
    <n v="162.63999999999999"/>
    <m/>
    <m/>
    <n v="7"/>
  </r>
  <r>
    <x v="9931"/>
    <x v="1986"/>
    <x v="2"/>
    <n v="5"/>
    <n v="26.15"/>
    <x v="36"/>
    <x v="6"/>
    <x v="2"/>
    <n v="130.75"/>
    <m/>
    <m/>
    <n v="7"/>
  </r>
  <r>
    <x v="9932"/>
    <x v="1986"/>
    <x v="2"/>
    <n v="3"/>
    <n v="15.69"/>
    <x v="732"/>
    <x v="1"/>
    <x v="0"/>
    <n v="47.07"/>
    <m/>
    <m/>
    <n v="7"/>
  </r>
  <r>
    <x v="9933"/>
    <x v="1986"/>
    <x v="5"/>
    <n v="2"/>
    <n v="1200.3399999999999"/>
    <x v="769"/>
    <x v="1"/>
    <x v="4"/>
    <n v="2400.6799999999998"/>
    <m/>
    <m/>
    <n v="10"/>
  </r>
  <r>
    <x v="9934"/>
    <x v="1986"/>
    <x v="5"/>
    <n v="4"/>
    <n v="2400.6799999999998"/>
    <x v="482"/>
    <x v="9"/>
    <x v="3"/>
    <n v="9602.7199999999993"/>
    <m/>
    <m/>
    <n v="10"/>
  </r>
  <r>
    <x v="9935"/>
    <x v="1987"/>
    <x v="1"/>
    <n v="5"/>
    <n v="203.3"/>
    <x v="185"/>
    <x v="4"/>
    <x v="0"/>
    <n v="1016.5"/>
    <m/>
    <m/>
    <n v="5"/>
  </r>
  <r>
    <x v="9936"/>
    <x v="1987"/>
    <x v="0"/>
    <n v="2"/>
    <n v="600.16"/>
    <x v="369"/>
    <x v="1"/>
    <x v="4"/>
    <n v="1200.32"/>
    <m/>
    <m/>
    <n v="5"/>
  </r>
  <r>
    <x v="9937"/>
    <x v="1987"/>
    <x v="5"/>
    <n v="5"/>
    <n v="3000.85"/>
    <x v="90"/>
    <x v="4"/>
    <x v="2"/>
    <n v="15004.25"/>
    <m/>
    <m/>
    <n v="5"/>
  </r>
  <r>
    <x v="9938"/>
    <x v="1987"/>
    <x v="5"/>
    <n v="3"/>
    <n v="1800.51"/>
    <x v="59"/>
    <x v="0"/>
    <x v="4"/>
    <n v="5401.53"/>
    <m/>
    <m/>
    <n v="7"/>
  </r>
  <r>
    <x v="9939"/>
    <x v="1987"/>
    <x v="5"/>
    <n v="3"/>
    <n v="1800.51"/>
    <x v="37"/>
    <x v="1"/>
    <x v="3"/>
    <n v="5401.53"/>
    <m/>
    <m/>
    <n v="7"/>
  </r>
  <r>
    <x v="9940"/>
    <x v="1987"/>
    <x v="2"/>
    <n v="3"/>
    <n v="15.69"/>
    <x v="277"/>
    <x v="6"/>
    <x v="4"/>
    <n v="47.07"/>
    <m/>
    <m/>
    <n v="7"/>
  </r>
  <r>
    <x v="9941"/>
    <x v="1988"/>
    <x v="0"/>
    <n v="2"/>
    <n v="600.16"/>
    <x v="0"/>
    <x v="4"/>
    <x v="0"/>
    <n v="1200.32"/>
    <m/>
    <m/>
    <n v="5"/>
  </r>
  <r>
    <x v="9942"/>
    <x v="1988"/>
    <x v="4"/>
    <n v="2"/>
    <n v="2100"/>
    <x v="275"/>
    <x v="4"/>
    <x v="2"/>
    <n v="4200"/>
    <m/>
    <m/>
    <n v="5"/>
  </r>
  <r>
    <x v="9943"/>
    <x v="1988"/>
    <x v="2"/>
    <n v="5"/>
    <n v="26.15"/>
    <x v="457"/>
    <x v="4"/>
    <x v="0"/>
    <n v="130.75"/>
    <m/>
    <m/>
    <n v="5"/>
  </r>
  <r>
    <x v="9944"/>
    <x v="1988"/>
    <x v="5"/>
    <n v="3"/>
    <n v="1800.51"/>
    <x v="232"/>
    <x v="1"/>
    <x v="3"/>
    <n v="5401.53"/>
    <m/>
    <m/>
    <n v="5"/>
  </r>
  <r>
    <x v="9945"/>
    <x v="1988"/>
    <x v="3"/>
    <n v="3"/>
    <n v="45.45"/>
    <x v="738"/>
    <x v="1"/>
    <x v="2"/>
    <n v="136.35000000000002"/>
    <m/>
    <m/>
    <n v="7"/>
  </r>
  <r>
    <x v="9946"/>
    <x v="1988"/>
    <x v="5"/>
    <n v="3"/>
    <n v="1800.51"/>
    <x v="24"/>
    <x v="0"/>
    <x v="3"/>
    <n v="5401.53"/>
    <m/>
    <m/>
    <n v="7"/>
  </r>
  <r>
    <x v="9947"/>
    <x v="1988"/>
    <x v="1"/>
    <n v="1"/>
    <n v="40.659999999999997"/>
    <x v="718"/>
    <x v="2"/>
    <x v="2"/>
    <n v="40.659999999999997"/>
    <m/>
    <m/>
    <n v="7"/>
  </r>
  <r>
    <x v="9948"/>
    <x v="1989"/>
    <x v="0"/>
    <n v="4"/>
    <n v="1200.32"/>
    <x v="614"/>
    <x v="5"/>
    <x v="3"/>
    <n v="4801.28"/>
    <m/>
    <m/>
    <n v="5"/>
  </r>
  <r>
    <x v="9949"/>
    <x v="1989"/>
    <x v="0"/>
    <n v="2"/>
    <n v="600.16"/>
    <x v="99"/>
    <x v="4"/>
    <x v="3"/>
    <n v="1200.32"/>
    <m/>
    <m/>
    <n v="5"/>
  </r>
  <r>
    <x v="9950"/>
    <x v="1989"/>
    <x v="5"/>
    <n v="5"/>
    <n v="3000.85"/>
    <x v="296"/>
    <x v="6"/>
    <x v="4"/>
    <n v="15004.25"/>
    <m/>
    <m/>
    <n v="5"/>
  </r>
  <r>
    <x v="9951"/>
    <x v="1989"/>
    <x v="1"/>
    <n v="2"/>
    <n v="81.319999999999993"/>
    <x v="66"/>
    <x v="1"/>
    <x v="4"/>
    <n v="162.63999999999999"/>
    <m/>
    <m/>
    <n v="7"/>
  </r>
  <r>
    <x v="9952"/>
    <x v="1989"/>
    <x v="7"/>
    <n v="3"/>
    <n v="35.19"/>
    <x v="353"/>
    <x v="6"/>
    <x v="1"/>
    <n v="105.57"/>
    <m/>
    <m/>
    <n v="7"/>
  </r>
  <r>
    <x v="9953"/>
    <x v="1989"/>
    <x v="0"/>
    <n v="2"/>
    <n v="600.16"/>
    <x v="156"/>
    <x v="4"/>
    <x v="0"/>
    <n v="1200.32"/>
    <m/>
    <m/>
    <n v="10"/>
  </r>
  <r>
    <x v="9954"/>
    <x v="1990"/>
    <x v="3"/>
    <n v="2"/>
    <n v="30.3"/>
    <x v="573"/>
    <x v="6"/>
    <x v="0"/>
    <n v="60.6"/>
    <m/>
    <m/>
    <n v="7"/>
  </r>
  <r>
    <x v="9955"/>
    <x v="1990"/>
    <x v="0"/>
    <n v="4"/>
    <n v="1200.32"/>
    <x v="442"/>
    <x v="4"/>
    <x v="3"/>
    <n v="4801.28"/>
    <m/>
    <m/>
    <n v="10"/>
  </r>
  <r>
    <x v="9956"/>
    <x v="1991"/>
    <x v="0"/>
    <n v="2"/>
    <n v="600.16"/>
    <x v="749"/>
    <x v="0"/>
    <x v="3"/>
    <n v="1200.32"/>
    <m/>
    <m/>
    <n v="5"/>
  </r>
  <r>
    <x v="9957"/>
    <x v="1991"/>
    <x v="7"/>
    <n v="5"/>
    <n v="58.65"/>
    <x v="56"/>
    <x v="8"/>
    <x v="3"/>
    <n v="293.25"/>
    <m/>
    <m/>
    <n v="7"/>
  </r>
  <r>
    <x v="9958"/>
    <x v="1991"/>
    <x v="3"/>
    <n v="3"/>
    <n v="45.45"/>
    <x v="447"/>
    <x v="5"/>
    <x v="0"/>
    <n v="136.35000000000002"/>
    <m/>
    <m/>
    <n v="7"/>
  </r>
  <r>
    <x v="9959"/>
    <x v="1992"/>
    <x v="0"/>
    <n v="5"/>
    <n v="1500.4"/>
    <x v="749"/>
    <x v="9"/>
    <x v="1"/>
    <n v="7502"/>
    <m/>
    <m/>
    <n v="5"/>
  </r>
  <r>
    <x v="9960"/>
    <x v="1992"/>
    <x v="6"/>
    <n v="4"/>
    <n v="143.36000000000001"/>
    <x v="490"/>
    <x v="0"/>
    <x v="2"/>
    <n v="573.44000000000005"/>
    <m/>
    <m/>
    <n v="5"/>
  </r>
  <r>
    <x v="9961"/>
    <x v="1992"/>
    <x v="2"/>
    <n v="3"/>
    <n v="15.69"/>
    <x v="39"/>
    <x v="3"/>
    <x v="0"/>
    <n v="47.07"/>
    <m/>
    <m/>
    <n v="5"/>
  </r>
  <r>
    <x v="9962"/>
    <x v="1992"/>
    <x v="0"/>
    <n v="2"/>
    <n v="600.16"/>
    <x v="419"/>
    <x v="0"/>
    <x v="3"/>
    <n v="1200.32"/>
    <m/>
    <m/>
    <n v="7"/>
  </r>
  <r>
    <x v="9963"/>
    <x v="1992"/>
    <x v="6"/>
    <n v="1"/>
    <n v="35.840000000000003"/>
    <x v="382"/>
    <x v="3"/>
    <x v="2"/>
    <n v="35.840000000000003"/>
    <m/>
    <m/>
    <n v="7"/>
  </r>
  <r>
    <x v="9964"/>
    <x v="1992"/>
    <x v="7"/>
    <n v="3"/>
    <n v="35.19"/>
    <x v="667"/>
    <x v="1"/>
    <x v="0"/>
    <n v="105.57"/>
    <m/>
    <m/>
    <n v="7"/>
  </r>
  <r>
    <x v="9965"/>
    <x v="1993"/>
    <x v="3"/>
    <n v="5"/>
    <n v="75.75"/>
    <x v="358"/>
    <x v="0"/>
    <x v="0"/>
    <n v="378.75"/>
    <m/>
    <m/>
    <n v="5"/>
  </r>
  <r>
    <x v="9966"/>
    <x v="1993"/>
    <x v="5"/>
    <n v="3"/>
    <n v="1800.51"/>
    <x v="142"/>
    <x v="0"/>
    <x v="2"/>
    <n v="5401.53"/>
    <m/>
    <m/>
    <n v="7"/>
  </r>
  <r>
    <x v="9967"/>
    <x v="1993"/>
    <x v="0"/>
    <n v="5"/>
    <n v="1500.4"/>
    <x v="395"/>
    <x v="9"/>
    <x v="1"/>
    <n v="7502"/>
    <m/>
    <m/>
    <n v="7"/>
  </r>
  <r>
    <x v="9968"/>
    <x v="1994"/>
    <x v="6"/>
    <n v="2"/>
    <n v="71.680000000000007"/>
    <x v="528"/>
    <x v="2"/>
    <x v="0"/>
    <n v="143.36000000000001"/>
    <m/>
    <m/>
    <n v="7"/>
  </r>
  <r>
    <x v="9969"/>
    <x v="1994"/>
    <x v="5"/>
    <n v="1"/>
    <n v="600.16999999999996"/>
    <x v="250"/>
    <x v="3"/>
    <x v="1"/>
    <n v="600.16999999999996"/>
    <m/>
    <m/>
    <n v="7"/>
  </r>
  <r>
    <x v="9970"/>
    <x v="1994"/>
    <x v="0"/>
    <n v="4"/>
    <n v="1200.32"/>
    <x v="103"/>
    <x v="0"/>
    <x v="3"/>
    <n v="4801.28"/>
    <m/>
    <m/>
    <n v="10"/>
  </r>
  <r>
    <x v="9971"/>
    <x v="1995"/>
    <x v="0"/>
    <n v="1"/>
    <n v="300.08"/>
    <x v="750"/>
    <x v="2"/>
    <x v="2"/>
    <n v="300.08"/>
    <m/>
    <m/>
    <n v="5"/>
  </r>
  <r>
    <x v="9972"/>
    <x v="1995"/>
    <x v="0"/>
    <n v="1"/>
    <n v="300.08"/>
    <x v="575"/>
    <x v="8"/>
    <x v="4"/>
    <n v="300.08"/>
    <m/>
    <m/>
    <n v="5"/>
  </r>
  <r>
    <x v="9973"/>
    <x v="1995"/>
    <x v="5"/>
    <n v="4"/>
    <n v="2400.6799999999998"/>
    <x v="681"/>
    <x v="0"/>
    <x v="1"/>
    <n v="9602.7199999999993"/>
    <m/>
    <m/>
    <n v="7"/>
  </r>
  <r>
    <x v="9974"/>
    <x v="1995"/>
    <x v="2"/>
    <n v="2"/>
    <n v="10.46"/>
    <x v="12"/>
    <x v="1"/>
    <x v="2"/>
    <n v="20.92"/>
    <m/>
    <m/>
    <n v="7"/>
  </r>
  <r>
    <x v="9975"/>
    <x v="1995"/>
    <x v="0"/>
    <n v="5"/>
    <n v="1500.4"/>
    <x v="148"/>
    <x v="9"/>
    <x v="2"/>
    <n v="7502"/>
    <m/>
    <m/>
    <n v="7"/>
  </r>
  <r>
    <x v="9976"/>
    <x v="1996"/>
    <x v="3"/>
    <n v="5"/>
    <n v="75.75"/>
    <x v="784"/>
    <x v="5"/>
    <x v="3"/>
    <n v="378.75"/>
    <m/>
    <m/>
    <n v="5"/>
  </r>
  <r>
    <x v="9977"/>
    <x v="1996"/>
    <x v="1"/>
    <n v="1"/>
    <n v="40.659999999999997"/>
    <x v="389"/>
    <x v="9"/>
    <x v="3"/>
    <n v="40.659999999999997"/>
    <m/>
    <m/>
    <n v="5"/>
  </r>
  <r>
    <x v="9978"/>
    <x v="1996"/>
    <x v="0"/>
    <n v="4"/>
    <n v="1200.32"/>
    <x v="490"/>
    <x v="0"/>
    <x v="0"/>
    <n v="4801.28"/>
    <m/>
    <m/>
    <n v="5"/>
  </r>
  <r>
    <x v="9979"/>
    <x v="1996"/>
    <x v="1"/>
    <n v="3"/>
    <n v="121.98"/>
    <x v="506"/>
    <x v="6"/>
    <x v="3"/>
    <n v="365.94"/>
    <m/>
    <m/>
    <n v="7"/>
  </r>
  <r>
    <x v="9980"/>
    <x v="1996"/>
    <x v="5"/>
    <n v="1"/>
    <n v="600.16999999999996"/>
    <x v="266"/>
    <x v="0"/>
    <x v="3"/>
    <n v="600.16999999999996"/>
    <m/>
    <m/>
    <n v="7"/>
  </r>
  <r>
    <x v="9981"/>
    <x v="1996"/>
    <x v="0"/>
    <n v="1"/>
    <n v="300.08"/>
    <x v="698"/>
    <x v="1"/>
    <x v="1"/>
    <n v="300.08"/>
    <m/>
    <m/>
    <n v="7"/>
  </r>
  <r>
    <x v="9982"/>
    <x v="1997"/>
    <x v="1"/>
    <n v="4"/>
    <n v="162.63999999999999"/>
    <x v="566"/>
    <x v="1"/>
    <x v="1"/>
    <n v="650.55999999999995"/>
    <m/>
    <m/>
    <n v="5"/>
  </r>
  <r>
    <x v="9983"/>
    <x v="1997"/>
    <x v="2"/>
    <n v="3"/>
    <n v="15.69"/>
    <x v="6"/>
    <x v="9"/>
    <x v="1"/>
    <n v="47.07"/>
    <m/>
    <m/>
    <n v="7"/>
  </r>
  <r>
    <x v="9984"/>
    <x v="1997"/>
    <x v="5"/>
    <n v="5"/>
    <n v="3000.85"/>
    <x v="266"/>
    <x v="9"/>
    <x v="2"/>
    <n v="15004.25"/>
    <m/>
    <m/>
    <n v="7"/>
  </r>
  <r>
    <x v="9985"/>
    <x v="1998"/>
    <x v="2"/>
    <n v="5"/>
    <n v="26.15"/>
    <x v="566"/>
    <x v="6"/>
    <x v="4"/>
    <n v="130.75"/>
    <m/>
    <m/>
    <n v="5"/>
  </r>
  <r>
    <x v="9986"/>
    <x v="1998"/>
    <x v="2"/>
    <n v="1"/>
    <n v="5.23"/>
    <x v="43"/>
    <x v="1"/>
    <x v="1"/>
    <n v="5.23"/>
    <m/>
    <m/>
    <n v="5"/>
  </r>
  <r>
    <x v="9987"/>
    <x v="1998"/>
    <x v="0"/>
    <n v="4"/>
    <n v="1200.32"/>
    <x v="728"/>
    <x v="6"/>
    <x v="3"/>
    <n v="4801.28"/>
    <m/>
    <m/>
    <n v="5"/>
  </r>
  <r>
    <x v="9988"/>
    <x v="1998"/>
    <x v="0"/>
    <n v="4"/>
    <n v="1200.32"/>
    <x v="326"/>
    <x v="0"/>
    <x v="1"/>
    <n v="4801.28"/>
    <m/>
    <m/>
    <n v="5"/>
  </r>
  <r>
    <x v="9989"/>
    <x v="1998"/>
    <x v="5"/>
    <n v="4"/>
    <n v="2400.6799999999998"/>
    <x v="518"/>
    <x v="2"/>
    <x v="4"/>
    <n v="9602.7199999999993"/>
    <m/>
    <m/>
    <n v="5"/>
  </r>
  <r>
    <x v="9990"/>
    <x v="1998"/>
    <x v="0"/>
    <n v="4"/>
    <n v="1200.32"/>
    <x v="639"/>
    <x v="9"/>
    <x v="2"/>
    <n v="4801.28"/>
    <m/>
    <m/>
    <n v="5"/>
  </r>
  <r>
    <x v="9991"/>
    <x v="1998"/>
    <x v="0"/>
    <n v="4"/>
    <n v="1200.32"/>
    <x v="280"/>
    <x v="8"/>
    <x v="3"/>
    <n v="4801.28"/>
    <m/>
    <m/>
    <n v="7"/>
  </r>
  <r>
    <x v="9992"/>
    <x v="1998"/>
    <x v="6"/>
    <n v="3"/>
    <n v="107.52"/>
    <x v="130"/>
    <x v="0"/>
    <x v="0"/>
    <n v="322.56"/>
    <m/>
    <m/>
    <n v="7"/>
  </r>
  <r>
    <x v="9993"/>
    <x v="1999"/>
    <x v="0"/>
    <n v="4"/>
    <n v="1200.32"/>
    <x v="568"/>
    <x v="4"/>
    <x v="4"/>
    <n v="4801.28"/>
    <m/>
    <m/>
    <n v="5"/>
  </r>
  <r>
    <x v="9994"/>
    <x v="1999"/>
    <x v="6"/>
    <n v="3"/>
    <n v="107.52"/>
    <x v="708"/>
    <x v="1"/>
    <x v="0"/>
    <n v="322.56"/>
    <m/>
    <m/>
    <n v="5"/>
  </r>
  <r>
    <x v="9995"/>
    <x v="1999"/>
    <x v="5"/>
    <n v="1"/>
    <n v="600.16999999999996"/>
    <x v="100"/>
    <x v="7"/>
    <x v="1"/>
    <n v="600.16999999999996"/>
    <m/>
    <m/>
    <n v="5"/>
  </r>
  <r>
    <x v="9996"/>
    <x v="1999"/>
    <x v="3"/>
    <n v="2"/>
    <n v="30.3"/>
    <x v="461"/>
    <x v="5"/>
    <x v="0"/>
    <n v="60.6"/>
    <m/>
    <m/>
    <n v="7"/>
  </r>
  <r>
    <x v="9997"/>
    <x v="1999"/>
    <x v="6"/>
    <n v="3"/>
    <n v="107.52"/>
    <x v="127"/>
    <x v="2"/>
    <x v="1"/>
    <n v="322.56"/>
    <m/>
    <m/>
    <n v="7"/>
  </r>
  <r>
    <x v="9998"/>
    <x v="1999"/>
    <x v="0"/>
    <n v="2"/>
    <n v="600.16"/>
    <x v="206"/>
    <x v="4"/>
    <x v="0"/>
    <n v="1200.32"/>
    <m/>
    <m/>
    <n v="7"/>
  </r>
  <r>
    <x v="9999"/>
    <x v="1999"/>
    <x v="0"/>
    <n v="5"/>
    <n v="1500.4"/>
    <x v="722"/>
    <x v="4"/>
    <x v="4"/>
    <n v="7502"/>
    <m/>
    <m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113D9-47C3-405F-B0BE-2CBC4DF6CE0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5">
    <pivotField showAll="0"/>
    <pivotField showAll="0"/>
    <pivotField showAll="0"/>
    <pivotField showAll="0"/>
    <pivotField showAll="0"/>
    <pivotField numFmtId="14" showAll="0">
      <items count="798">
        <item x="143"/>
        <item x="533"/>
        <item x="104"/>
        <item x="422"/>
        <item x="492"/>
        <item x="599"/>
        <item x="5"/>
        <item x="105"/>
        <item x="397"/>
        <item x="83"/>
        <item x="183"/>
        <item x="408"/>
        <item x="201"/>
        <item x="0"/>
        <item x="317"/>
        <item x="62"/>
        <item x="535"/>
        <item x="63"/>
        <item x="465"/>
        <item x="614"/>
        <item x="494"/>
        <item x="445"/>
        <item x="131"/>
        <item x="80"/>
        <item x="332"/>
        <item x="184"/>
        <item x="414"/>
        <item x="220"/>
        <item x="72"/>
        <item x="64"/>
        <item x="768"/>
        <item x="550"/>
        <item x="493"/>
        <item x="84"/>
        <item x="224"/>
        <item x="225"/>
        <item x="695"/>
        <item x="383"/>
        <item x="304"/>
        <item x="157"/>
        <item x="524"/>
        <item x="99"/>
        <item x="115"/>
        <item x="784"/>
        <item x="238"/>
        <item x="672"/>
        <item x="185"/>
        <item x="536"/>
        <item x="172"/>
        <item x="730"/>
        <item x="126"/>
        <item x="275"/>
        <item x="264"/>
        <item x="654"/>
        <item x="221"/>
        <item x="678"/>
        <item x="136"/>
        <item x="635"/>
        <item x="112"/>
        <item x="77"/>
        <item x="292"/>
        <item x="526"/>
        <item x="293"/>
        <item x="202"/>
        <item x="568"/>
        <item x="446"/>
        <item x="162"/>
        <item x="334"/>
        <item x="244"/>
        <item x="527"/>
        <item x="609"/>
        <item x="117"/>
        <item x="128"/>
        <item x="57"/>
        <item x="198"/>
        <item x="173"/>
        <item x="737"/>
        <item x="97"/>
        <item x="78"/>
        <item x="239"/>
        <item x="598"/>
        <item x="537"/>
        <item x="65"/>
        <item x="290"/>
        <item x="696"/>
        <item x="474"/>
        <item x="298"/>
        <item x="1"/>
        <item x="268"/>
        <item x="68"/>
        <item x="163"/>
        <item x="520"/>
        <item x="174"/>
        <item x="301"/>
        <item x="372"/>
        <item x="661"/>
        <item x="562"/>
        <item x="245"/>
        <item x="501"/>
        <item x="113"/>
        <item x="650"/>
        <item x="186"/>
        <item x="709"/>
        <item x="437"/>
        <item x="351"/>
        <item x="662"/>
        <item x="132"/>
        <item x="389"/>
        <item x="240"/>
        <item x="120"/>
        <item x="369"/>
        <item x="85"/>
        <item x="551"/>
        <item x="121"/>
        <item x="13"/>
        <item x="89"/>
        <item x="318"/>
        <item x="175"/>
        <item x="305"/>
        <item x="789"/>
        <item x="521"/>
        <item x="144"/>
        <item x="261"/>
        <item x="623"/>
        <item x="10"/>
        <item x="278"/>
        <item x="636"/>
        <item x="86"/>
        <item x="30"/>
        <item x="33"/>
        <item x="319"/>
        <item x="69"/>
        <item x="279"/>
        <item x="680"/>
        <item x="790"/>
        <item x="90"/>
        <item x="145"/>
        <item x="555"/>
        <item x="775"/>
        <item x="688"/>
        <item x="269"/>
        <item x="792"/>
        <item x="438"/>
        <item x="483"/>
        <item x="629"/>
        <item x="457"/>
        <item x="736"/>
        <item x="478"/>
        <item x="785"/>
        <item x="566"/>
        <item x="687"/>
        <item x="312"/>
        <item x="538"/>
        <item x="749"/>
        <item x="453"/>
        <item x="606"/>
        <item x="285"/>
        <item x="434"/>
        <item x="270"/>
        <item x="45"/>
        <item x="723"/>
        <item x="763"/>
        <item x="432"/>
        <item x="497"/>
        <item x="338"/>
        <item x="306"/>
        <item x="133"/>
        <item x="320"/>
        <item x="271"/>
        <item x="373"/>
        <item x="743"/>
        <item x="43"/>
        <item x="242"/>
        <item x="313"/>
        <item x="27"/>
        <item x="728"/>
        <item x="757"/>
        <item x="750"/>
        <item x="326"/>
        <item x="34"/>
        <item x="122"/>
        <item x="498"/>
        <item x="38"/>
        <item x="137"/>
        <item x="484"/>
        <item x="106"/>
        <item x="610"/>
        <item x="618"/>
        <item x="257"/>
        <item x="141"/>
        <item x="204"/>
        <item x="73"/>
        <item x="505"/>
        <item x="616"/>
        <item x="307"/>
        <item x="545"/>
        <item x="582"/>
        <item x="490"/>
        <item x="327"/>
        <item x="339"/>
        <item x="357"/>
        <item x="81"/>
        <item x="473"/>
        <item x="469"/>
        <item x="429"/>
        <item x="230"/>
        <item x="641"/>
        <item x="459"/>
        <item x="314"/>
        <item x="207"/>
        <item x="642"/>
        <item x="518"/>
        <item x="495"/>
        <item x="138"/>
        <item x="308"/>
        <item x="158"/>
        <item x="14"/>
        <item x="656"/>
        <item x="552"/>
        <item x="134"/>
        <item x="653"/>
        <item x="315"/>
        <item x="708"/>
        <item x="440"/>
        <item x="166"/>
        <item x="424"/>
        <item x="563"/>
        <item x="355"/>
        <item x="294"/>
        <item x="295"/>
        <item x="575"/>
        <item x="79"/>
        <item x="15"/>
        <item x="146"/>
        <item x="374"/>
        <item x="328"/>
        <item x="676"/>
        <item x="639"/>
        <item x="324"/>
        <item x="541"/>
        <item x="724"/>
        <item x="21"/>
        <item x="358"/>
        <item x="731"/>
        <item x="366"/>
        <item x="433"/>
        <item x="159"/>
        <item x="17"/>
        <item x="28"/>
        <item x="462"/>
        <item x="613"/>
        <item x="95"/>
        <item x="39"/>
        <item x="627"/>
        <item x="176"/>
        <item x="593"/>
        <item x="670"/>
        <item x="758"/>
        <item x="177"/>
        <item x="587"/>
        <item x="417"/>
        <item x="651"/>
        <item x="745"/>
        <item x="638"/>
        <item x="485"/>
        <item x="91"/>
        <item x="697"/>
        <item x="22"/>
        <item x="107"/>
        <item x="619"/>
        <item x="694"/>
        <item x="100"/>
        <item x="341"/>
        <item x="392"/>
        <item x="231"/>
        <item x="232"/>
        <item x="794"/>
        <item x="567"/>
        <item x="179"/>
        <item x="291"/>
        <item x="108"/>
        <item x="212"/>
        <item x="632"/>
        <item x="479"/>
        <item x="116"/>
        <item x="648"/>
        <item x="82"/>
        <item x="787"/>
        <item x="101"/>
        <item x="556"/>
        <item x="335"/>
        <item x="180"/>
        <item x="276"/>
        <item x="725"/>
        <item x="87"/>
        <item x="300"/>
        <item x="74"/>
        <item x="766"/>
        <item x="149"/>
        <item x="386"/>
        <item x="352"/>
        <item x="396"/>
        <item x="359"/>
        <item x="410"/>
        <item x="364"/>
        <item x="380"/>
        <item x="560"/>
        <item x="525"/>
        <item x="46"/>
        <item x="265"/>
        <item x="543"/>
        <item x="669"/>
        <item x="387"/>
        <item x="167"/>
        <item x="571"/>
        <item x="652"/>
        <item x="739"/>
        <item x="208"/>
        <item x="657"/>
        <item x="752"/>
        <item x="795"/>
        <item x="187"/>
        <item x="425"/>
        <item x="398"/>
        <item x="512"/>
        <item x="502"/>
        <item x="646"/>
        <item x="576"/>
        <item x="589"/>
        <item x="435"/>
        <item x="70"/>
        <item x="406"/>
        <item x="375"/>
        <item x="744"/>
        <item x="92"/>
        <item x="471"/>
        <item x="663"/>
        <item x="720"/>
        <item x="286"/>
        <item x="475"/>
        <item x="381"/>
        <item x="600"/>
        <item x="150"/>
        <item x="226"/>
        <item x="773"/>
        <item x="233"/>
        <item x="47"/>
        <item x="717"/>
        <item x="151"/>
        <item x="147"/>
        <item x="102"/>
        <item x="58"/>
        <item x="534"/>
        <item x="500"/>
        <item x="655"/>
        <item x="296"/>
        <item x="168"/>
        <item x="677"/>
        <item x="354"/>
        <item x="477"/>
        <item x="604"/>
        <item x="302"/>
        <item x="522"/>
        <item x="762"/>
        <item x="569"/>
        <item x="602"/>
        <item x="689"/>
        <item x="710"/>
        <item x="347"/>
        <item x="164"/>
        <item x="333"/>
        <item x="399"/>
        <item x="759"/>
        <item x="715"/>
        <item x="280"/>
        <item x="44"/>
        <item x="700"/>
        <item x="188"/>
        <item x="557"/>
        <item x="467"/>
        <item x="774"/>
        <item x="647"/>
        <item x="507"/>
        <item x="679"/>
        <item x="109"/>
        <item x="714"/>
        <item x="515"/>
        <item x="778"/>
        <item x="16"/>
        <item x="468"/>
        <item x="579"/>
        <item x="66"/>
        <item x="75"/>
        <item x="660"/>
        <item x="348"/>
        <item x="349"/>
        <item x="665"/>
        <item x="213"/>
        <item x="761"/>
        <item x="691"/>
        <item x="516"/>
        <item x="48"/>
        <item x="51"/>
        <item x="590"/>
        <item x="756"/>
        <item x="748"/>
        <item x="189"/>
        <item x="460"/>
        <item x="742"/>
        <item x="40"/>
        <item x="321"/>
        <item x="248"/>
        <item x="228"/>
        <item x="711"/>
        <item x="135"/>
        <item x="18"/>
        <item x="110"/>
        <item x="726"/>
        <item x="454"/>
        <item x="584"/>
        <item x="573"/>
        <item x="703"/>
        <item x="684"/>
        <item x="365"/>
        <item x="463"/>
        <item x="404"/>
        <item x="342"/>
        <item x="788"/>
        <item x="325"/>
        <item x="393"/>
        <item x="508"/>
        <item x="539"/>
        <item x="426"/>
        <item x="88"/>
        <item x="612"/>
        <item x="129"/>
        <item x="487"/>
        <item x="234"/>
        <item x="181"/>
        <item x="486"/>
        <item x="594"/>
        <item x="281"/>
        <item x="249"/>
        <item x="747"/>
        <item x="633"/>
        <item x="591"/>
        <item x="76"/>
        <item x="353"/>
        <item x="169"/>
        <item x="35"/>
        <item x="59"/>
        <item x="644"/>
        <item x="716"/>
        <item x="580"/>
        <item x="282"/>
        <item x="345"/>
        <item x="427"/>
        <item x="706"/>
        <item x="443"/>
        <item x="31"/>
        <item x="509"/>
        <item x="205"/>
        <item x="503"/>
        <item x="343"/>
        <item x="93"/>
        <item x="664"/>
        <item x="222"/>
        <item x="376"/>
        <item x="585"/>
        <item x="523"/>
        <item x="142"/>
        <item x="735"/>
        <item x="329"/>
        <item x="370"/>
        <item x="779"/>
        <item x="118"/>
        <item x="729"/>
        <item x="235"/>
        <item x="461"/>
        <item x="546"/>
        <item x="199"/>
        <item x="544"/>
        <item x="713"/>
        <item x="152"/>
        <item x="123"/>
        <item x="430"/>
        <item x="791"/>
        <item x="753"/>
        <item x="390"/>
        <item x="388"/>
        <item x="384"/>
        <item x="466"/>
        <item x="621"/>
        <item x="719"/>
        <item x="258"/>
        <item x="777"/>
        <item x="272"/>
        <item x="624"/>
        <item x="673"/>
        <item x="223"/>
        <item x="455"/>
        <item x="405"/>
        <item x="617"/>
        <item x="209"/>
        <item x="252"/>
        <item x="2"/>
        <item x="23"/>
        <item x="360"/>
        <item x="488"/>
        <item x="309"/>
        <item x="191"/>
        <item x="685"/>
        <item x="738"/>
        <item x="595"/>
        <item x="588"/>
        <item x="504"/>
        <item x="491"/>
        <item x="559"/>
        <item x="356"/>
        <item x="336"/>
        <item x="707"/>
        <item x="771"/>
        <item x="634"/>
        <item x="596"/>
        <item x="400"/>
        <item x="6"/>
        <item x="458"/>
        <item x="686"/>
        <item x="322"/>
        <item x="127"/>
        <item x="362"/>
        <item x="489"/>
        <item x="506"/>
        <item x="674"/>
        <item x="111"/>
        <item x="530"/>
        <item x="640"/>
        <item x="704"/>
        <item x="266"/>
        <item x="153"/>
        <item x="344"/>
        <item x="217"/>
        <item x="160"/>
        <item x="124"/>
        <item x="227"/>
        <item x="55"/>
        <item x="531"/>
        <item x="401"/>
        <item x="7"/>
        <item x="407"/>
        <item x="3"/>
        <item x="760"/>
        <item x="570"/>
        <item x="367"/>
        <item x="340"/>
        <item x="418"/>
        <item x="259"/>
        <item x="690"/>
        <item x="583"/>
        <item x="796"/>
        <item x="577"/>
        <item x="236"/>
        <item x="139"/>
        <item x="8"/>
        <item x="411"/>
        <item x="262"/>
        <item x="241"/>
        <item x="98"/>
        <item x="415"/>
        <item x="316"/>
        <item x="448"/>
        <item x="681"/>
        <item x="701"/>
        <item x="581"/>
        <item x="659"/>
        <item x="625"/>
        <item x="419"/>
        <item x="56"/>
        <item x="140"/>
        <item x="192"/>
        <item x="603"/>
        <item x="391"/>
        <item x="154"/>
        <item x="323"/>
        <item x="464"/>
        <item x="740"/>
        <item x="267"/>
        <item x="547"/>
        <item x="754"/>
        <item x="675"/>
        <item x="572"/>
        <item x="193"/>
        <item x="24"/>
        <item x="114"/>
        <item x="611"/>
        <item x="439"/>
        <item x="558"/>
        <item x="255"/>
        <item x="125"/>
        <item x="480"/>
        <item x="49"/>
        <item x="350"/>
        <item x="574"/>
        <item x="206"/>
        <item x="394"/>
        <item x="532"/>
        <item x="605"/>
        <item x="561"/>
        <item x="283"/>
        <item x="297"/>
        <item x="542"/>
        <item x="273"/>
        <item x="19"/>
        <item x="337"/>
        <item x="371"/>
        <item x="36"/>
        <item x="94"/>
        <item x="41"/>
        <item x="631"/>
        <item x="683"/>
        <item x="470"/>
        <item x="194"/>
        <item x="450"/>
        <item x="444"/>
        <item x="377"/>
        <item x="9"/>
        <item x="11"/>
        <item x="210"/>
        <item x="260"/>
        <item x="510"/>
        <item x="4"/>
        <item x="119"/>
        <item x="287"/>
        <item x="732"/>
        <item x="12"/>
        <item x="637"/>
        <item x="597"/>
        <item x="288"/>
        <item x="782"/>
        <item x="29"/>
        <item x="37"/>
        <item x="368"/>
        <item x="764"/>
        <item x="195"/>
        <item x="783"/>
        <item x="330"/>
        <item x="449"/>
        <item x="253"/>
        <item x="649"/>
        <item x="671"/>
        <item x="755"/>
        <item x="564"/>
        <item x="528"/>
        <item x="148"/>
        <item x="361"/>
        <item x="409"/>
        <item x="263"/>
        <item x="456"/>
        <item x="256"/>
        <item x="548"/>
        <item x="254"/>
        <item x="420"/>
        <item x="52"/>
        <item x="476"/>
        <item x="96"/>
        <item x="772"/>
        <item x="668"/>
        <item x="511"/>
        <item x="431"/>
        <item x="549"/>
        <item x="733"/>
        <item x="331"/>
        <item x="643"/>
        <item x="698"/>
        <item x="178"/>
        <item x="130"/>
        <item x="182"/>
        <item x="472"/>
        <item x="421"/>
        <item x="214"/>
        <item x="20"/>
        <item x="274"/>
        <item x="218"/>
        <item x="303"/>
        <item x="630"/>
        <item x="615"/>
        <item x="702"/>
        <item x="382"/>
        <item x="25"/>
        <item x="578"/>
        <item x="565"/>
        <item x="219"/>
        <item x="378"/>
        <item x="721"/>
        <item x="310"/>
        <item x="607"/>
        <item x="767"/>
        <item x="770"/>
        <item x="667"/>
        <item x="786"/>
        <item x="705"/>
        <item x="428"/>
        <item x="250"/>
        <item x="540"/>
        <item x="395"/>
        <item x="601"/>
        <item x="161"/>
        <item x="481"/>
        <item x="718"/>
        <item x="243"/>
        <item x="699"/>
        <item x="67"/>
        <item x="289"/>
        <item x="447"/>
        <item x="592"/>
        <item x="622"/>
        <item x="412"/>
        <item x="513"/>
        <item x="363"/>
        <item x="514"/>
        <item x="32"/>
        <item x="277"/>
        <item x="190"/>
        <item x="237"/>
        <item x="413"/>
        <item x="553"/>
        <item x="346"/>
        <item x="712"/>
        <item x="499"/>
        <item x="734"/>
        <item x="692"/>
        <item x="229"/>
        <item x="517"/>
        <item x="155"/>
        <item x="60"/>
        <item x="416"/>
        <item x="251"/>
        <item x="751"/>
        <item x="284"/>
        <item x="776"/>
        <item x="727"/>
        <item x="200"/>
        <item x="658"/>
        <item x="608"/>
        <item x="165"/>
        <item x="451"/>
        <item x="246"/>
        <item x="42"/>
        <item x="196"/>
        <item x="441"/>
        <item x="781"/>
        <item x="442"/>
        <item x="519"/>
        <item x="722"/>
        <item x="402"/>
        <item x="620"/>
        <item x="26"/>
        <item x="793"/>
        <item x="626"/>
        <item x="50"/>
        <item x="170"/>
        <item x="741"/>
        <item x="423"/>
        <item x="586"/>
        <item x="436"/>
        <item x="215"/>
        <item x="529"/>
        <item x="554"/>
        <item x="780"/>
        <item x="682"/>
        <item x="769"/>
        <item x="666"/>
        <item x="385"/>
        <item x="203"/>
        <item x="197"/>
        <item x="216"/>
        <item x="171"/>
        <item x="628"/>
        <item x="247"/>
        <item x="746"/>
        <item x="403"/>
        <item x="299"/>
        <item x="53"/>
        <item x="156"/>
        <item x="496"/>
        <item x="379"/>
        <item x="71"/>
        <item x="452"/>
        <item x="61"/>
        <item x="311"/>
        <item x="54"/>
        <item x="645"/>
        <item x="211"/>
        <item x="482"/>
        <item x="693"/>
        <item x="103"/>
        <item x="765"/>
        <item t="default"/>
      </items>
    </pivotField>
    <pivotField showAll="0"/>
    <pivotField showAll="0"/>
    <pivotField numFmtId="165"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0A5991B-D92A-4B13-AC4F-DA3DD349F8A2}" name="Table16" displayName="Table16" ref="A1:I10001" totalsRowShown="0">
  <autoFilter ref="A1:I10001" xr:uid="{DA5EE716-9EEF-4015-BAD3-FFC0CC2697CA}"/>
  <sortState xmlns:xlrd2="http://schemas.microsoft.com/office/spreadsheetml/2017/richdata2" ref="A2:I10001">
    <sortCondition ref="B1:B10001"/>
  </sortState>
  <tableColumns count="9">
    <tableColumn id="1" xr3:uid="{076A90F9-B6C4-4C90-A0CA-79221B146198}" name="invoice_no"/>
    <tableColumn id="8" xr3:uid="{4C8ED5B9-AF5D-4B68-9571-144874F305EB}" name="customer_id"/>
    <tableColumn id="3" xr3:uid="{F784C14D-D7D0-4007-ADD5-4BDB8A1ACF45}" name="category"/>
    <tableColumn id="4" xr3:uid="{03432D32-D46F-4A9D-90E2-B4BC5303C54E}" name="quantity"/>
    <tableColumn id="5" xr3:uid="{2259DB46-B1B4-4DE7-A6C5-C8119F55C813}" name="price" dataDxfId="17"/>
    <tableColumn id="6" xr3:uid="{0B2B4111-FFE6-4502-99F0-39594956DB6E}" name="invoice_date" dataDxfId="16"/>
    <tableColumn id="7" xr3:uid="{B1EC1D26-108A-4AAD-9580-26D4052DAC85}" name="shopping_mall"/>
    <tableColumn id="10" xr3:uid="{ACD6452F-2E0F-41ED-B5DD-35CD567A5816}" name="customer_satisfaction_score"/>
    <tableColumn id="2" xr3:uid="{76CC7AD5-8C1B-4F3C-9BF4-770E598A308E}" name="Purchase_history" dataDxfId="15">
      <calculatedColumnFormula>Table16[[#This Row],[price]]*Table16[[#This Row],[quantity]]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A8D02-B47D-4388-AC43-B397A83FC6B1}" name="Table13" displayName="Table13" ref="A1:D2001" totalsRowShown="0" headerRowDxfId="14">
  <autoFilter ref="A1:D2001" xr:uid="{84219019-BD67-48BD-A746-1538CB973CE3}"/>
  <sortState xmlns:xlrd2="http://schemas.microsoft.com/office/spreadsheetml/2017/richdata2" ref="A2:D2001">
    <sortCondition ref="A1:A2001"/>
  </sortState>
  <tableColumns count="4">
    <tableColumn id="1" xr3:uid="{153A1605-2DF1-4680-AC9C-FE42C0C67D14}" name="customer_id" dataDxfId="13"/>
    <tableColumn id="2" xr3:uid="{DC3AB977-3EE6-4C3B-B219-954A4CB53AA0}" name="gender" dataDxfId="12"/>
    <tableColumn id="3" xr3:uid="{11AC91E3-C15F-43F4-A381-1C731B65D876}" name="age" dataDxfId="11"/>
    <tableColumn id="4" xr3:uid="{928F4B59-6D33-4315-9071-9018893D6955}" name="payment_method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F2243D-3998-4216-8AA6-01D5BF179242}" name="Table134" displayName="Table134" ref="E1:J2001" totalsRowShown="0">
  <autoFilter ref="E1:J2001" xr:uid="{6AF2243D-3998-4216-8AA6-01D5BF179242}"/>
  <tableColumns count="6">
    <tableColumn id="2" xr3:uid="{4D9D32B4-CFFB-4BDA-AD58-95BE4E4643DA}" name="number_of_purchases" dataDxfId="9">
      <calculatedColumnFormula>COUNTIF(Table16[customer_id],Table13[[#This Row],[customer_id]])</calculatedColumnFormula>
    </tableColumn>
    <tableColumn id="3" xr3:uid="{2C6745F3-FD06-467A-8327-852FF8D35220}" name="purchase_history" dataDxfId="8">
      <calculatedColumnFormula>SUMIFS(Table16[Purchase_history],Table16[customer_id],Table13[[#This Row],[customer_id]])</calculatedColumnFormula>
    </tableColumn>
    <tableColumn id="6" xr3:uid="{49730D2E-ED5F-4159-B37C-9EA607F5E312}" name="First_Day" dataDxfId="7"/>
    <tableColumn id="5" xr3:uid="{1CA6916B-A368-49C4-8619-C606179890A7}" name="Last_Day" dataDxfId="6"/>
    <tableColumn id="1" xr3:uid="{F2F69A9E-EB2C-427E-AE07-AEC99BBA2C3C}" name="customer_total_years" dataDxfId="5">
      <calculatedColumnFormula>(Table134[[#This Row],[Last_Day]]-Table134[[#This Row],[First_Day]]+1)/365</calculatedColumnFormula>
    </tableColumn>
    <tableColumn id="4" xr3:uid="{051BC42B-CCED-4105-9433-A7EFB9F66E73}" name="avg_number_of_purchases" dataDxfId="4">
      <calculatedColumnFormula>Table134[[#This Row],[number_of_purchases]]/Table134[[#This Row],[customer_total_years]]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18FBF8-F615-40E9-B299-2F77724AA298}" name="Table1345" displayName="Table1345" ref="K1:N2001" totalsRowShown="0">
  <autoFilter ref="K1:N2001" xr:uid="{6A18FBF8-F615-40E9-B299-2F77724AA298}"/>
  <tableColumns count="4">
    <tableColumn id="1" xr3:uid="{89E05322-ACA9-400D-961A-349FD4FE68A7}" name="avg_purchase_value" dataDxfId="3">
      <calculatedColumnFormula>Table134[[#This Row],[purchase_history]]/Table134[[#This Row],[number_of_purchases]]</calculatedColumnFormula>
    </tableColumn>
    <tableColumn id="2" xr3:uid="{8BD53556-6706-4FC5-AE94-C12946CF79E4}" name="expected_lifespan" dataDxfId="2">
      <calculatedColumnFormula>IF(YEAR(Table134[[#This Row],[Last_Day]])=2021,5,IF(YEAR(Table134[[#This Row],[Last_Day]])=2022,7,IF(YEAR(Table134[[#This Row],[Last_Day]])=2023,10,"Không xác định")))</calculatedColumnFormula>
    </tableColumn>
    <tableColumn id="3" xr3:uid="{2BC910AA-8088-4700-A9EA-5AEFE4854860}" name="customer_lifetime_value" dataDxfId="1">
      <calculatedColumnFormula>Table134[[#This Row],[avg_number_of_purchases]]*Table1345[[#This Row],[avg_purchase_value]]*Table1345[[#This Row],[expected_lifespan]]</calculatedColumnFormula>
    </tableColumn>
    <tableColumn id="5" xr3:uid="{A5E086CF-7BAC-4009-BCBA-E97D92DAFFFE}" name="referral_channel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38FA3-F736-45D3-AC66-670EFFA97B09}">
  <dimension ref="A3:C20"/>
  <sheetViews>
    <sheetView workbookViewId="0">
      <selection activeCell="A3" sqref="A3"/>
    </sheetView>
  </sheetViews>
  <sheetFormatPr defaultRowHeight="14.4" x14ac:dyDescent="0.3"/>
  <cols>
    <col min="1" max="1" width="12.44140625" bestFit="1" customWidth="1"/>
  </cols>
  <sheetData>
    <row r="3" spans="1:3" x14ac:dyDescent="0.3">
      <c r="A3" s="3"/>
      <c r="B3" s="4"/>
      <c r="C3" s="5"/>
    </row>
    <row r="4" spans="1:3" x14ac:dyDescent="0.3">
      <c r="A4" s="6"/>
      <c r="B4" s="7"/>
      <c r="C4" s="8"/>
    </row>
    <row r="5" spans="1:3" x14ac:dyDescent="0.3">
      <c r="A5" s="6"/>
      <c r="B5" s="7"/>
      <c r="C5" s="8"/>
    </row>
    <row r="6" spans="1:3" x14ac:dyDescent="0.3">
      <c r="A6" s="6"/>
      <c r="B6" s="7"/>
      <c r="C6" s="8"/>
    </row>
    <row r="7" spans="1:3" x14ac:dyDescent="0.3">
      <c r="A7" s="6"/>
      <c r="B7" s="7"/>
      <c r="C7" s="8"/>
    </row>
    <row r="8" spans="1:3" x14ac:dyDescent="0.3">
      <c r="A8" s="6"/>
      <c r="B8" s="7"/>
      <c r="C8" s="8"/>
    </row>
    <row r="9" spans="1:3" x14ac:dyDescent="0.3">
      <c r="A9" s="6"/>
      <c r="B9" s="7"/>
      <c r="C9" s="8"/>
    </row>
    <row r="10" spans="1:3" x14ac:dyDescent="0.3">
      <c r="A10" s="6"/>
      <c r="B10" s="7"/>
      <c r="C10" s="8"/>
    </row>
    <row r="11" spans="1:3" x14ac:dyDescent="0.3">
      <c r="A11" s="6"/>
      <c r="B11" s="7"/>
      <c r="C11" s="8"/>
    </row>
    <row r="12" spans="1:3" x14ac:dyDescent="0.3">
      <c r="A12" s="6"/>
      <c r="B12" s="7"/>
      <c r="C12" s="8"/>
    </row>
    <row r="13" spans="1:3" x14ac:dyDescent="0.3">
      <c r="A13" s="6"/>
      <c r="B13" s="7"/>
      <c r="C13" s="8"/>
    </row>
    <row r="14" spans="1:3" x14ac:dyDescent="0.3">
      <c r="A14" s="6"/>
      <c r="B14" s="7"/>
      <c r="C14" s="8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9"/>
      <c r="B20" s="10"/>
      <c r="C2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8A02-2E61-46E5-ADE3-D688A16119BA}">
  <dimension ref="A1:I10001"/>
  <sheetViews>
    <sheetView workbookViewId="0">
      <selection activeCell="C13" sqref="C13"/>
    </sheetView>
  </sheetViews>
  <sheetFormatPr defaultRowHeight="14.4" x14ac:dyDescent="0.3"/>
  <cols>
    <col min="1" max="1" width="12" bestFit="1" customWidth="1"/>
    <col min="2" max="2" width="13.5546875" bestFit="1" customWidth="1"/>
    <col min="3" max="3" width="14.44140625" bestFit="1" customWidth="1"/>
    <col min="4" max="4" width="10.109375" bestFit="1" customWidth="1"/>
    <col min="5" max="5" width="11.33203125" customWidth="1"/>
    <col min="6" max="6" width="13.77734375" bestFit="1" customWidth="1"/>
    <col min="7" max="7" width="16" bestFit="1" customWidth="1"/>
    <col min="8" max="8" width="27.33203125" bestFit="1" customWidth="1"/>
    <col min="9" max="9" width="17.44140625" bestFit="1" customWidth="1"/>
    <col min="10" max="10" width="21.44140625" customWidth="1"/>
    <col min="11" max="11" width="16.33203125" bestFit="1" customWidth="1"/>
  </cols>
  <sheetData>
    <row r="1" spans="1:9" x14ac:dyDescent="0.3">
      <c r="A1" t="s">
        <v>12018</v>
      </c>
      <c r="B1" t="s">
        <v>12019</v>
      </c>
      <c r="C1" t="s">
        <v>12020</v>
      </c>
      <c r="D1" t="s">
        <v>12021</v>
      </c>
      <c r="E1" t="s">
        <v>12022</v>
      </c>
      <c r="F1" t="s">
        <v>12023</v>
      </c>
      <c r="G1" t="s">
        <v>12024</v>
      </c>
      <c r="H1" t="s">
        <v>12025</v>
      </c>
      <c r="I1" t="s">
        <v>12026</v>
      </c>
    </row>
    <row r="2" spans="1:9" x14ac:dyDescent="0.3">
      <c r="A2" t="s">
        <v>2003</v>
      </c>
      <c r="B2" t="s">
        <v>0</v>
      </c>
      <c r="C2" t="s">
        <v>2001</v>
      </c>
      <c r="D2">
        <v>4</v>
      </c>
      <c r="E2" s="16">
        <v>1200.32</v>
      </c>
      <c r="F2" s="1">
        <v>44210</v>
      </c>
      <c r="G2" t="s">
        <v>2004</v>
      </c>
      <c r="H2">
        <v>1</v>
      </c>
      <c r="I2" s="12">
        <f>Table16[[#This Row],[price]]*Table16[[#This Row],[quantity]]</f>
        <v>4801.28</v>
      </c>
    </row>
    <row r="3" spans="1:9" x14ac:dyDescent="0.3">
      <c r="A3" t="s">
        <v>2000</v>
      </c>
      <c r="B3" t="s">
        <v>0</v>
      </c>
      <c r="C3" t="s">
        <v>2001</v>
      </c>
      <c r="D3">
        <v>5</v>
      </c>
      <c r="E3" s="16">
        <v>1500.4</v>
      </c>
      <c r="F3" s="1">
        <v>44284</v>
      </c>
      <c r="G3" t="s">
        <v>2002</v>
      </c>
      <c r="H3">
        <v>5</v>
      </c>
      <c r="I3" s="12">
        <f>Table16[[#This Row],[price]]*Table16[[#This Row],[quantity]]</f>
        <v>7502</v>
      </c>
    </row>
    <row r="4" spans="1:9" x14ac:dyDescent="0.3">
      <c r="A4" t="s">
        <v>2010</v>
      </c>
      <c r="B4" t="s">
        <v>0</v>
      </c>
      <c r="C4" t="s">
        <v>2011</v>
      </c>
      <c r="D4">
        <v>3</v>
      </c>
      <c r="E4" s="16">
        <v>121.98</v>
      </c>
      <c r="F4" s="1">
        <v>44702</v>
      </c>
      <c r="G4" t="s">
        <v>2012</v>
      </c>
      <c r="H4">
        <v>3</v>
      </c>
      <c r="I4" s="12">
        <f>Table16[[#This Row],[price]]*Table16[[#This Row],[quantity]]</f>
        <v>365.94</v>
      </c>
    </row>
    <row r="5" spans="1:9" x14ac:dyDescent="0.3">
      <c r="A5" t="s">
        <v>2007</v>
      </c>
      <c r="B5" t="s">
        <v>0</v>
      </c>
      <c r="C5" t="s">
        <v>2008</v>
      </c>
      <c r="D5">
        <v>5</v>
      </c>
      <c r="E5" s="16">
        <v>26.15</v>
      </c>
      <c r="F5" s="1">
        <v>44747</v>
      </c>
      <c r="G5" t="s">
        <v>2009</v>
      </c>
      <c r="H5">
        <v>1</v>
      </c>
      <c r="I5" s="12">
        <f>Table16[[#This Row],[price]]*Table16[[#This Row],[quantity]]</f>
        <v>130.75</v>
      </c>
    </row>
    <row r="6" spans="1:9" x14ac:dyDescent="0.3">
      <c r="A6" t="s">
        <v>2005</v>
      </c>
      <c r="B6" t="s">
        <v>0</v>
      </c>
      <c r="C6" t="s">
        <v>2006</v>
      </c>
      <c r="D6">
        <v>1</v>
      </c>
      <c r="E6" s="16">
        <v>15.15</v>
      </c>
      <c r="F6" s="1">
        <v>44827</v>
      </c>
      <c r="G6" t="s">
        <v>2002</v>
      </c>
      <c r="H6">
        <v>1</v>
      </c>
      <c r="I6" s="12">
        <f>Table16[[#This Row],[price]]*Table16[[#This Row],[quantity]]</f>
        <v>15.15</v>
      </c>
    </row>
    <row r="7" spans="1:9" x14ac:dyDescent="0.3">
      <c r="A7" t="s">
        <v>2019</v>
      </c>
      <c r="B7" t="s">
        <v>1</v>
      </c>
      <c r="C7" t="s">
        <v>2001</v>
      </c>
      <c r="D7">
        <v>3</v>
      </c>
      <c r="E7" s="16">
        <v>900.24</v>
      </c>
      <c r="F7" s="1">
        <v>44203</v>
      </c>
      <c r="G7" t="s">
        <v>2020</v>
      </c>
      <c r="H7">
        <v>3</v>
      </c>
      <c r="I7" s="12">
        <f>Table16[[#This Row],[price]]*Table16[[#This Row],[quantity]]</f>
        <v>2700.7200000000003</v>
      </c>
    </row>
    <row r="8" spans="1:9" x14ac:dyDescent="0.3">
      <c r="A8" t="s">
        <v>2021</v>
      </c>
      <c r="B8" t="s">
        <v>1</v>
      </c>
      <c r="C8" t="s">
        <v>2001</v>
      </c>
      <c r="D8">
        <v>4</v>
      </c>
      <c r="E8" s="16">
        <v>1200.32</v>
      </c>
      <c r="F8" s="1">
        <v>44722</v>
      </c>
      <c r="G8" t="s">
        <v>2004</v>
      </c>
      <c r="H8">
        <v>1</v>
      </c>
      <c r="I8" s="12">
        <f>Table16[[#This Row],[price]]*Table16[[#This Row],[quantity]]</f>
        <v>4801.28</v>
      </c>
    </row>
    <row r="9" spans="1:9" x14ac:dyDescent="0.3">
      <c r="A9" t="s">
        <v>2016</v>
      </c>
      <c r="B9" t="s">
        <v>1</v>
      </c>
      <c r="C9" t="s">
        <v>2017</v>
      </c>
      <c r="D9">
        <v>5</v>
      </c>
      <c r="E9" s="16">
        <v>5250</v>
      </c>
      <c r="F9" s="1">
        <v>44745</v>
      </c>
      <c r="G9" t="s">
        <v>2018</v>
      </c>
      <c r="H9">
        <v>3</v>
      </c>
      <c r="I9" s="12">
        <f>Table16[[#This Row],[price]]*Table16[[#This Row],[quantity]]</f>
        <v>26250</v>
      </c>
    </row>
    <row r="10" spans="1:9" x14ac:dyDescent="0.3">
      <c r="A10" t="s">
        <v>2013</v>
      </c>
      <c r="B10" t="s">
        <v>1</v>
      </c>
      <c r="C10" t="s">
        <v>2008</v>
      </c>
      <c r="D10">
        <v>5</v>
      </c>
      <c r="E10" s="16">
        <v>26.15</v>
      </c>
      <c r="F10" s="1">
        <v>44760</v>
      </c>
      <c r="G10" t="s">
        <v>2004</v>
      </c>
      <c r="H10">
        <v>5</v>
      </c>
      <c r="I10" s="12">
        <f>Table16[[#This Row],[price]]*Table16[[#This Row],[quantity]]</f>
        <v>130.75</v>
      </c>
    </row>
    <row r="11" spans="1:9" x14ac:dyDescent="0.3">
      <c r="A11" t="s">
        <v>2014</v>
      </c>
      <c r="B11" t="s">
        <v>1</v>
      </c>
      <c r="C11" t="s">
        <v>2015</v>
      </c>
      <c r="D11">
        <v>2</v>
      </c>
      <c r="E11" s="16">
        <v>1200.3399999999999</v>
      </c>
      <c r="F11" s="1">
        <v>44822</v>
      </c>
      <c r="G11" t="s">
        <v>2004</v>
      </c>
      <c r="H11">
        <v>1</v>
      </c>
      <c r="I11" s="12">
        <f>Table16[[#This Row],[price]]*Table16[[#This Row],[quantity]]</f>
        <v>2400.6799999999998</v>
      </c>
    </row>
    <row r="12" spans="1:9" x14ac:dyDescent="0.3">
      <c r="A12" t="s">
        <v>2025</v>
      </c>
      <c r="B12" t="s">
        <v>2</v>
      </c>
      <c r="C12" t="s">
        <v>2011</v>
      </c>
      <c r="D12">
        <v>4</v>
      </c>
      <c r="E12" s="16">
        <v>162.63999999999999</v>
      </c>
      <c r="F12" s="1">
        <v>44321</v>
      </c>
      <c r="G12" t="s">
        <v>2004</v>
      </c>
      <c r="H12">
        <v>1</v>
      </c>
      <c r="I12" s="12">
        <f>Table16[[#This Row],[price]]*Table16[[#This Row],[quantity]]</f>
        <v>650.55999999999995</v>
      </c>
    </row>
    <row r="13" spans="1:9" x14ac:dyDescent="0.3">
      <c r="A13" t="s">
        <v>2023</v>
      </c>
      <c r="B13" t="s">
        <v>2</v>
      </c>
      <c r="C13" t="s">
        <v>2024</v>
      </c>
      <c r="D13">
        <v>4</v>
      </c>
      <c r="E13" s="16">
        <v>143.36000000000001</v>
      </c>
      <c r="F13" s="1">
        <v>44823</v>
      </c>
      <c r="G13" t="s">
        <v>2002</v>
      </c>
      <c r="H13">
        <v>3</v>
      </c>
      <c r="I13" s="12">
        <f>Table16[[#This Row],[price]]*Table16[[#This Row],[quantity]]</f>
        <v>573.44000000000005</v>
      </c>
    </row>
    <row r="14" spans="1:9" x14ac:dyDescent="0.3">
      <c r="A14" t="s">
        <v>2022</v>
      </c>
      <c r="B14" t="s">
        <v>2</v>
      </c>
      <c r="C14" t="s">
        <v>2008</v>
      </c>
      <c r="D14">
        <v>5</v>
      </c>
      <c r="E14" s="16">
        <v>26.15</v>
      </c>
      <c r="F14" s="1">
        <v>44831</v>
      </c>
      <c r="G14" t="s">
        <v>2012</v>
      </c>
      <c r="H14">
        <v>2</v>
      </c>
      <c r="I14" s="12">
        <f>Table16[[#This Row],[price]]*Table16[[#This Row],[quantity]]</f>
        <v>130.75</v>
      </c>
    </row>
    <row r="15" spans="1:9" x14ac:dyDescent="0.3">
      <c r="A15" t="s">
        <v>2028</v>
      </c>
      <c r="B15" t="s">
        <v>3</v>
      </c>
      <c r="C15" t="s">
        <v>2008</v>
      </c>
      <c r="D15">
        <v>2</v>
      </c>
      <c r="E15" s="16">
        <v>10.46</v>
      </c>
      <c r="F15" s="1">
        <v>44311</v>
      </c>
      <c r="G15" t="s">
        <v>2018</v>
      </c>
      <c r="H15">
        <v>5</v>
      </c>
      <c r="I15" s="12">
        <f>Table16[[#This Row],[price]]*Table16[[#This Row],[quantity]]</f>
        <v>20.92</v>
      </c>
    </row>
    <row r="16" spans="1:9" x14ac:dyDescent="0.3">
      <c r="A16" t="s">
        <v>2030</v>
      </c>
      <c r="B16" t="s">
        <v>3</v>
      </c>
      <c r="C16" t="s">
        <v>2011</v>
      </c>
      <c r="D16">
        <v>2</v>
      </c>
      <c r="E16" s="16">
        <v>81.319999999999993</v>
      </c>
      <c r="F16" s="1">
        <v>44413</v>
      </c>
      <c r="G16" t="s">
        <v>2027</v>
      </c>
      <c r="H16">
        <v>3</v>
      </c>
      <c r="I16" s="12">
        <f>Table16[[#This Row],[price]]*Table16[[#This Row],[quantity]]</f>
        <v>162.63999999999999</v>
      </c>
    </row>
    <row r="17" spans="1:9" x14ac:dyDescent="0.3">
      <c r="A17" t="s">
        <v>2029</v>
      </c>
      <c r="B17" t="s">
        <v>3</v>
      </c>
      <c r="C17" t="s">
        <v>2024</v>
      </c>
      <c r="D17">
        <v>2</v>
      </c>
      <c r="E17" s="16">
        <v>71.680000000000007</v>
      </c>
      <c r="F17" s="1">
        <v>44429</v>
      </c>
      <c r="G17" t="s">
        <v>2009</v>
      </c>
      <c r="H17">
        <v>1</v>
      </c>
      <c r="I17" s="12">
        <f>Table16[[#This Row],[price]]*Table16[[#This Row],[quantity]]</f>
        <v>143.36000000000001</v>
      </c>
    </row>
    <row r="18" spans="1:9" x14ac:dyDescent="0.3">
      <c r="A18" t="s">
        <v>2026</v>
      </c>
      <c r="B18" t="s">
        <v>3</v>
      </c>
      <c r="C18" t="s">
        <v>2001</v>
      </c>
      <c r="D18">
        <v>5</v>
      </c>
      <c r="E18" s="16">
        <v>1500.4</v>
      </c>
      <c r="F18" s="1">
        <v>44585</v>
      </c>
      <c r="G18" t="s">
        <v>2027</v>
      </c>
      <c r="H18">
        <v>3</v>
      </c>
      <c r="I18" s="12">
        <f>Table16[[#This Row],[price]]*Table16[[#This Row],[quantity]]</f>
        <v>7502</v>
      </c>
    </row>
    <row r="19" spans="1:9" x14ac:dyDescent="0.3">
      <c r="A19" t="s">
        <v>2031</v>
      </c>
      <c r="B19" t="s">
        <v>4</v>
      </c>
      <c r="C19" t="s">
        <v>2011</v>
      </c>
      <c r="D19">
        <v>1</v>
      </c>
      <c r="E19" s="16">
        <v>40.659999999999997</v>
      </c>
      <c r="F19" s="1">
        <v>44444</v>
      </c>
      <c r="G19" t="s">
        <v>2018</v>
      </c>
      <c r="H19">
        <v>1</v>
      </c>
      <c r="I19" s="12">
        <f>Table16[[#This Row],[price]]*Table16[[#This Row],[quantity]]</f>
        <v>40.659999999999997</v>
      </c>
    </row>
    <row r="20" spans="1:9" x14ac:dyDescent="0.3">
      <c r="A20" t="s">
        <v>2033</v>
      </c>
      <c r="B20" t="s">
        <v>4</v>
      </c>
      <c r="C20" t="s">
        <v>2024</v>
      </c>
      <c r="D20">
        <v>1</v>
      </c>
      <c r="E20" s="16">
        <v>35.840000000000003</v>
      </c>
      <c r="F20" s="1">
        <v>44612</v>
      </c>
      <c r="G20" t="s">
        <v>2004</v>
      </c>
      <c r="H20">
        <v>1</v>
      </c>
      <c r="I20" s="12">
        <f>Table16[[#This Row],[price]]*Table16[[#This Row],[quantity]]</f>
        <v>35.840000000000003</v>
      </c>
    </row>
    <row r="21" spans="1:9" x14ac:dyDescent="0.3">
      <c r="A21" t="s">
        <v>2032</v>
      </c>
      <c r="B21" t="s">
        <v>4</v>
      </c>
      <c r="C21" t="s">
        <v>2017</v>
      </c>
      <c r="D21">
        <v>3</v>
      </c>
      <c r="E21" s="16">
        <v>3150</v>
      </c>
      <c r="F21" s="1">
        <v>44809</v>
      </c>
      <c r="G21" t="s">
        <v>2002</v>
      </c>
      <c r="H21">
        <v>3</v>
      </c>
      <c r="I21" s="12">
        <f>Table16[[#This Row],[price]]*Table16[[#This Row],[quantity]]</f>
        <v>9450</v>
      </c>
    </row>
    <row r="22" spans="1:9" x14ac:dyDescent="0.3">
      <c r="A22" t="s">
        <v>2034</v>
      </c>
      <c r="B22" t="s">
        <v>4</v>
      </c>
      <c r="C22" t="s">
        <v>2001</v>
      </c>
      <c r="D22">
        <v>1</v>
      </c>
      <c r="E22" s="16">
        <v>300.08</v>
      </c>
      <c r="F22" s="1">
        <v>44877</v>
      </c>
      <c r="G22" t="s">
        <v>2027</v>
      </c>
      <c r="H22">
        <v>1</v>
      </c>
      <c r="I22" s="12">
        <f>Table16[[#This Row],[price]]*Table16[[#This Row],[quantity]]</f>
        <v>300.08</v>
      </c>
    </row>
    <row r="23" spans="1:9" x14ac:dyDescent="0.3">
      <c r="A23" t="s">
        <v>2038</v>
      </c>
      <c r="B23" t="s">
        <v>5</v>
      </c>
      <c r="C23" t="s">
        <v>2011</v>
      </c>
      <c r="D23">
        <v>5</v>
      </c>
      <c r="E23" s="16">
        <v>203.3</v>
      </c>
      <c r="F23" s="1">
        <v>44438</v>
      </c>
      <c r="G23" t="s">
        <v>2002</v>
      </c>
      <c r="H23">
        <v>1</v>
      </c>
      <c r="I23" s="12">
        <f>Table16[[#This Row],[price]]*Table16[[#This Row],[quantity]]</f>
        <v>1016.5</v>
      </c>
    </row>
    <row r="24" spans="1:9" x14ac:dyDescent="0.3">
      <c r="A24" t="s">
        <v>2036</v>
      </c>
      <c r="B24" t="s">
        <v>5</v>
      </c>
      <c r="C24" t="s">
        <v>2001</v>
      </c>
      <c r="D24">
        <v>2</v>
      </c>
      <c r="E24" s="16">
        <v>600.16</v>
      </c>
      <c r="F24" s="1">
        <v>44464</v>
      </c>
      <c r="G24" t="s">
        <v>2002</v>
      </c>
      <c r="H24">
        <v>3</v>
      </c>
      <c r="I24" s="12">
        <f>Table16[[#This Row],[price]]*Table16[[#This Row],[quantity]]</f>
        <v>1200.32</v>
      </c>
    </row>
    <row r="25" spans="1:9" x14ac:dyDescent="0.3">
      <c r="A25" t="s">
        <v>2037</v>
      </c>
      <c r="B25" t="s">
        <v>5</v>
      </c>
      <c r="C25" t="s">
        <v>2001</v>
      </c>
      <c r="D25">
        <v>1</v>
      </c>
      <c r="E25" s="16">
        <v>300.08</v>
      </c>
      <c r="F25" s="1">
        <v>44703</v>
      </c>
      <c r="G25" t="s">
        <v>2027</v>
      </c>
      <c r="H25">
        <v>5</v>
      </c>
      <c r="I25" s="12">
        <f>Table16[[#This Row],[price]]*Table16[[#This Row],[quantity]]</f>
        <v>300.08</v>
      </c>
    </row>
    <row r="26" spans="1:9" x14ac:dyDescent="0.3">
      <c r="A26" t="s">
        <v>2040</v>
      </c>
      <c r="B26" t="s">
        <v>5</v>
      </c>
      <c r="C26" t="s">
        <v>2011</v>
      </c>
      <c r="D26">
        <v>2</v>
      </c>
      <c r="E26" s="16">
        <v>81.319999999999993</v>
      </c>
      <c r="F26" s="1">
        <v>44789</v>
      </c>
      <c r="G26" t="s">
        <v>2041</v>
      </c>
      <c r="H26">
        <v>3</v>
      </c>
      <c r="I26" s="12">
        <f>Table16[[#This Row],[price]]*Table16[[#This Row],[quantity]]</f>
        <v>162.63999999999999</v>
      </c>
    </row>
    <row r="27" spans="1:9" x14ac:dyDescent="0.3">
      <c r="A27" t="s">
        <v>2035</v>
      </c>
      <c r="B27" t="s">
        <v>5</v>
      </c>
      <c r="C27" t="s">
        <v>2006</v>
      </c>
      <c r="D27">
        <v>1</v>
      </c>
      <c r="E27" s="16">
        <v>15.15</v>
      </c>
      <c r="F27" s="1">
        <v>44885</v>
      </c>
      <c r="G27" t="s">
        <v>2027</v>
      </c>
      <c r="H27">
        <v>2</v>
      </c>
      <c r="I27" s="12">
        <f>Table16[[#This Row],[price]]*Table16[[#This Row],[quantity]]</f>
        <v>15.15</v>
      </c>
    </row>
    <row r="28" spans="1:9" x14ac:dyDescent="0.3">
      <c r="A28" t="s">
        <v>2039</v>
      </c>
      <c r="B28" t="s">
        <v>5</v>
      </c>
      <c r="C28" t="s">
        <v>2001</v>
      </c>
      <c r="D28">
        <v>5</v>
      </c>
      <c r="E28" s="16">
        <v>1500.4</v>
      </c>
      <c r="F28" s="1">
        <v>44953</v>
      </c>
      <c r="G28" t="s">
        <v>2012</v>
      </c>
      <c r="H28">
        <v>5</v>
      </c>
      <c r="I28" s="12">
        <f>Table16[[#This Row],[price]]*Table16[[#This Row],[quantity]]</f>
        <v>7502</v>
      </c>
    </row>
    <row r="29" spans="1:9" x14ac:dyDescent="0.3">
      <c r="A29" t="s">
        <v>2045</v>
      </c>
      <c r="B29" t="s">
        <v>6</v>
      </c>
      <c r="C29" t="s">
        <v>2006</v>
      </c>
      <c r="D29">
        <v>1</v>
      </c>
      <c r="E29" s="16">
        <v>15.15</v>
      </c>
      <c r="F29" s="1">
        <v>44371</v>
      </c>
      <c r="G29" t="s">
        <v>2041</v>
      </c>
      <c r="H29">
        <v>5</v>
      </c>
      <c r="I29" s="12">
        <f>Table16[[#This Row],[price]]*Table16[[#This Row],[quantity]]</f>
        <v>15.15</v>
      </c>
    </row>
    <row r="30" spans="1:9" x14ac:dyDescent="0.3">
      <c r="A30" t="s">
        <v>2043</v>
      </c>
      <c r="B30" t="s">
        <v>6</v>
      </c>
      <c r="C30" t="s">
        <v>2015</v>
      </c>
      <c r="D30">
        <v>1</v>
      </c>
      <c r="E30" s="16">
        <v>600.16999999999996</v>
      </c>
      <c r="F30" s="1">
        <v>44445</v>
      </c>
      <c r="G30" t="s">
        <v>2027</v>
      </c>
      <c r="H30">
        <v>4</v>
      </c>
      <c r="I30" s="12">
        <f>Table16[[#This Row],[price]]*Table16[[#This Row],[quantity]]</f>
        <v>600.16999999999996</v>
      </c>
    </row>
    <row r="31" spans="1:9" x14ac:dyDescent="0.3">
      <c r="A31" t="s">
        <v>2044</v>
      </c>
      <c r="B31" t="s">
        <v>6</v>
      </c>
      <c r="C31" t="s">
        <v>2001</v>
      </c>
      <c r="D31">
        <v>1</v>
      </c>
      <c r="E31" s="16">
        <v>300.08</v>
      </c>
      <c r="F31" s="1">
        <v>44836</v>
      </c>
      <c r="G31" t="s">
        <v>2004</v>
      </c>
      <c r="H31">
        <v>1</v>
      </c>
      <c r="I31" s="12">
        <f>Table16[[#This Row],[price]]*Table16[[#This Row],[quantity]]</f>
        <v>300.08</v>
      </c>
    </row>
    <row r="32" spans="1:9" x14ac:dyDescent="0.3">
      <c r="A32" t="s">
        <v>2042</v>
      </c>
      <c r="B32" t="s">
        <v>6</v>
      </c>
      <c r="C32" t="s">
        <v>2015</v>
      </c>
      <c r="D32">
        <v>1</v>
      </c>
      <c r="E32" s="16">
        <v>600.16999999999996</v>
      </c>
      <c r="F32" s="1">
        <v>44885</v>
      </c>
      <c r="G32" t="s">
        <v>2004</v>
      </c>
      <c r="H32">
        <v>5</v>
      </c>
      <c r="I32" s="12">
        <f>Table16[[#This Row],[price]]*Table16[[#This Row],[quantity]]</f>
        <v>600.16999999999996</v>
      </c>
    </row>
    <row r="33" spans="1:9" x14ac:dyDescent="0.3">
      <c r="A33" t="s">
        <v>2046</v>
      </c>
      <c r="B33" t="s">
        <v>7</v>
      </c>
      <c r="C33" t="s">
        <v>2015</v>
      </c>
      <c r="D33">
        <v>2</v>
      </c>
      <c r="E33" s="16">
        <v>1200.3399999999999</v>
      </c>
      <c r="F33" s="1">
        <v>44284</v>
      </c>
      <c r="G33" t="s">
        <v>2002</v>
      </c>
      <c r="H33">
        <v>5</v>
      </c>
      <c r="I33" s="12">
        <f>Table16[[#This Row],[price]]*Table16[[#This Row],[quantity]]</f>
        <v>2400.6799999999998</v>
      </c>
    </row>
    <row r="34" spans="1:9" x14ac:dyDescent="0.3">
      <c r="A34" t="s">
        <v>2048</v>
      </c>
      <c r="B34" t="s">
        <v>7</v>
      </c>
      <c r="C34" t="s">
        <v>2001</v>
      </c>
      <c r="D34">
        <v>2</v>
      </c>
      <c r="E34" s="16">
        <v>600.16</v>
      </c>
      <c r="F34" s="1">
        <v>44325</v>
      </c>
      <c r="G34" t="s">
        <v>2004</v>
      </c>
      <c r="H34">
        <v>3</v>
      </c>
      <c r="I34" s="12">
        <f>Table16[[#This Row],[price]]*Table16[[#This Row],[quantity]]</f>
        <v>1200.32</v>
      </c>
    </row>
    <row r="35" spans="1:9" x14ac:dyDescent="0.3">
      <c r="A35" t="s">
        <v>2049</v>
      </c>
      <c r="B35" t="s">
        <v>7</v>
      </c>
      <c r="C35" t="s">
        <v>2011</v>
      </c>
      <c r="D35">
        <v>4</v>
      </c>
      <c r="E35" s="16">
        <v>162.63999999999999</v>
      </c>
      <c r="F35" s="1">
        <v>44656</v>
      </c>
      <c r="G35" t="s">
        <v>2004</v>
      </c>
      <c r="H35">
        <v>5</v>
      </c>
      <c r="I35" s="12">
        <f>Table16[[#This Row],[price]]*Table16[[#This Row],[quantity]]</f>
        <v>650.55999999999995</v>
      </c>
    </row>
    <row r="36" spans="1:9" x14ac:dyDescent="0.3">
      <c r="A36" t="s">
        <v>2047</v>
      </c>
      <c r="B36" t="s">
        <v>7</v>
      </c>
      <c r="C36" t="s">
        <v>2015</v>
      </c>
      <c r="D36">
        <v>5</v>
      </c>
      <c r="E36" s="16">
        <v>3000.85</v>
      </c>
      <c r="F36" s="1">
        <v>44917</v>
      </c>
      <c r="G36" t="s">
        <v>2020</v>
      </c>
      <c r="H36">
        <v>1</v>
      </c>
      <c r="I36" s="12">
        <f>Table16[[#This Row],[price]]*Table16[[#This Row],[quantity]]</f>
        <v>15004.25</v>
      </c>
    </row>
    <row r="37" spans="1:9" x14ac:dyDescent="0.3">
      <c r="A37" t="s">
        <v>2053</v>
      </c>
      <c r="B37" t="s">
        <v>8</v>
      </c>
      <c r="C37" t="s">
        <v>2001</v>
      </c>
      <c r="D37">
        <v>1</v>
      </c>
      <c r="E37" s="16">
        <v>300.08</v>
      </c>
      <c r="F37" s="1">
        <v>44326</v>
      </c>
      <c r="G37" t="s">
        <v>2027</v>
      </c>
      <c r="H37">
        <v>1</v>
      </c>
      <c r="I37" s="12">
        <f>Table16[[#This Row],[price]]*Table16[[#This Row],[quantity]]</f>
        <v>300.08</v>
      </c>
    </row>
    <row r="38" spans="1:9" x14ac:dyDescent="0.3">
      <c r="A38" t="s">
        <v>2052</v>
      </c>
      <c r="B38" t="s">
        <v>8</v>
      </c>
      <c r="C38" t="s">
        <v>2008</v>
      </c>
      <c r="D38">
        <v>3</v>
      </c>
      <c r="E38" s="16">
        <v>15.69</v>
      </c>
      <c r="F38" s="1">
        <v>44376</v>
      </c>
      <c r="G38" t="s">
        <v>2004</v>
      </c>
      <c r="H38">
        <v>5</v>
      </c>
      <c r="I38" s="12">
        <f>Table16[[#This Row],[price]]*Table16[[#This Row],[quantity]]</f>
        <v>47.07</v>
      </c>
    </row>
    <row r="39" spans="1:9" x14ac:dyDescent="0.3">
      <c r="A39" t="s">
        <v>2054</v>
      </c>
      <c r="B39" t="s">
        <v>8</v>
      </c>
      <c r="C39" t="s">
        <v>2001</v>
      </c>
      <c r="D39">
        <v>4</v>
      </c>
      <c r="E39" s="16">
        <v>1200.32</v>
      </c>
      <c r="F39" s="1">
        <v>44646</v>
      </c>
      <c r="G39" t="s">
        <v>2027</v>
      </c>
      <c r="H39">
        <v>5</v>
      </c>
      <c r="I39" s="12">
        <f>Table16[[#This Row],[price]]*Table16[[#This Row],[quantity]]</f>
        <v>4801.28</v>
      </c>
    </row>
    <row r="40" spans="1:9" x14ac:dyDescent="0.3">
      <c r="A40" t="s">
        <v>2051</v>
      </c>
      <c r="B40" t="s">
        <v>8</v>
      </c>
      <c r="C40" t="s">
        <v>2001</v>
      </c>
      <c r="D40">
        <v>4</v>
      </c>
      <c r="E40" s="16">
        <v>1200.32</v>
      </c>
      <c r="F40" s="1">
        <v>44747</v>
      </c>
      <c r="G40" t="s">
        <v>2002</v>
      </c>
      <c r="H40">
        <v>3</v>
      </c>
      <c r="I40" s="12">
        <f>Table16[[#This Row],[price]]*Table16[[#This Row],[quantity]]</f>
        <v>4801.28</v>
      </c>
    </row>
    <row r="41" spans="1:9" x14ac:dyDescent="0.3">
      <c r="A41" t="s">
        <v>2050</v>
      </c>
      <c r="B41" t="s">
        <v>8</v>
      </c>
      <c r="C41" t="s">
        <v>2015</v>
      </c>
      <c r="D41">
        <v>5</v>
      </c>
      <c r="E41" s="16">
        <v>3000.85</v>
      </c>
      <c r="F41" s="1">
        <v>44812</v>
      </c>
      <c r="G41" t="s">
        <v>2002</v>
      </c>
      <c r="H41">
        <v>3</v>
      </c>
      <c r="I41" s="12">
        <f>Table16[[#This Row],[price]]*Table16[[#This Row],[quantity]]</f>
        <v>15004.25</v>
      </c>
    </row>
    <row r="42" spans="1:9" x14ac:dyDescent="0.3">
      <c r="A42" t="s">
        <v>2055</v>
      </c>
      <c r="B42" t="s">
        <v>8</v>
      </c>
      <c r="C42" t="s">
        <v>2008</v>
      </c>
      <c r="D42">
        <v>3</v>
      </c>
      <c r="E42" s="16">
        <v>15.69</v>
      </c>
      <c r="F42" s="1">
        <v>44837</v>
      </c>
      <c r="G42" t="s">
        <v>2027</v>
      </c>
      <c r="H42">
        <v>1</v>
      </c>
      <c r="I42" s="12">
        <f>Table16[[#This Row],[price]]*Table16[[#This Row],[quantity]]</f>
        <v>47.07</v>
      </c>
    </row>
    <row r="43" spans="1:9" x14ac:dyDescent="0.3">
      <c r="A43" t="s">
        <v>2061</v>
      </c>
      <c r="B43" t="s">
        <v>9</v>
      </c>
      <c r="C43" t="s">
        <v>2011</v>
      </c>
      <c r="D43">
        <v>5</v>
      </c>
      <c r="E43" s="16">
        <v>203.3</v>
      </c>
      <c r="F43" s="1">
        <v>44379</v>
      </c>
      <c r="G43" t="s">
        <v>2004</v>
      </c>
      <c r="H43">
        <v>2</v>
      </c>
      <c r="I43" s="12">
        <f>Table16[[#This Row],[price]]*Table16[[#This Row],[quantity]]</f>
        <v>1016.5</v>
      </c>
    </row>
    <row r="44" spans="1:9" x14ac:dyDescent="0.3">
      <c r="A44" t="s">
        <v>2059</v>
      </c>
      <c r="B44" t="s">
        <v>9</v>
      </c>
      <c r="C44" t="s">
        <v>2024</v>
      </c>
      <c r="D44">
        <v>4</v>
      </c>
      <c r="E44" s="16">
        <v>143.36000000000001</v>
      </c>
      <c r="F44" s="1">
        <v>44449</v>
      </c>
      <c r="G44" t="s">
        <v>2004</v>
      </c>
      <c r="H44">
        <v>5</v>
      </c>
      <c r="I44" s="12">
        <f>Table16[[#This Row],[price]]*Table16[[#This Row],[quantity]]</f>
        <v>573.44000000000005</v>
      </c>
    </row>
    <row r="45" spans="1:9" x14ac:dyDescent="0.3">
      <c r="A45" t="s">
        <v>2056</v>
      </c>
      <c r="B45" t="s">
        <v>9</v>
      </c>
      <c r="C45" t="s">
        <v>2057</v>
      </c>
      <c r="D45">
        <v>5</v>
      </c>
      <c r="E45" s="16">
        <v>58.65</v>
      </c>
      <c r="F45" s="1">
        <v>44606</v>
      </c>
      <c r="G45" t="s">
        <v>2058</v>
      </c>
      <c r="H45">
        <v>4</v>
      </c>
      <c r="I45" s="12">
        <f>Table16[[#This Row],[price]]*Table16[[#This Row],[quantity]]</f>
        <v>293.25</v>
      </c>
    </row>
    <row r="46" spans="1:9" x14ac:dyDescent="0.3">
      <c r="A46" t="s">
        <v>2062</v>
      </c>
      <c r="B46" t="s">
        <v>9</v>
      </c>
      <c r="C46" t="s">
        <v>2011</v>
      </c>
      <c r="D46">
        <v>5</v>
      </c>
      <c r="E46" s="16">
        <v>203.3</v>
      </c>
      <c r="F46" s="1">
        <v>44814</v>
      </c>
      <c r="G46" t="s">
        <v>2012</v>
      </c>
      <c r="H46">
        <v>3</v>
      </c>
      <c r="I46" s="12">
        <f>Table16[[#This Row],[price]]*Table16[[#This Row],[quantity]]</f>
        <v>1016.5</v>
      </c>
    </row>
    <row r="47" spans="1:9" x14ac:dyDescent="0.3">
      <c r="A47" t="s">
        <v>2060</v>
      </c>
      <c r="B47" t="s">
        <v>9</v>
      </c>
      <c r="C47" t="s">
        <v>2011</v>
      </c>
      <c r="D47">
        <v>5</v>
      </c>
      <c r="E47" s="16">
        <v>203.3</v>
      </c>
      <c r="F47" s="1">
        <v>44944</v>
      </c>
      <c r="G47" t="s">
        <v>2058</v>
      </c>
      <c r="H47">
        <v>4</v>
      </c>
      <c r="I47" s="12">
        <f>Table16[[#This Row],[price]]*Table16[[#This Row],[quantity]]</f>
        <v>1016.5</v>
      </c>
    </row>
    <row r="48" spans="1:9" x14ac:dyDescent="0.3">
      <c r="A48" t="s">
        <v>2065</v>
      </c>
      <c r="B48" t="s">
        <v>10</v>
      </c>
      <c r="C48" t="s">
        <v>2006</v>
      </c>
      <c r="D48">
        <v>5</v>
      </c>
      <c r="E48" s="16">
        <v>75.75</v>
      </c>
      <c r="F48" s="1">
        <v>44368</v>
      </c>
      <c r="G48" t="s">
        <v>2064</v>
      </c>
      <c r="H48">
        <v>3</v>
      </c>
      <c r="I48" s="12">
        <f>Table16[[#This Row],[price]]*Table16[[#This Row],[quantity]]</f>
        <v>378.75</v>
      </c>
    </row>
    <row r="49" spans="1:9" x14ac:dyDescent="0.3">
      <c r="A49" t="s">
        <v>2063</v>
      </c>
      <c r="B49" t="s">
        <v>10</v>
      </c>
      <c r="C49" t="s">
        <v>2015</v>
      </c>
      <c r="D49">
        <v>2</v>
      </c>
      <c r="E49" s="16">
        <v>1200.3399999999999</v>
      </c>
      <c r="F49" s="1">
        <v>44572</v>
      </c>
      <c r="G49" t="s">
        <v>2064</v>
      </c>
      <c r="H49">
        <v>5</v>
      </c>
      <c r="I49" s="12">
        <f>Table16[[#This Row],[price]]*Table16[[#This Row],[quantity]]</f>
        <v>2400.6799999999998</v>
      </c>
    </row>
    <row r="50" spans="1:9" x14ac:dyDescent="0.3">
      <c r="A50" t="s">
        <v>2069</v>
      </c>
      <c r="B50" t="s">
        <v>11</v>
      </c>
      <c r="C50" t="s">
        <v>2001</v>
      </c>
      <c r="D50">
        <v>4</v>
      </c>
      <c r="E50" s="16">
        <v>1200.32</v>
      </c>
      <c r="F50" s="1">
        <v>44356</v>
      </c>
      <c r="G50" t="s">
        <v>2058</v>
      </c>
      <c r="H50">
        <v>5</v>
      </c>
      <c r="I50" s="12">
        <f>Table16[[#This Row],[price]]*Table16[[#This Row],[quantity]]</f>
        <v>4801.28</v>
      </c>
    </row>
    <row r="51" spans="1:9" x14ac:dyDescent="0.3">
      <c r="A51" t="s">
        <v>2066</v>
      </c>
      <c r="B51" t="s">
        <v>11</v>
      </c>
      <c r="C51" t="s">
        <v>2011</v>
      </c>
      <c r="D51">
        <v>3</v>
      </c>
      <c r="E51" s="16">
        <v>121.98</v>
      </c>
      <c r="F51" s="1">
        <v>44505</v>
      </c>
      <c r="G51" t="s">
        <v>2027</v>
      </c>
      <c r="H51">
        <v>1</v>
      </c>
      <c r="I51" s="12">
        <f>Table16[[#This Row],[price]]*Table16[[#This Row],[quantity]]</f>
        <v>365.94</v>
      </c>
    </row>
    <row r="52" spans="1:9" x14ac:dyDescent="0.3">
      <c r="A52" t="s">
        <v>2072</v>
      </c>
      <c r="B52" t="s">
        <v>11</v>
      </c>
      <c r="C52" t="s">
        <v>2017</v>
      </c>
      <c r="D52">
        <v>5</v>
      </c>
      <c r="E52" s="16">
        <v>5250</v>
      </c>
      <c r="F52" s="1">
        <v>44505</v>
      </c>
      <c r="G52" t="s">
        <v>2027</v>
      </c>
      <c r="H52">
        <v>5</v>
      </c>
      <c r="I52" s="12">
        <f>Table16[[#This Row],[price]]*Table16[[#This Row],[quantity]]</f>
        <v>26250</v>
      </c>
    </row>
    <row r="53" spans="1:9" x14ac:dyDescent="0.3">
      <c r="A53" t="s">
        <v>2067</v>
      </c>
      <c r="B53" t="s">
        <v>11</v>
      </c>
      <c r="C53" t="s">
        <v>2008</v>
      </c>
      <c r="D53">
        <v>5</v>
      </c>
      <c r="E53" s="16">
        <v>26.15</v>
      </c>
      <c r="F53" s="1">
        <v>44543</v>
      </c>
      <c r="G53" t="s">
        <v>2064</v>
      </c>
      <c r="H53">
        <v>2</v>
      </c>
      <c r="I53" s="12">
        <f>Table16[[#This Row],[price]]*Table16[[#This Row],[quantity]]</f>
        <v>130.75</v>
      </c>
    </row>
    <row r="54" spans="1:9" x14ac:dyDescent="0.3">
      <c r="A54" t="s">
        <v>2071</v>
      </c>
      <c r="B54" t="s">
        <v>11</v>
      </c>
      <c r="C54" t="s">
        <v>2017</v>
      </c>
      <c r="D54">
        <v>2</v>
      </c>
      <c r="E54" s="16">
        <v>2100</v>
      </c>
      <c r="F54" s="1">
        <v>44598</v>
      </c>
      <c r="G54" t="s">
        <v>2027</v>
      </c>
      <c r="H54">
        <v>1</v>
      </c>
      <c r="I54" s="12">
        <f>Table16[[#This Row],[price]]*Table16[[#This Row],[quantity]]</f>
        <v>4200</v>
      </c>
    </row>
    <row r="55" spans="1:9" x14ac:dyDescent="0.3">
      <c r="A55" t="s">
        <v>2068</v>
      </c>
      <c r="B55" t="s">
        <v>11</v>
      </c>
      <c r="C55" t="s">
        <v>2001</v>
      </c>
      <c r="D55">
        <v>3</v>
      </c>
      <c r="E55" s="16">
        <v>900.24</v>
      </c>
      <c r="F55" s="1">
        <v>44797</v>
      </c>
      <c r="G55" t="s">
        <v>2027</v>
      </c>
      <c r="H55">
        <v>1</v>
      </c>
      <c r="I55" s="12">
        <f>Table16[[#This Row],[price]]*Table16[[#This Row],[quantity]]</f>
        <v>2700.7200000000003</v>
      </c>
    </row>
    <row r="56" spans="1:9" x14ac:dyDescent="0.3">
      <c r="A56" t="s">
        <v>2070</v>
      </c>
      <c r="B56" t="s">
        <v>11</v>
      </c>
      <c r="C56" t="s">
        <v>2008</v>
      </c>
      <c r="D56">
        <v>1</v>
      </c>
      <c r="E56" s="16">
        <v>5.23</v>
      </c>
      <c r="F56" s="1">
        <v>44956</v>
      </c>
      <c r="G56" t="s">
        <v>2002</v>
      </c>
      <c r="H56">
        <v>1</v>
      </c>
      <c r="I56" s="12">
        <f>Table16[[#This Row],[price]]*Table16[[#This Row],[quantity]]</f>
        <v>5.23</v>
      </c>
    </row>
    <row r="57" spans="1:9" x14ac:dyDescent="0.3">
      <c r="A57" t="s">
        <v>2073</v>
      </c>
      <c r="B57" t="s">
        <v>12</v>
      </c>
      <c r="C57" t="s">
        <v>2001</v>
      </c>
      <c r="D57">
        <v>1</v>
      </c>
      <c r="E57" s="16">
        <v>300.08</v>
      </c>
      <c r="F57" s="1">
        <v>44599</v>
      </c>
      <c r="G57" t="s">
        <v>2002</v>
      </c>
      <c r="H57">
        <v>5</v>
      </c>
      <c r="I57" s="12">
        <f>Table16[[#This Row],[price]]*Table16[[#This Row],[quantity]]</f>
        <v>300.08</v>
      </c>
    </row>
    <row r="58" spans="1:9" x14ac:dyDescent="0.3">
      <c r="A58" t="s">
        <v>2074</v>
      </c>
      <c r="B58" t="s">
        <v>12</v>
      </c>
      <c r="C58" t="s">
        <v>2011</v>
      </c>
      <c r="D58">
        <v>1</v>
      </c>
      <c r="E58" s="16">
        <v>40.659999999999997</v>
      </c>
      <c r="F58" s="1">
        <v>44859</v>
      </c>
      <c r="G58" t="s">
        <v>2009</v>
      </c>
      <c r="H58">
        <v>2</v>
      </c>
      <c r="I58" s="12">
        <f>Table16[[#This Row],[price]]*Table16[[#This Row],[quantity]]</f>
        <v>40.659999999999997</v>
      </c>
    </row>
    <row r="59" spans="1:9" x14ac:dyDescent="0.3">
      <c r="A59" t="s">
        <v>2076</v>
      </c>
      <c r="B59" t="s">
        <v>12</v>
      </c>
      <c r="C59" t="s">
        <v>2011</v>
      </c>
      <c r="D59">
        <v>3</v>
      </c>
      <c r="E59" s="16">
        <v>121.98</v>
      </c>
      <c r="F59" s="1">
        <v>44979</v>
      </c>
      <c r="G59" t="s">
        <v>2012</v>
      </c>
      <c r="H59">
        <v>2</v>
      </c>
      <c r="I59" s="12">
        <f>Table16[[#This Row],[price]]*Table16[[#This Row],[quantity]]</f>
        <v>365.94</v>
      </c>
    </row>
    <row r="60" spans="1:9" x14ac:dyDescent="0.3">
      <c r="A60" t="s">
        <v>2075</v>
      </c>
      <c r="B60" t="s">
        <v>12</v>
      </c>
      <c r="C60" t="s">
        <v>2011</v>
      </c>
      <c r="D60">
        <v>5</v>
      </c>
      <c r="E60" s="16">
        <v>203.3</v>
      </c>
      <c r="F60" s="1">
        <v>44987</v>
      </c>
      <c r="G60" t="s">
        <v>2009</v>
      </c>
      <c r="H60">
        <v>4</v>
      </c>
      <c r="I60" s="12">
        <f>Table16[[#This Row],[price]]*Table16[[#This Row],[quantity]]</f>
        <v>1016.5</v>
      </c>
    </row>
    <row r="61" spans="1:9" x14ac:dyDescent="0.3">
      <c r="A61" t="s">
        <v>2080</v>
      </c>
      <c r="B61" t="s">
        <v>13</v>
      </c>
      <c r="C61" t="s">
        <v>2015</v>
      </c>
      <c r="D61">
        <v>1</v>
      </c>
      <c r="E61" s="16">
        <v>600.16999999999996</v>
      </c>
      <c r="F61" s="1">
        <v>44356</v>
      </c>
      <c r="G61" t="s">
        <v>2027</v>
      </c>
      <c r="H61">
        <v>2</v>
      </c>
      <c r="I61" s="12">
        <f>Table16[[#This Row],[price]]*Table16[[#This Row],[quantity]]</f>
        <v>600.16999999999996</v>
      </c>
    </row>
    <row r="62" spans="1:9" x14ac:dyDescent="0.3">
      <c r="A62" t="s">
        <v>2079</v>
      </c>
      <c r="B62" t="s">
        <v>13</v>
      </c>
      <c r="C62" t="s">
        <v>2001</v>
      </c>
      <c r="D62">
        <v>5</v>
      </c>
      <c r="E62" s="16">
        <v>1500.4</v>
      </c>
      <c r="F62" s="1">
        <v>44742</v>
      </c>
      <c r="G62" t="s">
        <v>2004</v>
      </c>
      <c r="H62">
        <v>2</v>
      </c>
      <c r="I62" s="12">
        <f>Table16[[#This Row],[price]]*Table16[[#This Row],[quantity]]</f>
        <v>7502</v>
      </c>
    </row>
    <row r="63" spans="1:9" x14ac:dyDescent="0.3">
      <c r="A63" t="s">
        <v>2078</v>
      </c>
      <c r="B63" t="s">
        <v>13</v>
      </c>
      <c r="C63" t="s">
        <v>2011</v>
      </c>
      <c r="D63">
        <v>5</v>
      </c>
      <c r="E63" s="16">
        <v>203.3</v>
      </c>
      <c r="F63" s="1">
        <v>44774</v>
      </c>
      <c r="G63" t="s">
        <v>2041</v>
      </c>
      <c r="H63">
        <v>3</v>
      </c>
      <c r="I63" s="12">
        <f>Table16[[#This Row],[price]]*Table16[[#This Row],[quantity]]</f>
        <v>1016.5</v>
      </c>
    </row>
    <row r="64" spans="1:9" x14ac:dyDescent="0.3">
      <c r="A64" t="s">
        <v>2077</v>
      </c>
      <c r="B64" t="s">
        <v>13</v>
      </c>
      <c r="C64" t="s">
        <v>2024</v>
      </c>
      <c r="D64">
        <v>2</v>
      </c>
      <c r="E64" s="16">
        <v>71.680000000000007</v>
      </c>
      <c r="F64" s="1">
        <v>44822</v>
      </c>
      <c r="G64" t="s">
        <v>2002</v>
      </c>
      <c r="H64">
        <v>4</v>
      </c>
      <c r="I64" s="12">
        <f>Table16[[#This Row],[price]]*Table16[[#This Row],[quantity]]</f>
        <v>143.36000000000001</v>
      </c>
    </row>
    <row r="65" spans="1:9" x14ac:dyDescent="0.3">
      <c r="A65" t="s">
        <v>2084</v>
      </c>
      <c r="B65" t="s">
        <v>14</v>
      </c>
      <c r="C65" t="s">
        <v>2001</v>
      </c>
      <c r="D65">
        <v>4</v>
      </c>
      <c r="E65" s="16">
        <v>1200.32</v>
      </c>
      <c r="F65" s="1">
        <v>44270</v>
      </c>
      <c r="G65" t="s">
        <v>2004</v>
      </c>
      <c r="H65">
        <v>2</v>
      </c>
      <c r="I65" s="12">
        <f>Table16[[#This Row],[price]]*Table16[[#This Row],[quantity]]</f>
        <v>4801.28</v>
      </c>
    </row>
    <row r="66" spans="1:9" x14ac:dyDescent="0.3">
      <c r="A66" t="s">
        <v>2081</v>
      </c>
      <c r="B66" t="s">
        <v>14</v>
      </c>
      <c r="C66" t="s">
        <v>2015</v>
      </c>
      <c r="D66">
        <v>4</v>
      </c>
      <c r="E66" s="16">
        <v>2400.6799999999998</v>
      </c>
      <c r="F66" s="1">
        <v>44548</v>
      </c>
      <c r="G66" t="s">
        <v>2027</v>
      </c>
      <c r="H66">
        <v>5</v>
      </c>
      <c r="I66" s="12">
        <f>Table16[[#This Row],[price]]*Table16[[#This Row],[quantity]]</f>
        <v>9602.7199999999993</v>
      </c>
    </row>
    <row r="67" spans="1:9" x14ac:dyDescent="0.3">
      <c r="A67" t="s">
        <v>2083</v>
      </c>
      <c r="B67" t="s">
        <v>14</v>
      </c>
      <c r="C67" t="s">
        <v>2008</v>
      </c>
      <c r="D67">
        <v>5</v>
      </c>
      <c r="E67" s="16">
        <v>26.15</v>
      </c>
      <c r="F67" s="1">
        <v>44647</v>
      </c>
      <c r="G67" t="s">
        <v>2004</v>
      </c>
      <c r="H67">
        <v>2</v>
      </c>
      <c r="I67" s="12">
        <f>Table16[[#This Row],[price]]*Table16[[#This Row],[quantity]]</f>
        <v>130.75</v>
      </c>
    </row>
    <row r="68" spans="1:9" x14ac:dyDescent="0.3">
      <c r="A68" t="s">
        <v>2082</v>
      </c>
      <c r="B68" t="s">
        <v>14</v>
      </c>
      <c r="C68" t="s">
        <v>2011</v>
      </c>
      <c r="D68">
        <v>5</v>
      </c>
      <c r="E68" s="16">
        <v>203.3</v>
      </c>
      <c r="F68" s="1">
        <v>44931</v>
      </c>
      <c r="G68" t="s">
        <v>2058</v>
      </c>
      <c r="H68">
        <v>4</v>
      </c>
      <c r="I68" s="12">
        <f>Table16[[#This Row],[price]]*Table16[[#This Row],[quantity]]</f>
        <v>1016.5</v>
      </c>
    </row>
    <row r="69" spans="1:9" x14ac:dyDescent="0.3">
      <c r="A69" t="s">
        <v>2085</v>
      </c>
      <c r="B69" t="s">
        <v>14</v>
      </c>
      <c r="C69" t="s">
        <v>2011</v>
      </c>
      <c r="D69">
        <v>4</v>
      </c>
      <c r="E69" s="16">
        <v>162.63999999999999</v>
      </c>
      <c r="F69" s="1">
        <v>44985</v>
      </c>
      <c r="G69" t="s">
        <v>2020</v>
      </c>
      <c r="H69">
        <v>5</v>
      </c>
      <c r="I69" s="12">
        <f>Table16[[#This Row],[price]]*Table16[[#This Row],[quantity]]</f>
        <v>650.55999999999995</v>
      </c>
    </row>
    <row r="70" spans="1:9" x14ac:dyDescent="0.3">
      <c r="A70" t="s">
        <v>2090</v>
      </c>
      <c r="B70" t="s">
        <v>15</v>
      </c>
      <c r="C70" t="s">
        <v>2001</v>
      </c>
      <c r="D70">
        <v>1</v>
      </c>
      <c r="E70" s="16">
        <v>300.08</v>
      </c>
      <c r="F70" s="1">
        <v>44212</v>
      </c>
      <c r="G70" t="s">
        <v>2027</v>
      </c>
      <c r="H70">
        <v>1</v>
      </c>
      <c r="I70" s="12">
        <f>Table16[[#This Row],[price]]*Table16[[#This Row],[quantity]]</f>
        <v>300.08</v>
      </c>
    </row>
    <row r="71" spans="1:9" x14ac:dyDescent="0.3">
      <c r="A71" t="s">
        <v>2089</v>
      </c>
      <c r="B71" t="s">
        <v>15</v>
      </c>
      <c r="C71" t="s">
        <v>2024</v>
      </c>
      <c r="D71">
        <v>4</v>
      </c>
      <c r="E71" s="16">
        <v>143.36000000000001</v>
      </c>
      <c r="F71" s="1">
        <v>44214</v>
      </c>
      <c r="G71" t="s">
        <v>2058</v>
      </c>
      <c r="H71">
        <v>1</v>
      </c>
      <c r="I71" s="12">
        <f>Table16[[#This Row],[price]]*Table16[[#This Row],[quantity]]</f>
        <v>573.44000000000005</v>
      </c>
    </row>
    <row r="72" spans="1:9" x14ac:dyDescent="0.3">
      <c r="A72" t="s">
        <v>2086</v>
      </c>
      <c r="B72" t="s">
        <v>15</v>
      </c>
      <c r="C72" t="s">
        <v>2001</v>
      </c>
      <c r="D72">
        <v>3</v>
      </c>
      <c r="E72" s="16">
        <v>900.24</v>
      </c>
      <c r="F72" s="1">
        <v>44226</v>
      </c>
      <c r="G72" t="s">
        <v>2004</v>
      </c>
      <c r="H72">
        <v>1</v>
      </c>
      <c r="I72" s="12">
        <f>Table16[[#This Row],[price]]*Table16[[#This Row],[quantity]]</f>
        <v>2700.7200000000003</v>
      </c>
    </row>
    <row r="73" spans="1:9" x14ac:dyDescent="0.3">
      <c r="A73" t="s">
        <v>2091</v>
      </c>
      <c r="B73" t="s">
        <v>15</v>
      </c>
      <c r="C73" t="s">
        <v>2006</v>
      </c>
      <c r="D73">
        <v>4</v>
      </c>
      <c r="E73" s="16">
        <v>60.6</v>
      </c>
      <c r="F73" s="1">
        <v>44279</v>
      </c>
      <c r="G73" t="s">
        <v>2002</v>
      </c>
      <c r="H73">
        <v>5</v>
      </c>
      <c r="I73" s="12">
        <f>Table16[[#This Row],[price]]*Table16[[#This Row],[quantity]]</f>
        <v>242.4</v>
      </c>
    </row>
    <row r="74" spans="1:9" x14ac:dyDescent="0.3">
      <c r="A74" t="s">
        <v>2088</v>
      </c>
      <c r="B74" t="s">
        <v>15</v>
      </c>
      <c r="C74" t="s">
        <v>2001</v>
      </c>
      <c r="D74">
        <v>5</v>
      </c>
      <c r="E74" s="16">
        <v>1500.4</v>
      </c>
      <c r="F74" s="1">
        <v>44588</v>
      </c>
      <c r="G74" t="s">
        <v>2027</v>
      </c>
      <c r="H74">
        <v>3</v>
      </c>
      <c r="I74" s="12">
        <f>Table16[[#This Row],[price]]*Table16[[#This Row],[quantity]]</f>
        <v>7502</v>
      </c>
    </row>
    <row r="75" spans="1:9" x14ac:dyDescent="0.3">
      <c r="A75" t="s">
        <v>2087</v>
      </c>
      <c r="B75" t="s">
        <v>15</v>
      </c>
      <c r="C75" t="s">
        <v>2015</v>
      </c>
      <c r="D75">
        <v>3</v>
      </c>
      <c r="E75" s="16">
        <v>1800.51</v>
      </c>
      <c r="F75" s="1">
        <v>44908</v>
      </c>
      <c r="G75" t="s">
        <v>2002</v>
      </c>
      <c r="H75">
        <v>1</v>
      </c>
      <c r="I75" s="12">
        <f>Table16[[#This Row],[price]]*Table16[[#This Row],[quantity]]</f>
        <v>5401.53</v>
      </c>
    </row>
    <row r="76" spans="1:9" x14ac:dyDescent="0.3">
      <c r="A76" t="s">
        <v>2093</v>
      </c>
      <c r="B76" t="s">
        <v>16</v>
      </c>
      <c r="C76" t="s">
        <v>2015</v>
      </c>
      <c r="D76">
        <v>5</v>
      </c>
      <c r="E76" s="16">
        <v>3000.85</v>
      </c>
      <c r="F76" s="1">
        <v>44286</v>
      </c>
      <c r="G76" t="s">
        <v>2004</v>
      </c>
      <c r="H76">
        <v>2</v>
      </c>
      <c r="I76" s="12">
        <f>Table16[[#This Row],[price]]*Table16[[#This Row],[quantity]]</f>
        <v>15004.25</v>
      </c>
    </row>
    <row r="77" spans="1:9" x14ac:dyDescent="0.3">
      <c r="A77" t="s">
        <v>2095</v>
      </c>
      <c r="B77" t="s">
        <v>16</v>
      </c>
      <c r="C77" t="s">
        <v>2001</v>
      </c>
      <c r="D77">
        <v>1</v>
      </c>
      <c r="E77" s="16">
        <v>300.08</v>
      </c>
      <c r="F77" s="1">
        <v>44328</v>
      </c>
      <c r="G77" t="s">
        <v>2002</v>
      </c>
      <c r="H77">
        <v>5</v>
      </c>
      <c r="I77" s="12">
        <f>Table16[[#This Row],[price]]*Table16[[#This Row],[quantity]]</f>
        <v>300.08</v>
      </c>
    </row>
    <row r="78" spans="1:9" x14ac:dyDescent="0.3">
      <c r="A78" t="s">
        <v>2092</v>
      </c>
      <c r="B78" t="s">
        <v>16</v>
      </c>
      <c r="C78" t="s">
        <v>2008</v>
      </c>
      <c r="D78">
        <v>4</v>
      </c>
      <c r="E78" s="16">
        <v>20.92</v>
      </c>
      <c r="F78" s="1">
        <v>44527</v>
      </c>
      <c r="G78" t="s">
        <v>2058</v>
      </c>
      <c r="H78">
        <v>2</v>
      </c>
      <c r="I78" s="12">
        <f>Table16[[#This Row],[price]]*Table16[[#This Row],[quantity]]</f>
        <v>83.68</v>
      </c>
    </row>
    <row r="79" spans="1:9" x14ac:dyDescent="0.3">
      <c r="A79" t="s">
        <v>2094</v>
      </c>
      <c r="B79" t="s">
        <v>16</v>
      </c>
      <c r="C79" t="s">
        <v>2001</v>
      </c>
      <c r="D79">
        <v>4</v>
      </c>
      <c r="E79" s="16">
        <v>1200.32</v>
      </c>
      <c r="F79" s="1">
        <v>44983</v>
      </c>
      <c r="G79" t="s">
        <v>2002</v>
      </c>
      <c r="H79">
        <v>1</v>
      </c>
      <c r="I79" s="12">
        <f>Table16[[#This Row],[price]]*Table16[[#This Row],[quantity]]</f>
        <v>4801.28</v>
      </c>
    </row>
    <row r="80" spans="1:9" x14ac:dyDescent="0.3">
      <c r="A80" t="s">
        <v>2100</v>
      </c>
      <c r="B80" t="s">
        <v>17</v>
      </c>
      <c r="C80" t="s">
        <v>2001</v>
      </c>
      <c r="D80">
        <v>1</v>
      </c>
      <c r="E80" s="16">
        <v>300.08</v>
      </c>
      <c r="F80" s="1">
        <v>44225</v>
      </c>
      <c r="G80" t="s">
        <v>2027</v>
      </c>
      <c r="H80">
        <v>2</v>
      </c>
      <c r="I80" s="12">
        <f>Table16[[#This Row],[price]]*Table16[[#This Row],[quantity]]</f>
        <v>300.08</v>
      </c>
    </row>
    <row r="81" spans="1:9" x14ac:dyDescent="0.3">
      <c r="A81" t="s">
        <v>2097</v>
      </c>
      <c r="B81" t="s">
        <v>17</v>
      </c>
      <c r="C81" t="s">
        <v>2001</v>
      </c>
      <c r="D81">
        <v>1</v>
      </c>
      <c r="E81" s="16">
        <v>300.08</v>
      </c>
      <c r="F81" s="1">
        <v>44388</v>
      </c>
      <c r="G81" t="s">
        <v>2027</v>
      </c>
      <c r="H81">
        <v>5</v>
      </c>
      <c r="I81" s="12">
        <f>Table16[[#This Row],[price]]*Table16[[#This Row],[quantity]]</f>
        <v>300.08</v>
      </c>
    </row>
    <row r="82" spans="1:9" x14ac:dyDescent="0.3">
      <c r="A82" t="s">
        <v>2096</v>
      </c>
      <c r="B82" t="s">
        <v>17</v>
      </c>
      <c r="C82" t="s">
        <v>2017</v>
      </c>
      <c r="D82">
        <v>2</v>
      </c>
      <c r="E82" s="16">
        <v>2100</v>
      </c>
      <c r="F82" s="1">
        <v>44493</v>
      </c>
      <c r="G82" t="s">
        <v>2002</v>
      </c>
      <c r="H82">
        <v>5</v>
      </c>
      <c r="I82" s="12">
        <f>Table16[[#This Row],[price]]*Table16[[#This Row],[quantity]]</f>
        <v>4200</v>
      </c>
    </row>
    <row r="83" spans="1:9" x14ac:dyDescent="0.3">
      <c r="A83" t="s">
        <v>2099</v>
      </c>
      <c r="B83" t="s">
        <v>17</v>
      </c>
      <c r="C83" t="s">
        <v>2001</v>
      </c>
      <c r="D83">
        <v>1</v>
      </c>
      <c r="E83" s="16">
        <v>300.08</v>
      </c>
      <c r="F83" s="1">
        <v>44589</v>
      </c>
      <c r="G83" t="s">
        <v>2012</v>
      </c>
      <c r="H83">
        <v>2</v>
      </c>
      <c r="I83" s="12">
        <f>Table16[[#This Row],[price]]*Table16[[#This Row],[quantity]]</f>
        <v>300.08</v>
      </c>
    </row>
    <row r="84" spans="1:9" x14ac:dyDescent="0.3">
      <c r="A84" t="s">
        <v>2098</v>
      </c>
      <c r="B84" t="s">
        <v>17</v>
      </c>
      <c r="C84" t="s">
        <v>2001</v>
      </c>
      <c r="D84">
        <v>2</v>
      </c>
      <c r="E84" s="16">
        <v>600.16</v>
      </c>
      <c r="F84" s="1">
        <v>44643</v>
      </c>
      <c r="G84" t="s">
        <v>2027</v>
      </c>
      <c r="H84">
        <v>3</v>
      </c>
      <c r="I84" s="12">
        <f>Table16[[#This Row],[price]]*Table16[[#This Row],[quantity]]</f>
        <v>1200.32</v>
      </c>
    </row>
    <row r="85" spans="1:9" x14ac:dyDescent="0.3">
      <c r="A85" t="s">
        <v>2102</v>
      </c>
      <c r="B85" t="s">
        <v>18</v>
      </c>
      <c r="C85" t="s">
        <v>2001</v>
      </c>
      <c r="D85">
        <v>4</v>
      </c>
      <c r="E85" s="16">
        <v>1200.32</v>
      </c>
      <c r="F85" s="1">
        <v>44203</v>
      </c>
      <c r="G85" t="s">
        <v>2002</v>
      </c>
      <c r="H85">
        <v>1</v>
      </c>
      <c r="I85" s="12">
        <f>Table16[[#This Row],[price]]*Table16[[#This Row],[quantity]]</f>
        <v>4801.28</v>
      </c>
    </row>
    <row r="86" spans="1:9" x14ac:dyDescent="0.3">
      <c r="A86" t="s">
        <v>2104</v>
      </c>
      <c r="B86" t="s">
        <v>18</v>
      </c>
      <c r="C86" t="s">
        <v>2024</v>
      </c>
      <c r="D86">
        <v>2</v>
      </c>
      <c r="E86" s="16">
        <v>71.680000000000007</v>
      </c>
      <c r="F86" s="1">
        <v>44256</v>
      </c>
      <c r="G86" t="s">
        <v>2012</v>
      </c>
      <c r="H86">
        <v>5</v>
      </c>
      <c r="I86" s="12">
        <f>Table16[[#This Row],[price]]*Table16[[#This Row],[quantity]]</f>
        <v>143.36000000000001</v>
      </c>
    </row>
    <row r="87" spans="1:9" x14ac:dyDescent="0.3">
      <c r="A87" t="s">
        <v>2103</v>
      </c>
      <c r="B87" t="s">
        <v>18</v>
      </c>
      <c r="C87" t="s">
        <v>2001</v>
      </c>
      <c r="D87">
        <v>1</v>
      </c>
      <c r="E87" s="16">
        <v>300.08</v>
      </c>
      <c r="F87" s="1">
        <v>44275</v>
      </c>
      <c r="G87" t="s">
        <v>2004</v>
      </c>
      <c r="H87">
        <v>1</v>
      </c>
      <c r="I87" s="12">
        <f>Table16[[#This Row],[price]]*Table16[[#This Row],[quantity]]</f>
        <v>300.08</v>
      </c>
    </row>
    <row r="88" spans="1:9" x14ac:dyDescent="0.3">
      <c r="A88" t="s">
        <v>2101</v>
      </c>
      <c r="B88" t="s">
        <v>18</v>
      </c>
      <c r="C88" t="s">
        <v>2011</v>
      </c>
      <c r="D88">
        <v>3</v>
      </c>
      <c r="E88" s="16">
        <v>121.98</v>
      </c>
      <c r="F88" s="1">
        <v>44428</v>
      </c>
      <c r="G88" t="s">
        <v>2002</v>
      </c>
      <c r="H88">
        <v>4</v>
      </c>
      <c r="I88" s="12">
        <f>Table16[[#This Row],[price]]*Table16[[#This Row],[quantity]]</f>
        <v>365.94</v>
      </c>
    </row>
    <row r="89" spans="1:9" x14ac:dyDescent="0.3">
      <c r="A89" t="s">
        <v>2107</v>
      </c>
      <c r="B89" t="s">
        <v>19</v>
      </c>
      <c r="C89" t="s">
        <v>2011</v>
      </c>
      <c r="D89">
        <v>2</v>
      </c>
      <c r="E89" s="16">
        <v>81.319999999999993</v>
      </c>
      <c r="F89" s="1">
        <v>44220</v>
      </c>
      <c r="G89" t="s">
        <v>2058</v>
      </c>
      <c r="H89">
        <v>4</v>
      </c>
      <c r="I89" s="12">
        <f>Table16[[#This Row],[price]]*Table16[[#This Row],[quantity]]</f>
        <v>162.63999999999999</v>
      </c>
    </row>
    <row r="90" spans="1:9" x14ac:dyDescent="0.3">
      <c r="A90" t="s">
        <v>2106</v>
      </c>
      <c r="B90" t="s">
        <v>19</v>
      </c>
      <c r="C90" t="s">
        <v>2008</v>
      </c>
      <c r="D90">
        <v>3</v>
      </c>
      <c r="E90" s="16">
        <v>15.69</v>
      </c>
      <c r="F90" s="1">
        <v>44398</v>
      </c>
      <c r="G90" t="s">
        <v>2004</v>
      </c>
      <c r="H90">
        <v>4</v>
      </c>
      <c r="I90" s="12">
        <f>Table16[[#This Row],[price]]*Table16[[#This Row],[quantity]]</f>
        <v>47.07</v>
      </c>
    </row>
    <row r="91" spans="1:9" x14ac:dyDescent="0.3">
      <c r="A91" t="s">
        <v>2105</v>
      </c>
      <c r="B91" t="s">
        <v>19</v>
      </c>
      <c r="C91" t="s">
        <v>2001</v>
      </c>
      <c r="D91">
        <v>3</v>
      </c>
      <c r="E91" s="16">
        <v>900.24</v>
      </c>
      <c r="F91" s="1">
        <v>44483</v>
      </c>
      <c r="G91" t="s">
        <v>2064</v>
      </c>
      <c r="H91">
        <v>4</v>
      </c>
      <c r="I91" s="12">
        <f>Table16[[#This Row],[price]]*Table16[[#This Row],[quantity]]</f>
        <v>2700.7200000000003</v>
      </c>
    </row>
    <row r="92" spans="1:9" x14ac:dyDescent="0.3">
      <c r="A92" t="s">
        <v>2111</v>
      </c>
      <c r="B92" t="s">
        <v>20</v>
      </c>
      <c r="C92" t="s">
        <v>2006</v>
      </c>
      <c r="D92">
        <v>3</v>
      </c>
      <c r="E92" s="16">
        <v>45.45</v>
      </c>
      <c r="F92" s="1">
        <v>44206</v>
      </c>
      <c r="G92" t="s">
        <v>2002</v>
      </c>
      <c r="H92">
        <v>1</v>
      </c>
      <c r="I92" s="12">
        <f>Table16[[#This Row],[price]]*Table16[[#This Row],[quantity]]</f>
        <v>136.35000000000002</v>
      </c>
    </row>
    <row r="93" spans="1:9" x14ac:dyDescent="0.3">
      <c r="A93" t="s">
        <v>2108</v>
      </c>
      <c r="B93" t="s">
        <v>20</v>
      </c>
      <c r="C93" t="s">
        <v>2015</v>
      </c>
      <c r="D93">
        <v>1</v>
      </c>
      <c r="E93" s="16">
        <v>600.16999999999996</v>
      </c>
      <c r="F93" s="1">
        <v>44230</v>
      </c>
      <c r="G93" t="s">
        <v>2027</v>
      </c>
      <c r="H93">
        <v>5</v>
      </c>
      <c r="I93" s="12">
        <f>Table16[[#This Row],[price]]*Table16[[#This Row],[quantity]]</f>
        <v>600.16999999999996</v>
      </c>
    </row>
    <row r="94" spans="1:9" x14ac:dyDescent="0.3">
      <c r="A94" t="s">
        <v>2112</v>
      </c>
      <c r="B94" t="s">
        <v>20</v>
      </c>
      <c r="C94" t="s">
        <v>2001</v>
      </c>
      <c r="D94">
        <v>4</v>
      </c>
      <c r="E94" s="16">
        <v>1200.32</v>
      </c>
      <c r="F94" s="1">
        <v>44308</v>
      </c>
      <c r="G94" t="s">
        <v>2002</v>
      </c>
      <c r="H94">
        <v>4</v>
      </c>
      <c r="I94" s="12">
        <f>Table16[[#This Row],[price]]*Table16[[#This Row],[quantity]]</f>
        <v>4801.28</v>
      </c>
    </row>
    <row r="95" spans="1:9" x14ac:dyDescent="0.3">
      <c r="A95" t="s">
        <v>2113</v>
      </c>
      <c r="B95" t="s">
        <v>20</v>
      </c>
      <c r="C95" t="s">
        <v>2024</v>
      </c>
      <c r="D95">
        <v>1</v>
      </c>
      <c r="E95" s="16">
        <v>35.840000000000003</v>
      </c>
      <c r="F95" s="1">
        <v>44324</v>
      </c>
      <c r="G95" t="s">
        <v>2009</v>
      </c>
      <c r="H95">
        <v>4</v>
      </c>
      <c r="I95" s="12">
        <f>Table16[[#This Row],[price]]*Table16[[#This Row],[quantity]]</f>
        <v>35.840000000000003</v>
      </c>
    </row>
    <row r="96" spans="1:9" x14ac:dyDescent="0.3">
      <c r="A96" t="s">
        <v>2110</v>
      </c>
      <c r="B96" t="s">
        <v>20</v>
      </c>
      <c r="C96" t="s">
        <v>2008</v>
      </c>
      <c r="D96">
        <v>5</v>
      </c>
      <c r="E96" s="16">
        <v>26.15</v>
      </c>
      <c r="F96" s="1">
        <v>44491</v>
      </c>
      <c r="G96" t="s">
        <v>2004</v>
      </c>
      <c r="H96">
        <v>5</v>
      </c>
      <c r="I96" s="12">
        <f>Table16[[#This Row],[price]]*Table16[[#This Row],[quantity]]</f>
        <v>130.75</v>
      </c>
    </row>
    <row r="97" spans="1:9" x14ac:dyDescent="0.3">
      <c r="A97" t="s">
        <v>2109</v>
      </c>
      <c r="B97" t="s">
        <v>20</v>
      </c>
      <c r="C97" t="s">
        <v>2001</v>
      </c>
      <c r="D97">
        <v>2</v>
      </c>
      <c r="E97" s="16">
        <v>600.16</v>
      </c>
      <c r="F97" s="1">
        <v>44630</v>
      </c>
      <c r="G97" t="s">
        <v>2058</v>
      </c>
      <c r="H97">
        <v>4</v>
      </c>
      <c r="I97" s="12">
        <f>Table16[[#This Row],[price]]*Table16[[#This Row],[quantity]]</f>
        <v>1200.32</v>
      </c>
    </row>
    <row r="98" spans="1:9" x14ac:dyDescent="0.3">
      <c r="A98" t="s">
        <v>2117</v>
      </c>
      <c r="B98" t="s">
        <v>21</v>
      </c>
      <c r="C98" t="s">
        <v>2001</v>
      </c>
      <c r="D98">
        <v>3</v>
      </c>
      <c r="E98" s="16">
        <v>900.24</v>
      </c>
      <c r="F98" s="1">
        <v>44312</v>
      </c>
      <c r="G98" t="s">
        <v>2064</v>
      </c>
      <c r="H98">
        <v>2</v>
      </c>
      <c r="I98" s="12">
        <f>Table16[[#This Row],[price]]*Table16[[#This Row],[quantity]]</f>
        <v>2700.7200000000003</v>
      </c>
    </row>
    <row r="99" spans="1:9" x14ac:dyDescent="0.3">
      <c r="A99" t="s">
        <v>2115</v>
      </c>
      <c r="B99" t="s">
        <v>21</v>
      </c>
      <c r="C99" t="s">
        <v>2001</v>
      </c>
      <c r="D99">
        <v>5</v>
      </c>
      <c r="E99" s="16">
        <v>1500.4</v>
      </c>
      <c r="F99" s="1">
        <v>44332</v>
      </c>
      <c r="G99" t="s">
        <v>2004</v>
      </c>
      <c r="H99">
        <v>4</v>
      </c>
      <c r="I99" s="12">
        <f>Table16[[#This Row],[price]]*Table16[[#This Row],[quantity]]</f>
        <v>7502</v>
      </c>
    </row>
    <row r="100" spans="1:9" x14ac:dyDescent="0.3">
      <c r="A100" t="s">
        <v>2116</v>
      </c>
      <c r="B100" t="s">
        <v>21</v>
      </c>
      <c r="C100" t="s">
        <v>2011</v>
      </c>
      <c r="D100">
        <v>3</v>
      </c>
      <c r="E100" s="16">
        <v>121.98</v>
      </c>
      <c r="F100" s="1">
        <v>44462</v>
      </c>
      <c r="G100" t="s">
        <v>2009</v>
      </c>
      <c r="H100">
        <v>3</v>
      </c>
      <c r="I100" s="12">
        <f>Table16[[#This Row],[price]]*Table16[[#This Row],[quantity]]</f>
        <v>365.94</v>
      </c>
    </row>
    <row r="101" spans="1:9" x14ac:dyDescent="0.3">
      <c r="A101" t="s">
        <v>2114</v>
      </c>
      <c r="B101" t="s">
        <v>21</v>
      </c>
      <c r="C101" t="s">
        <v>2001</v>
      </c>
      <c r="D101">
        <v>4</v>
      </c>
      <c r="E101" s="16">
        <v>1200.32</v>
      </c>
      <c r="F101" s="1">
        <v>44531</v>
      </c>
      <c r="G101" t="s">
        <v>2064</v>
      </c>
      <c r="H101">
        <v>2</v>
      </c>
      <c r="I101" s="12">
        <f>Table16[[#This Row],[price]]*Table16[[#This Row],[quantity]]</f>
        <v>4801.28</v>
      </c>
    </row>
    <row r="102" spans="1:9" x14ac:dyDescent="0.3">
      <c r="A102" t="s">
        <v>2118</v>
      </c>
      <c r="B102" t="s">
        <v>21</v>
      </c>
      <c r="C102" t="s">
        <v>2015</v>
      </c>
      <c r="D102">
        <v>1</v>
      </c>
      <c r="E102" s="16">
        <v>600.16999999999996</v>
      </c>
      <c r="F102" s="1">
        <v>44599</v>
      </c>
      <c r="G102" t="s">
        <v>2027</v>
      </c>
      <c r="H102">
        <v>2</v>
      </c>
      <c r="I102" s="12">
        <f>Table16[[#This Row],[price]]*Table16[[#This Row],[quantity]]</f>
        <v>600.16999999999996</v>
      </c>
    </row>
    <row r="103" spans="1:9" x14ac:dyDescent="0.3">
      <c r="A103" t="s">
        <v>2120</v>
      </c>
      <c r="B103" t="s">
        <v>21</v>
      </c>
      <c r="C103" t="s">
        <v>2001</v>
      </c>
      <c r="D103">
        <v>3</v>
      </c>
      <c r="E103" s="16">
        <v>900.24</v>
      </c>
      <c r="F103" s="1">
        <v>44661</v>
      </c>
      <c r="G103" t="s">
        <v>2004</v>
      </c>
      <c r="H103">
        <v>1</v>
      </c>
      <c r="I103" s="12">
        <f>Table16[[#This Row],[price]]*Table16[[#This Row],[quantity]]</f>
        <v>2700.7200000000003</v>
      </c>
    </row>
    <row r="104" spans="1:9" x14ac:dyDescent="0.3">
      <c r="A104" t="s">
        <v>2119</v>
      </c>
      <c r="B104" t="s">
        <v>21</v>
      </c>
      <c r="C104" t="s">
        <v>2001</v>
      </c>
      <c r="D104">
        <v>4</v>
      </c>
      <c r="E104" s="16">
        <v>1200.32</v>
      </c>
      <c r="F104" s="1">
        <v>44813</v>
      </c>
      <c r="G104" t="s">
        <v>2002</v>
      </c>
      <c r="H104">
        <v>3</v>
      </c>
      <c r="I104" s="12">
        <f>Table16[[#This Row],[price]]*Table16[[#This Row],[quantity]]</f>
        <v>4801.28</v>
      </c>
    </row>
    <row r="105" spans="1:9" x14ac:dyDescent="0.3">
      <c r="A105" t="s">
        <v>2124</v>
      </c>
      <c r="B105" t="s">
        <v>22</v>
      </c>
      <c r="C105" t="s">
        <v>2011</v>
      </c>
      <c r="D105">
        <v>2</v>
      </c>
      <c r="E105" s="16">
        <v>81.319999999999993</v>
      </c>
      <c r="F105" s="1">
        <v>44448</v>
      </c>
      <c r="G105" t="s">
        <v>2020</v>
      </c>
      <c r="H105">
        <v>2</v>
      </c>
      <c r="I105" s="12">
        <f>Table16[[#This Row],[price]]*Table16[[#This Row],[quantity]]</f>
        <v>162.63999999999999</v>
      </c>
    </row>
    <row r="106" spans="1:9" x14ac:dyDescent="0.3">
      <c r="A106" t="s">
        <v>2121</v>
      </c>
      <c r="B106" t="s">
        <v>22</v>
      </c>
      <c r="C106" t="s">
        <v>2011</v>
      </c>
      <c r="D106">
        <v>5</v>
      </c>
      <c r="E106" s="16">
        <v>203.3</v>
      </c>
      <c r="F106" s="1">
        <v>44493</v>
      </c>
      <c r="G106" t="s">
        <v>2020</v>
      </c>
      <c r="H106">
        <v>2</v>
      </c>
      <c r="I106" s="12">
        <f>Table16[[#This Row],[price]]*Table16[[#This Row],[quantity]]</f>
        <v>1016.5</v>
      </c>
    </row>
    <row r="107" spans="1:9" x14ac:dyDescent="0.3">
      <c r="A107" t="s">
        <v>2123</v>
      </c>
      <c r="B107" t="s">
        <v>22</v>
      </c>
      <c r="C107" t="s">
        <v>2011</v>
      </c>
      <c r="D107">
        <v>2</v>
      </c>
      <c r="E107" s="16">
        <v>81.319999999999993</v>
      </c>
      <c r="F107" s="1">
        <v>44861</v>
      </c>
      <c r="G107" t="s">
        <v>2004</v>
      </c>
      <c r="H107">
        <v>3</v>
      </c>
      <c r="I107" s="12">
        <f>Table16[[#This Row],[price]]*Table16[[#This Row],[quantity]]</f>
        <v>162.63999999999999</v>
      </c>
    </row>
    <row r="108" spans="1:9" x14ac:dyDescent="0.3">
      <c r="A108" t="s">
        <v>2122</v>
      </c>
      <c r="B108" t="s">
        <v>22</v>
      </c>
      <c r="C108" t="s">
        <v>2011</v>
      </c>
      <c r="D108">
        <v>1</v>
      </c>
      <c r="E108" s="16">
        <v>40.659999999999997</v>
      </c>
      <c r="F108" s="1">
        <v>44885</v>
      </c>
      <c r="G108" t="s">
        <v>2009</v>
      </c>
      <c r="H108">
        <v>3</v>
      </c>
      <c r="I108" s="12">
        <f>Table16[[#This Row],[price]]*Table16[[#This Row],[quantity]]</f>
        <v>40.659999999999997</v>
      </c>
    </row>
    <row r="109" spans="1:9" x14ac:dyDescent="0.3">
      <c r="A109" t="s">
        <v>2128</v>
      </c>
      <c r="B109" t="s">
        <v>23</v>
      </c>
      <c r="C109" t="s">
        <v>2011</v>
      </c>
      <c r="D109">
        <v>2</v>
      </c>
      <c r="E109" s="16">
        <v>81.319999999999993</v>
      </c>
      <c r="F109" s="1">
        <v>44270</v>
      </c>
      <c r="G109" t="s">
        <v>2064</v>
      </c>
      <c r="H109">
        <v>5</v>
      </c>
      <c r="I109" s="12">
        <f>Table16[[#This Row],[price]]*Table16[[#This Row],[quantity]]</f>
        <v>162.63999999999999</v>
      </c>
    </row>
    <row r="110" spans="1:9" x14ac:dyDescent="0.3">
      <c r="A110" t="s">
        <v>2127</v>
      </c>
      <c r="B110" t="s">
        <v>23</v>
      </c>
      <c r="C110" t="s">
        <v>2008</v>
      </c>
      <c r="D110">
        <v>5</v>
      </c>
      <c r="E110" s="16">
        <v>26.15</v>
      </c>
      <c r="F110" s="1">
        <v>44274</v>
      </c>
      <c r="G110" t="s">
        <v>2004</v>
      </c>
      <c r="H110">
        <v>3</v>
      </c>
      <c r="I110" s="12">
        <f>Table16[[#This Row],[price]]*Table16[[#This Row],[quantity]]</f>
        <v>130.75</v>
      </c>
    </row>
    <row r="111" spans="1:9" x14ac:dyDescent="0.3">
      <c r="A111" t="s">
        <v>2126</v>
      </c>
      <c r="B111" t="s">
        <v>23</v>
      </c>
      <c r="C111" t="s">
        <v>2001</v>
      </c>
      <c r="D111">
        <v>2</v>
      </c>
      <c r="E111" s="16">
        <v>600.16</v>
      </c>
      <c r="F111" s="1">
        <v>44599</v>
      </c>
      <c r="G111" t="s">
        <v>2018</v>
      </c>
      <c r="H111">
        <v>2</v>
      </c>
      <c r="I111" s="12">
        <f>Table16[[#This Row],[price]]*Table16[[#This Row],[quantity]]</f>
        <v>1200.32</v>
      </c>
    </row>
    <row r="112" spans="1:9" x14ac:dyDescent="0.3">
      <c r="A112" t="s">
        <v>2125</v>
      </c>
      <c r="B112" t="s">
        <v>23</v>
      </c>
      <c r="C112" t="s">
        <v>2001</v>
      </c>
      <c r="D112">
        <v>3</v>
      </c>
      <c r="E112" s="16">
        <v>900.24</v>
      </c>
      <c r="F112" s="1">
        <v>44764</v>
      </c>
      <c r="G112" t="s">
        <v>2064</v>
      </c>
      <c r="H112">
        <v>4</v>
      </c>
      <c r="I112" s="12">
        <f>Table16[[#This Row],[price]]*Table16[[#This Row],[quantity]]</f>
        <v>2700.7200000000003</v>
      </c>
    </row>
    <row r="113" spans="1:9" x14ac:dyDescent="0.3">
      <c r="A113" t="s">
        <v>2133</v>
      </c>
      <c r="B113" t="s">
        <v>24</v>
      </c>
      <c r="C113" t="s">
        <v>2001</v>
      </c>
      <c r="D113">
        <v>3</v>
      </c>
      <c r="E113" s="16">
        <v>900.24</v>
      </c>
      <c r="F113" s="1">
        <v>44238</v>
      </c>
      <c r="G113" t="s">
        <v>2009</v>
      </c>
      <c r="H113">
        <v>4</v>
      </c>
      <c r="I113" s="12">
        <f>Table16[[#This Row],[price]]*Table16[[#This Row],[quantity]]</f>
        <v>2700.7200000000003</v>
      </c>
    </row>
    <row r="114" spans="1:9" x14ac:dyDescent="0.3">
      <c r="A114" t="s">
        <v>2129</v>
      </c>
      <c r="B114" t="s">
        <v>24</v>
      </c>
      <c r="C114" t="s">
        <v>2017</v>
      </c>
      <c r="D114">
        <v>4</v>
      </c>
      <c r="E114" s="16">
        <v>4200</v>
      </c>
      <c r="F114" s="1">
        <v>44468</v>
      </c>
      <c r="G114" t="s">
        <v>2058</v>
      </c>
      <c r="H114">
        <v>1</v>
      </c>
      <c r="I114" s="12">
        <f>Table16[[#This Row],[price]]*Table16[[#This Row],[quantity]]</f>
        <v>16800</v>
      </c>
    </row>
    <row r="115" spans="1:9" x14ac:dyDescent="0.3">
      <c r="A115" t="s">
        <v>2132</v>
      </c>
      <c r="B115" t="s">
        <v>24</v>
      </c>
      <c r="C115" t="s">
        <v>2008</v>
      </c>
      <c r="D115">
        <v>2</v>
      </c>
      <c r="E115" s="16">
        <v>10.46</v>
      </c>
      <c r="F115" s="1">
        <v>44485</v>
      </c>
      <c r="G115" t="s">
        <v>2020</v>
      </c>
      <c r="H115">
        <v>2</v>
      </c>
      <c r="I115" s="12">
        <f>Table16[[#This Row],[price]]*Table16[[#This Row],[quantity]]</f>
        <v>20.92</v>
      </c>
    </row>
    <row r="116" spans="1:9" x14ac:dyDescent="0.3">
      <c r="A116" t="s">
        <v>2130</v>
      </c>
      <c r="B116" t="s">
        <v>24</v>
      </c>
      <c r="C116" t="s">
        <v>2008</v>
      </c>
      <c r="D116">
        <v>3</v>
      </c>
      <c r="E116" s="16">
        <v>15.69</v>
      </c>
      <c r="F116" s="1">
        <v>44547</v>
      </c>
      <c r="G116" t="s">
        <v>2002</v>
      </c>
      <c r="H116">
        <v>1</v>
      </c>
      <c r="I116" s="12">
        <f>Table16[[#This Row],[price]]*Table16[[#This Row],[quantity]]</f>
        <v>47.07</v>
      </c>
    </row>
    <row r="117" spans="1:9" x14ac:dyDescent="0.3">
      <c r="A117" t="s">
        <v>2131</v>
      </c>
      <c r="B117" t="s">
        <v>24</v>
      </c>
      <c r="C117" t="s">
        <v>2011</v>
      </c>
      <c r="D117">
        <v>4</v>
      </c>
      <c r="E117" s="16">
        <v>162.63999999999999</v>
      </c>
      <c r="F117" s="1">
        <v>44992</v>
      </c>
      <c r="G117" t="s">
        <v>2004</v>
      </c>
      <c r="H117">
        <v>5</v>
      </c>
      <c r="I117" s="12">
        <f>Table16[[#This Row],[price]]*Table16[[#This Row],[quantity]]</f>
        <v>650.55999999999995</v>
      </c>
    </row>
    <row r="118" spans="1:9" x14ac:dyDescent="0.3">
      <c r="A118" t="s">
        <v>2136</v>
      </c>
      <c r="B118" t="s">
        <v>25</v>
      </c>
      <c r="C118" t="s">
        <v>2006</v>
      </c>
      <c r="D118">
        <v>5</v>
      </c>
      <c r="E118" s="16">
        <v>75.75</v>
      </c>
      <c r="F118" s="1">
        <v>44199</v>
      </c>
      <c r="G118" t="s">
        <v>2027</v>
      </c>
      <c r="H118">
        <v>1</v>
      </c>
      <c r="I118" s="12">
        <f>Table16[[#This Row],[price]]*Table16[[#This Row],[quantity]]</f>
        <v>378.75</v>
      </c>
    </row>
    <row r="119" spans="1:9" x14ac:dyDescent="0.3">
      <c r="A119" t="s">
        <v>2137</v>
      </c>
      <c r="B119" t="s">
        <v>25</v>
      </c>
      <c r="C119" t="s">
        <v>2001</v>
      </c>
      <c r="D119">
        <v>5</v>
      </c>
      <c r="E119" s="16">
        <v>1500.4</v>
      </c>
      <c r="F119" s="1">
        <v>44204</v>
      </c>
      <c r="G119" t="s">
        <v>2064</v>
      </c>
      <c r="H119">
        <v>1</v>
      </c>
      <c r="I119" s="12">
        <f>Table16[[#This Row],[price]]*Table16[[#This Row],[quantity]]</f>
        <v>7502</v>
      </c>
    </row>
    <row r="120" spans="1:9" x14ac:dyDescent="0.3">
      <c r="A120" t="s">
        <v>2139</v>
      </c>
      <c r="B120" t="s">
        <v>25</v>
      </c>
      <c r="C120" t="s">
        <v>2001</v>
      </c>
      <c r="D120">
        <v>5</v>
      </c>
      <c r="E120" s="16">
        <v>1500.4</v>
      </c>
      <c r="F120" s="1">
        <v>44382</v>
      </c>
      <c r="G120" t="s">
        <v>2058</v>
      </c>
      <c r="H120">
        <v>5</v>
      </c>
      <c r="I120" s="12">
        <f>Table16[[#This Row],[price]]*Table16[[#This Row],[quantity]]</f>
        <v>7502</v>
      </c>
    </row>
    <row r="121" spans="1:9" x14ac:dyDescent="0.3">
      <c r="A121" t="s">
        <v>2138</v>
      </c>
      <c r="B121" t="s">
        <v>25</v>
      </c>
      <c r="C121" t="s">
        <v>2008</v>
      </c>
      <c r="D121">
        <v>3</v>
      </c>
      <c r="E121" s="16">
        <v>15.69</v>
      </c>
      <c r="F121" s="1">
        <v>44465</v>
      </c>
      <c r="G121" t="s">
        <v>2004</v>
      </c>
      <c r="H121">
        <v>1</v>
      </c>
      <c r="I121" s="12">
        <f>Table16[[#This Row],[price]]*Table16[[#This Row],[quantity]]</f>
        <v>47.07</v>
      </c>
    </row>
    <row r="122" spans="1:9" x14ac:dyDescent="0.3">
      <c r="A122" t="s">
        <v>2140</v>
      </c>
      <c r="B122" t="s">
        <v>25</v>
      </c>
      <c r="C122" t="s">
        <v>2015</v>
      </c>
      <c r="D122">
        <v>5</v>
      </c>
      <c r="E122" s="16">
        <v>3000.85</v>
      </c>
      <c r="F122" s="1">
        <v>44477</v>
      </c>
      <c r="G122" t="s">
        <v>2027</v>
      </c>
      <c r="H122">
        <v>4</v>
      </c>
      <c r="I122" s="12">
        <f>Table16[[#This Row],[price]]*Table16[[#This Row],[quantity]]</f>
        <v>15004.25</v>
      </c>
    </row>
    <row r="123" spans="1:9" x14ac:dyDescent="0.3">
      <c r="A123" t="s">
        <v>2135</v>
      </c>
      <c r="B123" t="s">
        <v>25</v>
      </c>
      <c r="C123" t="s">
        <v>2011</v>
      </c>
      <c r="D123">
        <v>5</v>
      </c>
      <c r="E123" s="16">
        <v>203.3</v>
      </c>
      <c r="F123" s="1">
        <v>44581</v>
      </c>
      <c r="G123" t="s">
        <v>2002</v>
      </c>
      <c r="H123">
        <v>3</v>
      </c>
      <c r="I123" s="12">
        <f>Table16[[#This Row],[price]]*Table16[[#This Row],[quantity]]</f>
        <v>1016.5</v>
      </c>
    </row>
    <row r="124" spans="1:9" x14ac:dyDescent="0.3">
      <c r="A124" t="s">
        <v>2134</v>
      </c>
      <c r="B124" t="s">
        <v>25</v>
      </c>
      <c r="C124" t="s">
        <v>2008</v>
      </c>
      <c r="D124">
        <v>3</v>
      </c>
      <c r="E124" s="16">
        <v>15.69</v>
      </c>
      <c r="F124" s="1">
        <v>44613</v>
      </c>
      <c r="G124" t="s">
        <v>2020</v>
      </c>
      <c r="H124">
        <v>4</v>
      </c>
      <c r="I124" s="12">
        <f>Table16[[#This Row],[price]]*Table16[[#This Row],[quantity]]</f>
        <v>47.07</v>
      </c>
    </row>
    <row r="125" spans="1:9" x14ac:dyDescent="0.3">
      <c r="A125" t="s">
        <v>2141</v>
      </c>
      <c r="B125" t="s">
        <v>25</v>
      </c>
      <c r="C125" t="s">
        <v>2024</v>
      </c>
      <c r="D125">
        <v>5</v>
      </c>
      <c r="E125" s="16">
        <v>179.2</v>
      </c>
      <c r="F125" s="1">
        <v>44731</v>
      </c>
      <c r="G125" t="s">
        <v>2020</v>
      </c>
      <c r="H125">
        <v>3</v>
      </c>
      <c r="I125" s="12">
        <f>Table16[[#This Row],[price]]*Table16[[#This Row],[quantity]]</f>
        <v>896</v>
      </c>
    </row>
    <row r="126" spans="1:9" x14ac:dyDescent="0.3">
      <c r="A126" t="s">
        <v>2142</v>
      </c>
      <c r="B126" t="s">
        <v>26</v>
      </c>
      <c r="C126" t="s">
        <v>2015</v>
      </c>
      <c r="D126">
        <v>3</v>
      </c>
      <c r="E126" s="16">
        <v>1800.51</v>
      </c>
      <c r="F126" s="1">
        <v>44255</v>
      </c>
      <c r="G126" t="s">
        <v>2020</v>
      </c>
      <c r="H126">
        <v>3</v>
      </c>
      <c r="I126" s="12">
        <f>Table16[[#This Row],[price]]*Table16[[#This Row],[quantity]]</f>
        <v>5401.53</v>
      </c>
    </row>
    <row r="127" spans="1:9" x14ac:dyDescent="0.3">
      <c r="A127" t="s">
        <v>2143</v>
      </c>
      <c r="B127" t="s">
        <v>26</v>
      </c>
      <c r="C127" t="s">
        <v>2001</v>
      </c>
      <c r="D127">
        <v>2</v>
      </c>
      <c r="E127" s="16">
        <v>600.16</v>
      </c>
      <c r="F127" s="1">
        <v>44296</v>
      </c>
      <c r="G127" t="s">
        <v>2002</v>
      </c>
      <c r="H127">
        <v>5</v>
      </c>
      <c r="I127" s="12">
        <f>Table16[[#This Row],[price]]*Table16[[#This Row],[quantity]]</f>
        <v>1200.32</v>
      </c>
    </row>
    <row r="128" spans="1:9" x14ac:dyDescent="0.3">
      <c r="A128" t="s">
        <v>2145</v>
      </c>
      <c r="B128" t="s">
        <v>26</v>
      </c>
      <c r="C128" t="s">
        <v>2001</v>
      </c>
      <c r="D128">
        <v>1</v>
      </c>
      <c r="E128" s="16">
        <v>300.08</v>
      </c>
      <c r="F128" s="1">
        <v>44790</v>
      </c>
      <c r="G128" t="s">
        <v>2064</v>
      </c>
      <c r="H128">
        <v>5</v>
      </c>
      <c r="I128" s="12">
        <f>Table16[[#This Row],[price]]*Table16[[#This Row],[quantity]]</f>
        <v>300.08</v>
      </c>
    </row>
    <row r="129" spans="1:9" x14ac:dyDescent="0.3">
      <c r="A129" t="s">
        <v>2144</v>
      </c>
      <c r="B129" t="s">
        <v>26</v>
      </c>
      <c r="C129" t="s">
        <v>2001</v>
      </c>
      <c r="D129">
        <v>2</v>
      </c>
      <c r="E129" s="16">
        <v>600.16</v>
      </c>
      <c r="F129" s="1">
        <v>44983</v>
      </c>
      <c r="G129" t="s">
        <v>2009</v>
      </c>
      <c r="H129">
        <v>4</v>
      </c>
      <c r="I129" s="12">
        <f>Table16[[#This Row],[price]]*Table16[[#This Row],[quantity]]</f>
        <v>1200.32</v>
      </c>
    </row>
    <row r="130" spans="1:9" x14ac:dyDescent="0.3">
      <c r="A130" t="s">
        <v>2148</v>
      </c>
      <c r="B130" t="s">
        <v>27</v>
      </c>
      <c r="C130" t="s">
        <v>2001</v>
      </c>
      <c r="D130">
        <v>4</v>
      </c>
      <c r="E130" s="16">
        <v>1200.32</v>
      </c>
      <c r="F130" s="1">
        <v>44239</v>
      </c>
      <c r="G130" t="s">
        <v>2018</v>
      </c>
      <c r="H130">
        <v>2</v>
      </c>
      <c r="I130" s="12">
        <f>Table16[[#This Row],[price]]*Table16[[#This Row],[quantity]]</f>
        <v>4801.28</v>
      </c>
    </row>
    <row r="131" spans="1:9" x14ac:dyDescent="0.3">
      <c r="A131" t="s">
        <v>2146</v>
      </c>
      <c r="B131" t="s">
        <v>27</v>
      </c>
      <c r="C131" t="s">
        <v>2017</v>
      </c>
      <c r="D131">
        <v>2</v>
      </c>
      <c r="E131" s="16">
        <v>2100</v>
      </c>
      <c r="F131" s="1">
        <v>44481</v>
      </c>
      <c r="G131" t="s">
        <v>2058</v>
      </c>
      <c r="H131">
        <v>4</v>
      </c>
      <c r="I131" s="12">
        <f>Table16[[#This Row],[price]]*Table16[[#This Row],[quantity]]</f>
        <v>4200</v>
      </c>
    </row>
    <row r="132" spans="1:9" x14ac:dyDescent="0.3">
      <c r="A132" t="s">
        <v>2147</v>
      </c>
      <c r="B132" t="s">
        <v>27</v>
      </c>
      <c r="C132" t="s">
        <v>2001</v>
      </c>
      <c r="D132">
        <v>4</v>
      </c>
      <c r="E132" s="16">
        <v>1200.32</v>
      </c>
      <c r="F132" s="1">
        <v>44837</v>
      </c>
      <c r="G132" t="s">
        <v>2027</v>
      </c>
      <c r="H132">
        <v>2</v>
      </c>
      <c r="I132" s="12">
        <f>Table16[[#This Row],[price]]*Table16[[#This Row],[quantity]]</f>
        <v>4801.28</v>
      </c>
    </row>
    <row r="133" spans="1:9" x14ac:dyDescent="0.3">
      <c r="A133" t="s">
        <v>2153</v>
      </c>
      <c r="B133" t="s">
        <v>28</v>
      </c>
      <c r="C133" t="s">
        <v>2011</v>
      </c>
      <c r="D133">
        <v>4</v>
      </c>
      <c r="E133" s="16">
        <v>162.63999999999999</v>
      </c>
      <c r="F133" s="1">
        <v>44268</v>
      </c>
      <c r="G133" t="s">
        <v>2058</v>
      </c>
      <c r="H133">
        <v>5</v>
      </c>
      <c r="I133" s="12">
        <f>Table16[[#This Row],[price]]*Table16[[#This Row],[quantity]]</f>
        <v>650.55999999999995</v>
      </c>
    </row>
    <row r="134" spans="1:9" x14ac:dyDescent="0.3">
      <c r="A134" t="s">
        <v>2151</v>
      </c>
      <c r="B134" t="s">
        <v>28</v>
      </c>
      <c r="C134" t="s">
        <v>2011</v>
      </c>
      <c r="D134">
        <v>3</v>
      </c>
      <c r="E134" s="16">
        <v>121.98</v>
      </c>
      <c r="F134" s="1">
        <v>44270</v>
      </c>
      <c r="G134" t="s">
        <v>2004</v>
      </c>
      <c r="H134">
        <v>1</v>
      </c>
      <c r="I134" s="12">
        <f>Table16[[#This Row],[price]]*Table16[[#This Row],[quantity]]</f>
        <v>365.94</v>
      </c>
    </row>
    <row r="135" spans="1:9" x14ac:dyDescent="0.3">
      <c r="A135" t="s">
        <v>2150</v>
      </c>
      <c r="B135" t="s">
        <v>28</v>
      </c>
      <c r="C135" t="s">
        <v>2001</v>
      </c>
      <c r="D135">
        <v>4</v>
      </c>
      <c r="E135" s="16">
        <v>1200.32</v>
      </c>
      <c r="F135" s="1">
        <v>44449</v>
      </c>
      <c r="G135" t="s">
        <v>2064</v>
      </c>
      <c r="H135">
        <v>4</v>
      </c>
      <c r="I135" s="12">
        <f>Table16[[#This Row],[price]]*Table16[[#This Row],[quantity]]</f>
        <v>4801.28</v>
      </c>
    </row>
    <row r="136" spans="1:9" x14ac:dyDescent="0.3">
      <c r="A136" t="s">
        <v>2149</v>
      </c>
      <c r="B136" t="s">
        <v>28</v>
      </c>
      <c r="C136" t="s">
        <v>2006</v>
      </c>
      <c r="D136">
        <v>3</v>
      </c>
      <c r="E136" s="16">
        <v>45.45</v>
      </c>
      <c r="F136" s="1">
        <v>44672</v>
      </c>
      <c r="G136" t="s">
        <v>2064</v>
      </c>
      <c r="H136">
        <v>4</v>
      </c>
      <c r="I136" s="12">
        <f>Table16[[#This Row],[price]]*Table16[[#This Row],[quantity]]</f>
        <v>136.35000000000002</v>
      </c>
    </row>
    <row r="137" spans="1:9" x14ac:dyDescent="0.3">
      <c r="A137" t="s">
        <v>2152</v>
      </c>
      <c r="B137" t="s">
        <v>28</v>
      </c>
      <c r="C137" t="s">
        <v>2001</v>
      </c>
      <c r="D137">
        <v>2</v>
      </c>
      <c r="E137" s="16">
        <v>600.16</v>
      </c>
      <c r="F137" s="1">
        <v>44747</v>
      </c>
      <c r="G137" t="s">
        <v>2012</v>
      </c>
      <c r="H137">
        <v>1</v>
      </c>
      <c r="I137" s="12">
        <f>Table16[[#This Row],[price]]*Table16[[#This Row],[quantity]]</f>
        <v>1200.32</v>
      </c>
    </row>
    <row r="138" spans="1:9" x14ac:dyDescent="0.3">
      <c r="A138" t="s">
        <v>2154</v>
      </c>
      <c r="B138" t="s">
        <v>28</v>
      </c>
      <c r="C138" t="s">
        <v>2015</v>
      </c>
      <c r="D138">
        <v>1</v>
      </c>
      <c r="E138" s="16">
        <v>600.16999999999996</v>
      </c>
      <c r="F138" s="1">
        <v>44828</v>
      </c>
      <c r="G138" t="s">
        <v>2012</v>
      </c>
      <c r="H138">
        <v>5</v>
      </c>
      <c r="I138" s="12">
        <f>Table16[[#This Row],[price]]*Table16[[#This Row],[quantity]]</f>
        <v>600.16999999999996</v>
      </c>
    </row>
    <row r="139" spans="1:9" x14ac:dyDescent="0.3">
      <c r="A139" t="s">
        <v>2158</v>
      </c>
      <c r="B139" t="s">
        <v>29</v>
      </c>
      <c r="C139" t="s">
        <v>2057</v>
      </c>
      <c r="D139">
        <v>5</v>
      </c>
      <c r="E139" s="16">
        <v>58.65</v>
      </c>
      <c r="F139" s="1">
        <v>44306</v>
      </c>
      <c r="G139" t="s">
        <v>2020</v>
      </c>
      <c r="H139">
        <v>5</v>
      </c>
      <c r="I139" s="12">
        <f>Table16[[#This Row],[price]]*Table16[[#This Row],[quantity]]</f>
        <v>293.25</v>
      </c>
    </row>
    <row r="140" spans="1:9" x14ac:dyDescent="0.3">
      <c r="A140" t="s">
        <v>2159</v>
      </c>
      <c r="B140" t="s">
        <v>29</v>
      </c>
      <c r="C140" t="s">
        <v>2057</v>
      </c>
      <c r="D140">
        <v>5</v>
      </c>
      <c r="E140" s="16">
        <v>58.65</v>
      </c>
      <c r="F140" s="1">
        <v>44310</v>
      </c>
      <c r="G140" t="s">
        <v>2004</v>
      </c>
      <c r="H140">
        <v>5</v>
      </c>
      <c r="I140" s="12">
        <f>Table16[[#This Row],[price]]*Table16[[#This Row],[quantity]]</f>
        <v>293.25</v>
      </c>
    </row>
    <row r="141" spans="1:9" x14ac:dyDescent="0.3">
      <c r="A141" t="s">
        <v>2155</v>
      </c>
      <c r="B141" t="s">
        <v>29</v>
      </c>
      <c r="C141" t="s">
        <v>2001</v>
      </c>
      <c r="D141">
        <v>3</v>
      </c>
      <c r="E141" s="16">
        <v>900.24</v>
      </c>
      <c r="F141" s="1">
        <v>44377</v>
      </c>
      <c r="G141" t="s">
        <v>2002</v>
      </c>
      <c r="H141">
        <v>4</v>
      </c>
      <c r="I141" s="12">
        <f>Table16[[#This Row],[price]]*Table16[[#This Row],[quantity]]</f>
        <v>2700.7200000000003</v>
      </c>
    </row>
    <row r="142" spans="1:9" x14ac:dyDescent="0.3">
      <c r="A142" t="s">
        <v>2157</v>
      </c>
      <c r="B142" t="s">
        <v>29</v>
      </c>
      <c r="C142" t="s">
        <v>2008</v>
      </c>
      <c r="D142">
        <v>1</v>
      </c>
      <c r="E142" s="16">
        <v>5.23</v>
      </c>
      <c r="F142" s="1">
        <v>44681</v>
      </c>
      <c r="G142" t="s">
        <v>2027</v>
      </c>
      <c r="H142">
        <v>5</v>
      </c>
      <c r="I142" s="12">
        <f>Table16[[#This Row],[price]]*Table16[[#This Row],[quantity]]</f>
        <v>5.23</v>
      </c>
    </row>
    <row r="143" spans="1:9" x14ac:dyDescent="0.3">
      <c r="A143" t="s">
        <v>2160</v>
      </c>
      <c r="B143" t="s">
        <v>29</v>
      </c>
      <c r="C143" t="s">
        <v>2001</v>
      </c>
      <c r="D143">
        <v>4</v>
      </c>
      <c r="E143" s="16">
        <v>1200.32</v>
      </c>
      <c r="F143" s="1">
        <v>44740</v>
      </c>
      <c r="G143" t="s">
        <v>2009</v>
      </c>
      <c r="H143">
        <v>1</v>
      </c>
      <c r="I143" s="12">
        <f>Table16[[#This Row],[price]]*Table16[[#This Row],[quantity]]</f>
        <v>4801.28</v>
      </c>
    </row>
    <row r="144" spans="1:9" x14ac:dyDescent="0.3">
      <c r="A144" t="s">
        <v>2156</v>
      </c>
      <c r="B144" t="s">
        <v>29</v>
      </c>
      <c r="C144" t="s">
        <v>2006</v>
      </c>
      <c r="D144">
        <v>5</v>
      </c>
      <c r="E144" s="16">
        <v>75.75</v>
      </c>
      <c r="F144" s="1">
        <v>44795</v>
      </c>
      <c r="G144" t="s">
        <v>2020</v>
      </c>
      <c r="H144">
        <v>5</v>
      </c>
      <c r="I144" s="12">
        <f>Table16[[#This Row],[price]]*Table16[[#This Row],[quantity]]</f>
        <v>378.75</v>
      </c>
    </row>
    <row r="145" spans="1:9" x14ac:dyDescent="0.3">
      <c r="A145" t="s">
        <v>2161</v>
      </c>
      <c r="B145" t="s">
        <v>30</v>
      </c>
      <c r="C145" t="s">
        <v>2001</v>
      </c>
      <c r="D145">
        <v>2</v>
      </c>
      <c r="E145" s="16">
        <v>600.16</v>
      </c>
      <c r="F145" s="1">
        <v>44247</v>
      </c>
      <c r="G145" t="s">
        <v>2002</v>
      </c>
      <c r="H145">
        <v>3</v>
      </c>
      <c r="I145" s="12">
        <f>Table16[[#This Row],[price]]*Table16[[#This Row],[quantity]]</f>
        <v>1200.32</v>
      </c>
    </row>
    <row r="146" spans="1:9" x14ac:dyDescent="0.3">
      <c r="A146" t="s">
        <v>2162</v>
      </c>
      <c r="B146" t="s">
        <v>30</v>
      </c>
      <c r="C146" t="s">
        <v>2008</v>
      </c>
      <c r="D146">
        <v>1</v>
      </c>
      <c r="E146" s="16">
        <v>5.23</v>
      </c>
      <c r="F146" s="1">
        <v>44726</v>
      </c>
      <c r="G146" t="s">
        <v>2012</v>
      </c>
      <c r="H146">
        <v>1</v>
      </c>
      <c r="I146" s="12">
        <f>Table16[[#This Row],[price]]*Table16[[#This Row],[quantity]]</f>
        <v>5.23</v>
      </c>
    </row>
    <row r="147" spans="1:9" x14ac:dyDescent="0.3">
      <c r="A147" t="s">
        <v>2164</v>
      </c>
      <c r="B147" t="s">
        <v>31</v>
      </c>
      <c r="C147" t="s">
        <v>2001</v>
      </c>
      <c r="D147">
        <v>3</v>
      </c>
      <c r="E147" s="16">
        <v>900.24</v>
      </c>
      <c r="F147" s="1">
        <v>44269</v>
      </c>
      <c r="G147" t="s">
        <v>2002</v>
      </c>
      <c r="H147">
        <v>1</v>
      </c>
      <c r="I147" s="12">
        <f>Table16[[#This Row],[price]]*Table16[[#This Row],[quantity]]</f>
        <v>2700.7200000000003</v>
      </c>
    </row>
    <row r="148" spans="1:9" x14ac:dyDescent="0.3">
      <c r="A148" t="s">
        <v>2165</v>
      </c>
      <c r="B148" t="s">
        <v>31</v>
      </c>
      <c r="C148" t="s">
        <v>2001</v>
      </c>
      <c r="D148">
        <v>3</v>
      </c>
      <c r="E148" s="16">
        <v>900.24</v>
      </c>
      <c r="F148" s="1">
        <v>44632</v>
      </c>
      <c r="G148" t="s">
        <v>2004</v>
      </c>
      <c r="H148">
        <v>4</v>
      </c>
      <c r="I148" s="12">
        <f>Table16[[#This Row],[price]]*Table16[[#This Row],[quantity]]</f>
        <v>2700.7200000000003</v>
      </c>
    </row>
    <row r="149" spans="1:9" x14ac:dyDescent="0.3">
      <c r="A149" t="s">
        <v>2163</v>
      </c>
      <c r="B149" t="s">
        <v>31</v>
      </c>
      <c r="C149" t="s">
        <v>2015</v>
      </c>
      <c r="D149">
        <v>1</v>
      </c>
      <c r="E149" s="16">
        <v>600.16999999999996</v>
      </c>
      <c r="F149" s="1">
        <v>44872</v>
      </c>
      <c r="G149" t="s">
        <v>2027</v>
      </c>
      <c r="H149">
        <v>4</v>
      </c>
      <c r="I149" s="12">
        <f>Table16[[#This Row],[price]]*Table16[[#This Row],[quantity]]</f>
        <v>600.16999999999996</v>
      </c>
    </row>
    <row r="150" spans="1:9" x14ac:dyDescent="0.3">
      <c r="A150" t="s">
        <v>2168</v>
      </c>
      <c r="B150" t="s">
        <v>32</v>
      </c>
      <c r="C150" t="s">
        <v>2006</v>
      </c>
      <c r="D150">
        <v>2</v>
      </c>
      <c r="E150" s="16">
        <v>30.3</v>
      </c>
      <c r="F150" s="1">
        <v>44219</v>
      </c>
      <c r="G150" t="s">
        <v>2004</v>
      </c>
      <c r="H150">
        <v>4</v>
      </c>
      <c r="I150" s="12">
        <f>Table16[[#This Row],[price]]*Table16[[#This Row],[quantity]]</f>
        <v>60.6</v>
      </c>
    </row>
    <row r="151" spans="1:9" x14ac:dyDescent="0.3">
      <c r="A151" t="s">
        <v>2169</v>
      </c>
      <c r="B151" t="s">
        <v>32</v>
      </c>
      <c r="C151" t="s">
        <v>2008</v>
      </c>
      <c r="D151">
        <v>4</v>
      </c>
      <c r="E151" s="16">
        <v>20.92</v>
      </c>
      <c r="F151" s="1">
        <v>44303</v>
      </c>
      <c r="G151" t="s">
        <v>2012</v>
      </c>
      <c r="H151">
        <v>4</v>
      </c>
      <c r="I151" s="12">
        <f>Table16[[#This Row],[price]]*Table16[[#This Row],[quantity]]</f>
        <v>83.68</v>
      </c>
    </row>
    <row r="152" spans="1:9" x14ac:dyDescent="0.3">
      <c r="A152" t="s">
        <v>2170</v>
      </c>
      <c r="B152" t="s">
        <v>32</v>
      </c>
      <c r="C152" t="s">
        <v>2001</v>
      </c>
      <c r="D152">
        <v>5</v>
      </c>
      <c r="E152" s="16">
        <v>1500.4</v>
      </c>
      <c r="F152" s="1">
        <v>44363</v>
      </c>
      <c r="G152" t="s">
        <v>2002</v>
      </c>
      <c r="H152">
        <v>2</v>
      </c>
      <c r="I152" s="12">
        <f>Table16[[#This Row],[price]]*Table16[[#This Row],[quantity]]</f>
        <v>7502</v>
      </c>
    </row>
    <row r="153" spans="1:9" x14ac:dyDescent="0.3">
      <c r="A153" t="s">
        <v>2166</v>
      </c>
      <c r="B153" t="s">
        <v>32</v>
      </c>
      <c r="C153" t="s">
        <v>2015</v>
      </c>
      <c r="D153">
        <v>4</v>
      </c>
      <c r="E153" s="16">
        <v>2400.6799999999998</v>
      </c>
      <c r="F153" s="1">
        <v>44416</v>
      </c>
      <c r="G153" t="s">
        <v>2027</v>
      </c>
      <c r="H153">
        <v>2</v>
      </c>
      <c r="I153" s="12">
        <f>Table16[[#This Row],[price]]*Table16[[#This Row],[quantity]]</f>
        <v>9602.7199999999993</v>
      </c>
    </row>
    <row r="154" spans="1:9" x14ac:dyDescent="0.3">
      <c r="A154" t="s">
        <v>2171</v>
      </c>
      <c r="B154" t="s">
        <v>32</v>
      </c>
      <c r="C154" t="s">
        <v>2011</v>
      </c>
      <c r="D154">
        <v>3</v>
      </c>
      <c r="E154" s="16">
        <v>121.98</v>
      </c>
      <c r="F154" s="1">
        <v>44448</v>
      </c>
      <c r="G154" t="s">
        <v>2002</v>
      </c>
      <c r="H154">
        <v>1</v>
      </c>
      <c r="I154" s="12">
        <f>Table16[[#This Row],[price]]*Table16[[#This Row],[quantity]]</f>
        <v>365.94</v>
      </c>
    </row>
    <row r="155" spans="1:9" x14ac:dyDescent="0.3">
      <c r="A155" t="s">
        <v>2167</v>
      </c>
      <c r="B155" t="s">
        <v>32</v>
      </c>
      <c r="C155" t="s">
        <v>2001</v>
      </c>
      <c r="D155">
        <v>5</v>
      </c>
      <c r="E155" s="16">
        <v>1500.4</v>
      </c>
      <c r="F155" s="1">
        <v>44611</v>
      </c>
      <c r="G155" t="s">
        <v>2018</v>
      </c>
      <c r="H155">
        <v>1</v>
      </c>
      <c r="I155" s="12">
        <f>Table16[[#This Row],[price]]*Table16[[#This Row],[quantity]]</f>
        <v>7502</v>
      </c>
    </row>
    <row r="156" spans="1:9" x14ac:dyDescent="0.3">
      <c r="A156" t="s">
        <v>2176</v>
      </c>
      <c r="B156" t="s">
        <v>33</v>
      </c>
      <c r="C156" t="s">
        <v>2057</v>
      </c>
      <c r="D156">
        <v>1</v>
      </c>
      <c r="E156" s="16">
        <v>11.73</v>
      </c>
      <c r="F156" s="1">
        <v>44253</v>
      </c>
      <c r="G156" t="s">
        <v>2012</v>
      </c>
      <c r="H156">
        <v>1</v>
      </c>
      <c r="I156" s="12">
        <f>Table16[[#This Row],[price]]*Table16[[#This Row],[quantity]]</f>
        <v>11.73</v>
      </c>
    </row>
    <row r="157" spans="1:9" x14ac:dyDescent="0.3">
      <c r="A157" t="s">
        <v>2175</v>
      </c>
      <c r="B157" t="s">
        <v>33</v>
      </c>
      <c r="C157" t="s">
        <v>2001</v>
      </c>
      <c r="D157">
        <v>1</v>
      </c>
      <c r="E157" s="16">
        <v>300.08</v>
      </c>
      <c r="F157" s="1">
        <v>44380</v>
      </c>
      <c r="G157" t="s">
        <v>2012</v>
      </c>
      <c r="H157">
        <v>2</v>
      </c>
      <c r="I157" s="12">
        <f>Table16[[#This Row],[price]]*Table16[[#This Row],[quantity]]</f>
        <v>300.08</v>
      </c>
    </row>
    <row r="158" spans="1:9" x14ac:dyDescent="0.3">
      <c r="A158" t="s">
        <v>2174</v>
      </c>
      <c r="B158" t="s">
        <v>33</v>
      </c>
      <c r="C158" t="s">
        <v>2001</v>
      </c>
      <c r="D158">
        <v>3</v>
      </c>
      <c r="E158" s="16">
        <v>900.24</v>
      </c>
      <c r="F158" s="1">
        <v>44410</v>
      </c>
      <c r="G158" t="s">
        <v>2004</v>
      </c>
      <c r="H158">
        <v>4</v>
      </c>
      <c r="I158" s="12">
        <f>Table16[[#This Row],[price]]*Table16[[#This Row],[quantity]]</f>
        <v>2700.7200000000003</v>
      </c>
    </row>
    <row r="159" spans="1:9" x14ac:dyDescent="0.3">
      <c r="A159" t="s">
        <v>2172</v>
      </c>
      <c r="B159" t="s">
        <v>33</v>
      </c>
      <c r="C159" t="s">
        <v>2008</v>
      </c>
      <c r="D159">
        <v>3</v>
      </c>
      <c r="E159" s="16">
        <v>15.69</v>
      </c>
      <c r="F159" s="1">
        <v>44759</v>
      </c>
      <c r="G159" t="s">
        <v>2064</v>
      </c>
      <c r="H159">
        <v>1</v>
      </c>
      <c r="I159" s="12">
        <f>Table16[[#This Row],[price]]*Table16[[#This Row],[quantity]]</f>
        <v>47.07</v>
      </c>
    </row>
    <row r="160" spans="1:9" x14ac:dyDescent="0.3">
      <c r="A160" t="s">
        <v>2173</v>
      </c>
      <c r="B160" t="s">
        <v>33</v>
      </c>
      <c r="C160" t="s">
        <v>2001</v>
      </c>
      <c r="D160">
        <v>5</v>
      </c>
      <c r="E160" s="16">
        <v>1500.4</v>
      </c>
      <c r="F160" s="1">
        <v>44775</v>
      </c>
      <c r="G160" t="s">
        <v>2004</v>
      </c>
      <c r="H160">
        <v>3</v>
      </c>
      <c r="I160" s="12">
        <f>Table16[[#This Row],[price]]*Table16[[#This Row],[quantity]]</f>
        <v>7502</v>
      </c>
    </row>
    <row r="161" spans="1:9" x14ac:dyDescent="0.3">
      <c r="A161" t="s">
        <v>2177</v>
      </c>
      <c r="B161" t="s">
        <v>34</v>
      </c>
      <c r="C161" t="s">
        <v>2001</v>
      </c>
      <c r="D161">
        <v>1</v>
      </c>
      <c r="E161" s="16">
        <v>300.08</v>
      </c>
      <c r="F161" s="1">
        <v>44386</v>
      </c>
      <c r="G161" t="s">
        <v>2058</v>
      </c>
      <c r="H161">
        <v>1</v>
      </c>
      <c r="I161" s="12">
        <f>Table16[[#This Row],[price]]*Table16[[#This Row],[quantity]]</f>
        <v>300.08</v>
      </c>
    </row>
    <row r="162" spans="1:9" x14ac:dyDescent="0.3">
      <c r="A162" t="s">
        <v>2179</v>
      </c>
      <c r="B162" t="s">
        <v>34</v>
      </c>
      <c r="C162" t="s">
        <v>2011</v>
      </c>
      <c r="D162">
        <v>1</v>
      </c>
      <c r="E162" s="16">
        <v>40.659999999999997</v>
      </c>
      <c r="F162" s="1">
        <v>44413</v>
      </c>
      <c r="G162" t="s">
        <v>2064</v>
      </c>
      <c r="H162">
        <v>2</v>
      </c>
      <c r="I162" s="12">
        <f>Table16[[#This Row],[price]]*Table16[[#This Row],[quantity]]</f>
        <v>40.659999999999997</v>
      </c>
    </row>
    <row r="163" spans="1:9" x14ac:dyDescent="0.3">
      <c r="A163" t="s">
        <v>2178</v>
      </c>
      <c r="B163" t="s">
        <v>34</v>
      </c>
      <c r="C163" t="s">
        <v>2001</v>
      </c>
      <c r="D163">
        <v>5</v>
      </c>
      <c r="E163" s="16">
        <v>1500.4</v>
      </c>
      <c r="F163" s="1">
        <v>44667</v>
      </c>
      <c r="G163" t="s">
        <v>2012</v>
      </c>
      <c r="H163">
        <v>1</v>
      </c>
      <c r="I163" s="12">
        <f>Table16[[#This Row],[price]]*Table16[[#This Row],[quantity]]</f>
        <v>7502</v>
      </c>
    </row>
    <row r="164" spans="1:9" x14ac:dyDescent="0.3">
      <c r="A164" t="s">
        <v>2180</v>
      </c>
      <c r="B164" t="s">
        <v>35</v>
      </c>
      <c r="C164" t="s">
        <v>2001</v>
      </c>
      <c r="D164">
        <v>1</v>
      </c>
      <c r="E164" s="17">
        <v>300.08</v>
      </c>
      <c r="F164" s="1">
        <v>44197</v>
      </c>
      <c r="G164" t="s">
        <v>2064</v>
      </c>
      <c r="H164">
        <v>5</v>
      </c>
      <c r="I164" s="12">
        <f>Table16[[#This Row],[price]]*Table16[[#This Row],[quantity]]</f>
        <v>300.08</v>
      </c>
    </row>
    <row r="165" spans="1:9" x14ac:dyDescent="0.3">
      <c r="A165" t="s">
        <v>2183</v>
      </c>
      <c r="B165" t="s">
        <v>35</v>
      </c>
      <c r="C165" t="s">
        <v>2008</v>
      </c>
      <c r="D165">
        <v>1</v>
      </c>
      <c r="E165" s="16">
        <v>5.23</v>
      </c>
      <c r="F165" s="1">
        <v>44318</v>
      </c>
      <c r="G165" t="s">
        <v>2004</v>
      </c>
      <c r="H165">
        <v>1</v>
      </c>
      <c r="I165" s="12">
        <f>Table16[[#This Row],[price]]*Table16[[#This Row],[quantity]]</f>
        <v>5.23</v>
      </c>
    </row>
    <row r="166" spans="1:9" x14ac:dyDescent="0.3">
      <c r="A166" t="s">
        <v>2181</v>
      </c>
      <c r="B166" t="s">
        <v>35</v>
      </c>
      <c r="C166" t="s">
        <v>2001</v>
      </c>
      <c r="D166">
        <v>1</v>
      </c>
      <c r="E166" s="16">
        <v>300.08</v>
      </c>
      <c r="F166" s="1">
        <v>44333</v>
      </c>
      <c r="G166" t="s">
        <v>2027</v>
      </c>
      <c r="H166">
        <v>3</v>
      </c>
      <c r="I166" s="12">
        <f>Table16[[#This Row],[price]]*Table16[[#This Row],[quantity]]</f>
        <v>300.08</v>
      </c>
    </row>
    <row r="167" spans="1:9" x14ac:dyDescent="0.3">
      <c r="A167" t="s">
        <v>2182</v>
      </c>
      <c r="B167" t="s">
        <v>35</v>
      </c>
      <c r="C167" t="s">
        <v>2001</v>
      </c>
      <c r="D167">
        <v>2</v>
      </c>
      <c r="E167" s="16">
        <v>600.16</v>
      </c>
      <c r="F167" s="1">
        <v>44430</v>
      </c>
      <c r="G167" t="s">
        <v>2004</v>
      </c>
      <c r="H167">
        <v>4</v>
      </c>
      <c r="I167" s="12">
        <f>Table16[[#This Row],[price]]*Table16[[#This Row],[quantity]]</f>
        <v>1200.32</v>
      </c>
    </row>
    <row r="168" spans="1:9" x14ac:dyDescent="0.3">
      <c r="A168" t="s">
        <v>2184</v>
      </c>
      <c r="B168" t="s">
        <v>35</v>
      </c>
      <c r="C168" t="s">
        <v>2017</v>
      </c>
      <c r="D168">
        <v>1</v>
      </c>
      <c r="E168" s="16">
        <v>1050</v>
      </c>
      <c r="F168" s="1">
        <v>44546</v>
      </c>
      <c r="G168" t="s">
        <v>2018</v>
      </c>
      <c r="H168">
        <v>5</v>
      </c>
      <c r="I168" s="12">
        <f>Table16[[#This Row],[price]]*Table16[[#This Row],[quantity]]</f>
        <v>1050</v>
      </c>
    </row>
    <row r="169" spans="1:9" x14ac:dyDescent="0.3">
      <c r="A169" t="s">
        <v>2185</v>
      </c>
      <c r="B169" t="s">
        <v>35</v>
      </c>
      <c r="C169" t="s">
        <v>2001</v>
      </c>
      <c r="D169">
        <v>5</v>
      </c>
      <c r="E169" s="16">
        <v>1500.4</v>
      </c>
      <c r="F169" s="1">
        <v>44850</v>
      </c>
      <c r="G169" t="s">
        <v>2064</v>
      </c>
      <c r="H169">
        <v>3</v>
      </c>
      <c r="I169" s="12">
        <f>Table16[[#This Row],[price]]*Table16[[#This Row],[quantity]]</f>
        <v>7502</v>
      </c>
    </row>
    <row r="170" spans="1:9" x14ac:dyDescent="0.3">
      <c r="A170" t="s">
        <v>2193</v>
      </c>
      <c r="B170" t="s">
        <v>36</v>
      </c>
      <c r="C170" t="s">
        <v>2001</v>
      </c>
      <c r="D170">
        <v>1</v>
      </c>
      <c r="E170" s="16">
        <v>300.08</v>
      </c>
      <c r="F170" s="1">
        <v>44495</v>
      </c>
      <c r="G170" t="s">
        <v>2004</v>
      </c>
      <c r="H170">
        <v>2</v>
      </c>
      <c r="I170" s="12">
        <f>Table16[[#This Row],[price]]*Table16[[#This Row],[quantity]]</f>
        <v>300.08</v>
      </c>
    </row>
    <row r="171" spans="1:9" x14ac:dyDescent="0.3">
      <c r="A171" t="s">
        <v>2186</v>
      </c>
      <c r="B171" t="s">
        <v>36</v>
      </c>
      <c r="C171" t="s">
        <v>2008</v>
      </c>
      <c r="D171">
        <v>2</v>
      </c>
      <c r="E171" s="16">
        <v>10.46</v>
      </c>
      <c r="F171" s="1">
        <v>44539</v>
      </c>
      <c r="G171" t="s">
        <v>2002</v>
      </c>
      <c r="H171">
        <v>4</v>
      </c>
      <c r="I171" s="12">
        <f>Table16[[#This Row],[price]]*Table16[[#This Row],[quantity]]</f>
        <v>20.92</v>
      </c>
    </row>
    <row r="172" spans="1:9" x14ac:dyDescent="0.3">
      <c r="A172" t="s">
        <v>2190</v>
      </c>
      <c r="B172" t="s">
        <v>36</v>
      </c>
      <c r="C172" t="s">
        <v>2001</v>
      </c>
      <c r="D172">
        <v>3</v>
      </c>
      <c r="E172" s="16">
        <v>900.24</v>
      </c>
      <c r="F172" s="1">
        <v>44545</v>
      </c>
      <c r="G172" t="s">
        <v>2064</v>
      </c>
      <c r="H172">
        <v>1</v>
      </c>
      <c r="I172" s="12">
        <f>Table16[[#This Row],[price]]*Table16[[#This Row],[quantity]]</f>
        <v>2700.7200000000003</v>
      </c>
    </row>
    <row r="173" spans="1:9" x14ac:dyDescent="0.3">
      <c r="A173" t="s">
        <v>2192</v>
      </c>
      <c r="B173" t="s">
        <v>36</v>
      </c>
      <c r="C173" t="s">
        <v>2015</v>
      </c>
      <c r="D173">
        <v>3</v>
      </c>
      <c r="E173" s="16">
        <v>1800.51</v>
      </c>
      <c r="F173" s="1">
        <v>44680</v>
      </c>
      <c r="G173" t="s">
        <v>2027</v>
      </c>
      <c r="H173">
        <v>1</v>
      </c>
      <c r="I173" s="12">
        <f>Table16[[#This Row],[price]]*Table16[[#This Row],[quantity]]</f>
        <v>5401.53</v>
      </c>
    </row>
    <row r="174" spans="1:9" x14ac:dyDescent="0.3">
      <c r="A174" t="s">
        <v>2187</v>
      </c>
      <c r="B174" t="s">
        <v>36</v>
      </c>
      <c r="C174" t="s">
        <v>2001</v>
      </c>
      <c r="D174">
        <v>1</v>
      </c>
      <c r="E174" s="16">
        <v>300.08</v>
      </c>
      <c r="F174" s="1">
        <v>44736</v>
      </c>
      <c r="G174" t="s">
        <v>2027</v>
      </c>
      <c r="H174">
        <v>5</v>
      </c>
      <c r="I174" s="12">
        <f>Table16[[#This Row],[price]]*Table16[[#This Row],[quantity]]</f>
        <v>300.08</v>
      </c>
    </row>
    <row r="175" spans="1:9" x14ac:dyDescent="0.3">
      <c r="A175" t="s">
        <v>2189</v>
      </c>
      <c r="B175" t="s">
        <v>36</v>
      </c>
      <c r="C175" t="s">
        <v>2006</v>
      </c>
      <c r="D175">
        <v>2</v>
      </c>
      <c r="E175" s="16">
        <v>30.3</v>
      </c>
      <c r="F175" s="1">
        <v>44779</v>
      </c>
      <c r="G175" t="s">
        <v>2004</v>
      </c>
      <c r="H175">
        <v>4</v>
      </c>
      <c r="I175" s="12">
        <f>Table16[[#This Row],[price]]*Table16[[#This Row],[quantity]]</f>
        <v>60.6</v>
      </c>
    </row>
    <row r="176" spans="1:9" x14ac:dyDescent="0.3">
      <c r="A176" t="s">
        <v>2188</v>
      </c>
      <c r="B176" t="s">
        <v>36</v>
      </c>
      <c r="C176" t="s">
        <v>2008</v>
      </c>
      <c r="D176">
        <v>5</v>
      </c>
      <c r="E176" s="16">
        <v>26.15</v>
      </c>
      <c r="F176" s="1">
        <v>44930</v>
      </c>
      <c r="G176" t="s">
        <v>2020</v>
      </c>
      <c r="H176">
        <v>2</v>
      </c>
      <c r="I176" s="12">
        <f>Table16[[#This Row],[price]]*Table16[[#This Row],[quantity]]</f>
        <v>130.75</v>
      </c>
    </row>
    <row r="177" spans="1:9" x14ac:dyDescent="0.3">
      <c r="A177" t="s">
        <v>2191</v>
      </c>
      <c r="B177" t="s">
        <v>36</v>
      </c>
      <c r="C177" t="s">
        <v>2024</v>
      </c>
      <c r="D177">
        <v>3</v>
      </c>
      <c r="E177" s="16">
        <v>107.52</v>
      </c>
      <c r="F177" s="1">
        <v>44980</v>
      </c>
      <c r="G177" t="s">
        <v>2058</v>
      </c>
      <c r="H177">
        <v>2</v>
      </c>
      <c r="I177" s="12">
        <f>Table16[[#This Row],[price]]*Table16[[#This Row],[quantity]]</f>
        <v>322.56</v>
      </c>
    </row>
    <row r="178" spans="1:9" x14ac:dyDescent="0.3">
      <c r="A178" t="s">
        <v>2199</v>
      </c>
      <c r="B178" t="s">
        <v>37</v>
      </c>
      <c r="C178" t="s">
        <v>2011</v>
      </c>
      <c r="D178">
        <v>3</v>
      </c>
      <c r="E178" s="16">
        <v>121.98</v>
      </c>
      <c r="F178" s="1">
        <v>44236</v>
      </c>
      <c r="G178" t="s">
        <v>2027</v>
      </c>
      <c r="H178">
        <v>3</v>
      </c>
      <c r="I178" s="12">
        <f>Table16[[#This Row],[price]]*Table16[[#This Row],[quantity]]</f>
        <v>365.94</v>
      </c>
    </row>
    <row r="179" spans="1:9" x14ac:dyDescent="0.3">
      <c r="A179" t="s">
        <v>2198</v>
      </c>
      <c r="B179" t="s">
        <v>37</v>
      </c>
      <c r="C179" t="s">
        <v>2001</v>
      </c>
      <c r="D179">
        <v>5</v>
      </c>
      <c r="E179" s="16">
        <v>1500.4</v>
      </c>
      <c r="F179" s="1">
        <v>44386</v>
      </c>
      <c r="G179" t="s">
        <v>2064</v>
      </c>
      <c r="H179">
        <v>1</v>
      </c>
      <c r="I179" s="12">
        <f>Table16[[#This Row],[price]]*Table16[[#This Row],[quantity]]</f>
        <v>7502</v>
      </c>
    </row>
    <row r="180" spans="1:9" x14ac:dyDescent="0.3">
      <c r="A180" t="s">
        <v>2197</v>
      </c>
      <c r="B180" t="s">
        <v>37</v>
      </c>
      <c r="C180" t="s">
        <v>2008</v>
      </c>
      <c r="D180">
        <v>1</v>
      </c>
      <c r="E180" s="16">
        <v>5.23</v>
      </c>
      <c r="F180" s="1">
        <v>44412</v>
      </c>
      <c r="G180" t="s">
        <v>2064</v>
      </c>
      <c r="H180">
        <v>1</v>
      </c>
      <c r="I180" s="12">
        <f>Table16[[#This Row],[price]]*Table16[[#This Row],[quantity]]</f>
        <v>5.23</v>
      </c>
    </row>
    <row r="181" spans="1:9" x14ac:dyDescent="0.3">
      <c r="A181" t="s">
        <v>2196</v>
      </c>
      <c r="B181" t="s">
        <v>37</v>
      </c>
      <c r="C181" t="s">
        <v>2001</v>
      </c>
      <c r="D181">
        <v>2</v>
      </c>
      <c r="E181" s="16">
        <v>600.16</v>
      </c>
      <c r="F181" s="1">
        <v>44443</v>
      </c>
      <c r="G181" t="s">
        <v>2027</v>
      </c>
      <c r="H181">
        <v>2</v>
      </c>
      <c r="I181" s="12">
        <f>Table16[[#This Row],[price]]*Table16[[#This Row],[quantity]]</f>
        <v>1200.32</v>
      </c>
    </row>
    <row r="182" spans="1:9" x14ac:dyDescent="0.3">
      <c r="A182" t="s">
        <v>2194</v>
      </c>
      <c r="B182" t="s">
        <v>37</v>
      </c>
      <c r="C182" t="s">
        <v>2008</v>
      </c>
      <c r="D182">
        <v>2</v>
      </c>
      <c r="E182" s="16">
        <v>10.46</v>
      </c>
      <c r="F182" s="1">
        <v>44726</v>
      </c>
      <c r="G182" t="s">
        <v>2004</v>
      </c>
      <c r="H182">
        <v>5</v>
      </c>
      <c r="I182" s="12">
        <f>Table16[[#This Row],[price]]*Table16[[#This Row],[quantity]]</f>
        <v>20.92</v>
      </c>
    </row>
    <row r="183" spans="1:9" x14ac:dyDescent="0.3">
      <c r="A183" t="s">
        <v>2200</v>
      </c>
      <c r="B183" t="s">
        <v>37</v>
      </c>
      <c r="C183" t="s">
        <v>2006</v>
      </c>
      <c r="D183">
        <v>3</v>
      </c>
      <c r="E183" s="16">
        <v>45.45</v>
      </c>
      <c r="F183" s="1">
        <v>44739</v>
      </c>
      <c r="G183" t="s">
        <v>2009</v>
      </c>
      <c r="H183">
        <v>4</v>
      </c>
      <c r="I183" s="12">
        <f>Table16[[#This Row],[price]]*Table16[[#This Row],[quantity]]</f>
        <v>136.35000000000002</v>
      </c>
    </row>
    <row r="184" spans="1:9" x14ac:dyDescent="0.3">
      <c r="A184" t="s">
        <v>2195</v>
      </c>
      <c r="B184" t="s">
        <v>37</v>
      </c>
      <c r="C184" t="s">
        <v>2011</v>
      </c>
      <c r="D184">
        <v>4</v>
      </c>
      <c r="E184" s="16">
        <v>162.63999999999999</v>
      </c>
      <c r="F184" s="1">
        <v>44903</v>
      </c>
      <c r="G184" t="s">
        <v>2004</v>
      </c>
      <c r="H184">
        <v>1</v>
      </c>
      <c r="I184" s="12">
        <f>Table16[[#This Row],[price]]*Table16[[#This Row],[quantity]]</f>
        <v>650.55999999999995</v>
      </c>
    </row>
    <row r="185" spans="1:9" x14ac:dyDescent="0.3">
      <c r="A185" t="s">
        <v>2204</v>
      </c>
      <c r="B185" t="s">
        <v>38</v>
      </c>
      <c r="C185" t="s">
        <v>2017</v>
      </c>
      <c r="D185">
        <v>5</v>
      </c>
      <c r="E185" s="16">
        <v>5250</v>
      </c>
      <c r="F185" s="1">
        <v>44263</v>
      </c>
      <c r="G185" t="s">
        <v>2020</v>
      </c>
      <c r="H185">
        <v>4</v>
      </c>
      <c r="I185" s="12">
        <f>Table16[[#This Row],[price]]*Table16[[#This Row],[quantity]]</f>
        <v>26250</v>
      </c>
    </row>
    <row r="186" spans="1:9" x14ac:dyDescent="0.3">
      <c r="A186" t="s">
        <v>2203</v>
      </c>
      <c r="B186" t="s">
        <v>38</v>
      </c>
      <c r="C186" t="s">
        <v>2017</v>
      </c>
      <c r="D186">
        <v>5</v>
      </c>
      <c r="E186" s="16">
        <v>5250</v>
      </c>
      <c r="F186" s="1">
        <v>44287</v>
      </c>
      <c r="G186" t="s">
        <v>2018</v>
      </c>
      <c r="H186">
        <v>2</v>
      </c>
      <c r="I186" s="12">
        <f>Table16[[#This Row],[price]]*Table16[[#This Row],[quantity]]</f>
        <v>26250</v>
      </c>
    </row>
    <row r="187" spans="1:9" x14ac:dyDescent="0.3">
      <c r="A187" t="s">
        <v>2201</v>
      </c>
      <c r="B187" t="s">
        <v>38</v>
      </c>
      <c r="C187" t="s">
        <v>2017</v>
      </c>
      <c r="D187">
        <v>1</v>
      </c>
      <c r="E187" s="16">
        <v>1050</v>
      </c>
      <c r="F187" s="1">
        <v>44566</v>
      </c>
      <c r="G187" t="s">
        <v>2004</v>
      </c>
      <c r="H187">
        <v>1</v>
      </c>
      <c r="I187" s="12">
        <f>Table16[[#This Row],[price]]*Table16[[#This Row],[quantity]]</f>
        <v>1050</v>
      </c>
    </row>
    <row r="188" spans="1:9" x14ac:dyDescent="0.3">
      <c r="A188" t="s">
        <v>2202</v>
      </c>
      <c r="B188" t="s">
        <v>38</v>
      </c>
      <c r="C188" t="s">
        <v>2011</v>
      </c>
      <c r="D188">
        <v>1</v>
      </c>
      <c r="E188" s="16">
        <v>40.659999999999997</v>
      </c>
      <c r="F188" s="1">
        <v>44941</v>
      </c>
      <c r="G188" t="s">
        <v>2027</v>
      </c>
      <c r="H188">
        <v>1</v>
      </c>
      <c r="I188" s="12">
        <f>Table16[[#This Row],[price]]*Table16[[#This Row],[quantity]]</f>
        <v>40.659999999999997</v>
      </c>
    </row>
    <row r="189" spans="1:9" x14ac:dyDescent="0.3">
      <c r="A189" t="s">
        <v>2207</v>
      </c>
      <c r="B189" t="s">
        <v>39</v>
      </c>
      <c r="C189" t="s">
        <v>2008</v>
      </c>
      <c r="D189">
        <v>3</v>
      </c>
      <c r="E189" s="16">
        <v>15.69</v>
      </c>
      <c r="F189" s="1">
        <v>44421</v>
      </c>
      <c r="G189" t="s">
        <v>2027</v>
      </c>
      <c r="H189">
        <v>2</v>
      </c>
      <c r="I189" s="12">
        <f>Table16[[#This Row],[price]]*Table16[[#This Row],[quantity]]</f>
        <v>47.07</v>
      </c>
    </row>
    <row r="190" spans="1:9" x14ac:dyDescent="0.3">
      <c r="A190" t="s">
        <v>2209</v>
      </c>
      <c r="B190" t="s">
        <v>39</v>
      </c>
      <c r="C190" t="s">
        <v>2008</v>
      </c>
      <c r="D190">
        <v>4</v>
      </c>
      <c r="E190" s="16">
        <v>20.92</v>
      </c>
      <c r="F190" s="1">
        <v>44449</v>
      </c>
      <c r="G190" t="s">
        <v>2004</v>
      </c>
      <c r="H190">
        <v>3</v>
      </c>
      <c r="I190" s="12">
        <f>Table16[[#This Row],[price]]*Table16[[#This Row],[quantity]]</f>
        <v>83.68</v>
      </c>
    </row>
    <row r="191" spans="1:9" x14ac:dyDescent="0.3">
      <c r="A191" t="s">
        <v>2208</v>
      </c>
      <c r="B191" t="s">
        <v>39</v>
      </c>
      <c r="C191" t="s">
        <v>2006</v>
      </c>
      <c r="D191">
        <v>4</v>
      </c>
      <c r="E191" s="16">
        <v>60.6</v>
      </c>
      <c r="F191" s="1">
        <v>44510</v>
      </c>
      <c r="G191" t="s">
        <v>2064</v>
      </c>
      <c r="H191">
        <v>1</v>
      </c>
      <c r="I191" s="12">
        <f>Table16[[#This Row],[price]]*Table16[[#This Row],[quantity]]</f>
        <v>242.4</v>
      </c>
    </row>
    <row r="192" spans="1:9" x14ac:dyDescent="0.3">
      <c r="A192" t="s">
        <v>2205</v>
      </c>
      <c r="B192" t="s">
        <v>39</v>
      </c>
      <c r="C192" t="s">
        <v>2015</v>
      </c>
      <c r="D192">
        <v>1</v>
      </c>
      <c r="E192" s="16">
        <v>600.16999999999996</v>
      </c>
      <c r="F192" s="1">
        <v>44837</v>
      </c>
      <c r="G192" t="s">
        <v>2027</v>
      </c>
      <c r="H192">
        <v>1</v>
      </c>
      <c r="I192" s="12">
        <f>Table16[[#This Row],[price]]*Table16[[#This Row],[quantity]]</f>
        <v>600.16999999999996</v>
      </c>
    </row>
    <row r="193" spans="1:9" x14ac:dyDescent="0.3">
      <c r="A193" t="s">
        <v>2206</v>
      </c>
      <c r="B193" t="s">
        <v>39</v>
      </c>
      <c r="C193" t="s">
        <v>2024</v>
      </c>
      <c r="D193">
        <v>3</v>
      </c>
      <c r="E193" s="16">
        <v>107.52</v>
      </c>
      <c r="F193" s="1">
        <v>44553</v>
      </c>
      <c r="G193" t="s">
        <v>2004</v>
      </c>
      <c r="H193">
        <v>5</v>
      </c>
      <c r="I193" s="12">
        <f>Table16[[#This Row],[price]]*Table16[[#This Row],[quantity]]</f>
        <v>322.56</v>
      </c>
    </row>
    <row r="194" spans="1:9" x14ac:dyDescent="0.3">
      <c r="A194" t="s">
        <v>2212</v>
      </c>
      <c r="B194" t="s">
        <v>40</v>
      </c>
      <c r="C194" t="s">
        <v>2017</v>
      </c>
      <c r="D194">
        <v>5</v>
      </c>
      <c r="E194" s="16">
        <v>5250</v>
      </c>
      <c r="F194" s="1">
        <v>44485</v>
      </c>
      <c r="G194" t="s">
        <v>2041</v>
      </c>
      <c r="H194">
        <v>5</v>
      </c>
      <c r="I194" s="12">
        <f>Table16[[#This Row],[price]]*Table16[[#This Row],[quantity]]</f>
        <v>26250</v>
      </c>
    </row>
    <row r="195" spans="1:9" x14ac:dyDescent="0.3">
      <c r="A195" t="s">
        <v>2211</v>
      </c>
      <c r="B195" t="s">
        <v>40</v>
      </c>
      <c r="C195" t="s">
        <v>2008</v>
      </c>
      <c r="D195">
        <v>4</v>
      </c>
      <c r="E195" s="16">
        <v>20.92</v>
      </c>
      <c r="F195" s="1">
        <v>44645</v>
      </c>
      <c r="G195" t="s">
        <v>2041</v>
      </c>
      <c r="H195">
        <v>2</v>
      </c>
      <c r="I195" s="12">
        <f>Table16[[#This Row],[price]]*Table16[[#This Row],[quantity]]</f>
        <v>83.68</v>
      </c>
    </row>
    <row r="196" spans="1:9" x14ac:dyDescent="0.3">
      <c r="A196" t="s">
        <v>2210</v>
      </c>
      <c r="B196" t="s">
        <v>40</v>
      </c>
      <c r="C196" t="s">
        <v>2001</v>
      </c>
      <c r="D196">
        <v>3</v>
      </c>
      <c r="E196" s="16">
        <v>900.24</v>
      </c>
      <c r="F196" s="1">
        <v>44957</v>
      </c>
      <c r="G196" t="s">
        <v>2020</v>
      </c>
      <c r="H196">
        <v>2</v>
      </c>
      <c r="I196" s="12">
        <f>Table16[[#This Row],[price]]*Table16[[#This Row],[quantity]]</f>
        <v>2700.7200000000003</v>
      </c>
    </row>
    <row r="197" spans="1:9" x14ac:dyDescent="0.3">
      <c r="A197" t="s">
        <v>2213</v>
      </c>
      <c r="B197" t="s">
        <v>40</v>
      </c>
      <c r="C197" t="s">
        <v>2057</v>
      </c>
      <c r="D197">
        <v>2</v>
      </c>
      <c r="E197" s="16">
        <v>23.46</v>
      </c>
      <c r="F197" s="1">
        <v>44973</v>
      </c>
      <c r="G197" t="s">
        <v>2058</v>
      </c>
      <c r="H197">
        <v>4</v>
      </c>
      <c r="I197" s="12">
        <f>Table16[[#This Row],[price]]*Table16[[#This Row],[quantity]]</f>
        <v>46.92</v>
      </c>
    </row>
    <row r="198" spans="1:9" x14ac:dyDescent="0.3">
      <c r="A198" t="s">
        <v>2216</v>
      </c>
      <c r="B198" t="s">
        <v>41</v>
      </c>
      <c r="C198" t="s">
        <v>2008</v>
      </c>
      <c r="D198">
        <v>3</v>
      </c>
      <c r="E198" s="16">
        <v>15.69</v>
      </c>
      <c r="F198" s="1">
        <v>44245</v>
      </c>
      <c r="G198" t="s">
        <v>2020</v>
      </c>
      <c r="H198">
        <v>2</v>
      </c>
      <c r="I198" s="12">
        <f>Table16[[#This Row],[price]]*Table16[[#This Row],[quantity]]</f>
        <v>47.07</v>
      </c>
    </row>
    <row r="199" spans="1:9" x14ac:dyDescent="0.3">
      <c r="A199" t="s">
        <v>2214</v>
      </c>
      <c r="B199" t="s">
        <v>41</v>
      </c>
      <c r="C199" t="s">
        <v>2011</v>
      </c>
      <c r="D199">
        <v>2</v>
      </c>
      <c r="E199" s="16">
        <v>81.319999999999993</v>
      </c>
      <c r="F199" s="1">
        <v>44272</v>
      </c>
      <c r="G199" t="s">
        <v>2058</v>
      </c>
      <c r="H199">
        <v>5</v>
      </c>
      <c r="I199" s="12">
        <f>Table16[[#This Row],[price]]*Table16[[#This Row],[quantity]]</f>
        <v>162.63999999999999</v>
      </c>
    </row>
    <row r="200" spans="1:9" x14ac:dyDescent="0.3">
      <c r="A200" t="s">
        <v>2215</v>
      </c>
      <c r="B200" t="s">
        <v>41</v>
      </c>
      <c r="C200" t="s">
        <v>2008</v>
      </c>
      <c r="D200">
        <v>3</v>
      </c>
      <c r="E200" s="16">
        <v>15.69</v>
      </c>
      <c r="F200" s="1">
        <v>44289</v>
      </c>
      <c r="G200" t="s">
        <v>2027</v>
      </c>
      <c r="H200">
        <v>4</v>
      </c>
      <c r="I200" s="12">
        <f>Table16[[#This Row],[price]]*Table16[[#This Row],[quantity]]</f>
        <v>47.07</v>
      </c>
    </row>
    <row r="201" spans="1:9" x14ac:dyDescent="0.3">
      <c r="A201" t="s">
        <v>2217</v>
      </c>
      <c r="B201" t="s">
        <v>41</v>
      </c>
      <c r="C201" t="s">
        <v>2057</v>
      </c>
      <c r="D201">
        <v>5</v>
      </c>
      <c r="E201" s="16">
        <v>58.65</v>
      </c>
      <c r="F201" s="1">
        <v>44314</v>
      </c>
      <c r="G201" t="s">
        <v>2027</v>
      </c>
      <c r="H201">
        <v>2</v>
      </c>
      <c r="I201" s="12">
        <f>Table16[[#This Row],[price]]*Table16[[#This Row],[quantity]]</f>
        <v>293.25</v>
      </c>
    </row>
    <row r="202" spans="1:9" x14ac:dyDescent="0.3">
      <c r="A202" t="s">
        <v>2219</v>
      </c>
      <c r="B202" t="s">
        <v>41</v>
      </c>
      <c r="C202" t="s">
        <v>2001</v>
      </c>
      <c r="D202">
        <v>2</v>
      </c>
      <c r="E202" s="16">
        <v>600.16</v>
      </c>
      <c r="F202" s="1">
        <v>44451</v>
      </c>
      <c r="G202" t="s">
        <v>2027</v>
      </c>
      <c r="H202">
        <v>4</v>
      </c>
      <c r="I202" s="12">
        <f>Table16[[#This Row],[price]]*Table16[[#This Row],[quantity]]</f>
        <v>1200.32</v>
      </c>
    </row>
    <row r="203" spans="1:9" x14ac:dyDescent="0.3">
      <c r="A203" t="s">
        <v>2218</v>
      </c>
      <c r="B203" t="s">
        <v>41</v>
      </c>
      <c r="C203" t="s">
        <v>2057</v>
      </c>
      <c r="D203">
        <v>5</v>
      </c>
      <c r="E203" s="16">
        <v>58.65</v>
      </c>
      <c r="F203" s="1">
        <v>44455</v>
      </c>
      <c r="G203" t="s">
        <v>2064</v>
      </c>
      <c r="H203">
        <v>1</v>
      </c>
      <c r="I203" s="12">
        <f>Table16[[#This Row],[price]]*Table16[[#This Row],[quantity]]</f>
        <v>293.25</v>
      </c>
    </row>
    <row r="204" spans="1:9" x14ac:dyDescent="0.3">
      <c r="A204" t="s">
        <v>2220</v>
      </c>
      <c r="B204" t="s">
        <v>42</v>
      </c>
      <c r="C204" t="s">
        <v>2008</v>
      </c>
      <c r="D204">
        <v>5</v>
      </c>
      <c r="E204" s="16">
        <v>26.15</v>
      </c>
      <c r="F204" s="1">
        <v>44871</v>
      </c>
      <c r="G204" t="s">
        <v>2002</v>
      </c>
      <c r="H204">
        <v>3</v>
      </c>
      <c r="I204" s="12">
        <f>Table16[[#This Row],[price]]*Table16[[#This Row],[quantity]]</f>
        <v>130.75</v>
      </c>
    </row>
    <row r="205" spans="1:9" x14ac:dyDescent="0.3">
      <c r="A205" t="s">
        <v>2223</v>
      </c>
      <c r="B205" t="s">
        <v>43</v>
      </c>
      <c r="C205" t="s">
        <v>2024</v>
      </c>
      <c r="D205">
        <v>3</v>
      </c>
      <c r="E205" s="16">
        <v>107.52</v>
      </c>
      <c r="F205" s="1">
        <v>44475</v>
      </c>
      <c r="G205" t="s">
        <v>2004</v>
      </c>
      <c r="H205">
        <v>1</v>
      </c>
      <c r="I205" s="12">
        <f>Table16[[#This Row],[price]]*Table16[[#This Row],[quantity]]</f>
        <v>322.56</v>
      </c>
    </row>
    <row r="206" spans="1:9" x14ac:dyDescent="0.3">
      <c r="A206" t="s">
        <v>2221</v>
      </c>
      <c r="B206" t="s">
        <v>43</v>
      </c>
      <c r="C206" t="s">
        <v>2001</v>
      </c>
      <c r="D206">
        <v>5</v>
      </c>
      <c r="E206" s="16">
        <v>1500.4</v>
      </c>
      <c r="F206" s="1">
        <v>44488</v>
      </c>
      <c r="G206" t="s">
        <v>2004</v>
      </c>
      <c r="H206">
        <v>4</v>
      </c>
      <c r="I206" s="12">
        <f>Table16[[#This Row],[price]]*Table16[[#This Row],[quantity]]</f>
        <v>7502</v>
      </c>
    </row>
    <row r="207" spans="1:9" x14ac:dyDescent="0.3">
      <c r="A207" t="s">
        <v>2222</v>
      </c>
      <c r="B207" t="s">
        <v>43</v>
      </c>
      <c r="C207" t="s">
        <v>2001</v>
      </c>
      <c r="D207">
        <v>2</v>
      </c>
      <c r="E207" s="16">
        <v>600.16</v>
      </c>
      <c r="F207" s="1">
        <v>44635</v>
      </c>
      <c r="G207" t="s">
        <v>2002</v>
      </c>
      <c r="H207">
        <v>2</v>
      </c>
      <c r="I207" s="12">
        <f>Table16[[#This Row],[price]]*Table16[[#This Row],[quantity]]</f>
        <v>1200.32</v>
      </c>
    </row>
    <row r="208" spans="1:9" x14ac:dyDescent="0.3">
      <c r="A208" t="s">
        <v>2226</v>
      </c>
      <c r="B208" t="s">
        <v>43</v>
      </c>
      <c r="C208" t="s">
        <v>2017</v>
      </c>
      <c r="D208">
        <v>2</v>
      </c>
      <c r="E208" s="16">
        <v>2100</v>
      </c>
      <c r="F208" s="1">
        <v>44645</v>
      </c>
      <c r="G208" t="s">
        <v>2020</v>
      </c>
      <c r="H208">
        <v>1</v>
      </c>
      <c r="I208" s="12">
        <f>Table16[[#This Row],[price]]*Table16[[#This Row],[quantity]]</f>
        <v>4200</v>
      </c>
    </row>
    <row r="209" spans="1:9" x14ac:dyDescent="0.3">
      <c r="A209" t="s">
        <v>2225</v>
      </c>
      <c r="B209" t="s">
        <v>43</v>
      </c>
      <c r="C209" t="s">
        <v>2001</v>
      </c>
      <c r="D209">
        <v>3</v>
      </c>
      <c r="E209" s="16">
        <v>900.24</v>
      </c>
      <c r="F209" s="1">
        <v>44812</v>
      </c>
      <c r="G209" t="s">
        <v>2009</v>
      </c>
      <c r="H209">
        <v>1</v>
      </c>
      <c r="I209" s="12">
        <f>Table16[[#This Row],[price]]*Table16[[#This Row],[quantity]]</f>
        <v>2700.7200000000003</v>
      </c>
    </row>
    <row r="210" spans="1:9" x14ac:dyDescent="0.3">
      <c r="A210" t="s">
        <v>2224</v>
      </c>
      <c r="B210" t="s">
        <v>43</v>
      </c>
      <c r="C210" t="s">
        <v>2011</v>
      </c>
      <c r="D210">
        <v>5</v>
      </c>
      <c r="E210" s="16">
        <v>203.3</v>
      </c>
      <c r="F210" s="1">
        <v>44873</v>
      </c>
      <c r="G210" t="s">
        <v>2004</v>
      </c>
      <c r="H210">
        <v>4</v>
      </c>
      <c r="I210" s="12">
        <f>Table16[[#This Row],[price]]*Table16[[#This Row],[quantity]]</f>
        <v>1016.5</v>
      </c>
    </row>
    <row r="211" spans="1:9" x14ac:dyDescent="0.3">
      <c r="A211" t="s">
        <v>2233</v>
      </c>
      <c r="B211" t="s">
        <v>44</v>
      </c>
      <c r="C211" t="s">
        <v>2001</v>
      </c>
      <c r="D211">
        <v>2</v>
      </c>
      <c r="E211" s="16">
        <v>600.16</v>
      </c>
      <c r="F211" s="1">
        <v>44207</v>
      </c>
      <c r="G211" t="s">
        <v>2064</v>
      </c>
      <c r="H211">
        <v>2</v>
      </c>
      <c r="I211" s="12">
        <f>Table16[[#This Row],[price]]*Table16[[#This Row],[quantity]]</f>
        <v>1200.32</v>
      </c>
    </row>
    <row r="212" spans="1:9" x14ac:dyDescent="0.3">
      <c r="A212" t="s">
        <v>2231</v>
      </c>
      <c r="B212" t="s">
        <v>44</v>
      </c>
      <c r="C212" t="s">
        <v>2024</v>
      </c>
      <c r="D212">
        <v>1</v>
      </c>
      <c r="E212" s="16">
        <v>35.840000000000003</v>
      </c>
      <c r="F212" s="1">
        <v>44222</v>
      </c>
      <c r="G212" t="s">
        <v>2027</v>
      </c>
      <c r="H212">
        <v>1</v>
      </c>
      <c r="I212" s="12">
        <f>Table16[[#This Row],[price]]*Table16[[#This Row],[quantity]]</f>
        <v>35.840000000000003</v>
      </c>
    </row>
    <row r="213" spans="1:9" x14ac:dyDescent="0.3">
      <c r="A213" t="s">
        <v>2229</v>
      </c>
      <c r="B213" t="s">
        <v>44</v>
      </c>
      <c r="C213" t="s">
        <v>2008</v>
      </c>
      <c r="D213">
        <v>3</v>
      </c>
      <c r="E213" s="16">
        <v>15.69</v>
      </c>
      <c r="F213" s="1">
        <v>44243</v>
      </c>
      <c r="G213" t="s">
        <v>2002</v>
      </c>
      <c r="H213">
        <v>5</v>
      </c>
      <c r="I213" s="12">
        <f>Table16[[#This Row],[price]]*Table16[[#This Row],[quantity]]</f>
        <v>47.07</v>
      </c>
    </row>
    <row r="214" spans="1:9" x14ac:dyDescent="0.3">
      <c r="A214" t="s">
        <v>2234</v>
      </c>
      <c r="B214" t="s">
        <v>44</v>
      </c>
      <c r="C214" t="s">
        <v>2001</v>
      </c>
      <c r="D214">
        <v>2</v>
      </c>
      <c r="E214" s="16">
        <v>600.16</v>
      </c>
      <c r="F214" s="1">
        <v>44298</v>
      </c>
      <c r="G214" t="s">
        <v>2004</v>
      </c>
      <c r="H214">
        <v>4</v>
      </c>
      <c r="I214" s="12">
        <f>Table16[[#This Row],[price]]*Table16[[#This Row],[quantity]]</f>
        <v>1200.32</v>
      </c>
    </row>
    <row r="215" spans="1:9" x14ac:dyDescent="0.3">
      <c r="A215" t="s">
        <v>2227</v>
      </c>
      <c r="B215" t="s">
        <v>44</v>
      </c>
      <c r="C215" t="s">
        <v>2008</v>
      </c>
      <c r="D215">
        <v>1</v>
      </c>
      <c r="E215" s="16">
        <v>5.23</v>
      </c>
      <c r="F215" s="1">
        <v>44518</v>
      </c>
      <c r="G215" t="s">
        <v>2002</v>
      </c>
      <c r="H215">
        <v>2</v>
      </c>
      <c r="I215" s="12">
        <f>Table16[[#This Row],[price]]*Table16[[#This Row],[quantity]]</f>
        <v>5.23</v>
      </c>
    </row>
    <row r="216" spans="1:9" x14ac:dyDescent="0.3">
      <c r="A216" t="s">
        <v>2232</v>
      </c>
      <c r="B216" t="s">
        <v>44</v>
      </c>
      <c r="C216" t="s">
        <v>2011</v>
      </c>
      <c r="D216">
        <v>5</v>
      </c>
      <c r="E216" s="16">
        <v>203.3</v>
      </c>
      <c r="F216" s="1">
        <v>44574</v>
      </c>
      <c r="G216" t="s">
        <v>2064</v>
      </c>
      <c r="H216">
        <v>5</v>
      </c>
      <c r="I216" s="12">
        <f>Table16[[#This Row],[price]]*Table16[[#This Row],[quantity]]</f>
        <v>1016.5</v>
      </c>
    </row>
    <row r="217" spans="1:9" x14ac:dyDescent="0.3">
      <c r="A217" t="s">
        <v>2230</v>
      </c>
      <c r="B217" t="s">
        <v>44</v>
      </c>
      <c r="C217" t="s">
        <v>2024</v>
      </c>
      <c r="D217">
        <v>5</v>
      </c>
      <c r="E217" s="16">
        <v>179.2</v>
      </c>
      <c r="F217" s="1">
        <v>44603</v>
      </c>
      <c r="G217" t="s">
        <v>2027</v>
      </c>
      <c r="H217">
        <v>2</v>
      </c>
      <c r="I217" s="12">
        <f>Table16[[#This Row],[price]]*Table16[[#This Row],[quantity]]</f>
        <v>896</v>
      </c>
    </row>
    <row r="218" spans="1:9" x14ac:dyDescent="0.3">
      <c r="A218" t="s">
        <v>2228</v>
      </c>
      <c r="B218" t="s">
        <v>44</v>
      </c>
      <c r="C218" t="s">
        <v>2008</v>
      </c>
      <c r="D218">
        <v>2</v>
      </c>
      <c r="E218" s="16">
        <v>10.46</v>
      </c>
      <c r="F218" s="1">
        <v>44919</v>
      </c>
      <c r="G218" t="s">
        <v>2004</v>
      </c>
      <c r="H218">
        <v>4</v>
      </c>
      <c r="I218" s="12">
        <f>Table16[[#This Row],[price]]*Table16[[#This Row],[quantity]]</f>
        <v>20.92</v>
      </c>
    </row>
    <row r="219" spans="1:9" x14ac:dyDescent="0.3">
      <c r="A219" t="s">
        <v>2242</v>
      </c>
      <c r="B219" t="s">
        <v>45</v>
      </c>
      <c r="C219" t="s">
        <v>2011</v>
      </c>
      <c r="D219">
        <v>3</v>
      </c>
      <c r="E219" s="16">
        <v>121.98</v>
      </c>
      <c r="F219" s="1">
        <v>44308</v>
      </c>
      <c r="G219" t="s">
        <v>2058</v>
      </c>
      <c r="H219">
        <v>5</v>
      </c>
      <c r="I219" s="12">
        <f>Table16[[#This Row],[price]]*Table16[[#This Row],[quantity]]</f>
        <v>365.94</v>
      </c>
    </row>
    <row r="220" spans="1:9" x14ac:dyDescent="0.3">
      <c r="A220" t="s">
        <v>2240</v>
      </c>
      <c r="B220" t="s">
        <v>45</v>
      </c>
      <c r="C220" t="s">
        <v>2001</v>
      </c>
      <c r="D220">
        <v>5</v>
      </c>
      <c r="E220" s="16">
        <v>1500.4</v>
      </c>
      <c r="F220" s="1">
        <v>44613</v>
      </c>
      <c r="G220" t="s">
        <v>2020</v>
      </c>
      <c r="H220">
        <v>5</v>
      </c>
      <c r="I220" s="12">
        <f>Table16[[#This Row],[price]]*Table16[[#This Row],[quantity]]</f>
        <v>7502</v>
      </c>
    </row>
    <row r="221" spans="1:9" x14ac:dyDescent="0.3">
      <c r="A221" t="s">
        <v>2237</v>
      </c>
      <c r="B221" t="s">
        <v>45</v>
      </c>
      <c r="C221" t="s">
        <v>2006</v>
      </c>
      <c r="D221">
        <v>2</v>
      </c>
      <c r="E221" s="16">
        <v>30.3</v>
      </c>
      <c r="F221" s="1">
        <v>44707</v>
      </c>
      <c r="G221" t="s">
        <v>2027</v>
      </c>
      <c r="H221">
        <v>1</v>
      </c>
      <c r="I221" s="12">
        <f>Table16[[#This Row],[price]]*Table16[[#This Row],[quantity]]</f>
        <v>60.6</v>
      </c>
    </row>
    <row r="222" spans="1:9" x14ac:dyDescent="0.3">
      <c r="A222" t="s">
        <v>2236</v>
      </c>
      <c r="B222" t="s">
        <v>45</v>
      </c>
      <c r="C222" t="s">
        <v>2057</v>
      </c>
      <c r="D222">
        <v>1</v>
      </c>
      <c r="E222" s="16">
        <v>11.73</v>
      </c>
      <c r="F222" s="1">
        <v>44776</v>
      </c>
      <c r="G222" t="s">
        <v>2064</v>
      </c>
      <c r="H222">
        <v>5</v>
      </c>
      <c r="I222" s="12">
        <f>Table16[[#This Row],[price]]*Table16[[#This Row],[quantity]]</f>
        <v>11.73</v>
      </c>
    </row>
    <row r="223" spans="1:9" x14ac:dyDescent="0.3">
      <c r="A223" t="s">
        <v>2235</v>
      </c>
      <c r="B223" t="s">
        <v>45</v>
      </c>
      <c r="C223" t="s">
        <v>2001</v>
      </c>
      <c r="D223">
        <v>5</v>
      </c>
      <c r="E223" s="16">
        <v>1500.4</v>
      </c>
      <c r="F223" s="1">
        <v>44788</v>
      </c>
      <c r="G223" t="s">
        <v>2058</v>
      </c>
      <c r="H223">
        <v>3</v>
      </c>
      <c r="I223" s="12">
        <f>Table16[[#This Row],[price]]*Table16[[#This Row],[quantity]]</f>
        <v>7502</v>
      </c>
    </row>
    <row r="224" spans="1:9" x14ac:dyDescent="0.3">
      <c r="A224" t="s">
        <v>2239</v>
      </c>
      <c r="B224" t="s">
        <v>45</v>
      </c>
      <c r="C224" t="s">
        <v>2001</v>
      </c>
      <c r="D224">
        <v>5</v>
      </c>
      <c r="E224" s="16">
        <v>1500.4</v>
      </c>
      <c r="F224" s="1">
        <v>44818</v>
      </c>
      <c r="G224" t="s">
        <v>2020</v>
      </c>
      <c r="H224">
        <v>1</v>
      </c>
      <c r="I224" s="12">
        <f>Table16[[#This Row],[price]]*Table16[[#This Row],[quantity]]</f>
        <v>7502</v>
      </c>
    </row>
    <row r="225" spans="1:9" x14ac:dyDescent="0.3">
      <c r="A225" t="s">
        <v>2238</v>
      </c>
      <c r="B225" t="s">
        <v>45</v>
      </c>
      <c r="C225" t="s">
        <v>2001</v>
      </c>
      <c r="D225">
        <v>2</v>
      </c>
      <c r="E225" s="16">
        <v>600.16</v>
      </c>
      <c r="F225" s="1">
        <v>44840</v>
      </c>
      <c r="G225" t="s">
        <v>2041</v>
      </c>
      <c r="H225">
        <v>2</v>
      </c>
      <c r="I225" s="12">
        <f>Table16[[#This Row],[price]]*Table16[[#This Row],[quantity]]</f>
        <v>1200.32</v>
      </c>
    </row>
    <row r="226" spans="1:9" x14ac:dyDescent="0.3">
      <c r="A226" t="s">
        <v>2241</v>
      </c>
      <c r="B226" t="s">
        <v>45</v>
      </c>
      <c r="C226" t="s">
        <v>2011</v>
      </c>
      <c r="D226">
        <v>3</v>
      </c>
      <c r="E226" s="16">
        <v>121.98</v>
      </c>
      <c r="F226" s="1">
        <v>44945</v>
      </c>
      <c r="G226" t="s">
        <v>2064</v>
      </c>
      <c r="H226">
        <v>4</v>
      </c>
      <c r="I226" s="12">
        <f>Table16[[#This Row],[price]]*Table16[[#This Row],[quantity]]</f>
        <v>365.94</v>
      </c>
    </row>
    <row r="227" spans="1:9" x14ac:dyDescent="0.3">
      <c r="A227" t="s">
        <v>2243</v>
      </c>
      <c r="B227" t="s">
        <v>45</v>
      </c>
      <c r="C227" t="s">
        <v>2001</v>
      </c>
      <c r="D227">
        <v>5</v>
      </c>
      <c r="E227" s="16">
        <v>1500.4</v>
      </c>
      <c r="F227" s="1">
        <v>44971</v>
      </c>
      <c r="G227" t="s">
        <v>2004</v>
      </c>
      <c r="H227">
        <v>3</v>
      </c>
      <c r="I227" s="12">
        <f>Table16[[#This Row],[price]]*Table16[[#This Row],[quantity]]</f>
        <v>7502</v>
      </c>
    </row>
    <row r="228" spans="1:9" x14ac:dyDescent="0.3">
      <c r="A228" t="s">
        <v>2245</v>
      </c>
      <c r="B228" t="s">
        <v>46</v>
      </c>
      <c r="C228" t="s">
        <v>2006</v>
      </c>
      <c r="D228">
        <v>2</v>
      </c>
      <c r="E228" s="16">
        <v>30.3</v>
      </c>
      <c r="F228" s="1">
        <v>44271</v>
      </c>
      <c r="G228" t="s">
        <v>2009</v>
      </c>
      <c r="H228">
        <v>4</v>
      </c>
      <c r="I228" s="12">
        <f>Table16[[#This Row],[price]]*Table16[[#This Row],[quantity]]</f>
        <v>60.6</v>
      </c>
    </row>
    <row r="229" spans="1:9" x14ac:dyDescent="0.3">
      <c r="A229" t="s">
        <v>2246</v>
      </c>
      <c r="B229" t="s">
        <v>46</v>
      </c>
      <c r="C229" t="s">
        <v>2015</v>
      </c>
      <c r="D229">
        <v>1</v>
      </c>
      <c r="E229" s="16">
        <v>600.16999999999996</v>
      </c>
      <c r="F229" s="1">
        <v>44677</v>
      </c>
      <c r="G229" t="s">
        <v>2027</v>
      </c>
      <c r="H229">
        <v>1</v>
      </c>
      <c r="I229" s="12">
        <f>Table16[[#This Row],[price]]*Table16[[#This Row],[quantity]]</f>
        <v>600.16999999999996</v>
      </c>
    </row>
    <row r="230" spans="1:9" x14ac:dyDescent="0.3">
      <c r="A230" t="s">
        <v>2244</v>
      </c>
      <c r="B230" t="s">
        <v>46</v>
      </c>
      <c r="C230" t="s">
        <v>2001</v>
      </c>
      <c r="D230">
        <v>5</v>
      </c>
      <c r="E230" s="16">
        <v>1500.4</v>
      </c>
      <c r="F230" s="1">
        <v>44938</v>
      </c>
      <c r="G230" t="s">
        <v>2002</v>
      </c>
      <c r="H230">
        <v>4</v>
      </c>
      <c r="I230" s="12">
        <f>Table16[[#This Row],[price]]*Table16[[#This Row],[quantity]]</f>
        <v>7502</v>
      </c>
    </row>
    <row r="231" spans="1:9" x14ac:dyDescent="0.3">
      <c r="A231" t="s">
        <v>2248</v>
      </c>
      <c r="B231" t="s">
        <v>47</v>
      </c>
      <c r="C231" t="s">
        <v>2017</v>
      </c>
      <c r="D231">
        <v>5</v>
      </c>
      <c r="E231" s="16">
        <v>5250</v>
      </c>
      <c r="F231" s="1">
        <v>44209</v>
      </c>
      <c r="G231" t="s">
        <v>2020</v>
      </c>
      <c r="H231">
        <v>3</v>
      </c>
      <c r="I231" s="12">
        <f>Table16[[#This Row],[price]]*Table16[[#This Row],[quantity]]</f>
        <v>26250</v>
      </c>
    </row>
    <row r="232" spans="1:9" x14ac:dyDescent="0.3">
      <c r="A232" t="s">
        <v>2247</v>
      </c>
      <c r="B232" t="s">
        <v>47</v>
      </c>
      <c r="C232" t="s">
        <v>2001</v>
      </c>
      <c r="D232">
        <v>2</v>
      </c>
      <c r="E232" s="16">
        <v>600.16</v>
      </c>
      <c r="F232" s="1">
        <v>44260</v>
      </c>
      <c r="G232" t="s">
        <v>2004</v>
      </c>
      <c r="H232">
        <v>1</v>
      </c>
      <c r="I232" s="12">
        <f>Table16[[#This Row],[price]]*Table16[[#This Row],[quantity]]</f>
        <v>1200.32</v>
      </c>
    </row>
    <row r="233" spans="1:9" x14ac:dyDescent="0.3">
      <c r="A233" t="s">
        <v>2249</v>
      </c>
      <c r="B233" t="s">
        <v>47</v>
      </c>
      <c r="C233" t="s">
        <v>2011</v>
      </c>
      <c r="D233">
        <v>5</v>
      </c>
      <c r="E233" s="16">
        <v>203.3</v>
      </c>
      <c r="F233" s="1">
        <v>44970</v>
      </c>
      <c r="G233" t="s">
        <v>2020</v>
      </c>
      <c r="H233">
        <v>4</v>
      </c>
      <c r="I233" s="12">
        <f>Table16[[#This Row],[price]]*Table16[[#This Row],[quantity]]</f>
        <v>1016.5</v>
      </c>
    </row>
    <row r="234" spans="1:9" x14ac:dyDescent="0.3">
      <c r="A234" t="s">
        <v>2254</v>
      </c>
      <c r="B234" t="s">
        <v>48</v>
      </c>
      <c r="C234" t="s">
        <v>2015</v>
      </c>
      <c r="D234">
        <v>1</v>
      </c>
      <c r="E234" s="16">
        <v>600.16999999999996</v>
      </c>
      <c r="F234" s="1">
        <v>44321</v>
      </c>
      <c r="G234" t="s">
        <v>2064</v>
      </c>
      <c r="H234">
        <v>1</v>
      </c>
      <c r="I234" s="12">
        <f>Table16[[#This Row],[price]]*Table16[[#This Row],[quantity]]</f>
        <v>600.16999999999996</v>
      </c>
    </row>
    <row r="235" spans="1:9" x14ac:dyDescent="0.3">
      <c r="A235" t="s">
        <v>2252</v>
      </c>
      <c r="B235" t="s">
        <v>48</v>
      </c>
      <c r="C235" t="s">
        <v>2001</v>
      </c>
      <c r="D235">
        <v>1</v>
      </c>
      <c r="E235" s="16">
        <v>300.08</v>
      </c>
      <c r="F235" s="1">
        <v>44387</v>
      </c>
      <c r="G235" t="s">
        <v>2004</v>
      </c>
      <c r="H235">
        <v>5</v>
      </c>
      <c r="I235" s="12">
        <f>Table16[[#This Row],[price]]*Table16[[#This Row],[quantity]]</f>
        <v>300.08</v>
      </c>
    </row>
    <row r="236" spans="1:9" x14ac:dyDescent="0.3">
      <c r="A236" t="s">
        <v>2250</v>
      </c>
      <c r="B236" t="s">
        <v>48</v>
      </c>
      <c r="C236" t="s">
        <v>2015</v>
      </c>
      <c r="D236">
        <v>4</v>
      </c>
      <c r="E236" s="16">
        <v>2400.6799999999998</v>
      </c>
      <c r="F236" s="1">
        <v>44462</v>
      </c>
      <c r="G236" t="s">
        <v>2012</v>
      </c>
      <c r="H236">
        <v>3</v>
      </c>
      <c r="I236" s="12">
        <f>Table16[[#This Row],[price]]*Table16[[#This Row],[quantity]]</f>
        <v>9602.7199999999993</v>
      </c>
    </row>
    <row r="237" spans="1:9" x14ac:dyDescent="0.3">
      <c r="A237" t="s">
        <v>2251</v>
      </c>
      <c r="B237" t="s">
        <v>48</v>
      </c>
      <c r="C237" t="s">
        <v>2015</v>
      </c>
      <c r="D237">
        <v>5</v>
      </c>
      <c r="E237" s="16">
        <v>3000.85</v>
      </c>
      <c r="F237" s="1">
        <v>44658</v>
      </c>
      <c r="G237" t="s">
        <v>2004</v>
      </c>
      <c r="H237">
        <v>4</v>
      </c>
      <c r="I237" s="12">
        <f>Table16[[#This Row],[price]]*Table16[[#This Row],[quantity]]</f>
        <v>15004.25</v>
      </c>
    </row>
    <row r="238" spans="1:9" x14ac:dyDescent="0.3">
      <c r="A238" t="s">
        <v>2253</v>
      </c>
      <c r="B238" t="s">
        <v>48</v>
      </c>
      <c r="C238" t="s">
        <v>2008</v>
      </c>
      <c r="D238">
        <v>3</v>
      </c>
      <c r="E238" s="16">
        <v>15.69</v>
      </c>
      <c r="F238" s="1">
        <v>44800</v>
      </c>
      <c r="G238" t="s">
        <v>2027</v>
      </c>
      <c r="H238">
        <v>1</v>
      </c>
      <c r="I238" s="12">
        <f>Table16[[#This Row],[price]]*Table16[[#This Row],[quantity]]</f>
        <v>47.07</v>
      </c>
    </row>
    <row r="239" spans="1:9" x14ac:dyDescent="0.3">
      <c r="A239" t="s">
        <v>2258</v>
      </c>
      <c r="B239" t="s">
        <v>49</v>
      </c>
      <c r="C239" t="s">
        <v>2057</v>
      </c>
      <c r="D239">
        <v>2</v>
      </c>
      <c r="E239" s="16">
        <v>23.46</v>
      </c>
      <c r="F239" s="1">
        <v>44406</v>
      </c>
      <c r="G239" t="s">
        <v>2064</v>
      </c>
      <c r="H239">
        <v>2</v>
      </c>
      <c r="I239" s="12">
        <f>Table16[[#This Row],[price]]*Table16[[#This Row],[quantity]]</f>
        <v>46.92</v>
      </c>
    </row>
    <row r="240" spans="1:9" x14ac:dyDescent="0.3">
      <c r="A240" t="s">
        <v>2256</v>
      </c>
      <c r="B240" t="s">
        <v>49</v>
      </c>
      <c r="C240" t="s">
        <v>2001</v>
      </c>
      <c r="D240">
        <v>1</v>
      </c>
      <c r="E240" s="16">
        <v>300.08</v>
      </c>
      <c r="F240" s="1">
        <v>44514</v>
      </c>
      <c r="G240" t="s">
        <v>2041</v>
      </c>
      <c r="H240">
        <v>5</v>
      </c>
      <c r="I240" s="12">
        <f>Table16[[#This Row],[price]]*Table16[[#This Row],[quantity]]</f>
        <v>300.08</v>
      </c>
    </row>
    <row r="241" spans="1:9" x14ac:dyDescent="0.3">
      <c r="A241" t="s">
        <v>2260</v>
      </c>
      <c r="B241" t="s">
        <v>49</v>
      </c>
      <c r="C241" t="s">
        <v>2011</v>
      </c>
      <c r="D241">
        <v>1</v>
      </c>
      <c r="E241" s="16">
        <v>40.659999999999997</v>
      </c>
      <c r="F241" s="1">
        <v>44700</v>
      </c>
      <c r="G241" t="s">
        <v>2027</v>
      </c>
      <c r="H241">
        <v>3</v>
      </c>
      <c r="I241" s="12">
        <f>Table16[[#This Row],[price]]*Table16[[#This Row],[quantity]]</f>
        <v>40.659999999999997</v>
      </c>
    </row>
    <row r="242" spans="1:9" x14ac:dyDescent="0.3">
      <c r="A242" t="s">
        <v>2259</v>
      </c>
      <c r="B242" t="s">
        <v>49</v>
      </c>
      <c r="C242" t="s">
        <v>2001</v>
      </c>
      <c r="D242">
        <v>2</v>
      </c>
      <c r="E242" s="16">
        <v>600.16</v>
      </c>
      <c r="F242" s="1">
        <v>44824</v>
      </c>
      <c r="G242" t="s">
        <v>2002</v>
      </c>
      <c r="H242">
        <v>4</v>
      </c>
      <c r="I242" s="12">
        <f>Table16[[#This Row],[price]]*Table16[[#This Row],[quantity]]</f>
        <v>1200.32</v>
      </c>
    </row>
    <row r="243" spans="1:9" x14ac:dyDescent="0.3">
      <c r="A243" t="s">
        <v>2255</v>
      </c>
      <c r="B243" t="s">
        <v>49</v>
      </c>
      <c r="C243" t="s">
        <v>2008</v>
      </c>
      <c r="D243">
        <v>3</v>
      </c>
      <c r="E243" s="16">
        <v>15.69</v>
      </c>
      <c r="F243" s="1">
        <v>44953</v>
      </c>
      <c r="G243" t="s">
        <v>2012</v>
      </c>
      <c r="H243">
        <v>2</v>
      </c>
      <c r="I243" s="12">
        <f>Table16[[#This Row],[price]]*Table16[[#This Row],[quantity]]</f>
        <v>47.07</v>
      </c>
    </row>
    <row r="244" spans="1:9" x14ac:dyDescent="0.3">
      <c r="A244" t="s">
        <v>2257</v>
      </c>
      <c r="B244" t="s">
        <v>49</v>
      </c>
      <c r="C244" t="s">
        <v>2001</v>
      </c>
      <c r="D244">
        <v>1</v>
      </c>
      <c r="E244" s="16">
        <v>300.08</v>
      </c>
      <c r="F244" s="1">
        <v>44989</v>
      </c>
      <c r="G244" t="s">
        <v>2020</v>
      </c>
      <c r="H244">
        <v>5</v>
      </c>
      <c r="I244" s="12">
        <f>Table16[[#This Row],[price]]*Table16[[#This Row],[quantity]]</f>
        <v>300.08</v>
      </c>
    </row>
    <row r="245" spans="1:9" x14ac:dyDescent="0.3">
      <c r="A245" t="s">
        <v>2264</v>
      </c>
      <c r="B245" t="s">
        <v>50</v>
      </c>
      <c r="C245" t="s">
        <v>2006</v>
      </c>
      <c r="D245">
        <v>2</v>
      </c>
      <c r="E245" s="16">
        <v>30.3</v>
      </c>
      <c r="F245" s="1">
        <v>44478</v>
      </c>
      <c r="G245" t="s">
        <v>2027</v>
      </c>
      <c r="H245">
        <v>3</v>
      </c>
      <c r="I245" s="12">
        <f>Table16[[#This Row],[price]]*Table16[[#This Row],[quantity]]</f>
        <v>60.6</v>
      </c>
    </row>
    <row r="246" spans="1:9" x14ac:dyDescent="0.3">
      <c r="A246" t="s">
        <v>2261</v>
      </c>
      <c r="B246" t="s">
        <v>50</v>
      </c>
      <c r="C246" t="s">
        <v>2024</v>
      </c>
      <c r="D246">
        <v>2</v>
      </c>
      <c r="E246" s="16">
        <v>71.680000000000007</v>
      </c>
      <c r="F246" s="1">
        <v>44594</v>
      </c>
      <c r="G246" t="s">
        <v>2064</v>
      </c>
      <c r="H246">
        <v>1</v>
      </c>
      <c r="I246" s="12">
        <f>Table16[[#This Row],[price]]*Table16[[#This Row],[quantity]]</f>
        <v>143.36000000000001</v>
      </c>
    </row>
    <row r="247" spans="1:9" x14ac:dyDescent="0.3">
      <c r="A247" t="s">
        <v>2265</v>
      </c>
      <c r="B247" t="s">
        <v>50</v>
      </c>
      <c r="C247" t="s">
        <v>2011</v>
      </c>
      <c r="D247">
        <v>5</v>
      </c>
      <c r="E247" s="16">
        <v>203.3</v>
      </c>
      <c r="F247" s="1">
        <v>44876</v>
      </c>
      <c r="G247" t="s">
        <v>2009</v>
      </c>
      <c r="H247">
        <v>2</v>
      </c>
      <c r="I247" s="12">
        <f>Table16[[#This Row],[price]]*Table16[[#This Row],[quantity]]</f>
        <v>1016.5</v>
      </c>
    </row>
    <row r="248" spans="1:9" x14ac:dyDescent="0.3">
      <c r="A248" t="s">
        <v>2263</v>
      </c>
      <c r="B248" t="s">
        <v>50</v>
      </c>
      <c r="C248" t="s">
        <v>2008</v>
      </c>
      <c r="D248">
        <v>1</v>
      </c>
      <c r="E248" s="16">
        <v>5.23</v>
      </c>
      <c r="F248" s="1">
        <v>44962</v>
      </c>
      <c r="G248" t="s">
        <v>2009</v>
      </c>
      <c r="H248">
        <v>4</v>
      </c>
      <c r="I248" s="12">
        <f>Table16[[#This Row],[price]]*Table16[[#This Row],[quantity]]</f>
        <v>5.23</v>
      </c>
    </row>
    <row r="249" spans="1:9" x14ac:dyDescent="0.3">
      <c r="A249" t="s">
        <v>2262</v>
      </c>
      <c r="B249" t="s">
        <v>50</v>
      </c>
      <c r="C249" t="s">
        <v>2015</v>
      </c>
      <c r="D249">
        <v>1</v>
      </c>
      <c r="E249" s="16">
        <v>600.16999999999996</v>
      </c>
      <c r="F249" s="1">
        <v>44972</v>
      </c>
      <c r="G249" t="s">
        <v>2020</v>
      </c>
      <c r="H249">
        <v>1</v>
      </c>
      <c r="I249" s="12">
        <f>Table16[[#This Row],[price]]*Table16[[#This Row],[quantity]]</f>
        <v>600.16999999999996</v>
      </c>
    </row>
    <row r="250" spans="1:9" x14ac:dyDescent="0.3">
      <c r="A250" t="s">
        <v>2267</v>
      </c>
      <c r="B250" t="s">
        <v>51</v>
      </c>
      <c r="C250" t="s">
        <v>2008</v>
      </c>
      <c r="D250">
        <v>5</v>
      </c>
      <c r="E250" s="16">
        <v>26.15</v>
      </c>
      <c r="F250" s="1">
        <v>44272</v>
      </c>
      <c r="G250" t="s">
        <v>2002</v>
      </c>
      <c r="H250">
        <v>1</v>
      </c>
      <c r="I250" s="12">
        <f>Table16[[#This Row],[price]]*Table16[[#This Row],[quantity]]</f>
        <v>130.75</v>
      </c>
    </row>
    <row r="251" spans="1:9" x14ac:dyDescent="0.3">
      <c r="A251" t="s">
        <v>2266</v>
      </c>
      <c r="B251" t="s">
        <v>51</v>
      </c>
      <c r="C251" t="s">
        <v>2001</v>
      </c>
      <c r="D251">
        <v>5</v>
      </c>
      <c r="E251" s="16">
        <v>1500.4</v>
      </c>
      <c r="F251" s="1">
        <v>44738</v>
      </c>
      <c r="G251" t="s">
        <v>2002</v>
      </c>
      <c r="H251">
        <v>1</v>
      </c>
      <c r="I251" s="12">
        <f>Table16[[#This Row],[price]]*Table16[[#This Row],[quantity]]</f>
        <v>7502</v>
      </c>
    </row>
    <row r="252" spans="1:9" x14ac:dyDescent="0.3">
      <c r="A252" t="s">
        <v>2269</v>
      </c>
      <c r="B252" t="s">
        <v>51</v>
      </c>
      <c r="C252" t="s">
        <v>2001</v>
      </c>
      <c r="D252">
        <v>1</v>
      </c>
      <c r="E252" s="16">
        <v>300.08</v>
      </c>
      <c r="F252" s="1">
        <v>44879</v>
      </c>
      <c r="G252" t="s">
        <v>2004</v>
      </c>
      <c r="H252">
        <v>4</v>
      </c>
      <c r="I252" s="12">
        <f>Table16[[#This Row],[price]]*Table16[[#This Row],[quantity]]</f>
        <v>300.08</v>
      </c>
    </row>
    <row r="253" spans="1:9" x14ac:dyDescent="0.3">
      <c r="A253" t="s">
        <v>2268</v>
      </c>
      <c r="B253" t="s">
        <v>51</v>
      </c>
      <c r="C253" t="s">
        <v>2015</v>
      </c>
      <c r="D253">
        <v>5</v>
      </c>
      <c r="E253" s="16">
        <v>3000.85</v>
      </c>
      <c r="F253" s="1">
        <v>44888</v>
      </c>
      <c r="G253" t="s">
        <v>2020</v>
      </c>
      <c r="H253">
        <v>5</v>
      </c>
      <c r="I253" s="12">
        <f>Table16[[#This Row],[price]]*Table16[[#This Row],[quantity]]</f>
        <v>15004.25</v>
      </c>
    </row>
    <row r="254" spans="1:9" x14ac:dyDescent="0.3">
      <c r="A254" t="s">
        <v>2272</v>
      </c>
      <c r="B254" t="s">
        <v>52</v>
      </c>
      <c r="C254" t="s">
        <v>2001</v>
      </c>
      <c r="D254">
        <v>5</v>
      </c>
      <c r="E254" s="16">
        <v>1500.4</v>
      </c>
      <c r="F254" s="1">
        <v>44224</v>
      </c>
      <c r="G254" t="s">
        <v>2018</v>
      </c>
      <c r="H254">
        <v>5</v>
      </c>
      <c r="I254" s="12">
        <f>Table16[[#This Row],[price]]*Table16[[#This Row],[quantity]]</f>
        <v>7502</v>
      </c>
    </row>
    <row r="255" spans="1:9" x14ac:dyDescent="0.3">
      <c r="A255" t="s">
        <v>2274</v>
      </c>
      <c r="B255" t="s">
        <v>52</v>
      </c>
      <c r="C255" t="s">
        <v>2001</v>
      </c>
      <c r="D255">
        <v>3</v>
      </c>
      <c r="E255" s="16">
        <v>900.24</v>
      </c>
      <c r="F255" s="1">
        <v>44251</v>
      </c>
      <c r="G255" t="s">
        <v>2027</v>
      </c>
      <c r="H255">
        <v>5</v>
      </c>
      <c r="I255" s="12">
        <f>Table16[[#This Row],[price]]*Table16[[#This Row],[quantity]]</f>
        <v>2700.7200000000003</v>
      </c>
    </row>
    <row r="256" spans="1:9" x14ac:dyDescent="0.3">
      <c r="A256" t="s">
        <v>2270</v>
      </c>
      <c r="B256" t="s">
        <v>52</v>
      </c>
      <c r="C256" t="s">
        <v>2001</v>
      </c>
      <c r="D256">
        <v>4</v>
      </c>
      <c r="E256" s="16">
        <v>1200.32</v>
      </c>
      <c r="F256" s="1">
        <v>44269</v>
      </c>
      <c r="G256" t="s">
        <v>2012</v>
      </c>
      <c r="H256">
        <v>1</v>
      </c>
      <c r="I256" s="12">
        <f>Table16[[#This Row],[price]]*Table16[[#This Row],[quantity]]</f>
        <v>4801.28</v>
      </c>
    </row>
    <row r="257" spans="1:9" x14ac:dyDescent="0.3">
      <c r="A257" t="s">
        <v>2273</v>
      </c>
      <c r="B257" t="s">
        <v>52</v>
      </c>
      <c r="C257" t="s">
        <v>2008</v>
      </c>
      <c r="D257">
        <v>3</v>
      </c>
      <c r="E257" s="16">
        <v>15.69</v>
      </c>
      <c r="F257" s="1">
        <v>44663</v>
      </c>
      <c r="G257" t="s">
        <v>2004</v>
      </c>
      <c r="H257">
        <v>1</v>
      </c>
      <c r="I257" s="12">
        <f>Table16[[#This Row],[price]]*Table16[[#This Row],[quantity]]</f>
        <v>47.07</v>
      </c>
    </row>
    <row r="258" spans="1:9" x14ac:dyDescent="0.3">
      <c r="A258" t="s">
        <v>2271</v>
      </c>
      <c r="B258" t="s">
        <v>52</v>
      </c>
      <c r="C258" t="s">
        <v>2017</v>
      </c>
      <c r="D258">
        <v>1</v>
      </c>
      <c r="E258" s="16">
        <v>1050</v>
      </c>
      <c r="F258" s="1">
        <v>44696</v>
      </c>
      <c r="G258" t="s">
        <v>2041</v>
      </c>
      <c r="H258">
        <v>5</v>
      </c>
      <c r="I258" s="12">
        <f>Table16[[#This Row],[price]]*Table16[[#This Row],[quantity]]</f>
        <v>1050</v>
      </c>
    </row>
    <row r="259" spans="1:9" x14ac:dyDescent="0.3">
      <c r="A259" t="s">
        <v>2277</v>
      </c>
      <c r="B259" t="s">
        <v>53</v>
      </c>
      <c r="C259" t="s">
        <v>2001</v>
      </c>
      <c r="D259">
        <v>2</v>
      </c>
      <c r="E259" s="16">
        <v>600.16</v>
      </c>
      <c r="F259" s="1">
        <v>44231</v>
      </c>
      <c r="G259" t="s">
        <v>2027</v>
      </c>
      <c r="H259">
        <v>5</v>
      </c>
      <c r="I259" s="12">
        <f>Table16[[#This Row],[price]]*Table16[[#This Row],[quantity]]</f>
        <v>1200.32</v>
      </c>
    </row>
    <row r="260" spans="1:9" x14ac:dyDescent="0.3">
      <c r="A260" t="s">
        <v>2278</v>
      </c>
      <c r="B260" t="s">
        <v>53</v>
      </c>
      <c r="C260" t="s">
        <v>2001</v>
      </c>
      <c r="D260">
        <v>4</v>
      </c>
      <c r="E260" s="16">
        <v>1200.32</v>
      </c>
      <c r="F260" s="1">
        <v>44232</v>
      </c>
      <c r="G260" t="s">
        <v>2012</v>
      </c>
      <c r="H260">
        <v>4</v>
      </c>
      <c r="I260" s="12">
        <f>Table16[[#This Row],[price]]*Table16[[#This Row],[quantity]]</f>
        <v>4801.28</v>
      </c>
    </row>
    <row r="261" spans="1:9" x14ac:dyDescent="0.3">
      <c r="A261" t="s">
        <v>2275</v>
      </c>
      <c r="B261" t="s">
        <v>53</v>
      </c>
      <c r="C261" t="s">
        <v>2057</v>
      </c>
      <c r="D261">
        <v>3</v>
      </c>
      <c r="E261" s="16">
        <v>35.19</v>
      </c>
      <c r="F261" s="1">
        <v>44540</v>
      </c>
      <c r="G261" t="s">
        <v>2064</v>
      </c>
      <c r="H261">
        <v>1</v>
      </c>
      <c r="I261" s="12">
        <f>Table16[[#This Row],[price]]*Table16[[#This Row],[quantity]]</f>
        <v>105.57</v>
      </c>
    </row>
    <row r="262" spans="1:9" x14ac:dyDescent="0.3">
      <c r="A262" t="s">
        <v>2276</v>
      </c>
      <c r="B262" t="s">
        <v>53</v>
      </c>
      <c r="C262" t="s">
        <v>2024</v>
      </c>
      <c r="D262">
        <v>2</v>
      </c>
      <c r="E262" s="16">
        <v>71.680000000000007</v>
      </c>
      <c r="F262" s="1">
        <v>44572</v>
      </c>
      <c r="G262" t="s">
        <v>2004</v>
      </c>
      <c r="H262">
        <v>4</v>
      </c>
      <c r="I262" s="12">
        <f>Table16[[#This Row],[price]]*Table16[[#This Row],[quantity]]</f>
        <v>143.36000000000001</v>
      </c>
    </row>
    <row r="263" spans="1:9" x14ac:dyDescent="0.3">
      <c r="A263" t="s">
        <v>2279</v>
      </c>
      <c r="B263" t="s">
        <v>53</v>
      </c>
      <c r="C263" t="s">
        <v>2001</v>
      </c>
      <c r="D263">
        <v>1</v>
      </c>
      <c r="E263" s="16">
        <v>300.08</v>
      </c>
      <c r="F263" s="1">
        <v>44741</v>
      </c>
      <c r="G263" t="s">
        <v>2004</v>
      </c>
      <c r="H263">
        <v>3</v>
      </c>
      <c r="I263" s="12">
        <f>Table16[[#This Row],[price]]*Table16[[#This Row],[quantity]]</f>
        <v>300.08</v>
      </c>
    </row>
    <row r="264" spans="1:9" x14ac:dyDescent="0.3">
      <c r="A264" t="s">
        <v>2282</v>
      </c>
      <c r="B264" t="s">
        <v>54</v>
      </c>
      <c r="C264" t="s">
        <v>2001</v>
      </c>
      <c r="D264">
        <v>4</v>
      </c>
      <c r="E264" s="16">
        <v>1200.32</v>
      </c>
      <c r="F264" s="1">
        <v>44376</v>
      </c>
      <c r="G264" t="s">
        <v>2004</v>
      </c>
      <c r="H264">
        <v>4</v>
      </c>
      <c r="I264" s="12">
        <f>Table16[[#This Row],[price]]*Table16[[#This Row],[quantity]]</f>
        <v>4801.28</v>
      </c>
    </row>
    <row r="265" spans="1:9" x14ac:dyDescent="0.3">
      <c r="A265" t="s">
        <v>2281</v>
      </c>
      <c r="B265" t="s">
        <v>54</v>
      </c>
      <c r="C265" t="s">
        <v>2006</v>
      </c>
      <c r="D265">
        <v>5</v>
      </c>
      <c r="E265" s="16">
        <v>75.75</v>
      </c>
      <c r="F265" s="1">
        <v>44609</v>
      </c>
      <c r="G265" t="s">
        <v>2012</v>
      </c>
      <c r="H265">
        <v>3</v>
      </c>
      <c r="I265" s="12">
        <f>Table16[[#This Row],[price]]*Table16[[#This Row],[quantity]]</f>
        <v>378.75</v>
      </c>
    </row>
    <row r="266" spans="1:9" x14ac:dyDescent="0.3">
      <c r="A266" t="s">
        <v>2283</v>
      </c>
      <c r="B266" t="s">
        <v>54</v>
      </c>
      <c r="C266" t="s">
        <v>2024</v>
      </c>
      <c r="D266">
        <v>4</v>
      </c>
      <c r="E266" s="16">
        <v>143.36000000000001</v>
      </c>
      <c r="F266" s="1">
        <v>44836</v>
      </c>
      <c r="G266" t="s">
        <v>2027</v>
      </c>
      <c r="H266">
        <v>4</v>
      </c>
      <c r="I266" s="12">
        <f>Table16[[#This Row],[price]]*Table16[[#This Row],[quantity]]</f>
        <v>573.44000000000005</v>
      </c>
    </row>
    <row r="267" spans="1:9" x14ac:dyDescent="0.3">
      <c r="A267" t="s">
        <v>2280</v>
      </c>
      <c r="B267" t="s">
        <v>54</v>
      </c>
      <c r="C267" t="s">
        <v>2017</v>
      </c>
      <c r="D267">
        <v>2</v>
      </c>
      <c r="E267" s="16">
        <v>2100</v>
      </c>
      <c r="F267" s="1">
        <v>44928</v>
      </c>
      <c r="G267" t="s">
        <v>2027</v>
      </c>
      <c r="H267">
        <v>3</v>
      </c>
      <c r="I267" s="12">
        <f>Table16[[#This Row],[price]]*Table16[[#This Row],[quantity]]</f>
        <v>4200</v>
      </c>
    </row>
    <row r="268" spans="1:9" x14ac:dyDescent="0.3">
      <c r="A268" t="s">
        <v>2290</v>
      </c>
      <c r="B268" t="s">
        <v>55</v>
      </c>
      <c r="C268" t="s">
        <v>2015</v>
      </c>
      <c r="D268">
        <v>4</v>
      </c>
      <c r="E268" s="16">
        <v>2400.6799999999998</v>
      </c>
      <c r="F268" s="1">
        <v>44226</v>
      </c>
      <c r="G268" t="s">
        <v>2012</v>
      </c>
      <c r="H268">
        <v>4</v>
      </c>
      <c r="I268" s="12">
        <f>Table16[[#This Row],[price]]*Table16[[#This Row],[quantity]]</f>
        <v>9602.7199999999993</v>
      </c>
    </row>
    <row r="269" spans="1:9" x14ac:dyDescent="0.3">
      <c r="A269" t="s">
        <v>2296</v>
      </c>
      <c r="B269" t="s">
        <v>55</v>
      </c>
      <c r="C269" t="s">
        <v>2001</v>
      </c>
      <c r="D269">
        <v>3</v>
      </c>
      <c r="E269" s="16">
        <v>900.24</v>
      </c>
      <c r="F269" s="1">
        <v>44402</v>
      </c>
      <c r="G269" t="s">
        <v>2004</v>
      </c>
      <c r="H269">
        <v>4</v>
      </c>
      <c r="I269" s="12">
        <f>Table16[[#This Row],[price]]*Table16[[#This Row],[quantity]]</f>
        <v>2700.7200000000003</v>
      </c>
    </row>
    <row r="270" spans="1:9" x14ac:dyDescent="0.3">
      <c r="A270" t="s">
        <v>2288</v>
      </c>
      <c r="B270" t="s">
        <v>55</v>
      </c>
      <c r="C270" t="s">
        <v>2017</v>
      </c>
      <c r="D270">
        <v>1</v>
      </c>
      <c r="E270" s="16">
        <v>1050</v>
      </c>
      <c r="F270" s="1">
        <v>44413</v>
      </c>
      <c r="G270" t="s">
        <v>2027</v>
      </c>
      <c r="H270">
        <v>3</v>
      </c>
      <c r="I270" s="12">
        <f>Table16[[#This Row],[price]]*Table16[[#This Row],[quantity]]</f>
        <v>1050</v>
      </c>
    </row>
    <row r="271" spans="1:9" x14ac:dyDescent="0.3">
      <c r="A271" t="s">
        <v>2293</v>
      </c>
      <c r="B271" t="s">
        <v>55</v>
      </c>
      <c r="C271" t="s">
        <v>2011</v>
      </c>
      <c r="D271">
        <v>4</v>
      </c>
      <c r="E271" s="16">
        <v>162.63999999999999</v>
      </c>
      <c r="F271" s="1">
        <v>44471</v>
      </c>
      <c r="G271" t="s">
        <v>2020</v>
      </c>
      <c r="H271">
        <v>5</v>
      </c>
      <c r="I271" s="12">
        <f>Table16[[#This Row],[price]]*Table16[[#This Row],[quantity]]</f>
        <v>650.55999999999995</v>
      </c>
    </row>
    <row r="272" spans="1:9" x14ac:dyDescent="0.3">
      <c r="A272" t="s">
        <v>2284</v>
      </c>
      <c r="B272" t="s">
        <v>55</v>
      </c>
      <c r="C272" t="s">
        <v>2015</v>
      </c>
      <c r="D272">
        <v>5</v>
      </c>
      <c r="E272" s="16">
        <v>3000.85</v>
      </c>
      <c r="F272" s="1">
        <v>44472</v>
      </c>
      <c r="G272" t="s">
        <v>2012</v>
      </c>
      <c r="H272">
        <v>1</v>
      </c>
      <c r="I272" s="12">
        <f>Table16[[#This Row],[price]]*Table16[[#This Row],[quantity]]</f>
        <v>15004.25</v>
      </c>
    </row>
    <row r="273" spans="1:9" x14ac:dyDescent="0.3">
      <c r="A273" t="s">
        <v>2289</v>
      </c>
      <c r="B273" t="s">
        <v>55</v>
      </c>
      <c r="C273" t="s">
        <v>2011</v>
      </c>
      <c r="D273">
        <v>1</v>
      </c>
      <c r="E273" s="16">
        <v>40.659999999999997</v>
      </c>
      <c r="F273" s="1">
        <v>44505</v>
      </c>
      <c r="G273" t="s">
        <v>2064</v>
      </c>
      <c r="H273">
        <v>1</v>
      </c>
      <c r="I273" s="12">
        <f>Table16[[#This Row],[price]]*Table16[[#This Row],[quantity]]</f>
        <v>40.659999999999997</v>
      </c>
    </row>
    <row r="274" spans="1:9" x14ac:dyDescent="0.3">
      <c r="A274" t="s">
        <v>2286</v>
      </c>
      <c r="B274" t="s">
        <v>55</v>
      </c>
      <c r="C274" t="s">
        <v>2001</v>
      </c>
      <c r="D274">
        <v>1</v>
      </c>
      <c r="E274" s="16">
        <v>300.08</v>
      </c>
      <c r="F274" s="1">
        <v>44542</v>
      </c>
      <c r="G274" t="s">
        <v>2009</v>
      </c>
      <c r="H274">
        <v>5</v>
      </c>
      <c r="I274" s="12">
        <f>Table16[[#This Row],[price]]*Table16[[#This Row],[quantity]]</f>
        <v>300.08</v>
      </c>
    </row>
    <row r="275" spans="1:9" x14ac:dyDescent="0.3">
      <c r="A275" t="s">
        <v>2285</v>
      </c>
      <c r="B275" t="s">
        <v>55</v>
      </c>
      <c r="C275" t="s">
        <v>2015</v>
      </c>
      <c r="D275">
        <v>3</v>
      </c>
      <c r="E275" s="16">
        <v>1800.51</v>
      </c>
      <c r="F275" s="1">
        <v>44609</v>
      </c>
      <c r="G275" t="s">
        <v>2027</v>
      </c>
      <c r="H275">
        <v>2</v>
      </c>
      <c r="I275" s="12">
        <f>Table16[[#This Row],[price]]*Table16[[#This Row],[quantity]]</f>
        <v>5401.53</v>
      </c>
    </row>
    <row r="276" spans="1:9" x14ac:dyDescent="0.3">
      <c r="A276" t="s">
        <v>2287</v>
      </c>
      <c r="B276" t="s">
        <v>55</v>
      </c>
      <c r="C276" t="s">
        <v>2001</v>
      </c>
      <c r="D276">
        <v>5</v>
      </c>
      <c r="E276" s="16">
        <v>1500.4</v>
      </c>
      <c r="F276" s="1">
        <v>44634</v>
      </c>
      <c r="G276" t="s">
        <v>2004</v>
      </c>
      <c r="H276">
        <v>2</v>
      </c>
      <c r="I276" s="12">
        <f>Table16[[#This Row],[price]]*Table16[[#This Row],[quantity]]</f>
        <v>7502</v>
      </c>
    </row>
    <row r="277" spans="1:9" x14ac:dyDescent="0.3">
      <c r="A277" t="s">
        <v>2291</v>
      </c>
      <c r="B277" t="s">
        <v>55</v>
      </c>
      <c r="C277" t="s">
        <v>2008</v>
      </c>
      <c r="D277">
        <v>3</v>
      </c>
      <c r="E277" s="16">
        <v>15.69</v>
      </c>
      <c r="F277" s="1">
        <v>44674</v>
      </c>
      <c r="G277" t="s">
        <v>2064</v>
      </c>
      <c r="H277">
        <v>4</v>
      </c>
      <c r="I277" s="12">
        <f>Table16[[#This Row],[price]]*Table16[[#This Row],[quantity]]</f>
        <v>47.07</v>
      </c>
    </row>
    <row r="278" spans="1:9" x14ac:dyDescent="0.3">
      <c r="A278" t="s">
        <v>2292</v>
      </c>
      <c r="B278" t="s">
        <v>55</v>
      </c>
      <c r="C278" t="s">
        <v>2001</v>
      </c>
      <c r="D278">
        <v>1</v>
      </c>
      <c r="E278" s="16">
        <v>300.08</v>
      </c>
      <c r="F278" s="1">
        <v>44758</v>
      </c>
      <c r="G278" t="s">
        <v>2002</v>
      </c>
      <c r="H278">
        <v>2</v>
      </c>
      <c r="I278" s="12">
        <f>Table16[[#This Row],[price]]*Table16[[#This Row],[quantity]]</f>
        <v>300.08</v>
      </c>
    </row>
    <row r="279" spans="1:9" x14ac:dyDescent="0.3">
      <c r="A279" t="s">
        <v>2295</v>
      </c>
      <c r="B279" t="s">
        <v>55</v>
      </c>
      <c r="C279" t="s">
        <v>2001</v>
      </c>
      <c r="D279">
        <v>4</v>
      </c>
      <c r="E279" s="16">
        <v>1200.32</v>
      </c>
      <c r="F279" s="1">
        <v>44920</v>
      </c>
      <c r="G279" t="s">
        <v>2020</v>
      </c>
      <c r="H279">
        <v>3</v>
      </c>
      <c r="I279" s="12">
        <f>Table16[[#This Row],[price]]*Table16[[#This Row],[quantity]]</f>
        <v>4801.28</v>
      </c>
    </row>
    <row r="280" spans="1:9" x14ac:dyDescent="0.3">
      <c r="A280" t="s">
        <v>2294</v>
      </c>
      <c r="B280" t="s">
        <v>55</v>
      </c>
      <c r="C280" t="s">
        <v>2011</v>
      </c>
      <c r="D280">
        <v>3</v>
      </c>
      <c r="E280" s="16">
        <v>121.98</v>
      </c>
      <c r="F280" s="1">
        <v>44953</v>
      </c>
      <c r="G280" t="s">
        <v>2064</v>
      </c>
      <c r="H280">
        <v>5</v>
      </c>
      <c r="I280" s="12">
        <f>Table16[[#This Row],[price]]*Table16[[#This Row],[quantity]]</f>
        <v>365.94</v>
      </c>
    </row>
    <row r="281" spans="1:9" x14ac:dyDescent="0.3">
      <c r="A281" t="s">
        <v>2300</v>
      </c>
      <c r="B281" t="s">
        <v>56</v>
      </c>
      <c r="C281" t="s">
        <v>2001</v>
      </c>
      <c r="D281">
        <v>4</v>
      </c>
      <c r="E281" s="16">
        <v>1200.32</v>
      </c>
      <c r="F281" s="1">
        <v>44241</v>
      </c>
      <c r="G281" t="s">
        <v>2004</v>
      </c>
      <c r="H281">
        <v>1</v>
      </c>
      <c r="I281" s="12">
        <f>Table16[[#This Row],[price]]*Table16[[#This Row],[quantity]]</f>
        <v>4801.28</v>
      </c>
    </row>
    <row r="282" spans="1:9" x14ac:dyDescent="0.3">
      <c r="A282" t="s">
        <v>2297</v>
      </c>
      <c r="B282" t="s">
        <v>56</v>
      </c>
      <c r="C282" t="s">
        <v>2001</v>
      </c>
      <c r="D282">
        <v>2</v>
      </c>
      <c r="E282" s="16">
        <v>600.16</v>
      </c>
      <c r="F282" s="1">
        <v>44276</v>
      </c>
      <c r="G282" t="s">
        <v>2002</v>
      </c>
      <c r="H282">
        <v>5</v>
      </c>
      <c r="I282" s="12">
        <f>Table16[[#This Row],[price]]*Table16[[#This Row],[quantity]]</f>
        <v>1200.32</v>
      </c>
    </row>
    <row r="283" spans="1:9" x14ac:dyDescent="0.3">
      <c r="A283" t="s">
        <v>2298</v>
      </c>
      <c r="B283" t="s">
        <v>56</v>
      </c>
      <c r="C283" t="s">
        <v>2006</v>
      </c>
      <c r="D283">
        <v>5</v>
      </c>
      <c r="E283" s="16">
        <v>75.75</v>
      </c>
      <c r="F283" s="1">
        <v>44305</v>
      </c>
      <c r="G283" t="s">
        <v>2027</v>
      </c>
      <c r="H283">
        <v>4</v>
      </c>
      <c r="I283" s="12">
        <f>Table16[[#This Row],[price]]*Table16[[#This Row],[quantity]]</f>
        <v>378.75</v>
      </c>
    </row>
    <row r="284" spans="1:9" x14ac:dyDescent="0.3">
      <c r="A284" t="s">
        <v>2301</v>
      </c>
      <c r="B284" t="s">
        <v>56</v>
      </c>
      <c r="C284" t="s">
        <v>2011</v>
      </c>
      <c r="D284">
        <v>3</v>
      </c>
      <c r="E284" s="16">
        <v>121.98</v>
      </c>
      <c r="F284" s="1">
        <v>44726</v>
      </c>
      <c r="G284" t="s">
        <v>2004</v>
      </c>
      <c r="H284">
        <v>1</v>
      </c>
      <c r="I284" s="12">
        <f>Table16[[#This Row],[price]]*Table16[[#This Row],[quantity]]</f>
        <v>365.94</v>
      </c>
    </row>
    <row r="285" spans="1:9" x14ac:dyDescent="0.3">
      <c r="A285" t="s">
        <v>2299</v>
      </c>
      <c r="B285" t="s">
        <v>56</v>
      </c>
      <c r="C285" t="s">
        <v>2001</v>
      </c>
      <c r="D285">
        <v>4</v>
      </c>
      <c r="E285" s="16">
        <v>1200.32</v>
      </c>
      <c r="F285" s="1">
        <v>44763</v>
      </c>
      <c r="G285" t="s">
        <v>2004</v>
      </c>
      <c r="H285">
        <v>1</v>
      </c>
      <c r="I285" s="12">
        <f>Table16[[#This Row],[price]]*Table16[[#This Row],[quantity]]</f>
        <v>4801.28</v>
      </c>
    </row>
    <row r="286" spans="1:9" x14ac:dyDescent="0.3">
      <c r="A286" t="s">
        <v>2304</v>
      </c>
      <c r="B286" t="s">
        <v>57</v>
      </c>
      <c r="C286" t="s">
        <v>2001</v>
      </c>
      <c r="D286">
        <v>4</v>
      </c>
      <c r="E286" s="16">
        <v>1200.32</v>
      </c>
      <c r="F286" s="1">
        <v>44212</v>
      </c>
      <c r="G286" t="s">
        <v>2027</v>
      </c>
      <c r="H286">
        <v>1</v>
      </c>
      <c r="I286" s="12">
        <f>Table16[[#This Row],[price]]*Table16[[#This Row],[quantity]]</f>
        <v>4801.28</v>
      </c>
    </row>
    <row r="287" spans="1:9" x14ac:dyDescent="0.3">
      <c r="A287" t="s">
        <v>2303</v>
      </c>
      <c r="B287" t="s">
        <v>57</v>
      </c>
      <c r="C287" t="s">
        <v>2024</v>
      </c>
      <c r="D287">
        <v>4</v>
      </c>
      <c r="E287" s="16">
        <v>143.36000000000001</v>
      </c>
      <c r="F287" s="1">
        <v>44284</v>
      </c>
      <c r="G287" t="s">
        <v>2018</v>
      </c>
      <c r="H287">
        <v>3</v>
      </c>
      <c r="I287" s="12">
        <f>Table16[[#This Row],[price]]*Table16[[#This Row],[quantity]]</f>
        <v>573.44000000000005</v>
      </c>
    </row>
    <row r="288" spans="1:9" x14ac:dyDescent="0.3">
      <c r="A288" t="s">
        <v>2302</v>
      </c>
      <c r="B288" t="s">
        <v>57</v>
      </c>
      <c r="C288" t="s">
        <v>2011</v>
      </c>
      <c r="D288">
        <v>5</v>
      </c>
      <c r="E288" s="16">
        <v>203.3</v>
      </c>
      <c r="F288" s="1">
        <v>44369</v>
      </c>
      <c r="G288" t="s">
        <v>2002</v>
      </c>
      <c r="H288">
        <v>1</v>
      </c>
      <c r="I288" s="12">
        <f>Table16[[#This Row],[price]]*Table16[[#This Row],[quantity]]</f>
        <v>1016.5</v>
      </c>
    </row>
    <row r="289" spans="1:9" x14ac:dyDescent="0.3">
      <c r="A289" t="s">
        <v>2305</v>
      </c>
      <c r="B289" t="s">
        <v>57</v>
      </c>
      <c r="C289" t="s">
        <v>2017</v>
      </c>
      <c r="D289">
        <v>5</v>
      </c>
      <c r="E289" s="16">
        <v>5250</v>
      </c>
      <c r="F289" s="1">
        <v>44906</v>
      </c>
      <c r="G289" t="s">
        <v>2004</v>
      </c>
      <c r="H289">
        <v>2</v>
      </c>
      <c r="I289" s="12">
        <f>Table16[[#This Row],[price]]*Table16[[#This Row],[quantity]]</f>
        <v>26250</v>
      </c>
    </row>
    <row r="290" spans="1:9" x14ac:dyDescent="0.3">
      <c r="A290" t="s">
        <v>2307</v>
      </c>
      <c r="B290" t="s">
        <v>58</v>
      </c>
      <c r="C290" t="s">
        <v>2024</v>
      </c>
      <c r="D290">
        <v>1</v>
      </c>
      <c r="E290" s="16">
        <v>35.840000000000003</v>
      </c>
      <c r="F290" s="1">
        <v>44265</v>
      </c>
      <c r="G290" t="s">
        <v>2027</v>
      </c>
      <c r="H290">
        <v>4</v>
      </c>
      <c r="I290" s="12">
        <f>Table16[[#This Row],[price]]*Table16[[#This Row],[quantity]]</f>
        <v>35.840000000000003</v>
      </c>
    </row>
    <row r="291" spans="1:9" x14ac:dyDescent="0.3">
      <c r="A291" t="s">
        <v>2308</v>
      </c>
      <c r="B291" t="s">
        <v>58</v>
      </c>
      <c r="C291" t="s">
        <v>2015</v>
      </c>
      <c r="D291">
        <v>2</v>
      </c>
      <c r="E291" s="16">
        <v>1200.3399999999999</v>
      </c>
      <c r="F291" s="1">
        <v>44294</v>
      </c>
      <c r="G291" t="s">
        <v>2004</v>
      </c>
      <c r="H291">
        <v>2</v>
      </c>
      <c r="I291" s="12">
        <f>Table16[[#This Row],[price]]*Table16[[#This Row],[quantity]]</f>
        <v>2400.6799999999998</v>
      </c>
    </row>
    <row r="292" spans="1:9" x14ac:dyDescent="0.3">
      <c r="A292" t="s">
        <v>2306</v>
      </c>
      <c r="B292" t="s">
        <v>58</v>
      </c>
      <c r="C292" t="s">
        <v>2008</v>
      </c>
      <c r="D292">
        <v>2</v>
      </c>
      <c r="E292" s="16">
        <v>10.46</v>
      </c>
      <c r="F292" s="1">
        <v>44328</v>
      </c>
      <c r="G292" t="s">
        <v>2027</v>
      </c>
      <c r="H292">
        <v>2</v>
      </c>
      <c r="I292" s="12">
        <f>Table16[[#This Row],[price]]*Table16[[#This Row],[quantity]]</f>
        <v>20.92</v>
      </c>
    </row>
    <row r="293" spans="1:9" x14ac:dyDescent="0.3">
      <c r="A293" t="s">
        <v>2309</v>
      </c>
      <c r="B293" t="s">
        <v>58</v>
      </c>
      <c r="C293" t="s">
        <v>2008</v>
      </c>
      <c r="D293">
        <v>3</v>
      </c>
      <c r="E293" s="16">
        <v>15.69</v>
      </c>
      <c r="F293" s="1">
        <v>44943</v>
      </c>
      <c r="G293" t="s">
        <v>2004</v>
      </c>
      <c r="H293">
        <v>4</v>
      </c>
      <c r="I293" s="12">
        <f>Table16[[#This Row],[price]]*Table16[[#This Row],[quantity]]</f>
        <v>47.07</v>
      </c>
    </row>
    <row r="294" spans="1:9" x14ac:dyDescent="0.3">
      <c r="A294" t="s">
        <v>2310</v>
      </c>
      <c r="B294" t="s">
        <v>58</v>
      </c>
      <c r="C294" t="s">
        <v>2008</v>
      </c>
      <c r="D294">
        <v>3</v>
      </c>
      <c r="E294" s="16">
        <v>15.69</v>
      </c>
      <c r="F294" s="1">
        <v>44975</v>
      </c>
      <c r="G294" t="s">
        <v>2027</v>
      </c>
      <c r="H294">
        <v>1</v>
      </c>
      <c r="I294" s="12">
        <f>Table16[[#This Row],[price]]*Table16[[#This Row],[quantity]]</f>
        <v>47.07</v>
      </c>
    </row>
    <row r="295" spans="1:9" x14ac:dyDescent="0.3">
      <c r="A295" t="s">
        <v>2311</v>
      </c>
      <c r="B295" t="s">
        <v>59</v>
      </c>
      <c r="C295" t="s">
        <v>2015</v>
      </c>
      <c r="D295">
        <v>1</v>
      </c>
      <c r="E295" s="16">
        <v>600.16999999999996</v>
      </c>
      <c r="F295" s="1">
        <v>44241</v>
      </c>
      <c r="G295" t="s">
        <v>2002</v>
      </c>
      <c r="H295">
        <v>1</v>
      </c>
      <c r="I295" s="12">
        <f>Table16[[#This Row],[price]]*Table16[[#This Row],[quantity]]</f>
        <v>600.16999999999996</v>
      </c>
    </row>
    <row r="296" spans="1:9" x14ac:dyDescent="0.3">
      <c r="A296" t="s">
        <v>2314</v>
      </c>
      <c r="B296" t="s">
        <v>59</v>
      </c>
      <c r="C296" t="s">
        <v>2001</v>
      </c>
      <c r="D296">
        <v>1</v>
      </c>
      <c r="E296" s="16">
        <v>300.08</v>
      </c>
      <c r="F296" s="1">
        <v>44328</v>
      </c>
      <c r="G296" t="s">
        <v>2009</v>
      </c>
      <c r="H296">
        <v>3</v>
      </c>
      <c r="I296" s="12">
        <f>Table16[[#This Row],[price]]*Table16[[#This Row],[quantity]]</f>
        <v>300.08</v>
      </c>
    </row>
    <row r="297" spans="1:9" x14ac:dyDescent="0.3">
      <c r="A297" t="s">
        <v>2313</v>
      </c>
      <c r="B297" t="s">
        <v>59</v>
      </c>
      <c r="C297" t="s">
        <v>2057</v>
      </c>
      <c r="D297">
        <v>1</v>
      </c>
      <c r="E297" s="16">
        <v>11.73</v>
      </c>
      <c r="F297" s="1">
        <v>44608</v>
      </c>
      <c r="G297" t="s">
        <v>2020</v>
      </c>
      <c r="H297">
        <v>3</v>
      </c>
      <c r="I297" s="12">
        <f>Table16[[#This Row],[price]]*Table16[[#This Row],[quantity]]</f>
        <v>11.73</v>
      </c>
    </row>
    <row r="298" spans="1:9" x14ac:dyDescent="0.3">
      <c r="A298" t="s">
        <v>2312</v>
      </c>
      <c r="B298" t="s">
        <v>59</v>
      </c>
      <c r="C298" t="s">
        <v>2015</v>
      </c>
      <c r="D298">
        <v>5</v>
      </c>
      <c r="E298" s="16">
        <v>3000.85</v>
      </c>
      <c r="F298" s="1">
        <v>44639</v>
      </c>
      <c r="G298" t="s">
        <v>2004</v>
      </c>
      <c r="H298">
        <v>5</v>
      </c>
      <c r="I298" s="12">
        <f>Table16[[#This Row],[price]]*Table16[[#This Row],[quantity]]</f>
        <v>15004.25</v>
      </c>
    </row>
    <row r="299" spans="1:9" x14ac:dyDescent="0.3">
      <c r="A299" t="s">
        <v>2315</v>
      </c>
      <c r="B299" t="s">
        <v>60</v>
      </c>
      <c r="C299" t="s">
        <v>2011</v>
      </c>
      <c r="D299">
        <v>3</v>
      </c>
      <c r="E299" s="16">
        <v>121.98</v>
      </c>
      <c r="F299" s="1">
        <v>44823</v>
      </c>
      <c r="G299" t="s">
        <v>2027</v>
      </c>
      <c r="H299">
        <v>2</v>
      </c>
      <c r="I299" s="12">
        <f>Table16[[#This Row],[price]]*Table16[[#This Row],[quantity]]</f>
        <v>365.94</v>
      </c>
    </row>
    <row r="300" spans="1:9" x14ac:dyDescent="0.3">
      <c r="A300" t="s">
        <v>2316</v>
      </c>
      <c r="B300" t="s">
        <v>60</v>
      </c>
      <c r="C300" t="s">
        <v>2001</v>
      </c>
      <c r="D300">
        <v>3</v>
      </c>
      <c r="E300" s="16">
        <v>900.24</v>
      </c>
      <c r="F300" s="1">
        <v>44899</v>
      </c>
      <c r="G300" t="s">
        <v>2012</v>
      </c>
      <c r="H300">
        <v>5</v>
      </c>
      <c r="I300" s="12">
        <f>Table16[[#This Row],[price]]*Table16[[#This Row],[quantity]]</f>
        <v>2700.7200000000003</v>
      </c>
    </row>
    <row r="301" spans="1:9" x14ac:dyDescent="0.3">
      <c r="A301" t="s">
        <v>2317</v>
      </c>
      <c r="B301" t="s">
        <v>60</v>
      </c>
      <c r="C301" t="s">
        <v>2001</v>
      </c>
      <c r="D301">
        <v>1</v>
      </c>
      <c r="E301" s="16">
        <v>300.08</v>
      </c>
      <c r="F301" s="1">
        <v>44933</v>
      </c>
      <c r="G301" t="s">
        <v>2002</v>
      </c>
      <c r="H301">
        <v>3</v>
      </c>
      <c r="I301" s="12">
        <f>Table16[[#This Row],[price]]*Table16[[#This Row],[quantity]]</f>
        <v>300.08</v>
      </c>
    </row>
    <row r="302" spans="1:9" x14ac:dyDescent="0.3">
      <c r="A302" t="s">
        <v>2323</v>
      </c>
      <c r="B302" t="s">
        <v>61</v>
      </c>
      <c r="C302" t="s">
        <v>2001</v>
      </c>
      <c r="D302">
        <v>3</v>
      </c>
      <c r="E302" s="16">
        <v>900.24</v>
      </c>
      <c r="F302" s="1">
        <v>44251</v>
      </c>
      <c r="G302" t="s">
        <v>2020</v>
      </c>
      <c r="H302">
        <v>2</v>
      </c>
      <c r="I302" s="12">
        <f>Table16[[#This Row],[price]]*Table16[[#This Row],[quantity]]</f>
        <v>2700.7200000000003</v>
      </c>
    </row>
    <row r="303" spans="1:9" x14ac:dyDescent="0.3">
      <c r="A303" t="s">
        <v>2319</v>
      </c>
      <c r="B303" t="s">
        <v>61</v>
      </c>
      <c r="C303" t="s">
        <v>2024</v>
      </c>
      <c r="D303">
        <v>5</v>
      </c>
      <c r="E303" s="16">
        <v>179.2</v>
      </c>
      <c r="F303" s="1">
        <v>44296</v>
      </c>
      <c r="G303" t="s">
        <v>2041</v>
      </c>
      <c r="H303">
        <v>3</v>
      </c>
      <c r="I303" s="12">
        <f>Table16[[#This Row],[price]]*Table16[[#This Row],[quantity]]</f>
        <v>896</v>
      </c>
    </row>
    <row r="304" spans="1:9" x14ac:dyDescent="0.3">
      <c r="A304" t="s">
        <v>2321</v>
      </c>
      <c r="B304" t="s">
        <v>61</v>
      </c>
      <c r="C304" t="s">
        <v>2001</v>
      </c>
      <c r="D304">
        <v>2</v>
      </c>
      <c r="E304" s="16">
        <v>600.16</v>
      </c>
      <c r="F304" s="1">
        <v>44701</v>
      </c>
      <c r="G304" t="s">
        <v>2018</v>
      </c>
      <c r="H304">
        <v>4</v>
      </c>
      <c r="I304" s="12">
        <f>Table16[[#This Row],[price]]*Table16[[#This Row],[quantity]]</f>
        <v>1200.32</v>
      </c>
    </row>
    <row r="305" spans="1:9" x14ac:dyDescent="0.3">
      <c r="A305" t="s">
        <v>2322</v>
      </c>
      <c r="B305" t="s">
        <v>61</v>
      </c>
      <c r="C305" t="s">
        <v>2015</v>
      </c>
      <c r="D305">
        <v>4</v>
      </c>
      <c r="E305" s="16">
        <v>2400.6799999999998</v>
      </c>
      <c r="F305" s="1">
        <v>44726</v>
      </c>
      <c r="G305" t="s">
        <v>2004</v>
      </c>
      <c r="H305">
        <v>3</v>
      </c>
      <c r="I305" s="12">
        <f>Table16[[#This Row],[price]]*Table16[[#This Row],[quantity]]</f>
        <v>9602.7199999999993</v>
      </c>
    </row>
    <row r="306" spans="1:9" x14ac:dyDescent="0.3">
      <c r="A306" t="s">
        <v>2320</v>
      </c>
      <c r="B306" t="s">
        <v>61</v>
      </c>
      <c r="C306" t="s">
        <v>2011</v>
      </c>
      <c r="D306">
        <v>4</v>
      </c>
      <c r="E306" s="16">
        <v>162.63999999999999</v>
      </c>
      <c r="F306" s="1">
        <v>44844</v>
      </c>
      <c r="G306" t="s">
        <v>2009</v>
      </c>
      <c r="H306">
        <v>2</v>
      </c>
      <c r="I306" s="12">
        <f>Table16[[#This Row],[price]]*Table16[[#This Row],[quantity]]</f>
        <v>650.55999999999995</v>
      </c>
    </row>
    <row r="307" spans="1:9" x14ac:dyDescent="0.3">
      <c r="A307" t="s">
        <v>2318</v>
      </c>
      <c r="B307" t="s">
        <v>61</v>
      </c>
      <c r="C307" t="s">
        <v>2024</v>
      </c>
      <c r="D307">
        <v>1</v>
      </c>
      <c r="E307" s="16">
        <v>35.840000000000003</v>
      </c>
      <c r="F307" s="1">
        <v>44857</v>
      </c>
      <c r="G307" t="s">
        <v>2027</v>
      </c>
      <c r="H307">
        <v>3</v>
      </c>
      <c r="I307" s="12">
        <f>Table16[[#This Row],[price]]*Table16[[#This Row],[quantity]]</f>
        <v>35.840000000000003</v>
      </c>
    </row>
    <row r="308" spans="1:9" x14ac:dyDescent="0.3">
      <c r="A308" t="s">
        <v>2325</v>
      </c>
      <c r="B308" t="s">
        <v>62</v>
      </c>
      <c r="C308" t="s">
        <v>2008</v>
      </c>
      <c r="D308">
        <v>5</v>
      </c>
      <c r="E308" s="16">
        <v>26.15</v>
      </c>
      <c r="F308" s="1">
        <v>44794</v>
      </c>
      <c r="G308" t="s">
        <v>2027</v>
      </c>
      <c r="H308">
        <v>2</v>
      </c>
      <c r="I308" s="12">
        <f>Table16[[#This Row],[price]]*Table16[[#This Row],[quantity]]</f>
        <v>130.75</v>
      </c>
    </row>
    <row r="309" spans="1:9" x14ac:dyDescent="0.3">
      <c r="A309" t="s">
        <v>2324</v>
      </c>
      <c r="B309" t="s">
        <v>62</v>
      </c>
      <c r="C309" t="s">
        <v>2011</v>
      </c>
      <c r="D309">
        <v>5</v>
      </c>
      <c r="E309" s="16">
        <v>203.3</v>
      </c>
      <c r="F309" s="1">
        <v>44855</v>
      </c>
      <c r="G309" t="s">
        <v>2012</v>
      </c>
      <c r="H309">
        <v>5</v>
      </c>
      <c r="I309" s="12">
        <f>Table16[[#This Row],[price]]*Table16[[#This Row],[quantity]]</f>
        <v>1016.5</v>
      </c>
    </row>
    <row r="310" spans="1:9" x14ac:dyDescent="0.3">
      <c r="A310" t="s">
        <v>2330</v>
      </c>
      <c r="B310" t="s">
        <v>63</v>
      </c>
      <c r="C310" t="s">
        <v>2001</v>
      </c>
      <c r="D310">
        <v>5</v>
      </c>
      <c r="E310" s="16">
        <v>1500.4</v>
      </c>
      <c r="F310" s="1">
        <v>44385</v>
      </c>
      <c r="G310" t="s">
        <v>2002</v>
      </c>
      <c r="H310">
        <v>2</v>
      </c>
      <c r="I310" s="12">
        <f>Table16[[#This Row],[price]]*Table16[[#This Row],[quantity]]</f>
        <v>7502</v>
      </c>
    </row>
    <row r="311" spans="1:9" x14ac:dyDescent="0.3">
      <c r="A311" t="s">
        <v>2326</v>
      </c>
      <c r="B311" t="s">
        <v>63</v>
      </c>
      <c r="C311" t="s">
        <v>2015</v>
      </c>
      <c r="D311">
        <v>5</v>
      </c>
      <c r="E311" s="16">
        <v>3000.85</v>
      </c>
      <c r="F311" s="1">
        <v>44385</v>
      </c>
      <c r="G311" t="s">
        <v>2002</v>
      </c>
      <c r="H311">
        <v>1</v>
      </c>
      <c r="I311" s="12">
        <f>Table16[[#This Row],[price]]*Table16[[#This Row],[quantity]]</f>
        <v>15004.25</v>
      </c>
    </row>
    <row r="312" spans="1:9" x14ac:dyDescent="0.3">
      <c r="A312" t="s">
        <v>2327</v>
      </c>
      <c r="B312" t="s">
        <v>63</v>
      </c>
      <c r="C312" t="s">
        <v>2015</v>
      </c>
      <c r="D312">
        <v>1</v>
      </c>
      <c r="E312" s="16">
        <v>600.16999999999996</v>
      </c>
      <c r="F312" s="1">
        <v>44588</v>
      </c>
      <c r="G312" t="s">
        <v>2027</v>
      </c>
      <c r="H312">
        <v>1</v>
      </c>
      <c r="I312" s="12">
        <f>Table16[[#This Row],[price]]*Table16[[#This Row],[quantity]]</f>
        <v>600.16999999999996</v>
      </c>
    </row>
    <row r="313" spans="1:9" x14ac:dyDescent="0.3">
      <c r="A313" t="s">
        <v>2328</v>
      </c>
      <c r="B313" t="s">
        <v>63</v>
      </c>
      <c r="C313" t="s">
        <v>2001</v>
      </c>
      <c r="D313">
        <v>5</v>
      </c>
      <c r="E313" s="16">
        <v>1500.4</v>
      </c>
      <c r="F313" s="1">
        <v>44632</v>
      </c>
      <c r="G313" t="s">
        <v>2018</v>
      </c>
      <c r="H313">
        <v>2</v>
      </c>
      <c r="I313" s="12">
        <f>Table16[[#This Row],[price]]*Table16[[#This Row],[quantity]]</f>
        <v>7502</v>
      </c>
    </row>
    <row r="314" spans="1:9" x14ac:dyDescent="0.3">
      <c r="A314" t="s">
        <v>2329</v>
      </c>
      <c r="B314" t="s">
        <v>63</v>
      </c>
      <c r="C314" t="s">
        <v>2057</v>
      </c>
      <c r="D314">
        <v>5</v>
      </c>
      <c r="E314" s="16">
        <v>58.65</v>
      </c>
      <c r="F314" s="1">
        <v>44691</v>
      </c>
      <c r="G314" t="s">
        <v>2020</v>
      </c>
      <c r="H314">
        <v>4</v>
      </c>
      <c r="I314" s="12">
        <f>Table16[[#This Row],[price]]*Table16[[#This Row],[quantity]]</f>
        <v>293.25</v>
      </c>
    </row>
    <row r="315" spans="1:9" x14ac:dyDescent="0.3">
      <c r="A315" t="s">
        <v>2331</v>
      </c>
      <c r="B315" t="s">
        <v>63</v>
      </c>
      <c r="C315" t="s">
        <v>2024</v>
      </c>
      <c r="D315">
        <v>1</v>
      </c>
      <c r="E315" s="16">
        <v>35.840000000000003</v>
      </c>
      <c r="F315" s="1">
        <v>44753</v>
      </c>
      <c r="G315" t="s">
        <v>2027</v>
      </c>
      <c r="H315">
        <v>3</v>
      </c>
      <c r="I315" s="12">
        <f>Table16[[#This Row],[price]]*Table16[[#This Row],[quantity]]</f>
        <v>35.840000000000003</v>
      </c>
    </row>
    <row r="316" spans="1:9" x14ac:dyDescent="0.3">
      <c r="A316" t="s">
        <v>2332</v>
      </c>
      <c r="B316" t="s">
        <v>63</v>
      </c>
      <c r="C316" t="s">
        <v>2008</v>
      </c>
      <c r="D316">
        <v>5</v>
      </c>
      <c r="E316" s="16">
        <v>26.15</v>
      </c>
      <c r="F316" s="1">
        <v>44825</v>
      </c>
      <c r="G316" t="s">
        <v>2002</v>
      </c>
      <c r="H316">
        <v>4</v>
      </c>
      <c r="I316" s="12">
        <f>Table16[[#This Row],[price]]*Table16[[#This Row],[quantity]]</f>
        <v>130.75</v>
      </c>
    </row>
    <row r="317" spans="1:9" x14ac:dyDescent="0.3">
      <c r="A317" t="s">
        <v>2337</v>
      </c>
      <c r="B317" t="s">
        <v>64</v>
      </c>
      <c r="C317" t="s">
        <v>2001</v>
      </c>
      <c r="D317">
        <v>2</v>
      </c>
      <c r="E317" s="16">
        <v>600.16</v>
      </c>
      <c r="F317" s="1">
        <v>44268</v>
      </c>
      <c r="G317" t="s">
        <v>2058</v>
      </c>
      <c r="H317">
        <v>4</v>
      </c>
      <c r="I317" s="12">
        <f>Table16[[#This Row],[price]]*Table16[[#This Row],[quantity]]</f>
        <v>1200.32</v>
      </c>
    </row>
    <row r="318" spans="1:9" x14ac:dyDescent="0.3">
      <c r="A318" t="s">
        <v>2336</v>
      </c>
      <c r="B318" t="s">
        <v>64</v>
      </c>
      <c r="C318" t="s">
        <v>2001</v>
      </c>
      <c r="D318">
        <v>1</v>
      </c>
      <c r="E318" s="16">
        <v>300.08</v>
      </c>
      <c r="F318" s="1">
        <v>44319</v>
      </c>
      <c r="G318" t="s">
        <v>2004</v>
      </c>
      <c r="H318">
        <v>5</v>
      </c>
      <c r="I318" s="12">
        <f>Table16[[#This Row],[price]]*Table16[[#This Row],[quantity]]</f>
        <v>300.08</v>
      </c>
    </row>
    <row r="319" spans="1:9" x14ac:dyDescent="0.3">
      <c r="A319" t="s">
        <v>2334</v>
      </c>
      <c r="B319" t="s">
        <v>64</v>
      </c>
      <c r="C319" t="s">
        <v>2008</v>
      </c>
      <c r="D319">
        <v>4</v>
      </c>
      <c r="E319" s="16">
        <v>20.92</v>
      </c>
      <c r="F319" s="1">
        <v>44324</v>
      </c>
      <c r="G319" t="s">
        <v>2020</v>
      </c>
      <c r="H319">
        <v>3</v>
      </c>
      <c r="I319" s="12">
        <f>Table16[[#This Row],[price]]*Table16[[#This Row],[quantity]]</f>
        <v>83.68</v>
      </c>
    </row>
    <row r="320" spans="1:9" x14ac:dyDescent="0.3">
      <c r="A320" t="s">
        <v>2333</v>
      </c>
      <c r="B320" t="s">
        <v>64</v>
      </c>
      <c r="C320" t="s">
        <v>2001</v>
      </c>
      <c r="D320">
        <v>4</v>
      </c>
      <c r="E320" s="16">
        <v>1200.32</v>
      </c>
      <c r="F320" s="1">
        <v>44762</v>
      </c>
      <c r="G320" t="s">
        <v>2004</v>
      </c>
      <c r="H320">
        <v>5</v>
      </c>
      <c r="I320" s="12">
        <f>Table16[[#This Row],[price]]*Table16[[#This Row],[quantity]]</f>
        <v>4801.28</v>
      </c>
    </row>
    <row r="321" spans="1:9" x14ac:dyDescent="0.3">
      <c r="A321" t="s">
        <v>2335</v>
      </c>
      <c r="B321" t="s">
        <v>64</v>
      </c>
      <c r="C321" t="s">
        <v>2015</v>
      </c>
      <c r="D321">
        <v>2</v>
      </c>
      <c r="E321" s="16">
        <v>1200.3399999999999</v>
      </c>
      <c r="F321" s="1">
        <v>44853</v>
      </c>
      <c r="G321" t="s">
        <v>2018</v>
      </c>
      <c r="H321">
        <v>4</v>
      </c>
      <c r="I321" s="12">
        <f>Table16[[#This Row],[price]]*Table16[[#This Row],[quantity]]</f>
        <v>2400.6799999999998</v>
      </c>
    </row>
    <row r="322" spans="1:9" x14ac:dyDescent="0.3">
      <c r="A322" t="s">
        <v>2342</v>
      </c>
      <c r="B322" t="s">
        <v>65</v>
      </c>
      <c r="C322" t="s">
        <v>2015</v>
      </c>
      <c r="D322">
        <v>5</v>
      </c>
      <c r="E322" s="16">
        <v>3000.85</v>
      </c>
      <c r="F322" s="1">
        <v>44197</v>
      </c>
      <c r="G322" t="s">
        <v>2002</v>
      </c>
      <c r="H322">
        <v>5</v>
      </c>
      <c r="I322" s="12">
        <f>Table16[[#This Row],[price]]*Table16[[#This Row],[quantity]]</f>
        <v>15004.25</v>
      </c>
    </row>
    <row r="323" spans="1:9" x14ac:dyDescent="0.3">
      <c r="A323" t="s">
        <v>2338</v>
      </c>
      <c r="B323" t="s">
        <v>65</v>
      </c>
      <c r="C323" t="s">
        <v>2011</v>
      </c>
      <c r="D323">
        <v>4</v>
      </c>
      <c r="E323" s="16">
        <v>162.63999999999999</v>
      </c>
      <c r="F323" s="1">
        <v>44249</v>
      </c>
      <c r="G323" t="s">
        <v>2027</v>
      </c>
      <c r="H323">
        <v>1</v>
      </c>
      <c r="I323" s="12">
        <f>Table16[[#This Row],[price]]*Table16[[#This Row],[quantity]]</f>
        <v>650.55999999999995</v>
      </c>
    </row>
    <row r="324" spans="1:9" x14ac:dyDescent="0.3">
      <c r="A324" t="s">
        <v>2339</v>
      </c>
      <c r="B324" t="s">
        <v>65</v>
      </c>
      <c r="C324" t="s">
        <v>2001</v>
      </c>
      <c r="D324">
        <v>2</v>
      </c>
      <c r="E324" s="16">
        <v>600.16</v>
      </c>
      <c r="F324" s="1">
        <v>44506</v>
      </c>
      <c r="G324" t="s">
        <v>2027</v>
      </c>
      <c r="H324">
        <v>4</v>
      </c>
      <c r="I324" s="12">
        <f>Table16[[#This Row],[price]]*Table16[[#This Row],[quantity]]</f>
        <v>1200.32</v>
      </c>
    </row>
    <row r="325" spans="1:9" x14ac:dyDescent="0.3">
      <c r="A325" t="s">
        <v>2343</v>
      </c>
      <c r="B325" t="s">
        <v>65</v>
      </c>
      <c r="C325" t="s">
        <v>2001</v>
      </c>
      <c r="D325">
        <v>4</v>
      </c>
      <c r="E325" s="16">
        <v>1200.32</v>
      </c>
      <c r="F325" s="1">
        <v>44645</v>
      </c>
      <c r="G325" t="s">
        <v>2004</v>
      </c>
      <c r="H325">
        <v>3</v>
      </c>
      <c r="I325" s="12">
        <f>Table16[[#This Row],[price]]*Table16[[#This Row],[quantity]]</f>
        <v>4801.28</v>
      </c>
    </row>
    <row r="326" spans="1:9" x14ac:dyDescent="0.3">
      <c r="A326" t="s">
        <v>2340</v>
      </c>
      <c r="B326" t="s">
        <v>65</v>
      </c>
      <c r="C326" t="s">
        <v>2001</v>
      </c>
      <c r="D326">
        <v>4</v>
      </c>
      <c r="E326" s="16">
        <v>1200.32</v>
      </c>
      <c r="F326" s="1">
        <v>44735</v>
      </c>
      <c r="G326" t="s">
        <v>2027</v>
      </c>
      <c r="H326">
        <v>2</v>
      </c>
      <c r="I326" s="12">
        <f>Table16[[#This Row],[price]]*Table16[[#This Row],[quantity]]</f>
        <v>4801.28</v>
      </c>
    </row>
    <row r="327" spans="1:9" x14ac:dyDescent="0.3">
      <c r="A327" t="s">
        <v>2341</v>
      </c>
      <c r="B327" t="s">
        <v>65</v>
      </c>
      <c r="C327" t="s">
        <v>2001</v>
      </c>
      <c r="D327">
        <v>5</v>
      </c>
      <c r="E327" s="16">
        <v>1500.4</v>
      </c>
      <c r="F327" s="1">
        <v>44783</v>
      </c>
      <c r="G327" t="s">
        <v>2018</v>
      </c>
      <c r="H327">
        <v>5</v>
      </c>
      <c r="I327" s="12">
        <f>Table16[[#This Row],[price]]*Table16[[#This Row],[quantity]]</f>
        <v>7502</v>
      </c>
    </row>
    <row r="328" spans="1:9" x14ac:dyDescent="0.3">
      <c r="A328" t="s">
        <v>2347</v>
      </c>
      <c r="B328" t="s">
        <v>66</v>
      </c>
      <c r="C328" t="s">
        <v>2001</v>
      </c>
      <c r="D328">
        <v>1</v>
      </c>
      <c r="E328" s="16">
        <v>300.08</v>
      </c>
      <c r="F328" s="1">
        <v>44285</v>
      </c>
      <c r="G328" t="s">
        <v>2004</v>
      </c>
      <c r="H328">
        <v>4</v>
      </c>
      <c r="I328" s="12">
        <f>Table16[[#This Row],[price]]*Table16[[#This Row],[quantity]]</f>
        <v>300.08</v>
      </c>
    </row>
    <row r="329" spans="1:9" x14ac:dyDescent="0.3">
      <c r="A329" t="s">
        <v>2349</v>
      </c>
      <c r="B329" t="s">
        <v>66</v>
      </c>
      <c r="C329" t="s">
        <v>2006</v>
      </c>
      <c r="D329">
        <v>4</v>
      </c>
      <c r="E329" s="16">
        <v>60.6</v>
      </c>
      <c r="F329" s="1">
        <v>44337</v>
      </c>
      <c r="G329" t="s">
        <v>2041</v>
      </c>
      <c r="H329">
        <v>2</v>
      </c>
      <c r="I329" s="12">
        <f>Table16[[#This Row],[price]]*Table16[[#This Row],[quantity]]</f>
        <v>242.4</v>
      </c>
    </row>
    <row r="330" spans="1:9" x14ac:dyDescent="0.3">
      <c r="A330" t="s">
        <v>2351</v>
      </c>
      <c r="B330" t="s">
        <v>66</v>
      </c>
      <c r="C330" t="s">
        <v>2008</v>
      </c>
      <c r="D330">
        <v>5</v>
      </c>
      <c r="E330" s="16">
        <v>26.15</v>
      </c>
      <c r="F330" s="1">
        <v>44355</v>
      </c>
      <c r="G330" t="s">
        <v>2064</v>
      </c>
      <c r="H330">
        <v>3</v>
      </c>
      <c r="I330" s="12">
        <f>Table16[[#This Row],[price]]*Table16[[#This Row],[quantity]]</f>
        <v>130.75</v>
      </c>
    </row>
    <row r="331" spans="1:9" x14ac:dyDescent="0.3">
      <c r="A331" t="s">
        <v>2344</v>
      </c>
      <c r="B331" t="s">
        <v>66</v>
      </c>
      <c r="C331" t="s">
        <v>2001</v>
      </c>
      <c r="D331">
        <v>5</v>
      </c>
      <c r="E331" s="16">
        <v>1500.4</v>
      </c>
      <c r="F331" s="1">
        <v>44365</v>
      </c>
      <c r="G331" t="s">
        <v>2027</v>
      </c>
      <c r="H331">
        <v>5</v>
      </c>
      <c r="I331" s="12">
        <f>Table16[[#This Row],[price]]*Table16[[#This Row],[quantity]]</f>
        <v>7502</v>
      </c>
    </row>
    <row r="332" spans="1:9" x14ac:dyDescent="0.3">
      <c r="A332" t="s">
        <v>2345</v>
      </c>
      <c r="B332" t="s">
        <v>66</v>
      </c>
      <c r="C332" t="s">
        <v>2001</v>
      </c>
      <c r="D332">
        <v>5</v>
      </c>
      <c r="E332" s="16">
        <v>1500.4</v>
      </c>
      <c r="F332" s="1">
        <v>44693</v>
      </c>
      <c r="G332" t="s">
        <v>2058</v>
      </c>
      <c r="H332">
        <v>2</v>
      </c>
      <c r="I332" s="12">
        <f>Table16[[#This Row],[price]]*Table16[[#This Row],[quantity]]</f>
        <v>7502</v>
      </c>
    </row>
    <row r="333" spans="1:9" x14ac:dyDescent="0.3">
      <c r="A333" t="s">
        <v>2350</v>
      </c>
      <c r="B333" t="s">
        <v>66</v>
      </c>
      <c r="C333" t="s">
        <v>2015</v>
      </c>
      <c r="D333">
        <v>2</v>
      </c>
      <c r="E333" s="16">
        <v>1200.3399999999999</v>
      </c>
      <c r="F333" s="1">
        <v>44747</v>
      </c>
      <c r="G333" t="s">
        <v>2002</v>
      </c>
      <c r="H333">
        <v>2</v>
      </c>
      <c r="I333" s="12">
        <f>Table16[[#This Row],[price]]*Table16[[#This Row],[quantity]]</f>
        <v>2400.6799999999998</v>
      </c>
    </row>
    <row r="334" spans="1:9" x14ac:dyDescent="0.3">
      <c r="A334" t="s">
        <v>2348</v>
      </c>
      <c r="B334" t="s">
        <v>66</v>
      </c>
      <c r="C334" t="s">
        <v>2006</v>
      </c>
      <c r="D334">
        <v>3</v>
      </c>
      <c r="E334" s="16">
        <v>45.45</v>
      </c>
      <c r="F334" s="1">
        <v>44762</v>
      </c>
      <c r="G334" t="s">
        <v>2002</v>
      </c>
      <c r="H334">
        <v>1</v>
      </c>
      <c r="I334" s="12">
        <f>Table16[[#This Row],[price]]*Table16[[#This Row],[quantity]]</f>
        <v>136.35000000000002</v>
      </c>
    </row>
    <row r="335" spans="1:9" x14ac:dyDescent="0.3">
      <c r="A335" t="s">
        <v>2346</v>
      </c>
      <c r="B335" t="s">
        <v>66</v>
      </c>
      <c r="C335" t="s">
        <v>2011</v>
      </c>
      <c r="D335">
        <v>5</v>
      </c>
      <c r="E335" s="16">
        <v>203.3</v>
      </c>
      <c r="F335" s="1">
        <v>44808</v>
      </c>
      <c r="G335" t="s">
        <v>2004</v>
      </c>
      <c r="H335">
        <v>1</v>
      </c>
      <c r="I335" s="12">
        <f>Table16[[#This Row],[price]]*Table16[[#This Row],[quantity]]</f>
        <v>1016.5</v>
      </c>
    </row>
    <row r="336" spans="1:9" x14ac:dyDescent="0.3">
      <c r="A336" t="s">
        <v>2352</v>
      </c>
      <c r="B336" t="s">
        <v>66</v>
      </c>
      <c r="C336" t="s">
        <v>2057</v>
      </c>
      <c r="D336">
        <v>1</v>
      </c>
      <c r="E336" s="16">
        <v>11.73</v>
      </c>
      <c r="F336" s="1">
        <v>44878</v>
      </c>
      <c r="G336" t="s">
        <v>2002</v>
      </c>
      <c r="H336">
        <v>5</v>
      </c>
      <c r="I336" s="12">
        <f>Table16[[#This Row],[price]]*Table16[[#This Row],[quantity]]</f>
        <v>11.73</v>
      </c>
    </row>
    <row r="337" spans="1:9" x14ac:dyDescent="0.3">
      <c r="A337" t="s">
        <v>2357</v>
      </c>
      <c r="B337" t="s">
        <v>67</v>
      </c>
      <c r="C337" t="s">
        <v>2015</v>
      </c>
      <c r="D337">
        <v>5</v>
      </c>
      <c r="E337" s="16">
        <v>3000.85</v>
      </c>
      <c r="F337" s="1">
        <v>44248</v>
      </c>
      <c r="G337" t="s">
        <v>2004</v>
      </c>
      <c r="H337">
        <v>1</v>
      </c>
      <c r="I337" s="12">
        <f>Table16[[#This Row],[price]]*Table16[[#This Row],[quantity]]</f>
        <v>15004.25</v>
      </c>
    </row>
    <row r="338" spans="1:9" x14ac:dyDescent="0.3">
      <c r="A338" t="s">
        <v>2353</v>
      </c>
      <c r="B338" t="s">
        <v>67</v>
      </c>
      <c r="C338" t="s">
        <v>2011</v>
      </c>
      <c r="D338">
        <v>2</v>
      </c>
      <c r="E338" s="16">
        <v>81.319999999999993</v>
      </c>
      <c r="F338" s="1">
        <v>44489</v>
      </c>
      <c r="G338" t="s">
        <v>2020</v>
      </c>
      <c r="H338">
        <v>1</v>
      </c>
      <c r="I338" s="12">
        <f>Table16[[#This Row],[price]]*Table16[[#This Row],[quantity]]</f>
        <v>162.63999999999999</v>
      </c>
    </row>
    <row r="339" spans="1:9" x14ac:dyDescent="0.3">
      <c r="A339" t="s">
        <v>2354</v>
      </c>
      <c r="B339" t="s">
        <v>67</v>
      </c>
      <c r="C339" t="s">
        <v>2008</v>
      </c>
      <c r="D339">
        <v>1</v>
      </c>
      <c r="E339" s="16">
        <v>5.23</v>
      </c>
      <c r="F339" s="1">
        <v>44542</v>
      </c>
      <c r="G339" t="s">
        <v>2004</v>
      </c>
      <c r="H339">
        <v>1</v>
      </c>
      <c r="I339" s="12">
        <f>Table16[[#This Row],[price]]*Table16[[#This Row],[quantity]]</f>
        <v>5.23</v>
      </c>
    </row>
    <row r="340" spans="1:9" x14ac:dyDescent="0.3">
      <c r="A340" t="s">
        <v>2355</v>
      </c>
      <c r="B340" t="s">
        <v>67</v>
      </c>
      <c r="C340" t="s">
        <v>2011</v>
      </c>
      <c r="D340">
        <v>1</v>
      </c>
      <c r="E340" s="16">
        <v>40.659999999999997</v>
      </c>
      <c r="F340" s="1">
        <v>44612</v>
      </c>
      <c r="G340" t="s">
        <v>2027</v>
      </c>
      <c r="H340">
        <v>4</v>
      </c>
      <c r="I340" s="12">
        <f>Table16[[#This Row],[price]]*Table16[[#This Row],[quantity]]</f>
        <v>40.659999999999997</v>
      </c>
    </row>
    <row r="341" spans="1:9" x14ac:dyDescent="0.3">
      <c r="A341" t="s">
        <v>2356</v>
      </c>
      <c r="B341" t="s">
        <v>67</v>
      </c>
      <c r="C341" t="s">
        <v>2017</v>
      </c>
      <c r="D341">
        <v>5</v>
      </c>
      <c r="E341" s="16">
        <v>5250</v>
      </c>
      <c r="F341" s="1">
        <v>44918</v>
      </c>
      <c r="G341" t="s">
        <v>2018</v>
      </c>
      <c r="H341">
        <v>4</v>
      </c>
      <c r="I341" s="12">
        <f>Table16[[#This Row],[price]]*Table16[[#This Row],[quantity]]</f>
        <v>26250</v>
      </c>
    </row>
    <row r="342" spans="1:9" x14ac:dyDescent="0.3">
      <c r="A342" t="s">
        <v>2360</v>
      </c>
      <c r="B342" t="s">
        <v>68</v>
      </c>
      <c r="C342" t="s">
        <v>2008</v>
      </c>
      <c r="D342">
        <v>3</v>
      </c>
      <c r="E342" s="16">
        <v>15.69</v>
      </c>
      <c r="F342" s="1">
        <v>44322</v>
      </c>
      <c r="G342" t="s">
        <v>2018</v>
      </c>
      <c r="H342">
        <v>5</v>
      </c>
      <c r="I342" s="12">
        <f>Table16[[#This Row],[price]]*Table16[[#This Row],[quantity]]</f>
        <v>47.07</v>
      </c>
    </row>
    <row r="343" spans="1:9" x14ac:dyDescent="0.3">
      <c r="A343" t="s">
        <v>2358</v>
      </c>
      <c r="B343" t="s">
        <v>68</v>
      </c>
      <c r="C343" t="s">
        <v>2008</v>
      </c>
      <c r="D343">
        <v>3</v>
      </c>
      <c r="E343" s="16">
        <v>15.69</v>
      </c>
      <c r="F343" s="1">
        <v>44329</v>
      </c>
      <c r="G343" t="s">
        <v>2004</v>
      </c>
      <c r="H343">
        <v>4</v>
      </c>
      <c r="I343" s="12">
        <f>Table16[[#This Row],[price]]*Table16[[#This Row],[quantity]]</f>
        <v>47.07</v>
      </c>
    </row>
    <row r="344" spans="1:9" x14ac:dyDescent="0.3">
      <c r="A344" t="s">
        <v>2365</v>
      </c>
      <c r="B344" t="s">
        <v>68</v>
      </c>
      <c r="C344" t="s">
        <v>2011</v>
      </c>
      <c r="D344">
        <v>2</v>
      </c>
      <c r="E344" s="16">
        <v>81.319999999999993</v>
      </c>
      <c r="F344" s="1">
        <v>44571</v>
      </c>
      <c r="G344" t="s">
        <v>2009</v>
      </c>
      <c r="H344">
        <v>2</v>
      </c>
      <c r="I344" s="12">
        <f>Table16[[#This Row],[price]]*Table16[[#This Row],[quantity]]</f>
        <v>162.63999999999999</v>
      </c>
    </row>
    <row r="345" spans="1:9" x14ac:dyDescent="0.3">
      <c r="A345" t="s">
        <v>2364</v>
      </c>
      <c r="B345" t="s">
        <v>68</v>
      </c>
      <c r="C345" t="s">
        <v>2015</v>
      </c>
      <c r="D345">
        <v>4</v>
      </c>
      <c r="E345" s="16">
        <v>2400.6799999999998</v>
      </c>
      <c r="F345" s="1">
        <v>44638</v>
      </c>
      <c r="G345" t="s">
        <v>2002</v>
      </c>
      <c r="H345">
        <v>2</v>
      </c>
      <c r="I345" s="12">
        <f>Table16[[#This Row],[price]]*Table16[[#This Row],[quantity]]</f>
        <v>9602.7199999999993</v>
      </c>
    </row>
    <row r="346" spans="1:9" x14ac:dyDescent="0.3">
      <c r="A346" t="s">
        <v>2361</v>
      </c>
      <c r="B346" t="s">
        <v>68</v>
      </c>
      <c r="C346" t="s">
        <v>2011</v>
      </c>
      <c r="D346">
        <v>5</v>
      </c>
      <c r="E346" s="16">
        <v>203.3</v>
      </c>
      <c r="F346" s="1">
        <v>44651</v>
      </c>
      <c r="G346" t="s">
        <v>2027</v>
      </c>
      <c r="H346">
        <v>2</v>
      </c>
      <c r="I346" s="12">
        <f>Table16[[#This Row],[price]]*Table16[[#This Row],[quantity]]</f>
        <v>1016.5</v>
      </c>
    </row>
    <row r="347" spans="1:9" x14ac:dyDescent="0.3">
      <c r="A347" t="s">
        <v>2362</v>
      </c>
      <c r="B347" t="s">
        <v>68</v>
      </c>
      <c r="C347" t="s">
        <v>2001</v>
      </c>
      <c r="D347">
        <v>3</v>
      </c>
      <c r="E347" s="16">
        <v>900.24</v>
      </c>
      <c r="F347" s="1">
        <v>44738</v>
      </c>
      <c r="G347" t="s">
        <v>2027</v>
      </c>
      <c r="H347">
        <v>2</v>
      </c>
      <c r="I347" s="12">
        <f>Table16[[#This Row],[price]]*Table16[[#This Row],[quantity]]</f>
        <v>2700.7200000000003</v>
      </c>
    </row>
    <row r="348" spans="1:9" x14ac:dyDescent="0.3">
      <c r="A348" t="s">
        <v>2359</v>
      </c>
      <c r="B348" t="s">
        <v>68</v>
      </c>
      <c r="C348" t="s">
        <v>2001</v>
      </c>
      <c r="D348">
        <v>5</v>
      </c>
      <c r="E348" s="16">
        <v>1500.4</v>
      </c>
      <c r="F348" s="1">
        <v>44805</v>
      </c>
      <c r="G348" t="s">
        <v>2027</v>
      </c>
      <c r="H348">
        <v>1</v>
      </c>
      <c r="I348" s="12">
        <f>Table16[[#This Row],[price]]*Table16[[#This Row],[quantity]]</f>
        <v>7502</v>
      </c>
    </row>
    <row r="349" spans="1:9" x14ac:dyDescent="0.3">
      <c r="A349" t="s">
        <v>2363</v>
      </c>
      <c r="B349" t="s">
        <v>68</v>
      </c>
      <c r="C349" t="s">
        <v>2011</v>
      </c>
      <c r="D349">
        <v>2</v>
      </c>
      <c r="E349" s="16">
        <v>81.319999999999993</v>
      </c>
      <c r="F349" s="1">
        <v>44935</v>
      </c>
      <c r="G349" t="s">
        <v>2027</v>
      </c>
      <c r="H349">
        <v>4</v>
      </c>
      <c r="I349" s="12">
        <f>Table16[[#This Row],[price]]*Table16[[#This Row],[quantity]]</f>
        <v>162.63999999999999</v>
      </c>
    </row>
    <row r="350" spans="1:9" x14ac:dyDescent="0.3">
      <c r="A350" t="s">
        <v>2367</v>
      </c>
      <c r="B350" t="s">
        <v>69</v>
      </c>
      <c r="C350" t="s">
        <v>2015</v>
      </c>
      <c r="D350">
        <v>2</v>
      </c>
      <c r="E350" s="16">
        <v>1200.3399999999999</v>
      </c>
      <c r="F350" s="1">
        <v>44353</v>
      </c>
      <c r="G350" t="s">
        <v>2058</v>
      </c>
      <c r="H350">
        <v>5</v>
      </c>
      <c r="I350" s="12">
        <f>Table16[[#This Row],[price]]*Table16[[#This Row],[quantity]]</f>
        <v>2400.6799999999998</v>
      </c>
    </row>
    <row r="351" spans="1:9" x14ac:dyDescent="0.3">
      <c r="A351" t="s">
        <v>2369</v>
      </c>
      <c r="B351" t="s">
        <v>69</v>
      </c>
      <c r="C351" t="s">
        <v>2008</v>
      </c>
      <c r="D351">
        <v>5</v>
      </c>
      <c r="E351" s="16">
        <v>26.15</v>
      </c>
      <c r="F351" s="1">
        <v>44535</v>
      </c>
      <c r="G351" t="s">
        <v>2020</v>
      </c>
      <c r="H351">
        <v>3</v>
      </c>
      <c r="I351" s="12">
        <f>Table16[[#This Row],[price]]*Table16[[#This Row],[quantity]]</f>
        <v>130.75</v>
      </c>
    </row>
    <row r="352" spans="1:9" x14ac:dyDescent="0.3">
      <c r="A352" t="s">
        <v>2370</v>
      </c>
      <c r="B352" t="s">
        <v>69</v>
      </c>
      <c r="C352" t="s">
        <v>2011</v>
      </c>
      <c r="D352">
        <v>3</v>
      </c>
      <c r="E352" s="16">
        <v>121.98</v>
      </c>
      <c r="F352" s="1">
        <v>44829</v>
      </c>
      <c r="G352" t="s">
        <v>2058</v>
      </c>
      <c r="H352">
        <v>1</v>
      </c>
      <c r="I352" s="12">
        <f>Table16[[#This Row],[price]]*Table16[[#This Row],[quantity]]</f>
        <v>365.94</v>
      </c>
    </row>
    <row r="353" spans="1:9" x14ac:dyDescent="0.3">
      <c r="A353" t="s">
        <v>2368</v>
      </c>
      <c r="B353" t="s">
        <v>69</v>
      </c>
      <c r="C353" t="s">
        <v>2008</v>
      </c>
      <c r="D353">
        <v>2</v>
      </c>
      <c r="E353" s="16">
        <v>10.46</v>
      </c>
      <c r="F353" s="1">
        <v>44834</v>
      </c>
      <c r="G353" t="s">
        <v>2002</v>
      </c>
      <c r="H353">
        <v>2</v>
      </c>
      <c r="I353" s="12">
        <f>Table16[[#This Row],[price]]*Table16[[#This Row],[quantity]]</f>
        <v>20.92</v>
      </c>
    </row>
    <row r="354" spans="1:9" x14ac:dyDescent="0.3">
      <c r="A354" t="s">
        <v>2366</v>
      </c>
      <c r="B354" t="s">
        <v>69</v>
      </c>
      <c r="C354" t="s">
        <v>2024</v>
      </c>
      <c r="D354">
        <v>3</v>
      </c>
      <c r="E354" s="16">
        <v>107.52</v>
      </c>
      <c r="F354" s="1">
        <v>44909</v>
      </c>
      <c r="G354" t="s">
        <v>2002</v>
      </c>
      <c r="H354">
        <v>4</v>
      </c>
      <c r="I354" s="12">
        <f>Table16[[#This Row],[price]]*Table16[[#This Row],[quantity]]</f>
        <v>322.56</v>
      </c>
    </row>
    <row r="355" spans="1:9" x14ac:dyDescent="0.3">
      <c r="A355" t="s">
        <v>2371</v>
      </c>
      <c r="B355" t="s">
        <v>70</v>
      </c>
      <c r="C355" t="s">
        <v>2015</v>
      </c>
      <c r="D355">
        <v>3</v>
      </c>
      <c r="E355" s="16">
        <v>1800.51</v>
      </c>
      <c r="F355" s="1">
        <v>44280</v>
      </c>
      <c r="G355" t="s">
        <v>2004</v>
      </c>
      <c r="H355">
        <v>3</v>
      </c>
      <c r="I355" s="12">
        <f>Table16[[#This Row],[price]]*Table16[[#This Row],[quantity]]</f>
        <v>5401.53</v>
      </c>
    </row>
    <row r="356" spans="1:9" x14ac:dyDescent="0.3">
      <c r="A356" t="s">
        <v>2372</v>
      </c>
      <c r="B356" t="s">
        <v>70</v>
      </c>
      <c r="C356" t="s">
        <v>2001</v>
      </c>
      <c r="D356">
        <v>5</v>
      </c>
      <c r="E356" s="16">
        <v>1500.4</v>
      </c>
      <c r="F356" s="1">
        <v>44476</v>
      </c>
      <c r="G356" t="s">
        <v>2012</v>
      </c>
      <c r="H356">
        <v>2</v>
      </c>
      <c r="I356" s="12">
        <f>Table16[[#This Row],[price]]*Table16[[#This Row],[quantity]]</f>
        <v>7502</v>
      </c>
    </row>
    <row r="357" spans="1:9" x14ac:dyDescent="0.3">
      <c r="A357" t="s">
        <v>2375</v>
      </c>
      <c r="B357" t="s">
        <v>71</v>
      </c>
      <c r="C357" t="s">
        <v>2011</v>
      </c>
      <c r="D357">
        <v>1</v>
      </c>
      <c r="E357" s="16">
        <v>40.659999999999997</v>
      </c>
      <c r="F357" s="1">
        <v>44257</v>
      </c>
      <c r="G357" t="s">
        <v>2004</v>
      </c>
      <c r="H357">
        <v>4</v>
      </c>
      <c r="I357" s="12">
        <f>Table16[[#This Row],[price]]*Table16[[#This Row],[quantity]]</f>
        <v>40.659999999999997</v>
      </c>
    </row>
    <row r="358" spans="1:9" x14ac:dyDescent="0.3">
      <c r="A358" t="s">
        <v>2377</v>
      </c>
      <c r="B358" t="s">
        <v>71</v>
      </c>
      <c r="C358" t="s">
        <v>2024</v>
      </c>
      <c r="D358">
        <v>2</v>
      </c>
      <c r="E358" s="16">
        <v>71.680000000000007</v>
      </c>
      <c r="F358" s="1">
        <v>44259</v>
      </c>
      <c r="G358" t="s">
        <v>2002</v>
      </c>
      <c r="H358">
        <v>3</v>
      </c>
      <c r="I358" s="12">
        <f>Table16[[#This Row],[price]]*Table16[[#This Row],[quantity]]</f>
        <v>143.36000000000001</v>
      </c>
    </row>
    <row r="359" spans="1:9" x14ac:dyDescent="0.3">
      <c r="A359" t="s">
        <v>2378</v>
      </c>
      <c r="B359" t="s">
        <v>71</v>
      </c>
      <c r="C359" t="s">
        <v>2017</v>
      </c>
      <c r="D359">
        <v>5</v>
      </c>
      <c r="E359" s="16">
        <v>5250</v>
      </c>
      <c r="F359" s="1">
        <v>44425</v>
      </c>
      <c r="G359" t="s">
        <v>2027</v>
      </c>
      <c r="H359">
        <v>3</v>
      </c>
      <c r="I359" s="12">
        <f>Table16[[#This Row],[price]]*Table16[[#This Row],[quantity]]</f>
        <v>26250</v>
      </c>
    </row>
    <row r="360" spans="1:9" x14ac:dyDescent="0.3">
      <c r="A360" t="s">
        <v>2373</v>
      </c>
      <c r="B360" t="s">
        <v>71</v>
      </c>
      <c r="C360" t="s">
        <v>2011</v>
      </c>
      <c r="D360">
        <v>3</v>
      </c>
      <c r="E360" s="16">
        <v>121.98</v>
      </c>
      <c r="F360" s="1">
        <v>44426</v>
      </c>
      <c r="G360" t="s">
        <v>2064</v>
      </c>
      <c r="H360">
        <v>2</v>
      </c>
      <c r="I360" s="12">
        <f>Table16[[#This Row],[price]]*Table16[[#This Row],[quantity]]</f>
        <v>365.94</v>
      </c>
    </row>
    <row r="361" spans="1:9" x14ac:dyDescent="0.3">
      <c r="A361" t="s">
        <v>2376</v>
      </c>
      <c r="B361" t="s">
        <v>71</v>
      </c>
      <c r="C361" t="s">
        <v>2057</v>
      </c>
      <c r="D361">
        <v>5</v>
      </c>
      <c r="E361" s="16">
        <v>58.65</v>
      </c>
      <c r="F361" s="1">
        <v>44552</v>
      </c>
      <c r="G361" t="s">
        <v>2002</v>
      </c>
      <c r="H361">
        <v>1</v>
      </c>
      <c r="I361" s="12">
        <f>Table16[[#This Row],[price]]*Table16[[#This Row],[quantity]]</f>
        <v>293.25</v>
      </c>
    </row>
    <row r="362" spans="1:9" x14ac:dyDescent="0.3">
      <c r="A362" t="s">
        <v>2379</v>
      </c>
      <c r="B362" t="s">
        <v>71</v>
      </c>
      <c r="C362" t="s">
        <v>2024</v>
      </c>
      <c r="D362">
        <v>5</v>
      </c>
      <c r="E362" s="16">
        <v>179.2</v>
      </c>
      <c r="F362" s="1">
        <v>44647</v>
      </c>
      <c r="G362" t="s">
        <v>2002</v>
      </c>
      <c r="H362">
        <v>2</v>
      </c>
      <c r="I362" s="12">
        <f>Table16[[#This Row],[price]]*Table16[[#This Row],[quantity]]</f>
        <v>896</v>
      </c>
    </row>
    <row r="363" spans="1:9" x14ac:dyDescent="0.3">
      <c r="A363" t="s">
        <v>2374</v>
      </c>
      <c r="B363" t="s">
        <v>71</v>
      </c>
      <c r="C363" t="s">
        <v>2011</v>
      </c>
      <c r="D363">
        <v>2</v>
      </c>
      <c r="E363" s="16">
        <v>81.319999999999993</v>
      </c>
      <c r="F363" s="1">
        <v>44806</v>
      </c>
      <c r="G363" t="s">
        <v>2027</v>
      </c>
      <c r="H363">
        <v>3</v>
      </c>
      <c r="I363" s="12">
        <f>Table16[[#This Row],[price]]*Table16[[#This Row],[quantity]]</f>
        <v>162.63999999999999</v>
      </c>
    </row>
    <row r="364" spans="1:9" x14ac:dyDescent="0.3">
      <c r="A364" t="s">
        <v>2383</v>
      </c>
      <c r="B364" t="s">
        <v>72</v>
      </c>
      <c r="C364" t="s">
        <v>2006</v>
      </c>
      <c r="D364">
        <v>1</v>
      </c>
      <c r="E364" s="16">
        <v>15.15</v>
      </c>
      <c r="F364" s="1">
        <v>44283</v>
      </c>
      <c r="G364" t="s">
        <v>2004</v>
      </c>
      <c r="H364">
        <v>5</v>
      </c>
      <c r="I364" s="12">
        <f>Table16[[#This Row],[price]]*Table16[[#This Row],[quantity]]</f>
        <v>15.15</v>
      </c>
    </row>
    <row r="365" spans="1:9" x14ac:dyDescent="0.3">
      <c r="A365" t="s">
        <v>2381</v>
      </c>
      <c r="B365" t="s">
        <v>72</v>
      </c>
      <c r="C365" t="s">
        <v>2015</v>
      </c>
      <c r="D365">
        <v>3</v>
      </c>
      <c r="E365" s="16">
        <v>1800.51</v>
      </c>
      <c r="F365" s="1">
        <v>44425</v>
      </c>
      <c r="G365" t="s">
        <v>2027</v>
      </c>
      <c r="H365">
        <v>2</v>
      </c>
      <c r="I365" s="12">
        <f>Table16[[#This Row],[price]]*Table16[[#This Row],[quantity]]</f>
        <v>5401.53</v>
      </c>
    </row>
    <row r="366" spans="1:9" x14ac:dyDescent="0.3">
      <c r="A366" t="s">
        <v>2384</v>
      </c>
      <c r="B366" t="s">
        <v>72</v>
      </c>
      <c r="C366" t="s">
        <v>2001</v>
      </c>
      <c r="D366">
        <v>5</v>
      </c>
      <c r="E366" s="16">
        <v>1500.4</v>
      </c>
      <c r="F366" s="1">
        <v>44797</v>
      </c>
      <c r="G366" t="s">
        <v>2027</v>
      </c>
      <c r="H366">
        <v>5</v>
      </c>
      <c r="I366" s="12">
        <f>Table16[[#This Row],[price]]*Table16[[#This Row],[quantity]]</f>
        <v>7502</v>
      </c>
    </row>
    <row r="367" spans="1:9" x14ac:dyDescent="0.3">
      <c r="A367" t="s">
        <v>2380</v>
      </c>
      <c r="B367" t="s">
        <v>72</v>
      </c>
      <c r="C367" t="s">
        <v>2001</v>
      </c>
      <c r="D367">
        <v>4</v>
      </c>
      <c r="E367" s="16">
        <v>1200.32</v>
      </c>
      <c r="F367" s="1">
        <v>44872</v>
      </c>
      <c r="G367" t="s">
        <v>2064</v>
      </c>
      <c r="H367">
        <v>5</v>
      </c>
      <c r="I367" s="12">
        <f>Table16[[#This Row],[price]]*Table16[[#This Row],[quantity]]</f>
        <v>4801.28</v>
      </c>
    </row>
    <row r="368" spans="1:9" x14ac:dyDescent="0.3">
      <c r="A368" t="s">
        <v>2382</v>
      </c>
      <c r="B368" t="s">
        <v>72</v>
      </c>
      <c r="C368" t="s">
        <v>2015</v>
      </c>
      <c r="D368">
        <v>3</v>
      </c>
      <c r="E368" s="16">
        <v>1800.51</v>
      </c>
      <c r="F368" s="1">
        <v>44978</v>
      </c>
      <c r="G368" t="s">
        <v>2002</v>
      </c>
      <c r="H368">
        <v>5</v>
      </c>
      <c r="I368" s="12">
        <f>Table16[[#This Row],[price]]*Table16[[#This Row],[quantity]]</f>
        <v>5401.53</v>
      </c>
    </row>
    <row r="369" spans="1:9" x14ac:dyDescent="0.3">
      <c r="A369" t="s">
        <v>2385</v>
      </c>
      <c r="B369" t="s">
        <v>73</v>
      </c>
      <c r="C369" t="s">
        <v>2001</v>
      </c>
      <c r="D369">
        <v>1</v>
      </c>
      <c r="E369" s="16">
        <v>300.08</v>
      </c>
      <c r="F369" s="1">
        <v>44492</v>
      </c>
      <c r="G369" t="s">
        <v>2027</v>
      </c>
      <c r="H369">
        <v>3</v>
      </c>
      <c r="I369" s="12">
        <f>Table16[[#This Row],[price]]*Table16[[#This Row],[quantity]]</f>
        <v>300.08</v>
      </c>
    </row>
    <row r="370" spans="1:9" x14ac:dyDescent="0.3">
      <c r="A370" t="s">
        <v>2386</v>
      </c>
      <c r="B370" t="s">
        <v>73</v>
      </c>
      <c r="C370" t="s">
        <v>2001</v>
      </c>
      <c r="D370">
        <v>4</v>
      </c>
      <c r="E370" s="16">
        <v>1200.32</v>
      </c>
      <c r="F370" s="1">
        <v>44945</v>
      </c>
      <c r="G370" t="s">
        <v>2020</v>
      </c>
      <c r="H370">
        <v>1</v>
      </c>
      <c r="I370" s="12">
        <f>Table16[[#This Row],[price]]*Table16[[#This Row],[quantity]]</f>
        <v>4801.28</v>
      </c>
    </row>
    <row r="371" spans="1:9" x14ac:dyDescent="0.3">
      <c r="A371" t="s">
        <v>2389</v>
      </c>
      <c r="B371" t="s">
        <v>74</v>
      </c>
      <c r="C371" t="s">
        <v>2001</v>
      </c>
      <c r="D371">
        <v>3</v>
      </c>
      <c r="E371" s="16">
        <v>900.24</v>
      </c>
      <c r="F371" s="1">
        <v>44290</v>
      </c>
      <c r="G371" t="s">
        <v>2002</v>
      </c>
      <c r="H371">
        <v>3</v>
      </c>
      <c r="I371" s="12">
        <f>Table16[[#This Row],[price]]*Table16[[#This Row],[quantity]]</f>
        <v>2700.7200000000003</v>
      </c>
    </row>
    <row r="372" spans="1:9" x14ac:dyDescent="0.3">
      <c r="A372" t="s">
        <v>2390</v>
      </c>
      <c r="B372" t="s">
        <v>74</v>
      </c>
      <c r="C372" t="s">
        <v>2015</v>
      </c>
      <c r="D372">
        <v>3</v>
      </c>
      <c r="E372" s="16">
        <v>1800.51</v>
      </c>
      <c r="F372" s="1">
        <v>44542</v>
      </c>
      <c r="G372" t="s">
        <v>2041</v>
      </c>
      <c r="H372">
        <v>1</v>
      </c>
      <c r="I372" s="12">
        <f>Table16[[#This Row],[price]]*Table16[[#This Row],[quantity]]</f>
        <v>5401.53</v>
      </c>
    </row>
    <row r="373" spans="1:9" x14ac:dyDescent="0.3">
      <c r="A373" t="s">
        <v>2387</v>
      </c>
      <c r="B373" t="s">
        <v>74</v>
      </c>
      <c r="C373" t="s">
        <v>2015</v>
      </c>
      <c r="D373">
        <v>5</v>
      </c>
      <c r="E373" s="16">
        <v>3000.85</v>
      </c>
      <c r="F373" s="1">
        <v>44558</v>
      </c>
      <c r="G373" t="s">
        <v>2027</v>
      </c>
      <c r="H373">
        <v>3</v>
      </c>
      <c r="I373" s="12">
        <f>Table16[[#This Row],[price]]*Table16[[#This Row],[quantity]]</f>
        <v>15004.25</v>
      </c>
    </row>
    <row r="374" spans="1:9" x14ac:dyDescent="0.3">
      <c r="A374" t="s">
        <v>2388</v>
      </c>
      <c r="B374" t="s">
        <v>74</v>
      </c>
      <c r="C374" t="s">
        <v>2015</v>
      </c>
      <c r="D374">
        <v>2</v>
      </c>
      <c r="E374" s="16">
        <v>1200.3399999999999</v>
      </c>
      <c r="F374" s="1">
        <v>44880</v>
      </c>
      <c r="G374" t="s">
        <v>2002</v>
      </c>
      <c r="H374">
        <v>5</v>
      </c>
      <c r="I374" s="12">
        <f>Table16[[#This Row],[price]]*Table16[[#This Row],[quantity]]</f>
        <v>2400.6799999999998</v>
      </c>
    </row>
    <row r="375" spans="1:9" x14ac:dyDescent="0.3">
      <c r="A375" t="s">
        <v>2391</v>
      </c>
      <c r="B375" t="s">
        <v>75</v>
      </c>
      <c r="C375" t="s">
        <v>2024</v>
      </c>
      <c r="D375">
        <v>1</v>
      </c>
      <c r="E375" s="16">
        <v>35.840000000000003</v>
      </c>
      <c r="F375" s="1">
        <v>44235</v>
      </c>
      <c r="G375" t="s">
        <v>2027</v>
      </c>
      <c r="H375">
        <v>5</v>
      </c>
      <c r="I375" s="12">
        <f>Table16[[#This Row],[price]]*Table16[[#This Row],[quantity]]</f>
        <v>35.840000000000003</v>
      </c>
    </row>
    <row r="376" spans="1:9" x14ac:dyDescent="0.3">
      <c r="A376" t="s">
        <v>2399</v>
      </c>
      <c r="B376" t="s">
        <v>75</v>
      </c>
      <c r="C376" t="s">
        <v>2057</v>
      </c>
      <c r="D376">
        <v>2</v>
      </c>
      <c r="E376" s="16">
        <v>23.46</v>
      </c>
      <c r="F376" s="1">
        <v>44274</v>
      </c>
      <c r="G376" t="s">
        <v>2009</v>
      </c>
      <c r="H376">
        <v>5</v>
      </c>
      <c r="I376" s="12">
        <f>Table16[[#This Row],[price]]*Table16[[#This Row],[quantity]]</f>
        <v>46.92</v>
      </c>
    </row>
    <row r="377" spans="1:9" x14ac:dyDescent="0.3">
      <c r="A377" t="s">
        <v>2394</v>
      </c>
      <c r="B377" t="s">
        <v>75</v>
      </c>
      <c r="C377" t="s">
        <v>2017</v>
      </c>
      <c r="D377">
        <v>1</v>
      </c>
      <c r="E377" s="16">
        <v>1050</v>
      </c>
      <c r="F377" s="1">
        <v>44315</v>
      </c>
      <c r="G377" t="s">
        <v>2027</v>
      </c>
      <c r="H377">
        <v>4</v>
      </c>
      <c r="I377" s="12">
        <f>Table16[[#This Row],[price]]*Table16[[#This Row],[quantity]]</f>
        <v>1050</v>
      </c>
    </row>
    <row r="378" spans="1:9" x14ac:dyDescent="0.3">
      <c r="A378" t="s">
        <v>2395</v>
      </c>
      <c r="B378" t="s">
        <v>75</v>
      </c>
      <c r="C378" t="s">
        <v>2057</v>
      </c>
      <c r="D378">
        <v>3</v>
      </c>
      <c r="E378" s="16">
        <v>35.19</v>
      </c>
      <c r="F378" s="1">
        <v>44362</v>
      </c>
      <c r="G378" t="s">
        <v>2027</v>
      </c>
      <c r="H378">
        <v>4</v>
      </c>
      <c r="I378" s="12">
        <f>Table16[[#This Row],[price]]*Table16[[#This Row],[quantity]]</f>
        <v>105.57</v>
      </c>
    </row>
    <row r="379" spans="1:9" x14ac:dyDescent="0.3">
      <c r="A379" t="s">
        <v>2398</v>
      </c>
      <c r="B379" t="s">
        <v>75</v>
      </c>
      <c r="C379" t="s">
        <v>2008</v>
      </c>
      <c r="D379">
        <v>4</v>
      </c>
      <c r="E379" s="16">
        <v>20.92</v>
      </c>
      <c r="F379" s="1">
        <v>44391</v>
      </c>
      <c r="G379" t="s">
        <v>2064</v>
      </c>
      <c r="H379">
        <v>2</v>
      </c>
      <c r="I379" s="12">
        <f>Table16[[#This Row],[price]]*Table16[[#This Row],[quantity]]</f>
        <v>83.68</v>
      </c>
    </row>
    <row r="380" spans="1:9" x14ac:dyDescent="0.3">
      <c r="A380" t="s">
        <v>2392</v>
      </c>
      <c r="B380" t="s">
        <v>75</v>
      </c>
      <c r="C380" t="s">
        <v>2001</v>
      </c>
      <c r="D380">
        <v>1</v>
      </c>
      <c r="E380" s="16">
        <v>300.08</v>
      </c>
      <c r="F380" s="1">
        <v>44411</v>
      </c>
      <c r="G380" t="s">
        <v>2004</v>
      </c>
      <c r="H380">
        <v>4</v>
      </c>
      <c r="I380" s="12">
        <f>Table16[[#This Row],[price]]*Table16[[#This Row],[quantity]]</f>
        <v>300.08</v>
      </c>
    </row>
    <row r="381" spans="1:9" x14ac:dyDescent="0.3">
      <c r="A381" t="s">
        <v>2393</v>
      </c>
      <c r="B381" t="s">
        <v>75</v>
      </c>
      <c r="C381" t="s">
        <v>2015</v>
      </c>
      <c r="D381">
        <v>1</v>
      </c>
      <c r="E381" s="16">
        <v>600.16999999999996</v>
      </c>
      <c r="F381" s="1">
        <v>44706</v>
      </c>
      <c r="G381" t="s">
        <v>2004</v>
      </c>
      <c r="H381">
        <v>5</v>
      </c>
      <c r="I381" s="12">
        <f>Table16[[#This Row],[price]]*Table16[[#This Row],[quantity]]</f>
        <v>600.16999999999996</v>
      </c>
    </row>
    <row r="382" spans="1:9" x14ac:dyDescent="0.3">
      <c r="A382" t="s">
        <v>2397</v>
      </c>
      <c r="B382" t="s">
        <v>75</v>
      </c>
      <c r="C382" t="s">
        <v>2008</v>
      </c>
      <c r="D382">
        <v>2</v>
      </c>
      <c r="E382" s="16">
        <v>10.46</v>
      </c>
      <c r="F382" s="1">
        <v>44891</v>
      </c>
      <c r="G382" t="s">
        <v>2018</v>
      </c>
      <c r="H382">
        <v>5</v>
      </c>
      <c r="I382" s="12">
        <f>Table16[[#This Row],[price]]*Table16[[#This Row],[quantity]]</f>
        <v>20.92</v>
      </c>
    </row>
    <row r="383" spans="1:9" x14ac:dyDescent="0.3">
      <c r="A383" t="s">
        <v>2396</v>
      </c>
      <c r="B383" t="s">
        <v>75</v>
      </c>
      <c r="C383" t="s">
        <v>2057</v>
      </c>
      <c r="D383">
        <v>4</v>
      </c>
      <c r="E383" s="16">
        <v>46.92</v>
      </c>
      <c r="F383" s="1">
        <v>44986</v>
      </c>
      <c r="G383" t="s">
        <v>2002</v>
      </c>
      <c r="H383">
        <v>3</v>
      </c>
      <c r="I383" s="12">
        <f>Table16[[#This Row],[price]]*Table16[[#This Row],[quantity]]</f>
        <v>187.68</v>
      </c>
    </row>
    <row r="384" spans="1:9" x14ac:dyDescent="0.3">
      <c r="A384" t="s">
        <v>2405</v>
      </c>
      <c r="B384" t="s">
        <v>76</v>
      </c>
      <c r="C384" t="s">
        <v>2011</v>
      </c>
      <c r="D384">
        <v>4</v>
      </c>
      <c r="E384" s="16">
        <v>162.63999999999999</v>
      </c>
      <c r="F384" s="1">
        <v>44348</v>
      </c>
      <c r="G384" t="s">
        <v>2020</v>
      </c>
      <c r="H384">
        <v>2</v>
      </c>
      <c r="I384" s="12">
        <f>Table16[[#This Row],[price]]*Table16[[#This Row],[quantity]]</f>
        <v>650.55999999999995</v>
      </c>
    </row>
    <row r="385" spans="1:9" x14ac:dyDescent="0.3">
      <c r="A385" t="s">
        <v>2404</v>
      </c>
      <c r="B385" t="s">
        <v>76</v>
      </c>
      <c r="C385" t="s">
        <v>2001</v>
      </c>
      <c r="D385">
        <v>4</v>
      </c>
      <c r="E385" s="16">
        <v>1200.32</v>
      </c>
      <c r="F385" s="1">
        <v>44370</v>
      </c>
      <c r="G385" t="s">
        <v>2041</v>
      </c>
      <c r="H385">
        <v>4</v>
      </c>
      <c r="I385" s="12">
        <f>Table16[[#This Row],[price]]*Table16[[#This Row],[quantity]]</f>
        <v>4801.28</v>
      </c>
    </row>
    <row r="386" spans="1:9" x14ac:dyDescent="0.3">
      <c r="A386" t="s">
        <v>2402</v>
      </c>
      <c r="B386" t="s">
        <v>76</v>
      </c>
      <c r="C386" t="s">
        <v>2001</v>
      </c>
      <c r="D386">
        <v>1</v>
      </c>
      <c r="E386" s="16">
        <v>300.08</v>
      </c>
      <c r="F386" s="1">
        <v>44405</v>
      </c>
      <c r="G386" t="s">
        <v>2027</v>
      </c>
      <c r="H386">
        <v>2</v>
      </c>
      <c r="I386" s="12">
        <f>Table16[[#This Row],[price]]*Table16[[#This Row],[quantity]]</f>
        <v>300.08</v>
      </c>
    </row>
    <row r="387" spans="1:9" x14ac:dyDescent="0.3">
      <c r="A387" t="s">
        <v>2406</v>
      </c>
      <c r="B387" t="s">
        <v>76</v>
      </c>
      <c r="C387" t="s">
        <v>2024</v>
      </c>
      <c r="D387">
        <v>5</v>
      </c>
      <c r="E387" s="16">
        <v>179.2</v>
      </c>
      <c r="F387" s="1">
        <v>44418</v>
      </c>
      <c r="G387" t="s">
        <v>2002</v>
      </c>
      <c r="H387">
        <v>3</v>
      </c>
      <c r="I387" s="12">
        <f>Table16[[#This Row],[price]]*Table16[[#This Row],[quantity]]</f>
        <v>896</v>
      </c>
    </row>
    <row r="388" spans="1:9" x14ac:dyDescent="0.3">
      <c r="A388" t="s">
        <v>2400</v>
      </c>
      <c r="B388" t="s">
        <v>76</v>
      </c>
      <c r="C388" t="s">
        <v>2001</v>
      </c>
      <c r="D388">
        <v>1</v>
      </c>
      <c r="E388" s="16">
        <v>300.08</v>
      </c>
      <c r="F388" s="1">
        <v>44635</v>
      </c>
      <c r="G388" t="s">
        <v>2027</v>
      </c>
      <c r="H388">
        <v>1</v>
      </c>
      <c r="I388" s="12">
        <f>Table16[[#This Row],[price]]*Table16[[#This Row],[quantity]]</f>
        <v>300.08</v>
      </c>
    </row>
    <row r="389" spans="1:9" x14ac:dyDescent="0.3">
      <c r="A389" t="s">
        <v>2403</v>
      </c>
      <c r="B389" t="s">
        <v>76</v>
      </c>
      <c r="C389" t="s">
        <v>2011</v>
      </c>
      <c r="D389">
        <v>4</v>
      </c>
      <c r="E389" s="16">
        <v>162.63999999999999</v>
      </c>
      <c r="F389" s="1">
        <v>44656</v>
      </c>
      <c r="G389" t="s">
        <v>2027</v>
      </c>
      <c r="H389">
        <v>3</v>
      </c>
      <c r="I389" s="12">
        <f>Table16[[#This Row],[price]]*Table16[[#This Row],[quantity]]</f>
        <v>650.55999999999995</v>
      </c>
    </row>
    <row r="390" spans="1:9" x14ac:dyDescent="0.3">
      <c r="A390" t="s">
        <v>2401</v>
      </c>
      <c r="B390" t="s">
        <v>76</v>
      </c>
      <c r="C390" t="s">
        <v>2017</v>
      </c>
      <c r="D390">
        <v>3</v>
      </c>
      <c r="E390" s="16">
        <v>3150</v>
      </c>
      <c r="F390" s="1">
        <v>44766</v>
      </c>
      <c r="G390" t="s">
        <v>2041</v>
      </c>
      <c r="H390">
        <v>2</v>
      </c>
      <c r="I390" s="12">
        <f>Table16[[#This Row],[price]]*Table16[[#This Row],[quantity]]</f>
        <v>9450</v>
      </c>
    </row>
    <row r="391" spans="1:9" x14ac:dyDescent="0.3">
      <c r="A391" t="s">
        <v>2408</v>
      </c>
      <c r="B391" t="s">
        <v>77</v>
      </c>
      <c r="C391" t="s">
        <v>2001</v>
      </c>
      <c r="D391">
        <v>1</v>
      </c>
      <c r="E391" s="16">
        <v>300.08</v>
      </c>
      <c r="F391" s="1">
        <v>44211</v>
      </c>
      <c r="G391" t="s">
        <v>2020</v>
      </c>
      <c r="H391">
        <v>3</v>
      </c>
      <c r="I391" s="12">
        <f>Table16[[#This Row],[price]]*Table16[[#This Row],[quantity]]</f>
        <v>300.08</v>
      </c>
    </row>
    <row r="392" spans="1:9" x14ac:dyDescent="0.3">
      <c r="A392" t="s">
        <v>2411</v>
      </c>
      <c r="B392" t="s">
        <v>77</v>
      </c>
      <c r="C392" t="s">
        <v>2024</v>
      </c>
      <c r="D392">
        <v>3</v>
      </c>
      <c r="E392" s="16">
        <v>107.52</v>
      </c>
      <c r="F392" s="1">
        <v>44313</v>
      </c>
      <c r="G392" t="s">
        <v>2027</v>
      </c>
      <c r="H392">
        <v>3</v>
      </c>
      <c r="I392" s="12">
        <f>Table16[[#This Row],[price]]*Table16[[#This Row],[quantity]]</f>
        <v>322.56</v>
      </c>
    </row>
    <row r="393" spans="1:9" x14ac:dyDescent="0.3">
      <c r="A393" t="s">
        <v>2414</v>
      </c>
      <c r="B393" t="s">
        <v>77</v>
      </c>
      <c r="C393" t="s">
        <v>2001</v>
      </c>
      <c r="D393">
        <v>2</v>
      </c>
      <c r="E393" s="16">
        <v>600.16</v>
      </c>
      <c r="F393" s="1">
        <v>44327</v>
      </c>
      <c r="G393" t="s">
        <v>2041</v>
      </c>
      <c r="H393">
        <v>3</v>
      </c>
      <c r="I393" s="12">
        <f>Table16[[#This Row],[price]]*Table16[[#This Row],[quantity]]</f>
        <v>1200.32</v>
      </c>
    </row>
    <row r="394" spans="1:9" x14ac:dyDescent="0.3">
      <c r="A394" t="s">
        <v>2407</v>
      </c>
      <c r="B394" t="s">
        <v>77</v>
      </c>
      <c r="C394" t="s">
        <v>2011</v>
      </c>
      <c r="D394">
        <v>3</v>
      </c>
      <c r="E394" s="16">
        <v>121.98</v>
      </c>
      <c r="F394" s="1">
        <v>44364</v>
      </c>
      <c r="G394" t="s">
        <v>2027</v>
      </c>
      <c r="H394">
        <v>5</v>
      </c>
      <c r="I394" s="12">
        <f>Table16[[#This Row],[price]]*Table16[[#This Row],[quantity]]</f>
        <v>365.94</v>
      </c>
    </row>
    <row r="395" spans="1:9" x14ac:dyDescent="0.3">
      <c r="A395" t="s">
        <v>2412</v>
      </c>
      <c r="B395" t="s">
        <v>77</v>
      </c>
      <c r="C395" t="s">
        <v>2008</v>
      </c>
      <c r="D395">
        <v>4</v>
      </c>
      <c r="E395" s="16">
        <v>20.92</v>
      </c>
      <c r="F395" s="1">
        <v>44477</v>
      </c>
      <c r="G395" t="s">
        <v>2041</v>
      </c>
      <c r="H395">
        <v>5</v>
      </c>
      <c r="I395" s="12">
        <f>Table16[[#This Row],[price]]*Table16[[#This Row],[quantity]]</f>
        <v>83.68</v>
      </c>
    </row>
    <row r="396" spans="1:9" x14ac:dyDescent="0.3">
      <c r="A396" t="s">
        <v>2413</v>
      </c>
      <c r="B396" t="s">
        <v>77</v>
      </c>
      <c r="C396" t="s">
        <v>2001</v>
      </c>
      <c r="D396">
        <v>4</v>
      </c>
      <c r="E396" s="16">
        <v>1200.32</v>
      </c>
      <c r="F396" s="1">
        <v>44543</v>
      </c>
      <c r="G396" t="s">
        <v>2004</v>
      </c>
      <c r="H396">
        <v>1</v>
      </c>
      <c r="I396" s="12">
        <f>Table16[[#This Row],[price]]*Table16[[#This Row],[quantity]]</f>
        <v>4801.28</v>
      </c>
    </row>
    <row r="397" spans="1:9" x14ac:dyDescent="0.3">
      <c r="A397" t="s">
        <v>2415</v>
      </c>
      <c r="B397" t="s">
        <v>77</v>
      </c>
      <c r="C397" t="s">
        <v>2017</v>
      </c>
      <c r="D397">
        <v>5</v>
      </c>
      <c r="E397" s="16">
        <v>5250</v>
      </c>
      <c r="F397" s="1">
        <v>44607</v>
      </c>
      <c r="G397" t="s">
        <v>2009</v>
      </c>
      <c r="H397">
        <v>3</v>
      </c>
      <c r="I397" s="12">
        <f>Table16[[#This Row],[price]]*Table16[[#This Row],[quantity]]</f>
        <v>26250</v>
      </c>
    </row>
    <row r="398" spans="1:9" x14ac:dyDescent="0.3">
      <c r="A398" t="s">
        <v>2410</v>
      </c>
      <c r="B398" t="s">
        <v>77</v>
      </c>
      <c r="C398" t="s">
        <v>2008</v>
      </c>
      <c r="D398">
        <v>4</v>
      </c>
      <c r="E398" s="16">
        <v>20.92</v>
      </c>
      <c r="F398" s="1">
        <v>44725</v>
      </c>
      <c r="G398" t="s">
        <v>2064</v>
      </c>
      <c r="H398">
        <v>3</v>
      </c>
      <c r="I398" s="12">
        <f>Table16[[#This Row],[price]]*Table16[[#This Row],[quantity]]</f>
        <v>83.68</v>
      </c>
    </row>
    <row r="399" spans="1:9" x14ac:dyDescent="0.3">
      <c r="A399" t="s">
        <v>2409</v>
      </c>
      <c r="B399" t="s">
        <v>77</v>
      </c>
      <c r="C399" t="s">
        <v>2001</v>
      </c>
      <c r="D399">
        <v>2</v>
      </c>
      <c r="E399" s="16">
        <v>600.16</v>
      </c>
      <c r="F399" s="1">
        <v>44780</v>
      </c>
      <c r="G399" t="s">
        <v>2064</v>
      </c>
      <c r="H399">
        <v>3</v>
      </c>
      <c r="I399" s="12">
        <f>Table16[[#This Row],[price]]*Table16[[#This Row],[quantity]]</f>
        <v>1200.32</v>
      </c>
    </row>
    <row r="400" spans="1:9" x14ac:dyDescent="0.3">
      <c r="A400" t="s">
        <v>2417</v>
      </c>
      <c r="B400" t="s">
        <v>78</v>
      </c>
      <c r="C400" t="s">
        <v>2001</v>
      </c>
      <c r="D400">
        <v>1</v>
      </c>
      <c r="E400" s="16">
        <v>300.08</v>
      </c>
      <c r="F400" s="1">
        <v>44279</v>
      </c>
      <c r="G400" t="s">
        <v>2027</v>
      </c>
      <c r="H400">
        <v>5</v>
      </c>
      <c r="I400" s="12">
        <f>Table16[[#This Row],[price]]*Table16[[#This Row],[quantity]]</f>
        <v>300.08</v>
      </c>
    </row>
    <row r="401" spans="1:9" x14ac:dyDescent="0.3">
      <c r="A401" t="s">
        <v>2416</v>
      </c>
      <c r="B401" t="s">
        <v>78</v>
      </c>
      <c r="C401" t="s">
        <v>2001</v>
      </c>
      <c r="D401">
        <v>2</v>
      </c>
      <c r="E401" s="16">
        <v>600.16</v>
      </c>
      <c r="F401" s="1">
        <v>44398</v>
      </c>
      <c r="G401" t="s">
        <v>2027</v>
      </c>
      <c r="H401">
        <v>1</v>
      </c>
      <c r="I401" s="12">
        <f>Table16[[#This Row],[price]]*Table16[[#This Row],[quantity]]</f>
        <v>1200.32</v>
      </c>
    </row>
    <row r="402" spans="1:9" x14ac:dyDescent="0.3">
      <c r="A402" t="s">
        <v>2420</v>
      </c>
      <c r="B402" t="s">
        <v>78</v>
      </c>
      <c r="C402" t="s">
        <v>2001</v>
      </c>
      <c r="D402">
        <v>1</v>
      </c>
      <c r="E402" s="16">
        <v>300.08</v>
      </c>
      <c r="F402" s="1">
        <v>44435</v>
      </c>
      <c r="G402" t="s">
        <v>2012</v>
      </c>
      <c r="H402">
        <v>5</v>
      </c>
      <c r="I402" s="12">
        <f>Table16[[#This Row],[price]]*Table16[[#This Row],[quantity]]</f>
        <v>300.08</v>
      </c>
    </row>
    <row r="403" spans="1:9" x14ac:dyDescent="0.3">
      <c r="A403" t="s">
        <v>2418</v>
      </c>
      <c r="B403" t="s">
        <v>78</v>
      </c>
      <c r="C403" t="s">
        <v>2024</v>
      </c>
      <c r="D403">
        <v>4</v>
      </c>
      <c r="E403" s="16">
        <v>143.36000000000001</v>
      </c>
      <c r="F403" s="1">
        <v>44625</v>
      </c>
      <c r="G403" t="s">
        <v>2004</v>
      </c>
      <c r="H403">
        <v>4</v>
      </c>
      <c r="I403" s="12">
        <f>Table16[[#This Row],[price]]*Table16[[#This Row],[quantity]]</f>
        <v>573.44000000000005</v>
      </c>
    </row>
    <row r="404" spans="1:9" x14ac:dyDescent="0.3">
      <c r="A404" t="s">
        <v>2419</v>
      </c>
      <c r="B404" t="s">
        <v>78</v>
      </c>
      <c r="C404" t="s">
        <v>2001</v>
      </c>
      <c r="D404">
        <v>2</v>
      </c>
      <c r="E404" s="16">
        <v>600.16</v>
      </c>
      <c r="F404" s="1">
        <v>44702</v>
      </c>
      <c r="G404" t="s">
        <v>2064</v>
      </c>
      <c r="H404">
        <v>4</v>
      </c>
      <c r="I404" s="12">
        <f>Table16[[#This Row],[price]]*Table16[[#This Row],[quantity]]</f>
        <v>1200.32</v>
      </c>
    </row>
    <row r="405" spans="1:9" x14ac:dyDescent="0.3">
      <c r="A405" t="s">
        <v>2427</v>
      </c>
      <c r="B405" t="s">
        <v>79</v>
      </c>
      <c r="C405" t="s">
        <v>2008</v>
      </c>
      <c r="D405">
        <v>1</v>
      </c>
      <c r="E405" s="16">
        <v>5.23</v>
      </c>
      <c r="F405" s="1">
        <v>44322</v>
      </c>
      <c r="G405" t="s">
        <v>2004</v>
      </c>
      <c r="H405">
        <v>3</v>
      </c>
      <c r="I405" s="12">
        <f>Table16[[#This Row],[price]]*Table16[[#This Row],[quantity]]</f>
        <v>5.23</v>
      </c>
    </row>
    <row r="406" spans="1:9" x14ac:dyDescent="0.3">
      <c r="A406" t="s">
        <v>2429</v>
      </c>
      <c r="B406" t="s">
        <v>79</v>
      </c>
      <c r="C406" t="s">
        <v>2017</v>
      </c>
      <c r="D406">
        <v>5</v>
      </c>
      <c r="E406" s="16">
        <v>5250</v>
      </c>
      <c r="F406" s="1">
        <v>44375</v>
      </c>
      <c r="G406" t="s">
        <v>2064</v>
      </c>
      <c r="H406">
        <v>3</v>
      </c>
      <c r="I406" s="12">
        <f>Table16[[#This Row],[price]]*Table16[[#This Row],[quantity]]</f>
        <v>26250</v>
      </c>
    </row>
    <row r="407" spans="1:9" x14ac:dyDescent="0.3">
      <c r="A407" t="s">
        <v>2428</v>
      </c>
      <c r="B407" t="s">
        <v>79</v>
      </c>
      <c r="C407" t="s">
        <v>2001</v>
      </c>
      <c r="D407">
        <v>4</v>
      </c>
      <c r="E407" s="16">
        <v>1200.32</v>
      </c>
      <c r="F407" s="1">
        <v>44382</v>
      </c>
      <c r="G407" t="s">
        <v>2002</v>
      </c>
      <c r="H407">
        <v>3</v>
      </c>
      <c r="I407" s="12">
        <f>Table16[[#This Row],[price]]*Table16[[#This Row],[quantity]]</f>
        <v>4801.28</v>
      </c>
    </row>
    <row r="408" spans="1:9" x14ac:dyDescent="0.3">
      <c r="A408" t="s">
        <v>2432</v>
      </c>
      <c r="B408" t="s">
        <v>79</v>
      </c>
      <c r="C408" t="s">
        <v>2017</v>
      </c>
      <c r="D408">
        <v>1</v>
      </c>
      <c r="E408" s="16">
        <v>1050</v>
      </c>
      <c r="F408" s="1">
        <v>44386</v>
      </c>
      <c r="G408" t="s">
        <v>2002</v>
      </c>
      <c r="H408">
        <v>3</v>
      </c>
      <c r="I408" s="12">
        <f>Table16[[#This Row],[price]]*Table16[[#This Row],[quantity]]</f>
        <v>1050</v>
      </c>
    </row>
    <row r="409" spans="1:9" x14ac:dyDescent="0.3">
      <c r="A409" t="s">
        <v>2425</v>
      </c>
      <c r="B409" t="s">
        <v>79</v>
      </c>
      <c r="C409" t="s">
        <v>2008</v>
      </c>
      <c r="D409">
        <v>3</v>
      </c>
      <c r="E409" s="16">
        <v>15.69</v>
      </c>
      <c r="F409" s="1">
        <v>44395</v>
      </c>
      <c r="G409" t="s">
        <v>2004</v>
      </c>
      <c r="H409">
        <v>5</v>
      </c>
      <c r="I409" s="12">
        <f>Table16[[#This Row],[price]]*Table16[[#This Row],[quantity]]</f>
        <v>47.07</v>
      </c>
    </row>
    <row r="410" spans="1:9" x14ac:dyDescent="0.3">
      <c r="A410" t="s">
        <v>2424</v>
      </c>
      <c r="B410" t="s">
        <v>79</v>
      </c>
      <c r="C410" t="s">
        <v>2017</v>
      </c>
      <c r="D410">
        <v>4</v>
      </c>
      <c r="E410" s="16">
        <v>4200</v>
      </c>
      <c r="F410" s="1">
        <v>44432</v>
      </c>
      <c r="G410" t="s">
        <v>2064</v>
      </c>
      <c r="H410">
        <v>5</v>
      </c>
      <c r="I410" s="12">
        <f>Table16[[#This Row],[price]]*Table16[[#This Row],[quantity]]</f>
        <v>16800</v>
      </c>
    </row>
    <row r="411" spans="1:9" x14ac:dyDescent="0.3">
      <c r="A411" t="s">
        <v>2426</v>
      </c>
      <c r="B411" t="s">
        <v>79</v>
      </c>
      <c r="C411" t="s">
        <v>2057</v>
      </c>
      <c r="D411">
        <v>4</v>
      </c>
      <c r="E411" s="16">
        <v>46.92</v>
      </c>
      <c r="F411" s="1">
        <v>44535</v>
      </c>
      <c r="G411" t="s">
        <v>2020</v>
      </c>
      <c r="H411">
        <v>3</v>
      </c>
      <c r="I411" s="12">
        <f>Table16[[#This Row],[price]]*Table16[[#This Row],[quantity]]</f>
        <v>187.68</v>
      </c>
    </row>
    <row r="412" spans="1:9" x14ac:dyDescent="0.3">
      <c r="A412" t="s">
        <v>2421</v>
      </c>
      <c r="B412" t="s">
        <v>79</v>
      </c>
      <c r="C412" t="s">
        <v>2008</v>
      </c>
      <c r="D412">
        <v>3</v>
      </c>
      <c r="E412" s="16">
        <v>15.69</v>
      </c>
      <c r="F412" s="1">
        <v>44548</v>
      </c>
      <c r="G412" t="s">
        <v>2041</v>
      </c>
      <c r="H412">
        <v>4</v>
      </c>
      <c r="I412" s="12">
        <f>Table16[[#This Row],[price]]*Table16[[#This Row],[quantity]]</f>
        <v>47.07</v>
      </c>
    </row>
    <row r="413" spans="1:9" x14ac:dyDescent="0.3">
      <c r="A413" t="s">
        <v>2422</v>
      </c>
      <c r="B413" t="s">
        <v>79</v>
      </c>
      <c r="C413" t="s">
        <v>2024</v>
      </c>
      <c r="D413">
        <v>4</v>
      </c>
      <c r="E413" s="16">
        <v>143.36000000000001</v>
      </c>
      <c r="F413" s="1">
        <v>44669</v>
      </c>
      <c r="G413" t="s">
        <v>2041</v>
      </c>
      <c r="H413">
        <v>4</v>
      </c>
      <c r="I413" s="12">
        <f>Table16[[#This Row],[price]]*Table16[[#This Row],[quantity]]</f>
        <v>573.44000000000005</v>
      </c>
    </row>
    <row r="414" spans="1:9" x14ac:dyDescent="0.3">
      <c r="A414" t="s">
        <v>2423</v>
      </c>
      <c r="B414" t="s">
        <v>79</v>
      </c>
      <c r="C414" t="s">
        <v>2001</v>
      </c>
      <c r="D414">
        <v>3</v>
      </c>
      <c r="E414" s="16">
        <v>900.24</v>
      </c>
      <c r="F414" s="1">
        <v>44806</v>
      </c>
      <c r="G414" t="s">
        <v>2027</v>
      </c>
      <c r="H414">
        <v>5</v>
      </c>
      <c r="I414" s="12">
        <f>Table16[[#This Row],[price]]*Table16[[#This Row],[quantity]]</f>
        <v>2700.7200000000003</v>
      </c>
    </row>
    <row r="415" spans="1:9" x14ac:dyDescent="0.3">
      <c r="A415" t="s">
        <v>2430</v>
      </c>
      <c r="B415" t="s">
        <v>79</v>
      </c>
      <c r="C415" t="s">
        <v>2001</v>
      </c>
      <c r="D415">
        <v>2</v>
      </c>
      <c r="E415" s="16">
        <v>600.16</v>
      </c>
      <c r="F415" s="1">
        <v>44842</v>
      </c>
      <c r="G415" t="s">
        <v>2020</v>
      </c>
      <c r="H415">
        <v>4</v>
      </c>
      <c r="I415" s="12">
        <f>Table16[[#This Row],[price]]*Table16[[#This Row],[quantity]]</f>
        <v>1200.32</v>
      </c>
    </row>
    <row r="416" spans="1:9" x14ac:dyDescent="0.3">
      <c r="A416" t="s">
        <v>2431</v>
      </c>
      <c r="B416" t="s">
        <v>79</v>
      </c>
      <c r="C416" t="s">
        <v>2001</v>
      </c>
      <c r="D416">
        <v>3</v>
      </c>
      <c r="E416" s="16">
        <v>900.24</v>
      </c>
      <c r="F416" s="1">
        <v>44868</v>
      </c>
      <c r="G416" t="s">
        <v>2004</v>
      </c>
      <c r="H416">
        <v>5</v>
      </c>
      <c r="I416" s="12">
        <f>Table16[[#This Row],[price]]*Table16[[#This Row],[quantity]]</f>
        <v>2700.7200000000003</v>
      </c>
    </row>
    <row r="417" spans="1:9" x14ac:dyDescent="0.3">
      <c r="A417" t="s">
        <v>2434</v>
      </c>
      <c r="B417" t="s">
        <v>80</v>
      </c>
      <c r="C417" t="s">
        <v>2008</v>
      </c>
      <c r="D417">
        <v>5</v>
      </c>
      <c r="E417" s="16">
        <v>26.15</v>
      </c>
      <c r="F417" s="1">
        <v>44221</v>
      </c>
      <c r="G417" t="s">
        <v>2012</v>
      </c>
      <c r="H417">
        <v>3</v>
      </c>
      <c r="I417" s="12">
        <f>Table16[[#This Row],[price]]*Table16[[#This Row],[quantity]]</f>
        <v>130.75</v>
      </c>
    </row>
    <row r="418" spans="1:9" x14ac:dyDescent="0.3">
      <c r="A418" t="s">
        <v>2433</v>
      </c>
      <c r="B418" t="s">
        <v>80</v>
      </c>
      <c r="C418" t="s">
        <v>2008</v>
      </c>
      <c r="D418">
        <v>5</v>
      </c>
      <c r="E418" s="16">
        <v>26.15</v>
      </c>
      <c r="F418" s="1">
        <v>44567</v>
      </c>
      <c r="G418" t="s">
        <v>2002</v>
      </c>
      <c r="H418">
        <v>2</v>
      </c>
      <c r="I418" s="12">
        <f>Table16[[#This Row],[price]]*Table16[[#This Row],[quantity]]</f>
        <v>130.75</v>
      </c>
    </row>
    <row r="419" spans="1:9" x14ac:dyDescent="0.3">
      <c r="A419" t="s">
        <v>2437</v>
      </c>
      <c r="B419" t="s">
        <v>81</v>
      </c>
      <c r="C419" t="s">
        <v>2001</v>
      </c>
      <c r="D419">
        <v>2</v>
      </c>
      <c r="E419" s="16">
        <v>600.16</v>
      </c>
      <c r="F419" s="1">
        <v>44264</v>
      </c>
      <c r="G419" t="s">
        <v>2009</v>
      </c>
      <c r="H419">
        <v>3</v>
      </c>
      <c r="I419" s="12">
        <f>Table16[[#This Row],[price]]*Table16[[#This Row],[quantity]]</f>
        <v>1200.32</v>
      </c>
    </row>
    <row r="420" spans="1:9" x14ac:dyDescent="0.3">
      <c r="A420" t="s">
        <v>2439</v>
      </c>
      <c r="B420" t="s">
        <v>81</v>
      </c>
      <c r="C420" t="s">
        <v>2011</v>
      </c>
      <c r="D420">
        <v>5</v>
      </c>
      <c r="E420" s="16">
        <v>203.3</v>
      </c>
      <c r="F420" s="1">
        <v>44287</v>
      </c>
      <c r="G420" t="s">
        <v>2002</v>
      </c>
      <c r="H420">
        <v>5</v>
      </c>
      <c r="I420" s="12">
        <f>Table16[[#This Row],[price]]*Table16[[#This Row],[quantity]]</f>
        <v>1016.5</v>
      </c>
    </row>
    <row r="421" spans="1:9" x14ac:dyDescent="0.3">
      <c r="A421" t="s">
        <v>2438</v>
      </c>
      <c r="B421" t="s">
        <v>81</v>
      </c>
      <c r="C421" t="s">
        <v>2008</v>
      </c>
      <c r="D421">
        <v>4</v>
      </c>
      <c r="E421" s="16">
        <v>20.92</v>
      </c>
      <c r="F421" s="1">
        <v>44487</v>
      </c>
      <c r="G421" t="s">
        <v>2027</v>
      </c>
      <c r="H421">
        <v>4</v>
      </c>
      <c r="I421" s="12">
        <f>Table16[[#This Row],[price]]*Table16[[#This Row],[quantity]]</f>
        <v>83.68</v>
      </c>
    </row>
    <row r="422" spans="1:9" x14ac:dyDescent="0.3">
      <c r="A422" t="s">
        <v>2436</v>
      </c>
      <c r="B422" t="s">
        <v>81</v>
      </c>
      <c r="C422" t="s">
        <v>2001</v>
      </c>
      <c r="D422">
        <v>4</v>
      </c>
      <c r="E422" s="16">
        <v>1200.32</v>
      </c>
      <c r="F422" s="1">
        <v>44716</v>
      </c>
      <c r="G422" t="s">
        <v>2027</v>
      </c>
      <c r="H422">
        <v>1</v>
      </c>
      <c r="I422" s="12">
        <f>Table16[[#This Row],[price]]*Table16[[#This Row],[quantity]]</f>
        <v>4801.28</v>
      </c>
    </row>
    <row r="423" spans="1:9" x14ac:dyDescent="0.3">
      <c r="A423" t="s">
        <v>2435</v>
      </c>
      <c r="B423" t="s">
        <v>81</v>
      </c>
      <c r="C423" t="s">
        <v>2024</v>
      </c>
      <c r="D423">
        <v>5</v>
      </c>
      <c r="E423" s="16">
        <v>179.2</v>
      </c>
      <c r="F423" s="1">
        <v>44810</v>
      </c>
      <c r="G423" t="s">
        <v>2027</v>
      </c>
      <c r="H423">
        <v>4</v>
      </c>
      <c r="I423" s="12">
        <f>Table16[[#This Row],[price]]*Table16[[#This Row],[quantity]]</f>
        <v>896</v>
      </c>
    </row>
    <row r="424" spans="1:9" x14ac:dyDescent="0.3">
      <c r="A424" t="s">
        <v>2444</v>
      </c>
      <c r="B424" t="s">
        <v>82</v>
      </c>
      <c r="C424" t="s">
        <v>2015</v>
      </c>
      <c r="D424">
        <v>4</v>
      </c>
      <c r="E424" s="16">
        <v>2400.6799999999998</v>
      </c>
      <c r="F424" s="1">
        <v>44290</v>
      </c>
      <c r="G424" t="s">
        <v>2004</v>
      </c>
      <c r="H424">
        <v>5</v>
      </c>
      <c r="I424" s="12">
        <f>Table16[[#This Row],[price]]*Table16[[#This Row],[quantity]]</f>
        <v>9602.7199999999993</v>
      </c>
    </row>
    <row r="425" spans="1:9" x14ac:dyDescent="0.3">
      <c r="A425" t="s">
        <v>2445</v>
      </c>
      <c r="B425" t="s">
        <v>82</v>
      </c>
      <c r="C425" t="s">
        <v>2001</v>
      </c>
      <c r="D425">
        <v>2</v>
      </c>
      <c r="E425" s="16">
        <v>600.16</v>
      </c>
      <c r="F425" s="1">
        <v>44361</v>
      </c>
      <c r="G425" t="s">
        <v>2027</v>
      </c>
      <c r="H425">
        <v>1</v>
      </c>
      <c r="I425" s="12">
        <f>Table16[[#This Row],[price]]*Table16[[#This Row],[quantity]]</f>
        <v>1200.32</v>
      </c>
    </row>
    <row r="426" spans="1:9" x14ac:dyDescent="0.3">
      <c r="A426" t="s">
        <v>2441</v>
      </c>
      <c r="B426" t="s">
        <v>82</v>
      </c>
      <c r="C426" t="s">
        <v>2008</v>
      </c>
      <c r="D426">
        <v>3</v>
      </c>
      <c r="E426" s="16">
        <v>15.69</v>
      </c>
      <c r="F426" s="1">
        <v>44370</v>
      </c>
      <c r="G426" t="s">
        <v>2004</v>
      </c>
      <c r="H426">
        <v>4</v>
      </c>
      <c r="I426" s="12">
        <f>Table16[[#This Row],[price]]*Table16[[#This Row],[quantity]]</f>
        <v>47.07</v>
      </c>
    </row>
    <row r="427" spans="1:9" x14ac:dyDescent="0.3">
      <c r="A427" t="s">
        <v>2443</v>
      </c>
      <c r="B427" t="s">
        <v>82</v>
      </c>
      <c r="C427" t="s">
        <v>2008</v>
      </c>
      <c r="D427">
        <v>1</v>
      </c>
      <c r="E427" s="16">
        <v>5.23</v>
      </c>
      <c r="F427" s="1">
        <v>44396</v>
      </c>
      <c r="G427" t="s">
        <v>2018</v>
      </c>
      <c r="H427">
        <v>4</v>
      </c>
      <c r="I427" s="12">
        <f>Table16[[#This Row],[price]]*Table16[[#This Row],[quantity]]</f>
        <v>5.23</v>
      </c>
    </row>
    <row r="428" spans="1:9" x14ac:dyDescent="0.3">
      <c r="A428" t="s">
        <v>2440</v>
      </c>
      <c r="B428" t="s">
        <v>82</v>
      </c>
      <c r="C428" t="s">
        <v>2001</v>
      </c>
      <c r="D428">
        <v>4</v>
      </c>
      <c r="E428" s="16">
        <v>1200.32</v>
      </c>
      <c r="F428" s="1">
        <v>44630</v>
      </c>
      <c r="G428" t="s">
        <v>2002</v>
      </c>
      <c r="H428">
        <v>3</v>
      </c>
      <c r="I428" s="12">
        <f>Table16[[#This Row],[price]]*Table16[[#This Row],[quantity]]</f>
        <v>4801.28</v>
      </c>
    </row>
    <row r="429" spans="1:9" x14ac:dyDescent="0.3">
      <c r="A429" t="s">
        <v>2442</v>
      </c>
      <c r="B429" t="s">
        <v>82</v>
      </c>
      <c r="C429" t="s">
        <v>2015</v>
      </c>
      <c r="D429">
        <v>2</v>
      </c>
      <c r="E429" s="16">
        <v>1200.3399999999999</v>
      </c>
      <c r="F429" s="1">
        <v>44751</v>
      </c>
      <c r="G429" t="s">
        <v>2058</v>
      </c>
      <c r="H429">
        <v>4</v>
      </c>
      <c r="I429" s="12">
        <f>Table16[[#This Row],[price]]*Table16[[#This Row],[quantity]]</f>
        <v>2400.6799999999998</v>
      </c>
    </row>
    <row r="430" spans="1:9" x14ac:dyDescent="0.3">
      <c r="A430" t="s">
        <v>2448</v>
      </c>
      <c r="B430" t="s">
        <v>83</v>
      </c>
      <c r="C430" t="s">
        <v>2001</v>
      </c>
      <c r="D430">
        <v>2</v>
      </c>
      <c r="E430" s="16">
        <v>600.16</v>
      </c>
      <c r="F430" s="1">
        <v>44469</v>
      </c>
      <c r="G430" t="s">
        <v>2027</v>
      </c>
      <c r="H430">
        <v>5</v>
      </c>
      <c r="I430" s="12">
        <f>Table16[[#This Row],[price]]*Table16[[#This Row],[quantity]]</f>
        <v>1200.32</v>
      </c>
    </row>
    <row r="431" spans="1:9" x14ac:dyDescent="0.3">
      <c r="A431" t="s">
        <v>2450</v>
      </c>
      <c r="B431" t="s">
        <v>83</v>
      </c>
      <c r="C431" t="s">
        <v>2057</v>
      </c>
      <c r="D431">
        <v>4</v>
      </c>
      <c r="E431" s="16">
        <v>46.92</v>
      </c>
      <c r="F431" s="1">
        <v>44488</v>
      </c>
      <c r="G431" t="s">
        <v>2004</v>
      </c>
      <c r="H431">
        <v>4</v>
      </c>
      <c r="I431" s="12">
        <f>Table16[[#This Row],[price]]*Table16[[#This Row],[quantity]]</f>
        <v>187.68</v>
      </c>
    </row>
    <row r="432" spans="1:9" x14ac:dyDescent="0.3">
      <c r="A432" t="s">
        <v>2446</v>
      </c>
      <c r="B432" t="s">
        <v>83</v>
      </c>
      <c r="C432" t="s">
        <v>2006</v>
      </c>
      <c r="D432">
        <v>3</v>
      </c>
      <c r="E432" s="16">
        <v>45.45</v>
      </c>
      <c r="F432" s="1">
        <v>44623</v>
      </c>
      <c r="G432" t="s">
        <v>2009</v>
      </c>
      <c r="H432">
        <v>4</v>
      </c>
      <c r="I432" s="12">
        <f>Table16[[#This Row],[price]]*Table16[[#This Row],[quantity]]</f>
        <v>136.35000000000002</v>
      </c>
    </row>
    <row r="433" spans="1:9" x14ac:dyDescent="0.3">
      <c r="A433" t="s">
        <v>2447</v>
      </c>
      <c r="B433" t="s">
        <v>83</v>
      </c>
      <c r="C433" t="s">
        <v>2011</v>
      </c>
      <c r="D433">
        <v>5</v>
      </c>
      <c r="E433" s="16">
        <v>203.3</v>
      </c>
      <c r="F433" s="1">
        <v>44660</v>
      </c>
      <c r="G433" t="s">
        <v>2041</v>
      </c>
      <c r="H433">
        <v>1</v>
      </c>
      <c r="I433" s="12">
        <f>Table16[[#This Row],[price]]*Table16[[#This Row],[quantity]]</f>
        <v>1016.5</v>
      </c>
    </row>
    <row r="434" spans="1:9" x14ac:dyDescent="0.3">
      <c r="A434" t="s">
        <v>2449</v>
      </c>
      <c r="B434" t="s">
        <v>83</v>
      </c>
      <c r="C434" t="s">
        <v>2015</v>
      </c>
      <c r="D434">
        <v>3</v>
      </c>
      <c r="E434" s="16">
        <v>1800.51</v>
      </c>
      <c r="F434" s="1">
        <v>44737</v>
      </c>
      <c r="G434" t="s">
        <v>2020</v>
      </c>
      <c r="H434">
        <v>3</v>
      </c>
      <c r="I434" s="12">
        <f>Table16[[#This Row],[price]]*Table16[[#This Row],[quantity]]</f>
        <v>5401.53</v>
      </c>
    </row>
    <row r="435" spans="1:9" x14ac:dyDescent="0.3">
      <c r="A435" t="s">
        <v>2454</v>
      </c>
      <c r="B435" t="s">
        <v>84</v>
      </c>
      <c r="C435" t="s">
        <v>2011</v>
      </c>
      <c r="D435">
        <v>1</v>
      </c>
      <c r="E435" s="16">
        <v>40.659999999999997</v>
      </c>
      <c r="F435" s="1">
        <v>44416</v>
      </c>
      <c r="G435" t="s">
        <v>2004</v>
      </c>
      <c r="H435">
        <v>1</v>
      </c>
      <c r="I435" s="12">
        <f>Table16[[#This Row],[price]]*Table16[[#This Row],[quantity]]</f>
        <v>40.659999999999997</v>
      </c>
    </row>
    <row r="436" spans="1:9" x14ac:dyDescent="0.3">
      <c r="A436" t="s">
        <v>2451</v>
      </c>
      <c r="B436" t="s">
        <v>84</v>
      </c>
      <c r="C436" t="s">
        <v>2006</v>
      </c>
      <c r="D436">
        <v>2</v>
      </c>
      <c r="E436" s="16">
        <v>30.3</v>
      </c>
      <c r="F436" s="1">
        <v>44531</v>
      </c>
      <c r="G436" t="s">
        <v>2012</v>
      </c>
      <c r="H436">
        <v>2</v>
      </c>
      <c r="I436" s="12">
        <f>Table16[[#This Row],[price]]*Table16[[#This Row],[quantity]]</f>
        <v>60.6</v>
      </c>
    </row>
    <row r="437" spans="1:9" x14ac:dyDescent="0.3">
      <c r="A437" t="s">
        <v>2453</v>
      </c>
      <c r="B437" t="s">
        <v>84</v>
      </c>
      <c r="C437" t="s">
        <v>2006</v>
      </c>
      <c r="D437">
        <v>1</v>
      </c>
      <c r="E437" s="16">
        <v>15.15</v>
      </c>
      <c r="F437" s="1">
        <v>44652</v>
      </c>
      <c r="G437" t="s">
        <v>2041</v>
      </c>
      <c r="H437">
        <v>4</v>
      </c>
      <c r="I437" s="12">
        <f>Table16[[#This Row],[price]]*Table16[[#This Row],[quantity]]</f>
        <v>15.15</v>
      </c>
    </row>
    <row r="438" spans="1:9" x14ac:dyDescent="0.3">
      <c r="A438" t="s">
        <v>2452</v>
      </c>
      <c r="B438" t="s">
        <v>84</v>
      </c>
      <c r="C438" t="s">
        <v>2001</v>
      </c>
      <c r="D438">
        <v>4</v>
      </c>
      <c r="E438" s="16">
        <v>1200.32</v>
      </c>
      <c r="F438" s="1">
        <v>44853</v>
      </c>
      <c r="G438" t="s">
        <v>2018</v>
      </c>
      <c r="H438">
        <v>5</v>
      </c>
      <c r="I438" s="12">
        <f>Table16[[#This Row],[price]]*Table16[[#This Row],[quantity]]</f>
        <v>4801.28</v>
      </c>
    </row>
    <row r="439" spans="1:9" x14ac:dyDescent="0.3">
      <c r="A439" t="s">
        <v>2457</v>
      </c>
      <c r="B439" t="s">
        <v>85</v>
      </c>
      <c r="C439" t="s">
        <v>2024</v>
      </c>
      <c r="D439">
        <v>1</v>
      </c>
      <c r="E439" s="16">
        <v>35.840000000000003</v>
      </c>
      <c r="F439" s="1">
        <v>44429</v>
      </c>
      <c r="G439" t="s">
        <v>2041</v>
      </c>
      <c r="H439">
        <v>5</v>
      </c>
      <c r="I439" s="12">
        <f>Table16[[#This Row],[price]]*Table16[[#This Row],[quantity]]</f>
        <v>35.840000000000003</v>
      </c>
    </row>
    <row r="440" spans="1:9" x14ac:dyDescent="0.3">
      <c r="A440" t="s">
        <v>2455</v>
      </c>
      <c r="B440" t="s">
        <v>85</v>
      </c>
      <c r="C440" t="s">
        <v>2011</v>
      </c>
      <c r="D440">
        <v>4</v>
      </c>
      <c r="E440" s="16">
        <v>162.63999999999999</v>
      </c>
      <c r="F440" s="1">
        <v>44514</v>
      </c>
      <c r="G440" t="s">
        <v>2027</v>
      </c>
      <c r="H440">
        <v>5</v>
      </c>
      <c r="I440" s="12">
        <f>Table16[[#This Row],[price]]*Table16[[#This Row],[quantity]]</f>
        <v>650.55999999999995</v>
      </c>
    </row>
    <row r="441" spans="1:9" x14ac:dyDescent="0.3">
      <c r="A441" t="s">
        <v>2456</v>
      </c>
      <c r="B441" t="s">
        <v>85</v>
      </c>
      <c r="C441" t="s">
        <v>2011</v>
      </c>
      <c r="D441">
        <v>3</v>
      </c>
      <c r="E441" s="16">
        <v>121.98</v>
      </c>
      <c r="F441" s="1">
        <v>44923</v>
      </c>
      <c r="G441" t="s">
        <v>2020</v>
      </c>
      <c r="H441">
        <v>5</v>
      </c>
      <c r="I441" s="12">
        <f>Table16[[#This Row],[price]]*Table16[[#This Row],[quantity]]</f>
        <v>365.94</v>
      </c>
    </row>
    <row r="442" spans="1:9" x14ac:dyDescent="0.3">
      <c r="A442" t="s">
        <v>2463</v>
      </c>
      <c r="B442" t="s">
        <v>86</v>
      </c>
      <c r="C442" t="s">
        <v>2011</v>
      </c>
      <c r="D442">
        <v>3</v>
      </c>
      <c r="E442" s="16">
        <v>121.98</v>
      </c>
      <c r="F442" s="1">
        <v>44259</v>
      </c>
      <c r="G442" t="s">
        <v>2004</v>
      </c>
      <c r="H442">
        <v>5</v>
      </c>
      <c r="I442" s="12">
        <f>Table16[[#This Row],[price]]*Table16[[#This Row],[quantity]]</f>
        <v>365.94</v>
      </c>
    </row>
    <row r="443" spans="1:9" x14ac:dyDescent="0.3">
      <c r="A443" t="s">
        <v>2462</v>
      </c>
      <c r="B443" t="s">
        <v>86</v>
      </c>
      <c r="C443" t="s">
        <v>2011</v>
      </c>
      <c r="D443">
        <v>2</v>
      </c>
      <c r="E443" s="16">
        <v>81.319999999999993</v>
      </c>
      <c r="F443" s="1">
        <v>44312</v>
      </c>
      <c r="G443" t="s">
        <v>2004</v>
      </c>
      <c r="H443">
        <v>1</v>
      </c>
      <c r="I443" s="12">
        <f>Table16[[#This Row],[price]]*Table16[[#This Row],[quantity]]</f>
        <v>162.63999999999999</v>
      </c>
    </row>
    <row r="444" spans="1:9" x14ac:dyDescent="0.3">
      <c r="A444" t="s">
        <v>2461</v>
      </c>
      <c r="B444" t="s">
        <v>86</v>
      </c>
      <c r="C444" t="s">
        <v>2008</v>
      </c>
      <c r="D444">
        <v>4</v>
      </c>
      <c r="E444" s="16">
        <v>20.92</v>
      </c>
      <c r="F444" s="1">
        <v>44478</v>
      </c>
      <c r="G444" t="s">
        <v>2064</v>
      </c>
      <c r="H444">
        <v>5</v>
      </c>
      <c r="I444" s="12">
        <f>Table16[[#This Row],[price]]*Table16[[#This Row],[quantity]]</f>
        <v>83.68</v>
      </c>
    </row>
    <row r="445" spans="1:9" x14ac:dyDescent="0.3">
      <c r="A445" t="s">
        <v>2459</v>
      </c>
      <c r="B445" t="s">
        <v>86</v>
      </c>
      <c r="C445" t="s">
        <v>2008</v>
      </c>
      <c r="D445">
        <v>1</v>
      </c>
      <c r="E445" s="16">
        <v>5.23</v>
      </c>
      <c r="F445" s="1">
        <v>44565</v>
      </c>
      <c r="G445" t="s">
        <v>2027</v>
      </c>
      <c r="H445">
        <v>2</v>
      </c>
      <c r="I445" s="12">
        <f>Table16[[#This Row],[price]]*Table16[[#This Row],[quantity]]</f>
        <v>5.23</v>
      </c>
    </row>
    <row r="446" spans="1:9" x14ac:dyDescent="0.3">
      <c r="A446" t="s">
        <v>2464</v>
      </c>
      <c r="B446" t="s">
        <v>86</v>
      </c>
      <c r="C446" t="s">
        <v>2015</v>
      </c>
      <c r="D446">
        <v>4</v>
      </c>
      <c r="E446" s="16">
        <v>2400.6799999999998</v>
      </c>
      <c r="F446" s="1">
        <v>44591</v>
      </c>
      <c r="G446" t="s">
        <v>2064</v>
      </c>
      <c r="H446">
        <v>3</v>
      </c>
      <c r="I446" s="12">
        <f>Table16[[#This Row],[price]]*Table16[[#This Row],[quantity]]</f>
        <v>9602.7199999999993</v>
      </c>
    </row>
    <row r="447" spans="1:9" x14ac:dyDescent="0.3">
      <c r="A447" t="s">
        <v>2465</v>
      </c>
      <c r="B447" t="s">
        <v>86</v>
      </c>
      <c r="C447" t="s">
        <v>2017</v>
      </c>
      <c r="D447">
        <v>5</v>
      </c>
      <c r="E447" s="16">
        <v>5250</v>
      </c>
      <c r="F447" s="1">
        <v>44592</v>
      </c>
      <c r="G447" t="s">
        <v>2004</v>
      </c>
      <c r="H447">
        <v>3</v>
      </c>
      <c r="I447" s="12">
        <f>Table16[[#This Row],[price]]*Table16[[#This Row],[quantity]]</f>
        <v>26250</v>
      </c>
    </row>
    <row r="448" spans="1:9" x14ac:dyDescent="0.3">
      <c r="A448" t="s">
        <v>2460</v>
      </c>
      <c r="B448" t="s">
        <v>86</v>
      </c>
      <c r="C448" t="s">
        <v>2011</v>
      </c>
      <c r="D448">
        <v>4</v>
      </c>
      <c r="E448" s="16">
        <v>162.63999999999999</v>
      </c>
      <c r="F448" s="1">
        <v>44798</v>
      </c>
      <c r="G448" t="s">
        <v>2004</v>
      </c>
      <c r="H448">
        <v>5</v>
      </c>
      <c r="I448" s="12">
        <f>Table16[[#This Row],[price]]*Table16[[#This Row],[quantity]]</f>
        <v>650.55999999999995</v>
      </c>
    </row>
    <row r="449" spans="1:9" x14ac:dyDescent="0.3">
      <c r="A449" t="s">
        <v>2458</v>
      </c>
      <c r="B449" t="s">
        <v>86</v>
      </c>
      <c r="C449" t="s">
        <v>2001</v>
      </c>
      <c r="D449">
        <v>1</v>
      </c>
      <c r="E449" s="16">
        <v>300.08</v>
      </c>
      <c r="F449" s="1">
        <v>44941</v>
      </c>
      <c r="G449" t="s">
        <v>2041</v>
      </c>
      <c r="H449">
        <v>3</v>
      </c>
      <c r="I449" s="12">
        <f>Table16[[#This Row],[price]]*Table16[[#This Row],[quantity]]</f>
        <v>300.08</v>
      </c>
    </row>
    <row r="450" spans="1:9" x14ac:dyDescent="0.3">
      <c r="A450" t="s">
        <v>2466</v>
      </c>
      <c r="B450" t="s">
        <v>87</v>
      </c>
      <c r="C450" t="s">
        <v>2017</v>
      </c>
      <c r="D450">
        <v>1</v>
      </c>
      <c r="E450" s="16">
        <v>1050</v>
      </c>
      <c r="F450" s="1">
        <v>44231</v>
      </c>
      <c r="G450" t="s">
        <v>2027</v>
      </c>
      <c r="H450">
        <v>4</v>
      </c>
      <c r="I450" s="12">
        <f>Table16[[#This Row],[price]]*Table16[[#This Row],[quantity]]</f>
        <v>1050</v>
      </c>
    </row>
    <row r="451" spans="1:9" x14ac:dyDescent="0.3">
      <c r="A451" t="s">
        <v>2467</v>
      </c>
      <c r="B451" t="s">
        <v>87</v>
      </c>
      <c r="C451" t="s">
        <v>2001</v>
      </c>
      <c r="D451">
        <v>3</v>
      </c>
      <c r="E451" s="16">
        <v>900.24</v>
      </c>
      <c r="F451" s="1">
        <v>44301</v>
      </c>
      <c r="G451" t="s">
        <v>2058</v>
      </c>
      <c r="H451">
        <v>5</v>
      </c>
      <c r="I451" s="12">
        <f>Table16[[#This Row],[price]]*Table16[[#This Row],[quantity]]</f>
        <v>2700.7200000000003</v>
      </c>
    </row>
    <row r="452" spans="1:9" x14ac:dyDescent="0.3">
      <c r="A452" t="s">
        <v>2471</v>
      </c>
      <c r="B452" t="s">
        <v>87</v>
      </c>
      <c r="C452" t="s">
        <v>2001</v>
      </c>
      <c r="D452">
        <v>2</v>
      </c>
      <c r="E452" s="16">
        <v>600.16</v>
      </c>
      <c r="F452" s="1">
        <v>44402</v>
      </c>
      <c r="G452" t="s">
        <v>2012</v>
      </c>
      <c r="H452">
        <v>4</v>
      </c>
      <c r="I452" s="12">
        <f>Table16[[#This Row],[price]]*Table16[[#This Row],[quantity]]</f>
        <v>1200.32</v>
      </c>
    </row>
    <row r="453" spans="1:9" x14ac:dyDescent="0.3">
      <c r="A453" t="s">
        <v>2468</v>
      </c>
      <c r="B453" t="s">
        <v>87</v>
      </c>
      <c r="C453" t="s">
        <v>2011</v>
      </c>
      <c r="D453">
        <v>1</v>
      </c>
      <c r="E453" s="16">
        <v>40.659999999999997</v>
      </c>
      <c r="F453" s="1">
        <v>44412</v>
      </c>
      <c r="G453" t="s">
        <v>2004</v>
      </c>
      <c r="H453">
        <v>3</v>
      </c>
      <c r="I453" s="12">
        <f>Table16[[#This Row],[price]]*Table16[[#This Row],[quantity]]</f>
        <v>40.659999999999997</v>
      </c>
    </row>
    <row r="454" spans="1:9" x14ac:dyDescent="0.3">
      <c r="A454" t="s">
        <v>2470</v>
      </c>
      <c r="B454" t="s">
        <v>87</v>
      </c>
      <c r="C454" t="s">
        <v>2001</v>
      </c>
      <c r="D454">
        <v>1</v>
      </c>
      <c r="E454" s="16">
        <v>300.08</v>
      </c>
      <c r="F454" s="1">
        <v>44497</v>
      </c>
      <c r="G454" t="s">
        <v>2020</v>
      </c>
      <c r="H454">
        <v>1</v>
      </c>
      <c r="I454" s="12">
        <f>Table16[[#This Row],[price]]*Table16[[#This Row],[quantity]]</f>
        <v>300.08</v>
      </c>
    </row>
    <row r="455" spans="1:9" x14ac:dyDescent="0.3">
      <c r="A455" t="s">
        <v>2469</v>
      </c>
      <c r="B455" t="s">
        <v>87</v>
      </c>
      <c r="C455" t="s">
        <v>2011</v>
      </c>
      <c r="D455">
        <v>1</v>
      </c>
      <c r="E455" s="16">
        <v>40.659999999999997</v>
      </c>
      <c r="F455" s="1">
        <v>44644</v>
      </c>
      <c r="G455" t="s">
        <v>2041</v>
      </c>
      <c r="H455">
        <v>3</v>
      </c>
      <c r="I455" s="12">
        <f>Table16[[#This Row],[price]]*Table16[[#This Row],[quantity]]</f>
        <v>40.659999999999997</v>
      </c>
    </row>
    <row r="456" spans="1:9" x14ac:dyDescent="0.3">
      <c r="A456" t="s">
        <v>2474</v>
      </c>
      <c r="B456" t="s">
        <v>88</v>
      </c>
      <c r="C456" t="s">
        <v>2008</v>
      </c>
      <c r="D456">
        <v>1</v>
      </c>
      <c r="E456" s="16">
        <v>5.23</v>
      </c>
      <c r="F456" s="1">
        <v>44402</v>
      </c>
      <c r="G456" t="s">
        <v>2027</v>
      </c>
      <c r="H456">
        <v>4</v>
      </c>
      <c r="I456" s="12">
        <f>Table16[[#This Row],[price]]*Table16[[#This Row],[quantity]]</f>
        <v>5.23</v>
      </c>
    </row>
    <row r="457" spans="1:9" x14ac:dyDescent="0.3">
      <c r="A457" t="s">
        <v>2473</v>
      </c>
      <c r="B457" t="s">
        <v>88</v>
      </c>
      <c r="C457" t="s">
        <v>2015</v>
      </c>
      <c r="D457">
        <v>1</v>
      </c>
      <c r="E457" s="16">
        <v>600.16999999999996</v>
      </c>
      <c r="F457" s="1">
        <v>44555</v>
      </c>
      <c r="G457" t="s">
        <v>2027</v>
      </c>
      <c r="H457">
        <v>2</v>
      </c>
      <c r="I457" s="12">
        <f>Table16[[#This Row],[price]]*Table16[[#This Row],[quantity]]</f>
        <v>600.16999999999996</v>
      </c>
    </row>
    <row r="458" spans="1:9" x14ac:dyDescent="0.3">
      <c r="A458" t="s">
        <v>2472</v>
      </c>
      <c r="B458" t="s">
        <v>88</v>
      </c>
      <c r="C458" t="s">
        <v>2001</v>
      </c>
      <c r="D458">
        <v>4</v>
      </c>
      <c r="E458" s="16">
        <v>1200.32</v>
      </c>
      <c r="F458" s="1">
        <v>44962</v>
      </c>
      <c r="G458" t="s">
        <v>2027</v>
      </c>
      <c r="H458">
        <v>3</v>
      </c>
      <c r="I458" s="12">
        <f>Table16[[#This Row],[price]]*Table16[[#This Row],[quantity]]</f>
        <v>4801.28</v>
      </c>
    </row>
    <row r="459" spans="1:9" x14ac:dyDescent="0.3">
      <c r="A459" t="s">
        <v>2478</v>
      </c>
      <c r="B459" t="s">
        <v>89</v>
      </c>
      <c r="C459" t="s">
        <v>2001</v>
      </c>
      <c r="D459">
        <v>1</v>
      </c>
      <c r="E459" s="16">
        <v>300.08</v>
      </c>
      <c r="F459" s="1">
        <v>44424</v>
      </c>
      <c r="G459" t="s">
        <v>2009</v>
      </c>
      <c r="H459">
        <v>1</v>
      </c>
      <c r="I459" s="12">
        <f>Table16[[#This Row],[price]]*Table16[[#This Row],[quantity]]</f>
        <v>300.08</v>
      </c>
    </row>
    <row r="460" spans="1:9" x14ac:dyDescent="0.3">
      <c r="A460" t="s">
        <v>2475</v>
      </c>
      <c r="B460" t="s">
        <v>89</v>
      </c>
      <c r="C460" t="s">
        <v>2017</v>
      </c>
      <c r="D460">
        <v>5</v>
      </c>
      <c r="E460" s="16">
        <v>5250</v>
      </c>
      <c r="F460" s="1">
        <v>44430</v>
      </c>
      <c r="G460" t="s">
        <v>2009</v>
      </c>
      <c r="H460">
        <v>1</v>
      </c>
      <c r="I460" s="12">
        <f>Table16[[#This Row],[price]]*Table16[[#This Row],[quantity]]</f>
        <v>26250</v>
      </c>
    </row>
    <row r="461" spans="1:9" x14ac:dyDescent="0.3">
      <c r="A461" t="s">
        <v>2476</v>
      </c>
      <c r="B461" t="s">
        <v>89</v>
      </c>
      <c r="C461" t="s">
        <v>2006</v>
      </c>
      <c r="D461">
        <v>1</v>
      </c>
      <c r="E461" s="16">
        <v>15.15</v>
      </c>
      <c r="F461" s="1">
        <v>44715</v>
      </c>
      <c r="G461" t="s">
        <v>2027</v>
      </c>
      <c r="H461">
        <v>5</v>
      </c>
      <c r="I461" s="12">
        <f>Table16[[#This Row],[price]]*Table16[[#This Row],[quantity]]</f>
        <v>15.15</v>
      </c>
    </row>
    <row r="462" spans="1:9" x14ac:dyDescent="0.3">
      <c r="A462" t="s">
        <v>2477</v>
      </c>
      <c r="B462" t="s">
        <v>89</v>
      </c>
      <c r="C462" t="s">
        <v>2001</v>
      </c>
      <c r="D462">
        <v>4</v>
      </c>
      <c r="E462" s="16">
        <v>1200.32</v>
      </c>
      <c r="F462" s="1">
        <v>44944</v>
      </c>
      <c r="G462" t="s">
        <v>2064</v>
      </c>
      <c r="H462">
        <v>1</v>
      </c>
      <c r="I462" s="12">
        <f>Table16[[#This Row],[price]]*Table16[[#This Row],[quantity]]</f>
        <v>4801.28</v>
      </c>
    </row>
    <row r="463" spans="1:9" x14ac:dyDescent="0.3">
      <c r="A463" t="s">
        <v>2482</v>
      </c>
      <c r="B463" t="s">
        <v>90</v>
      </c>
      <c r="C463" t="s">
        <v>2024</v>
      </c>
      <c r="D463">
        <v>2</v>
      </c>
      <c r="E463" s="16">
        <v>71.680000000000007</v>
      </c>
      <c r="F463" s="1">
        <v>44221</v>
      </c>
      <c r="G463" t="s">
        <v>2058</v>
      </c>
      <c r="H463">
        <v>1</v>
      </c>
      <c r="I463" s="12">
        <f>Table16[[#This Row],[price]]*Table16[[#This Row],[quantity]]</f>
        <v>143.36000000000001</v>
      </c>
    </row>
    <row r="464" spans="1:9" x14ac:dyDescent="0.3">
      <c r="A464" t="s">
        <v>2480</v>
      </c>
      <c r="B464" t="s">
        <v>90</v>
      </c>
      <c r="C464" t="s">
        <v>2024</v>
      </c>
      <c r="D464">
        <v>3</v>
      </c>
      <c r="E464" s="16">
        <v>107.52</v>
      </c>
      <c r="F464" s="1">
        <v>44298</v>
      </c>
      <c r="G464" t="s">
        <v>2002</v>
      </c>
      <c r="H464">
        <v>2</v>
      </c>
      <c r="I464" s="12">
        <f>Table16[[#This Row],[price]]*Table16[[#This Row],[quantity]]</f>
        <v>322.56</v>
      </c>
    </row>
    <row r="465" spans="1:9" x14ac:dyDescent="0.3">
      <c r="A465" t="s">
        <v>2479</v>
      </c>
      <c r="B465" t="s">
        <v>90</v>
      </c>
      <c r="C465" t="s">
        <v>2024</v>
      </c>
      <c r="D465">
        <v>4</v>
      </c>
      <c r="E465" s="16">
        <v>143.36000000000001</v>
      </c>
      <c r="F465" s="1">
        <v>44656</v>
      </c>
      <c r="G465" t="s">
        <v>2009</v>
      </c>
      <c r="H465">
        <v>4</v>
      </c>
      <c r="I465" s="12">
        <f>Table16[[#This Row],[price]]*Table16[[#This Row],[quantity]]</f>
        <v>573.44000000000005</v>
      </c>
    </row>
    <row r="466" spans="1:9" x14ac:dyDescent="0.3">
      <c r="A466" t="s">
        <v>2481</v>
      </c>
      <c r="B466" t="s">
        <v>90</v>
      </c>
      <c r="C466" t="s">
        <v>2001</v>
      </c>
      <c r="D466">
        <v>1</v>
      </c>
      <c r="E466" s="16">
        <v>300.08</v>
      </c>
      <c r="F466" s="1">
        <v>44818</v>
      </c>
      <c r="G466" t="s">
        <v>2027</v>
      </c>
      <c r="H466">
        <v>3</v>
      </c>
      <c r="I466" s="12">
        <f>Table16[[#This Row],[price]]*Table16[[#This Row],[quantity]]</f>
        <v>300.08</v>
      </c>
    </row>
    <row r="467" spans="1:9" x14ac:dyDescent="0.3">
      <c r="A467" t="s">
        <v>2489</v>
      </c>
      <c r="B467" t="s">
        <v>91</v>
      </c>
      <c r="C467" t="s">
        <v>2001</v>
      </c>
      <c r="D467">
        <v>4</v>
      </c>
      <c r="E467" s="16">
        <v>1200.32</v>
      </c>
      <c r="F467" s="1">
        <v>44397</v>
      </c>
      <c r="G467" t="s">
        <v>2004</v>
      </c>
      <c r="H467">
        <v>5</v>
      </c>
      <c r="I467" s="12">
        <f>Table16[[#This Row],[price]]*Table16[[#This Row],[quantity]]</f>
        <v>4801.28</v>
      </c>
    </row>
    <row r="468" spans="1:9" x14ac:dyDescent="0.3">
      <c r="A468" t="s">
        <v>2486</v>
      </c>
      <c r="B468" t="s">
        <v>91</v>
      </c>
      <c r="C468" t="s">
        <v>2017</v>
      </c>
      <c r="D468">
        <v>2</v>
      </c>
      <c r="E468" s="16">
        <v>2100</v>
      </c>
      <c r="F468" s="1">
        <v>44439</v>
      </c>
      <c r="G468" t="s">
        <v>2027</v>
      </c>
      <c r="H468">
        <v>3</v>
      </c>
      <c r="I468" s="12">
        <f>Table16[[#This Row],[price]]*Table16[[#This Row],[quantity]]</f>
        <v>4200</v>
      </c>
    </row>
    <row r="469" spans="1:9" x14ac:dyDescent="0.3">
      <c r="A469" t="s">
        <v>2483</v>
      </c>
      <c r="B469" t="s">
        <v>91</v>
      </c>
      <c r="C469" t="s">
        <v>2008</v>
      </c>
      <c r="D469">
        <v>4</v>
      </c>
      <c r="E469" s="16">
        <v>20.92</v>
      </c>
      <c r="F469" s="1">
        <v>44465</v>
      </c>
      <c r="G469" t="s">
        <v>2041</v>
      </c>
      <c r="H469">
        <v>2</v>
      </c>
      <c r="I469" s="12">
        <f>Table16[[#This Row],[price]]*Table16[[#This Row],[quantity]]</f>
        <v>83.68</v>
      </c>
    </row>
    <row r="470" spans="1:9" x14ac:dyDescent="0.3">
      <c r="A470" t="s">
        <v>2488</v>
      </c>
      <c r="B470" t="s">
        <v>91</v>
      </c>
      <c r="C470" t="s">
        <v>2001</v>
      </c>
      <c r="D470">
        <v>4</v>
      </c>
      <c r="E470" s="16">
        <v>1200.32</v>
      </c>
      <c r="F470" s="1">
        <v>44499</v>
      </c>
      <c r="G470" t="s">
        <v>2041</v>
      </c>
      <c r="H470">
        <v>2</v>
      </c>
      <c r="I470" s="12">
        <f>Table16[[#This Row],[price]]*Table16[[#This Row],[quantity]]</f>
        <v>4801.28</v>
      </c>
    </row>
    <row r="471" spans="1:9" x14ac:dyDescent="0.3">
      <c r="A471" t="s">
        <v>2485</v>
      </c>
      <c r="B471" t="s">
        <v>91</v>
      </c>
      <c r="C471" t="s">
        <v>2006</v>
      </c>
      <c r="D471">
        <v>4</v>
      </c>
      <c r="E471" s="16">
        <v>60.6</v>
      </c>
      <c r="F471" s="1">
        <v>44704</v>
      </c>
      <c r="G471" t="s">
        <v>2004</v>
      </c>
      <c r="H471">
        <v>4</v>
      </c>
      <c r="I471" s="12">
        <f>Table16[[#This Row],[price]]*Table16[[#This Row],[quantity]]</f>
        <v>242.4</v>
      </c>
    </row>
    <row r="472" spans="1:9" x14ac:dyDescent="0.3">
      <c r="A472" t="s">
        <v>2487</v>
      </c>
      <c r="B472" t="s">
        <v>91</v>
      </c>
      <c r="C472" t="s">
        <v>2001</v>
      </c>
      <c r="D472">
        <v>2</v>
      </c>
      <c r="E472" s="16">
        <v>600.16</v>
      </c>
      <c r="F472" s="1">
        <v>44851</v>
      </c>
      <c r="G472" t="s">
        <v>2020</v>
      </c>
      <c r="H472">
        <v>4</v>
      </c>
      <c r="I472" s="12">
        <f>Table16[[#This Row],[price]]*Table16[[#This Row],[quantity]]</f>
        <v>1200.32</v>
      </c>
    </row>
    <row r="473" spans="1:9" x14ac:dyDescent="0.3">
      <c r="A473" t="s">
        <v>2484</v>
      </c>
      <c r="B473" t="s">
        <v>91</v>
      </c>
      <c r="C473" t="s">
        <v>2057</v>
      </c>
      <c r="D473">
        <v>5</v>
      </c>
      <c r="E473" s="16">
        <v>58.65</v>
      </c>
      <c r="F473" s="1">
        <v>44978</v>
      </c>
      <c r="G473" t="s">
        <v>2002</v>
      </c>
      <c r="H473">
        <v>5</v>
      </c>
      <c r="I473" s="12">
        <f>Table16[[#This Row],[price]]*Table16[[#This Row],[quantity]]</f>
        <v>293.25</v>
      </c>
    </row>
    <row r="474" spans="1:9" x14ac:dyDescent="0.3">
      <c r="A474" t="s">
        <v>2491</v>
      </c>
      <c r="B474" t="s">
        <v>92</v>
      </c>
      <c r="C474" t="s">
        <v>2001</v>
      </c>
      <c r="D474">
        <v>2</v>
      </c>
      <c r="E474" s="16">
        <v>600.16</v>
      </c>
      <c r="F474" s="1">
        <v>44439</v>
      </c>
      <c r="G474" t="s">
        <v>2002</v>
      </c>
      <c r="H474">
        <v>5</v>
      </c>
      <c r="I474" s="12">
        <f>Table16[[#This Row],[price]]*Table16[[#This Row],[quantity]]</f>
        <v>1200.32</v>
      </c>
    </row>
    <row r="475" spans="1:9" x14ac:dyDescent="0.3">
      <c r="A475" t="s">
        <v>2490</v>
      </c>
      <c r="B475" t="s">
        <v>92</v>
      </c>
      <c r="C475" t="s">
        <v>2017</v>
      </c>
      <c r="D475">
        <v>4</v>
      </c>
      <c r="E475" s="16">
        <v>4200</v>
      </c>
      <c r="F475" s="1">
        <v>44727</v>
      </c>
      <c r="G475" t="s">
        <v>2027</v>
      </c>
      <c r="H475">
        <v>4</v>
      </c>
      <c r="I475" s="12">
        <f>Table16[[#This Row],[price]]*Table16[[#This Row],[quantity]]</f>
        <v>16800</v>
      </c>
    </row>
    <row r="476" spans="1:9" x14ac:dyDescent="0.3">
      <c r="A476" t="s">
        <v>2493</v>
      </c>
      <c r="B476" t="s">
        <v>92</v>
      </c>
      <c r="C476" t="s">
        <v>2001</v>
      </c>
      <c r="D476">
        <v>5</v>
      </c>
      <c r="E476" s="16">
        <v>1500.4</v>
      </c>
      <c r="F476" s="1">
        <v>44736</v>
      </c>
      <c r="G476" t="s">
        <v>2064</v>
      </c>
      <c r="H476">
        <v>2</v>
      </c>
      <c r="I476" s="12">
        <f>Table16[[#This Row],[price]]*Table16[[#This Row],[quantity]]</f>
        <v>7502</v>
      </c>
    </row>
    <row r="477" spans="1:9" x14ac:dyDescent="0.3">
      <c r="A477" t="s">
        <v>2492</v>
      </c>
      <c r="B477" t="s">
        <v>92</v>
      </c>
      <c r="C477" t="s">
        <v>2001</v>
      </c>
      <c r="D477">
        <v>2</v>
      </c>
      <c r="E477" s="16">
        <v>600.16</v>
      </c>
      <c r="F477" s="1">
        <v>44915</v>
      </c>
      <c r="G477" t="s">
        <v>2012</v>
      </c>
      <c r="H477">
        <v>4</v>
      </c>
      <c r="I477" s="12">
        <f>Table16[[#This Row],[price]]*Table16[[#This Row],[quantity]]</f>
        <v>1200.32</v>
      </c>
    </row>
    <row r="478" spans="1:9" x14ac:dyDescent="0.3">
      <c r="A478" t="s">
        <v>2494</v>
      </c>
      <c r="B478" t="s">
        <v>92</v>
      </c>
      <c r="C478" t="s">
        <v>2015</v>
      </c>
      <c r="D478">
        <v>1</v>
      </c>
      <c r="E478" s="16">
        <v>600.16999999999996</v>
      </c>
      <c r="F478" s="1">
        <v>44930</v>
      </c>
      <c r="G478" t="s">
        <v>2020</v>
      </c>
      <c r="H478">
        <v>1</v>
      </c>
      <c r="I478" s="12">
        <f>Table16[[#This Row],[price]]*Table16[[#This Row],[quantity]]</f>
        <v>600.16999999999996</v>
      </c>
    </row>
    <row r="479" spans="1:9" x14ac:dyDescent="0.3">
      <c r="A479" t="s">
        <v>2497</v>
      </c>
      <c r="B479" t="s">
        <v>93</v>
      </c>
      <c r="C479" t="s">
        <v>2008</v>
      </c>
      <c r="D479">
        <v>2</v>
      </c>
      <c r="E479" s="16">
        <v>10.46</v>
      </c>
      <c r="F479" s="1">
        <v>44501</v>
      </c>
      <c r="G479" t="s">
        <v>2041</v>
      </c>
      <c r="H479">
        <v>4</v>
      </c>
      <c r="I479" s="12">
        <f>Table16[[#This Row],[price]]*Table16[[#This Row],[quantity]]</f>
        <v>20.92</v>
      </c>
    </row>
    <row r="480" spans="1:9" x14ac:dyDescent="0.3">
      <c r="A480" t="s">
        <v>2495</v>
      </c>
      <c r="B480" t="s">
        <v>93</v>
      </c>
      <c r="C480" t="s">
        <v>2008</v>
      </c>
      <c r="D480">
        <v>4</v>
      </c>
      <c r="E480" s="16">
        <v>20.92</v>
      </c>
      <c r="F480" s="1">
        <v>44620</v>
      </c>
      <c r="G480" t="s">
        <v>2009</v>
      </c>
      <c r="H480">
        <v>5</v>
      </c>
      <c r="I480" s="12">
        <f>Table16[[#This Row],[price]]*Table16[[#This Row],[quantity]]</f>
        <v>83.68</v>
      </c>
    </row>
    <row r="481" spans="1:9" x14ac:dyDescent="0.3">
      <c r="A481" t="s">
        <v>2496</v>
      </c>
      <c r="B481" t="s">
        <v>93</v>
      </c>
      <c r="C481" t="s">
        <v>2006</v>
      </c>
      <c r="D481">
        <v>1</v>
      </c>
      <c r="E481" s="16">
        <v>15.15</v>
      </c>
      <c r="F481" s="1">
        <v>44944</v>
      </c>
      <c r="G481" t="s">
        <v>2009</v>
      </c>
      <c r="H481">
        <v>4</v>
      </c>
      <c r="I481" s="12">
        <f>Table16[[#This Row],[price]]*Table16[[#This Row],[quantity]]</f>
        <v>15.15</v>
      </c>
    </row>
    <row r="482" spans="1:9" x14ac:dyDescent="0.3">
      <c r="A482" t="s">
        <v>2500</v>
      </c>
      <c r="B482" t="s">
        <v>94</v>
      </c>
      <c r="C482" t="s">
        <v>2008</v>
      </c>
      <c r="D482">
        <v>1</v>
      </c>
      <c r="E482" s="16">
        <v>5.23</v>
      </c>
      <c r="F482" s="1">
        <v>44441</v>
      </c>
      <c r="G482" t="s">
        <v>2027</v>
      </c>
      <c r="H482">
        <v>4</v>
      </c>
      <c r="I482" s="12">
        <f>Table16[[#This Row],[price]]*Table16[[#This Row],[quantity]]</f>
        <v>5.23</v>
      </c>
    </row>
    <row r="483" spans="1:9" x14ac:dyDescent="0.3">
      <c r="A483" t="s">
        <v>2502</v>
      </c>
      <c r="B483" t="s">
        <v>94</v>
      </c>
      <c r="C483" t="s">
        <v>2001</v>
      </c>
      <c r="D483">
        <v>1</v>
      </c>
      <c r="E483" s="16">
        <v>300.08</v>
      </c>
      <c r="F483" s="1">
        <v>44702</v>
      </c>
      <c r="G483" t="s">
        <v>2002</v>
      </c>
      <c r="H483">
        <v>1</v>
      </c>
      <c r="I483" s="12">
        <f>Table16[[#This Row],[price]]*Table16[[#This Row],[quantity]]</f>
        <v>300.08</v>
      </c>
    </row>
    <row r="484" spans="1:9" x14ac:dyDescent="0.3">
      <c r="A484" t="s">
        <v>2498</v>
      </c>
      <c r="B484" t="s">
        <v>94</v>
      </c>
      <c r="C484" t="s">
        <v>2006</v>
      </c>
      <c r="D484">
        <v>2</v>
      </c>
      <c r="E484" s="16">
        <v>30.3</v>
      </c>
      <c r="F484" s="1">
        <v>44750</v>
      </c>
      <c r="G484" t="s">
        <v>2004</v>
      </c>
      <c r="H484">
        <v>1</v>
      </c>
      <c r="I484" s="12">
        <f>Table16[[#This Row],[price]]*Table16[[#This Row],[quantity]]</f>
        <v>60.6</v>
      </c>
    </row>
    <row r="485" spans="1:9" x14ac:dyDescent="0.3">
      <c r="A485" t="s">
        <v>2501</v>
      </c>
      <c r="B485" t="s">
        <v>94</v>
      </c>
      <c r="C485" t="s">
        <v>2001</v>
      </c>
      <c r="D485">
        <v>3</v>
      </c>
      <c r="E485" s="16">
        <v>900.24</v>
      </c>
      <c r="F485" s="1">
        <v>44779</v>
      </c>
      <c r="G485" t="s">
        <v>2027</v>
      </c>
      <c r="H485">
        <v>4</v>
      </c>
      <c r="I485" s="12">
        <f>Table16[[#This Row],[price]]*Table16[[#This Row],[quantity]]</f>
        <v>2700.7200000000003</v>
      </c>
    </row>
    <row r="486" spans="1:9" x14ac:dyDescent="0.3">
      <c r="A486" t="s">
        <v>2499</v>
      </c>
      <c r="B486" t="s">
        <v>94</v>
      </c>
      <c r="C486" t="s">
        <v>2057</v>
      </c>
      <c r="D486">
        <v>4</v>
      </c>
      <c r="E486" s="16">
        <v>46.92</v>
      </c>
      <c r="F486" s="1">
        <v>44838</v>
      </c>
      <c r="G486" t="s">
        <v>2002</v>
      </c>
      <c r="H486">
        <v>4</v>
      </c>
      <c r="I486" s="12">
        <f>Table16[[#This Row],[price]]*Table16[[#This Row],[quantity]]</f>
        <v>187.68</v>
      </c>
    </row>
    <row r="487" spans="1:9" x14ac:dyDescent="0.3">
      <c r="A487" t="s">
        <v>2503</v>
      </c>
      <c r="B487" t="s">
        <v>95</v>
      </c>
      <c r="C487" t="s">
        <v>2024</v>
      </c>
      <c r="D487">
        <v>4</v>
      </c>
      <c r="E487" s="16">
        <v>143.36000000000001</v>
      </c>
      <c r="F487" s="1">
        <v>44307</v>
      </c>
      <c r="G487" t="s">
        <v>2020</v>
      </c>
      <c r="H487">
        <v>4</v>
      </c>
      <c r="I487" s="12">
        <f>Table16[[#This Row],[price]]*Table16[[#This Row],[quantity]]</f>
        <v>573.44000000000005</v>
      </c>
    </row>
    <row r="488" spans="1:9" x14ac:dyDescent="0.3">
      <c r="A488" t="s">
        <v>2506</v>
      </c>
      <c r="B488" t="s">
        <v>95</v>
      </c>
      <c r="C488" t="s">
        <v>2001</v>
      </c>
      <c r="D488">
        <v>1</v>
      </c>
      <c r="E488" s="16">
        <v>300.08</v>
      </c>
      <c r="F488" s="1">
        <v>44483</v>
      </c>
      <c r="G488" t="s">
        <v>2002</v>
      </c>
      <c r="H488">
        <v>2</v>
      </c>
      <c r="I488" s="12">
        <f>Table16[[#This Row],[price]]*Table16[[#This Row],[quantity]]</f>
        <v>300.08</v>
      </c>
    </row>
    <row r="489" spans="1:9" x14ac:dyDescent="0.3">
      <c r="A489" t="s">
        <v>2504</v>
      </c>
      <c r="B489" t="s">
        <v>95</v>
      </c>
      <c r="C489" t="s">
        <v>2057</v>
      </c>
      <c r="D489">
        <v>5</v>
      </c>
      <c r="E489" s="16">
        <v>58.65</v>
      </c>
      <c r="F489" s="1">
        <v>44670</v>
      </c>
      <c r="G489" t="s">
        <v>2064</v>
      </c>
      <c r="H489">
        <v>4</v>
      </c>
      <c r="I489" s="12">
        <f>Table16[[#This Row],[price]]*Table16[[#This Row],[quantity]]</f>
        <v>293.25</v>
      </c>
    </row>
    <row r="490" spans="1:9" x14ac:dyDescent="0.3">
      <c r="A490" t="s">
        <v>2505</v>
      </c>
      <c r="B490" t="s">
        <v>95</v>
      </c>
      <c r="C490" t="s">
        <v>2001</v>
      </c>
      <c r="D490">
        <v>3</v>
      </c>
      <c r="E490" s="16">
        <v>900.24</v>
      </c>
      <c r="F490" s="1">
        <v>44811</v>
      </c>
      <c r="G490" t="s">
        <v>2064</v>
      </c>
      <c r="H490">
        <v>1</v>
      </c>
      <c r="I490" s="12">
        <f>Table16[[#This Row],[price]]*Table16[[#This Row],[quantity]]</f>
        <v>2700.7200000000003</v>
      </c>
    </row>
    <row r="491" spans="1:9" x14ac:dyDescent="0.3">
      <c r="A491" t="s">
        <v>2510</v>
      </c>
      <c r="B491" t="s">
        <v>96</v>
      </c>
      <c r="C491" t="s">
        <v>2001</v>
      </c>
      <c r="D491">
        <v>2</v>
      </c>
      <c r="E491" s="16">
        <v>600.16</v>
      </c>
      <c r="F491" s="1">
        <v>44226</v>
      </c>
      <c r="G491" t="s">
        <v>2009</v>
      </c>
      <c r="H491">
        <v>5</v>
      </c>
      <c r="I491" s="12">
        <f>Table16[[#This Row],[price]]*Table16[[#This Row],[quantity]]</f>
        <v>1200.32</v>
      </c>
    </row>
    <row r="492" spans="1:9" x14ac:dyDescent="0.3">
      <c r="A492" t="s">
        <v>2508</v>
      </c>
      <c r="B492" t="s">
        <v>96</v>
      </c>
      <c r="C492" t="s">
        <v>2001</v>
      </c>
      <c r="D492">
        <v>3</v>
      </c>
      <c r="E492" s="16">
        <v>900.24</v>
      </c>
      <c r="F492" s="1">
        <v>44291</v>
      </c>
      <c r="G492" t="s">
        <v>2004</v>
      </c>
      <c r="H492">
        <v>4</v>
      </c>
      <c r="I492" s="12">
        <f>Table16[[#This Row],[price]]*Table16[[#This Row],[quantity]]</f>
        <v>2700.7200000000003</v>
      </c>
    </row>
    <row r="493" spans="1:9" x14ac:dyDescent="0.3">
      <c r="A493" t="s">
        <v>2507</v>
      </c>
      <c r="B493" t="s">
        <v>96</v>
      </c>
      <c r="C493" t="s">
        <v>2001</v>
      </c>
      <c r="D493">
        <v>4</v>
      </c>
      <c r="E493" s="16">
        <v>1200.32</v>
      </c>
      <c r="F493" s="1">
        <v>44727</v>
      </c>
      <c r="G493" t="s">
        <v>2004</v>
      </c>
      <c r="H493">
        <v>4</v>
      </c>
      <c r="I493" s="12">
        <f>Table16[[#This Row],[price]]*Table16[[#This Row],[quantity]]</f>
        <v>4801.28</v>
      </c>
    </row>
    <row r="494" spans="1:9" x14ac:dyDescent="0.3">
      <c r="A494" t="s">
        <v>2509</v>
      </c>
      <c r="B494" t="s">
        <v>96</v>
      </c>
      <c r="C494" t="s">
        <v>2057</v>
      </c>
      <c r="D494">
        <v>1</v>
      </c>
      <c r="E494" s="16">
        <v>11.73</v>
      </c>
      <c r="F494" s="1">
        <v>44813</v>
      </c>
      <c r="G494" t="s">
        <v>2027</v>
      </c>
      <c r="H494">
        <v>1</v>
      </c>
      <c r="I494" s="12">
        <f>Table16[[#This Row],[price]]*Table16[[#This Row],[quantity]]</f>
        <v>11.73</v>
      </c>
    </row>
    <row r="495" spans="1:9" x14ac:dyDescent="0.3">
      <c r="A495" t="s">
        <v>2514</v>
      </c>
      <c r="B495" t="s">
        <v>97</v>
      </c>
      <c r="C495" t="s">
        <v>2006</v>
      </c>
      <c r="D495">
        <v>3</v>
      </c>
      <c r="E495" s="16">
        <v>45.45</v>
      </c>
      <c r="F495" s="1">
        <v>44275</v>
      </c>
      <c r="G495" t="s">
        <v>2020</v>
      </c>
      <c r="H495">
        <v>3</v>
      </c>
      <c r="I495" s="12">
        <f>Table16[[#This Row],[price]]*Table16[[#This Row],[quantity]]</f>
        <v>136.35000000000002</v>
      </c>
    </row>
    <row r="496" spans="1:9" x14ac:dyDescent="0.3">
      <c r="A496" t="s">
        <v>2512</v>
      </c>
      <c r="B496" t="s">
        <v>97</v>
      </c>
      <c r="C496" t="s">
        <v>2006</v>
      </c>
      <c r="D496">
        <v>2</v>
      </c>
      <c r="E496" s="16">
        <v>30.3</v>
      </c>
      <c r="F496" s="1">
        <v>44366</v>
      </c>
      <c r="G496" t="s">
        <v>2064</v>
      </c>
      <c r="H496">
        <v>3</v>
      </c>
      <c r="I496" s="12">
        <f>Table16[[#This Row],[price]]*Table16[[#This Row],[quantity]]</f>
        <v>60.6</v>
      </c>
    </row>
    <row r="497" spans="1:9" x14ac:dyDescent="0.3">
      <c r="A497" t="s">
        <v>2517</v>
      </c>
      <c r="B497" t="s">
        <v>97</v>
      </c>
      <c r="C497" t="s">
        <v>2008</v>
      </c>
      <c r="D497">
        <v>5</v>
      </c>
      <c r="E497" s="16">
        <v>26.15</v>
      </c>
      <c r="F497" s="1">
        <v>44431</v>
      </c>
      <c r="G497" t="s">
        <v>2020</v>
      </c>
      <c r="H497">
        <v>1</v>
      </c>
      <c r="I497" s="12">
        <f>Table16[[#This Row],[price]]*Table16[[#This Row],[quantity]]</f>
        <v>130.75</v>
      </c>
    </row>
    <row r="498" spans="1:9" x14ac:dyDescent="0.3">
      <c r="A498" t="s">
        <v>2518</v>
      </c>
      <c r="B498" t="s">
        <v>97</v>
      </c>
      <c r="C498" t="s">
        <v>2008</v>
      </c>
      <c r="D498">
        <v>4</v>
      </c>
      <c r="E498" s="16">
        <v>20.92</v>
      </c>
      <c r="F498" s="1">
        <v>44529</v>
      </c>
      <c r="G498" t="s">
        <v>2041</v>
      </c>
      <c r="H498">
        <v>4</v>
      </c>
      <c r="I498" s="12">
        <f>Table16[[#This Row],[price]]*Table16[[#This Row],[quantity]]</f>
        <v>83.68</v>
      </c>
    </row>
    <row r="499" spans="1:9" x14ac:dyDescent="0.3">
      <c r="A499" t="s">
        <v>2515</v>
      </c>
      <c r="B499" t="s">
        <v>97</v>
      </c>
      <c r="C499" t="s">
        <v>2001</v>
      </c>
      <c r="D499">
        <v>5</v>
      </c>
      <c r="E499" s="16">
        <v>1500.4</v>
      </c>
      <c r="F499" s="1">
        <v>44664</v>
      </c>
      <c r="G499" t="s">
        <v>2027</v>
      </c>
      <c r="H499">
        <v>5</v>
      </c>
      <c r="I499" s="12">
        <f>Table16[[#This Row],[price]]*Table16[[#This Row],[quantity]]</f>
        <v>7502</v>
      </c>
    </row>
    <row r="500" spans="1:9" x14ac:dyDescent="0.3">
      <c r="A500" t="s">
        <v>2516</v>
      </c>
      <c r="B500" t="s">
        <v>97</v>
      </c>
      <c r="C500" t="s">
        <v>2024</v>
      </c>
      <c r="D500">
        <v>3</v>
      </c>
      <c r="E500" s="16">
        <v>107.52</v>
      </c>
      <c r="F500" s="1">
        <v>44821</v>
      </c>
      <c r="G500" t="s">
        <v>2064</v>
      </c>
      <c r="H500">
        <v>4</v>
      </c>
      <c r="I500" s="12">
        <f>Table16[[#This Row],[price]]*Table16[[#This Row],[quantity]]</f>
        <v>322.56</v>
      </c>
    </row>
    <row r="501" spans="1:9" x14ac:dyDescent="0.3">
      <c r="A501" t="s">
        <v>2513</v>
      </c>
      <c r="B501" t="s">
        <v>97</v>
      </c>
      <c r="C501" t="s">
        <v>2001</v>
      </c>
      <c r="D501">
        <v>1</v>
      </c>
      <c r="E501" s="16">
        <v>300.08</v>
      </c>
      <c r="F501" s="1">
        <v>44889</v>
      </c>
      <c r="G501" t="s">
        <v>2027</v>
      </c>
      <c r="H501">
        <v>3</v>
      </c>
      <c r="I501" s="12">
        <f>Table16[[#This Row],[price]]*Table16[[#This Row],[quantity]]</f>
        <v>300.08</v>
      </c>
    </row>
    <row r="502" spans="1:9" x14ac:dyDescent="0.3">
      <c r="A502" t="s">
        <v>2511</v>
      </c>
      <c r="B502" t="s">
        <v>97</v>
      </c>
      <c r="C502" t="s">
        <v>2057</v>
      </c>
      <c r="D502">
        <v>1</v>
      </c>
      <c r="E502" s="16">
        <v>11.73</v>
      </c>
      <c r="F502" s="1">
        <v>44982</v>
      </c>
      <c r="G502" t="s">
        <v>2027</v>
      </c>
      <c r="H502">
        <v>1</v>
      </c>
      <c r="I502" s="12">
        <f>Table16[[#This Row],[price]]*Table16[[#This Row],[quantity]]</f>
        <v>11.73</v>
      </c>
    </row>
    <row r="503" spans="1:9" x14ac:dyDescent="0.3">
      <c r="A503" t="s">
        <v>2519</v>
      </c>
      <c r="B503" t="s">
        <v>98</v>
      </c>
      <c r="C503" t="s">
        <v>2001</v>
      </c>
      <c r="D503">
        <v>5</v>
      </c>
      <c r="E503" s="16">
        <v>1500.4</v>
      </c>
      <c r="F503" s="1">
        <v>44370</v>
      </c>
      <c r="G503" t="s">
        <v>2002</v>
      </c>
      <c r="H503">
        <v>3</v>
      </c>
      <c r="I503" s="12">
        <f>Table16[[#This Row],[price]]*Table16[[#This Row],[quantity]]</f>
        <v>7502</v>
      </c>
    </row>
    <row r="504" spans="1:9" x14ac:dyDescent="0.3">
      <c r="A504" t="s">
        <v>2522</v>
      </c>
      <c r="B504" t="s">
        <v>98</v>
      </c>
      <c r="C504" t="s">
        <v>2011</v>
      </c>
      <c r="D504">
        <v>2</v>
      </c>
      <c r="E504" s="16">
        <v>81.319999999999993</v>
      </c>
      <c r="F504" s="1">
        <v>44502</v>
      </c>
      <c r="G504" t="s">
        <v>2004</v>
      </c>
      <c r="H504">
        <v>5</v>
      </c>
      <c r="I504" s="12">
        <f>Table16[[#This Row],[price]]*Table16[[#This Row],[quantity]]</f>
        <v>162.63999999999999</v>
      </c>
    </row>
    <row r="505" spans="1:9" x14ac:dyDescent="0.3">
      <c r="A505" t="s">
        <v>2520</v>
      </c>
      <c r="B505" t="s">
        <v>98</v>
      </c>
      <c r="C505" t="s">
        <v>2001</v>
      </c>
      <c r="D505">
        <v>1</v>
      </c>
      <c r="E505" s="16">
        <v>300.08</v>
      </c>
      <c r="F505" s="1">
        <v>44537</v>
      </c>
      <c r="G505" t="s">
        <v>2002</v>
      </c>
      <c r="H505">
        <v>3</v>
      </c>
      <c r="I505" s="12">
        <f>Table16[[#This Row],[price]]*Table16[[#This Row],[quantity]]</f>
        <v>300.08</v>
      </c>
    </row>
    <row r="506" spans="1:9" x14ac:dyDescent="0.3">
      <c r="A506" t="s">
        <v>2523</v>
      </c>
      <c r="B506" t="s">
        <v>98</v>
      </c>
      <c r="C506" t="s">
        <v>2015</v>
      </c>
      <c r="D506">
        <v>2</v>
      </c>
      <c r="E506" s="16">
        <v>1200.3399999999999</v>
      </c>
      <c r="F506" s="1">
        <v>44647</v>
      </c>
      <c r="G506" t="s">
        <v>2027</v>
      </c>
      <c r="H506">
        <v>4</v>
      </c>
      <c r="I506" s="12">
        <f>Table16[[#This Row],[price]]*Table16[[#This Row],[quantity]]</f>
        <v>2400.6799999999998</v>
      </c>
    </row>
    <row r="507" spans="1:9" x14ac:dyDescent="0.3">
      <c r="A507" t="s">
        <v>2521</v>
      </c>
      <c r="B507" t="s">
        <v>98</v>
      </c>
      <c r="C507" t="s">
        <v>2008</v>
      </c>
      <c r="D507">
        <v>4</v>
      </c>
      <c r="E507" s="16">
        <v>20.92</v>
      </c>
      <c r="F507" s="1">
        <v>44884</v>
      </c>
      <c r="G507" t="s">
        <v>2027</v>
      </c>
      <c r="H507">
        <v>3</v>
      </c>
      <c r="I507" s="12">
        <f>Table16[[#This Row],[price]]*Table16[[#This Row],[quantity]]</f>
        <v>83.68</v>
      </c>
    </row>
    <row r="508" spans="1:9" x14ac:dyDescent="0.3">
      <c r="A508" t="s">
        <v>2526</v>
      </c>
      <c r="B508" t="s">
        <v>99</v>
      </c>
      <c r="C508" t="s">
        <v>2001</v>
      </c>
      <c r="D508">
        <v>5</v>
      </c>
      <c r="E508" s="16">
        <v>1500.4</v>
      </c>
      <c r="F508" s="1">
        <v>44234</v>
      </c>
      <c r="G508" t="s">
        <v>2012</v>
      </c>
      <c r="H508">
        <v>4</v>
      </c>
      <c r="I508" s="12">
        <f>Table16[[#This Row],[price]]*Table16[[#This Row],[quantity]]</f>
        <v>7502</v>
      </c>
    </row>
    <row r="509" spans="1:9" x14ac:dyDescent="0.3">
      <c r="A509" t="s">
        <v>2527</v>
      </c>
      <c r="B509" t="s">
        <v>99</v>
      </c>
      <c r="C509" t="s">
        <v>2011</v>
      </c>
      <c r="D509">
        <v>2</v>
      </c>
      <c r="E509" s="16">
        <v>81.319999999999993</v>
      </c>
      <c r="F509" s="1">
        <v>44681</v>
      </c>
      <c r="G509" t="s">
        <v>2002</v>
      </c>
      <c r="H509">
        <v>5</v>
      </c>
      <c r="I509" s="12">
        <f>Table16[[#This Row],[price]]*Table16[[#This Row],[quantity]]</f>
        <v>162.63999999999999</v>
      </c>
    </row>
    <row r="510" spans="1:9" x14ac:dyDescent="0.3">
      <c r="A510" t="s">
        <v>2525</v>
      </c>
      <c r="B510" t="s">
        <v>99</v>
      </c>
      <c r="C510" t="s">
        <v>2001</v>
      </c>
      <c r="D510">
        <v>2</v>
      </c>
      <c r="E510" s="16">
        <v>600.16</v>
      </c>
      <c r="F510" s="1">
        <v>44687</v>
      </c>
      <c r="G510" t="s">
        <v>2002</v>
      </c>
      <c r="H510">
        <v>4</v>
      </c>
      <c r="I510" s="12">
        <f>Table16[[#This Row],[price]]*Table16[[#This Row],[quantity]]</f>
        <v>1200.32</v>
      </c>
    </row>
    <row r="511" spans="1:9" x14ac:dyDescent="0.3">
      <c r="A511" t="s">
        <v>2524</v>
      </c>
      <c r="B511" t="s">
        <v>99</v>
      </c>
      <c r="C511" t="s">
        <v>2024</v>
      </c>
      <c r="D511">
        <v>2</v>
      </c>
      <c r="E511" s="16">
        <v>71.680000000000007</v>
      </c>
      <c r="F511" s="1">
        <v>44906</v>
      </c>
      <c r="G511" t="s">
        <v>2012</v>
      </c>
      <c r="H511">
        <v>2</v>
      </c>
      <c r="I511" s="12">
        <f>Table16[[#This Row],[price]]*Table16[[#This Row],[quantity]]</f>
        <v>143.36000000000001</v>
      </c>
    </row>
    <row r="512" spans="1:9" x14ac:dyDescent="0.3">
      <c r="A512" t="s">
        <v>2528</v>
      </c>
      <c r="B512" t="s">
        <v>99</v>
      </c>
      <c r="C512" t="s">
        <v>2015</v>
      </c>
      <c r="D512">
        <v>2</v>
      </c>
      <c r="E512" s="16">
        <v>1200.3399999999999</v>
      </c>
      <c r="F512" s="1">
        <v>44969</v>
      </c>
      <c r="G512" t="s">
        <v>2058</v>
      </c>
      <c r="H512">
        <v>4</v>
      </c>
      <c r="I512" s="12">
        <f>Table16[[#This Row],[price]]*Table16[[#This Row],[quantity]]</f>
        <v>2400.6799999999998</v>
      </c>
    </row>
    <row r="513" spans="1:9" x14ac:dyDescent="0.3">
      <c r="A513" t="s">
        <v>2530</v>
      </c>
      <c r="B513" t="s">
        <v>100</v>
      </c>
      <c r="C513" t="s">
        <v>2024</v>
      </c>
      <c r="D513">
        <v>2</v>
      </c>
      <c r="E513" s="16">
        <v>71.680000000000007</v>
      </c>
      <c r="F513" s="1">
        <v>44364</v>
      </c>
      <c r="G513" t="s">
        <v>2064</v>
      </c>
      <c r="H513">
        <v>3</v>
      </c>
      <c r="I513" s="12">
        <f>Table16[[#This Row],[price]]*Table16[[#This Row],[quantity]]</f>
        <v>143.36000000000001</v>
      </c>
    </row>
    <row r="514" spans="1:9" x14ac:dyDescent="0.3">
      <c r="A514" t="s">
        <v>2529</v>
      </c>
      <c r="B514" t="s">
        <v>100</v>
      </c>
      <c r="C514" t="s">
        <v>2015</v>
      </c>
      <c r="D514">
        <v>2</v>
      </c>
      <c r="E514" s="16">
        <v>1200.3399999999999</v>
      </c>
      <c r="F514" s="1">
        <v>44465</v>
      </c>
      <c r="G514" t="s">
        <v>2064</v>
      </c>
      <c r="H514">
        <v>4</v>
      </c>
      <c r="I514" s="12">
        <f>Table16[[#This Row],[price]]*Table16[[#This Row],[quantity]]</f>
        <v>2400.6799999999998</v>
      </c>
    </row>
    <row r="515" spans="1:9" x14ac:dyDescent="0.3">
      <c r="A515" t="s">
        <v>2534</v>
      </c>
      <c r="B515" t="s">
        <v>100</v>
      </c>
      <c r="C515" t="s">
        <v>2001</v>
      </c>
      <c r="D515">
        <v>3</v>
      </c>
      <c r="E515" s="16">
        <v>900.24</v>
      </c>
      <c r="F515" s="1">
        <v>44496</v>
      </c>
      <c r="G515" t="s">
        <v>2064</v>
      </c>
      <c r="H515">
        <v>1</v>
      </c>
      <c r="I515" s="12">
        <f>Table16[[#This Row],[price]]*Table16[[#This Row],[quantity]]</f>
        <v>2700.7200000000003</v>
      </c>
    </row>
    <row r="516" spans="1:9" x14ac:dyDescent="0.3">
      <c r="A516" t="s">
        <v>2535</v>
      </c>
      <c r="B516" t="s">
        <v>100</v>
      </c>
      <c r="C516" t="s">
        <v>2024</v>
      </c>
      <c r="D516">
        <v>4</v>
      </c>
      <c r="E516" s="16">
        <v>143.36000000000001</v>
      </c>
      <c r="F516" s="1">
        <v>44509</v>
      </c>
      <c r="G516" t="s">
        <v>2004</v>
      </c>
      <c r="H516">
        <v>3</v>
      </c>
      <c r="I516" s="12">
        <f>Table16[[#This Row],[price]]*Table16[[#This Row],[quantity]]</f>
        <v>573.44000000000005</v>
      </c>
    </row>
    <row r="517" spans="1:9" x14ac:dyDescent="0.3">
      <c r="A517" t="s">
        <v>2536</v>
      </c>
      <c r="B517" t="s">
        <v>100</v>
      </c>
      <c r="C517" t="s">
        <v>2008</v>
      </c>
      <c r="D517">
        <v>1</v>
      </c>
      <c r="E517" s="16">
        <v>5.23</v>
      </c>
      <c r="F517" s="1">
        <v>44686</v>
      </c>
      <c r="G517" t="s">
        <v>2009</v>
      </c>
      <c r="H517">
        <v>1</v>
      </c>
      <c r="I517" s="12">
        <f>Table16[[#This Row],[price]]*Table16[[#This Row],[quantity]]</f>
        <v>5.23</v>
      </c>
    </row>
    <row r="518" spans="1:9" x14ac:dyDescent="0.3">
      <c r="A518" t="s">
        <v>2532</v>
      </c>
      <c r="B518" t="s">
        <v>100</v>
      </c>
      <c r="C518" t="s">
        <v>2015</v>
      </c>
      <c r="D518">
        <v>4</v>
      </c>
      <c r="E518" s="16">
        <v>2400.6799999999998</v>
      </c>
      <c r="F518" s="1">
        <v>44794</v>
      </c>
      <c r="G518" t="s">
        <v>2012</v>
      </c>
      <c r="H518">
        <v>1</v>
      </c>
      <c r="I518" s="12">
        <f>Table16[[#This Row],[price]]*Table16[[#This Row],[quantity]]</f>
        <v>9602.7199999999993</v>
      </c>
    </row>
    <row r="519" spans="1:9" x14ac:dyDescent="0.3">
      <c r="A519" t="s">
        <v>2531</v>
      </c>
      <c r="B519" t="s">
        <v>100</v>
      </c>
      <c r="C519" t="s">
        <v>2011</v>
      </c>
      <c r="D519">
        <v>2</v>
      </c>
      <c r="E519" s="16">
        <v>81.319999999999993</v>
      </c>
      <c r="F519" s="1">
        <v>44837</v>
      </c>
      <c r="G519" t="s">
        <v>2027</v>
      </c>
      <c r="H519">
        <v>5</v>
      </c>
      <c r="I519" s="12">
        <f>Table16[[#This Row],[price]]*Table16[[#This Row],[quantity]]</f>
        <v>162.63999999999999</v>
      </c>
    </row>
    <row r="520" spans="1:9" x14ac:dyDescent="0.3">
      <c r="A520" t="s">
        <v>2533</v>
      </c>
      <c r="B520" t="s">
        <v>100</v>
      </c>
      <c r="C520" t="s">
        <v>2001</v>
      </c>
      <c r="D520">
        <v>1</v>
      </c>
      <c r="E520" s="16">
        <v>300.08</v>
      </c>
      <c r="F520" s="1">
        <v>44915</v>
      </c>
      <c r="G520" t="s">
        <v>2002</v>
      </c>
      <c r="H520">
        <v>4</v>
      </c>
      <c r="I520" s="12">
        <f>Table16[[#This Row],[price]]*Table16[[#This Row],[quantity]]</f>
        <v>300.08</v>
      </c>
    </row>
    <row r="521" spans="1:9" x14ac:dyDescent="0.3">
      <c r="A521" t="s">
        <v>2538</v>
      </c>
      <c r="B521" t="s">
        <v>101</v>
      </c>
      <c r="C521" t="s">
        <v>2008</v>
      </c>
      <c r="D521">
        <v>1</v>
      </c>
      <c r="E521" s="16">
        <v>5.23</v>
      </c>
      <c r="F521" s="1">
        <v>44304</v>
      </c>
      <c r="G521" t="s">
        <v>2002</v>
      </c>
      <c r="H521">
        <v>4</v>
      </c>
      <c r="I521" s="12">
        <f>Table16[[#This Row],[price]]*Table16[[#This Row],[quantity]]</f>
        <v>5.23</v>
      </c>
    </row>
    <row r="522" spans="1:9" x14ac:dyDescent="0.3">
      <c r="A522" t="s">
        <v>2537</v>
      </c>
      <c r="B522" t="s">
        <v>101</v>
      </c>
      <c r="C522" t="s">
        <v>2001</v>
      </c>
      <c r="D522">
        <v>5</v>
      </c>
      <c r="E522" s="16">
        <v>1500.4</v>
      </c>
      <c r="F522" s="1">
        <v>44685</v>
      </c>
      <c r="G522" t="s">
        <v>2002</v>
      </c>
      <c r="H522">
        <v>5</v>
      </c>
      <c r="I522" s="12">
        <f>Table16[[#This Row],[price]]*Table16[[#This Row],[quantity]]</f>
        <v>7502</v>
      </c>
    </row>
    <row r="523" spans="1:9" x14ac:dyDescent="0.3">
      <c r="A523" t="s">
        <v>2539</v>
      </c>
      <c r="B523" t="s">
        <v>101</v>
      </c>
      <c r="C523" t="s">
        <v>2015</v>
      </c>
      <c r="D523">
        <v>1</v>
      </c>
      <c r="E523" s="16">
        <v>600.16999999999996</v>
      </c>
      <c r="F523" s="1">
        <v>44778</v>
      </c>
      <c r="G523" t="s">
        <v>2064</v>
      </c>
      <c r="H523">
        <v>1</v>
      </c>
      <c r="I523" s="12">
        <f>Table16[[#This Row],[price]]*Table16[[#This Row],[quantity]]</f>
        <v>600.16999999999996</v>
      </c>
    </row>
    <row r="524" spans="1:9" x14ac:dyDescent="0.3">
      <c r="A524" t="s">
        <v>2540</v>
      </c>
      <c r="B524" t="s">
        <v>101</v>
      </c>
      <c r="C524" t="s">
        <v>2011</v>
      </c>
      <c r="D524">
        <v>4</v>
      </c>
      <c r="E524" s="16">
        <v>162.63999999999999</v>
      </c>
      <c r="F524" s="1">
        <v>44783</v>
      </c>
      <c r="G524" t="s">
        <v>2041</v>
      </c>
      <c r="H524">
        <v>1</v>
      </c>
      <c r="I524" s="12">
        <f>Table16[[#This Row],[price]]*Table16[[#This Row],[quantity]]</f>
        <v>650.55999999999995</v>
      </c>
    </row>
    <row r="525" spans="1:9" x14ac:dyDescent="0.3">
      <c r="A525" t="s">
        <v>2543</v>
      </c>
      <c r="B525" t="s">
        <v>102</v>
      </c>
      <c r="C525" t="s">
        <v>2001</v>
      </c>
      <c r="D525">
        <v>4</v>
      </c>
      <c r="E525" s="16">
        <v>1200.32</v>
      </c>
      <c r="F525" s="1">
        <v>44214</v>
      </c>
      <c r="G525" t="s">
        <v>2004</v>
      </c>
      <c r="H525">
        <v>5</v>
      </c>
      <c r="I525" s="12">
        <f>Table16[[#This Row],[price]]*Table16[[#This Row],[quantity]]</f>
        <v>4801.28</v>
      </c>
    </row>
    <row r="526" spans="1:9" x14ac:dyDescent="0.3">
      <c r="A526" t="s">
        <v>2541</v>
      </c>
      <c r="B526" t="s">
        <v>102</v>
      </c>
      <c r="C526" t="s">
        <v>2011</v>
      </c>
      <c r="D526">
        <v>5</v>
      </c>
      <c r="E526" s="16">
        <v>203.3</v>
      </c>
      <c r="F526" s="1">
        <v>44470</v>
      </c>
      <c r="G526" t="s">
        <v>2002</v>
      </c>
      <c r="H526">
        <v>5</v>
      </c>
      <c r="I526" s="12">
        <f>Table16[[#This Row],[price]]*Table16[[#This Row],[quantity]]</f>
        <v>1016.5</v>
      </c>
    </row>
    <row r="527" spans="1:9" x14ac:dyDescent="0.3">
      <c r="A527" t="s">
        <v>2544</v>
      </c>
      <c r="B527" t="s">
        <v>102</v>
      </c>
      <c r="C527" t="s">
        <v>2015</v>
      </c>
      <c r="D527">
        <v>4</v>
      </c>
      <c r="E527" s="16">
        <v>2400.6799999999998</v>
      </c>
      <c r="F527" s="1">
        <v>44483</v>
      </c>
      <c r="G527" t="s">
        <v>2058</v>
      </c>
      <c r="H527">
        <v>4</v>
      </c>
      <c r="I527" s="12">
        <f>Table16[[#This Row],[price]]*Table16[[#This Row],[quantity]]</f>
        <v>9602.7199999999993</v>
      </c>
    </row>
    <row r="528" spans="1:9" x14ac:dyDescent="0.3">
      <c r="A528" t="s">
        <v>2547</v>
      </c>
      <c r="B528" t="s">
        <v>102</v>
      </c>
      <c r="C528" t="s">
        <v>2008</v>
      </c>
      <c r="D528">
        <v>3</v>
      </c>
      <c r="E528" s="16">
        <v>15.69</v>
      </c>
      <c r="F528" s="1">
        <v>44626</v>
      </c>
      <c r="G528" t="s">
        <v>2020</v>
      </c>
      <c r="H528">
        <v>5</v>
      </c>
      <c r="I528" s="12">
        <f>Table16[[#This Row],[price]]*Table16[[#This Row],[quantity]]</f>
        <v>47.07</v>
      </c>
    </row>
    <row r="529" spans="1:9" x14ac:dyDescent="0.3">
      <c r="A529" t="s">
        <v>2550</v>
      </c>
      <c r="B529" t="s">
        <v>102</v>
      </c>
      <c r="C529" t="s">
        <v>2001</v>
      </c>
      <c r="D529">
        <v>2</v>
      </c>
      <c r="E529" s="16">
        <v>600.16</v>
      </c>
      <c r="F529" s="1">
        <v>44716</v>
      </c>
      <c r="G529" t="s">
        <v>2064</v>
      </c>
      <c r="H529">
        <v>1</v>
      </c>
      <c r="I529" s="12">
        <f>Table16[[#This Row],[price]]*Table16[[#This Row],[quantity]]</f>
        <v>1200.32</v>
      </c>
    </row>
    <row r="530" spans="1:9" x14ac:dyDescent="0.3">
      <c r="A530" t="s">
        <v>2548</v>
      </c>
      <c r="B530" t="s">
        <v>102</v>
      </c>
      <c r="C530" t="s">
        <v>2024</v>
      </c>
      <c r="D530">
        <v>3</v>
      </c>
      <c r="E530" s="16">
        <v>107.52</v>
      </c>
      <c r="F530" s="1">
        <v>44801</v>
      </c>
      <c r="G530" t="s">
        <v>2009</v>
      </c>
      <c r="H530">
        <v>3</v>
      </c>
      <c r="I530" s="12">
        <f>Table16[[#This Row],[price]]*Table16[[#This Row],[quantity]]</f>
        <v>322.56</v>
      </c>
    </row>
    <row r="531" spans="1:9" x14ac:dyDescent="0.3">
      <c r="A531" t="s">
        <v>2546</v>
      </c>
      <c r="B531" t="s">
        <v>102</v>
      </c>
      <c r="C531" t="s">
        <v>2008</v>
      </c>
      <c r="D531">
        <v>4</v>
      </c>
      <c r="E531" s="16">
        <v>20.92</v>
      </c>
      <c r="F531" s="1">
        <v>44855</v>
      </c>
      <c r="G531" t="s">
        <v>2004</v>
      </c>
      <c r="H531">
        <v>5</v>
      </c>
      <c r="I531" s="12">
        <f>Table16[[#This Row],[price]]*Table16[[#This Row],[quantity]]</f>
        <v>83.68</v>
      </c>
    </row>
    <row r="532" spans="1:9" x14ac:dyDescent="0.3">
      <c r="A532" t="s">
        <v>2542</v>
      </c>
      <c r="B532" t="s">
        <v>102</v>
      </c>
      <c r="C532" t="s">
        <v>2001</v>
      </c>
      <c r="D532">
        <v>2</v>
      </c>
      <c r="E532" s="16">
        <v>600.16</v>
      </c>
      <c r="F532" s="1">
        <v>44888</v>
      </c>
      <c r="G532" t="s">
        <v>2064</v>
      </c>
      <c r="H532">
        <v>1</v>
      </c>
      <c r="I532" s="12">
        <f>Table16[[#This Row],[price]]*Table16[[#This Row],[quantity]]</f>
        <v>1200.32</v>
      </c>
    </row>
    <row r="533" spans="1:9" x14ac:dyDescent="0.3">
      <c r="A533" t="s">
        <v>2545</v>
      </c>
      <c r="B533" t="s">
        <v>102</v>
      </c>
      <c r="C533" t="s">
        <v>2008</v>
      </c>
      <c r="D533">
        <v>2</v>
      </c>
      <c r="E533" s="16">
        <v>10.46</v>
      </c>
      <c r="F533" s="1">
        <v>44901</v>
      </c>
      <c r="G533" t="s">
        <v>2041</v>
      </c>
      <c r="H533">
        <v>2</v>
      </c>
      <c r="I533" s="12">
        <f>Table16[[#This Row],[price]]*Table16[[#This Row],[quantity]]</f>
        <v>20.92</v>
      </c>
    </row>
    <row r="534" spans="1:9" x14ac:dyDescent="0.3">
      <c r="A534" t="s">
        <v>2549</v>
      </c>
      <c r="B534" t="s">
        <v>102</v>
      </c>
      <c r="C534" t="s">
        <v>2006</v>
      </c>
      <c r="D534">
        <v>4</v>
      </c>
      <c r="E534" s="16">
        <v>60.6</v>
      </c>
      <c r="F534" s="1">
        <v>44915</v>
      </c>
      <c r="G534" t="s">
        <v>2027</v>
      </c>
      <c r="H534">
        <v>3</v>
      </c>
      <c r="I534" s="12">
        <f>Table16[[#This Row],[price]]*Table16[[#This Row],[quantity]]</f>
        <v>242.4</v>
      </c>
    </row>
    <row r="535" spans="1:9" x14ac:dyDescent="0.3">
      <c r="A535" t="s">
        <v>2555</v>
      </c>
      <c r="B535" t="s">
        <v>103</v>
      </c>
      <c r="C535" t="s">
        <v>2011</v>
      </c>
      <c r="D535">
        <v>3</v>
      </c>
      <c r="E535" s="16">
        <v>121.98</v>
      </c>
      <c r="F535" s="1">
        <v>44348</v>
      </c>
      <c r="G535" t="s">
        <v>2004</v>
      </c>
      <c r="H535">
        <v>2</v>
      </c>
      <c r="I535" s="12">
        <f>Table16[[#This Row],[price]]*Table16[[#This Row],[quantity]]</f>
        <v>365.94</v>
      </c>
    </row>
    <row r="536" spans="1:9" x14ac:dyDescent="0.3">
      <c r="A536" t="s">
        <v>2554</v>
      </c>
      <c r="B536" t="s">
        <v>103</v>
      </c>
      <c r="C536" t="s">
        <v>2017</v>
      </c>
      <c r="D536">
        <v>2</v>
      </c>
      <c r="E536" s="16">
        <v>2100</v>
      </c>
      <c r="F536" s="1">
        <v>44498</v>
      </c>
      <c r="G536" t="s">
        <v>2041</v>
      </c>
      <c r="H536">
        <v>5</v>
      </c>
      <c r="I536" s="12">
        <f>Table16[[#This Row],[price]]*Table16[[#This Row],[quantity]]</f>
        <v>4200</v>
      </c>
    </row>
    <row r="537" spans="1:9" x14ac:dyDescent="0.3">
      <c r="A537" t="s">
        <v>2551</v>
      </c>
      <c r="B537" t="s">
        <v>103</v>
      </c>
      <c r="C537" t="s">
        <v>2001</v>
      </c>
      <c r="D537">
        <v>4</v>
      </c>
      <c r="E537" s="16">
        <v>1200.32</v>
      </c>
      <c r="F537" s="1">
        <v>44592</v>
      </c>
      <c r="G537" t="s">
        <v>2004</v>
      </c>
      <c r="H537">
        <v>4</v>
      </c>
      <c r="I537" s="12">
        <f>Table16[[#This Row],[price]]*Table16[[#This Row],[quantity]]</f>
        <v>4801.28</v>
      </c>
    </row>
    <row r="538" spans="1:9" x14ac:dyDescent="0.3">
      <c r="A538" t="s">
        <v>2556</v>
      </c>
      <c r="B538" t="s">
        <v>103</v>
      </c>
      <c r="C538" t="s">
        <v>2001</v>
      </c>
      <c r="D538">
        <v>3</v>
      </c>
      <c r="E538" s="16">
        <v>900.24</v>
      </c>
      <c r="F538" s="1">
        <v>44594</v>
      </c>
      <c r="G538" t="s">
        <v>2002</v>
      </c>
      <c r="H538">
        <v>4</v>
      </c>
      <c r="I538" s="12">
        <f>Table16[[#This Row],[price]]*Table16[[#This Row],[quantity]]</f>
        <v>2700.7200000000003</v>
      </c>
    </row>
    <row r="539" spans="1:9" x14ac:dyDescent="0.3">
      <c r="A539" t="s">
        <v>2552</v>
      </c>
      <c r="B539" t="s">
        <v>103</v>
      </c>
      <c r="C539" t="s">
        <v>2008</v>
      </c>
      <c r="D539">
        <v>5</v>
      </c>
      <c r="E539" s="16">
        <v>26.15</v>
      </c>
      <c r="F539" s="1">
        <v>44670</v>
      </c>
      <c r="G539" t="s">
        <v>2027</v>
      </c>
      <c r="H539">
        <v>1</v>
      </c>
      <c r="I539" s="12">
        <f>Table16[[#This Row],[price]]*Table16[[#This Row],[quantity]]</f>
        <v>130.75</v>
      </c>
    </row>
    <row r="540" spans="1:9" x14ac:dyDescent="0.3">
      <c r="A540" t="s">
        <v>2553</v>
      </c>
      <c r="B540" t="s">
        <v>103</v>
      </c>
      <c r="C540" t="s">
        <v>2011</v>
      </c>
      <c r="D540">
        <v>2</v>
      </c>
      <c r="E540" s="16">
        <v>81.319999999999993</v>
      </c>
      <c r="F540" s="1">
        <v>44844</v>
      </c>
      <c r="G540" t="s">
        <v>2002</v>
      </c>
      <c r="H540">
        <v>4</v>
      </c>
      <c r="I540" s="12">
        <f>Table16[[#This Row],[price]]*Table16[[#This Row],[quantity]]</f>
        <v>162.63999999999999</v>
      </c>
    </row>
    <row r="541" spans="1:9" x14ac:dyDescent="0.3">
      <c r="A541" t="s">
        <v>2559</v>
      </c>
      <c r="B541" t="s">
        <v>104</v>
      </c>
      <c r="C541" t="s">
        <v>2008</v>
      </c>
      <c r="D541">
        <v>3</v>
      </c>
      <c r="E541" s="16">
        <v>15.69</v>
      </c>
      <c r="F541" s="1">
        <v>44205</v>
      </c>
      <c r="G541" t="s">
        <v>2020</v>
      </c>
      <c r="H541">
        <v>2</v>
      </c>
      <c r="I541" s="12">
        <f>Table16[[#This Row],[price]]*Table16[[#This Row],[quantity]]</f>
        <v>47.07</v>
      </c>
    </row>
    <row r="542" spans="1:9" x14ac:dyDescent="0.3">
      <c r="A542" t="s">
        <v>2562</v>
      </c>
      <c r="B542" t="s">
        <v>104</v>
      </c>
      <c r="C542" t="s">
        <v>2017</v>
      </c>
      <c r="D542">
        <v>5</v>
      </c>
      <c r="E542" s="16">
        <v>5250</v>
      </c>
      <c r="F542" s="1">
        <v>44416</v>
      </c>
      <c r="G542" t="s">
        <v>2027</v>
      </c>
      <c r="H542">
        <v>2</v>
      </c>
      <c r="I542" s="12">
        <f>Table16[[#This Row],[price]]*Table16[[#This Row],[quantity]]</f>
        <v>26250</v>
      </c>
    </row>
    <row r="543" spans="1:9" x14ac:dyDescent="0.3">
      <c r="A543" t="s">
        <v>2561</v>
      </c>
      <c r="B543" t="s">
        <v>104</v>
      </c>
      <c r="C543" t="s">
        <v>2001</v>
      </c>
      <c r="D543">
        <v>2</v>
      </c>
      <c r="E543" s="16">
        <v>600.16</v>
      </c>
      <c r="F543" s="1">
        <v>44464</v>
      </c>
      <c r="G543" t="s">
        <v>2002</v>
      </c>
      <c r="H543">
        <v>1</v>
      </c>
      <c r="I543" s="12">
        <f>Table16[[#This Row],[price]]*Table16[[#This Row],[quantity]]</f>
        <v>1200.32</v>
      </c>
    </row>
    <row r="544" spans="1:9" x14ac:dyDescent="0.3">
      <c r="A544" t="s">
        <v>2557</v>
      </c>
      <c r="B544" t="s">
        <v>104</v>
      </c>
      <c r="C544" t="s">
        <v>2001</v>
      </c>
      <c r="D544">
        <v>5</v>
      </c>
      <c r="E544" s="16">
        <v>1500.4</v>
      </c>
      <c r="F544" s="1">
        <v>44520</v>
      </c>
      <c r="G544" t="s">
        <v>2004</v>
      </c>
      <c r="H544">
        <v>1</v>
      </c>
      <c r="I544" s="12">
        <f>Table16[[#This Row],[price]]*Table16[[#This Row],[quantity]]</f>
        <v>7502</v>
      </c>
    </row>
    <row r="545" spans="1:9" x14ac:dyDescent="0.3">
      <c r="A545" t="s">
        <v>2560</v>
      </c>
      <c r="B545" t="s">
        <v>104</v>
      </c>
      <c r="C545" t="s">
        <v>2024</v>
      </c>
      <c r="D545">
        <v>1</v>
      </c>
      <c r="E545" s="16">
        <v>35.840000000000003</v>
      </c>
      <c r="F545" s="1">
        <v>44568</v>
      </c>
      <c r="G545" t="s">
        <v>2002</v>
      </c>
      <c r="H545">
        <v>2</v>
      </c>
      <c r="I545" s="12">
        <f>Table16[[#This Row],[price]]*Table16[[#This Row],[quantity]]</f>
        <v>35.840000000000003</v>
      </c>
    </row>
    <row r="546" spans="1:9" x14ac:dyDescent="0.3">
      <c r="A546" t="s">
        <v>2563</v>
      </c>
      <c r="B546" t="s">
        <v>104</v>
      </c>
      <c r="C546" t="s">
        <v>2001</v>
      </c>
      <c r="D546">
        <v>3</v>
      </c>
      <c r="E546" s="16">
        <v>900.24</v>
      </c>
      <c r="F546" s="1">
        <v>44700</v>
      </c>
      <c r="G546" t="s">
        <v>2012</v>
      </c>
      <c r="H546">
        <v>1</v>
      </c>
      <c r="I546" s="12">
        <f>Table16[[#This Row],[price]]*Table16[[#This Row],[quantity]]</f>
        <v>2700.7200000000003</v>
      </c>
    </row>
    <row r="547" spans="1:9" x14ac:dyDescent="0.3">
      <c r="A547" t="s">
        <v>2565</v>
      </c>
      <c r="B547" t="s">
        <v>104</v>
      </c>
      <c r="C547" t="s">
        <v>2001</v>
      </c>
      <c r="D547">
        <v>4</v>
      </c>
      <c r="E547" s="16">
        <v>1200.32</v>
      </c>
      <c r="F547" s="1">
        <v>44721</v>
      </c>
      <c r="G547" t="s">
        <v>2064</v>
      </c>
      <c r="H547">
        <v>4</v>
      </c>
      <c r="I547" s="12">
        <f>Table16[[#This Row],[price]]*Table16[[#This Row],[quantity]]</f>
        <v>4801.28</v>
      </c>
    </row>
    <row r="548" spans="1:9" x14ac:dyDescent="0.3">
      <c r="A548" t="s">
        <v>2564</v>
      </c>
      <c r="B548" t="s">
        <v>104</v>
      </c>
      <c r="C548" t="s">
        <v>2011</v>
      </c>
      <c r="D548">
        <v>5</v>
      </c>
      <c r="E548" s="16">
        <v>203.3</v>
      </c>
      <c r="F548" s="1">
        <v>44744</v>
      </c>
      <c r="G548" t="s">
        <v>2012</v>
      </c>
      <c r="H548">
        <v>4</v>
      </c>
      <c r="I548" s="12">
        <f>Table16[[#This Row],[price]]*Table16[[#This Row],[quantity]]</f>
        <v>1016.5</v>
      </c>
    </row>
    <row r="549" spans="1:9" x14ac:dyDescent="0.3">
      <c r="A549" t="s">
        <v>2566</v>
      </c>
      <c r="B549" t="s">
        <v>104</v>
      </c>
      <c r="C549" t="s">
        <v>2057</v>
      </c>
      <c r="D549">
        <v>2</v>
      </c>
      <c r="E549" s="16">
        <v>23.46</v>
      </c>
      <c r="F549" s="1">
        <v>44951</v>
      </c>
      <c r="G549" t="s">
        <v>2020</v>
      </c>
      <c r="H549">
        <v>4</v>
      </c>
      <c r="I549" s="12">
        <f>Table16[[#This Row],[price]]*Table16[[#This Row],[quantity]]</f>
        <v>46.92</v>
      </c>
    </row>
    <row r="550" spans="1:9" x14ac:dyDescent="0.3">
      <c r="A550" t="s">
        <v>2558</v>
      </c>
      <c r="B550" t="s">
        <v>104</v>
      </c>
      <c r="C550" t="s">
        <v>2017</v>
      </c>
      <c r="D550">
        <v>2</v>
      </c>
      <c r="E550" s="16">
        <v>2100</v>
      </c>
      <c r="F550" s="1">
        <v>44977</v>
      </c>
      <c r="G550" t="s">
        <v>2064</v>
      </c>
      <c r="H550">
        <v>1</v>
      </c>
      <c r="I550" s="12">
        <f>Table16[[#This Row],[price]]*Table16[[#This Row],[quantity]]</f>
        <v>4200</v>
      </c>
    </row>
    <row r="551" spans="1:9" x14ac:dyDescent="0.3">
      <c r="A551" t="s">
        <v>2569</v>
      </c>
      <c r="B551" t="s">
        <v>105</v>
      </c>
      <c r="C551" t="s">
        <v>2001</v>
      </c>
      <c r="D551">
        <v>2</v>
      </c>
      <c r="E551" s="16">
        <v>600.16</v>
      </c>
      <c r="F551" s="1">
        <v>44337</v>
      </c>
      <c r="G551" t="s">
        <v>2002</v>
      </c>
      <c r="H551">
        <v>1</v>
      </c>
      <c r="I551" s="12">
        <f>Table16[[#This Row],[price]]*Table16[[#This Row],[quantity]]</f>
        <v>1200.32</v>
      </c>
    </row>
    <row r="552" spans="1:9" x14ac:dyDescent="0.3">
      <c r="A552" t="s">
        <v>2568</v>
      </c>
      <c r="B552" t="s">
        <v>105</v>
      </c>
      <c r="C552" t="s">
        <v>2001</v>
      </c>
      <c r="D552">
        <v>4</v>
      </c>
      <c r="E552" s="16">
        <v>1200.32</v>
      </c>
      <c r="F552" s="1">
        <v>44622</v>
      </c>
      <c r="G552" t="s">
        <v>2027</v>
      </c>
      <c r="H552">
        <v>2</v>
      </c>
      <c r="I552" s="12">
        <f>Table16[[#This Row],[price]]*Table16[[#This Row],[quantity]]</f>
        <v>4801.28</v>
      </c>
    </row>
    <row r="553" spans="1:9" x14ac:dyDescent="0.3">
      <c r="A553" t="s">
        <v>2570</v>
      </c>
      <c r="B553" t="s">
        <v>105</v>
      </c>
      <c r="C553" t="s">
        <v>2001</v>
      </c>
      <c r="D553">
        <v>5</v>
      </c>
      <c r="E553" s="16">
        <v>1500.4</v>
      </c>
      <c r="F553" s="1">
        <v>44698</v>
      </c>
      <c r="G553" t="s">
        <v>2004</v>
      </c>
      <c r="H553">
        <v>2</v>
      </c>
      <c r="I553" s="12">
        <f>Table16[[#This Row],[price]]*Table16[[#This Row],[quantity]]</f>
        <v>7502</v>
      </c>
    </row>
    <row r="554" spans="1:9" x14ac:dyDescent="0.3">
      <c r="A554" t="s">
        <v>2567</v>
      </c>
      <c r="B554" t="s">
        <v>105</v>
      </c>
      <c r="C554" t="s">
        <v>2011</v>
      </c>
      <c r="D554">
        <v>3</v>
      </c>
      <c r="E554" s="16">
        <v>121.98</v>
      </c>
      <c r="F554" s="1">
        <v>44727</v>
      </c>
      <c r="G554" t="s">
        <v>2002</v>
      </c>
      <c r="H554">
        <v>1</v>
      </c>
      <c r="I554" s="12">
        <f>Table16[[#This Row],[price]]*Table16[[#This Row],[quantity]]</f>
        <v>365.94</v>
      </c>
    </row>
    <row r="555" spans="1:9" x14ac:dyDescent="0.3">
      <c r="A555" t="s">
        <v>2574</v>
      </c>
      <c r="B555" t="s">
        <v>106</v>
      </c>
      <c r="C555" t="s">
        <v>2008</v>
      </c>
      <c r="D555">
        <v>4</v>
      </c>
      <c r="E555" s="16">
        <v>20.92</v>
      </c>
      <c r="F555" s="1">
        <v>44256</v>
      </c>
      <c r="G555" t="s">
        <v>2058</v>
      </c>
      <c r="H555">
        <v>5</v>
      </c>
      <c r="I555" s="12">
        <f>Table16[[#This Row],[price]]*Table16[[#This Row],[quantity]]</f>
        <v>83.68</v>
      </c>
    </row>
    <row r="556" spans="1:9" x14ac:dyDescent="0.3">
      <c r="A556" t="s">
        <v>2575</v>
      </c>
      <c r="B556" t="s">
        <v>106</v>
      </c>
      <c r="C556" t="s">
        <v>2011</v>
      </c>
      <c r="D556">
        <v>2</v>
      </c>
      <c r="E556" s="16">
        <v>81.319999999999993</v>
      </c>
      <c r="F556" s="1">
        <v>44328</v>
      </c>
      <c r="G556" t="s">
        <v>2020</v>
      </c>
      <c r="H556">
        <v>5</v>
      </c>
      <c r="I556" s="12">
        <f>Table16[[#This Row],[price]]*Table16[[#This Row],[quantity]]</f>
        <v>162.63999999999999</v>
      </c>
    </row>
    <row r="557" spans="1:9" x14ac:dyDescent="0.3">
      <c r="A557" t="s">
        <v>2571</v>
      </c>
      <c r="B557" t="s">
        <v>106</v>
      </c>
      <c r="C557" t="s">
        <v>2008</v>
      </c>
      <c r="D557">
        <v>1</v>
      </c>
      <c r="E557" s="16">
        <v>5.23</v>
      </c>
      <c r="F557" s="1">
        <v>44382</v>
      </c>
      <c r="G557" t="s">
        <v>2004</v>
      </c>
      <c r="H557">
        <v>4</v>
      </c>
      <c r="I557" s="12">
        <f>Table16[[#This Row],[price]]*Table16[[#This Row],[quantity]]</f>
        <v>5.23</v>
      </c>
    </row>
    <row r="558" spans="1:9" x14ac:dyDescent="0.3">
      <c r="A558" t="s">
        <v>2576</v>
      </c>
      <c r="B558" t="s">
        <v>106</v>
      </c>
      <c r="C558" t="s">
        <v>2015</v>
      </c>
      <c r="D558">
        <v>3</v>
      </c>
      <c r="E558" s="16">
        <v>1800.51</v>
      </c>
      <c r="F558" s="1">
        <v>44432</v>
      </c>
      <c r="G558" t="s">
        <v>2064</v>
      </c>
      <c r="H558">
        <v>3</v>
      </c>
      <c r="I558" s="12">
        <f>Table16[[#This Row],[price]]*Table16[[#This Row],[quantity]]</f>
        <v>5401.53</v>
      </c>
    </row>
    <row r="559" spans="1:9" x14ac:dyDescent="0.3">
      <c r="A559" t="s">
        <v>2573</v>
      </c>
      <c r="B559" t="s">
        <v>106</v>
      </c>
      <c r="C559" t="s">
        <v>2008</v>
      </c>
      <c r="D559">
        <v>3</v>
      </c>
      <c r="E559" s="16">
        <v>15.69</v>
      </c>
      <c r="F559" s="1">
        <v>44528</v>
      </c>
      <c r="G559" t="s">
        <v>2009</v>
      </c>
      <c r="H559">
        <v>4</v>
      </c>
      <c r="I559" s="12">
        <f>Table16[[#This Row],[price]]*Table16[[#This Row],[quantity]]</f>
        <v>47.07</v>
      </c>
    </row>
    <row r="560" spans="1:9" x14ac:dyDescent="0.3">
      <c r="A560" t="s">
        <v>2572</v>
      </c>
      <c r="B560" t="s">
        <v>106</v>
      </c>
      <c r="C560" t="s">
        <v>2008</v>
      </c>
      <c r="D560">
        <v>5</v>
      </c>
      <c r="E560" s="16">
        <v>26.15</v>
      </c>
      <c r="F560" s="1">
        <v>44746</v>
      </c>
      <c r="G560" t="s">
        <v>2020</v>
      </c>
      <c r="H560">
        <v>3</v>
      </c>
      <c r="I560" s="12">
        <f>Table16[[#This Row],[price]]*Table16[[#This Row],[quantity]]</f>
        <v>130.75</v>
      </c>
    </row>
    <row r="561" spans="1:9" x14ac:dyDescent="0.3">
      <c r="A561" t="s">
        <v>2578</v>
      </c>
      <c r="B561" t="s">
        <v>107</v>
      </c>
      <c r="C561" t="s">
        <v>2006</v>
      </c>
      <c r="D561">
        <v>4</v>
      </c>
      <c r="E561" s="16">
        <v>60.6</v>
      </c>
      <c r="F561" s="1">
        <v>44208</v>
      </c>
      <c r="G561" t="s">
        <v>2004</v>
      </c>
      <c r="H561">
        <v>2</v>
      </c>
      <c r="I561" s="12">
        <f>Table16[[#This Row],[price]]*Table16[[#This Row],[quantity]]</f>
        <v>242.4</v>
      </c>
    </row>
    <row r="562" spans="1:9" x14ac:dyDescent="0.3">
      <c r="A562" t="s">
        <v>2577</v>
      </c>
      <c r="B562" t="s">
        <v>107</v>
      </c>
      <c r="C562" t="s">
        <v>2001</v>
      </c>
      <c r="D562">
        <v>4</v>
      </c>
      <c r="E562" s="16">
        <v>1200.32</v>
      </c>
      <c r="F562" s="1">
        <v>44253</v>
      </c>
      <c r="G562" t="s">
        <v>2018</v>
      </c>
      <c r="H562">
        <v>1</v>
      </c>
      <c r="I562" s="12">
        <f>Table16[[#This Row],[price]]*Table16[[#This Row],[quantity]]</f>
        <v>4801.28</v>
      </c>
    </row>
    <row r="563" spans="1:9" x14ac:dyDescent="0.3">
      <c r="A563" t="s">
        <v>2579</v>
      </c>
      <c r="B563" t="s">
        <v>107</v>
      </c>
      <c r="C563" t="s">
        <v>2024</v>
      </c>
      <c r="D563">
        <v>5</v>
      </c>
      <c r="E563" s="16">
        <v>179.2</v>
      </c>
      <c r="F563" s="1">
        <v>44478</v>
      </c>
      <c r="G563" t="s">
        <v>2004</v>
      </c>
      <c r="H563">
        <v>4</v>
      </c>
      <c r="I563" s="12">
        <f>Table16[[#This Row],[price]]*Table16[[#This Row],[quantity]]</f>
        <v>896</v>
      </c>
    </row>
    <row r="564" spans="1:9" x14ac:dyDescent="0.3">
      <c r="A564" t="s">
        <v>2580</v>
      </c>
      <c r="B564" t="s">
        <v>107</v>
      </c>
      <c r="C564" t="s">
        <v>2001</v>
      </c>
      <c r="D564">
        <v>4</v>
      </c>
      <c r="E564" s="16">
        <v>1200.32</v>
      </c>
      <c r="F564" s="1">
        <v>44852</v>
      </c>
      <c r="G564" t="s">
        <v>2058</v>
      </c>
      <c r="H564">
        <v>5</v>
      </c>
      <c r="I564" s="12">
        <f>Table16[[#This Row],[price]]*Table16[[#This Row],[quantity]]</f>
        <v>4801.28</v>
      </c>
    </row>
    <row r="565" spans="1:9" x14ac:dyDescent="0.3">
      <c r="A565" t="s">
        <v>2584</v>
      </c>
      <c r="B565" t="s">
        <v>108</v>
      </c>
      <c r="C565" t="s">
        <v>2001</v>
      </c>
      <c r="D565">
        <v>5</v>
      </c>
      <c r="E565" s="16">
        <v>1500.4</v>
      </c>
      <c r="F565" s="1">
        <v>44260</v>
      </c>
      <c r="G565" t="s">
        <v>2002</v>
      </c>
      <c r="H565">
        <v>5</v>
      </c>
      <c r="I565" s="12">
        <f>Table16[[#This Row],[price]]*Table16[[#This Row],[quantity]]</f>
        <v>7502</v>
      </c>
    </row>
    <row r="566" spans="1:9" x14ac:dyDescent="0.3">
      <c r="A566" t="s">
        <v>2583</v>
      </c>
      <c r="B566" t="s">
        <v>108</v>
      </c>
      <c r="C566" t="s">
        <v>2001</v>
      </c>
      <c r="D566">
        <v>5</v>
      </c>
      <c r="E566" s="16">
        <v>1500.4</v>
      </c>
      <c r="F566" s="1">
        <v>44500</v>
      </c>
      <c r="G566" t="s">
        <v>2020</v>
      </c>
      <c r="H566">
        <v>4</v>
      </c>
      <c r="I566" s="12">
        <f>Table16[[#This Row],[price]]*Table16[[#This Row],[quantity]]</f>
        <v>7502</v>
      </c>
    </row>
    <row r="567" spans="1:9" x14ac:dyDescent="0.3">
      <c r="A567" t="s">
        <v>2581</v>
      </c>
      <c r="B567" t="s">
        <v>108</v>
      </c>
      <c r="C567" t="s">
        <v>2015</v>
      </c>
      <c r="D567">
        <v>4</v>
      </c>
      <c r="E567" s="16">
        <v>2400.6799999999998</v>
      </c>
      <c r="F567" s="1">
        <v>44761</v>
      </c>
      <c r="G567" t="s">
        <v>2009</v>
      </c>
      <c r="H567">
        <v>5</v>
      </c>
      <c r="I567" s="12">
        <f>Table16[[#This Row],[price]]*Table16[[#This Row],[quantity]]</f>
        <v>9602.7199999999993</v>
      </c>
    </row>
    <row r="568" spans="1:9" x14ac:dyDescent="0.3">
      <c r="A568" t="s">
        <v>2585</v>
      </c>
      <c r="B568" t="s">
        <v>108</v>
      </c>
      <c r="C568" t="s">
        <v>2001</v>
      </c>
      <c r="D568">
        <v>2</v>
      </c>
      <c r="E568" s="16">
        <v>600.16</v>
      </c>
      <c r="F568" s="1">
        <v>44913</v>
      </c>
      <c r="G568" t="s">
        <v>2064</v>
      </c>
      <c r="H568">
        <v>4</v>
      </c>
      <c r="I568" s="12">
        <f>Table16[[#This Row],[price]]*Table16[[#This Row],[quantity]]</f>
        <v>1200.32</v>
      </c>
    </row>
    <row r="569" spans="1:9" x14ac:dyDescent="0.3">
      <c r="A569" t="s">
        <v>2582</v>
      </c>
      <c r="B569" t="s">
        <v>108</v>
      </c>
      <c r="C569" t="s">
        <v>2001</v>
      </c>
      <c r="D569">
        <v>3</v>
      </c>
      <c r="E569" s="16">
        <v>900.24</v>
      </c>
      <c r="F569" s="1">
        <v>44921</v>
      </c>
      <c r="G569" t="s">
        <v>2004</v>
      </c>
      <c r="H569">
        <v>4</v>
      </c>
      <c r="I569" s="12">
        <f>Table16[[#This Row],[price]]*Table16[[#This Row],[quantity]]</f>
        <v>2700.7200000000003</v>
      </c>
    </row>
    <row r="570" spans="1:9" x14ac:dyDescent="0.3">
      <c r="A570" t="s">
        <v>2586</v>
      </c>
      <c r="B570" t="s">
        <v>109</v>
      </c>
      <c r="C570" t="s">
        <v>2008</v>
      </c>
      <c r="D570">
        <v>2</v>
      </c>
      <c r="E570" s="16">
        <v>10.46</v>
      </c>
      <c r="F570" s="1">
        <v>44753</v>
      </c>
      <c r="G570" t="s">
        <v>2004</v>
      </c>
      <c r="H570">
        <v>5</v>
      </c>
      <c r="I570" s="12">
        <f>Table16[[#This Row],[price]]*Table16[[#This Row],[quantity]]</f>
        <v>20.92</v>
      </c>
    </row>
    <row r="571" spans="1:9" x14ac:dyDescent="0.3">
      <c r="A571" t="s">
        <v>2587</v>
      </c>
      <c r="B571" t="s">
        <v>109</v>
      </c>
      <c r="C571" t="s">
        <v>2001</v>
      </c>
      <c r="D571">
        <v>1</v>
      </c>
      <c r="E571" s="16">
        <v>300.08</v>
      </c>
      <c r="F571" s="1">
        <v>44808</v>
      </c>
      <c r="G571" t="s">
        <v>2009</v>
      </c>
      <c r="H571">
        <v>2</v>
      </c>
      <c r="I571" s="12">
        <f>Table16[[#This Row],[price]]*Table16[[#This Row],[quantity]]</f>
        <v>300.08</v>
      </c>
    </row>
    <row r="572" spans="1:9" x14ac:dyDescent="0.3">
      <c r="A572" t="s">
        <v>2588</v>
      </c>
      <c r="B572" t="s">
        <v>109</v>
      </c>
      <c r="C572" t="s">
        <v>2001</v>
      </c>
      <c r="D572">
        <v>1</v>
      </c>
      <c r="E572" s="16">
        <v>300.08</v>
      </c>
      <c r="F572" s="1">
        <v>44975</v>
      </c>
      <c r="G572" t="s">
        <v>2002</v>
      </c>
      <c r="H572">
        <v>2</v>
      </c>
      <c r="I572" s="12">
        <f>Table16[[#This Row],[price]]*Table16[[#This Row],[quantity]]</f>
        <v>300.08</v>
      </c>
    </row>
    <row r="573" spans="1:9" x14ac:dyDescent="0.3">
      <c r="A573" t="s">
        <v>2589</v>
      </c>
      <c r="B573" t="s">
        <v>110</v>
      </c>
      <c r="C573" t="s">
        <v>2011</v>
      </c>
      <c r="D573">
        <v>4</v>
      </c>
      <c r="E573" s="16">
        <v>162.63999999999999</v>
      </c>
      <c r="F573" s="1">
        <v>44223</v>
      </c>
      <c r="G573" t="s">
        <v>2064</v>
      </c>
      <c r="H573">
        <v>4</v>
      </c>
      <c r="I573" s="12">
        <f>Table16[[#This Row],[price]]*Table16[[#This Row],[quantity]]</f>
        <v>650.55999999999995</v>
      </c>
    </row>
    <row r="574" spans="1:9" x14ac:dyDescent="0.3">
      <c r="A574" t="s">
        <v>2593</v>
      </c>
      <c r="B574" t="s">
        <v>110</v>
      </c>
      <c r="C574" t="s">
        <v>2015</v>
      </c>
      <c r="D574">
        <v>5</v>
      </c>
      <c r="E574" s="16">
        <v>3000.85</v>
      </c>
      <c r="F574" s="1">
        <v>44475</v>
      </c>
      <c r="G574" t="s">
        <v>2041</v>
      </c>
      <c r="H574">
        <v>3</v>
      </c>
      <c r="I574" s="12">
        <f>Table16[[#This Row],[price]]*Table16[[#This Row],[quantity]]</f>
        <v>15004.25</v>
      </c>
    </row>
    <row r="575" spans="1:9" x14ac:dyDescent="0.3">
      <c r="A575" t="s">
        <v>2590</v>
      </c>
      <c r="B575" t="s">
        <v>110</v>
      </c>
      <c r="C575" t="s">
        <v>2008</v>
      </c>
      <c r="D575">
        <v>3</v>
      </c>
      <c r="E575" s="16">
        <v>15.69</v>
      </c>
      <c r="F575" s="1">
        <v>44574</v>
      </c>
      <c r="G575" t="s">
        <v>2027</v>
      </c>
      <c r="H575">
        <v>3</v>
      </c>
      <c r="I575" s="12">
        <f>Table16[[#This Row],[price]]*Table16[[#This Row],[quantity]]</f>
        <v>47.07</v>
      </c>
    </row>
    <row r="576" spans="1:9" x14ac:dyDescent="0.3">
      <c r="A576" t="s">
        <v>2591</v>
      </c>
      <c r="B576" t="s">
        <v>110</v>
      </c>
      <c r="C576" t="s">
        <v>2057</v>
      </c>
      <c r="D576">
        <v>4</v>
      </c>
      <c r="E576" s="16">
        <v>46.92</v>
      </c>
      <c r="F576" s="1">
        <v>44765</v>
      </c>
      <c r="G576" t="s">
        <v>2002</v>
      </c>
      <c r="H576">
        <v>3</v>
      </c>
      <c r="I576" s="12">
        <f>Table16[[#This Row],[price]]*Table16[[#This Row],[quantity]]</f>
        <v>187.68</v>
      </c>
    </row>
    <row r="577" spans="1:9" x14ac:dyDescent="0.3">
      <c r="A577" t="s">
        <v>2592</v>
      </c>
      <c r="B577" t="s">
        <v>110</v>
      </c>
      <c r="C577" t="s">
        <v>2001</v>
      </c>
      <c r="D577">
        <v>5</v>
      </c>
      <c r="E577" s="16">
        <v>1500.4</v>
      </c>
      <c r="F577" s="1">
        <v>44831</v>
      </c>
      <c r="G577" t="s">
        <v>2004</v>
      </c>
      <c r="H577">
        <v>1</v>
      </c>
      <c r="I577" s="12">
        <f>Table16[[#This Row],[price]]*Table16[[#This Row],[quantity]]</f>
        <v>7502</v>
      </c>
    </row>
    <row r="578" spans="1:9" x14ac:dyDescent="0.3">
      <c r="A578" t="s">
        <v>2594</v>
      </c>
      <c r="B578" t="s">
        <v>110</v>
      </c>
      <c r="C578" t="s">
        <v>2008</v>
      </c>
      <c r="D578">
        <v>1</v>
      </c>
      <c r="E578" s="16">
        <v>5.23</v>
      </c>
      <c r="F578" s="1">
        <v>44932</v>
      </c>
      <c r="G578" t="s">
        <v>2020</v>
      </c>
      <c r="H578">
        <v>4</v>
      </c>
      <c r="I578" s="12">
        <f>Table16[[#This Row],[price]]*Table16[[#This Row],[quantity]]</f>
        <v>5.23</v>
      </c>
    </row>
    <row r="579" spans="1:9" x14ac:dyDescent="0.3">
      <c r="A579" t="s">
        <v>2597</v>
      </c>
      <c r="B579" t="s">
        <v>111</v>
      </c>
      <c r="C579" t="s">
        <v>2001</v>
      </c>
      <c r="D579">
        <v>3</v>
      </c>
      <c r="E579" s="16">
        <v>900.24</v>
      </c>
      <c r="F579" s="1">
        <v>44241</v>
      </c>
      <c r="G579" t="s">
        <v>2058</v>
      </c>
      <c r="H579">
        <v>4</v>
      </c>
      <c r="I579" s="12">
        <f>Table16[[#This Row],[price]]*Table16[[#This Row],[quantity]]</f>
        <v>2700.7200000000003</v>
      </c>
    </row>
    <row r="580" spans="1:9" x14ac:dyDescent="0.3">
      <c r="A580" t="s">
        <v>2596</v>
      </c>
      <c r="B580" t="s">
        <v>111</v>
      </c>
      <c r="C580" t="s">
        <v>2015</v>
      </c>
      <c r="D580">
        <v>3</v>
      </c>
      <c r="E580" s="16">
        <v>1800.51</v>
      </c>
      <c r="F580" s="1">
        <v>44457</v>
      </c>
      <c r="G580" t="s">
        <v>2004</v>
      </c>
      <c r="H580">
        <v>5</v>
      </c>
      <c r="I580" s="12">
        <f>Table16[[#This Row],[price]]*Table16[[#This Row],[quantity]]</f>
        <v>5401.53</v>
      </c>
    </row>
    <row r="581" spans="1:9" x14ac:dyDescent="0.3">
      <c r="A581" t="s">
        <v>2600</v>
      </c>
      <c r="B581" t="s">
        <v>111</v>
      </c>
      <c r="C581" t="s">
        <v>2001</v>
      </c>
      <c r="D581">
        <v>3</v>
      </c>
      <c r="E581" s="16">
        <v>900.24</v>
      </c>
      <c r="F581" s="1">
        <v>44481</v>
      </c>
      <c r="G581" t="s">
        <v>2004</v>
      </c>
      <c r="H581">
        <v>2</v>
      </c>
      <c r="I581" s="12">
        <f>Table16[[#This Row],[price]]*Table16[[#This Row],[quantity]]</f>
        <v>2700.7200000000003</v>
      </c>
    </row>
    <row r="582" spans="1:9" x14ac:dyDescent="0.3">
      <c r="A582" t="s">
        <v>2599</v>
      </c>
      <c r="B582" t="s">
        <v>111</v>
      </c>
      <c r="C582" t="s">
        <v>2001</v>
      </c>
      <c r="D582">
        <v>3</v>
      </c>
      <c r="E582" s="16">
        <v>900.24</v>
      </c>
      <c r="F582" s="1">
        <v>44527</v>
      </c>
      <c r="G582" t="s">
        <v>2004</v>
      </c>
      <c r="H582">
        <v>4</v>
      </c>
      <c r="I582" s="12">
        <f>Table16[[#This Row],[price]]*Table16[[#This Row],[quantity]]</f>
        <v>2700.7200000000003</v>
      </c>
    </row>
    <row r="583" spans="1:9" x14ac:dyDescent="0.3">
      <c r="A583" t="s">
        <v>2595</v>
      </c>
      <c r="B583" t="s">
        <v>111</v>
      </c>
      <c r="C583" t="s">
        <v>2006</v>
      </c>
      <c r="D583">
        <v>1</v>
      </c>
      <c r="E583" s="16">
        <v>15.15</v>
      </c>
      <c r="F583" s="1">
        <v>44540</v>
      </c>
      <c r="G583" t="s">
        <v>2027</v>
      </c>
      <c r="H583">
        <v>5</v>
      </c>
      <c r="I583" s="12">
        <f>Table16[[#This Row],[price]]*Table16[[#This Row],[quantity]]</f>
        <v>15.15</v>
      </c>
    </row>
    <row r="584" spans="1:9" x14ac:dyDescent="0.3">
      <c r="A584" t="s">
        <v>2601</v>
      </c>
      <c r="B584" t="s">
        <v>111</v>
      </c>
      <c r="C584" t="s">
        <v>2001</v>
      </c>
      <c r="D584">
        <v>2</v>
      </c>
      <c r="E584" s="16">
        <v>600.16</v>
      </c>
      <c r="F584" s="1">
        <v>44752</v>
      </c>
      <c r="G584" t="s">
        <v>2027</v>
      </c>
      <c r="H584">
        <v>3</v>
      </c>
      <c r="I584" s="12">
        <f>Table16[[#This Row],[price]]*Table16[[#This Row],[quantity]]</f>
        <v>1200.32</v>
      </c>
    </row>
    <row r="585" spans="1:9" x14ac:dyDescent="0.3">
      <c r="A585" t="s">
        <v>2598</v>
      </c>
      <c r="B585" t="s">
        <v>111</v>
      </c>
      <c r="C585" t="s">
        <v>2015</v>
      </c>
      <c r="D585">
        <v>3</v>
      </c>
      <c r="E585" s="16">
        <v>1800.51</v>
      </c>
      <c r="F585" s="1">
        <v>44773</v>
      </c>
      <c r="G585" t="s">
        <v>2020</v>
      </c>
      <c r="H585">
        <v>4</v>
      </c>
      <c r="I585" s="12">
        <f>Table16[[#This Row],[price]]*Table16[[#This Row],[quantity]]</f>
        <v>5401.53</v>
      </c>
    </row>
    <row r="586" spans="1:9" x14ac:dyDescent="0.3">
      <c r="A586" t="s">
        <v>2603</v>
      </c>
      <c r="B586" t="s">
        <v>112</v>
      </c>
      <c r="C586" t="s">
        <v>2001</v>
      </c>
      <c r="D586">
        <v>3</v>
      </c>
      <c r="E586" s="16">
        <v>900.24</v>
      </c>
      <c r="F586" s="1">
        <v>44220</v>
      </c>
      <c r="G586" t="s">
        <v>2027</v>
      </c>
      <c r="H586">
        <v>1</v>
      </c>
      <c r="I586" s="12">
        <f>Table16[[#This Row],[price]]*Table16[[#This Row],[quantity]]</f>
        <v>2700.7200000000003</v>
      </c>
    </row>
    <row r="587" spans="1:9" x14ac:dyDescent="0.3">
      <c r="A587" t="s">
        <v>2602</v>
      </c>
      <c r="B587" t="s">
        <v>112</v>
      </c>
      <c r="C587" t="s">
        <v>2024</v>
      </c>
      <c r="D587">
        <v>3</v>
      </c>
      <c r="E587" s="16">
        <v>107.52</v>
      </c>
      <c r="F587" s="1">
        <v>44366</v>
      </c>
      <c r="G587" t="s">
        <v>2058</v>
      </c>
      <c r="H587">
        <v>5</v>
      </c>
      <c r="I587" s="12">
        <f>Table16[[#This Row],[price]]*Table16[[#This Row],[quantity]]</f>
        <v>322.56</v>
      </c>
    </row>
    <row r="588" spans="1:9" x14ac:dyDescent="0.3">
      <c r="A588" t="s">
        <v>2604</v>
      </c>
      <c r="B588" t="s">
        <v>112</v>
      </c>
      <c r="C588" t="s">
        <v>2001</v>
      </c>
      <c r="D588">
        <v>4</v>
      </c>
      <c r="E588" s="16">
        <v>1200.32</v>
      </c>
      <c r="F588" s="1">
        <v>44669</v>
      </c>
      <c r="G588" t="s">
        <v>2064</v>
      </c>
      <c r="H588">
        <v>1</v>
      </c>
      <c r="I588" s="12">
        <f>Table16[[#This Row],[price]]*Table16[[#This Row],[quantity]]</f>
        <v>4801.28</v>
      </c>
    </row>
    <row r="589" spans="1:9" x14ac:dyDescent="0.3">
      <c r="A589" t="s">
        <v>2606</v>
      </c>
      <c r="B589" t="s">
        <v>112</v>
      </c>
      <c r="C589" t="s">
        <v>2001</v>
      </c>
      <c r="D589">
        <v>1</v>
      </c>
      <c r="E589" s="16">
        <v>300.08</v>
      </c>
      <c r="F589" s="1">
        <v>44858</v>
      </c>
      <c r="G589" t="s">
        <v>2012</v>
      </c>
      <c r="H589">
        <v>2</v>
      </c>
      <c r="I589" s="12">
        <f>Table16[[#This Row],[price]]*Table16[[#This Row],[quantity]]</f>
        <v>300.08</v>
      </c>
    </row>
    <row r="590" spans="1:9" x14ac:dyDescent="0.3">
      <c r="A590" t="s">
        <v>2605</v>
      </c>
      <c r="B590" t="s">
        <v>112</v>
      </c>
      <c r="C590" t="s">
        <v>2011</v>
      </c>
      <c r="D590">
        <v>3</v>
      </c>
      <c r="E590" s="16">
        <v>121.98</v>
      </c>
      <c r="F590" s="1">
        <v>44875</v>
      </c>
      <c r="G590" t="s">
        <v>2064</v>
      </c>
      <c r="H590">
        <v>3</v>
      </c>
      <c r="I590" s="12">
        <f>Table16[[#This Row],[price]]*Table16[[#This Row],[quantity]]</f>
        <v>365.94</v>
      </c>
    </row>
    <row r="591" spans="1:9" x14ac:dyDescent="0.3">
      <c r="A591" t="s">
        <v>2608</v>
      </c>
      <c r="B591" t="s">
        <v>113</v>
      </c>
      <c r="C591" t="s">
        <v>2011</v>
      </c>
      <c r="D591">
        <v>5</v>
      </c>
      <c r="E591" s="16">
        <v>203.3</v>
      </c>
      <c r="F591" s="1">
        <v>44200</v>
      </c>
      <c r="G591" t="s">
        <v>2020</v>
      </c>
      <c r="H591">
        <v>1</v>
      </c>
      <c r="I591" s="12">
        <f>Table16[[#This Row],[price]]*Table16[[#This Row],[quantity]]</f>
        <v>1016.5</v>
      </c>
    </row>
    <row r="592" spans="1:9" x14ac:dyDescent="0.3">
      <c r="A592" t="s">
        <v>2607</v>
      </c>
      <c r="B592" t="s">
        <v>113</v>
      </c>
      <c r="C592" t="s">
        <v>2011</v>
      </c>
      <c r="D592">
        <v>4</v>
      </c>
      <c r="E592" s="16">
        <v>162.63999999999999</v>
      </c>
      <c r="F592" s="1">
        <v>44260</v>
      </c>
      <c r="G592" t="s">
        <v>2027</v>
      </c>
      <c r="H592">
        <v>4</v>
      </c>
      <c r="I592" s="12">
        <f>Table16[[#This Row],[price]]*Table16[[#This Row],[quantity]]</f>
        <v>650.55999999999995</v>
      </c>
    </row>
    <row r="593" spans="1:9" x14ac:dyDescent="0.3">
      <c r="A593" t="s">
        <v>2610</v>
      </c>
      <c r="B593" t="s">
        <v>113</v>
      </c>
      <c r="C593" t="s">
        <v>2008</v>
      </c>
      <c r="D593">
        <v>2</v>
      </c>
      <c r="E593" s="16">
        <v>10.46</v>
      </c>
      <c r="F593" s="1">
        <v>44809</v>
      </c>
      <c r="G593" t="s">
        <v>2004</v>
      </c>
      <c r="H593">
        <v>3</v>
      </c>
      <c r="I593" s="12">
        <f>Table16[[#This Row],[price]]*Table16[[#This Row],[quantity]]</f>
        <v>20.92</v>
      </c>
    </row>
    <row r="594" spans="1:9" x14ac:dyDescent="0.3">
      <c r="A594" t="s">
        <v>2609</v>
      </c>
      <c r="B594" t="s">
        <v>113</v>
      </c>
      <c r="C594" t="s">
        <v>2011</v>
      </c>
      <c r="D594">
        <v>1</v>
      </c>
      <c r="E594" s="16">
        <v>40.659999999999997</v>
      </c>
      <c r="F594" s="1">
        <v>44959</v>
      </c>
      <c r="G594" t="s">
        <v>2027</v>
      </c>
      <c r="H594">
        <v>5</v>
      </c>
      <c r="I594" s="12">
        <f>Table16[[#This Row],[price]]*Table16[[#This Row],[quantity]]</f>
        <v>40.659999999999997</v>
      </c>
    </row>
    <row r="595" spans="1:9" x14ac:dyDescent="0.3">
      <c r="A595" t="s">
        <v>2612</v>
      </c>
      <c r="B595" t="s">
        <v>114</v>
      </c>
      <c r="C595" t="s">
        <v>2011</v>
      </c>
      <c r="D595">
        <v>2</v>
      </c>
      <c r="E595" s="16">
        <v>81.319999999999993</v>
      </c>
      <c r="F595" s="1">
        <v>44422</v>
      </c>
      <c r="G595" t="s">
        <v>2064</v>
      </c>
      <c r="H595">
        <v>1</v>
      </c>
      <c r="I595" s="12">
        <f>Table16[[#This Row],[price]]*Table16[[#This Row],[quantity]]</f>
        <v>162.63999999999999</v>
      </c>
    </row>
    <row r="596" spans="1:9" x14ac:dyDescent="0.3">
      <c r="A596" t="s">
        <v>2611</v>
      </c>
      <c r="B596" t="s">
        <v>114</v>
      </c>
      <c r="C596" t="s">
        <v>2015</v>
      </c>
      <c r="D596">
        <v>2</v>
      </c>
      <c r="E596" s="16">
        <v>1200.3399999999999</v>
      </c>
      <c r="F596" s="1">
        <v>44941</v>
      </c>
      <c r="G596" t="s">
        <v>2002</v>
      </c>
      <c r="H596">
        <v>2</v>
      </c>
      <c r="I596" s="12">
        <f>Table16[[#This Row],[price]]*Table16[[#This Row],[quantity]]</f>
        <v>2400.6799999999998</v>
      </c>
    </row>
    <row r="597" spans="1:9" x14ac:dyDescent="0.3">
      <c r="A597" t="s">
        <v>2613</v>
      </c>
      <c r="B597" t="s">
        <v>115</v>
      </c>
      <c r="C597" t="s">
        <v>2001</v>
      </c>
      <c r="D597">
        <v>2</v>
      </c>
      <c r="E597" s="16">
        <v>600.16</v>
      </c>
      <c r="F597" s="1">
        <v>44519</v>
      </c>
      <c r="G597" t="s">
        <v>2009</v>
      </c>
      <c r="H597">
        <v>3</v>
      </c>
      <c r="I597" s="12">
        <f>Table16[[#This Row],[price]]*Table16[[#This Row],[quantity]]</f>
        <v>1200.32</v>
      </c>
    </row>
    <row r="598" spans="1:9" x14ac:dyDescent="0.3">
      <c r="A598" t="s">
        <v>2614</v>
      </c>
      <c r="B598" t="s">
        <v>115</v>
      </c>
      <c r="C598" t="s">
        <v>2001</v>
      </c>
      <c r="D598">
        <v>3</v>
      </c>
      <c r="E598" s="16">
        <v>900.24</v>
      </c>
      <c r="F598" s="1">
        <v>44629</v>
      </c>
      <c r="G598" t="s">
        <v>2027</v>
      </c>
      <c r="H598">
        <v>1</v>
      </c>
      <c r="I598" s="12">
        <f>Table16[[#This Row],[price]]*Table16[[#This Row],[quantity]]</f>
        <v>2700.7200000000003</v>
      </c>
    </row>
    <row r="599" spans="1:9" x14ac:dyDescent="0.3">
      <c r="A599" t="s">
        <v>2615</v>
      </c>
      <c r="B599" t="s">
        <v>115</v>
      </c>
      <c r="C599" t="s">
        <v>2024</v>
      </c>
      <c r="D599">
        <v>1</v>
      </c>
      <c r="E599" s="16">
        <v>35.840000000000003</v>
      </c>
      <c r="F599" s="1">
        <v>44653</v>
      </c>
      <c r="G599" t="s">
        <v>2002</v>
      </c>
      <c r="H599">
        <v>4</v>
      </c>
      <c r="I599" s="12">
        <f>Table16[[#This Row],[price]]*Table16[[#This Row],[quantity]]</f>
        <v>35.840000000000003</v>
      </c>
    </row>
    <row r="600" spans="1:9" x14ac:dyDescent="0.3">
      <c r="A600" t="s">
        <v>2617</v>
      </c>
      <c r="B600" t="s">
        <v>115</v>
      </c>
      <c r="C600" t="s">
        <v>2024</v>
      </c>
      <c r="D600">
        <v>1</v>
      </c>
      <c r="E600" s="16">
        <v>35.840000000000003</v>
      </c>
      <c r="F600" s="1">
        <v>44836</v>
      </c>
      <c r="G600" t="s">
        <v>2020</v>
      </c>
      <c r="H600">
        <v>5</v>
      </c>
      <c r="I600" s="12">
        <f>Table16[[#This Row],[price]]*Table16[[#This Row],[quantity]]</f>
        <v>35.840000000000003</v>
      </c>
    </row>
    <row r="601" spans="1:9" x14ac:dyDescent="0.3">
      <c r="A601" t="s">
        <v>2616</v>
      </c>
      <c r="B601" t="s">
        <v>115</v>
      </c>
      <c r="C601" t="s">
        <v>2024</v>
      </c>
      <c r="D601">
        <v>2</v>
      </c>
      <c r="E601" s="16">
        <v>71.680000000000007</v>
      </c>
      <c r="F601" s="1">
        <v>44898</v>
      </c>
      <c r="G601" t="s">
        <v>2058</v>
      </c>
      <c r="H601">
        <v>3</v>
      </c>
      <c r="I601" s="12">
        <f>Table16[[#This Row],[price]]*Table16[[#This Row],[quantity]]</f>
        <v>143.36000000000001</v>
      </c>
    </row>
    <row r="602" spans="1:9" x14ac:dyDescent="0.3">
      <c r="A602" t="s">
        <v>2619</v>
      </c>
      <c r="B602" t="s">
        <v>116</v>
      </c>
      <c r="C602" t="s">
        <v>2011</v>
      </c>
      <c r="D602">
        <v>4</v>
      </c>
      <c r="E602" s="16">
        <v>162.63999999999999</v>
      </c>
      <c r="F602" s="1">
        <v>44280</v>
      </c>
      <c r="G602" t="s">
        <v>2020</v>
      </c>
      <c r="H602">
        <v>4</v>
      </c>
      <c r="I602" s="12">
        <f>Table16[[#This Row],[price]]*Table16[[#This Row],[quantity]]</f>
        <v>650.55999999999995</v>
      </c>
    </row>
    <row r="603" spans="1:9" x14ac:dyDescent="0.3">
      <c r="A603" t="s">
        <v>2622</v>
      </c>
      <c r="B603" t="s">
        <v>116</v>
      </c>
      <c r="C603" t="s">
        <v>2001</v>
      </c>
      <c r="D603">
        <v>1</v>
      </c>
      <c r="E603" s="16">
        <v>300.08</v>
      </c>
      <c r="F603" s="1">
        <v>44401</v>
      </c>
      <c r="G603" t="s">
        <v>2027</v>
      </c>
      <c r="H603">
        <v>5</v>
      </c>
      <c r="I603" s="12">
        <f>Table16[[#This Row],[price]]*Table16[[#This Row],[quantity]]</f>
        <v>300.08</v>
      </c>
    </row>
    <row r="604" spans="1:9" x14ac:dyDescent="0.3">
      <c r="A604" t="s">
        <v>2618</v>
      </c>
      <c r="B604" t="s">
        <v>116</v>
      </c>
      <c r="C604" t="s">
        <v>2001</v>
      </c>
      <c r="D604">
        <v>1</v>
      </c>
      <c r="E604" s="16">
        <v>300.08</v>
      </c>
      <c r="F604" s="1">
        <v>44682</v>
      </c>
      <c r="G604" t="s">
        <v>2004</v>
      </c>
      <c r="H604">
        <v>4</v>
      </c>
      <c r="I604" s="12">
        <f>Table16[[#This Row],[price]]*Table16[[#This Row],[quantity]]</f>
        <v>300.08</v>
      </c>
    </row>
    <row r="605" spans="1:9" x14ac:dyDescent="0.3">
      <c r="A605" t="s">
        <v>2621</v>
      </c>
      <c r="B605" t="s">
        <v>116</v>
      </c>
      <c r="C605" t="s">
        <v>2006</v>
      </c>
      <c r="D605">
        <v>4</v>
      </c>
      <c r="E605" s="16">
        <v>60.6</v>
      </c>
      <c r="F605" s="1">
        <v>44825</v>
      </c>
      <c r="G605" t="s">
        <v>2027</v>
      </c>
      <c r="H605">
        <v>1</v>
      </c>
      <c r="I605" s="12">
        <f>Table16[[#This Row],[price]]*Table16[[#This Row],[quantity]]</f>
        <v>242.4</v>
      </c>
    </row>
    <row r="606" spans="1:9" x14ac:dyDescent="0.3">
      <c r="A606" t="s">
        <v>2620</v>
      </c>
      <c r="B606" t="s">
        <v>116</v>
      </c>
      <c r="C606" t="s">
        <v>2011</v>
      </c>
      <c r="D606">
        <v>1</v>
      </c>
      <c r="E606" s="16">
        <v>40.659999999999997</v>
      </c>
      <c r="F606" s="1">
        <v>44865</v>
      </c>
      <c r="G606" t="s">
        <v>2027</v>
      </c>
      <c r="H606">
        <v>3</v>
      </c>
      <c r="I606" s="12">
        <f>Table16[[#This Row],[price]]*Table16[[#This Row],[quantity]]</f>
        <v>40.659999999999997</v>
      </c>
    </row>
    <row r="607" spans="1:9" x14ac:dyDescent="0.3">
      <c r="A607" t="s">
        <v>2623</v>
      </c>
      <c r="B607" t="s">
        <v>117</v>
      </c>
      <c r="C607" t="s">
        <v>2008</v>
      </c>
      <c r="D607">
        <v>5</v>
      </c>
      <c r="E607" s="16">
        <v>26.15</v>
      </c>
      <c r="F607" s="1">
        <v>44359</v>
      </c>
      <c r="G607" t="s">
        <v>2004</v>
      </c>
      <c r="H607">
        <v>2</v>
      </c>
      <c r="I607" s="12">
        <f>Table16[[#This Row],[price]]*Table16[[#This Row],[quantity]]</f>
        <v>130.75</v>
      </c>
    </row>
    <row r="608" spans="1:9" x14ac:dyDescent="0.3">
      <c r="A608" t="s">
        <v>2625</v>
      </c>
      <c r="B608" t="s">
        <v>117</v>
      </c>
      <c r="C608" t="s">
        <v>2024</v>
      </c>
      <c r="D608">
        <v>4</v>
      </c>
      <c r="E608" s="16">
        <v>143.36000000000001</v>
      </c>
      <c r="F608" s="1">
        <v>44645</v>
      </c>
      <c r="G608" t="s">
        <v>2002</v>
      </c>
      <c r="H608">
        <v>1</v>
      </c>
      <c r="I608" s="12">
        <f>Table16[[#This Row],[price]]*Table16[[#This Row],[quantity]]</f>
        <v>573.44000000000005</v>
      </c>
    </row>
    <row r="609" spans="1:9" x14ac:dyDescent="0.3">
      <c r="A609" t="s">
        <v>2624</v>
      </c>
      <c r="B609" t="s">
        <v>117</v>
      </c>
      <c r="C609" t="s">
        <v>2011</v>
      </c>
      <c r="D609">
        <v>3</v>
      </c>
      <c r="E609" s="16">
        <v>121.98</v>
      </c>
      <c r="F609" s="1">
        <v>44872</v>
      </c>
      <c r="G609" t="s">
        <v>2027</v>
      </c>
      <c r="H609">
        <v>1</v>
      </c>
      <c r="I609" s="12">
        <f>Table16[[#This Row],[price]]*Table16[[#This Row],[quantity]]</f>
        <v>365.94</v>
      </c>
    </row>
    <row r="610" spans="1:9" x14ac:dyDescent="0.3">
      <c r="A610" t="s">
        <v>2630</v>
      </c>
      <c r="B610" t="s">
        <v>118</v>
      </c>
      <c r="C610" t="s">
        <v>2001</v>
      </c>
      <c r="D610">
        <v>2</v>
      </c>
      <c r="E610" s="16">
        <v>600.16</v>
      </c>
      <c r="F610" s="1">
        <v>44442</v>
      </c>
      <c r="G610" t="s">
        <v>2004</v>
      </c>
      <c r="H610">
        <v>5</v>
      </c>
      <c r="I610" s="12">
        <f>Table16[[#This Row],[price]]*Table16[[#This Row],[quantity]]</f>
        <v>1200.32</v>
      </c>
    </row>
    <row r="611" spans="1:9" x14ac:dyDescent="0.3">
      <c r="A611" t="s">
        <v>2627</v>
      </c>
      <c r="B611" t="s">
        <v>118</v>
      </c>
      <c r="C611" t="s">
        <v>2001</v>
      </c>
      <c r="D611">
        <v>2</v>
      </c>
      <c r="E611" s="16">
        <v>600.16</v>
      </c>
      <c r="F611" s="1">
        <v>44548</v>
      </c>
      <c r="G611" t="s">
        <v>2064</v>
      </c>
      <c r="H611">
        <v>3</v>
      </c>
      <c r="I611" s="12">
        <f>Table16[[#This Row],[price]]*Table16[[#This Row],[quantity]]</f>
        <v>1200.32</v>
      </c>
    </row>
    <row r="612" spans="1:9" x14ac:dyDescent="0.3">
      <c r="A612" t="s">
        <v>2628</v>
      </c>
      <c r="B612" t="s">
        <v>118</v>
      </c>
      <c r="C612" t="s">
        <v>2015</v>
      </c>
      <c r="D612">
        <v>2</v>
      </c>
      <c r="E612" s="16">
        <v>1200.3399999999999</v>
      </c>
      <c r="F612" s="1">
        <v>44706</v>
      </c>
      <c r="G612" t="s">
        <v>2027</v>
      </c>
      <c r="H612">
        <v>5</v>
      </c>
      <c r="I612" s="12">
        <f>Table16[[#This Row],[price]]*Table16[[#This Row],[quantity]]</f>
        <v>2400.6799999999998</v>
      </c>
    </row>
    <row r="613" spans="1:9" x14ac:dyDescent="0.3">
      <c r="A613" t="s">
        <v>2629</v>
      </c>
      <c r="B613" t="s">
        <v>118</v>
      </c>
      <c r="C613" t="s">
        <v>2001</v>
      </c>
      <c r="D613">
        <v>1</v>
      </c>
      <c r="E613" s="16">
        <v>300.08</v>
      </c>
      <c r="F613" s="1">
        <v>44736</v>
      </c>
      <c r="G613" t="s">
        <v>2058</v>
      </c>
      <c r="H613">
        <v>2</v>
      </c>
      <c r="I613" s="12">
        <f>Table16[[#This Row],[price]]*Table16[[#This Row],[quantity]]</f>
        <v>300.08</v>
      </c>
    </row>
    <row r="614" spans="1:9" x14ac:dyDescent="0.3">
      <c r="A614" t="s">
        <v>2626</v>
      </c>
      <c r="B614" t="s">
        <v>118</v>
      </c>
      <c r="C614" t="s">
        <v>2024</v>
      </c>
      <c r="D614">
        <v>3</v>
      </c>
      <c r="E614" s="16">
        <v>107.52</v>
      </c>
      <c r="F614" s="1">
        <v>44851</v>
      </c>
      <c r="G614" t="s">
        <v>2027</v>
      </c>
      <c r="H614">
        <v>5</v>
      </c>
      <c r="I614" s="12">
        <f>Table16[[#This Row],[price]]*Table16[[#This Row],[quantity]]</f>
        <v>322.56</v>
      </c>
    </row>
    <row r="615" spans="1:9" x14ac:dyDescent="0.3">
      <c r="A615" t="s">
        <v>2635</v>
      </c>
      <c r="B615" t="s">
        <v>119</v>
      </c>
      <c r="C615" t="s">
        <v>2024</v>
      </c>
      <c r="D615">
        <v>5</v>
      </c>
      <c r="E615" s="16">
        <v>179.2</v>
      </c>
      <c r="F615" s="1">
        <v>44354</v>
      </c>
      <c r="G615" t="s">
        <v>2064</v>
      </c>
      <c r="H615">
        <v>3</v>
      </c>
      <c r="I615" s="12">
        <f>Table16[[#This Row],[price]]*Table16[[#This Row],[quantity]]</f>
        <v>896</v>
      </c>
    </row>
    <row r="616" spans="1:9" x14ac:dyDescent="0.3">
      <c r="A616" t="s">
        <v>2636</v>
      </c>
      <c r="B616" t="s">
        <v>119</v>
      </c>
      <c r="C616" t="s">
        <v>2001</v>
      </c>
      <c r="D616">
        <v>1</v>
      </c>
      <c r="E616" s="16">
        <v>300.08</v>
      </c>
      <c r="F616" s="1">
        <v>44359</v>
      </c>
      <c r="G616" t="s">
        <v>2012</v>
      </c>
      <c r="H616">
        <v>3</v>
      </c>
      <c r="I616" s="12">
        <f>Table16[[#This Row],[price]]*Table16[[#This Row],[quantity]]</f>
        <v>300.08</v>
      </c>
    </row>
    <row r="617" spans="1:9" x14ac:dyDescent="0.3">
      <c r="A617" t="s">
        <v>2637</v>
      </c>
      <c r="B617" t="s">
        <v>119</v>
      </c>
      <c r="C617" t="s">
        <v>2011</v>
      </c>
      <c r="D617">
        <v>3</v>
      </c>
      <c r="E617" s="16">
        <v>121.98</v>
      </c>
      <c r="F617" s="1">
        <v>44483</v>
      </c>
      <c r="G617" t="s">
        <v>2009</v>
      </c>
      <c r="H617">
        <v>1</v>
      </c>
      <c r="I617" s="12">
        <f>Table16[[#This Row],[price]]*Table16[[#This Row],[quantity]]</f>
        <v>365.94</v>
      </c>
    </row>
    <row r="618" spans="1:9" x14ac:dyDescent="0.3">
      <c r="A618" t="s">
        <v>2633</v>
      </c>
      <c r="B618" t="s">
        <v>119</v>
      </c>
      <c r="C618" t="s">
        <v>2011</v>
      </c>
      <c r="D618">
        <v>1</v>
      </c>
      <c r="E618" s="16">
        <v>40.659999999999997</v>
      </c>
      <c r="F618" s="1">
        <v>44526</v>
      </c>
      <c r="G618" t="s">
        <v>2027</v>
      </c>
      <c r="H618">
        <v>4</v>
      </c>
      <c r="I618" s="12">
        <f>Table16[[#This Row],[price]]*Table16[[#This Row],[quantity]]</f>
        <v>40.659999999999997</v>
      </c>
    </row>
    <row r="619" spans="1:9" x14ac:dyDescent="0.3">
      <c r="A619" t="s">
        <v>2631</v>
      </c>
      <c r="B619" t="s">
        <v>119</v>
      </c>
      <c r="C619" t="s">
        <v>2017</v>
      </c>
      <c r="D619">
        <v>2</v>
      </c>
      <c r="E619" s="16">
        <v>2100</v>
      </c>
      <c r="F619" s="1">
        <v>44750</v>
      </c>
      <c r="G619" t="s">
        <v>2020</v>
      </c>
      <c r="H619">
        <v>3</v>
      </c>
      <c r="I619" s="12">
        <f>Table16[[#This Row],[price]]*Table16[[#This Row],[quantity]]</f>
        <v>4200</v>
      </c>
    </row>
    <row r="620" spans="1:9" x14ac:dyDescent="0.3">
      <c r="A620" t="s">
        <v>2632</v>
      </c>
      <c r="B620" t="s">
        <v>119</v>
      </c>
      <c r="C620" t="s">
        <v>2001</v>
      </c>
      <c r="D620">
        <v>3</v>
      </c>
      <c r="E620" s="16">
        <v>900.24</v>
      </c>
      <c r="F620" s="1">
        <v>44824</v>
      </c>
      <c r="G620" t="s">
        <v>2058</v>
      </c>
      <c r="H620">
        <v>1</v>
      </c>
      <c r="I620" s="12">
        <f>Table16[[#This Row],[price]]*Table16[[#This Row],[quantity]]</f>
        <v>2700.7200000000003</v>
      </c>
    </row>
    <row r="621" spans="1:9" x14ac:dyDescent="0.3">
      <c r="A621" t="s">
        <v>2634</v>
      </c>
      <c r="B621" t="s">
        <v>119</v>
      </c>
      <c r="C621" t="s">
        <v>2001</v>
      </c>
      <c r="D621">
        <v>2</v>
      </c>
      <c r="E621" s="16">
        <v>600.16</v>
      </c>
      <c r="F621" s="1">
        <v>44961</v>
      </c>
      <c r="G621" t="s">
        <v>2002</v>
      </c>
      <c r="H621">
        <v>1</v>
      </c>
      <c r="I621" s="12">
        <f>Table16[[#This Row],[price]]*Table16[[#This Row],[quantity]]</f>
        <v>1200.32</v>
      </c>
    </row>
    <row r="622" spans="1:9" x14ac:dyDescent="0.3">
      <c r="A622" t="s">
        <v>2639</v>
      </c>
      <c r="B622" t="s">
        <v>120</v>
      </c>
      <c r="C622" t="s">
        <v>2001</v>
      </c>
      <c r="D622">
        <v>2</v>
      </c>
      <c r="E622" s="16">
        <v>600.16</v>
      </c>
      <c r="F622" s="1">
        <v>44300</v>
      </c>
      <c r="G622" t="s">
        <v>2041</v>
      </c>
      <c r="H622">
        <v>5</v>
      </c>
      <c r="I622" s="12">
        <f>Table16[[#This Row],[price]]*Table16[[#This Row],[quantity]]</f>
        <v>1200.32</v>
      </c>
    </row>
    <row r="623" spans="1:9" x14ac:dyDescent="0.3">
      <c r="A623" t="s">
        <v>2640</v>
      </c>
      <c r="B623" t="s">
        <v>120</v>
      </c>
      <c r="C623" t="s">
        <v>2011</v>
      </c>
      <c r="D623">
        <v>5</v>
      </c>
      <c r="E623" s="16">
        <v>203.3</v>
      </c>
      <c r="F623" s="1">
        <v>44339</v>
      </c>
      <c r="G623" t="s">
        <v>2009</v>
      </c>
      <c r="H623">
        <v>4</v>
      </c>
      <c r="I623" s="12">
        <f>Table16[[#This Row],[price]]*Table16[[#This Row],[quantity]]</f>
        <v>1016.5</v>
      </c>
    </row>
    <row r="624" spans="1:9" x14ac:dyDescent="0.3">
      <c r="A624" t="s">
        <v>2638</v>
      </c>
      <c r="B624" t="s">
        <v>120</v>
      </c>
      <c r="C624" t="s">
        <v>2024</v>
      </c>
      <c r="D624">
        <v>3</v>
      </c>
      <c r="E624" s="16">
        <v>107.52</v>
      </c>
      <c r="F624" s="1">
        <v>44792</v>
      </c>
      <c r="G624" t="s">
        <v>2041</v>
      </c>
      <c r="H624">
        <v>4</v>
      </c>
      <c r="I624" s="12">
        <f>Table16[[#This Row],[price]]*Table16[[#This Row],[quantity]]</f>
        <v>322.56</v>
      </c>
    </row>
    <row r="625" spans="1:9" x14ac:dyDescent="0.3">
      <c r="A625" t="s">
        <v>2643</v>
      </c>
      <c r="B625" t="s">
        <v>121</v>
      </c>
      <c r="C625" t="s">
        <v>2008</v>
      </c>
      <c r="D625">
        <v>2</v>
      </c>
      <c r="E625" s="16">
        <v>10.46</v>
      </c>
      <c r="F625" s="1">
        <v>44269</v>
      </c>
      <c r="G625" t="s">
        <v>2004</v>
      </c>
      <c r="H625">
        <v>3</v>
      </c>
      <c r="I625" s="12">
        <f>Table16[[#This Row],[price]]*Table16[[#This Row],[quantity]]</f>
        <v>20.92</v>
      </c>
    </row>
    <row r="626" spans="1:9" x14ac:dyDescent="0.3">
      <c r="A626" t="s">
        <v>2641</v>
      </c>
      <c r="B626" t="s">
        <v>121</v>
      </c>
      <c r="C626" t="s">
        <v>2011</v>
      </c>
      <c r="D626">
        <v>1</v>
      </c>
      <c r="E626" s="16">
        <v>40.659999999999997</v>
      </c>
      <c r="F626" s="1">
        <v>44667</v>
      </c>
      <c r="G626" t="s">
        <v>2020</v>
      </c>
      <c r="H626">
        <v>2</v>
      </c>
      <c r="I626" s="12">
        <f>Table16[[#This Row],[price]]*Table16[[#This Row],[quantity]]</f>
        <v>40.659999999999997</v>
      </c>
    </row>
    <row r="627" spans="1:9" x14ac:dyDescent="0.3">
      <c r="A627" t="s">
        <v>2642</v>
      </c>
      <c r="B627" t="s">
        <v>121</v>
      </c>
      <c r="C627" t="s">
        <v>2008</v>
      </c>
      <c r="D627">
        <v>5</v>
      </c>
      <c r="E627" s="16">
        <v>26.15</v>
      </c>
      <c r="F627" s="1">
        <v>44746</v>
      </c>
      <c r="G627" t="s">
        <v>2004</v>
      </c>
      <c r="H627">
        <v>5</v>
      </c>
      <c r="I627" s="12">
        <f>Table16[[#This Row],[price]]*Table16[[#This Row],[quantity]]</f>
        <v>130.75</v>
      </c>
    </row>
    <row r="628" spans="1:9" x14ac:dyDescent="0.3">
      <c r="A628" t="s">
        <v>2644</v>
      </c>
      <c r="B628" t="s">
        <v>122</v>
      </c>
      <c r="C628" t="s">
        <v>2017</v>
      </c>
      <c r="D628">
        <v>4</v>
      </c>
      <c r="E628" s="16">
        <v>4200</v>
      </c>
      <c r="F628" s="1">
        <v>44354</v>
      </c>
      <c r="G628" t="s">
        <v>2027</v>
      </c>
      <c r="H628">
        <v>3</v>
      </c>
      <c r="I628" s="12">
        <f>Table16[[#This Row],[price]]*Table16[[#This Row],[quantity]]</f>
        <v>16800</v>
      </c>
    </row>
    <row r="629" spans="1:9" x14ac:dyDescent="0.3">
      <c r="A629" t="s">
        <v>2646</v>
      </c>
      <c r="B629" t="s">
        <v>122</v>
      </c>
      <c r="C629" t="s">
        <v>2008</v>
      </c>
      <c r="D629">
        <v>5</v>
      </c>
      <c r="E629" s="16">
        <v>26.15</v>
      </c>
      <c r="F629" s="1">
        <v>44441</v>
      </c>
      <c r="G629" t="s">
        <v>2027</v>
      </c>
      <c r="H629">
        <v>2</v>
      </c>
      <c r="I629" s="12">
        <f>Table16[[#This Row],[price]]*Table16[[#This Row],[quantity]]</f>
        <v>130.75</v>
      </c>
    </row>
    <row r="630" spans="1:9" x14ac:dyDescent="0.3">
      <c r="A630" t="s">
        <v>2645</v>
      </c>
      <c r="B630" t="s">
        <v>122</v>
      </c>
      <c r="C630" t="s">
        <v>2024</v>
      </c>
      <c r="D630">
        <v>3</v>
      </c>
      <c r="E630" s="16">
        <v>107.52</v>
      </c>
      <c r="F630" s="1">
        <v>44764</v>
      </c>
      <c r="G630" t="s">
        <v>2002</v>
      </c>
      <c r="H630">
        <v>3</v>
      </c>
      <c r="I630" s="12">
        <f>Table16[[#This Row],[price]]*Table16[[#This Row],[quantity]]</f>
        <v>322.56</v>
      </c>
    </row>
    <row r="631" spans="1:9" x14ac:dyDescent="0.3">
      <c r="A631" t="s">
        <v>2648</v>
      </c>
      <c r="B631" t="s">
        <v>123</v>
      </c>
      <c r="C631" t="s">
        <v>2001</v>
      </c>
      <c r="D631">
        <v>3</v>
      </c>
      <c r="E631" s="16">
        <v>900.24</v>
      </c>
      <c r="F631" s="1">
        <v>44249</v>
      </c>
      <c r="G631" t="s">
        <v>2002</v>
      </c>
      <c r="H631">
        <v>1</v>
      </c>
      <c r="I631" s="12">
        <f>Table16[[#This Row],[price]]*Table16[[#This Row],[quantity]]</f>
        <v>2700.7200000000003</v>
      </c>
    </row>
    <row r="632" spans="1:9" x14ac:dyDescent="0.3">
      <c r="A632" t="s">
        <v>2647</v>
      </c>
      <c r="B632" t="s">
        <v>123</v>
      </c>
      <c r="C632" t="s">
        <v>2001</v>
      </c>
      <c r="D632">
        <v>3</v>
      </c>
      <c r="E632" s="16">
        <v>900.24</v>
      </c>
      <c r="F632" s="1">
        <v>44420</v>
      </c>
      <c r="G632" t="s">
        <v>2020</v>
      </c>
      <c r="H632">
        <v>5</v>
      </c>
      <c r="I632" s="12">
        <f>Table16[[#This Row],[price]]*Table16[[#This Row],[quantity]]</f>
        <v>2700.7200000000003</v>
      </c>
    </row>
    <row r="633" spans="1:9" x14ac:dyDescent="0.3">
      <c r="A633" t="s">
        <v>2650</v>
      </c>
      <c r="B633" t="s">
        <v>123</v>
      </c>
      <c r="C633" t="s">
        <v>2011</v>
      </c>
      <c r="D633">
        <v>5</v>
      </c>
      <c r="E633" s="16">
        <v>203.3</v>
      </c>
      <c r="F633" s="1">
        <v>44946</v>
      </c>
      <c r="G633" t="s">
        <v>2002</v>
      </c>
      <c r="H633">
        <v>4</v>
      </c>
      <c r="I633" s="12">
        <f>Table16[[#This Row],[price]]*Table16[[#This Row],[quantity]]</f>
        <v>1016.5</v>
      </c>
    </row>
    <row r="634" spans="1:9" x14ac:dyDescent="0.3">
      <c r="A634" t="s">
        <v>2649</v>
      </c>
      <c r="B634" t="s">
        <v>123</v>
      </c>
      <c r="C634" t="s">
        <v>2024</v>
      </c>
      <c r="D634">
        <v>3</v>
      </c>
      <c r="E634" s="16">
        <v>107.52</v>
      </c>
      <c r="F634" s="1">
        <v>44948</v>
      </c>
      <c r="G634" t="s">
        <v>2064</v>
      </c>
      <c r="H634">
        <v>3</v>
      </c>
      <c r="I634" s="12">
        <f>Table16[[#This Row],[price]]*Table16[[#This Row],[quantity]]</f>
        <v>322.56</v>
      </c>
    </row>
    <row r="635" spans="1:9" x14ac:dyDescent="0.3">
      <c r="A635" t="s">
        <v>2653</v>
      </c>
      <c r="B635" t="s">
        <v>124</v>
      </c>
      <c r="C635" t="s">
        <v>2001</v>
      </c>
      <c r="D635">
        <v>2</v>
      </c>
      <c r="E635" s="16">
        <v>600.16</v>
      </c>
      <c r="F635" s="1">
        <v>44655</v>
      </c>
      <c r="G635" t="s">
        <v>2064</v>
      </c>
      <c r="H635">
        <v>4</v>
      </c>
      <c r="I635" s="12">
        <f>Table16[[#This Row],[price]]*Table16[[#This Row],[quantity]]</f>
        <v>1200.32</v>
      </c>
    </row>
    <row r="636" spans="1:9" x14ac:dyDescent="0.3">
      <c r="A636" t="s">
        <v>2655</v>
      </c>
      <c r="B636" t="s">
        <v>124</v>
      </c>
      <c r="C636" t="s">
        <v>2015</v>
      </c>
      <c r="D636">
        <v>3</v>
      </c>
      <c r="E636" s="16">
        <v>1800.51</v>
      </c>
      <c r="F636" s="1">
        <v>44672</v>
      </c>
      <c r="G636" t="s">
        <v>2004</v>
      </c>
      <c r="H636">
        <v>5</v>
      </c>
      <c r="I636" s="12">
        <f>Table16[[#This Row],[price]]*Table16[[#This Row],[quantity]]</f>
        <v>5401.53</v>
      </c>
    </row>
    <row r="637" spans="1:9" x14ac:dyDescent="0.3">
      <c r="A637" t="s">
        <v>2651</v>
      </c>
      <c r="B637" t="s">
        <v>124</v>
      </c>
      <c r="C637" t="s">
        <v>2008</v>
      </c>
      <c r="D637">
        <v>3</v>
      </c>
      <c r="E637" s="16">
        <v>15.69</v>
      </c>
      <c r="F637" s="1">
        <v>44773</v>
      </c>
      <c r="G637" t="s">
        <v>2004</v>
      </c>
      <c r="H637">
        <v>2</v>
      </c>
      <c r="I637" s="12">
        <f>Table16[[#This Row],[price]]*Table16[[#This Row],[quantity]]</f>
        <v>47.07</v>
      </c>
    </row>
    <row r="638" spans="1:9" x14ac:dyDescent="0.3">
      <c r="A638" t="s">
        <v>2654</v>
      </c>
      <c r="B638" t="s">
        <v>124</v>
      </c>
      <c r="C638" t="s">
        <v>2011</v>
      </c>
      <c r="D638">
        <v>5</v>
      </c>
      <c r="E638" s="16">
        <v>203.3</v>
      </c>
      <c r="F638" s="1">
        <v>44820</v>
      </c>
      <c r="G638" t="s">
        <v>2002</v>
      </c>
      <c r="H638">
        <v>5</v>
      </c>
      <c r="I638" s="12">
        <f>Table16[[#This Row],[price]]*Table16[[#This Row],[quantity]]</f>
        <v>1016.5</v>
      </c>
    </row>
    <row r="639" spans="1:9" x14ac:dyDescent="0.3">
      <c r="A639" t="s">
        <v>2652</v>
      </c>
      <c r="B639" t="s">
        <v>124</v>
      </c>
      <c r="C639" t="s">
        <v>2001</v>
      </c>
      <c r="D639">
        <v>4</v>
      </c>
      <c r="E639" s="16">
        <v>1200.32</v>
      </c>
      <c r="F639" s="1">
        <v>44876</v>
      </c>
      <c r="G639" t="s">
        <v>2002</v>
      </c>
      <c r="H639">
        <v>2</v>
      </c>
      <c r="I639" s="12">
        <f>Table16[[#This Row],[price]]*Table16[[#This Row],[quantity]]</f>
        <v>4801.28</v>
      </c>
    </row>
    <row r="640" spans="1:9" x14ac:dyDescent="0.3">
      <c r="A640" t="s">
        <v>2656</v>
      </c>
      <c r="B640" t="s">
        <v>124</v>
      </c>
      <c r="C640" t="s">
        <v>2011</v>
      </c>
      <c r="D640">
        <v>5</v>
      </c>
      <c r="E640" s="16">
        <v>203.3</v>
      </c>
      <c r="F640" s="1">
        <v>44985</v>
      </c>
      <c r="G640" t="s">
        <v>2058</v>
      </c>
      <c r="H640">
        <v>4</v>
      </c>
      <c r="I640" s="12">
        <f>Table16[[#This Row],[price]]*Table16[[#This Row],[quantity]]</f>
        <v>1016.5</v>
      </c>
    </row>
    <row r="641" spans="1:9" x14ac:dyDescent="0.3">
      <c r="A641" t="s">
        <v>2658</v>
      </c>
      <c r="B641" t="s">
        <v>125</v>
      </c>
      <c r="C641" t="s">
        <v>2015</v>
      </c>
      <c r="D641">
        <v>4</v>
      </c>
      <c r="E641" s="16">
        <v>2400.6799999999998</v>
      </c>
      <c r="F641" s="1">
        <v>44218</v>
      </c>
      <c r="G641" t="s">
        <v>2004</v>
      </c>
      <c r="H641">
        <v>1</v>
      </c>
      <c r="I641" s="12">
        <f>Table16[[#This Row],[price]]*Table16[[#This Row],[quantity]]</f>
        <v>9602.7199999999993</v>
      </c>
    </row>
    <row r="642" spans="1:9" x14ac:dyDescent="0.3">
      <c r="A642" t="s">
        <v>2657</v>
      </c>
      <c r="B642" t="s">
        <v>125</v>
      </c>
      <c r="C642" t="s">
        <v>2024</v>
      </c>
      <c r="D642">
        <v>3</v>
      </c>
      <c r="E642" s="16">
        <v>107.52</v>
      </c>
      <c r="F642" s="1">
        <v>44632</v>
      </c>
      <c r="G642" t="s">
        <v>2058</v>
      </c>
      <c r="H642">
        <v>1</v>
      </c>
      <c r="I642" s="12">
        <f>Table16[[#This Row],[price]]*Table16[[#This Row],[quantity]]</f>
        <v>322.56</v>
      </c>
    </row>
    <row r="643" spans="1:9" x14ac:dyDescent="0.3">
      <c r="A643" t="s">
        <v>2659</v>
      </c>
      <c r="B643" t="s">
        <v>125</v>
      </c>
      <c r="C643" t="s">
        <v>2006</v>
      </c>
      <c r="D643">
        <v>2</v>
      </c>
      <c r="E643" s="16">
        <v>30.3</v>
      </c>
      <c r="F643" s="1">
        <v>44915</v>
      </c>
      <c r="G643" t="s">
        <v>2004</v>
      </c>
      <c r="H643">
        <v>3</v>
      </c>
      <c r="I643" s="12">
        <f>Table16[[#This Row],[price]]*Table16[[#This Row],[quantity]]</f>
        <v>60.6</v>
      </c>
    </row>
    <row r="644" spans="1:9" x14ac:dyDescent="0.3">
      <c r="A644" t="s">
        <v>2660</v>
      </c>
      <c r="B644" t="s">
        <v>126</v>
      </c>
      <c r="C644" t="s">
        <v>2015</v>
      </c>
      <c r="D644">
        <v>1</v>
      </c>
      <c r="E644" s="16">
        <v>600.16999999999996</v>
      </c>
      <c r="F644" s="1">
        <v>44262</v>
      </c>
      <c r="G644" t="s">
        <v>2041</v>
      </c>
      <c r="H644">
        <v>2</v>
      </c>
      <c r="I644" s="12">
        <f>Table16[[#This Row],[price]]*Table16[[#This Row],[quantity]]</f>
        <v>600.16999999999996</v>
      </c>
    </row>
    <row r="645" spans="1:9" x14ac:dyDescent="0.3">
      <c r="A645" t="s">
        <v>2661</v>
      </c>
      <c r="B645" t="s">
        <v>126</v>
      </c>
      <c r="C645" t="s">
        <v>2008</v>
      </c>
      <c r="D645">
        <v>1</v>
      </c>
      <c r="E645" s="16">
        <v>5.23</v>
      </c>
      <c r="F645" s="1">
        <v>44264</v>
      </c>
      <c r="G645" t="s">
        <v>2004</v>
      </c>
      <c r="H645">
        <v>2</v>
      </c>
      <c r="I645" s="12">
        <f>Table16[[#This Row],[price]]*Table16[[#This Row],[quantity]]</f>
        <v>5.23</v>
      </c>
    </row>
    <row r="646" spans="1:9" x14ac:dyDescent="0.3">
      <c r="A646" t="s">
        <v>2662</v>
      </c>
      <c r="B646" t="s">
        <v>126</v>
      </c>
      <c r="C646" t="s">
        <v>2001</v>
      </c>
      <c r="D646">
        <v>2</v>
      </c>
      <c r="E646" s="16">
        <v>600.16</v>
      </c>
      <c r="F646" s="1">
        <v>44509</v>
      </c>
      <c r="G646" t="s">
        <v>2041</v>
      </c>
      <c r="H646">
        <v>4</v>
      </c>
      <c r="I646" s="12">
        <f>Table16[[#This Row],[price]]*Table16[[#This Row],[quantity]]</f>
        <v>1200.32</v>
      </c>
    </row>
    <row r="647" spans="1:9" x14ac:dyDescent="0.3">
      <c r="A647" t="s">
        <v>2663</v>
      </c>
      <c r="B647" t="s">
        <v>126</v>
      </c>
      <c r="C647" t="s">
        <v>2001</v>
      </c>
      <c r="D647">
        <v>2</v>
      </c>
      <c r="E647" s="16">
        <v>600.16</v>
      </c>
      <c r="F647" s="1">
        <v>44910</v>
      </c>
      <c r="G647" t="s">
        <v>2027</v>
      </c>
      <c r="H647">
        <v>4</v>
      </c>
      <c r="I647" s="12">
        <f>Table16[[#This Row],[price]]*Table16[[#This Row],[quantity]]</f>
        <v>1200.32</v>
      </c>
    </row>
    <row r="648" spans="1:9" x14ac:dyDescent="0.3">
      <c r="A648" t="s">
        <v>2667</v>
      </c>
      <c r="B648" t="s">
        <v>127</v>
      </c>
      <c r="C648" t="s">
        <v>2001</v>
      </c>
      <c r="D648">
        <v>5</v>
      </c>
      <c r="E648" s="16">
        <v>1500.4</v>
      </c>
      <c r="F648" s="1">
        <v>44762</v>
      </c>
      <c r="G648" t="s">
        <v>2058</v>
      </c>
      <c r="H648">
        <v>4</v>
      </c>
      <c r="I648" s="12">
        <f>Table16[[#This Row],[price]]*Table16[[#This Row],[quantity]]</f>
        <v>7502</v>
      </c>
    </row>
    <row r="649" spans="1:9" x14ac:dyDescent="0.3">
      <c r="A649" t="s">
        <v>2665</v>
      </c>
      <c r="B649" t="s">
        <v>127</v>
      </c>
      <c r="C649" t="s">
        <v>2001</v>
      </c>
      <c r="D649">
        <v>1</v>
      </c>
      <c r="E649" s="16">
        <v>300.08</v>
      </c>
      <c r="F649" s="1">
        <v>44767</v>
      </c>
      <c r="G649" t="s">
        <v>2020</v>
      </c>
      <c r="H649">
        <v>2</v>
      </c>
      <c r="I649" s="12">
        <f>Table16[[#This Row],[price]]*Table16[[#This Row],[quantity]]</f>
        <v>300.08</v>
      </c>
    </row>
    <row r="650" spans="1:9" x14ac:dyDescent="0.3">
      <c r="A650" t="s">
        <v>2664</v>
      </c>
      <c r="B650" t="s">
        <v>127</v>
      </c>
      <c r="C650" t="s">
        <v>2015</v>
      </c>
      <c r="D650">
        <v>3</v>
      </c>
      <c r="E650" s="16">
        <v>1800.51</v>
      </c>
      <c r="F650" s="1">
        <v>44783</v>
      </c>
      <c r="G650" t="s">
        <v>2002</v>
      </c>
      <c r="H650">
        <v>4</v>
      </c>
      <c r="I650" s="12">
        <f>Table16[[#This Row],[price]]*Table16[[#This Row],[quantity]]</f>
        <v>5401.53</v>
      </c>
    </row>
    <row r="651" spans="1:9" x14ac:dyDescent="0.3">
      <c r="A651" t="s">
        <v>2666</v>
      </c>
      <c r="B651" t="s">
        <v>127</v>
      </c>
      <c r="C651" t="s">
        <v>2001</v>
      </c>
      <c r="D651">
        <v>5</v>
      </c>
      <c r="E651" s="16">
        <v>1500.4</v>
      </c>
      <c r="F651" s="1">
        <v>44843</v>
      </c>
      <c r="G651" t="s">
        <v>2002</v>
      </c>
      <c r="H651">
        <v>3</v>
      </c>
      <c r="I651" s="12">
        <f>Table16[[#This Row],[price]]*Table16[[#This Row],[quantity]]</f>
        <v>7502</v>
      </c>
    </row>
    <row r="652" spans="1:9" x14ac:dyDescent="0.3">
      <c r="A652" t="s">
        <v>2675</v>
      </c>
      <c r="B652" t="s">
        <v>128</v>
      </c>
      <c r="C652" t="s">
        <v>2001</v>
      </c>
      <c r="D652">
        <v>4</v>
      </c>
      <c r="E652" s="16">
        <v>1200.32</v>
      </c>
      <c r="F652" s="1">
        <v>44337</v>
      </c>
      <c r="G652" t="s">
        <v>2027</v>
      </c>
      <c r="H652">
        <v>4</v>
      </c>
      <c r="I652" s="12">
        <f>Table16[[#This Row],[price]]*Table16[[#This Row],[quantity]]</f>
        <v>4801.28</v>
      </c>
    </row>
    <row r="653" spans="1:9" x14ac:dyDescent="0.3">
      <c r="A653" t="s">
        <v>2676</v>
      </c>
      <c r="B653" t="s">
        <v>128</v>
      </c>
      <c r="C653" t="s">
        <v>2001</v>
      </c>
      <c r="D653">
        <v>3</v>
      </c>
      <c r="E653" s="16">
        <v>900.24</v>
      </c>
      <c r="F653" s="1">
        <v>44362</v>
      </c>
      <c r="G653" t="s">
        <v>2012</v>
      </c>
      <c r="H653">
        <v>4</v>
      </c>
      <c r="I653" s="12">
        <f>Table16[[#This Row],[price]]*Table16[[#This Row],[quantity]]</f>
        <v>2700.7200000000003</v>
      </c>
    </row>
    <row r="654" spans="1:9" x14ac:dyDescent="0.3">
      <c r="A654" t="s">
        <v>2672</v>
      </c>
      <c r="B654" t="s">
        <v>128</v>
      </c>
      <c r="C654" t="s">
        <v>2015</v>
      </c>
      <c r="D654">
        <v>3</v>
      </c>
      <c r="E654" s="16">
        <v>1800.51</v>
      </c>
      <c r="F654" s="1">
        <v>44376</v>
      </c>
      <c r="G654" t="s">
        <v>2020</v>
      </c>
      <c r="H654">
        <v>4</v>
      </c>
      <c r="I654" s="12">
        <f>Table16[[#This Row],[price]]*Table16[[#This Row],[quantity]]</f>
        <v>5401.53</v>
      </c>
    </row>
    <row r="655" spans="1:9" x14ac:dyDescent="0.3">
      <c r="A655" t="s">
        <v>2668</v>
      </c>
      <c r="B655" t="s">
        <v>128</v>
      </c>
      <c r="C655" t="s">
        <v>2057</v>
      </c>
      <c r="D655">
        <v>2</v>
      </c>
      <c r="E655" s="16">
        <v>23.46</v>
      </c>
      <c r="F655" s="1">
        <v>44527</v>
      </c>
      <c r="G655" t="s">
        <v>2041</v>
      </c>
      <c r="H655">
        <v>1</v>
      </c>
      <c r="I655" s="12">
        <f>Table16[[#This Row],[price]]*Table16[[#This Row],[quantity]]</f>
        <v>46.92</v>
      </c>
    </row>
    <row r="656" spans="1:9" x14ac:dyDescent="0.3">
      <c r="A656" t="s">
        <v>2674</v>
      </c>
      <c r="B656" t="s">
        <v>128</v>
      </c>
      <c r="C656" t="s">
        <v>2008</v>
      </c>
      <c r="D656">
        <v>3</v>
      </c>
      <c r="E656" s="16">
        <v>15.69</v>
      </c>
      <c r="F656" s="1">
        <v>44819</v>
      </c>
      <c r="G656" t="s">
        <v>2020</v>
      </c>
      <c r="H656">
        <v>5</v>
      </c>
      <c r="I656" s="12">
        <f>Table16[[#This Row],[price]]*Table16[[#This Row],[quantity]]</f>
        <v>47.07</v>
      </c>
    </row>
    <row r="657" spans="1:9" x14ac:dyDescent="0.3">
      <c r="A657" t="s">
        <v>2671</v>
      </c>
      <c r="B657" t="s">
        <v>128</v>
      </c>
      <c r="C657" t="s">
        <v>2006</v>
      </c>
      <c r="D657">
        <v>1</v>
      </c>
      <c r="E657" s="16">
        <v>15.15</v>
      </c>
      <c r="F657" s="1">
        <v>44858</v>
      </c>
      <c r="G657" t="s">
        <v>2027</v>
      </c>
      <c r="H657">
        <v>1</v>
      </c>
      <c r="I657" s="12">
        <f>Table16[[#This Row],[price]]*Table16[[#This Row],[quantity]]</f>
        <v>15.15</v>
      </c>
    </row>
    <row r="658" spans="1:9" x14ac:dyDescent="0.3">
      <c r="A658" t="s">
        <v>2673</v>
      </c>
      <c r="B658" t="s">
        <v>128</v>
      </c>
      <c r="C658" t="s">
        <v>2011</v>
      </c>
      <c r="D658">
        <v>5</v>
      </c>
      <c r="E658" s="16">
        <v>203.3</v>
      </c>
      <c r="F658" s="1">
        <v>44915</v>
      </c>
      <c r="G658" t="s">
        <v>2064</v>
      </c>
      <c r="H658">
        <v>2</v>
      </c>
      <c r="I658" s="12">
        <f>Table16[[#This Row],[price]]*Table16[[#This Row],[quantity]]</f>
        <v>1016.5</v>
      </c>
    </row>
    <row r="659" spans="1:9" x14ac:dyDescent="0.3">
      <c r="A659" t="s">
        <v>2669</v>
      </c>
      <c r="B659" t="s">
        <v>128</v>
      </c>
      <c r="C659" t="s">
        <v>2001</v>
      </c>
      <c r="D659">
        <v>3</v>
      </c>
      <c r="E659" s="16">
        <v>900.24</v>
      </c>
      <c r="F659" s="1">
        <v>44942</v>
      </c>
      <c r="G659" t="s">
        <v>2002</v>
      </c>
      <c r="H659">
        <v>5</v>
      </c>
      <c r="I659" s="12">
        <f>Table16[[#This Row],[price]]*Table16[[#This Row],[quantity]]</f>
        <v>2700.7200000000003</v>
      </c>
    </row>
    <row r="660" spans="1:9" x14ac:dyDescent="0.3">
      <c r="A660" t="s">
        <v>2670</v>
      </c>
      <c r="B660" t="s">
        <v>128</v>
      </c>
      <c r="C660" t="s">
        <v>2008</v>
      </c>
      <c r="D660">
        <v>2</v>
      </c>
      <c r="E660" s="16">
        <v>10.46</v>
      </c>
      <c r="F660" s="1">
        <v>44984</v>
      </c>
      <c r="G660" t="s">
        <v>2004</v>
      </c>
      <c r="H660">
        <v>1</v>
      </c>
      <c r="I660" s="12">
        <f>Table16[[#This Row],[price]]*Table16[[#This Row],[quantity]]</f>
        <v>20.92</v>
      </c>
    </row>
    <row r="661" spans="1:9" x14ac:dyDescent="0.3">
      <c r="A661" t="s">
        <v>2682</v>
      </c>
      <c r="B661" t="s">
        <v>129</v>
      </c>
      <c r="C661" t="s">
        <v>2008</v>
      </c>
      <c r="D661">
        <v>1</v>
      </c>
      <c r="E661" s="16">
        <v>5.23</v>
      </c>
      <c r="F661" s="1">
        <v>44332</v>
      </c>
      <c r="G661" t="s">
        <v>2012</v>
      </c>
      <c r="H661">
        <v>3</v>
      </c>
      <c r="I661" s="12">
        <f>Table16[[#This Row],[price]]*Table16[[#This Row],[quantity]]</f>
        <v>5.23</v>
      </c>
    </row>
    <row r="662" spans="1:9" x14ac:dyDescent="0.3">
      <c r="A662" t="s">
        <v>2679</v>
      </c>
      <c r="B662" t="s">
        <v>129</v>
      </c>
      <c r="C662" t="s">
        <v>2008</v>
      </c>
      <c r="D662">
        <v>2</v>
      </c>
      <c r="E662" s="16">
        <v>10.46</v>
      </c>
      <c r="F662" s="1">
        <v>44351</v>
      </c>
      <c r="G662" t="s">
        <v>2020</v>
      </c>
      <c r="H662">
        <v>3</v>
      </c>
      <c r="I662" s="12">
        <f>Table16[[#This Row],[price]]*Table16[[#This Row],[quantity]]</f>
        <v>20.92</v>
      </c>
    </row>
    <row r="663" spans="1:9" x14ac:dyDescent="0.3">
      <c r="A663" t="s">
        <v>2677</v>
      </c>
      <c r="B663" t="s">
        <v>129</v>
      </c>
      <c r="C663" t="s">
        <v>2008</v>
      </c>
      <c r="D663">
        <v>1</v>
      </c>
      <c r="E663" s="16">
        <v>5.23</v>
      </c>
      <c r="F663" s="1">
        <v>44615</v>
      </c>
      <c r="G663" t="s">
        <v>2009</v>
      </c>
      <c r="H663">
        <v>2</v>
      </c>
      <c r="I663" s="12">
        <f>Table16[[#This Row],[price]]*Table16[[#This Row],[quantity]]</f>
        <v>5.23</v>
      </c>
    </row>
    <row r="664" spans="1:9" x14ac:dyDescent="0.3">
      <c r="A664" t="s">
        <v>2678</v>
      </c>
      <c r="B664" t="s">
        <v>129</v>
      </c>
      <c r="C664" t="s">
        <v>2017</v>
      </c>
      <c r="D664">
        <v>1</v>
      </c>
      <c r="E664" s="16">
        <v>1050</v>
      </c>
      <c r="F664" s="1">
        <v>44660</v>
      </c>
      <c r="G664" t="s">
        <v>2004</v>
      </c>
      <c r="H664">
        <v>4</v>
      </c>
      <c r="I664" s="12">
        <f>Table16[[#This Row],[price]]*Table16[[#This Row],[quantity]]</f>
        <v>1050</v>
      </c>
    </row>
    <row r="665" spans="1:9" x14ac:dyDescent="0.3">
      <c r="A665" t="s">
        <v>2681</v>
      </c>
      <c r="B665" t="s">
        <v>129</v>
      </c>
      <c r="C665" t="s">
        <v>2001</v>
      </c>
      <c r="D665">
        <v>5</v>
      </c>
      <c r="E665" s="16">
        <v>1500.4</v>
      </c>
      <c r="F665" s="1">
        <v>44697</v>
      </c>
      <c r="G665" t="s">
        <v>2004</v>
      </c>
      <c r="H665">
        <v>1</v>
      </c>
      <c r="I665" s="12">
        <f>Table16[[#This Row],[price]]*Table16[[#This Row],[quantity]]</f>
        <v>7502</v>
      </c>
    </row>
    <row r="666" spans="1:9" x14ac:dyDescent="0.3">
      <c r="A666" t="s">
        <v>2680</v>
      </c>
      <c r="B666" t="s">
        <v>129</v>
      </c>
      <c r="C666" t="s">
        <v>2001</v>
      </c>
      <c r="D666">
        <v>5</v>
      </c>
      <c r="E666" s="16">
        <v>1500.4</v>
      </c>
      <c r="F666" s="1">
        <v>44854</v>
      </c>
      <c r="G666" t="s">
        <v>2020</v>
      </c>
      <c r="H666">
        <v>2</v>
      </c>
      <c r="I666" s="12">
        <f>Table16[[#This Row],[price]]*Table16[[#This Row],[quantity]]</f>
        <v>7502</v>
      </c>
    </row>
    <row r="667" spans="1:9" x14ac:dyDescent="0.3">
      <c r="A667" t="s">
        <v>2683</v>
      </c>
      <c r="B667" t="s">
        <v>129</v>
      </c>
      <c r="C667" t="s">
        <v>2001</v>
      </c>
      <c r="D667">
        <v>4</v>
      </c>
      <c r="E667" s="16">
        <v>1200.32</v>
      </c>
      <c r="F667" s="1">
        <v>44908</v>
      </c>
      <c r="G667" t="s">
        <v>2064</v>
      </c>
      <c r="H667">
        <v>3</v>
      </c>
      <c r="I667" s="12">
        <f>Table16[[#This Row],[price]]*Table16[[#This Row],[quantity]]</f>
        <v>4801.28</v>
      </c>
    </row>
    <row r="668" spans="1:9" x14ac:dyDescent="0.3">
      <c r="A668" t="s">
        <v>2684</v>
      </c>
      <c r="B668" t="s">
        <v>130</v>
      </c>
      <c r="C668" t="s">
        <v>2001</v>
      </c>
      <c r="D668">
        <v>2</v>
      </c>
      <c r="E668" s="16">
        <v>600.16</v>
      </c>
      <c r="F668" s="1">
        <v>44294</v>
      </c>
      <c r="G668" t="s">
        <v>2058</v>
      </c>
      <c r="H668">
        <v>5</v>
      </c>
      <c r="I668" s="12">
        <f>Table16[[#This Row],[price]]*Table16[[#This Row],[quantity]]</f>
        <v>1200.32</v>
      </c>
    </row>
    <row r="669" spans="1:9" x14ac:dyDescent="0.3">
      <c r="A669" t="s">
        <v>2686</v>
      </c>
      <c r="B669" t="s">
        <v>130</v>
      </c>
      <c r="C669" t="s">
        <v>2008</v>
      </c>
      <c r="D669">
        <v>1</v>
      </c>
      <c r="E669" s="16">
        <v>5.23</v>
      </c>
      <c r="F669" s="1">
        <v>44306</v>
      </c>
      <c r="G669" t="s">
        <v>2002</v>
      </c>
      <c r="H669">
        <v>4</v>
      </c>
      <c r="I669" s="12">
        <f>Table16[[#This Row],[price]]*Table16[[#This Row],[quantity]]</f>
        <v>5.23</v>
      </c>
    </row>
    <row r="670" spans="1:9" x14ac:dyDescent="0.3">
      <c r="A670" t="s">
        <v>2688</v>
      </c>
      <c r="B670" t="s">
        <v>130</v>
      </c>
      <c r="C670" t="s">
        <v>2015</v>
      </c>
      <c r="D670">
        <v>3</v>
      </c>
      <c r="E670" s="16">
        <v>1800.51</v>
      </c>
      <c r="F670" s="1">
        <v>44342</v>
      </c>
      <c r="G670" t="s">
        <v>2018</v>
      </c>
      <c r="H670">
        <v>4</v>
      </c>
      <c r="I670" s="12">
        <f>Table16[[#This Row],[price]]*Table16[[#This Row],[quantity]]</f>
        <v>5401.53</v>
      </c>
    </row>
    <row r="671" spans="1:9" x14ac:dyDescent="0.3">
      <c r="A671" t="s">
        <v>2687</v>
      </c>
      <c r="B671" t="s">
        <v>130</v>
      </c>
      <c r="C671" t="s">
        <v>2008</v>
      </c>
      <c r="D671">
        <v>5</v>
      </c>
      <c r="E671" s="16">
        <v>26.15</v>
      </c>
      <c r="F671" s="1">
        <v>44496</v>
      </c>
      <c r="G671" t="s">
        <v>2002</v>
      </c>
      <c r="H671">
        <v>4</v>
      </c>
      <c r="I671" s="12">
        <f>Table16[[#This Row],[price]]*Table16[[#This Row],[quantity]]</f>
        <v>130.75</v>
      </c>
    </row>
    <row r="672" spans="1:9" x14ac:dyDescent="0.3">
      <c r="A672" t="s">
        <v>2685</v>
      </c>
      <c r="B672" t="s">
        <v>130</v>
      </c>
      <c r="C672" t="s">
        <v>2015</v>
      </c>
      <c r="D672">
        <v>2</v>
      </c>
      <c r="E672" s="16">
        <v>1200.3399999999999</v>
      </c>
      <c r="F672" s="1">
        <v>44622</v>
      </c>
      <c r="G672" t="s">
        <v>2064</v>
      </c>
      <c r="H672">
        <v>2</v>
      </c>
      <c r="I672" s="12">
        <f>Table16[[#This Row],[price]]*Table16[[#This Row],[quantity]]</f>
        <v>2400.6799999999998</v>
      </c>
    </row>
    <row r="673" spans="1:9" x14ac:dyDescent="0.3">
      <c r="A673" t="s">
        <v>2689</v>
      </c>
      <c r="B673" t="s">
        <v>130</v>
      </c>
      <c r="C673" t="s">
        <v>2001</v>
      </c>
      <c r="D673">
        <v>4</v>
      </c>
      <c r="E673" s="16">
        <v>1200.32</v>
      </c>
      <c r="F673" s="1">
        <v>44723</v>
      </c>
      <c r="G673" t="s">
        <v>2004</v>
      </c>
      <c r="H673">
        <v>3</v>
      </c>
      <c r="I673" s="12">
        <f>Table16[[#This Row],[price]]*Table16[[#This Row],[quantity]]</f>
        <v>4801.28</v>
      </c>
    </row>
    <row r="674" spans="1:9" x14ac:dyDescent="0.3">
      <c r="A674" t="s">
        <v>2695</v>
      </c>
      <c r="B674" t="s">
        <v>131</v>
      </c>
      <c r="C674" t="s">
        <v>2008</v>
      </c>
      <c r="D674">
        <v>3</v>
      </c>
      <c r="E674" s="16">
        <v>15.69</v>
      </c>
      <c r="F674" s="1">
        <v>44308</v>
      </c>
      <c r="G674" t="s">
        <v>2004</v>
      </c>
      <c r="H674">
        <v>2</v>
      </c>
      <c r="I674" s="12">
        <f>Table16[[#This Row],[price]]*Table16[[#This Row],[quantity]]</f>
        <v>47.07</v>
      </c>
    </row>
    <row r="675" spans="1:9" x14ac:dyDescent="0.3">
      <c r="A675" t="s">
        <v>2691</v>
      </c>
      <c r="B675" t="s">
        <v>131</v>
      </c>
      <c r="C675" t="s">
        <v>2011</v>
      </c>
      <c r="D675">
        <v>5</v>
      </c>
      <c r="E675" s="16">
        <v>203.3</v>
      </c>
      <c r="F675" s="1">
        <v>44365</v>
      </c>
      <c r="G675" t="s">
        <v>2020</v>
      </c>
      <c r="H675">
        <v>3</v>
      </c>
      <c r="I675" s="12">
        <f>Table16[[#This Row],[price]]*Table16[[#This Row],[quantity]]</f>
        <v>1016.5</v>
      </c>
    </row>
    <row r="676" spans="1:9" x14ac:dyDescent="0.3">
      <c r="A676" t="s">
        <v>2690</v>
      </c>
      <c r="B676" t="s">
        <v>131</v>
      </c>
      <c r="C676" t="s">
        <v>2024</v>
      </c>
      <c r="D676">
        <v>1</v>
      </c>
      <c r="E676" s="16">
        <v>35.840000000000003</v>
      </c>
      <c r="F676" s="1">
        <v>44404</v>
      </c>
      <c r="G676" t="s">
        <v>2009</v>
      </c>
      <c r="H676">
        <v>3</v>
      </c>
      <c r="I676" s="12">
        <f>Table16[[#This Row],[price]]*Table16[[#This Row],[quantity]]</f>
        <v>35.840000000000003</v>
      </c>
    </row>
    <row r="677" spans="1:9" x14ac:dyDescent="0.3">
      <c r="A677" t="s">
        <v>2692</v>
      </c>
      <c r="B677" t="s">
        <v>131</v>
      </c>
      <c r="C677" t="s">
        <v>2011</v>
      </c>
      <c r="D677">
        <v>3</v>
      </c>
      <c r="E677" s="16">
        <v>121.98</v>
      </c>
      <c r="F677" s="1">
        <v>44604</v>
      </c>
      <c r="G677" t="s">
        <v>2012</v>
      </c>
      <c r="H677">
        <v>4</v>
      </c>
      <c r="I677" s="12">
        <f>Table16[[#This Row],[price]]*Table16[[#This Row],[quantity]]</f>
        <v>365.94</v>
      </c>
    </row>
    <row r="678" spans="1:9" x14ac:dyDescent="0.3">
      <c r="A678" t="s">
        <v>2694</v>
      </c>
      <c r="B678" t="s">
        <v>131</v>
      </c>
      <c r="C678" t="s">
        <v>2057</v>
      </c>
      <c r="D678">
        <v>2</v>
      </c>
      <c r="E678" s="16">
        <v>23.46</v>
      </c>
      <c r="F678" s="1">
        <v>44675</v>
      </c>
      <c r="G678" t="s">
        <v>2058</v>
      </c>
      <c r="H678">
        <v>1</v>
      </c>
      <c r="I678" s="12">
        <f>Table16[[#This Row],[price]]*Table16[[#This Row],[quantity]]</f>
        <v>46.92</v>
      </c>
    </row>
    <row r="679" spans="1:9" x14ac:dyDescent="0.3">
      <c r="A679" t="s">
        <v>2696</v>
      </c>
      <c r="B679" t="s">
        <v>131</v>
      </c>
      <c r="C679" t="s">
        <v>2011</v>
      </c>
      <c r="D679">
        <v>1</v>
      </c>
      <c r="E679" s="16">
        <v>40.659999999999997</v>
      </c>
      <c r="F679" s="1">
        <v>44715</v>
      </c>
      <c r="G679" t="s">
        <v>2027</v>
      </c>
      <c r="H679">
        <v>5</v>
      </c>
      <c r="I679" s="12">
        <f>Table16[[#This Row],[price]]*Table16[[#This Row],[quantity]]</f>
        <v>40.659999999999997</v>
      </c>
    </row>
    <row r="680" spans="1:9" x14ac:dyDescent="0.3">
      <c r="A680" t="s">
        <v>2693</v>
      </c>
      <c r="B680" t="s">
        <v>131</v>
      </c>
      <c r="C680" t="s">
        <v>2017</v>
      </c>
      <c r="D680">
        <v>3</v>
      </c>
      <c r="E680" s="16">
        <v>3150</v>
      </c>
      <c r="F680" s="1">
        <v>44878</v>
      </c>
      <c r="G680" t="s">
        <v>2020</v>
      </c>
      <c r="H680">
        <v>5</v>
      </c>
      <c r="I680" s="12">
        <f>Table16[[#This Row],[price]]*Table16[[#This Row],[quantity]]</f>
        <v>9450</v>
      </c>
    </row>
    <row r="681" spans="1:9" x14ac:dyDescent="0.3">
      <c r="A681" t="s">
        <v>2698</v>
      </c>
      <c r="B681" t="s">
        <v>132</v>
      </c>
      <c r="C681" t="s">
        <v>2011</v>
      </c>
      <c r="D681">
        <v>5</v>
      </c>
      <c r="E681" s="16">
        <v>203.3</v>
      </c>
      <c r="F681" s="1">
        <v>44469</v>
      </c>
      <c r="G681" t="s">
        <v>2027</v>
      </c>
      <c r="H681">
        <v>3</v>
      </c>
      <c r="I681" s="12">
        <f>Table16[[#This Row],[price]]*Table16[[#This Row],[quantity]]</f>
        <v>1016.5</v>
      </c>
    </row>
    <row r="682" spans="1:9" x14ac:dyDescent="0.3">
      <c r="A682" t="s">
        <v>2697</v>
      </c>
      <c r="B682" t="s">
        <v>132</v>
      </c>
      <c r="C682" t="s">
        <v>2057</v>
      </c>
      <c r="D682">
        <v>5</v>
      </c>
      <c r="E682" s="16">
        <v>58.65</v>
      </c>
      <c r="F682" s="1">
        <v>44653</v>
      </c>
      <c r="G682" t="s">
        <v>2002</v>
      </c>
      <c r="H682">
        <v>5</v>
      </c>
      <c r="I682" s="12">
        <f>Table16[[#This Row],[price]]*Table16[[#This Row],[quantity]]</f>
        <v>293.25</v>
      </c>
    </row>
    <row r="683" spans="1:9" x14ac:dyDescent="0.3">
      <c r="A683" t="s">
        <v>2699</v>
      </c>
      <c r="B683" t="s">
        <v>132</v>
      </c>
      <c r="C683" t="s">
        <v>2011</v>
      </c>
      <c r="D683">
        <v>5</v>
      </c>
      <c r="E683" s="16">
        <v>203.3</v>
      </c>
      <c r="F683" s="1">
        <v>44918</v>
      </c>
      <c r="G683" t="s">
        <v>2064</v>
      </c>
      <c r="H683">
        <v>2</v>
      </c>
      <c r="I683" s="12">
        <f>Table16[[#This Row],[price]]*Table16[[#This Row],[quantity]]</f>
        <v>1016.5</v>
      </c>
    </row>
    <row r="684" spans="1:9" x14ac:dyDescent="0.3">
      <c r="A684" t="s">
        <v>2703</v>
      </c>
      <c r="B684" t="s">
        <v>133</v>
      </c>
      <c r="C684" t="s">
        <v>2057</v>
      </c>
      <c r="D684">
        <v>2</v>
      </c>
      <c r="E684" s="16">
        <v>23.46</v>
      </c>
      <c r="F684" s="1">
        <v>44208</v>
      </c>
      <c r="G684" t="s">
        <v>2002</v>
      </c>
      <c r="H684">
        <v>1</v>
      </c>
      <c r="I684" s="12">
        <f>Table16[[#This Row],[price]]*Table16[[#This Row],[quantity]]</f>
        <v>46.92</v>
      </c>
    </row>
    <row r="685" spans="1:9" x14ac:dyDescent="0.3">
      <c r="A685" t="s">
        <v>2708</v>
      </c>
      <c r="B685" t="s">
        <v>133</v>
      </c>
      <c r="C685" t="s">
        <v>2017</v>
      </c>
      <c r="D685">
        <v>1</v>
      </c>
      <c r="E685" s="16">
        <v>1050</v>
      </c>
      <c r="F685" s="1">
        <v>44325</v>
      </c>
      <c r="G685" t="s">
        <v>2027</v>
      </c>
      <c r="H685">
        <v>5</v>
      </c>
      <c r="I685" s="12">
        <f>Table16[[#This Row],[price]]*Table16[[#This Row],[quantity]]</f>
        <v>1050</v>
      </c>
    </row>
    <row r="686" spans="1:9" x14ac:dyDescent="0.3">
      <c r="A686" t="s">
        <v>2702</v>
      </c>
      <c r="B686" t="s">
        <v>133</v>
      </c>
      <c r="C686" t="s">
        <v>2001</v>
      </c>
      <c r="D686">
        <v>3</v>
      </c>
      <c r="E686" s="16">
        <v>900.24</v>
      </c>
      <c r="F686" s="1">
        <v>44446</v>
      </c>
      <c r="G686" t="s">
        <v>2009</v>
      </c>
      <c r="H686">
        <v>3</v>
      </c>
      <c r="I686" s="12">
        <f>Table16[[#This Row],[price]]*Table16[[#This Row],[quantity]]</f>
        <v>2700.7200000000003</v>
      </c>
    </row>
    <row r="687" spans="1:9" x14ac:dyDescent="0.3">
      <c r="A687" t="s">
        <v>2704</v>
      </c>
      <c r="B687" t="s">
        <v>133</v>
      </c>
      <c r="C687" t="s">
        <v>2001</v>
      </c>
      <c r="D687">
        <v>5</v>
      </c>
      <c r="E687" s="16">
        <v>1500.4</v>
      </c>
      <c r="F687" s="1">
        <v>44531</v>
      </c>
      <c r="G687" t="s">
        <v>2004</v>
      </c>
      <c r="H687">
        <v>1</v>
      </c>
      <c r="I687" s="12">
        <f>Table16[[#This Row],[price]]*Table16[[#This Row],[quantity]]</f>
        <v>7502</v>
      </c>
    </row>
    <row r="688" spans="1:9" x14ac:dyDescent="0.3">
      <c r="A688" t="s">
        <v>2706</v>
      </c>
      <c r="B688" t="s">
        <v>133</v>
      </c>
      <c r="C688" t="s">
        <v>2011</v>
      </c>
      <c r="D688">
        <v>3</v>
      </c>
      <c r="E688" s="16">
        <v>121.98</v>
      </c>
      <c r="F688" s="1">
        <v>44553</v>
      </c>
      <c r="G688" t="s">
        <v>2020</v>
      </c>
      <c r="H688">
        <v>4</v>
      </c>
      <c r="I688" s="12">
        <f>Table16[[#This Row],[price]]*Table16[[#This Row],[quantity]]</f>
        <v>365.94</v>
      </c>
    </row>
    <row r="689" spans="1:9" x14ac:dyDescent="0.3">
      <c r="A689" t="s">
        <v>2707</v>
      </c>
      <c r="B689" t="s">
        <v>133</v>
      </c>
      <c r="C689" t="s">
        <v>2006</v>
      </c>
      <c r="D689">
        <v>4</v>
      </c>
      <c r="E689" s="16">
        <v>60.6</v>
      </c>
      <c r="F689" s="1">
        <v>44621</v>
      </c>
      <c r="G689" t="s">
        <v>2009</v>
      </c>
      <c r="H689">
        <v>2</v>
      </c>
      <c r="I689" s="12">
        <f>Table16[[#This Row],[price]]*Table16[[#This Row],[quantity]]</f>
        <v>242.4</v>
      </c>
    </row>
    <row r="690" spans="1:9" x14ac:dyDescent="0.3">
      <c r="A690" t="s">
        <v>2701</v>
      </c>
      <c r="B690" t="s">
        <v>133</v>
      </c>
      <c r="C690" t="s">
        <v>2001</v>
      </c>
      <c r="D690">
        <v>3</v>
      </c>
      <c r="E690" s="16">
        <v>900.24</v>
      </c>
      <c r="F690" s="1">
        <v>44781</v>
      </c>
      <c r="G690" t="s">
        <v>2012</v>
      </c>
      <c r="H690">
        <v>1</v>
      </c>
      <c r="I690" s="12">
        <f>Table16[[#This Row],[price]]*Table16[[#This Row],[quantity]]</f>
        <v>2700.7200000000003</v>
      </c>
    </row>
    <row r="691" spans="1:9" x14ac:dyDescent="0.3">
      <c r="A691" t="s">
        <v>2705</v>
      </c>
      <c r="B691" t="s">
        <v>133</v>
      </c>
      <c r="C691" t="s">
        <v>2011</v>
      </c>
      <c r="D691">
        <v>5</v>
      </c>
      <c r="E691" s="16">
        <v>203.3</v>
      </c>
      <c r="F691" s="1">
        <v>44884</v>
      </c>
      <c r="G691" t="s">
        <v>2058</v>
      </c>
      <c r="H691">
        <v>3</v>
      </c>
      <c r="I691" s="12">
        <f>Table16[[#This Row],[price]]*Table16[[#This Row],[quantity]]</f>
        <v>1016.5</v>
      </c>
    </row>
    <row r="692" spans="1:9" x14ac:dyDescent="0.3">
      <c r="A692" t="s">
        <v>2700</v>
      </c>
      <c r="B692" t="s">
        <v>133</v>
      </c>
      <c r="C692" t="s">
        <v>2015</v>
      </c>
      <c r="D692">
        <v>2</v>
      </c>
      <c r="E692" s="16">
        <v>1200.3399999999999</v>
      </c>
      <c r="F692" s="1">
        <v>44930</v>
      </c>
      <c r="G692" t="s">
        <v>2041</v>
      </c>
      <c r="H692">
        <v>2</v>
      </c>
      <c r="I692" s="12">
        <f>Table16[[#This Row],[price]]*Table16[[#This Row],[quantity]]</f>
        <v>2400.6799999999998</v>
      </c>
    </row>
    <row r="693" spans="1:9" x14ac:dyDescent="0.3">
      <c r="A693" t="s">
        <v>2710</v>
      </c>
      <c r="B693" t="s">
        <v>134</v>
      </c>
      <c r="C693" t="s">
        <v>2001</v>
      </c>
      <c r="D693">
        <v>1</v>
      </c>
      <c r="E693" s="16">
        <v>300.08</v>
      </c>
      <c r="F693" s="1">
        <v>44215</v>
      </c>
      <c r="G693" t="s">
        <v>2027</v>
      </c>
      <c r="H693">
        <v>5</v>
      </c>
      <c r="I693" s="12">
        <f>Table16[[#This Row],[price]]*Table16[[#This Row],[quantity]]</f>
        <v>300.08</v>
      </c>
    </row>
    <row r="694" spans="1:9" x14ac:dyDescent="0.3">
      <c r="A694" t="s">
        <v>2713</v>
      </c>
      <c r="B694" t="s">
        <v>134</v>
      </c>
      <c r="C694" t="s">
        <v>2001</v>
      </c>
      <c r="D694">
        <v>3</v>
      </c>
      <c r="E694" s="16">
        <v>900.24</v>
      </c>
      <c r="F694" s="1">
        <v>44630</v>
      </c>
      <c r="G694" t="s">
        <v>2004</v>
      </c>
      <c r="H694">
        <v>3</v>
      </c>
      <c r="I694" s="12">
        <f>Table16[[#This Row],[price]]*Table16[[#This Row],[quantity]]</f>
        <v>2700.7200000000003</v>
      </c>
    </row>
    <row r="695" spans="1:9" x14ac:dyDescent="0.3">
      <c r="A695" t="s">
        <v>2711</v>
      </c>
      <c r="B695" t="s">
        <v>134</v>
      </c>
      <c r="C695" t="s">
        <v>2011</v>
      </c>
      <c r="D695">
        <v>4</v>
      </c>
      <c r="E695" s="16">
        <v>162.63999999999999</v>
      </c>
      <c r="F695" s="1">
        <v>44669</v>
      </c>
      <c r="G695" t="s">
        <v>2027</v>
      </c>
      <c r="H695">
        <v>3</v>
      </c>
      <c r="I695" s="12">
        <f>Table16[[#This Row],[price]]*Table16[[#This Row],[quantity]]</f>
        <v>650.55999999999995</v>
      </c>
    </row>
    <row r="696" spans="1:9" x14ac:dyDescent="0.3">
      <c r="A696" t="s">
        <v>2709</v>
      </c>
      <c r="B696" t="s">
        <v>134</v>
      </c>
      <c r="C696" t="s">
        <v>2006</v>
      </c>
      <c r="D696">
        <v>3</v>
      </c>
      <c r="E696" s="16">
        <v>45.45</v>
      </c>
      <c r="F696" s="1">
        <v>44688</v>
      </c>
      <c r="G696" t="s">
        <v>2027</v>
      </c>
      <c r="H696">
        <v>5</v>
      </c>
      <c r="I696" s="12">
        <f>Table16[[#This Row],[price]]*Table16[[#This Row],[quantity]]</f>
        <v>136.35000000000002</v>
      </c>
    </row>
    <row r="697" spans="1:9" x14ac:dyDescent="0.3">
      <c r="A697" t="s">
        <v>2712</v>
      </c>
      <c r="B697" t="s">
        <v>134</v>
      </c>
      <c r="C697" t="s">
        <v>2024</v>
      </c>
      <c r="D697">
        <v>2</v>
      </c>
      <c r="E697" s="16">
        <v>71.680000000000007</v>
      </c>
      <c r="F697" s="1">
        <v>44798</v>
      </c>
      <c r="G697" t="s">
        <v>2027</v>
      </c>
      <c r="H697">
        <v>2</v>
      </c>
      <c r="I697" s="12">
        <f>Table16[[#This Row],[price]]*Table16[[#This Row],[quantity]]</f>
        <v>143.36000000000001</v>
      </c>
    </row>
    <row r="698" spans="1:9" x14ac:dyDescent="0.3">
      <c r="A698" t="s">
        <v>2714</v>
      </c>
      <c r="B698" t="s">
        <v>134</v>
      </c>
      <c r="C698" t="s">
        <v>2011</v>
      </c>
      <c r="D698">
        <v>5</v>
      </c>
      <c r="E698" s="16">
        <v>203.3</v>
      </c>
      <c r="F698" s="1">
        <v>44891</v>
      </c>
      <c r="G698" t="s">
        <v>2002</v>
      </c>
      <c r="H698">
        <v>2</v>
      </c>
      <c r="I698" s="12">
        <f>Table16[[#This Row],[price]]*Table16[[#This Row],[quantity]]</f>
        <v>1016.5</v>
      </c>
    </row>
    <row r="699" spans="1:9" x14ac:dyDescent="0.3">
      <c r="A699" t="s">
        <v>2720</v>
      </c>
      <c r="B699" t="s">
        <v>135</v>
      </c>
      <c r="C699" t="s">
        <v>2001</v>
      </c>
      <c r="D699">
        <v>3</v>
      </c>
      <c r="E699" s="16">
        <v>900.24</v>
      </c>
      <c r="F699" s="1">
        <v>44355</v>
      </c>
      <c r="G699" t="s">
        <v>2041</v>
      </c>
      <c r="H699">
        <v>2</v>
      </c>
      <c r="I699" s="12">
        <f>Table16[[#This Row],[price]]*Table16[[#This Row],[quantity]]</f>
        <v>2700.7200000000003</v>
      </c>
    </row>
    <row r="700" spans="1:9" x14ac:dyDescent="0.3">
      <c r="A700" t="s">
        <v>2717</v>
      </c>
      <c r="B700" t="s">
        <v>135</v>
      </c>
      <c r="C700" t="s">
        <v>2001</v>
      </c>
      <c r="D700">
        <v>1</v>
      </c>
      <c r="E700" s="16">
        <v>300.08</v>
      </c>
      <c r="F700" s="1">
        <v>44387</v>
      </c>
      <c r="G700" t="s">
        <v>2064</v>
      </c>
      <c r="H700">
        <v>5</v>
      </c>
      <c r="I700" s="12">
        <f>Table16[[#This Row],[price]]*Table16[[#This Row],[quantity]]</f>
        <v>300.08</v>
      </c>
    </row>
    <row r="701" spans="1:9" x14ac:dyDescent="0.3">
      <c r="A701" t="s">
        <v>2718</v>
      </c>
      <c r="B701" t="s">
        <v>135</v>
      </c>
      <c r="C701" t="s">
        <v>2006</v>
      </c>
      <c r="D701">
        <v>4</v>
      </c>
      <c r="E701" s="16">
        <v>60.6</v>
      </c>
      <c r="F701" s="1">
        <v>44576</v>
      </c>
      <c r="G701" t="s">
        <v>2009</v>
      </c>
      <c r="H701">
        <v>5</v>
      </c>
      <c r="I701" s="12">
        <f>Table16[[#This Row],[price]]*Table16[[#This Row],[quantity]]</f>
        <v>242.4</v>
      </c>
    </row>
    <row r="702" spans="1:9" x14ac:dyDescent="0.3">
      <c r="A702" t="s">
        <v>2719</v>
      </c>
      <c r="B702" t="s">
        <v>135</v>
      </c>
      <c r="C702" t="s">
        <v>2057</v>
      </c>
      <c r="D702">
        <v>1</v>
      </c>
      <c r="E702" s="16">
        <v>11.73</v>
      </c>
      <c r="F702" s="1">
        <v>44586</v>
      </c>
      <c r="G702" t="s">
        <v>2004</v>
      </c>
      <c r="H702">
        <v>1</v>
      </c>
      <c r="I702" s="12">
        <f>Table16[[#This Row],[price]]*Table16[[#This Row],[quantity]]</f>
        <v>11.73</v>
      </c>
    </row>
    <row r="703" spans="1:9" x14ac:dyDescent="0.3">
      <c r="A703" t="s">
        <v>2716</v>
      </c>
      <c r="B703" t="s">
        <v>135</v>
      </c>
      <c r="C703" t="s">
        <v>2015</v>
      </c>
      <c r="D703">
        <v>3</v>
      </c>
      <c r="E703" s="16">
        <v>1800.51</v>
      </c>
      <c r="F703" s="1">
        <v>44828</v>
      </c>
      <c r="G703" t="s">
        <v>2009</v>
      </c>
      <c r="H703">
        <v>4</v>
      </c>
      <c r="I703" s="12">
        <f>Table16[[#This Row],[price]]*Table16[[#This Row],[quantity]]</f>
        <v>5401.53</v>
      </c>
    </row>
    <row r="704" spans="1:9" x14ac:dyDescent="0.3">
      <c r="A704" t="s">
        <v>2715</v>
      </c>
      <c r="B704" t="s">
        <v>135</v>
      </c>
      <c r="C704" t="s">
        <v>2001</v>
      </c>
      <c r="D704">
        <v>5</v>
      </c>
      <c r="E704" s="16">
        <v>1500.4</v>
      </c>
      <c r="F704" s="1">
        <v>44908</v>
      </c>
      <c r="G704" t="s">
        <v>2027</v>
      </c>
      <c r="H704">
        <v>5</v>
      </c>
      <c r="I704" s="12">
        <f>Table16[[#This Row],[price]]*Table16[[#This Row],[quantity]]</f>
        <v>7502</v>
      </c>
    </row>
    <row r="705" spans="1:9" x14ac:dyDescent="0.3">
      <c r="A705" t="s">
        <v>2723</v>
      </c>
      <c r="B705" t="s">
        <v>136</v>
      </c>
      <c r="C705" t="s">
        <v>2008</v>
      </c>
      <c r="D705">
        <v>2</v>
      </c>
      <c r="E705" s="16">
        <v>10.46</v>
      </c>
      <c r="F705" s="1">
        <v>44303</v>
      </c>
      <c r="G705" t="s">
        <v>2041</v>
      </c>
      <c r="H705">
        <v>5</v>
      </c>
      <c r="I705" s="12">
        <f>Table16[[#This Row],[price]]*Table16[[#This Row],[quantity]]</f>
        <v>20.92</v>
      </c>
    </row>
    <row r="706" spans="1:9" x14ac:dyDescent="0.3">
      <c r="A706" t="s">
        <v>2727</v>
      </c>
      <c r="B706" t="s">
        <v>136</v>
      </c>
      <c r="C706" t="s">
        <v>2001</v>
      </c>
      <c r="D706">
        <v>2</v>
      </c>
      <c r="E706" s="16">
        <v>600.16</v>
      </c>
      <c r="F706" s="1">
        <v>44400</v>
      </c>
      <c r="G706" t="s">
        <v>2027</v>
      </c>
      <c r="H706">
        <v>4</v>
      </c>
      <c r="I706" s="12">
        <f>Table16[[#This Row],[price]]*Table16[[#This Row],[quantity]]</f>
        <v>1200.32</v>
      </c>
    </row>
    <row r="707" spans="1:9" x14ac:dyDescent="0.3">
      <c r="A707" t="s">
        <v>2726</v>
      </c>
      <c r="B707" t="s">
        <v>136</v>
      </c>
      <c r="C707" t="s">
        <v>2001</v>
      </c>
      <c r="D707">
        <v>2</v>
      </c>
      <c r="E707" s="16">
        <v>600.16</v>
      </c>
      <c r="F707" s="1">
        <v>44424</v>
      </c>
      <c r="G707" t="s">
        <v>2018</v>
      </c>
      <c r="H707">
        <v>4</v>
      </c>
      <c r="I707" s="12">
        <f>Table16[[#This Row],[price]]*Table16[[#This Row],[quantity]]</f>
        <v>1200.32</v>
      </c>
    </row>
    <row r="708" spans="1:9" x14ac:dyDescent="0.3">
      <c r="A708" t="s">
        <v>2722</v>
      </c>
      <c r="B708" t="s">
        <v>136</v>
      </c>
      <c r="C708" t="s">
        <v>2057</v>
      </c>
      <c r="D708">
        <v>3</v>
      </c>
      <c r="E708" s="16">
        <v>35.19</v>
      </c>
      <c r="F708" s="1">
        <v>44726</v>
      </c>
      <c r="G708" t="s">
        <v>2018</v>
      </c>
      <c r="H708">
        <v>1</v>
      </c>
      <c r="I708" s="12">
        <f>Table16[[#This Row],[price]]*Table16[[#This Row],[quantity]]</f>
        <v>105.57</v>
      </c>
    </row>
    <row r="709" spans="1:9" x14ac:dyDescent="0.3">
      <c r="A709" t="s">
        <v>2725</v>
      </c>
      <c r="B709" t="s">
        <v>136</v>
      </c>
      <c r="C709" t="s">
        <v>2017</v>
      </c>
      <c r="D709">
        <v>4</v>
      </c>
      <c r="E709" s="16">
        <v>4200</v>
      </c>
      <c r="F709" s="1">
        <v>44817</v>
      </c>
      <c r="G709" t="s">
        <v>2058</v>
      </c>
      <c r="H709">
        <v>1</v>
      </c>
      <c r="I709" s="12">
        <f>Table16[[#This Row],[price]]*Table16[[#This Row],[quantity]]</f>
        <v>16800</v>
      </c>
    </row>
    <row r="710" spans="1:9" x14ac:dyDescent="0.3">
      <c r="A710" t="s">
        <v>2724</v>
      </c>
      <c r="B710" t="s">
        <v>136</v>
      </c>
      <c r="C710" t="s">
        <v>2024</v>
      </c>
      <c r="D710">
        <v>3</v>
      </c>
      <c r="E710" s="16">
        <v>107.52</v>
      </c>
      <c r="F710" s="1">
        <v>44843</v>
      </c>
      <c r="G710" t="s">
        <v>2002</v>
      </c>
      <c r="H710">
        <v>4</v>
      </c>
      <c r="I710" s="12">
        <f>Table16[[#This Row],[price]]*Table16[[#This Row],[quantity]]</f>
        <v>322.56</v>
      </c>
    </row>
    <row r="711" spans="1:9" x14ac:dyDescent="0.3">
      <c r="A711" t="s">
        <v>2721</v>
      </c>
      <c r="B711" t="s">
        <v>136</v>
      </c>
      <c r="C711" t="s">
        <v>2011</v>
      </c>
      <c r="D711">
        <v>3</v>
      </c>
      <c r="E711" s="16">
        <v>121.98</v>
      </c>
      <c r="F711" s="1">
        <v>44948</v>
      </c>
      <c r="G711" t="s">
        <v>2027</v>
      </c>
      <c r="H711">
        <v>3</v>
      </c>
      <c r="I711" s="12">
        <f>Table16[[#This Row],[price]]*Table16[[#This Row],[quantity]]</f>
        <v>365.94</v>
      </c>
    </row>
    <row r="712" spans="1:9" x14ac:dyDescent="0.3">
      <c r="A712" t="s">
        <v>2731</v>
      </c>
      <c r="B712" t="s">
        <v>137</v>
      </c>
      <c r="C712" t="s">
        <v>2001</v>
      </c>
      <c r="D712">
        <v>4</v>
      </c>
      <c r="E712" s="16">
        <v>1200.32</v>
      </c>
      <c r="F712" s="1">
        <v>44532</v>
      </c>
      <c r="G712" t="s">
        <v>2020</v>
      </c>
      <c r="H712">
        <v>1</v>
      </c>
      <c r="I712" s="12">
        <f>Table16[[#This Row],[price]]*Table16[[#This Row],[quantity]]</f>
        <v>4801.28</v>
      </c>
    </row>
    <row r="713" spans="1:9" x14ac:dyDescent="0.3">
      <c r="A713" t="s">
        <v>2730</v>
      </c>
      <c r="B713" t="s">
        <v>137</v>
      </c>
      <c r="C713" t="s">
        <v>2015</v>
      </c>
      <c r="D713">
        <v>3</v>
      </c>
      <c r="E713" s="16">
        <v>1800.51</v>
      </c>
      <c r="F713" s="1">
        <v>44574</v>
      </c>
      <c r="G713" t="s">
        <v>2002</v>
      </c>
      <c r="H713">
        <v>3</v>
      </c>
      <c r="I713" s="12">
        <f>Table16[[#This Row],[price]]*Table16[[#This Row],[quantity]]</f>
        <v>5401.53</v>
      </c>
    </row>
    <row r="714" spans="1:9" x14ac:dyDescent="0.3">
      <c r="A714" t="s">
        <v>2732</v>
      </c>
      <c r="B714" t="s">
        <v>137</v>
      </c>
      <c r="C714" t="s">
        <v>2015</v>
      </c>
      <c r="D714">
        <v>4</v>
      </c>
      <c r="E714" s="16">
        <v>2400.6799999999998</v>
      </c>
      <c r="F714" s="1">
        <v>44778</v>
      </c>
      <c r="G714" t="s">
        <v>2027</v>
      </c>
      <c r="H714">
        <v>4</v>
      </c>
      <c r="I714" s="12">
        <f>Table16[[#This Row],[price]]*Table16[[#This Row],[quantity]]</f>
        <v>9602.7199999999993</v>
      </c>
    </row>
    <row r="715" spans="1:9" x14ac:dyDescent="0.3">
      <c r="A715" t="s">
        <v>2733</v>
      </c>
      <c r="B715" t="s">
        <v>137</v>
      </c>
      <c r="C715" t="s">
        <v>2011</v>
      </c>
      <c r="D715">
        <v>5</v>
      </c>
      <c r="E715" s="16">
        <v>203.3</v>
      </c>
      <c r="F715" s="1">
        <v>44790</v>
      </c>
      <c r="G715" t="s">
        <v>2064</v>
      </c>
      <c r="H715">
        <v>4</v>
      </c>
      <c r="I715" s="12">
        <f>Table16[[#This Row],[price]]*Table16[[#This Row],[quantity]]</f>
        <v>1016.5</v>
      </c>
    </row>
    <row r="716" spans="1:9" x14ac:dyDescent="0.3">
      <c r="A716" t="s">
        <v>2734</v>
      </c>
      <c r="B716" t="s">
        <v>137</v>
      </c>
      <c r="C716" t="s">
        <v>2011</v>
      </c>
      <c r="D716">
        <v>2</v>
      </c>
      <c r="E716" s="16">
        <v>81.319999999999993</v>
      </c>
      <c r="F716" s="1">
        <v>44874</v>
      </c>
      <c r="G716" t="s">
        <v>2020</v>
      </c>
      <c r="H716">
        <v>4</v>
      </c>
      <c r="I716" s="12">
        <f>Table16[[#This Row],[price]]*Table16[[#This Row],[quantity]]</f>
        <v>162.63999999999999</v>
      </c>
    </row>
    <row r="717" spans="1:9" x14ac:dyDescent="0.3">
      <c r="A717" t="s">
        <v>2729</v>
      </c>
      <c r="B717" t="s">
        <v>137</v>
      </c>
      <c r="C717" t="s">
        <v>2001</v>
      </c>
      <c r="D717">
        <v>3</v>
      </c>
      <c r="E717" s="16">
        <v>900.24</v>
      </c>
      <c r="F717" s="1">
        <v>44933</v>
      </c>
      <c r="G717" t="s">
        <v>2002</v>
      </c>
      <c r="H717">
        <v>4</v>
      </c>
      <c r="I717" s="12">
        <f>Table16[[#This Row],[price]]*Table16[[#This Row],[quantity]]</f>
        <v>2700.7200000000003</v>
      </c>
    </row>
    <row r="718" spans="1:9" x14ac:dyDescent="0.3">
      <c r="A718" t="s">
        <v>2728</v>
      </c>
      <c r="B718" t="s">
        <v>137</v>
      </c>
      <c r="C718" t="s">
        <v>2001</v>
      </c>
      <c r="D718">
        <v>1</v>
      </c>
      <c r="E718" s="16">
        <v>300.08</v>
      </c>
      <c r="F718" s="1">
        <v>44953</v>
      </c>
      <c r="G718" t="s">
        <v>2004</v>
      </c>
      <c r="H718">
        <v>4</v>
      </c>
      <c r="I718" s="12">
        <f>Table16[[#This Row],[price]]*Table16[[#This Row],[quantity]]</f>
        <v>300.08</v>
      </c>
    </row>
    <row r="719" spans="1:9" x14ac:dyDescent="0.3">
      <c r="A719" t="s">
        <v>2737</v>
      </c>
      <c r="B719" t="s">
        <v>138</v>
      </c>
      <c r="C719" t="s">
        <v>2017</v>
      </c>
      <c r="D719">
        <v>2</v>
      </c>
      <c r="E719" s="16">
        <v>2100</v>
      </c>
      <c r="F719" s="1">
        <v>44283</v>
      </c>
      <c r="G719" t="s">
        <v>2020</v>
      </c>
      <c r="H719">
        <v>5</v>
      </c>
      <c r="I719" s="12">
        <f>Table16[[#This Row],[price]]*Table16[[#This Row],[quantity]]</f>
        <v>4200</v>
      </c>
    </row>
    <row r="720" spans="1:9" x14ac:dyDescent="0.3">
      <c r="A720" t="s">
        <v>2738</v>
      </c>
      <c r="B720" t="s">
        <v>138</v>
      </c>
      <c r="C720" t="s">
        <v>2001</v>
      </c>
      <c r="D720">
        <v>5</v>
      </c>
      <c r="E720" s="16">
        <v>1500.4</v>
      </c>
      <c r="F720" s="1">
        <v>44382</v>
      </c>
      <c r="G720" t="s">
        <v>2002</v>
      </c>
      <c r="H720">
        <v>5</v>
      </c>
      <c r="I720" s="12">
        <f>Table16[[#This Row],[price]]*Table16[[#This Row],[quantity]]</f>
        <v>7502</v>
      </c>
    </row>
    <row r="721" spans="1:9" x14ac:dyDescent="0.3">
      <c r="A721" t="s">
        <v>2735</v>
      </c>
      <c r="B721" t="s">
        <v>138</v>
      </c>
      <c r="C721" t="s">
        <v>2008</v>
      </c>
      <c r="D721">
        <v>5</v>
      </c>
      <c r="E721" s="16">
        <v>26.15</v>
      </c>
      <c r="F721" s="1">
        <v>44399</v>
      </c>
      <c r="G721" t="s">
        <v>2041</v>
      </c>
      <c r="H721">
        <v>3</v>
      </c>
      <c r="I721" s="12">
        <f>Table16[[#This Row],[price]]*Table16[[#This Row],[quantity]]</f>
        <v>130.75</v>
      </c>
    </row>
    <row r="722" spans="1:9" x14ac:dyDescent="0.3">
      <c r="A722" t="s">
        <v>2736</v>
      </c>
      <c r="B722" t="s">
        <v>138</v>
      </c>
      <c r="C722" t="s">
        <v>2017</v>
      </c>
      <c r="D722">
        <v>1</v>
      </c>
      <c r="E722" s="16">
        <v>1050</v>
      </c>
      <c r="F722" s="1">
        <v>44402</v>
      </c>
      <c r="G722" t="s">
        <v>2027</v>
      </c>
      <c r="H722">
        <v>4</v>
      </c>
      <c r="I722" s="12">
        <f>Table16[[#This Row],[price]]*Table16[[#This Row],[quantity]]</f>
        <v>1050</v>
      </c>
    </row>
    <row r="723" spans="1:9" x14ac:dyDescent="0.3">
      <c r="A723" t="s">
        <v>2739</v>
      </c>
      <c r="B723" t="s">
        <v>138</v>
      </c>
      <c r="C723" t="s">
        <v>2011</v>
      </c>
      <c r="D723">
        <v>3</v>
      </c>
      <c r="E723" s="16">
        <v>121.98</v>
      </c>
      <c r="F723" s="1">
        <v>44514</v>
      </c>
      <c r="G723" t="s">
        <v>2002</v>
      </c>
      <c r="H723">
        <v>2</v>
      </c>
      <c r="I723" s="12">
        <f>Table16[[#This Row],[price]]*Table16[[#This Row],[quantity]]</f>
        <v>365.94</v>
      </c>
    </row>
    <row r="724" spans="1:9" x14ac:dyDescent="0.3">
      <c r="A724" t="s">
        <v>2742</v>
      </c>
      <c r="B724" t="s">
        <v>139</v>
      </c>
      <c r="C724" t="s">
        <v>2011</v>
      </c>
      <c r="D724">
        <v>2</v>
      </c>
      <c r="E724" s="16">
        <v>81.319999999999993</v>
      </c>
      <c r="F724" s="1">
        <v>44282</v>
      </c>
      <c r="G724" t="s">
        <v>2041</v>
      </c>
      <c r="H724">
        <v>3</v>
      </c>
      <c r="I724" s="12">
        <f>Table16[[#This Row],[price]]*Table16[[#This Row],[quantity]]</f>
        <v>162.63999999999999</v>
      </c>
    </row>
    <row r="725" spans="1:9" x14ac:dyDescent="0.3">
      <c r="A725" t="s">
        <v>2743</v>
      </c>
      <c r="B725" t="s">
        <v>139</v>
      </c>
      <c r="C725" t="s">
        <v>2011</v>
      </c>
      <c r="D725">
        <v>4</v>
      </c>
      <c r="E725" s="16">
        <v>162.63999999999999</v>
      </c>
      <c r="F725" s="1">
        <v>44438</v>
      </c>
      <c r="G725" t="s">
        <v>2041</v>
      </c>
      <c r="H725">
        <v>5</v>
      </c>
      <c r="I725" s="12">
        <f>Table16[[#This Row],[price]]*Table16[[#This Row],[quantity]]</f>
        <v>650.55999999999995</v>
      </c>
    </row>
    <row r="726" spans="1:9" x14ac:dyDescent="0.3">
      <c r="A726" t="s">
        <v>2741</v>
      </c>
      <c r="B726" t="s">
        <v>139</v>
      </c>
      <c r="C726" t="s">
        <v>2001</v>
      </c>
      <c r="D726">
        <v>2</v>
      </c>
      <c r="E726" s="16">
        <v>600.16</v>
      </c>
      <c r="F726" s="1">
        <v>44536</v>
      </c>
      <c r="G726" t="s">
        <v>2027</v>
      </c>
      <c r="H726">
        <v>1</v>
      </c>
      <c r="I726" s="12">
        <f>Table16[[#This Row],[price]]*Table16[[#This Row],[quantity]]</f>
        <v>1200.32</v>
      </c>
    </row>
    <row r="727" spans="1:9" x14ac:dyDescent="0.3">
      <c r="A727" t="s">
        <v>2740</v>
      </c>
      <c r="B727" t="s">
        <v>139</v>
      </c>
      <c r="C727" t="s">
        <v>2001</v>
      </c>
      <c r="D727">
        <v>2</v>
      </c>
      <c r="E727" s="16">
        <v>600.16</v>
      </c>
      <c r="F727" s="1">
        <v>44860</v>
      </c>
      <c r="G727" t="s">
        <v>2020</v>
      </c>
      <c r="H727">
        <v>3</v>
      </c>
      <c r="I727" s="12">
        <f>Table16[[#This Row],[price]]*Table16[[#This Row],[quantity]]</f>
        <v>1200.32</v>
      </c>
    </row>
    <row r="728" spans="1:9" x14ac:dyDescent="0.3">
      <c r="A728" t="s">
        <v>2744</v>
      </c>
      <c r="B728" t="s">
        <v>140</v>
      </c>
      <c r="C728" t="s">
        <v>2011</v>
      </c>
      <c r="D728">
        <v>5</v>
      </c>
      <c r="E728" s="16">
        <v>203.3</v>
      </c>
      <c r="F728" s="1">
        <v>44313</v>
      </c>
      <c r="G728" t="s">
        <v>2004</v>
      </c>
      <c r="H728">
        <v>3</v>
      </c>
      <c r="I728" s="12">
        <f>Table16[[#This Row],[price]]*Table16[[#This Row],[quantity]]</f>
        <v>1016.5</v>
      </c>
    </row>
    <row r="729" spans="1:9" x14ac:dyDescent="0.3">
      <c r="A729" t="s">
        <v>2745</v>
      </c>
      <c r="B729" t="s">
        <v>140</v>
      </c>
      <c r="C729" t="s">
        <v>2001</v>
      </c>
      <c r="D729">
        <v>3</v>
      </c>
      <c r="E729" s="16">
        <v>900.24</v>
      </c>
      <c r="F729" s="1">
        <v>44630</v>
      </c>
      <c r="G729" t="s">
        <v>2027</v>
      </c>
      <c r="H729">
        <v>1</v>
      </c>
      <c r="I729" s="12">
        <f>Table16[[#This Row],[price]]*Table16[[#This Row],[quantity]]</f>
        <v>2700.7200000000003</v>
      </c>
    </row>
    <row r="730" spans="1:9" x14ac:dyDescent="0.3">
      <c r="A730" t="s">
        <v>2748</v>
      </c>
      <c r="B730" t="s">
        <v>141</v>
      </c>
      <c r="C730" t="s">
        <v>2006</v>
      </c>
      <c r="D730">
        <v>4</v>
      </c>
      <c r="E730" s="16">
        <v>60.6</v>
      </c>
      <c r="F730" s="1">
        <v>44248</v>
      </c>
      <c r="G730" t="s">
        <v>2009</v>
      </c>
      <c r="H730">
        <v>2</v>
      </c>
      <c r="I730" s="12">
        <f>Table16[[#This Row],[price]]*Table16[[#This Row],[quantity]]</f>
        <v>242.4</v>
      </c>
    </row>
    <row r="731" spans="1:9" x14ac:dyDescent="0.3">
      <c r="A731" t="s">
        <v>2746</v>
      </c>
      <c r="B731" t="s">
        <v>141</v>
      </c>
      <c r="C731" t="s">
        <v>2011</v>
      </c>
      <c r="D731">
        <v>5</v>
      </c>
      <c r="E731" s="16">
        <v>203.3</v>
      </c>
      <c r="F731" s="1">
        <v>44556</v>
      </c>
      <c r="G731" t="s">
        <v>2020</v>
      </c>
      <c r="H731">
        <v>4</v>
      </c>
      <c r="I731" s="12">
        <f>Table16[[#This Row],[price]]*Table16[[#This Row],[quantity]]</f>
        <v>1016.5</v>
      </c>
    </row>
    <row r="732" spans="1:9" x14ac:dyDescent="0.3">
      <c r="A732" t="s">
        <v>2747</v>
      </c>
      <c r="B732" t="s">
        <v>141</v>
      </c>
      <c r="C732" t="s">
        <v>2006</v>
      </c>
      <c r="D732">
        <v>4</v>
      </c>
      <c r="E732" s="16">
        <v>60.6</v>
      </c>
      <c r="F732" s="1">
        <v>44700</v>
      </c>
      <c r="G732" t="s">
        <v>2002</v>
      </c>
      <c r="H732">
        <v>1</v>
      </c>
      <c r="I732" s="12">
        <f>Table16[[#This Row],[price]]*Table16[[#This Row],[quantity]]</f>
        <v>242.4</v>
      </c>
    </row>
    <row r="733" spans="1:9" x14ac:dyDescent="0.3">
      <c r="A733" t="s">
        <v>2749</v>
      </c>
      <c r="B733" t="s">
        <v>142</v>
      </c>
      <c r="C733" t="s">
        <v>2017</v>
      </c>
      <c r="D733">
        <v>1</v>
      </c>
      <c r="E733" s="16">
        <v>1050</v>
      </c>
      <c r="F733" s="1">
        <v>44294</v>
      </c>
      <c r="G733" t="s">
        <v>2041</v>
      </c>
      <c r="H733">
        <v>5</v>
      </c>
      <c r="I733" s="12">
        <f>Table16[[#This Row],[price]]*Table16[[#This Row],[quantity]]</f>
        <v>1050</v>
      </c>
    </row>
    <row r="734" spans="1:9" x14ac:dyDescent="0.3">
      <c r="A734" t="s">
        <v>2752</v>
      </c>
      <c r="B734" t="s">
        <v>142</v>
      </c>
      <c r="C734" t="s">
        <v>2015</v>
      </c>
      <c r="D734">
        <v>3</v>
      </c>
      <c r="E734" s="16">
        <v>1800.51</v>
      </c>
      <c r="F734" s="1">
        <v>44344</v>
      </c>
      <c r="G734" t="s">
        <v>2004</v>
      </c>
      <c r="H734">
        <v>4</v>
      </c>
      <c r="I734" s="12">
        <f>Table16[[#This Row],[price]]*Table16[[#This Row],[quantity]]</f>
        <v>5401.53</v>
      </c>
    </row>
    <row r="735" spans="1:9" x14ac:dyDescent="0.3">
      <c r="A735" t="s">
        <v>2754</v>
      </c>
      <c r="B735" t="s">
        <v>142</v>
      </c>
      <c r="C735" t="s">
        <v>2024</v>
      </c>
      <c r="D735">
        <v>4</v>
      </c>
      <c r="E735" s="16">
        <v>143.36000000000001</v>
      </c>
      <c r="F735" s="1">
        <v>44480</v>
      </c>
      <c r="G735" t="s">
        <v>2027</v>
      </c>
      <c r="H735">
        <v>4</v>
      </c>
      <c r="I735" s="12">
        <f>Table16[[#This Row],[price]]*Table16[[#This Row],[quantity]]</f>
        <v>573.44000000000005</v>
      </c>
    </row>
    <row r="736" spans="1:9" x14ac:dyDescent="0.3">
      <c r="A736" t="s">
        <v>2750</v>
      </c>
      <c r="B736" t="s">
        <v>142</v>
      </c>
      <c r="C736" t="s">
        <v>2008</v>
      </c>
      <c r="D736">
        <v>3</v>
      </c>
      <c r="E736" s="16">
        <v>15.69</v>
      </c>
      <c r="F736" s="1">
        <v>44615</v>
      </c>
      <c r="G736" t="s">
        <v>2004</v>
      </c>
      <c r="H736">
        <v>5</v>
      </c>
      <c r="I736" s="12">
        <f>Table16[[#This Row],[price]]*Table16[[#This Row],[quantity]]</f>
        <v>47.07</v>
      </c>
    </row>
    <row r="737" spans="1:9" x14ac:dyDescent="0.3">
      <c r="A737" t="s">
        <v>2753</v>
      </c>
      <c r="B737" t="s">
        <v>142</v>
      </c>
      <c r="C737" t="s">
        <v>2057</v>
      </c>
      <c r="D737">
        <v>5</v>
      </c>
      <c r="E737" s="16">
        <v>58.65</v>
      </c>
      <c r="F737" s="1">
        <v>44796</v>
      </c>
      <c r="G737" t="s">
        <v>2018</v>
      </c>
      <c r="H737">
        <v>1</v>
      </c>
      <c r="I737" s="12">
        <f>Table16[[#This Row],[price]]*Table16[[#This Row],[quantity]]</f>
        <v>293.25</v>
      </c>
    </row>
    <row r="738" spans="1:9" x14ac:dyDescent="0.3">
      <c r="A738" t="s">
        <v>2751</v>
      </c>
      <c r="B738" t="s">
        <v>142</v>
      </c>
      <c r="C738" t="s">
        <v>2001</v>
      </c>
      <c r="D738">
        <v>2</v>
      </c>
      <c r="E738" s="16">
        <v>600.16</v>
      </c>
      <c r="F738" s="1">
        <v>44878</v>
      </c>
      <c r="G738" t="s">
        <v>2012</v>
      </c>
      <c r="H738">
        <v>3</v>
      </c>
      <c r="I738" s="12">
        <f>Table16[[#This Row],[price]]*Table16[[#This Row],[quantity]]</f>
        <v>1200.32</v>
      </c>
    </row>
    <row r="739" spans="1:9" x14ac:dyDescent="0.3">
      <c r="A739" t="s">
        <v>2759</v>
      </c>
      <c r="B739" t="s">
        <v>143</v>
      </c>
      <c r="C739" t="s">
        <v>2011</v>
      </c>
      <c r="D739">
        <v>3</v>
      </c>
      <c r="E739" s="16">
        <v>121.98</v>
      </c>
      <c r="F739" s="1">
        <v>44225</v>
      </c>
      <c r="G739" t="s">
        <v>2002</v>
      </c>
      <c r="H739">
        <v>5</v>
      </c>
      <c r="I739" s="12">
        <f>Table16[[#This Row],[price]]*Table16[[#This Row],[quantity]]</f>
        <v>365.94</v>
      </c>
    </row>
    <row r="740" spans="1:9" x14ac:dyDescent="0.3">
      <c r="A740" t="s">
        <v>2760</v>
      </c>
      <c r="B740" t="s">
        <v>143</v>
      </c>
      <c r="C740" t="s">
        <v>2001</v>
      </c>
      <c r="D740">
        <v>2</v>
      </c>
      <c r="E740" s="16">
        <v>600.16</v>
      </c>
      <c r="F740" s="1">
        <v>44449</v>
      </c>
      <c r="G740" t="s">
        <v>2027</v>
      </c>
      <c r="H740">
        <v>5</v>
      </c>
      <c r="I740" s="12">
        <f>Table16[[#This Row],[price]]*Table16[[#This Row],[quantity]]</f>
        <v>1200.32</v>
      </c>
    </row>
    <row r="741" spans="1:9" x14ac:dyDescent="0.3">
      <c r="A741" t="s">
        <v>2758</v>
      </c>
      <c r="B741" t="s">
        <v>143</v>
      </c>
      <c r="C741" t="s">
        <v>2001</v>
      </c>
      <c r="D741">
        <v>5</v>
      </c>
      <c r="E741" s="16">
        <v>1500.4</v>
      </c>
      <c r="F741" s="1">
        <v>44451</v>
      </c>
      <c r="G741" t="s">
        <v>2064</v>
      </c>
      <c r="H741">
        <v>3</v>
      </c>
      <c r="I741" s="12">
        <f>Table16[[#This Row],[price]]*Table16[[#This Row],[quantity]]</f>
        <v>7502</v>
      </c>
    </row>
    <row r="742" spans="1:9" x14ac:dyDescent="0.3">
      <c r="A742" t="s">
        <v>2756</v>
      </c>
      <c r="B742" t="s">
        <v>143</v>
      </c>
      <c r="C742" t="s">
        <v>2001</v>
      </c>
      <c r="D742">
        <v>2</v>
      </c>
      <c r="E742" s="16">
        <v>600.16</v>
      </c>
      <c r="F742" s="1">
        <v>44531</v>
      </c>
      <c r="G742" t="s">
        <v>2004</v>
      </c>
      <c r="H742">
        <v>2</v>
      </c>
      <c r="I742" s="12">
        <f>Table16[[#This Row],[price]]*Table16[[#This Row],[quantity]]</f>
        <v>1200.32</v>
      </c>
    </row>
    <row r="743" spans="1:9" x14ac:dyDescent="0.3">
      <c r="A743" t="s">
        <v>2755</v>
      </c>
      <c r="B743" t="s">
        <v>143</v>
      </c>
      <c r="C743" t="s">
        <v>2017</v>
      </c>
      <c r="D743">
        <v>4</v>
      </c>
      <c r="E743" s="16">
        <v>4200</v>
      </c>
      <c r="F743" s="1">
        <v>44766</v>
      </c>
      <c r="G743" t="s">
        <v>2002</v>
      </c>
      <c r="H743">
        <v>1</v>
      </c>
      <c r="I743" s="12">
        <f>Table16[[#This Row],[price]]*Table16[[#This Row],[quantity]]</f>
        <v>16800</v>
      </c>
    </row>
    <row r="744" spans="1:9" x14ac:dyDescent="0.3">
      <c r="A744" t="s">
        <v>2757</v>
      </c>
      <c r="B744" t="s">
        <v>143</v>
      </c>
      <c r="C744" t="s">
        <v>2001</v>
      </c>
      <c r="D744">
        <v>3</v>
      </c>
      <c r="E744" s="16">
        <v>900.24</v>
      </c>
      <c r="F744" s="1">
        <v>44904</v>
      </c>
      <c r="G744" t="s">
        <v>2002</v>
      </c>
      <c r="H744">
        <v>1</v>
      </c>
      <c r="I744" s="12">
        <f>Table16[[#This Row],[price]]*Table16[[#This Row],[quantity]]</f>
        <v>2700.7200000000003</v>
      </c>
    </row>
    <row r="745" spans="1:9" x14ac:dyDescent="0.3">
      <c r="A745" t="s">
        <v>2761</v>
      </c>
      <c r="B745" t="s">
        <v>143</v>
      </c>
      <c r="C745" t="s">
        <v>2008</v>
      </c>
      <c r="D745">
        <v>2</v>
      </c>
      <c r="E745" s="16">
        <v>10.46</v>
      </c>
      <c r="F745" s="1">
        <v>44990</v>
      </c>
      <c r="G745" t="s">
        <v>2012</v>
      </c>
      <c r="H745">
        <v>2</v>
      </c>
      <c r="I745" s="12">
        <f>Table16[[#This Row],[price]]*Table16[[#This Row],[quantity]]</f>
        <v>20.92</v>
      </c>
    </row>
    <row r="746" spans="1:9" x14ac:dyDescent="0.3">
      <c r="A746" t="s">
        <v>2763</v>
      </c>
      <c r="B746" t="s">
        <v>144</v>
      </c>
      <c r="C746" t="s">
        <v>2015</v>
      </c>
      <c r="D746">
        <v>3</v>
      </c>
      <c r="E746" s="16">
        <v>1800.51</v>
      </c>
      <c r="F746" s="1">
        <v>44340</v>
      </c>
      <c r="G746" t="s">
        <v>2027</v>
      </c>
      <c r="H746">
        <v>2</v>
      </c>
      <c r="I746" s="12">
        <f>Table16[[#This Row],[price]]*Table16[[#This Row],[quantity]]</f>
        <v>5401.53</v>
      </c>
    </row>
    <row r="747" spans="1:9" x14ac:dyDescent="0.3">
      <c r="A747" t="s">
        <v>2768</v>
      </c>
      <c r="B747" t="s">
        <v>144</v>
      </c>
      <c r="C747" t="s">
        <v>2015</v>
      </c>
      <c r="D747">
        <v>2</v>
      </c>
      <c r="E747" s="16">
        <v>1200.3399999999999</v>
      </c>
      <c r="F747" s="1">
        <v>44381</v>
      </c>
      <c r="G747" t="s">
        <v>2012</v>
      </c>
      <c r="H747">
        <v>2</v>
      </c>
      <c r="I747" s="12">
        <f>Table16[[#This Row],[price]]*Table16[[#This Row],[quantity]]</f>
        <v>2400.6799999999998</v>
      </c>
    </row>
    <row r="748" spans="1:9" x14ac:dyDescent="0.3">
      <c r="A748" t="s">
        <v>2767</v>
      </c>
      <c r="B748" t="s">
        <v>144</v>
      </c>
      <c r="C748" t="s">
        <v>2015</v>
      </c>
      <c r="D748">
        <v>3</v>
      </c>
      <c r="E748" s="16">
        <v>1800.51</v>
      </c>
      <c r="F748" s="1">
        <v>44461</v>
      </c>
      <c r="G748" t="s">
        <v>2027</v>
      </c>
      <c r="H748">
        <v>1</v>
      </c>
      <c r="I748" s="12">
        <f>Table16[[#This Row],[price]]*Table16[[#This Row],[quantity]]</f>
        <v>5401.53</v>
      </c>
    </row>
    <row r="749" spans="1:9" x14ac:dyDescent="0.3">
      <c r="A749" t="s">
        <v>2765</v>
      </c>
      <c r="B749" t="s">
        <v>144</v>
      </c>
      <c r="C749" t="s">
        <v>2001</v>
      </c>
      <c r="D749">
        <v>5</v>
      </c>
      <c r="E749" s="16">
        <v>1500.4</v>
      </c>
      <c r="F749" s="1">
        <v>44497</v>
      </c>
      <c r="G749" t="s">
        <v>2020</v>
      </c>
      <c r="H749">
        <v>1</v>
      </c>
      <c r="I749" s="12">
        <f>Table16[[#This Row],[price]]*Table16[[#This Row],[quantity]]</f>
        <v>7502</v>
      </c>
    </row>
    <row r="750" spans="1:9" x14ac:dyDescent="0.3">
      <c r="A750" t="s">
        <v>2764</v>
      </c>
      <c r="B750" t="s">
        <v>144</v>
      </c>
      <c r="C750" t="s">
        <v>2001</v>
      </c>
      <c r="D750">
        <v>2</v>
      </c>
      <c r="E750" s="16">
        <v>600.16</v>
      </c>
      <c r="F750" s="1">
        <v>44636</v>
      </c>
      <c r="G750" t="s">
        <v>2027</v>
      </c>
      <c r="H750">
        <v>2</v>
      </c>
      <c r="I750" s="12">
        <f>Table16[[#This Row],[price]]*Table16[[#This Row],[quantity]]</f>
        <v>1200.32</v>
      </c>
    </row>
    <row r="751" spans="1:9" x14ac:dyDescent="0.3">
      <c r="A751" t="s">
        <v>2766</v>
      </c>
      <c r="B751" t="s">
        <v>144</v>
      </c>
      <c r="C751" t="s">
        <v>2001</v>
      </c>
      <c r="D751">
        <v>3</v>
      </c>
      <c r="E751" s="16">
        <v>900.24</v>
      </c>
      <c r="F751" s="1">
        <v>44701</v>
      </c>
      <c r="G751" t="s">
        <v>2002</v>
      </c>
      <c r="H751">
        <v>1</v>
      </c>
      <c r="I751" s="12">
        <f>Table16[[#This Row],[price]]*Table16[[#This Row],[quantity]]</f>
        <v>2700.7200000000003</v>
      </c>
    </row>
    <row r="752" spans="1:9" x14ac:dyDescent="0.3">
      <c r="A752" t="s">
        <v>2762</v>
      </c>
      <c r="B752" t="s">
        <v>144</v>
      </c>
      <c r="C752" t="s">
        <v>2001</v>
      </c>
      <c r="D752">
        <v>2</v>
      </c>
      <c r="E752" s="16">
        <v>600.16</v>
      </c>
      <c r="F752" s="1">
        <v>44794</v>
      </c>
      <c r="G752" t="s">
        <v>2020</v>
      </c>
      <c r="H752">
        <v>2</v>
      </c>
      <c r="I752" s="12">
        <f>Table16[[#This Row],[price]]*Table16[[#This Row],[quantity]]</f>
        <v>1200.32</v>
      </c>
    </row>
    <row r="753" spans="1:9" x14ac:dyDescent="0.3">
      <c r="A753" t="s">
        <v>2771</v>
      </c>
      <c r="B753" t="s">
        <v>145</v>
      </c>
      <c r="C753" t="s">
        <v>2011</v>
      </c>
      <c r="D753">
        <v>5</v>
      </c>
      <c r="E753" s="16">
        <v>203.3</v>
      </c>
      <c r="F753" s="1">
        <v>44207</v>
      </c>
      <c r="G753" t="s">
        <v>2004</v>
      </c>
      <c r="H753">
        <v>5</v>
      </c>
      <c r="I753" s="12">
        <f>Table16[[#This Row],[price]]*Table16[[#This Row],[quantity]]</f>
        <v>1016.5</v>
      </c>
    </row>
    <row r="754" spans="1:9" x14ac:dyDescent="0.3">
      <c r="A754" t="s">
        <v>2772</v>
      </c>
      <c r="B754" t="s">
        <v>145</v>
      </c>
      <c r="C754" t="s">
        <v>2008</v>
      </c>
      <c r="D754">
        <v>5</v>
      </c>
      <c r="E754" s="16">
        <v>26.15</v>
      </c>
      <c r="F754" s="1">
        <v>44260</v>
      </c>
      <c r="G754" t="s">
        <v>2064</v>
      </c>
      <c r="H754">
        <v>5</v>
      </c>
      <c r="I754" s="12">
        <f>Table16[[#This Row],[price]]*Table16[[#This Row],[quantity]]</f>
        <v>130.75</v>
      </c>
    </row>
    <row r="755" spans="1:9" x14ac:dyDescent="0.3">
      <c r="A755" t="s">
        <v>2776</v>
      </c>
      <c r="B755" t="s">
        <v>145</v>
      </c>
      <c r="C755" t="s">
        <v>2008</v>
      </c>
      <c r="D755">
        <v>2</v>
      </c>
      <c r="E755" s="16">
        <v>10.46</v>
      </c>
      <c r="F755" s="1">
        <v>44455</v>
      </c>
      <c r="G755" t="s">
        <v>2004</v>
      </c>
      <c r="H755">
        <v>3</v>
      </c>
      <c r="I755" s="12">
        <f>Table16[[#This Row],[price]]*Table16[[#This Row],[quantity]]</f>
        <v>20.92</v>
      </c>
    </row>
    <row r="756" spans="1:9" x14ac:dyDescent="0.3">
      <c r="A756" t="s">
        <v>2773</v>
      </c>
      <c r="B756" t="s">
        <v>145</v>
      </c>
      <c r="C756" t="s">
        <v>2001</v>
      </c>
      <c r="D756">
        <v>1</v>
      </c>
      <c r="E756" s="16">
        <v>300.08</v>
      </c>
      <c r="F756" s="1">
        <v>44471</v>
      </c>
      <c r="G756" t="s">
        <v>2012</v>
      </c>
      <c r="H756">
        <v>3</v>
      </c>
      <c r="I756" s="12">
        <f>Table16[[#This Row],[price]]*Table16[[#This Row],[quantity]]</f>
        <v>300.08</v>
      </c>
    </row>
    <row r="757" spans="1:9" x14ac:dyDescent="0.3">
      <c r="A757" t="s">
        <v>2774</v>
      </c>
      <c r="B757" t="s">
        <v>145</v>
      </c>
      <c r="C757" t="s">
        <v>2006</v>
      </c>
      <c r="D757">
        <v>2</v>
      </c>
      <c r="E757" s="16">
        <v>30.3</v>
      </c>
      <c r="F757" s="1">
        <v>44633</v>
      </c>
      <c r="G757" t="s">
        <v>2027</v>
      </c>
      <c r="H757">
        <v>5</v>
      </c>
      <c r="I757" s="12">
        <f>Table16[[#This Row],[price]]*Table16[[#This Row],[quantity]]</f>
        <v>60.6</v>
      </c>
    </row>
    <row r="758" spans="1:9" x14ac:dyDescent="0.3">
      <c r="A758" t="s">
        <v>2777</v>
      </c>
      <c r="B758" t="s">
        <v>145</v>
      </c>
      <c r="C758" t="s">
        <v>2057</v>
      </c>
      <c r="D758">
        <v>1</v>
      </c>
      <c r="E758" s="16">
        <v>11.73</v>
      </c>
      <c r="F758" s="1">
        <v>44705</v>
      </c>
      <c r="G758" t="s">
        <v>2004</v>
      </c>
      <c r="H758">
        <v>4</v>
      </c>
      <c r="I758" s="12">
        <f>Table16[[#This Row],[price]]*Table16[[#This Row],[quantity]]</f>
        <v>11.73</v>
      </c>
    </row>
    <row r="759" spans="1:9" x14ac:dyDescent="0.3">
      <c r="A759" t="s">
        <v>2775</v>
      </c>
      <c r="B759" t="s">
        <v>145</v>
      </c>
      <c r="C759" t="s">
        <v>2001</v>
      </c>
      <c r="D759">
        <v>4</v>
      </c>
      <c r="E759" s="16">
        <v>1200.32</v>
      </c>
      <c r="F759" s="1">
        <v>44728</v>
      </c>
      <c r="G759" t="s">
        <v>2004</v>
      </c>
      <c r="H759">
        <v>4</v>
      </c>
      <c r="I759" s="12">
        <f>Table16[[#This Row],[price]]*Table16[[#This Row],[quantity]]</f>
        <v>4801.28</v>
      </c>
    </row>
    <row r="760" spans="1:9" x14ac:dyDescent="0.3">
      <c r="A760" t="s">
        <v>2769</v>
      </c>
      <c r="B760" t="s">
        <v>145</v>
      </c>
      <c r="C760" t="s">
        <v>2011</v>
      </c>
      <c r="D760">
        <v>3</v>
      </c>
      <c r="E760" s="16">
        <v>121.98</v>
      </c>
      <c r="F760" s="1">
        <v>44766</v>
      </c>
      <c r="G760" t="s">
        <v>2027</v>
      </c>
      <c r="H760">
        <v>1</v>
      </c>
      <c r="I760" s="12">
        <f>Table16[[#This Row],[price]]*Table16[[#This Row],[quantity]]</f>
        <v>365.94</v>
      </c>
    </row>
    <row r="761" spans="1:9" x14ac:dyDescent="0.3">
      <c r="A761" t="s">
        <v>2770</v>
      </c>
      <c r="B761" t="s">
        <v>145</v>
      </c>
      <c r="C761" t="s">
        <v>2001</v>
      </c>
      <c r="D761">
        <v>2</v>
      </c>
      <c r="E761" s="16">
        <v>600.16</v>
      </c>
      <c r="F761" s="1">
        <v>44889</v>
      </c>
      <c r="G761" t="s">
        <v>2004</v>
      </c>
      <c r="H761">
        <v>1</v>
      </c>
      <c r="I761" s="12">
        <f>Table16[[#This Row],[price]]*Table16[[#This Row],[quantity]]</f>
        <v>1200.32</v>
      </c>
    </row>
    <row r="762" spans="1:9" x14ac:dyDescent="0.3">
      <c r="A762" t="s">
        <v>2778</v>
      </c>
      <c r="B762" t="s">
        <v>146</v>
      </c>
      <c r="C762" t="s">
        <v>2001</v>
      </c>
      <c r="D762">
        <v>2</v>
      </c>
      <c r="E762" s="16">
        <v>600.16</v>
      </c>
      <c r="F762" s="1">
        <v>44394</v>
      </c>
      <c r="G762" t="s">
        <v>2064</v>
      </c>
      <c r="H762">
        <v>4</v>
      </c>
      <c r="I762" s="12">
        <f>Table16[[#This Row],[price]]*Table16[[#This Row],[quantity]]</f>
        <v>1200.32</v>
      </c>
    </row>
    <row r="763" spans="1:9" x14ac:dyDescent="0.3">
      <c r="A763" t="s">
        <v>2780</v>
      </c>
      <c r="B763" t="s">
        <v>146</v>
      </c>
      <c r="C763" t="s">
        <v>2011</v>
      </c>
      <c r="D763">
        <v>5</v>
      </c>
      <c r="E763" s="16">
        <v>203.3</v>
      </c>
      <c r="F763" s="1">
        <v>44713</v>
      </c>
      <c r="G763" t="s">
        <v>2027</v>
      </c>
      <c r="H763">
        <v>3</v>
      </c>
      <c r="I763" s="12">
        <f>Table16[[#This Row],[price]]*Table16[[#This Row],[quantity]]</f>
        <v>1016.5</v>
      </c>
    </row>
    <row r="764" spans="1:9" x14ac:dyDescent="0.3">
      <c r="A764" t="s">
        <v>2779</v>
      </c>
      <c r="B764" t="s">
        <v>146</v>
      </c>
      <c r="C764" t="s">
        <v>2015</v>
      </c>
      <c r="D764">
        <v>1</v>
      </c>
      <c r="E764" s="16">
        <v>600.16999999999996</v>
      </c>
      <c r="F764" s="1">
        <v>44873</v>
      </c>
      <c r="G764" t="s">
        <v>2064</v>
      </c>
      <c r="H764">
        <v>3</v>
      </c>
      <c r="I764" s="12">
        <f>Table16[[#This Row],[price]]*Table16[[#This Row],[quantity]]</f>
        <v>600.16999999999996</v>
      </c>
    </row>
    <row r="765" spans="1:9" x14ac:dyDescent="0.3">
      <c r="A765" t="s">
        <v>2786</v>
      </c>
      <c r="B765" t="s">
        <v>147</v>
      </c>
      <c r="C765" t="s">
        <v>2001</v>
      </c>
      <c r="D765">
        <v>5</v>
      </c>
      <c r="E765" s="16">
        <v>1500.4</v>
      </c>
      <c r="F765" s="1">
        <v>44201</v>
      </c>
      <c r="G765" t="s">
        <v>2041</v>
      </c>
      <c r="H765">
        <v>1</v>
      </c>
      <c r="I765" s="12">
        <f>Table16[[#This Row],[price]]*Table16[[#This Row],[quantity]]</f>
        <v>7502</v>
      </c>
    </row>
    <row r="766" spans="1:9" x14ac:dyDescent="0.3">
      <c r="A766" t="s">
        <v>2784</v>
      </c>
      <c r="B766" t="s">
        <v>147</v>
      </c>
      <c r="C766" t="s">
        <v>2011</v>
      </c>
      <c r="D766">
        <v>2</v>
      </c>
      <c r="E766" s="16">
        <v>81.319999999999993</v>
      </c>
      <c r="F766" s="1">
        <v>44337</v>
      </c>
      <c r="G766" t="s">
        <v>2027</v>
      </c>
      <c r="H766">
        <v>4</v>
      </c>
      <c r="I766" s="12">
        <f>Table16[[#This Row],[price]]*Table16[[#This Row],[quantity]]</f>
        <v>162.63999999999999</v>
      </c>
    </row>
    <row r="767" spans="1:9" x14ac:dyDescent="0.3">
      <c r="A767" t="s">
        <v>2785</v>
      </c>
      <c r="B767" t="s">
        <v>147</v>
      </c>
      <c r="C767" t="s">
        <v>2011</v>
      </c>
      <c r="D767">
        <v>4</v>
      </c>
      <c r="E767" s="16">
        <v>162.63999999999999</v>
      </c>
      <c r="F767" s="1">
        <v>44472</v>
      </c>
      <c r="G767" t="s">
        <v>2018</v>
      </c>
      <c r="H767">
        <v>4</v>
      </c>
      <c r="I767" s="12">
        <f>Table16[[#This Row],[price]]*Table16[[#This Row],[quantity]]</f>
        <v>650.55999999999995</v>
      </c>
    </row>
    <row r="768" spans="1:9" x14ac:dyDescent="0.3">
      <c r="A768" t="s">
        <v>2783</v>
      </c>
      <c r="B768" t="s">
        <v>147</v>
      </c>
      <c r="C768" t="s">
        <v>2001</v>
      </c>
      <c r="D768">
        <v>2</v>
      </c>
      <c r="E768" s="16">
        <v>600.16</v>
      </c>
      <c r="F768" s="1">
        <v>44779</v>
      </c>
      <c r="G768" t="s">
        <v>2002</v>
      </c>
      <c r="H768">
        <v>1</v>
      </c>
      <c r="I768" s="12">
        <f>Table16[[#This Row],[price]]*Table16[[#This Row],[quantity]]</f>
        <v>1200.32</v>
      </c>
    </row>
    <row r="769" spans="1:9" x14ac:dyDescent="0.3">
      <c r="A769" t="s">
        <v>2781</v>
      </c>
      <c r="B769" t="s">
        <v>147</v>
      </c>
      <c r="C769" t="s">
        <v>2008</v>
      </c>
      <c r="D769">
        <v>1</v>
      </c>
      <c r="E769" s="16">
        <v>5.23</v>
      </c>
      <c r="F769" s="1">
        <v>44838</v>
      </c>
      <c r="G769" t="s">
        <v>2002</v>
      </c>
      <c r="H769">
        <v>3</v>
      </c>
      <c r="I769" s="12">
        <f>Table16[[#This Row],[price]]*Table16[[#This Row],[quantity]]</f>
        <v>5.23</v>
      </c>
    </row>
    <row r="770" spans="1:9" x14ac:dyDescent="0.3">
      <c r="A770" t="s">
        <v>2782</v>
      </c>
      <c r="B770" t="s">
        <v>147</v>
      </c>
      <c r="C770" t="s">
        <v>2011</v>
      </c>
      <c r="D770">
        <v>5</v>
      </c>
      <c r="E770" s="16">
        <v>203.3</v>
      </c>
      <c r="F770" s="1">
        <v>44879</v>
      </c>
      <c r="G770" t="s">
        <v>2002</v>
      </c>
      <c r="H770">
        <v>2</v>
      </c>
      <c r="I770" s="12">
        <f>Table16[[#This Row],[price]]*Table16[[#This Row],[quantity]]</f>
        <v>1016.5</v>
      </c>
    </row>
    <row r="771" spans="1:9" x14ac:dyDescent="0.3">
      <c r="A771" t="s">
        <v>2788</v>
      </c>
      <c r="B771" t="s">
        <v>148</v>
      </c>
      <c r="C771" t="s">
        <v>2011</v>
      </c>
      <c r="D771">
        <v>4</v>
      </c>
      <c r="E771" s="16">
        <v>162.63999999999999</v>
      </c>
      <c r="F771" s="1">
        <v>44229</v>
      </c>
      <c r="G771" t="s">
        <v>2041</v>
      </c>
      <c r="H771">
        <v>5</v>
      </c>
      <c r="I771" s="12">
        <f>Table16[[#This Row],[price]]*Table16[[#This Row],[quantity]]</f>
        <v>650.55999999999995</v>
      </c>
    </row>
    <row r="772" spans="1:9" x14ac:dyDescent="0.3">
      <c r="A772" t="s">
        <v>2789</v>
      </c>
      <c r="B772" t="s">
        <v>148</v>
      </c>
      <c r="C772" t="s">
        <v>2001</v>
      </c>
      <c r="D772">
        <v>1</v>
      </c>
      <c r="E772" s="16">
        <v>300.08</v>
      </c>
      <c r="F772" s="1">
        <v>44275</v>
      </c>
      <c r="G772" t="s">
        <v>2012</v>
      </c>
      <c r="H772">
        <v>2</v>
      </c>
      <c r="I772" s="12">
        <f>Table16[[#This Row],[price]]*Table16[[#This Row],[quantity]]</f>
        <v>300.08</v>
      </c>
    </row>
    <row r="773" spans="1:9" x14ac:dyDescent="0.3">
      <c r="A773" t="s">
        <v>2787</v>
      </c>
      <c r="B773" t="s">
        <v>148</v>
      </c>
      <c r="C773" t="s">
        <v>2001</v>
      </c>
      <c r="D773">
        <v>4</v>
      </c>
      <c r="E773" s="16">
        <v>1200.32</v>
      </c>
      <c r="F773" s="1">
        <v>44626</v>
      </c>
      <c r="G773" t="s">
        <v>2027</v>
      </c>
      <c r="H773">
        <v>3</v>
      </c>
      <c r="I773" s="12">
        <f>Table16[[#This Row],[price]]*Table16[[#This Row],[quantity]]</f>
        <v>4801.28</v>
      </c>
    </row>
    <row r="774" spans="1:9" x14ac:dyDescent="0.3">
      <c r="A774" t="s">
        <v>2790</v>
      </c>
      <c r="B774" t="s">
        <v>148</v>
      </c>
      <c r="C774" t="s">
        <v>2011</v>
      </c>
      <c r="D774">
        <v>2</v>
      </c>
      <c r="E774" s="16">
        <v>81.319999999999993</v>
      </c>
      <c r="F774" s="1">
        <v>44829</v>
      </c>
      <c r="G774" t="s">
        <v>2004</v>
      </c>
      <c r="H774">
        <v>2</v>
      </c>
      <c r="I774" s="12">
        <f>Table16[[#This Row],[price]]*Table16[[#This Row],[quantity]]</f>
        <v>162.63999999999999</v>
      </c>
    </row>
    <row r="775" spans="1:9" x14ac:dyDescent="0.3">
      <c r="A775" t="s">
        <v>2793</v>
      </c>
      <c r="B775" t="s">
        <v>149</v>
      </c>
      <c r="C775" t="s">
        <v>2015</v>
      </c>
      <c r="D775">
        <v>5</v>
      </c>
      <c r="E775" s="16">
        <v>3000.85</v>
      </c>
      <c r="F775" s="1">
        <v>44217</v>
      </c>
      <c r="G775" t="s">
        <v>2027</v>
      </c>
      <c r="H775">
        <v>4</v>
      </c>
      <c r="I775" s="12">
        <f>Table16[[#This Row],[price]]*Table16[[#This Row],[quantity]]</f>
        <v>15004.25</v>
      </c>
    </row>
    <row r="776" spans="1:9" x14ac:dyDescent="0.3">
      <c r="A776" t="s">
        <v>2792</v>
      </c>
      <c r="B776" t="s">
        <v>149</v>
      </c>
      <c r="C776" t="s">
        <v>2011</v>
      </c>
      <c r="D776">
        <v>4</v>
      </c>
      <c r="E776" s="16">
        <v>162.63999999999999</v>
      </c>
      <c r="F776" s="1">
        <v>44380</v>
      </c>
      <c r="G776" t="s">
        <v>2027</v>
      </c>
      <c r="H776">
        <v>4</v>
      </c>
      <c r="I776" s="12">
        <f>Table16[[#This Row],[price]]*Table16[[#This Row],[quantity]]</f>
        <v>650.55999999999995</v>
      </c>
    </row>
    <row r="777" spans="1:9" x14ac:dyDescent="0.3">
      <c r="A777" t="s">
        <v>2791</v>
      </c>
      <c r="B777" t="s">
        <v>149</v>
      </c>
      <c r="C777" t="s">
        <v>2001</v>
      </c>
      <c r="D777">
        <v>2</v>
      </c>
      <c r="E777" s="16">
        <v>600.16</v>
      </c>
      <c r="F777" s="1">
        <v>44409</v>
      </c>
      <c r="G777" t="s">
        <v>2058</v>
      </c>
      <c r="H777">
        <v>2</v>
      </c>
      <c r="I777" s="12">
        <f>Table16[[#This Row],[price]]*Table16[[#This Row],[quantity]]</f>
        <v>1200.32</v>
      </c>
    </row>
    <row r="778" spans="1:9" x14ac:dyDescent="0.3">
      <c r="A778" t="s">
        <v>2794</v>
      </c>
      <c r="B778" t="s">
        <v>149</v>
      </c>
      <c r="C778" t="s">
        <v>2001</v>
      </c>
      <c r="D778">
        <v>1</v>
      </c>
      <c r="E778" s="16">
        <v>300.08</v>
      </c>
      <c r="F778" s="1">
        <v>44981</v>
      </c>
      <c r="G778" t="s">
        <v>2064</v>
      </c>
      <c r="H778">
        <v>4</v>
      </c>
      <c r="I778" s="12">
        <f>Table16[[#This Row],[price]]*Table16[[#This Row],[quantity]]</f>
        <v>300.08</v>
      </c>
    </row>
    <row r="779" spans="1:9" x14ac:dyDescent="0.3">
      <c r="A779" t="s">
        <v>2796</v>
      </c>
      <c r="B779" t="s">
        <v>150</v>
      </c>
      <c r="C779" t="s">
        <v>2008</v>
      </c>
      <c r="D779">
        <v>4</v>
      </c>
      <c r="E779" s="16">
        <v>20.92</v>
      </c>
      <c r="F779" s="1">
        <v>44329</v>
      </c>
      <c r="G779" t="s">
        <v>2041</v>
      </c>
      <c r="H779">
        <v>4</v>
      </c>
      <c r="I779" s="12">
        <f>Table16[[#This Row],[price]]*Table16[[#This Row],[quantity]]</f>
        <v>83.68</v>
      </c>
    </row>
    <row r="780" spans="1:9" x14ac:dyDescent="0.3">
      <c r="A780" t="s">
        <v>2798</v>
      </c>
      <c r="B780" t="s">
        <v>150</v>
      </c>
      <c r="C780" t="s">
        <v>2001</v>
      </c>
      <c r="D780">
        <v>3</v>
      </c>
      <c r="E780" s="16">
        <v>900.24</v>
      </c>
      <c r="F780" s="1">
        <v>44360</v>
      </c>
      <c r="G780" t="s">
        <v>2020</v>
      </c>
      <c r="H780">
        <v>3</v>
      </c>
      <c r="I780" s="12">
        <f>Table16[[#This Row],[price]]*Table16[[#This Row],[quantity]]</f>
        <v>2700.7200000000003</v>
      </c>
    </row>
    <row r="781" spans="1:9" x14ac:dyDescent="0.3">
      <c r="A781" t="s">
        <v>2799</v>
      </c>
      <c r="B781" t="s">
        <v>150</v>
      </c>
      <c r="C781" t="s">
        <v>2011</v>
      </c>
      <c r="D781">
        <v>2</v>
      </c>
      <c r="E781" s="16">
        <v>81.319999999999993</v>
      </c>
      <c r="F781" s="1">
        <v>44378</v>
      </c>
      <c r="G781" t="s">
        <v>2004</v>
      </c>
      <c r="H781">
        <v>5</v>
      </c>
      <c r="I781" s="12">
        <f>Table16[[#This Row],[price]]*Table16[[#This Row],[quantity]]</f>
        <v>162.63999999999999</v>
      </c>
    </row>
    <row r="782" spans="1:9" x14ac:dyDescent="0.3">
      <c r="A782" t="s">
        <v>2795</v>
      </c>
      <c r="B782" t="s">
        <v>150</v>
      </c>
      <c r="C782" t="s">
        <v>2017</v>
      </c>
      <c r="D782">
        <v>1</v>
      </c>
      <c r="E782" s="16">
        <v>1050</v>
      </c>
      <c r="F782" s="1">
        <v>44477</v>
      </c>
      <c r="G782" t="s">
        <v>2004</v>
      </c>
      <c r="H782">
        <v>3</v>
      </c>
      <c r="I782" s="12">
        <f>Table16[[#This Row],[price]]*Table16[[#This Row],[quantity]]</f>
        <v>1050</v>
      </c>
    </row>
    <row r="783" spans="1:9" x14ac:dyDescent="0.3">
      <c r="A783" t="s">
        <v>2797</v>
      </c>
      <c r="B783" t="s">
        <v>150</v>
      </c>
      <c r="C783" t="s">
        <v>2008</v>
      </c>
      <c r="D783">
        <v>3</v>
      </c>
      <c r="E783" s="16">
        <v>15.69</v>
      </c>
      <c r="F783" s="1">
        <v>44925</v>
      </c>
      <c r="G783" t="s">
        <v>2004</v>
      </c>
      <c r="H783">
        <v>3</v>
      </c>
      <c r="I783" s="12">
        <f>Table16[[#This Row],[price]]*Table16[[#This Row],[quantity]]</f>
        <v>47.07</v>
      </c>
    </row>
    <row r="784" spans="1:9" x14ac:dyDescent="0.3">
      <c r="A784" t="s">
        <v>2800</v>
      </c>
      <c r="B784" t="s">
        <v>151</v>
      </c>
      <c r="C784" t="s">
        <v>2001</v>
      </c>
      <c r="D784">
        <v>3</v>
      </c>
      <c r="E784" s="16">
        <v>900.24</v>
      </c>
      <c r="F784" s="1">
        <v>44495</v>
      </c>
      <c r="G784" t="s">
        <v>2027</v>
      </c>
      <c r="H784">
        <v>3</v>
      </c>
      <c r="I784" s="12">
        <f>Table16[[#This Row],[price]]*Table16[[#This Row],[quantity]]</f>
        <v>2700.7200000000003</v>
      </c>
    </row>
    <row r="785" spans="1:9" x14ac:dyDescent="0.3">
      <c r="A785" t="s">
        <v>2802</v>
      </c>
      <c r="B785" t="s">
        <v>151</v>
      </c>
      <c r="C785" t="s">
        <v>2015</v>
      </c>
      <c r="D785">
        <v>1</v>
      </c>
      <c r="E785" s="16">
        <v>600.16999999999996</v>
      </c>
      <c r="F785" s="1">
        <v>44550</v>
      </c>
      <c r="G785" t="s">
        <v>2027</v>
      </c>
      <c r="H785">
        <v>5</v>
      </c>
      <c r="I785" s="12">
        <f>Table16[[#This Row],[price]]*Table16[[#This Row],[quantity]]</f>
        <v>600.16999999999996</v>
      </c>
    </row>
    <row r="786" spans="1:9" x14ac:dyDescent="0.3">
      <c r="A786" t="s">
        <v>2801</v>
      </c>
      <c r="B786" t="s">
        <v>151</v>
      </c>
      <c r="C786" t="s">
        <v>2001</v>
      </c>
      <c r="D786">
        <v>4</v>
      </c>
      <c r="E786" s="16">
        <v>1200.32</v>
      </c>
      <c r="F786" s="1">
        <v>44620</v>
      </c>
      <c r="G786" t="s">
        <v>2041</v>
      </c>
      <c r="H786">
        <v>3</v>
      </c>
      <c r="I786" s="12">
        <f>Table16[[#This Row],[price]]*Table16[[#This Row],[quantity]]</f>
        <v>4801.28</v>
      </c>
    </row>
    <row r="787" spans="1:9" x14ac:dyDescent="0.3">
      <c r="A787" t="s">
        <v>2804</v>
      </c>
      <c r="B787" t="s">
        <v>152</v>
      </c>
      <c r="C787" t="s">
        <v>2001</v>
      </c>
      <c r="D787">
        <v>2</v>
      </c>
      <c r="E787" s="16">
        <v>600.16</v>
      </c>
      <c r="F787" s="1">
        <v>44276</v>
      </c>
      <c r="G787" t="s">
        <v>2020</v>
      </c>
      <c r="H787">
        <v>4</v>
      </c>
      <c r="I787" s="12">
        <f>Table16[[#This Row],[price]]*Table16[[#This Row],[quantity]]</f>
        <v>1200.32</v>
      </c>
    </row>
    <row r="788" spans="1:9" x14ac:dyDescent="0.3">
      <c r="A788" t="s">
        <v>2805</v>
      </c>
      <c r="B788" t="s">
        <v>152</v>
      </c>
      <c r="C788" t="s">
        <v>2011</v>
      </c>
      <c r="D788">
        <v>4</v>
      </c>
      <c r="E788" s="16">
        <v>162.63999999999999</v>
      </c>
      <c r="F788" s="1">
        <v>44295</v>
      </c>
      <c r="G788" t="s">
        <v>2058</v>
      </c>
      <c r="H788">
        <v>5</v>
      </c>
      <c r="I788" s="12">
        <f>Table16[[#This Row],[price]]*Table16[[#This Row],[quantity]]</f>
        <v>650.55999999999995</v>
      </c>
    </row>
    <row r="789" spans="1:9" x14ac:dyDescent="0.3">
      <c r="A789" t="s">
        <v>2807</v>
      </c>
      <c r="B789" t="s">
        <v>152</v>
      </c>
      <c r="C789" t="s">
        <v>2024</v>
      </c>
      <c r="D789">
        <v>4</v>
      </c>
      <c r="E789" s="16">
        <v>143.36000000000001</v>
      </c>
      <c r="F789" s="1">
        <v>44522</v>
      </c>
      <c r="G789" t="s">
        <v>2027</v>
      </c>
      <c r="H789">
        <v>1</v>
      </c>
      <c r="I789" s="12">
        <f>Table16[[#This Row],[price]]*Table16[[#This Row],[quantity]]</f>
        <v>573.44000000000005</v>
      </c>
    </row>
    <row r="790" spans="1:9" x14ac:dyDescent="0.3">
      <c r="A790" t="s">
        <v>2803</v>
      </c>
      <c r="B790" t="s">
        <v>152</v>
      </c>
      <c r="C790" t="s">
        <v>2001</v>
      </c>
      <c r="D790">
        <v>1</v>
      </c>
      <c r="E790" s="16">
        <v>300.08</v>
      </c>
      <c r="F790" s="1">
        <v>44659</v>
      </c>
      <c r="G790" t="s">
        <v>2020</v>
      </c>
      <c r="H790">
        <v>3</v>
      </c>
      <c r="I790" s="12">
        <f>Table16[[#This Row],[price]]*Table16[[#This Row],[quantity]]</f>
        <v>300.08</v>
      </c>
    </row>
    <row r="791" spans="1:9" x14ac:dyDescent="0.3">
      <c r="A791" t="s">
        <v>2806</v>
      </c>
      <c r="B791" t="s">
        <v>152</v>
      </c>
      <c r="C791" t="s">
        <v>2008</v>
      </c>
      <c r="D791">
        <v>3</v>
      </c>
      <c r="E791" s="16">
        <v>15.69</v>
      </c>
      <c r="F791" s="1">
        <v>44712</v>
      </c>
      <c r="G791" t="s">
        <v>2012</v>
      </c>
      <c r="H791">
        <v>1</v>
      </c>
      <c r="I791" s="12">
        <f>Table16[[#This Row],[price]]*Table16[[#This Row],[quantity]]</f>
        <v>47.07</v>
      </c>
    </row>
    <row r="792" spans="1:9" x14ac:dyDescent="0.3">
      <c r="A792" t="s">
        <v>2808</v>
      </c>
      <c r="B792" t="s">
        <v>153</v>
      </c>
      <c r="C792" t="s">
        <v>2011</v>
      </c>
      <c r="D792">
        <v>1</v>
      </c>
      <c r="E792" s="16">
        <v>40.659999999999997</v>
      </c>
      <c r="F792" s="1">
        <v>44389</v>
      </c>
      <c r="G792" t="s">
        <v>2002</v>
      </c>
      <c r="H792">
        <v>4</v>
      </c>
      <c r="I792" s="12">
        <f>Table16[[#This Row],[price]]*Table16[[#This Row],[quantity]]</f>
        <v>40.659999999999997</v>
      </c>
    </row>
    <row r="793" spans="1:9" x14ac:dyDescent="0.3">
      <c r="A793" t="s">
        <v>2809</v>
      </c>
      <c r="B793" t="s">
        <v>153</v>
      </c>
      <c r="C793" t="s">
        <v>2001</v>
      </c>
      <c r="D793">
        <v>1</v>
      </c>
      <c r="E793" s="16">
        <v>300.08</v>
      </c>
      <c r="F793" s="1">
        <v>44729</v>
      </c>
      <c r="G793" t="s">
        <v>2002</v>
      </c>
      <c r="H793">
        <v>4</v>
      </c>
      <c r="I793" s="12">
        <f>Table16[[#This Row],[price]]*Table16[[#This Row],[quantity]]</f>
        <v>300.08</v>
      </c>
    </row>
    <row r="794" spans="1:9" x14ac:dyDescent="0.3">
      <c r="A794" t="s">
        <v>2811</v>
      </c>
      <c r="B794" t="s">
        <v>154</v>
      </c>
      <c r="C794" t="s">
        <v>2017</v>
      </c>
      <c r="D794">
        <v>1</v>
      </c>
      <c r="E794" s="16">
        <v>1050</v>
      </c>
      <c r="F794" s="1">
        <v>44238</v>
      </c>
      <c r="G794" t="s">
        <v>2004</v>
      </c>
      <c r="H794">
        <v>4</v>
      </c>
      <c r="I794" s="12">
        <f>Table16[[#This Row],[price]]*Table16[[#This Row],[quantity]]</f>
        <v>1050</v>
      </c>
    </row>
    <row r="795" spans="1:9" x14ac:dyDescent="0.3">
      <c r="A795" t="s">
        <v>2810</v>
      </c>
      <c r="B795" t="s">
        <v>154</v>
      </c>
      <c r="C795" t="s">
        <v>2008</v>
      </c>
      <c r="D795">
        <v>3</v>
      </c>
      <c r="E795" s="16">
        <v>15.69</v>
      </c>
      <c r="F795" s="1">
        <v>44579</v>
      </c>
      <c r="G795" t="s">
        <v>2009</v>
      </c>
      <c r="H795">
        <v>5</v>
      </c>
      <c r="I795" s="12">
        <f>Table16[[#This Row],[price]]*Table16[[#This Row],[quantity]]</f>
        <v>47.07</v>
      </c>
    </row>
    <row r="796" spans="1:9" x14ac:dyDescent="0.3">
      <c r="A796" t="s">
        <v>2814</v>
      </c>
      <c r="B796" t="s">
        <v>154</v>
      </c>
      <c r="C796" t="s">
        <v>2001</v>
      </c>
      <c r="D796">
        <v>3</v>
      </c>
      <c r="E796" s="16">
        <v>900.24</v>
      </c>
      <c r="F796" s="1">
        <v>44623</v>
      </c>
      <c r="G796" t="s">
        <v>2002</v>
      </c>
      <c r="H796">
        <v>2</v>
      </c>
      <c r="I796" s="12">
        <f>Table16[[#This Row],[price]]*Table16[[#This Row],[quantity]]</f>
        <v>2700.7200000000003</v>
      </c>
    </row>
    <row r="797" spans="1:9" x14ac:dyDescent="0.3">
      <c r="A797" t="s">
        <v>2812</v>
      </c>
      <c r="B797" t="s">
        <v>154</v>
      </c>
      <c r="C797" t="s">
        <v>2024</v>
      </c>
      <c r="D797">
        <v>1</v>
      </c>
      <c r="E797" s="16">
        <v>35.840000000000003</v>
      </c>
      <c r="F797" s="1">
        <v>44627</v>
      </c>
      <c r="G797" t="s">
        <v>2002</v>
      </c>
      <c r="H797">
        <v>3</v>
      </c>
      <c r="I797" s="12">
        <f>Table16[[#This Row],[price]]*Table16[[#This Row],[quantity]]</f>
        <v>35.840000000000003</v>
      </c>
    </row>
    <row r="798" spans="1:9" x14ac:dyDescent="0.3">
      <c r="A798" t="s">
        <v>2813</v>
      </c>
      <c r="B798" t="s">
        <v>154</v>
      </c>
      <c r="C798" t="s">
        <v>2001</v>
      </c>
      <c r="D798">
        <v>3</v>
      </c>
      <c r="E798" s="16">
        <v>900.24</v>
      </c>
      <c r="F798" s="1">
        <v>44983</v>
      </c>
      <c r="G798" t="s">
        <v>2041</v>
      </c>
      <c r="H798">
        <v>1</v>
      </c>
      <c r="I798" s="12">
        <f>Table16[[#This Row],[price]]*Table16[[#This Row],[quantity]]</f>
        <v>2700.7200000000003</v>
      </c>
    </row>
    <row r="799" spans="1:9" x14ac:dyDescent="0.3">
      <c r="A799" t="s">
        <v>2815</v>
      </c>
      <c r="B799" t="s">
        <v>154</v>
      </c>
      <c r="C799" t="s">
        <v>2001</v>
      </c>
      <c r="D799">
        <v>4</v>
      </c>
      <c r="E799" s="16">
        <v>1200.32</v>
      </c>
      <c r="F799" s="1">
        <v>44992</v>
      </c>
      <c r="G799" t="s">
        <v>2064</v>
      </c>
      <c r="H799">
        <v>4</v>
      </c>
      <c r="I799" s="12">
        <f>Table16[[#This Row],[price]]*Table16[[#This Row],[quantity]]</f>
        <v>4801.28</v>
      </c>
    </row>
    <row r="800" spans="1:9" x14ac:dyDescent="0.3">
      <c r="A800" t="s">
        <v>2822</v>
      </c>
      <c r="B800" t="s">
        <v>155</v>
      </c>
      <c r="C800" t="s">
        <v>2011</v>
      </c>
      <c r="D800">
        <v>2</v>
      </c>
      <c r="E800" s="16">
        <v>81.319999999999993</v>
      </c>
      <c r="F800" s="1">
        <v>44272</v>
      </c>
      <c r="G800" t="s">
        <v>2009</v>
      </c>
      <c r="H800">
        <v>5</v>
      </c>
      <c r="I800" s="12">
        <f>Table16[[#This Row],[price]]*Table16[[#This Row],[quantity]]</f>
        <v>162.63999999999999</v>
      </c>
    </row>
    <row r="801" spans="1:9" x14ac:dyDescent="0.3">
      <c r="A801" t="s">
        <v>2816</v>
      </c>
      <c r="B801" t="s">
        <v>155</v>
      </c>
      <c r="C801" t="s">
        <v>2011</v>
      </c>
      <c r="D801">
        <v>4</v>
      </c>
      <c r="E801" s="16">
        <v>162.63999999999999</v>
      </c>
      <c r="F801" s="1">
        <v>44355</v>
      </c>
      <c r="G801" t="s">
        <v>2018</v>
      </c>
      <c r="H801">
        <v>4</v>
      </c>
      <c r="I801" s="12">
        <f>Table16[[#This Row],[price]]*Table16[[#This Row],[quantity]]</f>
        <v>650.55999999999995</v>
      </c>
    </row>
    <row r="802" spans="1:9" x14ac:dyDescent="0.3">
      <c r="A802" t="s">
        <v>2821</v>
      </c>
      <c r="B802" t="s">
        <v>155</v>
      </c>
      <c r="C802" t="s">
        <v>2001</v>
      </c>
      <c r="D802">
        <v>3</v>
      </c>
      <c r="E802" s="16">
        <v>900.24</v>
      </c>
      <c r="F802" s="1">
        <v>44404</v>
      </c>
      <c r="G802" t="s">
        <v>2027</v>
      </c>
      <c r="H802">
        <v>5</v>
      </c>
      <c r="I802" s="12">
        <f>Table16[[#This Row],[price]]*Table16[[#This Row],[quantity]]</f>
        <v>2700.7200000000003</v>
      </c>
    </row>
    <row r="803" spans="1:9" x14ac:dyDescent="0.3">
      <c r="A803" t="s">
        <v>2818</v>
      </c>
      <c r="B803" t="s">
        <v>155</v>
      </c>
      <c r="C803" t="s">
        <v>2011</v>
      </c>
      <c r="D803">
        <v>1</v>
      </c>
      <c r="E803" s="16">
        <v>40.659999999999997</v>
      </c>
      <c r="F803" s="1">
        <v>44657</v>
      </c>
      <c r="G803" t="s">
        <v>2009</v>
      </c>
      <c r="H803">
        <v>5</v>
      </c>
      <c r="I803" s="12">
        <f>Table16[[#This Row],[price]]*Table16[[#This Row],[quantity]]</f>
        <v>40.659999999999997</v>
      </c>
    </row>
    <row r="804" spans="1:9" x14ac:dyDescent="0.3">
      <c r="A804" t="s">
        <v>2819</v>
      </c>
      <c r="B804" t="s">
        <v>155</v>
      </c>
      <c r="C804" t="s">
        <v>2001</v>
      </c>
      <c r="D804">
        <v>5</v>
      </c>
      <c r="E804" s="16">
        <v>1500.4</v>
      </c>
      <c r="F804" s="1">
        <v>44826</v>
      </c>
      <c r="G804" t="s">
        <v>2064</v>
      </c>
      <c r="H804">
        <v>1</v>
      </c>
      <c r="I804" s="12">
        <f>Table16[[#This Row],[price]]*Table16[[#This Row],[quantity]]</f>
        <v>7502</v>
      </c>
    </row>
    <row r="805" spans="1:9" x14ac:dyDescent="0.3">
      <c r="A805" t="s">
        <v>2817</v>
      </c>
      <c r="B805" t="s">
        <v>155</v>
      </c>
      <c r="C805" t="s">
        <v>2024</v>
      </c>
      <c r="D805">
        <v>3</v>
      </c>
      <c r="E805" s="16">
        <v>107.52</v>
      </c>
      <c r="F805" s="1">
        <v>44864</v>
      </c>
      <c r="G805" t="s">
        <v>2004</v>
      </c>
      <c r="H805">
        <v>1</v>
      </c>
      <c r="I805" s="12">
        <f>Table16[[#This Row],[price]]*Table16[[#This Row],[quantity]]</f>
        <v>322.56</v>
      </c>
    </row>
    <row r="806" spans="1:9" x14ac:dyDescent="0.3">
      <c r="A806" t="s">
        <v>2820</v>
      </c>
      <c r="B806" t="s">
        <v>155</v>
      </c>
      <c r="C806" t="s">
        <v>2008</v>
      </c>
      <c r="D806">
        <v>1</v>
      </c>
      <c r="E806" s="16">
        <v>5.23</v>
      </c>
      <c r="F806" s="1">
        <v>44910</v>
      </c>
      <c r="G806" t="s">
        <v>2064</v>
      </c>
      <c r="H806">
        <v>1</v>
      </c>
      <c r="I806" s="12">
        <f>Table16[[#This Row],[price]]*Table16[[#This Row],[quantity]]</f>
        <v>5.23</v>
      </c>
    </row>
    <row r="807" spans="1:9" x14ac:dyDescent="0.3">
      <c r="A807" t="s">
        <v>2824</v>
      </c>
      <c r="B807" t="s">
        <v>156</v>
      </c>
      <c r="C807" t="s">
        <v>2015</v>
      </c>
      <c r="D807">
        <v>2</v>
      </c>
      <c r="E807" s="16">
        <v>1200.3399999999999</v>
      </c>
      <c r="F807" s="1">
        <v>44521</v>
      </c>
      <c r="G807" t="s">
        <v>2004</v>
      </c>
      <c r="H807">
        <v>2</v>
      </c>
      <c r="I807" s="12">
        <f>Table16[[#This Row],[price]]*Table16[[#This Row],[quantity]]</f>
        <v>2400.6799999999998</v>
      </c>
    </row>
    <row r="808" spans="1:9" x14ac:dyDescent="0.3">
      <c r="A808" t="s">
        <v>2826</v>
      </c>
      <c r="B808" t="s">
        <v>156</v>
      </c>
      <c r="C808" t="s">
        <v>2011</v>
      </c>
      <c r="D808">
        <v>3</v>
      </c>
      <c r="E808" s="16">
        <v>121.98</v>
      </c>
      <c r="F808" s="1">
        <v>44901</v>
      </c>
      <c r="G808" t="s">
        <v>2058</v>
      </c>
      <c r="H808">
        <v>1</v>
      </c>
      <c r="I808" s="12">
        <f>Table16[[#This Row],[price]]*Table16[[#This Row],[quantity]]</f>
        <v>365.94</v>
      </c>
    </row>
    <row r="809" spans="1:9" x14ac:dyDescent="0.3">
      <c r="A809" t="s">
        <v>2823</v>
      </c>
      <c r="B809" t="s">
        <v>156</v>
      </c>
      <c r="C809" t="s">
        <v>2001</v>
      </c>
      <c r="D809">
        <v>3</v>
      </c>
      <c r="E809" s="16">
        <v>900.24</v>
      </c>
      <c r="F809" s="1">
        <v>44914</v>
      </c>
      <c r="G809" t="s">
        <v>2027</v>
      </c>
      <c r="H809">
        <v>2</v>
      </c>
      <c r="I809" s="12">
        <f>Table16[[#This Row],[price]]*Table16[[#This Row],[quantity]]</f>
        <v>2700.7200000000003</v>
      </c>
    </row>
    <row r="810" spans="1:9" x14ac:dyDescent="0.3">
      <c r="A810" t="s">
        <v>2825</v>
      </c>
      <c r="B810" t="s">
        <v>156</v>
      </c>
      <c r="C810" t="s">
        <v>2015</v>
      </c>
      <c r="D810">
        <v>2</v>
      </c>
      <c r="E810" s="16">
        <v>1200.3399999999999</v>
      </c>
      <c r="F810" s="1">
        <v>44916</v>
      </c>
      <c r="G810" t="s">
        <v>2027</v>
      </c>
      <c r="H810">
        <v>5</v>
      </c>
      <c r="I810" s="12">
        <f>Table16[[#This Row],[price]]*Table16[[#This Row],[quantity]]</f>
        <v>2400.6799999999998</v>
      </c>
    </row>
    <row r="811" spans="1:9" x14ac:dyDescent="0.3">
      <c r="A811" t="s">
        <v>2828</v>
      </c>
      <c r="B811" t="s">
        <v>157</v>
      </c>
      <c r="C811" t="s">
        <v>2001</v>
      </c>
      <c r="D811">
        <v>2</v>
      </c>
      <c r="E811" s="16">
        <v>600.16</v>
      </c>
      <c r="F811" s="1">
        <v>44574</v>
      </c>
      <c r="G811" t="s">
        <v>2027</v>
      </c>
      <c r="H811">
        <v>4</v>
      </c>
      <c r="I811" s="12">
        <f>Table16[[#This Row],[price]]*Table16[[#This Row],[quantity]]</f>
        <v>1200.32</v>
      </c>
    </row>
    <row r="812" spans="1:9" x14ac:dyDescent="0.3">
      <c r="A812" t="s">
        <v>2832</v>
      </c>
      <c r="B812" t="s">
        <v>157</v>
      </c>
      <c r="C812" t="s">
        <v>2024</v>
      </c>
      <c r="D812">
        <v>1</v>
      </c>
      <c r="E812" s="16">
        <v>35.840000000000003</v>
      </c>
      <c r="F812" s="1">
        <v>44583</v>
      </c>
      <c r="G812" t="s">
        <v>2064</v>
      </c>
      <c r="H812">
        <v>4</v>
      </c>
      <c r="I812" s="12">
        <f>Table16[[#This Row],[price]]*Table16[[#This Row],[quantity]]</f>
        <v>35.840000000000003</v>
      </c>
    </row>
    <row r="813" spans="1:9" x14ac:dyDescent="0.3">
      <c r="A813" t="s">
        <v>2831</v>
      </c>
      <c r="B813" t="s">
        <v>157</v>
      </c>
      <c r="C813" t="s">
        <v>2015</v>
      </c>
      <c r="D813">
        <v>1</v>
      </c>
      <c r="E813" s="16">
        <v>600.16999999999996</v>
      </c>
      <c r="F813" s="1">
        <v>44597</v>
      </c>
      <c r="G813" t="s">
        <v>2027</v>
      </c>
      <c r="H813">
        <v>5</v>
      </c>
      <c r="I813" s="12">
        <f>Table16[[#This Row],[price]]*Table16[[#This Row],[quantity]]</f>
        <v>600.16999999999996</v>
      </c>
    </row>
    <row r="814" spans="1:9" x14ac:dyDescent="0.3">
      <c r="A814" t="s">
        <v>2830</v>
      </c>
      <c r="B814" t="s">
        <v>157</v>
      </c>
      <c r="C814" t="s">
        <v>2024</v>
      </c>
      <c r="D814">
        <v>1</v>
      </c>
      <c r="E814" s="16">
        <v>35.840000000000003</v>
      </c>
      <c r="F814" s="1">
        <v>44773</v>
      </c>
      <c r="G814" t="s">
        <v>2009</v>
      </c>
      <c r="H814">
        <v>5</v>
      </c>
      <c r="I814" s="12">
        <f>Table16[[#This Row],[price]]*Table16[[#This Row],[quantity]]</f>
        <v>35.840000000000003</v>
      </c>
    </row>
    <row r="815" spans="1:9" x14ac:dyDescent="0.3">
      <c r="A815" t="s">
        <v>2829</v>
      </c>
      <c r="B815" t="s">
        <v>157</v>
      </c>
      <c r="C815" t="s">
        <v>2057</v>
      </c>
      <c r="D815">
        <v>2</v>
      </c>
      <c r="E815" s="16">
        <v>23.46</v>
      </c>
      <c r="F815" s="1">
        <v>44811</v>
      </c>
      <c r="G815" t="s">
        <v>2020</v>
      </c>
      <c r="H815">
        <v>5</v>
      </c>
      <c r="I815" s="12">
        <f>Table16[[#This Row],[price]]*Table16[[#This Row],[quantity]]</f>
        <v>46.92</v>
      </c>
    </row>
    <row r="816" spans="1:9" x14ac:dyDescent="0.3">
      <c r="A816" t="s">
        <v>2827</v>
      </c>
      <c r="B816" t="s">
        <v>157</v>
      </c>
      <c r="C816" t="s">
        <v>2024</v>
      </c>
      <c r="D816">
        <v>3</v>
      </c>
      <c r="E816" s="16">
        <v>107.52</v>
      </c>
      <c r="F816" s="1">
        <v>44929</v>
      </c>
      <c r="G816" t="s">
        <v>2012</v>
      </c>
      <c r="H816">
        <v>3</v>
      </c>
      <c r="I816" s="12">
        <f>Table16[[#This Row],[price]]*Table16[[#This Row],[quantity]]</f>
        <v>322.56</v>
      </c>
    </row>
    <row r="817" spans="1:9" x14ac:dyDescent="0.3">
      <c r="A817" t="s">
        <v>2834</v>
      </c>
      <c r="B817" t="s">
        <v>158</v>
      </c>
      <c r="C817" t="s">
        <v>2006</v>
      </c>
      <c r="D817">
        <v>1</v>
      </c>
      <c r="E817" s="16">
        <v>15.15</v>
      </c>
      <c r="F817" s="1">
        <v>44225</v>
      </c>
      <c r="G817" t="s">
        <v>2002</v>
      </c>
      <c r="H817">
        <v>5</v>
      </c>
      <c r="I817" s="12">
        <f>Table16[[#This Row],[price]]*Table16[[#This Row],[quantity]]</f>
        <v>15.15</v>
      </c>
    </row>
    <row r="818" spans="1:9" x14ac:dyDescent="0.3">
      <c r="A818" t="s">
        <v>2835</v>
      </c>
      <c r="B818" t="s">
        <v>158</v>
      </c>
      <c r="C818" t="s">
        <v>2011</v>
      </c>
      <c r="D818">
        <v>5</v>
      </c>
      <c r="E818" s="16">
        <v>203.3</v>
      </c>
      <c r="F818" s="1">
        <v>44408</v>
      </c>
      <c r="G818" t="s">
        <v>2020</v>
      </c>
      <c r="H818">
        <v>1</v>
      </c>
      <c r="I818" s="12">
        <f>Table16[[#This Row],[price]]*Table16[[#This Row],[quantity]]</f>
        <v>1016.5</v>
      </c>
    </row>
    <row r="819" spans="1:9" x14ac:dyDescent="0.3">
      <c r="A819" t="s">
        <v>2833</v>
      </c>
      <c r="B819" t="s">
        <v>158</v>
      </c>
      <c r="C819" t="s">
        <v>2006</v>
      </c>
      <c r="D819">
        <v>3</v>
      </c>
      <c r="E819" s="16">
        <v>45.45</v>
      </c>
      <c r="F819" s="1">
        <v>44949</v>
      </c>
      <c r="G819" t="s">
        <v>2027</v>
      </c>
      <c r="H819">
        <v>1</v>
      </c>
      <c r="I819" s="12">
        <f>Table16[[#This Row],[price]]*Table16[[#This Row],[quantity]]</f>
        <v>136.35000000000002</v>
      </c>
    </row>
    <row r="820" spans="1:9" x14ac:dyDescent="0.3">
      <c r="A820" t="s">
        <v>2838</v>
      </c>
      <c r="B820" t="s">
        <v>159</v>
      </c>
      <c r="C820" t="s">
        <v>2024</v>
      </c>
      <c r="D820">
        <v>5</v>
      </c>
      <c r="E820" s="16">
        <v>179.2</v>
      </c>
      <c r="F820" s="1">
        <v>44288</v>
      </c>
      <c r="G820" t="s">
        <v>2058</v>
      </c>
      <c r="H820">
        <v>5</v>
      </c>
      <c r="I820" s="12">
        <f>Table16[[#This Row],[price]]*Table16[[#This Row],[quantity]]</f>
        <v>896</v>
      </c>
    </row>
    <row r="821" spans="1:9" x14ac:dyDescent="0.3">
      <c r="A821" t="s">
        <v>2839</v>
      </c>
      <c r="B821" t="s">
        <v>159</v>
      </c>
      <c r="C821" t="s">
        <v>2001</v>
      </c>
      <c r="D821">
        <v>2</v>
      </c>
      <c r="E821" s="16">
        <v>600.16</v>
      </c>
      <c r="F821" s="1">
        <v>44594</v>
      </c>
      <c r="G821" t="s">
        <v>2027</v>
      </c>
      <c r="H821">
        <v>3</v>
      </c>
      <c r="I821" s="12">
        <f>Table16[[#This Row],[price]]*Table16[[#This Row],[quantity]]</f>
        <v>1200.32</v>
      </c>
    </row>
    <row r="822" spans="1:9" x14ac:dyDescent="0.3">
      <c r="A822" t="s">
        <v>2837</v>
      </c>
      <c r="B822" t="s">
        <v>159</v>
      </c>
      <c r="C822" t="s">
        <v>2057</v>
      </c>
      <c r="D822">
        <v>2</v>
      </c>
      <c r="E822" s="16">
        <v>23.46</v>
      </c>
      <c r="F822" s="1">
        <v>44716</v>
      </c>
      <c r="G822" t="s">
        <v>2020</v>
      </c>
      <c r="H822">
        <v>2</v>
      </c>
      <c r="I822" s="12">
        <f>Table16[[#This Row],[price]]*Table16[[#This Row],[quantity]]</f>
        <v>46.92</v>
      </c>
    </row>
    <row r="823" spans="1:9" x14ac:dyDescent="0.3">
      <c r="A823" t="s">
        <v>2836</v>
      </c>
      <c r="B823" t="s">
        <v>159</v>
      </c>
      <c r="C823" t="s">
        <v>2024</v>
      </c>
      <c r="D823">
        <v>1</v>
      </c>
      <c r="E823" s="16">
        <v>35.840000000000003</v>
      </c>
      <c r="F823" s="1">
        <v>44925</v>
      </c>
      <c r="G823" t="s">
        <v>2041</v>
      </c>
      <c r="H823">
        <v>5</v>
      </c>
      <c r="I823" s="12">
        <f>Table16[[#This Row],[price]]*Table16[[#This Row],[quantity]]</f>
        <v>35.840000000000003</v>
      </c>
    </row>
    <row r="824" spans="1:9" x14ac:dyDescent="0.3">
      <c r="A824" t="s">
        <v>2840</v>
      </c>
      <c r="B824" t="s">
        <v>160</v>
      </c>
      <c r="C824" t="s">
        <v>2001</v>
      </c>
      <c r="D824">
        <v>1</v>
      </c>
      <c r="E824" s="16">
        <v>300.08</v>
      </c>
      <c r="F824" s="1">
        <v>44212</v>
      </c>
      <c r="G824" t="s">
        <v>2004</v>
      </c>
      <c r="H824">
        <v>5</v>
      </c>
      <c r="I824" s="12">
        <f>Table16[[#This Row],[price]]*Table16[[#This Row],[quantity]]</f>
        <v>300.08</v>
      </c>
    </row>
    <row r="825" spans="1:9" x14ac:dyDescent="0.3">
      <c r="A825" t="s">
        <v>2842</v>
      </c>
      <c r="B825" t="s">
        <v>160</v>
      </c>
      <c r="C825" t="s">
        <v>2001</v>
      </c>
      <c r="D825">
        <v>1</v>
      </c>
      <c r="E825" s="16">
        <v>300.08</v>
      </c>
      <c r="F825" s="1">
        <v>44247</v>
      </c>
      <c r="G825" t="s">
        <v>2027</v>
      </c>
      <c r="H825">
        <v>3</v>
      </c>
      <c r="I825" s="12">
        <f>Table16[[#This Row],[price]]*Table16[[#This Row],[quantity]]</f>
        <v>300.08</v>
      </c>
    </row>
    <row r="826" spans="1:9" x14ac:dyDescent="0.3">
      <c r="A826" t="s">
        <v>2844</v>
      </c>
      <c r="B826" t="s">
        <v>160</v>
      </c>
      <c r="C826" t="s">
        <v>2001</v>
      </c>
      <c r="D826">
        <v>4</v>
      </c>
      <c r="E826" s="16">
        <v>1200.32</v>
      </c>
      <c r="F826" s="1">
        <v>44430</v>
      </c>
      <c r="G826" t="s">
        <v>2027</v>
      </c>
      <c r="H826">
        <v>3</v>
      </c>
      <c r="I826" s="12">
        <f>Table16[[#This Row],[price]]*Table16[[#This Row],[quantity]]</f>
        <v>4801.28</v>
      </c>
    </row>
    <row r="827" spans="1:9" x14ac:dyDescent="0.3">
      <c r="A827" t="s">
        <v>2845</v>
      </c>
      <c r="B827" t="s">
        <v>160</v>
      </c>
      <c r="C827" t="s">
        <v>2001</v>
      </c>
      <c r="D827">
        <v>3</v>
      </c>
      <c r="E827" s="16">
        <v>900.24</v>
      </c>
      <c r="F827" s="1">
        <v>44521</v>
      </c>
      <c r="G827" t="s">
        <v>2027</v>
      </c>
      <c r="H827">
        <v>2</v>
      </c>
      <c r="I827" s="12">
        <f>Table16[[#This Row],[price]]*Table16[[#This Row],[quantity]]</f>
        <v>2700.7200000000003</v>
      </c>
    </row>
    <row r="828" spans="1:9" x14ac:dyDescent="0.3">
      <c r="A828" t="s">
        <v>2843</v>
      </c>
      <c r="B828" t="s">
        <v>160</v>
      </c>
      <c r="C828" t="s">
        <v>2011</v>
      </c>
      <c r="D828">
        <v>4</v>
      </c>
      <c r="E828" s="16">
        <v>162.63999999999999</v>
      </c>
      <c r="F828" s="1">
        <v>44814</v>
      </c>
      <c r="G828" t="s">
        <v>2064</v>
      </c>
      <c r="H828">
        <v>2</v>
      </c>
      <c r="I828" s="12">
        <f>Table16[[#This Row],[price]]*Table16[[#This Row],[quantity]]</f>
        <v>650.55999999999995</v>
      </c>
    </row>
    <row r="829" spans="1:9" x14ac:dyDescent="0.3">
      <c r="A829" t="s">
        <v>2841</v>
      </c>
      <c r="B829" t="s">
        <v>160</v>
      </c>
      <c r="C829" t="s">
        <v>2011</v>
      </c>
      <c r="D829">
        <v>4</v>
      </c>
      <c r="E829" s="16">
        <v>162.63999999999999</v>
      </c>
      <c r="F829" s="1">
        <v>44929</v>
      </c>
      <c r="G829" t="s">
        <v>2002</v>
      </c>
      <c r="H829">
        <v>3</v>
      </c>
      <c r="I829" s="12">
        <f>Table16[[#This Row],[price]]*Table16[[#This Row],[quantity]]</f>
        <v>650.55999999999995</v>
      </c>
    </row>
    <row r="830" spans="1:9" x14ac:dyDescent="0.3">
      <c r="A830" t="s">
        <v>2848</v>
      </c>
      <c r="B830" t="s">
        <v>161</v>
      </c>
      <c r="C830" t="s">
        <v>2008</v>
      </c>
      <c r="D830">
        <v>1</v>
      </c>
      <c r="E830" s="16">
        <v>5.23</v>
      </c>
      <c r="F830" s="1">
        <v>44317</v>
      </c>
      <c r="G830" t="s">
        <v>2009</v>
      </c>
      <c r="H830">
        <v>5</v>
      </c>
      <c r="I830" s="12">
        <f>Table16[[#This Row],[price]]*Table16[[#This Row],[quantity]]</f>
        <v>5.23</v>
      </c>
    </row>
    <row r="831" spans="1:9" x14ac:dyDescent="0.3">
      <c r="A831" t="s">
        <v>2846</v>
      </c>
      <c r="B831" t="s">
        <v>161</v>
      </c>
      <c r="C831" t="s">
        <v>2008</v>
      </c>
      <c r="D831">
        <v>4</v>
      </c>
      <c r="E831" s="16">
        <v>20.92</v>
      </c>
      <c r="F831" s="1">
        <v>44559</v>
      </c>
      <c r="G831" t="s">
        <v>2004</v>
      </c>
      <c r="H831">
        <v>4</v>
      </c>
      <c r="I831" s="12">
        <f>Table16[[#This Row],[price]]*Table16[[#This Row],[quantity]]</f>
        <v>83.68</v>
      </c>
    </row>
    <row r="832" spans="1:9" x14ac:dyDescent="0.3">
      <c r="A832" t="s">
        <v>2847</v>
      </c>
      <c r="B832" t="s">
        <v>161</v>
      </c>
      <c r="C832" t="s">
        <v>2011</v>
      </c>
      <c r="D832">
        <v>4</v>
      </c>
      <c r="E832" s="16">
        <v>162.63999999999999</v>
      </c>
      <c r="F832" s="1">
        <v>44666</v>
      </c>
      <c r="G832" t="s">
        <v>2020</v>
      </c>
      <c r="H832">
        <v>1</v>
      </c>
      <c r="I832" s="12">
        <f>Table16[[#This Row],[price]]*Table16[[#This Row],[quantity]]</f>
        <v>650.55999999999995</v>
      </c>
    </row>
    <row r="833" spans="1:9" x14ac:dyDescent="0.3">
      <c r="A833" t="s">
        <v>2850</v>
      </c>
      <c r="B833" t="s">
        <v>161</v>
      </c>
      <c r="C833" t="s">
        <v>2008</v>
      </c>
      <c r="D833">
        <v>5</v>
      </c>
      <c r="E833" s="16">
        <v>26.15</v>
      </c>
      <c r="F833" s="1">
        <v>44693</v>
      </c>
      <c r="G833" t="s">
        <v>2020</v>
      </c>
      <c r="H833">
        <v>4</v>
      </c>
      <c r="I833" s="12">
        <f>Table16[[#This Row],[price]]*Table16[[#This Row],[quantity]]</f>
        <v>130.75</v>
      </c>
    </row>
    <row r="834" spans="1:9" x14ac:dyDescent="0.3">
      <c r="A834" t="s">
        <v>2849</v>
      </c>
      <c r="B834" t="s">
        <v>161</v>
      </c>
      <c r="C834" t="s">
        <v>2001</v>
      </c>
      <c r="D834">
        <v>3</v>
      </c>
      <c r="E834" s="16">
        <v>900.24</v>
      </c>
      <c r="F834" s="1">
        <v>44745</v>
      </c>
      <c r="G834" t="s">
        <v>2027</v>
      </c>
      <c r="H834">
        <v>4</v>
      </c>
      <c r="I834" s="12">
        <f>Table16[[#This Row],[price]]*Table16[[#This Row],[quantity]]</f>
        <v>2700.7200000000003</v>
      </c>
    </row>
    <row r="835" spans="1:9" x14ac:dyDescent="0.3">
      <c r="A835" t="s">
        <v>2852</v>
      </c>
      <c r="B835" t="s">
        <v>162</v>
      </c>
      <c r="C835" t="s">
        <v>2024</v>
      </c>
      <c r="D835">
        <v>5</v>
      </c>
      <c r="E835" s="16">
        <v>179.2</v>
      </c>
      <c r="F835" s="1">
        <v>44237</v>
      </c>
      <c r="G835" t="s">
        <v>2009</v>
      </c>
      <c r="H835">
        <v>3</v>
      </c>
      <c r="I835" s="12">
        <f>Table16[[#This Row],[price]]*Table16[[#This Row],[quantity]]</f>
        <v>896</v>
      </c>
    </row>
    <row r="836" spans="1:9" x14ac:dyDescent="0.3">
      <c r="A836" t="s">
        <v>2856</v>
      </c>
      <c r="B836" t="s">
        <v>162</v>
      </c>
      <c r="C836" t="s">
        <v>2001</v>
      </c>
      <c r="D836">
        <v>1</v>
      </c>
      <c r="E836" s="16">
        <v>300.08</v>
      </c>
      <c r="F836" s="1">
        <v>44504</v>
      </c>
      <c r="G836" t="s">
        <v>2064</v>
      </c>
      <c r="H836">
        <v>4</v>
      </c>
      <c r="I836" s="12">
        <f>Table16[[#This Row],[price]]*Table16[[#This Row],[quantity]]</f>
        <v>300.08</v>
      </c>
    </row>
    <row r="837" spans="1:9" x14ac:dyDescent="0.3">
      <c r="A837" t="s">
        <v>2853</v>
      </c>
      <c r="B837" t="s">
        <v>162</v>
      </c>
      <c r="C837" t="s">
        <v>2011</v>
      </c>
      <c r="D837">
        <v>3</v>
      </c>
      <c r="E837" s="16">
        <v>121.98</v>
      </c>
      <c r="F837" s="1">
        <v>44805</v>
      </c>
      <c r="G837" t="s">
        <v>2020</v>
      </c>
      <c r="H837">
        <v>1</v>
      </c>
      <c r="I837" s="12">
        <f>Table16[[#This Row],[price]]*Table16[[#This Row],[quantity]]</f>
        <v>365.94</v>
      </c>
    </row>
    <row r="838" spans="1:9" x14ac:dyDescent="0.3">
      <c r="A838" t="s">
        <v>2851</v>
      </c>
      <c r="B838" t="s">
        <v>162</v>
      </c>
      <c r="C838" t="s">
        <v>2017</v>
      </c>
      <c r="D838">
        <v>1</v>
      </c>
      <c r="E838" s="16">
        <v>1050</v>
      </c>
      <c r="F838" s="1">
        <v>44873</v>
      </c>
      <c r="G838" t="s">
        <v>2027</v>
      </c>
      <c r="H838">
        <v>3</v>
      </c>
      <c r="I838" s="12">
        <f>Table16[[#This Row],[price]]*Table16[[#This Row],[quantity]]</f>
        <v>1050</v>
      </c>
    </row>
    <row r="839" spans="1:9" x14ac:dyDescent="0.3">
      <c r="A839" t="s">
        <v>2854</v>
      </c>
      <c r="B839" t="s">
        <v>162</v>
      </c>
      <c r="C839" t="s">
        <v>2001</v>
      </c>
      <c r="D839">
        <v>2</v>
      </c>
      <c r="E839" s="16">
        <v>600.16</v>
      </c>
      <c r="F839" s="1">
        <v>44877</v>
      </c>
      <c r="G839" t="s">
        <v>2004</v>
      </c>
      <c r="H839">
        <v>5</v>
      </c>
      <c r="I839" s="12">
        <f>Table16[[#This Row],[price]]*Table16[[#This Row],[quantity]]</f>
        <v>1200.32</v>
      </c>
    </row>
    <row r="840" spans="1:9" x14ac:dyDescent="0.3">
      <c r="A840" t="s">
        <v>2855</v>
      </c>
      <c r="B840" t="s">
        <v>162</v>
      </c>
      <c r="C840" t="s">
        <v>2008</v>
      </c>
      <c r="D840">
        <v>5</v>
      </c>
      <c r="E840" s="16">
        <v>26.15</v>
      </c>
      <c r="F840" s="1">
        <v>44931</v>
      </c>
      <c r="G840" t="s">
        <v>2027</v>
      </c>
      <c r="H840">
        <v>5</v>
      </c>
      <c r="I840" s="12">
        <f>Table16[[#This Row],[price]]*Table16[[#This Row],[quantity]]</f>
        <v>130.75</v>
      </c>
    </row>
    <row r="841" spans="1:9" x14ac:dyDescent="0.3">
      <c r="A841" t="s">
        <v>2861</v>
      </c>
      <c r="B841" t="s">
        <v>163</v>
      </c>
      <c r="C841" t="s">
        <v>2008</v>
      </c>
      <c r="D841">
        <v>1</v>
      </c>
      <c r="E841" s="16">
        <v>5.23</v>
      </c>
      <c r="F841" s="1">
        <v>44258</v>
      </c>
      <c r="G841" t="s">
        <v>2018</v>
      </c>
      <c r="H841">
        <v>5</v>
      </c>
      <c r="I841" s="12">
        <f>Table16[[#This Row],[price]]*Table16[[#This Row],[quantity]]</f>
        <v>5.23</v>
      </c>
    </row>
    <row r="842" spans="1:9" x14ac:dyDescent="0.3">
      <c r="A842" t="s">
        <v>2864</v>
      </c>
      <c r="B842" t="s">
        <v>163</v>
      </c>
      <c r="C842" t="s">
        <v>2011</v>
      </c>
      <c r="D842">
        <v>3</v>
      </c>
      <c r="E842" s="16">
        <v>121.98</v>
      </c>
      <c r="F842" s="1">
        <v>44266</v>
      </c>
      <c r="G842" t="s">
        <v>2009</v>
      </c>
      <c r="H842">
        <v>5</v>
      </c>
      <c r="I842" s="12">
        <f>Table16[[#This Row],[price]]*Table16[[#This Row],[quantity]]</f>
        <v>365.94</v>
      </c>
    </row>
    <row r="843" spans="1:9" x14ac:dyDescent="0.3">
      <c r="A843" t="s">
        <v>2858</v>
      </c>
      <c r="B843" t="s">
        <v>163</v>
      </c>
      <c r="C843" t="s">
        <v>2001</v>
      </c>
      <c r="D843">
        <v>1</v>
      </c>
      <c r="E843" s="16">
        <v>300.08</v>
      </c>
      <c r="F843" s="1">
        <v>44271</v>
      </c>
      <c r="G843" t="s">
        <v>2009</v>
      </c>
      <c r="H843">
        <v>2</v>
      </c>
      <c r="I843" s="12">
        <f>Table16[[#This Row],[price]]*Table16[[#This Row],[quantity]]</f>
        <v>300.08</v>
      </c>
    </row>
    <row r="844" spans="1:9" x14ac:dyDescent="0.3">
      <c r="A844" t="s">
        <v>2863</v>
      </c>
      <c r="B844" t="s">
        <v>163</v>
      </c>
      <c r="C844" t="s">
        <v>2001</v>
      </c>
      <c r="D844">
        <v>5</v>
      </c>
      <c r="E844" s="16">
        <v>1500.4</v>
      </c>
      <c r="F844" s="1">
        <v>44535</v>
      </c>
      <c r="G844" t="s">
        <v>2027</v>
      </c>
      <c r="H844">
        <v>5</v>
      </c>
      <c r="I844" s="12">
        <f>Table16[[#This Row],[price]]*Table16[[#This Row],[quantity]]</f>
        <v>7502</v>
      </c>
    </row>
    <row r="845" spans="1:9" x14ac:dyDescent="0.3">
      <c r="A845" t="s">
        <v>2860</v>
      </c>
      <c r="B845" t="s">
        <v>163</v>
      </c>
      <c r="C845" t="s">
        <v>2011</v>
      </c>
      <c r="D845">
        <v>2</v>
      </c>
      <c r="E845" s="16">
        <v>81.319999999999993</v>
      </c>
      <c r="F845" s="1">
        <v>44537</v>
      </c>
      <c r="G845" t="s">
        <v>2002</v>
      </c>
      <c r="H845">
        <v>5</v>
      </c>
      <c r="I845" s="12">
        <f>Table16[[#This Row],[price]]*Table16[[#This Row],[quantity]]</f>
        <v>162.63999999999999</v>
      </c>
    </row>
    <row r="846" spans="1:9" x14ac:dyDescent="0.3">
      <c r="A846" t="s">
        <v>2859</v>
      </c>
      <c r="B846" t="s">
        <v>163</v>
      </c>
      <c r="C846" t="s">
        <v>2011</v>
      </c>
      <c r="D846">
        <v>1</v>
      </c>
      <c r="E846" s="16">
        <v>40.659999999999997</v>
      </c>
      <c r="F846" s="1">
        <v>44579</v>
      </c>
      <c r="G846" t="s">
        <v>2002</v>
      </c>
      <c r="H846">
        <v>5</v>
      </c>
      <c r="I846" s="12">
        <f>Table16[[#This Row],[price]]*Table16[[#This Row],[quantity]]</f>
        <v>40.659999999999997</v>
      </c>
    </row>
    <row r="847" spans="1:9" x14ac:dyDescent="0.3">
      <c r="A847" t="s">
        <v>2862</v>
      </c>
      <c r="B847" t="s">
        <v>163</v>
      </c>
      <c r="C847" t="s">
        <v>2011</v>
      </c>
      <c r="D847">
        <v>3</v>
      </c>
      <c r="E847" s="16">
        <v>121.98</v>
      </c>
      <c r="F847" s="1">
        <v>44729</v>
      </c>
      <c r="G847" t="s">
        <v>2027</v>
      </c>
      <c r="H847">
        <v>2</v>
      </c>
      <c r="I847" s="12">
        <f>Table16[[#This Row],[price]]*Table16[[#This Row],[quantity]]</f>
        <v>365.94</v>
      </c>
    </row>
    <row r="848" spans="1:9" x14ac:dyDescent="0.3">
      <c r="A848" t="s">
        <v>2865</v>
      </c>
      <c r="B848" t="s">
        <v>163</v>
      </c>
      <c r="C848" t="s">
        <v>2024</v>
      </c>
      <c r="D848">
        <v>4</v>
      </c>
      <c r="E848" s="16">
        <v>143.36000000000001</v>
      </c>
      <c r="F848" s="1">
        <v>44849</v>
      </c>
      <c r="G848" t="s">
        <v>2058</v>
      </c>
      <c r="H848">
        <v>1</v>
      </c>
      <c r="I848" s="12">
        <f>Table16[[#This Row],[price]]*Table16[[#This Row],[quantity]]</f>
        <v>573.44000000000005</v>
      </c>
    </row>
    <row r="849" spans="1:9" x14ac:dyDescent="0.3">
      <c r="A849" t="s">
        <v>2857</v>
      </c>
      <c r="B849" t="s">
        <v>163</v>
      </c>
      <c r="C849" t="s">
        <v>2001</v>
      </c>
      <c r="D849">
        <v>5</v>
      </c>
      <c r="E849" s="16">
        <v>1500.4</v>
      </c>
      <c r="F849" s="1">
        <v>44973</v>
      </c>
      <c r="G849" t="s">
        <v>2004</v>
      </c>
      <c r="H849">
        <v>5</v>
      </c>
      <c r="I849" s="12">
        <f>Table16[[#This Row],[price]]*Table16[[#This Row],[quantity]]</f>
        <v>7502</v>
      </c>
    </row>
    <row r="850" spans="1:9" x14ac:dyDescent="0.3">
      <c r="A850" t="s">
        <v>2866</v>
      </c>
      <c r="B850" t="s">
        <v>164</v>
      </c>
      <c r="C850" t="s">
        <v>2006</v>
      </c>
      <c r="D850">
        <v>1</v>
      </c>
      <c r="E850" s="16">
        <v>15.15</v>
      </c>
      <c r="F850" s="1">
        <v>44430</v>
      </c>
      <c r="G850" t="s">
        <v>2009</v>
      </c>
      <c r="H850">
        <v>2</v>
      </c>
      <c r="I850" s="12">
        <f>Table16[[#This Row],[price]]*Table16[[#This Row],[quantity]]</f>
        <v>15.15</v>
      </c>
    </row>
    <row r="851" spans="1:9" x14ac:dyDescent="0.3">
      <c r="A851" t="s">
        <v>2867</v>
      </c>
      <c r="B851" t="s">
        <v>164</v>
      </c>
      <c r="C851" t="s">
        <v>2008</v>
      </c>
      <c r="D851">
        <v>4</v>
      </c>
      <c r="E851" s="16">
        <v>20.92</v>
      </c>
      <c r="F851" s="1">
        <v>44645</v>
      </c>
      <c r="G851" t="s">
        <v>2058</v>
      </c>
      <c r="H851">
        <v>5</v>
      </c>
      <c r="I851" s="12">
        <f>Table16[[#This Row],[price]]*Table16[[#This Row],[quantity]]</f>
        <v>83.68</v>
      </c>
    </row>
    <row r="852" spans="1:9" x14ac:dyDescent="0.3">
      <c r="A852" t="s">
        <v>2868</v>
      </c>
      <c r="B852" t="s">
        <v>164</v>
      </c>
      <c r="C852" t="s">
        <v>2001</v>
      </c>
      <c r="D852">
        <v>3</v>
      </c>
      <c r="E852" s="16">
        <v>900.24</v>
      </c>
      <c r="F852" s="1">
        <v>44713</v>
      </c>
      <c r="G852" t="s">
        <v>2058</v>
      </c>
      <c r="H852">
        <v>2</v>
      </c>
      <c r="I852" s="12">
        <f>Table16[[#This Row],[price]]*Table16[[#This Row],[quantity]]</f>
        <v>2700.7200000000003</v>
      </c>
    </row>
    <row r="853" spans="1:9" x14ac:dyDescent="0.3">
      <c r="A853" t="s">
        <v>2869</v>
      </c>
      <c r="B853" t="s">
        <v>164</v>
      </c>
      <c r="C853" t="s">
        <v>2008</v>
      </c>
      <c r="D853">
        <v>4</v>
      </c>
      <c r="E853" s="16">
        <v>20.92</v>
      </c>
      <c r="F853" s="1">
        <v>44963</v>
      </c>
      <c r="G853" t="s">
        <v>2058</v>
      </c>
      <c r="H853">
        <v>1</v>
      </c>
      <c r="I853" s="12">
        <f>Table16[[#This Row],[price]]*Table16[[#This Row],[quantity]]</f>
        <v>83.68</v>
      </c>
    </row>
    <row r="854" spans="1:9" x14ac:dyDescent="0.3">
      <c r="A854" t="s">
        <v>2870</v>
      </c>
      <c r="B854" t="s">
        <v>165</v>
      </c>
      <c r="C854" t="s">
        <v>2024</v>
      </c>
      <c r="D854">
        <v>1</v>
      </c>
      <c r="E854" s="16">
        <v>35.840000000000003</v>
      </c>
      <c r="F854" s="1">
        <v>44201</v>
      </c>
      <c r="G854" t="s">
        <v>2004</v>
      </c>
      <c r="H854">
        <v>5</v>
      </c>
      <c r="I854" s="12">
        <f>Table16[[#This Row],[price]]*Table16[[#This Row],[quantity]]</f>
        <v>35.840000000000003</v>
      </c>
    </row>
    <row r="855" spans="1:9" x14ac:dyDescent="0.3">
      <c r="A855" t="s">
        <v>2873</v>
      </c>
      <c r="B855" t="s">
        <v>165</v>
      </c>
      <c r="C855" t="s">
        <v>2008</v>
      </c>
      <c r="D855">
        <v>2</v>
      </c>
      <c r="E855" s="16">
        <v>10.46</v>
      </c>
      <c r="F855" s="1">
        <v>44310</v>
      </c>
      <c r="G855" t="s">
        <v>2064</v>
      </c>
      <c r="H855">
        <v>1</v>
      </c>
      <c r="I855" s="12">
        <f>Table16[[#This Row],[price]]*Table16[[#This Row],[quantity]]</f>
        <v>20.92</v>
      </c>
    </row>
    <row r="856" spans="1:9" x14ac:dyDescent="0.3">
      <c r="A856" t="s">
        <v>2871</v>
      </c>
      <c r="B856" t="s">
        <v>165</v>
      </c>
      <c r="C856" t="s">
        <v>2024</v>
      </c>
      <c r="D856">
        <v>1</v>
      </c>
      <c r="E856" s="16">
        <v>35.840000000000003</v>
      </c>
      <c r="F856" s="1">
        <v>44354</v>
      </c>
      <c r="G856" t="s">
        <v>2002</v>
      </c>
      <c r="H856">
        <v>1</v>
      </c>
      <c r="I856" s="12">
        <f>Table16[[#This Row],[price]]*Table16[[#This Row],[quantity]]</f>
        <v>35.840000000000003</v>
      </c>
    </row>
    <row r="857" spans="1:9" x14ac:dyDescent="0.3">
      <c r="A857" t="s">
        <v>2872</v>
      </c>
      <c r="B857" t="s">
        <v>165</v>
      </c>
      <c r="C857" t="s">
        <v>2001</v>
      </c>
      <c r="D857">
        <v>3</v>
      </c>
      <c r="E857" s="16">
        <v>900.24</v>
      </c>
      <c r="F857" s="1">
        <v>44488</v>
      </c>
      <c r="G857" t="s">
        <v>2004</v>
      </c>
      <c r="H857">
        <v>5</v>
      </c>
      <c r="I857" s="12">
        <f>Table16[[#This Row],[price]]*Table16[[#This Row],[quantity]]</f>
        <v>2700.7200000000003</v>
      </c>
    </row>
    <row r="858" spans="1:9" x14ac:dyDescent="0.3">
      <c r="A858" t="s">
        <v>2874</v>
      </c>
      <c r="B858" t="s">
        <v>165</v>
      </c>
      <c r="C858" t="s">
        <v>2011</v>
      </c>
      <c r="D858">
        <v>4</v>
      </c>
      <c r="E858" s="16">
        <v>162.63999999999999</v>
      </c>
      <c r="F858" s="1">
        <v>44985</v>
      </c>
      <c r="G858" t="s">
        <v>2018</v>
      </c>
      <c r="H858">
        <v>5</v>
      </c>
      <c r="I858" s="12">
        <f>Table16[[#This Row],[price]]*Table16[[#This Row],[quantity]]</f>
        <v>650.55999999999995</v>
      </c>
    </row>
    <row r="859" spans="1:9" x14ac:dyDescent="0.3">
      <c r="A859" t="s">
        <v>2880</v>
      </c>
      <c r="B859" t="s">
        <v>166</v>
      </c>
      <c r="C859" t="s">
        <v>2017</v>
      </c>
      <c r="D859">
        <v>2</v>
      </c>
      <c r="E859" s="16">
        <v>2100</v>
      </c>
      <c r="F859" s="1">
        <v>44224</v>
      </c>
      <c r="G859" t="s">
        <v>2064</v>
      </c>
      <c r="H859">
        <v>4</v>
      </c>
      <c r="I859" s="12">
        <f>Table16[[#This Row],[price]]*Table16[[#This Row],[quantity]]</f>
        <v>4200</v>
      </c>
    </row>
    <row r="860" spans="1:9" x14ac:dyDescent="0.3">
      <c r="A860" t="s">
        <v>2879</v>
      </c>
      <c r="B860" t="s">
        <v>166</v>
      </c>
      <c r="C860" t="s">
        <v>2001</v>
      </c>
      <c r="D860">
        <v>1</v>
      </c>
      <c r="E860" s="16">
        <v>300.08</v>
      </c>
      <c r="F860" s="1">
        <v>44381</v>
      </c>
      <c r="G860" t="s">
        <v>2058</v>
      </c>
      <c r="H860">
        <v>4</v>
      </c>
      <c r="I860" s="12">
        <f>Table16[[#This Row],[price]]*Table16[[#This Row],[quantity]]</f>
        <v>300.08</v>
      </c>
    </row>
    <row r="861" spans="1:9" x14ac:dyDescent="0.3">
      <c r="A861" t="s">
        <v>2882</v>
      </c>
      <c r="B861" t="s">
        <v>166</v>
      </c>
      <c r="C861" t="s">
        <v>2024</v>
      </c>
      <c r="D861">
        <v>1</v>
      </c>
      <c r="E861" s="16">
        <v>35.840000000000003</v>
      </c>
      <c r="F861" s="1">
        <v>44429</v>
      </c>
      <c r="G861" t="s">
        <v>2002</v>
      </c>
      <c r="H861">
        <v>5</v>
      </c>
      <c r="I861" s="12">
        <f>Table16[[#This Row],[price]]*Table16[[#This Row],[quantity]]</f>
        <v>35.840000000000003</v>
      </c>
    </row>
    <row r="862" spans="1:9" x14ac:dyDescent="0.3">
      <c r="A862" t="s">
        <v>2881</v>
      </c>
      <c r="B862" t="s">
        <v>166</v>
      </c>
      <c r="C862" t="s">
        <v>2011</v>
      </c>
      <c r="D862">
        <v>3</v>
      </c>
      <c r="E862" s="16">
        <v>121.98</v>
      </c>
      <c r="F862" s="1">
        <v>44599</v>
      </c>
      <c r="G862" t="s">
        <v>2012</v>
      </c>
      <c r="H862">
        <v>3</v>
      </c>
      <c r="I862" s="12">
        <f>Table16[[#This Row],[price]]*Table16[[#This Row],[quantity]]</f>
        <v>365.94</v>
      </c>
    </row>
    <row r="863" spans="1:9" x14ac:dyDescent="0.3">
      <c r="A863" t="s">
        <v>2876</v>
      </c>
      <c r="B863" t="s">
        <v>166</v>
      </c>
      <c r="C863" t="s">
        <v>2008</v>
      </c>
      <c r="D863">
        <v>4</v>
      </c>
      <c r="E863" s="16">
        <v>20.92</v>
      </c>
      <c r="F863" s="1">
        <v>44732</v>
      </c>
      <c r="G863" t="s">
        <v>2064</v>
      </c>
      <c r="H863">
        <v>4</v>
      </c>
      <c r="I863" s="12">
        <f>Table16[[#This Row],[price]]*Table16[[#This Row],[quantity]]</f>
        <v>83.68</v>
      </c>
    </row>
    <row r="864" spans="1:9" x14ac:dyDescent="0.3">
      <c r="A864" t="s">
        <v>2878</v>
      </c>
      <c r="B864" t="s">
        <v>166</v>
      </c>
      <c r="C864" t="s">
        <v>2024</v>
      </c>
      <c r="D864">
        <v>3</v>
      </c>
      <c r="E864" s="16">
        <v>107.52</v>
      </c>
      <c r="F864" s="1">
        <v>44743</v>
      </c>
      <c r="G864" t="s">
        <v>2020</v>
      </c>
      <c r="H864">
        <v>2</v>
      </c>
      <c r="I864" s="12">
        <f>Table16[[#This Row],[price]]*Table16[[#This Row],[quantity]]</f>
        <v>322.56</v>
      </c>
    </row>
    <row r="865" spans="1:9" x14ac:dyDescent="0.3">
      <c r="A865" t="s">
        <v>2875</v>
      </c>
      <c r="B865" t="s">
        <v>166</v>
      </c>
      <c r="C865" t="s">
        <v>2024</v>
      </c>
      <c r="D865">
        <v>4</v>
      </c>
      <c r="E865" s="16">
        <v>143.36000000000001</v>
      </c>
      <c r="F865" s="1">
        <v>44802</v>
      </c>
      <c r="G865" t="s">
        <v>2004</v>
      </c>
      <c r="H865">
        <v>1</v>
      </c>
      <c r="I865" s="12">
        <f>Table16[[#This Row],[price]]*Table16[[#This Row],[quantity]]</f>
        <v>573.44000000000005</v>
      </c>
    </row>
    <row r="866" spans="1:9" x14ac:dyDescent="0.3">
      <c r="A866" t="s">
        <v>2877</v>
      </c>
      <c r="B866" t="s">
        <v>166</v>
      </c>
      <c r="C866" t="s">
        <v>2001</v>
      </c>
      <c r="D866">
        <v>4</v>
      </c>
      <c r="E866" s="16">
        <v>1200.32</v>
      </c>
      <c r="F866" s="1">
        <v>44945</v>
      </c>
      <c r="G866" t="s">
        <v>2058</v>
      </c>
      <c r="H866">
        <v>3</v>
      </c>
      <c r="I866" s="12">
        <f>Table16[[#This Row],[price]]*Table16[[#This Row],[quantity]]</f>
        <v>4801.28</v>
      </c>
    </row>
    <row r="867" spans="1:9" x14ac:dyDescent="0.3">
      <c r="A867" t="s">
        <v>2885</v>
      </c>
      <c r="B867" t="s">
        <v>167</v>
      </c>
      <c r="C867" t="s">
        <v>2008</v>
      </c>
      <c r="D867">
        <v>5</v>
      </c>
      <c r="E867" s="16">
        <v>26.15</v>
      </c>
      <c r="F867" s="1">
        <v>44198</v>
      </c>
      <c r="G867" t="s">
        <v>2064</v>
      </c>
      <c r="H867">
        <v>5</v>
      </c>
      <c r="I867" s="12">
        <f>Table16[[#This Row],[price]]*Table16[[#This Row],[quantity]]</f>
        <v>130.75</v>
      </c>
    </row>
    <row r="868" spans="1:9" x14ac:dyDescent="0.3">
      <c r="A868" t="s">
        <v>2886</v>
      </c>
      <c r="B868" t="s">
        <v>167</v>
      </c>
      <c r="C868" t="s">
        <v>2024</v>
      </c>
      <c r="D868">
        <v>5</v>
      </c>
      <c r="E868" s="16">
        <v>179.2</v>
      </c>
      <c r="F868" s="1">
        <v>44549</v>
      </c>
      <c r="G868" t="s">
        <v>2020</v>
      </c>
      <c r="H868">
        <v>5</v>
      </c>
      <c r="I868" s="12">
        <f>Table16[[#This Row],[price]]*Table16[[#This Row],[quantity]]</f>
        <v>896</v>
      </c>
    </row>
    <row r="869" spans="1:9" x14ac:dyDescent="0.3">
      <c r="A869" t="s">
        <v>2884</v>
      </c>
      <c r="B869" t="s">
        <v>167</v>
      </c>
      <c r="C869" t="s">
        <v>2057</v>
      </c>
      <c r="D869">
        <v>2</v>
      </c>
      <c r="E869" s="16">
        <v>23.46</v>
      </c>
      <c r="F869" s="1">
        <v>44773</v>
      </c>
      <c r="G869" t="s">
        <v>2002</v>
      </c>
      <c r="H869">
        <v>4</v>
      </c>
      <c r="I869" s="12">
        <f>Table16[[#This Row],[price]]*Table16[[#This Row],[quantity]]</f>
        <v>46.92</v>
      </c>
    </row>
    <row r="870" spans="1:9" x14ac:dyDescent="0.3">
      <c r="A870" t="s">
        <v>2887</v>
      </c>
      <c r="B870" t="s">
        <v>167</v>
      </c>
      <c r="C870" t="s">
        <v>2011</v>
      </c>
      <c r="D870">
        <v>5</v>
      </c>
      <c r="E870" s="16">
        <v>203.3</v>
      </c>
      <c r="F870" s="1">
        <v>44825</v>
      </c>
      <c r="G870" t="s">
        <v>2004</v>
      </c>
      <c r="H870">
        <v>2</v>
      </c>
      <c r="I870" s="12">
        <f>Table16[[#This Row],[price]]*Table16[[#This Row],[quantity]]</f>
        <v>1016.5</v>
      </c>
    </row>
    <row r="871" spans="1:9" x14ac:dyDescent="0.3">
      <c r="A871" t="s">
        <v>2883</v>
      </c>
      <c r="B871" t="s">
        <v>167</v>
      </c>
      <c r="C871" t="s">
        <v>2001</v>
      </c>
      <c r="D871">
        <v>4</v>
      </c>
      <c r="E871" s="16">
        <v>1200.32</v>
      </c>
      <c r="F871" s="1">
        <v>44878</v>
      </c>
      <c r="G871" t="s">
        <v>2041</v>
      </c>
      <c r="H871">
        <v>2</v>
      </c>
      <c r="I871" s="12">
        <f>Table16[[#This Row],[price]]*Table16[[#This Row],[quantity]]</f>
        <v>4801.28</v>
      </c>
    </row>
    <row r="872" spans="1:9" x14ac:dyDescent="0.3">
      <c r="A872" t="s">
        <v>2891</v>
      </c>
      <c r="B872" t="s">
        <v>168</v>
      </c>
      <c r="C872" t="s">
        <v>2057</v>
      </c>
      <c r="D872">
        <v>4</v>
      </c>
      <c r="E872" s="16">
        <v>46.92</v>
      </c>
      <c r="F872" s="1">
        <v>44198</v>
      </c>
      <c r="G872" t="s">
        <v>2027</v>
      </c>
      <c r="H872">
        <v>5</v>
      </c>
      <c r="I872" s="12">
        <f>Table16[[#This Row],[price]]*Table16[[#This Row],[quantity]]</f>
        <v>187.68</v>
      </c>
    </row>
    <row r="873" spans="1:9" x14ac:dyDescent="0.3">
      <c r="A873" t="s">
        <v>2888</v>
      </c>
      <c r="B873" t="s">
        <v>168</v>
      </c>
      <c r="C873" t="s">
        <v>2015</v>
      </c>
      <c r="D873">
        <v>4</v>
      </c>
      <c r="E873" s="16">
        <v>2400.6799999999998</v>
      </c>
      <c r="F873" s="1">
        <v>44211</v>
      </c>
      <c r="G873" t="s">
        <v>2002</v>
      </c>
      <c r="H873">
        <v>2</v>
      </c>
      <c r="I873" s="12">
        <f>Table16[[#This Row],[price]]*Table16[[#This Row],[quantity]]</f>
        <v>9602.7199999999993</v>
      </c>
    </row>
    <row r="874" spans="1:9" x14ac:dyDescent="0.3">
      <c r="A874" t="s">
        <v>2889</v>
      </c>
      <c r="B874" t="s">
        <v>168</v>
      </c>
      <c r="C874" t="s">
        <v>2001</v>
      </c>
      <c r="D874">
        <v>4</v>
      </c>
      <c r="E874" s="16">
        <v>1200.32</v>
      </c>
      <c r="F874" s="1">
        <v>44213</v>
      </c>
      <c r="G874" t="s">
        <v>2064</v>
      </c>
      <c r="H874">
        <v>4</v>
      </c>
      <c r="I874" s="12">
        <f>Table16[[#This Row],[price]]*Table16[[#This Row],[quantity]]</f>
        <v>4801.28</v>
      </c>
    </row>
    <row r="875" spans="1:9" x14ac:dyDescent="0.3">
      <c r="A875" t="s">
        <v>2890</v>
      </c>
      <c r="B875" t="s">
        <v>168</v>
      </c>
      <c r="C875" t="s">
        <v>2015</v>
      </c>
      <c r="D875">
        <v>5</v>
      </c>
      <c r="E875" s="16">
        <v>3000.85</v>
      </c>
      <c r="F875" s="1">
        <v>44598</v>
      </c>
      <c r="G875" t="s">
        <v>2041</v>
      </c>
      <c r="H875">
        <v>3</v>
      </c>
      <c r="I875" s="12">
        <f>Table16[[#This Row],[price]]*Table16[[#This Row],[quantity]]</f>
        <v>15004.25</v>
      </c>
    </row>
    <row r="876" spans="1:9" x14ac:dyDescent="0.3">
      <c r="A876" t="s">
        <v>2894</v>
      </c>
      <c r="B876" t="s">
        <v>169</v>
      </c>
      <c r="C876" t="s">
        <v>2015</v>
      </c>
      <c r="D876">
        <v>5</v>
      </c>
      <c r="E876" s="16">
        <v>3000.85</v>
      </c>
      <c r="F876" s="1">
        <v>44244</v>
      </c>
      <c r="G876" t="s">
        <v>2012</v>
      </c>
      <c r="H876">
        <v>2</v>
      </c>
      <c r="I876" s="12">
        <f>Table16[[#This Row],[price]]*Table16[[#This Row],[quantity]]</f>
        <v>15004.25</v>
      </c>
    </row>
    <row r="877" spans="1:9" x14ac:dyDescent="0.3">
      <c r="A877" t="s">
        <v>2893</v>
      </c>
      <c r="B877" t="s">
        <v>169</v>
      </c>
      <c r="C877" t="s">
        <v>2017</v>
      </c>
      <c r="D877">
        <v>3</v>
      </c>
      <c r="E877" s="16">
        <v>3150</v>
      </c>
      <c r="F877" s="1">
        <v>44278</v>
      </c>
      <c r="G877" t="s">
        <v>2027</v>
      </c>
      <c r="H877">
        <v>2</v>
      </c>
      <c r="I877" s="12">
        <f>Table16[[#This Row],[price]]*Table16[[#This Row],[quantity]]</f>
        <v>9450</v>
      </c>
    </row>
    <row r="878" spans="1:9" x14ac:dyDescent="0.3">
      <c r="A878" t="s">
        <v>2896</v>
      </c>
      <c r="B878" t="s">
        <v>169</v>
      </c>
      <c r="C878" t="s">
        <v>2001</v>
      </c>
      <c r="D878">
        <v>1</v>
      </c>
      <c r="E878" s="16">
        <v>300.08</v>
      </c>
      <c r="F878" s="1">
        <v>44349</v>
      </c>
      <c r="G878" t="s">
        <v>2002</v>
      </c>
      <c r="H878">
        <v>1</v>
      </c>
      <c r="I878" s="12">
        <f>Table16[[#This Row],[price]]*Table16[[#This Row],[quantity]]</f>
        <v>300.08</v>
      </c>
    </row>
    <row r="879" spans="1:9" x14ac:dyDescent="0.3">
      <c r="A879" t="s">
        <v>2895</v>
      </c>
      <c r="B879" t="s">
        <v>169</v>
      </c>
      <c r="C879" t="s">
        <v>2011</v>
      </c>
      <c r="D879">
        <v>3</v>
      </c>
      <c r="E879" s="16">
        <v>121.98</v>
      </c>
      <c r="F879" s="1">
        <v>44628</v>
      </c>
      <c r="G879" t="s">
        <v>2020</v>
      </c>
      <c r="H879">
        <v>5</v>
      </c>
      <c r="I879" s="12">
        <f>Table16[[#This Row],[price]]*Table16[[#This Row],[quantity]]</f>
        <v>365.94</v>
      </c>
    </row>
    <row r="880" spans="1:9" x14ac:dyDescent="0.3">
      <c r="A880" t="s">
        <v>2892</v>
      </c>
      <c r="B880" t="s">
        <v>169</v>
      </c>
      <c r="C880" t="s">
        <v>2001</v>
      </c>
      <c r="D880">
        <v>1</v>
      </c>
      <c r="E880" s="16">
        <v>300.08</v>
      </c>
      <c r="F880" s="1">
        <v>44981</v>
      </c>
      <c r="G880" t="s">
        <v>2004</v>
      </c>
      <c r="H880">
        <v>1</v>
      </c>
      <c r="I880" s="12">
        <f>Table16[[#This Row],[price]]*Table16[[#This Row],[quantity]]</f>
        <v>300.08</v>
      </c>
    </row>
    <row r="881" spans="1:9" x14ac:dyDescent="0.3">
      <c r="A881" t="s">
        <v>2897</v>
      </c>
      <c r="B881" t="s">
        <v>170</v>
      </c>
      <c r="C881" t="s">
        <v>2001</v>
      </c>
      <c r="D881">
        <v>4</v>
      </c>
      <c r="E881" s="16">
        <v>1200.32</v>
      </c>
      <c r="F881" s="1">
        <v>44248</v>
      </c>
      <c r="G881" t="s">
        <v>2064</v>
      </c>
      <c r="H881">
        <v>2</v>
      </c>
      <c r="I881" s="12">
        <f>Table16[[#This Row],[price]]*Table16[[#This Row],[quantity]]</f>
        <v>4801.28</v>
      </c>
    </row>
    <row r="882" spans="1:9" x14ac:dyDescent="0.3">
      <c r="A882" t="s">
        <v>2898</v>
      </c>
      <c r="B882" t="s">
        <v>170</v>
      </c>
      <c r="C882" t="s">
        <v>2008</v>
      </c>
      <c r="D882">
        <v>5</v>
      </c>
      <c r="E882" s="16">
        <v>26.15</v>
      </c>
      <c r="F882" s="1">
        <v>44900</v>
      </c>
      <c r="G882" t="s">
        <v>2064</v>
      </c>
      <c r="H882">
        <v>1</v>
      </c>
      <c r="I882" s="12">
        <f>Table16[[#This Row],[price]]*Table16[[#This Row],[quantity]]</f>
        <v>130.75</v>
      </c>
    </row>
    <row r="883" spans="1:9" x14ac:dyDescent="0.3">
      <c r="A883" t="s">
        <v>2899</v>
      </c>
      <c r="B883" t="s">
        <v>170</v>
      </c>
      <c r="C883" t="s">
        <v>2015</v>
      </c>
      <c r="D883">
        <v>5</v>
      </c>
      <c r="E883" s="16">
        <v>3000.85</v>
      </c>
      <c r="F883" s="1">
        <v>44935</v>
      </c>
      <c r="G883" t="s">
        <v>2020</v>
      </c>
      <c r="H883">
        <v>2</v>
      </c>
      <c r="I883" s="12">
        <f>Table16[[#This Row],[price]]*Table16[[#This Row],[quantity]]</f>
        <v>15004.25</v>
      </c>
    </row>
    <row r="884" spans="1:9" x14ac:dyDescent="0.3">
      <c r="A884" t="s">
        <v>2902</v>
      </c>
      <c r="B884" t="s">
        <v>171</v>
      </c>
      <c r="C884" t="s">
        <v>2057</v>
      </c>
      <c r="D884">
        <v>3</v>
      </c>
      <c r="E884" s="16">
        <v>35.19</v>
      </c>
      <c r="F884" s="1">
        <v>44272</v>
      </c>
      <c r="G884" t="s">
        <v>2027</v>
      </c>
      <c r="H884">
        <v>4</v>
      </c>
      <c r="I884" s="12">
        <f>Table16[[#This Row],[price]]*Table16[[#This Row],[quantity]]</f>
        <v>105.57</v>
      </c>
    </row>
    <row r="885" spans="1:9" x14ac:dyDescent="0.3">
      <c r="A885" t="s">
        <v>2901</v>
      </c>
      <c r="B885" t="s">
        <v>171</v>
      </c>
      <c r="C885" t="s">
        <v>2008</v>
      </c>
      <c r="D885">
        <v>4</v>
      </c>
      <c r="E885" s="16">
        <v>20.92</v>
      </c>
      <c r="F885" s="1">
        <v>44436</v>
      </c>
      <c r="G885" t="s">
        <v>2012</v>
      </c>
      <c r="H885">
        <v>3</v>
      </c>
      <c r="I885" s="12">
        <f>Table16[[#This Row],[price]]*Table16[[#This Row],[quantity]]</f>
        <v>83.68</v>
      </c>
    </row>
    <row r="886" spans="1:9" x14ac:dyDescent="0.3">
      <c r="A886" t="s">
        <v>2903</v>
      </c>
      <c r="B886" t="s">
        <v>171</v>
      </c>
      <c r="C886" t="s">
        <v>2015</v>
      </c>
      <c r="D886">
        <v>1</v>
      </c>
      <c r="E886" s="16">
        <v>600.16999999999996</v>
      </c>
      <c r="F886" s="1">
        <v>44481</v>
      </c>
      <c r="G886" t="s">
        <v>2002</v>
      </c>
      <c r="H886">
        <v>2</v>
      </c>
      <c r="I886" s="12">
        <f>Table16[[#This Row],[price]]*Table16[[#This Row],[quantity]]</f>
        <v>600.16999999999996</v>
      </c>
    </row>
    <row r="887" spans="1:9" x14ac:dyDescent="0.3">
      <c r="A887" t="s">
        <v>2900</v>
      </c>
      <c r="B887" t="s">
        <v>171</v>
      </c>
      <c r="C887" t="s">
        <v>2001</v>
      </c>
      <c r="D887">
        <v>1</v>
      </c>
      <c r="E887" s="16">
        <v>300.08</v>
      </c>
      <c r="F887" s="1">
        <v>44565</v>
      </c>
      <c r="G887" t="s">
        <v>2064</v>
      </c>
      <c r="H887">
        <v>1</v>
      </c>
      <c r="I887" s="12">
        <f>Table16[[#This Row],[price]]*Table16[[#This Row],[quantity]]</f>
        <v>300.08</v>
      </c>
    </row>
    <row r="888" spans="1:9" x14ac:dyDescent="0.3">
      <c r="A888" t="s">
        <v>2904</v>
      </c>
      <c r="B888" t="s">
        <v>171</v>
      </c>
      <c r="C888" t="s">
        <v>2024</v>
      </c>
      <c r="D888">
        <v>1</v>
      </c>
      <c r="E888" s="16">
        <v>35.840000000000003</v>
      </c>
      <c r="F888" s="1">
        <v>44739</v>
      </c>
      <c r="G888" t="s">
        <v>2004</v>
      </c>
      <c r="H888">
        <v>3</v>
      </c>
      <c r="I888" s="12">
        <f>Table16[[#This Row],[price]]*Table16[[#This Row],[quantity]]</f>
        <v>35.840000000000003</v>
      </c>
    </row>
    <row r="889" spans="1:9" x14ac:dyDescent="0.3">
      <c r="A889" t="s">
        <v>2905</v>
      </c>
      <c r="B889" t="s">
        <v>171</v>
      </c>
      <c r="C889" t="s">
        <v>2001</v>
      </c>
      <c r="D889">
        <v>3</v>
      </c>
      <c r="E889" s="16">
        <v>900.24</v>
      </c>
      <c r="F889" s="1">
        <v>44742</v>
      </c>
      <c r="G889" t="s">
        <v>2020</v>
      </c>
      <c r="H889">
        <v>5</v>
      </c>
      <c r="I889" s="12">
        <f>Table16[[#This Row],[price]]*Table16[[#This Row],[quantity]]</f>
        <v>2700.7200000000003</v>
      </c>
    </row>
    <row r="890" spans="1:9" x14ac:dyDescent="0.3">
      <c r="A890" t="s">
        <v>2906</v>
      </c>
      <c r="B890" t="s">
        <v>172</v>
      </c>
      <c r="C890" t="s">
        <v>2008</v>
      </c>
      <c r="D890">
        <v>3</v>
      </c>
      <c r="E890" s="16">
        <v>15.69</v>
      </c>
      <c r="F890" s="1">
        <v>44377</v>
      </c>
      <c r="G890" t="s">
        <v>2012</v>
      </c>
      <c r="H890">
        <v>1</v>
      </c>
      <c r="I890" s="12">
        <f>Table16[[#This Row],[price]]*Table16[[#This Row],[quantity]]</f>
        <v>47.07</v>
      </c>
    </row>
    <row r="891" spans="1:9" x14ac:dyDescent="0.3">
      <c r="A891" t="s">
        <v>2908</v>
      </c>
      <c r="B891" t="s">
        <v>172</v>
      </c>
      <c r="C891" t="s">
        <v>2011</v>
      </c>
      <c r="D891">
        <v>4</v>
      </c>
      <c r="E891" s="16">
        <v>162.63999999999999</v>
      </c>
      <c r="F891" s="1">
        <v>44552</v>
      </c>
      <c r="G891" t="s">
        <v>2004</v>
      </c>
      <c r="H891">
        <v>3</v>
      </c>
      <c r="I891" s="12">
        <f>Table16[[#This Row],[price]]*Table16[[#This Row],[quantity]]</f>
        <v>650.55999999999995</v>
      </c>
    </row>
    <row r="892" spans="1:9" x14ac:dyDescent="0.3">
      <c r="A892" t="s">
        <v>2907</v>
      </c>
      <c r="B892" t="s">
        <v>172</v>
      </c>
      <c r="C892" t="s">
        <v>2024</v>
      </c>
      <c r="D892">
        <v>4</v>
      </c>
      <c r="E892" s="16">
        <v>143.36000000000001</v>
      </c>
      <c r="F892" s="1">
        <v>44807</v>
      </c>
      <c r="G892" t="s">
        <v>2002</v>
      </c>
      <c r="H892">
        <v>3</v>
      </c>
      <c r="I892" s="12">
        <f>Table16[[#This Row],[price]]*Table16[[#This Row],[quantity]]</f>
        <v>573.44000000000005</v>
      </c>
    </row>
    <row r="893" spans="1:9" x14ac:dyDescent="0.3">
      <c r="A893" t="s">
        <v>2915</v>
      </c>
      <c r="B893" t="s">
        <v>173</v>
      </c>
      <c r="C893" t="s">
        <v>2015</v>
      </c>
      <c r="D893">
        <v>2</v>
      </c>
      <c r="E893" s="16">
        <v>1200.3399999999999</v>
      </c>
      <c r="F893" s="1">
        <v>44364</v>
      </c>
      <c r="G893" t="s">
        <v>2002</v>
      </c>
      <c r="H893">
        <v>2</v>
      </c>
      <c r="I893" s="12">
        <f>Table16[[#This Row],[price]]*Table16[[#This Row],[quantity]]</f>
        <v>2400.6799999999998</v>
      </c>
    </row>
    <row r="894" spans="1:9" x14ac:dyDescent="0.3">
      <c r="A894" t="s">
        <v>2912</v>
      </c>
      <c r="B894" t="s">
        <v>173</v>
      </c>
      <c r="C894" t="s">
        <v>2024</v>
      </c>
      <c r="D894">
        <v>4</v>
      </c>
      <c r="E894" s="16">
        <v>143.36000000000001</v>
      </c>
      <c r="F894" s="1">
        <v>44507</v>
      </c>
      <c r="G894" t="s">
        <v>2004</v>
      </c>
      <c r="H894">
        <v>4</v>
      </c>
      <c r="I894" s="12">
        <f>Table16[[#This Row],[price]]*Table16[[#This Row],[quantity]]</f>
        <v>573.44000000000005</v>
      </c>
    </row>
    <row r="895" spans="1:9" x14ac:dyDescent="0.3">
      <c r="A895" t="s">
        <v>2911</v>
      </c>
      <c r="B895" t="s">
        <v>173</v>
      </c>
      <c r="C895" t="s">
        <v>2001</v>
      </c>
      <c r="D895">
        <v>5</v>
      </c>
      <c r="E895" s="16">
        <v>1500.4</v>
      </c>
      <c r="F895" s="1">
        <v>44574</v>
      </c>
      <c r="G895" t="s">
        <v>2002</v>
      </c>
      <c r="H895">
        <v>5</v>
      </c>
      <c r="I895" s="12">
        <f>Table16[[#This Row],[price]]*Table16[[#This Row],[quantity]]</f>
        <v>7502</v>
      </c>
    </row>
    <row r="896" spans="1:9" x14ac:dyDescent="0.3">
      <c r="A896" t="s">
        <v>2909</v>
      </c>
      <c r="B896" t="s">
        <v>173</v>
      </c>
      <c r="C896" t="s">
        <v>2011</v>
      </c>
      <c r="D896">
        <v>5</v>
      </c>
      <c r="E896" s="16">
        <v>203.3</v>
      </c>
      <c r="F896" s="1">
        <v>44678</v>
      </c>
      <c r="G896" t="s">
        <v>2002</v>
      </c>
      <c r="H896">
        <v>3</v>
      </c>
      <c r="I896" s="12">
        <f>Table16[[#This Row],[price]]*Table16[[#This Row],[quantity]]</f>
        <v>1016.5</v>
      </c>
    </row>
    <row r="897" spans="1:9" x14ac:dyDescent="0.3">
      <c r="A897" t="s">
        <v>2910</v>
      </c>
      <c r="B897" t="s">
        <v>173</v>
      </c>
      <c r="C897" t="s">
        <v>2008</v>
      </c>
      <c r="D897">
        <v>3</v>
      </c>
      <c r="E897" s="16">
        <v>15.69</v>
      </c>
      <c r="F897" s="1">
        <v>44788</v>
      </c>
      <c r="G897" t="s">
        <v>2064</v>
      </c>
      <c r="H897">
        <v>3</v>
      </c>
      <c r="I897" s="12">
        <f>Table16[[#This Row],[price]]*Table16[[#This Row],[quantity]]</f>
        <v>47.07</v>
      </c>
    </row>
    <row r="898" spans="1:9" x14ac:dyDescent="0.3">
      <c r="A898" t="s">
        <v>2914</v>
      </c>
      <c r="B898" t="s">
        <v>173</v>
      </c>
      <c r="C898" t="s">
        <v>2008</v>
      </c>
      <c r="D898">
        <v>4</v>
      </c>
      <c r="E898" s="16">
        <v>20.92</v>
      </c>
      <c r="F898" s="1">
        <v>44906</v>
      </c>
      <c r="G898" t="s">
        <v>2020</v>
      </c>
      <c r="H898">
        <v>5</v>
      </c>
      <c r="I898" s="12">
        <f>Table16[[#This Row],[price]]*Table16[[#This Row],[quantity]]</f>
        <v>83.68</v>
      </c>
    </row>
    <row r="899" spans="1:9" x14ac:dyDescent="0.3">
      <c r="A899" t="s">
        <v>2913</v>
      </c>
      <c r="B899" t="s">
        <v>173</v>
      </c>
      <c r="C899" t="s">
        <v>2001</v>
      </c>
      <c r="D899">
        <v>3</v>
      </c>
      <c r="E899" s="16">
        <v>900.24</v>
      </c>
      <c r="F899" s="1">
        <v>44928</v>
      </c>
      <c r="G899" t="s">
        <v>2027</v>
      </c>
      <c r="H899">
        <v>2</v>
      </c>
      <c r="I899" s="12">
        <f>Table16[[#This Row],[price]]*Table16[[#This Row],[quantity]]</f>
        <v>2700.7200000000003</v>
      </c>
    </row>
    <row r="900" spans="1:9" x14ac:dyDescent="0.3">
      <c r="A900" t="s">
        <v>2918</v>
      </c>
      <c r="B900" t="s">
        <v>174</v>
      </c>
      <c r="C900" t="s">
        <v>2024</v>
      </c>
      <c r="D900">
        <v>4</v>
      </c>
      <c r="E900" s="16">
        <v>143.36000000000001</v>
      </c>
      <c r="F900" s="1">
        <v>44315</v>
      </c>
      <c r="G900" t="s">
        <v>2002</v>
      </c>
      <c r="H900">
        <v>4</v>
      </c>
      <c r="I900" s="12">
        <f>Table16[[#This Row],[price]]*Table16[[#This Row],[quantity]]</f>
        <v>573.44000000000005</v>
      </c>
    </row>
    <row r="901" spans="1:9" x14ac:dyDescent="0.3">
      <c r="A901" t="s">
        <v>2920</v>
      </c>
      <c r="B901" t="s">
        <v>174</v>
      </c>
      <c r="C901" t="s">
        <v>2008</v>
      </c>
      <c r="D901">
        <v>1</v>
      </c>
      <c r="E901" s="16">
        <v>5.23</v>
      </c>
      <c r="F901" s="1">
        <v>44392</v>
      </c>
      <c r="G901" t="s">
        <v>2009</v>
      </c>
      <c r="H901">
        <v>2</v>
      </c>
      <c r="I901" s="12">
        <f>Table16[[#This Row],[price]]*Table16[[#This Row],[quantity]]</f>
        <v>5.23</v>
      </c>
    </row>
    <row r="902" spans="1:9" x14ac:dyDescent="0.3">
      <c r="A902" t="s">
        <v>2917</v>
      </c>
      <c r="B902" t="s">
        <v>174</v>
      </c>
      <c r="C902" t="s">
        <v>2001</v>
      </c>
      <c r="D902">
        <v>2</v>
      </c>
      <c r="E902" s="16">
        <v>600.16</v>
      </c>
      <c r="F902" s="1">
        <v>44446</v>
      </c>
      <c r="G902" t="s">
        <v>2027</v>
      </c>
      <c r="H902">
        <v>5</v>
      </c>
      <c r="I902" s="12">
        <f>Table16[[#This Row],[price]]*Table16[[#This Row],[quantity]]</f>
        <v>1200.32</v>
      </c>
    </row>
    <row r="903" spans="1:9" x14ac:dyDescent="0.3">
      <c r="A903" t="s">
        <v>2919</v>
      </c>
      <c r="B903" t="s">
        <v>174</v>
      </c>
      <c r="C903" t="s">
        <v>2015</v>
      </c>
      <c r="D903">
        <v>5</v>
      </c>
      <c r="E903" s="16">
        <v>3000.85</v>
      </c>
      <c r="F903" s="1">
        <v>44475</v>
      </c>
      <c r="G903" t="s">
        <v>2027</v>
      </c>
      <c r="H903">
        <v>4</v>
      </c>
      <c r="I903" s="12">
        <f>Table16[[#This Row],[price]]*Table16[[#This Row],[quantity]]</f>
        <v>15004.25</v>
      </c>
    </row>
    <row r="904" spans="1:9" x14ac:dyDescent="0.3">
      <c r="A904" t="s">
        <v>2922</v>
      </c>
      <c r="B904" t="s">
        <v>174</v>
      </c>
      <c r="C904" t="s">
        <v>2015</v>
      </c>
      <c r="D904">
        <v>5</v>
      </c>
      <c r="E904" s="16">
        <v>3000.85</v>
      </c>
      <c r="F904" s="1">
        <v>44676</v>
      </c>
      <c r="G904" t="s">
        <v>2009</v>
      </c>
      <c r="H904">
        <v>3</v>
      </c>
      <c r="I904" s="12">
        <f>Table16[[#This Row],[price]]*Table16[[#This Row],[quantity]]</f>
        <v>15004.25</v>
      </c>
    </row>
    <row r="905" spans="1:9" x14ac:dyDescent="0.3">
      <c r="A905" t="s">
        <v>2916</v>
      </c>
      <c r="B905" t="s">
        <v>174</v>
      </c>
      <c r="C905" t="s">
        <v>2001</v>
      </c>
      <c r="D905">
        <v>2</v>
      </c>
      <c r="E905" s="16">
        <v>600.16</v>
      </c>
      <c r="F905" s="1">
        <v>44784</v>
      </c>
      <c r="G905" t="s">
        <v>2027</v>
      </c>
      <c r="H905">
        <v>4</v>
      </c>
      <c r="I905" s="12">
        <f>Table16[[#This Row],[price]]*Table16[[#This Row],[quantity]]</f>
        <v>1200.32</v>
      </c>
    </row>
    <row r="906" spans="1:9" x14ac:dyDescent="0.3">
      <c r="A906" t="s">
        <v>2921</v>
      </c>
      <c r="B906" t="s">
        <v>174</v>
      </c>
      <c r="C906" t="s">
        <v>2001</v>
      </c>
      <c r="D906">
        <v>5</v>
      </c>
      <c r="E906" s="16">
        <v>1500.4</v>
      </c>
      <c r="F906" s="1">
        <v>44796</v>
      </c>
      <c r="G906" t="s">
        <v>2004</v>
      </c>
      <c r="H906">
        <v>5</v>
      </c>
      <c r="I906" s="12">
        <f>Table16[[#This Row],[price]]*Table16[[#This Row],[quantity]]</f>
        <v>7502</v>
      </c>
    </row>
    <row r="907" spans="1:9" x14ac:dyDescent="0.3">
      <c r="A907" t="s">
        <v>2926</v>
      </c>
      <c r="B907" t="s">
        <v>175</v>
      </c>
      <c r="C907" t="s">
        <v>2001</v>
      </c>
      <c r="D907">
        <v>2</v>
      </c>
      <c r="E907" s="16">
        <v>600.16</v>
      </c>
      <c r="F907" s="1">
        <v>44266</v>
      </c>
      <c r="G907" t="s">
        <v>2004</v>
      </c>
      <c r="H907">
        <v>2</v>
      </c>
      <c r="I907" s="12">
        <f>Table16[[#This Row],[price]]*Table16[[#This Row],[quantity]]</f>
        <v>1200.32</v>
      </c>
    </row>
    <row r="908" spans="1:9" x14ac:dyDescent="0.3">
      <c r="A908" t="s">
        <v>2923</v>
      </c>
      <c r="B908" t="s">
        <v>175</v>
      </c>
      <c r="C908" t="s">
        <v>2001</v>
      </c>
      <c r="D908">
        <v>4</v>
      </c>
      <c r="E908" s="16">
        <v>1200.32</v>
      </c>
      <c r="F908" s="1">
        <v>44380</v>
      </c>
      <c r="G908" t="s">
        <v>2041</v>
      </c>
      <c r="H908">
        <v>2</v>
      </c>
      <c r="I908" s="12">
        <f>Table16[[#This Row],[price]]*Table16[[#This Row],[quantity]]</f>
        <v>4801.28</v>
      </c>
    </row>
    <row r="909" spans="1:9" x14ac:dyDescent="0.3">
      <c r="A909" t="s">
        <v>2924</v>
      </c>
      <c r="B909" t="s">
        <v>175</v>
      </c>
      <c r="C909" t="s">
        <v>2001</v>
      </c>
      <c r="D909">
        <v>3</v>
      </c>
      <c r="E909" s="16">
        <v>900.24</v>
      </c>
      <c r="F909" s="1">
        <v>44738</v>
      </c>
      <c r="G909" t="s">
        <v>2009</v>
      </c>
      <c r="H909">
        <v>5</v>
      </c>
      <c r="I909" s="12">
        <f>Table16[[#This Row],[price]]*Table16[[#This Row],[quantity]]</f>
        <v>2700.7200000000003</v>
      </c>
    </row>
    <row r="910" spans="1:9" x14ac:dyDescent="0.3">
      <c r="A910" t="s">
        <v>2928</v>
      </c>
      <c r="B910" t="s">
        <v>175</v>
      </c>
      <c r="C910" t="s">
        <v>2001</v>
      </c>
      <c r="D910">
        <v>2</v>
      </c>
      <c r="E910" s="16">
        <v>600.16</v>
      </c>
      <c r="F910" s="1">
        <v>44854</v>
      </c>
      <c r="G910" t="s">
        <v>2002</v>
      </c>
      <c r="H910">
        <v>2</v>
      </c>
      <c r="I910" s="12">
        <f>Table16[[#This Row],[price]]*Table16[[#This Row],[quantity]]</f>
        <v>1200.32</v>
      </c>
    </row>
    <row r="911" spans="1:9" x14ac:dyDescent="0.3">
      <c r="A911" t="s">
        <v>2925</v>
      </c>
      <c r="B911" t="s">
        <v>175</v>
      </c>
      <c r="C911" t="s">
        <v>2001</v>
      </c>
      <c r="D911">
        <v>1</v>
      </c>
      <c r="E911" s="16">
        <v>300.08</v>
      </c>
      <c r="F911" s="1">
        <v>44856</v>
      </c>
      <c r="G911" t="s">
        <v>2064</v>
      </c>
      <c r="H911">
        <v>2</v>
      </c>
      <c r="I911" s="12">
        <f>Table16[[#This Row],[price]]*Table16[[#This Row],[quantity]]</f>
        <v>300.08</v>
      </c>
    </row>
    <row r="912" spans="1:9" x14ac:dyDescent="0.3">
      <c r="A912" t="s">
        <v>2927</v>
      </c>
      <c r="B912" t="s">
        <v>175</v>
      </c>
      <c r="C912" t="s">
        <v>2057</v>
      </c>
      <c r="D912">
        <v>1</v>
      </c>
      <c r="E912" s="16">
        <v>11.73</v>
      </c>
      <c r="F912" s="1">
        <v>44866</v>
      </c>
      <c r="G912" t="s">
        <v>2004</v>
      </c>
      <c r="H912">
        <v>1</v>
      </c>
      <c r="I912" s="12">
        <f>Table16[[#This Row],[price]]*Table16[[#This Row],[quantity]]</f>
        <v>11.73</v>
      </c>
    </row>
    <row r="913" spans="1:9" x14ac:dyDescent="0.3">
      <c r="A913" t="s">
        <v>2930</v>
      </c>
      <c r="B913" t="s">
        <v>176</v>
      </c>
      <c r="C913" t="s">
        <v>2008</v>
      </c>
      <c r="D913">
        <v>3</v>
      </c>
      <c r="E913" s="16">
        <v>15.69</v>
      </c>
      <c r="F913" s="1">
        <v>44400</v>
      </c>
      <c r="G913" t="s">
        <v>2004</v>
      </c>
      <c r="H913">
        <v>1</v>
      </c>
      <c r="I913" s="12">
        <f>Table16[[#This Row],[price]]*Table16[[#This Row],[quantity]]</f>
        <v>47.07</v>
      </c>
    </row>
    <row r="914" spans="1:9" x14ac:dyDescent="0.3">
      <c r="A914" t="s">
        <v>2929</v>
      </c>
      <c r="B914" t="s">
        <v>176</v>
      </c>
      <c r="C914" t="s">
        <v>2001</v>
      </c>
      <c r="D914">
        <v>2</v>
      </c>
      <c r="E914" s="16">
        <v>600.16</v>
      </c>
      <c r="F914" s="1">
        <v>44784</v>
      </c>
      <c r="G914" t="s">
        <v>2018</v>
      </c>
      <c r="H914">
        <v>3</v>
      </c>
      <c r="I914" s="12">
        <f>Table16[[#This Row],[price]]*Table16[[#This Row],[quantity]]</f>
        <v>1200.32</v>
      </c>
    </row>
    <row r="915" spans="1:9" x14ac:dyDescent="0.3">
      <c r="A915" t="s">
        <v>2932</v>
      </c>
      <c r="B915" t="s">
        <v>177</v>
      </c>
      <c r="C915" t="s">
        <v>2001</v>
      </c>
      <c r="D915">
        <v>3</v>
      </c>
      <c r="E915" s="16">
        <v>900.24</v>
      </c>
      <c r="F915" s="1">
        <v>44228</v>
      </c>
      <c r="G915" t="s">
        <v>2064</v>
      </c>
      <c r="H915">
        <v>2</v>
      </c>
      <c r="I915" s="12">
        <f>Table16[[#This Row],[price]]*Table16[[#This Row],[quantity]]</f>
        <v>2700.7200000000003</v>
      </c>
    </row>
    <row r="916" spans="1:9" x14ac:dyDescent="0.3">
      <c r="A916" t="s">
        <v>2931</v>
      </c>
      <c r="B916" t="s">
        <v>177</v>
      </c>
      <c r="C916" t="s">
        <v>2001</v>
      </c>
      <c r="D916">
        <v>4</v>
      </c>
      <c r="E916" s="16">
        <v>1200.32</v>
      </c>
      <c r="F916" s="1">
        <v>44309</v>
      </c>
      <c r="G916" t="s">
        <v>2064</v>
      </c>
      <c r="H916">
        <v>4</v>
      </c>
      <c r="I916" s="12">
        <f>Table16[[#This Row],[price]]*Table16[[#This Row],[quantity]]</f>
        <v>4801.28</v>
      </c>
    </row>
    <row r="917" spans="1:9" x14ac:dyDescent="0.3">
      <c r="A917" t="s">
        <v>2935</v>
      </c>
      <c r="B917" t="s">
        <v>177</v>
      </c>
      <c r="C917" t="s">
        <v>2001</v>
      </c>
      <c r="D917">
        <v>1</v>
      </c>
      <c r="E917" s="16">
        <v>300.08</v>
      </c>
      <c r="F917" s="1">
        <v>44315</v>
      </c>
      <c r="G917" t="s">
        <v>2004</v>
      </c>
      <c r="H917">
        <v>1</v>
      </c>
      <c r="I917" s="12">
        <f>Table16[[#This Row],[price]]*Table16[[#This Row],[quantity]]</f>
        <v>300.08</v>
      </c>
    </row>
    <row r="918" spans="1:9" x14ac:dyDescent="0.3">
      <c r="A918" t="s">
        <v>2933</v>
      </c>
      <c r="B918" t="s">
        <v>177</v>
      </c>
      <c r="C918" t="s">
        <v>2024</v>
      </c>
      <c r="D918">
        <v>2</v>
      </c>
      <c r="E918" s="16">
        <v>71.680000000000007</v>
      </c>
      <c r="F918" s="1">
        <v>44539</v>
      </c>
      <c r="G918" t="s">
        <v>2027</v>
      </c>
      <c r="H918">
        <v>3</v>
      </c>
      <c r="I918" s="12">
        <f>Table16[[#This Row],[price]]*Table16[[#This Row],[quantity]]</f>
        <v>143.36000000000001</v>
      </c>
    </row>
    <row r="919" spans="1:9" x14ac:dyDescent="0.3">
      <c r="A919" t="s">
        <v>2934</v>
      </c>
      <c r="B919" t="s">
        <v>177</v>
      </c>
      <c r="C919" t="s">
        <v>2001</v>
      </c>
      <c r="D919">
        <v>1</v>
      </c>
      <c r="E919" s="16">
        <v>300.08</v>
      </c>
      <c r="F919" s="1">
        <v>44565</v>
      </c>
      <c r="G919" t="s">
        <v>2020</v>
      </c>
      <c r="H919">
        <v>1</v>
      </c>
      <c r="I919" s="12">
        <f>Table16[[#This Row],[price]]*Table16[[#This Row],[quantity]]</f>
        <v>300.08</v>
      </c>
    </row>
    <row r="920" spans="1:9" x14ac:dyDescent="0.3">
      <c r="A920" t="s">
        <v>2938</v>
      </c>
      <c r="B920" t="s">
        <v>178</v>
      </c>
      <c r="C920" t="s">
        <v>2024</v>
      </c>
      <c r="D920">
        <v>5</v>
      </c>
      <c r="E920" s="16">
        <v>179.2</v>
      </c>
      <c r="F920" s="1">
        <v>44324</v>
      </c>
      <c r="G920" t="s">
        <v>2002</v>
      </c>
      <c r="H920">
        <v>5</v>
      </c>
      <c r="I920" s="12">
        <f>Table16[[#This Row],[price]]*Table16[[#This Row],[quantity]]</f>
        <v>896</v>
      </c>
    </row>
    <row r="921" spans="1:9" x14ac:dyDescent="0.3">
      <c r="A921" t="s">
        <v>2936</v>
      </c>
      <c r="B921" t="s">
        <v>178</v>
      </c>
      <c r="C921" t="s">
        <v>2024</v>
      </c>
      <c r="D921">
        <v>2</v>
      </c>
      <c r="E921" s="16">
        <v>71.680000000000007</v>
      </c>
      <c r="F921" s="1">
        <v>44415</v>
      </c>
      <c r="G921" t="s">
        <v>2004</v>
      </c>
      <c r="H921">
        <v>1</v>
      </c>
      <c r="I921" s="12">
        <f>Table16[[#This Row],[price]]*Table16[[#This Row],[quantity]]</f>
        <v>143.36000000000001</v>
      </c>
    </row>
    <row r="922" spans="1:9" x14ac:dyDescent="0.3">
      <c r="A922" t="s">
        <v>2937</v>
      </c>
      <c r="B922" t="s">
        <v>178</v>
      </c>
      <c r="C922" t="s">
        <v>2001</v>
      </c>
      <c r="D922">
        <v>4</v>
      </c>
      <c r="E922" s="16">
        <v>1200.32</v>
      </c>
      <c r="F922" s="1">
        <v>44594</v>
      </c>
      <c r="G922" t="s">
        <v>2027</v>
      </c>
      <c r="H922">
        <v>4</v>
      </c>
      <c r="I922" s="12">
        <f>Table16[[#This Row],[price]]*Table16[[#This Row],[quantity]]</f>
        <v>4801.28</v>
      </c>
    </row>
    <row r="923" spans="1:9" x14ac:dyDescent="0.3">
      <c r="A923" t="s">
        <v>2939</v>
      </c>
      <c r="B923" t="s">
        <v>178</v>
      </c>
      <c r="C923" t="s">
        <v>2001</v>
      </c>
      <c r="D923">
        <v>3</v>
      </c>
      <c r="E923" s="16">
        <v>900.24</v>
      </c>
      <c r="F923" s="1">
        <v>44922</v>
      </c>
      <c r="G923" t="s">
        <v>2058</v>
      </c>
      <c r="H923">
        <v>4</v>
      </c>
      <c r="I923" s="12">
        <f>Table16[[#This Row],[price]]*Table16[[#This Row],[quantity]]</f>
        <v>2700.7200000000003</v>
      </c>
    </row>
    <row r="924" spans="1:9" x14ac:dyDescent="0.3">
      <c r="A924" t="s">
        <v>2941</v>
      </c>
      <c r="B924" t="s">
        <v>179</v>
      </c>
      <c r="C924" t="s">
        <v>2001</v>
      </c>
      <c r="D924">
        <v>5</v>
      </c>
      <c r="E924" s="16">
        <v>1500.4</v>
      </c>
      <c r="F924" s="1">
        <v>44218</v>
      </c>
      <c r="G924" t="s">
        <v>2020</v>
      </c>
      <c r="H924">
        <v>4</v>
      </c>
      <c r="I924" s="12">
        <f>Table16[[#This Row],[price]]*Table16[[#This Row],[quantity]]</f>
        <v>7502</v>
      </c>
    </row>
    <row r="925" spans="1:9" x14ac:dyDescent="0.3">
      <c r="A925" t="s">
        <v>2940</v>
      </c>
      <c r="B925" t="s">
        <v>179</v>
      </c>
      <c r="C925" t="s">
        <v>2057</v>
      </c>
      <c r="D925">
        <v>1</v>
      </c>
      <c r="E925" s="16">
        <v>11.73</v>
      </c>
      <c r="F925" s="1">
        <v>44291</v>
      </c>
      <c r="G925" t="s">
        <v>2020</v>
      </c>
      <c r="H925">
        <v>3</v>
      </c>
      <c r="I925" s="12">
        <f>Table16[[#This Row],[price]]*Table16[[#This Row],[quantity]]</f>
        <v>11.73</v>
      </c>
    </row>
    <row r="926" spans="1:9" x14ac:dyDescent="0.3">
      <c r="A926" t="s">
        <v>2943</v>
      </c>
      <c r="B926" t="s">
        <v>179</v>
      </c>
      <c r="C926" t="s">
        <v>2008</v>
      </c>
      <c r="D926">
        <v>2</v>
      </c>
      <c r="E926" s="16">
        <v>10.46</v>
      </c>
      <c r="F926" s="1">
        <v>44809</v>
      </c>
      <c r="G926" t="s">
        <v>2004</v>
      </c>
      <c r="H926">
        <v>1</v>
      </c>
      <c r="I926" s="12">
        <f>Table16[[#This Row],[price]]*Table16[[#This Row],[quantity]]</f>
        <v>20.92</v>
      </c>
    </row>
    <row r="927" spans="1:9" x14ac:dyDescent="0.3">
      <c r="A927" t="s">
        <v>2942</v>
      </c>
      <c r="B927" t="s">
        <v>179</v>
      </c>
      <c r="C927" t="s">
        <v>2011</v>
      </c>
      <c r="D927">
        <v>5</v>
      </c>
      <c r="E927" s="16">
        <v>203.3</v>
      </c>
      <c r="F927" s="1">
        <v>44949</v>
      </c>
      <c r="G927" t="s">
        <v>2012</v>
      </c>
      <c r="H927">
        <v>1</v>
      </c>
      <c r="I927" s="12">
        <f>Table16[[#This Row],[price]]*Table16[[#This Row],[quantity]]</f>
        <v>1016.5</v>
      </c>
    </row>
    <row r="928" spans="1:9" x14ac:dyDescent="0.3">
      <c r="A928" t="s">
        <v>2947</v>
      </c>
      <c r="B928" t="s">
        <v>180</v>
      </c>
      <c r="C928" t="s">
        <v>2017</v>
      </c>
      <c r="D928">
        <v>2</v>
      </c>
      <c r="E928" s="16">
        <v>2100</v>
      </c>
      <c r="F928" s="1">
        <v>44461</v>
      </c>
      <c r="G928" t="s">
        <v>2004</v>
      </c>
      <c r="H928">
        <v>2</v>
      </c>
      <c r="I928" s="12">
        <f>Table16[[#This Row],[price]]*Table16[[#This Row],[quantity]]</f>
        <v>4200</v>
      </c>
    </row>
    <row r="929" spans="1:9" x14ac:dyDescent="0.3">
      <c r="A929" t="s">
        <v>2945</v>
      </c>
      <c r="B929" t="s">
        <v>180</v>
      </c>
      <c r="C929" t="s">
        <v>2001</v>
      </c>
      <c r="D929">
        <v>1</v>
      </c>
      <c r="E929" s="16">
        <v>300.08</v>
      </c>
      <c r="F929" s="1">
        <v>44471</v>
      </c>
      <c r="G929" t="s">
        <v>2004</v>
      </c>
      <c r="H929">
        <v>1</v>
      </c>
      <c r="I929" s="12">
        <f>Table16[[#This Row],[price]]*Table16[[#This Row],[quantity]]</f>
        <v>300.08</v>
      </c>
    </row>
    <row r="930" spans="1:9" x14ac:dyDescent="0.3">
      <c r="A930" t="s">
        <v>2944</v>
      </c>
      <c r="B930" t="s">
        <v>180</v>
      </c>
      <c r="C930" t="s">
        <v>2008</v>
      </c>
      <c r="D930">
        <v>2</v>
      </c>
      <c r="E930" s="16">
        <v>10.46</v>
      </c>
      <c r="F930" s="1">
        <v>44729</v>
      </c>
      <c r="G930" t="s">
        <v>2058</v>
      </c>
      <c r="H930">
        <v>5</v>
      </c>
      <c r="I930" s="12">
        <f>Table16[[#This Row],[price]]*Table16[[#This Row],[quantity]]</f>
        <v>20.92</v>
      </c>
    </row>
    <row r="931" spans="1:9" x14ac:dyDescent="0.3">
      <c r="A931" t="s">
        <v>2949</v>
      </c>
      <c r="B931" t="s">
        <v>180</v>
      </c>
      <c r="C931" t="s">
        <v>2008</v>
      </c>
      <c r="D931">
        <v>3</v>
      </c>
      <c r="E931" s="16">
        <v>15.69</v>
      </c>
      <c r="F931" s="1">
        <v>44821</v>
      </c>
      <c r="G931" t="s">
        <v>2002</v>
      </c>
      <c r="H931">
        <v>5</v>
      </c>
      <c r="I931" s="12">
        <f>Table16[[#This Row],[price]]*Table16[[#This Row],[quantity]]</f>
        <v>47.07</v>
      </c>
    </row>
    <row r="932" spans="1:9" x14ac:dyDescent="0.3">
      <c r="A932" t="s">
        <v>2946</v>
      </c>
      <c r="B932" t="s">
        <v>180</v>
      </c>
      <c r="C932" t="s">
        <v>2006</v>
      </c>
      <c r="D932">
        <v>3</v>
      </c>
      <c r="E932" s="16">
        <v>45.45</v>
      </c>
      <c r="F932" s="1">
        <v>44928</v>
      </c>
      <c r="G932" t="s">
        <v>2009</v>
      </c>
      <c r="H932">
        <v>4</v>
      </c>
      <c r="I932" s="12">
        <f>Table16[[#This Row],[price]]*Table16[[#This Row],[quantity]]</f>
        <v>136.35000000000002</v>
      </c>
    </row>
    <row r="933" spans="1:9" x14ac:dyDescent="0.3">
      <c r="A933" t="s">
        <v>2948</v>
      </c>
      <c r="B933" t="s">
        <v>180</v>
      </c>
      <c r="C933" t="s">
        <v>2001</v>
      </c>
      <c r="D933">
        <v>4</v>
      </c>
      <c r="E933" s="16">
        <v>1200.32</v>
      </c>
      <c r="F933" s="1">
        <v>44964</v>
      </c>
      <c r="G933" t="s">
        <v>2004</v>
      </c>
      <c r="H933">
        <v>4</v>
      </c>
      <c r="I933" s="12">
        <f>Table16[[#This Row],[price]]*Table16[[#This Row],[quantity]]</f>
        <v>4801.28</v>
      </c>
    </row>
    <row r="934" spans="1:9" x14ac:dyDescent="0.3">
      <c r="A934" t="s">
        <v>2950</v>
      </c>
      <c r="B934" t="s">
        <v>181</v>
      </c>
      <c r="C934" t="s">
        <v>2011</v>
      </c>
      <c r="D934">
        <v>4</v>
      </c>
      <c r="E934" s="16">
        <v>162.63999999999999</v>
      </c>
      <c r="F934" s="1">
        <v>44334</v>
      </c>
      <c r="G934" t="s">
        <v>2004</v>
      </c>
      <c r="H934">
        <v>5</v>
      </c>
      <c r="I934" s="12">
        <f>Table16[[#This Row],[price]]*Table16[[#This Row],[quantity]]</f>
        <v>650.55999999999995</v>
      </c>
    </row>
    <row r="935" spans="1:9" x14ac:dyDescent="0.3">
      <c r="A935" t="s">
        <v>2952</v>
      </c>
      <c r="B935" t="s">
        <v>181</v>
      </c>
      <c r="C935" t="s">
        <v>2024</v>
      </c>
      <c r="D935">
        <v>2</v>
      </c>
      <c r="E935" s="16">
        <v>71.680000000000007</v>
      </c>
      <c r="F935" s="1">
        <v>44716</v>
      </c>
      <c r="G935" t="s">
        <v>2027</v>
      </c>
      <c r="H935">
        <v>2</v>
      </c>
      <c r="I935" s="12">
        <f>Table16[[#This Row],[price]]*Table16[[#This Row],[quantity]]</f>
        <v>143.36000000000001</v>
      </c>
    </row>
    <row r="936" spans="1:9" x14ac:dyDescent="0.3">
      <c r="A936" t="s">
        <v>2951</v>
      </c>
      <c r="B936" t="s">
        <v>181</v>
      </c>
      <c r="C936" t="s">
        <v>2008</v>
      </c>
      <c r="D936">
        <v>2</v>
      </c>
      <c r="E936" s="16">
        <v>10.46</v>
      </c>
      <c r="F936" s="1">
        <v>44945</v>
      </c>
      <c r="G936" t="s">
        <v>2009</v>
      </c>
      <c r="H936">
        <v>3</v>
      </c>
      <c r="I936" s="12">
        <f>Table16[[#This Row],[price]]*Table16[[#This Row],[quantity]]</f>
        <v>20.92</v>
      </c>
    </row>
    <row r="937" spans="1:9" x14ac:dyDescent="0.3">
      <c r="A937" t="s">
        <v>2955</v>
      </c>
      <c r="B937" t="s">
        <v>182</v>
      </c>
      <c r="C937" t="s">
        <v>2008</v>
      </c>
      <c r="D937">
        <v>1</v>
      </c>
      <c r="E937" s="16">
        <v>5.23</v>
      </c>
      <c r="F937" s="1">
        <v>44349</v>
      </c>
      <c r="G937" t="s">
        <v>2004</v>
      </c>
      <c r="H937">
        <v>1</v>
      </c>
      <c r="I937" s="12">
        <f>Table16[[#This Row],[price]]*Table16[[#This Row],[quantity]]</f>
        <v>5.23</v>
      </c>
    </row>
    <row r="938" spans="1:9" x14ac:dyDescent="0.3">
      <c r="A938" t="s">
        <v>2956</v>
      </c>
      <c r="B938" t="s">
        <v>182</v>
      </c>
      <c r="C938" t="s">
        <v>2001</v>
      </c>
      <c r="D938">
        <v>1</v>
      </c>
      <c r="E938" s="16">
        <v>300.08</v>
      </c>
      <c r="F938" s="1">
        <v>44359</v>
      </c>
      <c r="G938" t="s">
        <v>2004</v>
      </c>
      <c r="H938">
        <v>4</v>
      </c>
      <c r="I938" s="12">
        <f>Table16[[#This Row],[price]]*Table16[[#This Row],[quantity]]</f>
        <v>300.08</v>
      </c>
    </row>
    <row r="939" spans="1:9" x14ac:dyDescent="0.3">
      <c r="A939" t="s">
        <v>2958</v>
      </c>
      <c r="B939" t="s">
        <v>182</v>
      </c>
      <c r="C939" t="s">
        <v>2011</v>
      </c>
      <c r="D939">
        <v>2</v>
      </c>
      <c r="E939" s="16">
        <v>81.319999999999993</v>
      </c>
      <c r="F939" s="1">
        <v>44408</v>
      </c>
      <c r="G939" t="s">
        <v>2027</v>
      </c>
      <c r="H939">
        <v>5</v>
      </c>
      <c r="I939" s="12">
        <f>Table16[[#This Row],[price]]*Table16[[#This Row],[quantity]]</f>
        <v>162.63999999999999</v>
      </c>
    </row>
    <row r="940" spans="1:9" x14ac:dyDescent="0.3">
      <c r="A940" t="s">
        <v>2954</v>
      </c>
      <c r="B940" t="s">
        <v>182</v>
      </c>
      <c r="C940" t="s">
        <v>2001</v>
      </c>
      <c r="D940">
        <v>4</v>
      </c>
      <c r="E940" s="16">
        <v>1200.32</v>
      </c>
      <c r="F940" s="1">
        <v>44486</v>
      </c>
      <c r="G940" t="s">
        <v>2002</v>
      </c>
      <c r="H940">
        <v>2</v>
      </c>
      <c r="I940" s="12">
        <f>Table16[[#This Row],[price]]*Table16[[#This Row],[quantity]]</f>
        <v>4801.28</v>
      </c>
    </row>
    <row r="941" spans="1:9" x14ac:dyDescent="0.3">
      <c r="A941" t="s">
        <v>2959</v>
      </c>
      <c r="B941" t="s">
        <v>182</v>
      </c>
      <c r="C941" t="s">
        <v>2017</v>
      </c>
      <c r="D941">
        <v>4</v>
      </c>
      <c r="E941" s="16">
        <v>4200</v>
      </c>
      <c r="F941" s="1">
        <v>44575</v>
      </c>
      <c r="G941" t="s">
        <v>2004</v>
      </c>
      <c r="H941">
        <v>4</v>
      </c>
      <c r="I941" s="12">
        <f>Table16[[#This Row],[price]]*Table16[[#This Row],[quantity]]</f>
        <v>16800</v>
      </c>
    </row>
    <row r="942" spans="1:9" x14ac:dyDescent="0.3">
      <c r="A942" t="s">
        <v>2953</v>
      </c>
      <c r="B942" t="s">
        <v>182</v>
      </c>
      <c r="C942" t="s">
        <v>2008</v>
      </c>
      <c r="D942">
        <v>4</v>
      </c>
      <c r="E942" s="16">
        <v>20.92</v>
      </c>
      <c r="F942" s="1">
        <v>44644</v>
      </c>
      <c r="G942" t="s">
        <v>2004</v>
      </c>
      <c r="H942">
        <v>3</v>
      </c>
      <c r="I942" s="12">
        <f>Table16[[#This Row],[price]]*Table16[[#This Row],[quantity]]</f>
        <v>83.68</v>
      </c>
    </row>
    <row r="943" spans="1:9" x14ac:dyDescent="0.3">
      <c r="A943" t="s">
        <v>2957</v>
      </c>
      <c r="B943" t="s">
        <v>182</v>
      </c>
      <c r="C943" t="s">
        <v>2008</v>
      </c>
      <c r="D943">
        <v>3</v>
      </c>
      <c r="E943" s="16">
        <v>15.69</v>
      </c>
      <c r="F943" s="1">
        <v>44686</v>
      </c>
      <c r="G943" t="s">
        <v>2002</v>
      </c>
      <c r="H943">
        <v>4</v>
      </c>
      <c r="I943" s="12">
        <f>Table16[[#This Row],[price]]*Table16[[#This Row],[quantity]]</f>
        <v>47.07</v>
      </c>
    </row>
    <row r="944" spans="1:9" x14ac:dyDescent="0.3">
      <c r="A944" t="s">
        <v>2960</v>
      </c>
      <c r="B944" t="s">
        <v>183</v>
      </c>
      <c r="C944" t="s">
        <v>2001</v>
      </c>
      <c r="D944">
        <v>1</v>
      </c>
      <c r="E944" s="16">
        <v>300.08</v>
      </c>
      <c r="F944" s="1">
        <v>44284</v>
      </c>
      <c r="G944" t="s">
        <v>2018</v>
      </c>
      <c r="H944">
        <v>5</v>
      </c>
      <c r="I944" s="12">
        <f>Table16[[#This Row],[price]]*Table16[[#This Row],[quantity]]</f>
        <v>300.08</v>
      </c>
    </row>
    <row r="945" spans="1:9" x14ac:dyDescent="0.3">
      <c r="A945" t="s">
        <v>2961</v>
      </c>
      <c r="B945" t="s">
        <v>183</v>
      </c>
      <c r="C945" t="s">
        <v>2015</v>
      </c>
      <c r="D945">
        <v>1</v>
      </c>
      <c r="E945" s="16">
        <v>600.16999999999996</v>
      </c>
      <c r="F945" s="1">
        <v>44542</v>
      </c>
      <c r="G945" t="s">
        <v>2004</v>
      </c>
      <c r="H945">
        <v>5</v>
      </c>
      <c r="I945" s="12">
        <f>Table16[[#This Row],[price]]*Table16[[#This Row],[quantity]]</f>
        <v>600.16999999999996</v>
      </c>
    </row>
    <row r="946" spans="1:9" x14ac:dyDescent="0.3">
      <c r="A946" t="s">
        <v>2963</v>
      </c>
      <c r="B946" t="s">
        <v>183</v>
      </c>
      <c r="C946" t="s">
        <v>2001</v>
      </c>
      <c r="D946">
        <v>2</v>
      </c>
      <c r="E946" s="16">
        <v>600.16</v>
      </c>
      <c r="F946" s="1">
        <v>44793</v>
      </c>
      <c r="G946" t="s">
        <v>2009</v>
      </c>
      <c r="H946">
        <v>2</v>
      </c>
      <c r="I946" s="12">
        <f>Table16[[#This Row],[price]]*Table16[[#This Row],[quantity]]</f>
        <v>1200.32</v>
      </c>
    </row>
    <row r="947" spans="1:9" x14ac:dyDescent="0.3">
      <c r="A947" t="s">
        <v>2962</v>
      </c>
      <c r="B947" t="s">
        <v>183</v>
      </c>
      <c r="C947" t="s">
        <v>2011</v>
      </c>
      <c r="D947">
        <v>5</v>
      </c>
      <c r="E947" s="16">
        <v>203.3</v>
      </c>
      <c r="F947" s="1">
        <v>44919</v>
      </c>
      <c r="G947" t="s">
        <v>2009</v>
      </c>
      <c r="H947">
        <v>2</v>
      </c>
      <c r="I947" s="12">
        <f>Table16[[#This Row],[price]]*Table16[[#This Row],[quantity]]</f>
        <v>1016.5</v>
      </c>
    </row>
    <row r="948" spans="1:9" x14ac:dyDescent="0.3">
      <c r="A948" t="s">
        <v>2967</v>
      </c>
      <c r="B948" t="s">
        <v>184</v>
      </c>
      <c r="C948" t="s">
        <v>2011</v>
      </c>
      <c r="D948">
        <v>5</v>
      </c>
      <c r="E948" s="16">
        <v>203.3</v>
      </c>
      <c r="F948" s="1">
        <v>44283</v>
      </c>
      <c r="G948" t="s">
        <v>2018</v>
      </c>
      <c r="H948">
        <v>3</v>
      </c>
      <c r="I948" s="12">
        <f>Table16[[#This Row],[price]]*Table16[[#This Row],[quantity]]</f>
        <v>1016.5</v>
      </c>
    </row>
    <row r="949" spans="1:9" x14ac:dyDescent="0.3">
      <c r="A949" t="s">
        <v>2965</v>
      </c>
      <c r="B949" t="s">
        <v>184</v>
      </c>
      <c r="C949" t="s">
        <v>2001</v>
      </c>
      <c r="D949">
        <v>3</v>
      </c>
      <c r="E949" s="16">
        <v>900.24</v>
      </c>
      <c r="F949" s="1">
        <v>44670</v>
      </c>
      <c r="G949" t="s">
        <v>2018</v>
      </c>
      <c r="H949">
        <v>2</v>
      </c>
      <c r="I949" s="12">
        <f>Table16[[#This Row],[price]]*Table16[[#This Row],[quantity]]</f>
        <v>2700.7200000000003</v>
      </c>
    </row>
    <row r="950" spans="1:9" x14ac:dyDescent="0.3">
      <c r="A950" t="s">
        <v>2964</v>
      </c>
      <c r="B950" t="s">
        <v>184</v>
      </c>
      <c r="C950" t="s">
        <v>2001</v>
      </c>
      <c r="D950">
        <v>1</v>
      </c>
      <c r="E950" s="16">
        <v>300.08</v>
      </c>
      <c r="F950" s="1">
        <v>44714</v>
      </c>
      <c r="G950" t="s">
        <v>2064</v>
      </c>
      <c r="H950">
        <v>2</v>
      </c>
      <c r="I950" s="12">
        <f>Table16[[#This Row],[price]]*Table16[[#This Row],[quantity]]</f>
        <v>300.08</v>
      </c>
    </row>
    <row r="951" spans="1:9" x14ac:dyDescent="0.3">
      <c r="A951" t="s">
        <v>2966</v>
      </c>
      <c r="B951" t="s">
        <v>184</v>
      </c>
      <c r="C951" t="s">
        <v>2017</v>
      </c>
      <c r="D951">
        <v>1</v>
      </c>
      <c r="E951" s="16">
        <v>1050</v>
      </c>
      <c r="F951" s="1">
        <v>44851</v>
      </c>
      <c r="G951" t="s">
        <v>2004</v>
      </c>
      <c r="H951">
        <v>4</v>
      </c>
      <c r="I951" s="12">
        <f>Table16[[#This Row],[price]]*Table16[[#This Row],[quantity]]</f>
        <v>1050</v>
      </c>
    </row>
    <row r="952" spans="1:9" x14ac:dyDescent="0.3">
      <c r="A952" t="s">
        <v>2972</v>
      </c>
      <c r="B952" t="s">
        <v>185</v>
      </c>
      <c r="C952" t="s">
        <v>2017</v>
      </c>
      <c r="D952">
        <v>3</v>
      </c>
      <c r="E952" s="16">
        <v>3150</v>
      </c>
      <c r="F952" s="1">
        <v>44503</v>
      </c>
      <c r="G952" t="s">
        <v>2009</v>
      </c>
      <c r="H952">
        <v>2</v>
      </c>
      <c r="I952" s="12">
        <f>Table16[[#This Row],[price]]*Table16[[#This Row],[quantity]]</f>
        <v>9450</v>
      </c>
    </row>
    <row r="953" spans="1:9" x14ac:dyDescent="0.3">
      <c r="A953" t="s">
        <v>2973</v>
      </c>
      <c r="B953" t="s">
        <v>185</v>
      </c>
      <c r="C953" t="s">
        <v>2001</v>
      </c>
      <c r="D953">
        <v>5</v>
      </c>
      <c r="E953" s="16">
        <v>1500.4</v>
      </c>
      <c r="F953" s="1">
        <v>44591</v>
      </c>
      <c r="G953" t="s">
        <v>2004</v>
      </c>
      <c r="H953">
        <v>2</v>
      </c>
      <c r="I953" s="12">
        <f>Table16[[#This Row],[price]]*Table16[[#This Row],[quantity]]</f>
        <v>7502</v>
      </c>
    </row>
    <row r="954" spans="1:9" x14ac:dyDescent="0.3">
      <c r="A954" t="s">
        <v>2968</v>
      </c>
      <c r="B954" t="s">
        <v>185</v>
      </c>
      <c r="C954" t="s">
        <v>2024</v>
      </c>
      <c r="D954">
        <v>5</v>
      </c>
      <c r="E954" s="16">
        <v>179.2</v>
      </c>
      <c r="F954" s="1">
        <v>44655</v>
      </c>
      <c r="G954" t="s">
        <v>2009</v>
      </c>
      <c r="H954">
        <v>4</v>
      </c>
      <c r="I954" s="12">
        <f>Table16[[#This Row],[price]]*Table16[[#This Row],[quantity]]</f>
        <v>896</v>
      </c>
    </row>
    <row r="955" spans="1:9" x14ac:dyDescent="0.3">
      <c r="A955" t="s">
        <v>2971</v>
      </c>
      <c r="B955" t="s">
        <v>185</v>
      </c>
      <c r="C955" t="s">
        <v>2001</v>
      </c>
      <c r="D955">
        <v>2</v>
      </c>
      <c r="E955" s="16">
        <v>600.16</v>
      </c>
      <c r="F955" s="1">
        <v>44736</v>
      </c>
      <c r="G955" t="s">
        <v>2004</v>
      </c>
      <c r="H955">
        <v>2</v>
      </c>
      <c r="I955" s="12">
        <f>Table16[[#This Row],[price]]*Table16[[#This Row],[quantity]]</f>
        <v>1200.32</v>
      </c>
    </row>
    <row r="956" spans="1:9" x14ac:dyDescent="0.3">
      <c r="A956" t="s">
        <v>2969</v>
      </c>
      <c r="B956" t="s">
        <v>185</v>
      </c>
      <c r="C956" t="s">
        <v>2015</v>
      </c>
      <c r="D956">
        <v>1</v>
      </c>
      <c r="E956" s="16">
        <v>600.16999999999996</v>
      </c>
      <c r="F956" s="1">
        <v>44866</v>
      </c>
      <c r="G956" t="s">
        <v>2027</v>
      </c>
      <c r="H956">
        <v>3</v>
      </c>
      <c r="I956" s="12">
        <f>Table16[[#This Row],[price]]*Table16[[#This Row],[quantity]]</f>
        <v>600.16999999999996</v>
      </c>
    </row>
    <row r="957" spans="1:9" x14ac:dyDescent="0.3">
      <c r="A957" t="s">
        <v>2970</v>
      </c>
      <c r="B957" t="s">
        <v>185</v>
      </c>
      <c r="C957" t="s">
        <v>2057</v>
      </c>
      <c r="D957">
        <v>5</v>
      </c>
      <c r="E957" s="16">
        <v>58.65</v>
      </c>
      <c r="F957" s="1">
        <v>44983</v>
      </c>
      <c r="G957" t="s">
        <v>2020</v>
      </c>
      <c r="H957">
        <v>1</v>
      </c>
      <c r="I957" s="12">
        <f>Table16[[#This Row],[price]]*Table16[[#This Row],[quantity]]</f>
        <v>293.25</v>
      </c>
    </row>
    <row r="958" spans="1:9" x14ac:dyDescent="0.3">
      <c r="A958" t="s">
        <v>2974</v>
      </c>
      <c r="B958" t="s">
        <v>186</v>
      </c>
      <c r="C958" t="s">
        <v>2017</v>
      </c>
      <c r="D958">
        <v>4</v>
      </c>
      <c r="E958" s="16">
        <v>4200</v>
      </c>
      <c r="F958" s="1">
        <v>44204</v>
      </c>
      <c r="G958" t="s">
        <v>2002</v>
      </c>
      <c r="H958">
        <v>3</v>
      </c>
      <c r="I958" s="12">
        <f>Table16[[#This Row],[price]]*Table16[[#This Row],[quantity]]</f>
        <v>16800</v>
      </c>
    </row>
    <row r="959" spans="1:9" x14ac:dyDescent="0.3">
      <c r="A959" t="s">
        <v>2975</v>
      </c>
      <c r="B959" t="s">
        <v>186</v>
      </c>
      <c r="C959" t="s">
        <v>2001</v>
      </c>
      <c r="D959">
        <v>1</v>
      </c>
      <c r="E959" s="16">
        <v>300.08</v>
      </c>
      <c r="F959" s="1">
        <v>44351</v>
      </c>
      <c r="G959" t="s">
        <v>2064</v>
      </c>
      <c r="H959">
        <v>4</v>
      </c>
      <c r="I959" s="12">
        <f>Table16[[#This Row],[price]]*Table16[[#This Row],[quantity]]</f>
        <v>300.08</v>
      </c>
    </row>
    <row r="960" spans="1:9" x14ac:dyDescent="0.3">
      <c r="A960" t="s">
        <v>2978</v>
      </c>
      <c r="B960" t="s">
        <v>186</v>
      </c>
      <c r="C960" t="s">
        <v>2011</v>
      </c>
      <c r="D960">
        <v>5</v>
      </c>
      <c r="E960" s="16">
        <v>203.3</v>
      </c>
      <c r="F960" s="1">
        <v>44425</v>
      </c>
      <c r="G960" t="s">
        <v>2002</v>
      </c>
      <c r="H960">
        <v>4</v>
      </c>
      <c r="I960" s="12">
        <f>Table16[[#This Row],[price]]*Table16[[#This Row],[quantity]]</f>
        <v>1016.5</v>
      </c>
    </row>
    <row r="961" spans="1:9" x14ac:dyDescent="0.3">
      <c r="A961" t="s">
        <v>2979</v>
      </c>
      <c r="B961" t="s">
        <v>186</v>
      </c>
      <c r="C961" t="s">
        <v>2008</v>
      </c>
      <c r="D961">
        <v>2</v>
      </c>
      <c r="E961" s="16">
        <v>10.46</v>
      </c>
      <c r="F961" s="1">
        <v>44432</v>
      </c>
      <c r="G961" t="s">
        <v>2064</v>
      </c>
      <c r="H961">
        <v>4</v>
      </c>
      <c r="I961" s="12">
        <f>Table16[[#This Row],[price]]*Table16[[#This Row],[quantity]]</f>
        <v>20.92</v>
      </c>
    </row>
    <row r="962" spans="1:9" x14ac:dyDescent="0.3">
      <c r="A962" t="s">
        <v>2976</v>
      </c>
      <c r="B962" t="s">
        <v>186</v>
      </c>
      <c r="C962" t="s">
        <v>2001</v>
      </c>
      <c r="D962">
        <v>5</v>
      </c>
      <c r="E962" s="16">
        <v>1500.4</v>
      </c>
      <c r="F962" s="1">
        <v>44780</v>
      </c>
      <c r="G962" t="s">
        <v>2064</v>
      </c>
      <c r="H962">
        <v>2</v>
      </c>
      <c r="I962" s="12">
        <f>Table16[[#This Row],[price]]*Table16[[#This Row],[quantity]]</f>
        <v>7502</v>
      </c>
    </row>
    <row r="963" spans="1:9" x14ac:dyDescent="0.3">
      <c r="A963" t="s">
        <v>2977</v>
      </c>
      <c r="B963" t="s">
        <v>186</v>
      </c>
      <c r="C963" t="s">
        <v>2001</v>
      </c>
      <c r="D963">
        <v>2</v>
      </c>
      <c r="E963" s="16">
        <v>600.16</v>
      </c>
      <c r="F963" s="1">
        <v>44990</v>
      </c>
      <c r="G963" t="s">
        <v>2004</v>
      </c>
      <c r="H963">
        <v>1</v>
      </c>
      <c r="I963" s="12">
        <f>Table16[[#This Row],[price]]*Table16[[#This Row],[quantity]]</f>
        <v>1200.32</v>
      </c>
    </row>
    <row r="964" spans="1:9" x14ac:dyDescent="0.3">
      <c r="A964" t="s">
        <v>2982</v>
      </c>
      <c r="B964" t="s">
        <v>187</v>
      </c>
      <c r="C964" t="s">
        <v>2001</v>
      </c>
      <c r="D964">
        <v>1</v>
      </c>
      <c r="E964" s="16">
        <v>300.08</v>
      </c>
      <c r="F964" s="1">
        <v>44412</v>
      </c>
      <c r="G964" t="s">
        <v>2027</v>
      </c>
      <c r="H964">
        <v>1</v>
      </c>
      <c r="I964" s="12">
        <f>Table16[[#This Row],[price]]*Table16[[#This Row],[quantity]]</f>
        <v>300.08</v>
      </c>
    </row>
    <row r="965" spans="1:9" x14ac:dyDescent="0.3">
      <c r="A965" t="s">
        <v>2983</v>
      </c>
      <c r="B965" t="s">
        <v>187</v>
      </c>
      <c r="C965" t="s">
        <v>2057</v>
      </c>
      <c r="D965">
        <v>3</v>
      </c>
      <c r="E965" s="16">
        <v>35.19</v>
      </c>
      <c r="F965" s="1">
        <v>44449</v>
      </c>
      <c r="G965" t="s">
        <v>2004</v>
      </c>
      <c r="H965">
        <v>3</v>
      </c>
      <c r="I965" s="12">
        <f>Table16[[#This Row],[price]]*Table16[[#This Row],[quantity]]</f>
        <v>105.57</v>
      </c>
    </row>
    <row r="966" spans="1:9" x14ac:dyDescent="0.3">
      <c r="A966" t="s">
        <v>2980</v>
      </c>
      <c r="B966" t="s">
        <v>187</v>
      </c>
      <c r="C966" t="s">
        <v>2057</v>
      </c>
      <c r="D966">
        <v>3</v>
      </c>
      <c r="E966" s="16">
        <v>35.19</v>
      </c>
      <c r="F966" s="1">
        <v>44676</v>
      </c>
      <c r="G966" t="s">
        <v>2004</v>
      </c>
      <c r="H966">
        <v>3</v>
      </c>
      <c r="I966" s="12">
        <f>Table16[[#This Row],[price]]*Table16[[#This Row],[quantity]]</f>
        <v>105.57</v>
      </c>
    </row>
    <row r="967" spans="1:9" x14ac:dyDescent="0.3">
      <c r="A967" t="s">
        <v>2981</v>
      </c>
      <c r="B967" t="s">
        <v>187</v>
      </c>
      <c r="C967" t="s">
        <v>2006</v>
      </c>
      <c r="D967">
        <v>3</v>
      </c>
      <c r="E967" s="16">
        <v>45.45</v>
      </c>
      <c r="F967" s="1">
        <v>44804</v>
      </c>
      <c r="G967" t="s">
        <v>2018</v>
      </c>
      <c r="H967">
        <v>4</v>
      </c>
      <c r="I967" s="12">
        <f>Table16[[#This Row],[price]]*Table16[[#This Row],[quantity]]</f>
        <v>136.35000000000002</v>
      </c>
    </row>
    <row r="968" spans="1:9" x14ac:dyDescent="0.3">
      <c r="A968" t="s">
        <v>2987</v>
      </c>
      <c r="B968" t="s">
        <v>188</v>
      </c>
      <c r="C968" t="s">
        <v>2015</v>
      </c>
      <c r="D968">
        <v>1</v>
      </c>
      <c r="E968" s="16">
        <v>600.16999999999996</v>
      </c>
      <c r="F968" s="1">
        <v>44293</v>
      </c>
      <c r="G968" t="s">
        <v>2004</v>
      </c>
      <c r="H968">
        <v>4</v>
      </c>
      <c r="I968" s="12">
        <f>Table16[[#This Row],[price]]*Table16[[#This Row],[quantity]]</f>
        <v>600.16999999999996</v>
      </c>
    </row>
    <row r="969" spans="1:9" x14ac:dyDescent="0.3">
      <c r="A969" t="s">
        <v>2988</v>
      </c>
      <c r="B969" t="s">
        <v>188</v>
      </c>
      <c r="C969" t="s">
        <v>2015</v>
      </c>
      <c r="D969">
        <v>2</v>
      </c>
      <c r="E969" s="16">
        <v>1200.3399999999999</v>
      </c>
      <c r="F969" s="1">
        <v>44423</v>
      </c>
      <c r="G969" t="s">
        <v>2027</v>
      </c>
      <c r="H969">
        <v>2</v>
      </c>
      <c r="I969" s="12">
        <f>Table16[[#This Row],[price]]*Table16[[#This Row],[quantity]]</f>
        <v>2400.6799999999998</v>
      </c>
    </row>
    <row r="970" spans="1:9" x14ac:dyDescent="0.3">
      <c r="A970" t="s">
        <v>2984</v>
      </c>
      <c r="B970" t="s">
        <v>188</v>
      </c>
      <c r="C970" t="s">
        <v>2001</v>
      </c>
      <c r="D970">
        <v>2</v>
      </c>
      <c r="E970" s="16">
        <v>600.16</v>
      </c>
      <c r="F970" s="1">
        <v>44630</v>
      </c>
      <c r="G970" t="s">
        <v>2012</v>
      </c>
      <c r="H970">
        <v>5</v>
      </c>
      <c r="I970" s="12">
        <f>Table16[[#This Row],[price]]*Table16[[#This Row],[quantity]]</f>
        <v>1200.32</v>
      </c>
    </row>
    <row r="971" spans="1:9" x14ac:dyDescent="0.3">
      <c r="A971" t="s">
        <v>2985</v>
      </c>
      <c r="B971" t="s">
        <v>188</v>
      </c>
      <c r="C971" t="s">
        <v>2024</v>
      </c>
      <c r="D971">
        <v>2</v>
      </c>
      <c r="E971" s="16">
        <v>71.680000000000007</v>
      </c>
      <c r="F971" s="1">
        <v>44848</v>
      </c>
      <c r="G971" t="s">
        <v>2002</v>
      </c>
      <c r="H971">
        <v>1</v>
      </c>
      <c r="I971" s="12">
        <f>Table16[[#This Row],[price]]*Table16[[#This Row],[quantity]]</f>
        <v>143.36000000000001</v>
      </c>
    </row>
    <row r="972" spans="1:9" x14ac:dyDescent="0.3">
      <c r="A972" t="s">
        <v>2986</v>
      </c>
      <c r="B972" t="s">
        <v>188</v>
      </c>
      <c r="C972" t="s">
        <v>2011</v>
      </c>
      <c r="D972">
        <v>5</v>
      </c>
      <c r="E972" s="16">
        <v>203.3</v>
      </c>
      <c r="F972" s="1">
        <v>44887</v>
      </c>
      <c r="G972" t="s">
        <v>2064</v>
      </c>
      <c r="H972">
        <v>2</v>
      </c>
      <c r="I972" s="12">
        <f>Table16[[#This Row],[price]]*Table16[[#This Row],[quantity]]</f>
        <v>1016.5</v>
      </c>
    </row>
    <row r="973" spans="1:9" x14ac:dyDescent="0.3">
      <c r="A973" t="s">
        <v>2992</v>
      </c>
      <c r="B973" t="s">
        <v>189</v>
      </c>
      <c r="C973" t="s">
        <v>2024</v>
      </c>
      <c r="D973">
        <v>4</v>
      </c>
      <c r="E973" s="16">
        <v>143.36000000000001</v>
      </c>
      <c r="F973" s="1">
        <v>44198</v>
      </c>
      <c r="G973" t="s">
        <v>2009</v>
      </c>
      <c r="H973">
        <v>1</v>
      </c>
      <c r="I973" s="12">
        <f>Table16[[#This Row],[price]]*Table16[[#This Row],[quantity]]</f>
        <v>573.44000000000005</v>
      </c>
    </row>
    <row r="974" spans="1:9" x14ac:dyDescent="0.3">
      <c r="A974" t="s">
        <v>2990</v>
      </c>
      <c r="B974" t="s">
        <v>189</v>
      </c>
      <c r="C974" t="s">
        <v>2001</v>
      </c>
      <c r="D974">
        <v>1</v>
      </c>
      <c r="E974" s="16">
        <v>300.08</v>
      </c>
      <c r="F974" s="1">
        <v>44326</v>
      </c>
      <c r="G974" t="s">
        <v>2002</v>
      </c>
      <c r="H974">
        <v>1</v>
      </c>
      <c r="I974" s="12">
        <f>Table16[[#This Row],[price]]*Table16[[#This Row],[quantity]]</f>
        <v>300.08</v>
      </c>
    </row>
    <row r="975" spans="1:9" x14ac:dyDescent="0.3">
      <c r="A975" t="s">
        <v>2989</v>
      </c>
      <c r="B975" t="s">
        <v>189</v>
      </c>
      <c r="C975" t="s">
        <v>2001</v>
      </c>
      <c r="D975">
        <v>5</v>
      </c>
      <c r="E975" s="16">
        <v>1500.4</v>
      </c>
      <c r="F975" s="1">
        <v>44346</v>
      </c>
      <c r="G975" t="s">
        <v>2064</v>
      </c>
      <c r="H975">
        <v>2</v>
      </c>
      <c r="I975" s="12">
        <f>Table16[[#This Row],[price]]*Table16[[#This Row],[quantity]]</f>
        <v>7502</v>
      </c>
    </row>
    <row r="976" spans="1:9" x14ac:dyDescent="0.3">
      <c r="A976" t="s">
        <v>2996</v>
      </c>
      <c r="B976" t="s">
        <v>189</v>
      </c>
      <c r="C976" t="s">
        <v>2024</v>
      </c>
      <c r="D976">
        <v>3</v>
      </c>
      <c r="E976" s="16">
        <v>107.52</v>
      </c>
      <c r="F976" s="1">
        <v>44391</v>
      </c>
      <c r="G976" t="s">
        <v>2020</v>
      </c>
      <c r="H976">
        <v>2</v>
      </c>
      <c r="I976" s="12">
        <f>Table16[[#This Row],[price]]*Table16[[#This Row],[quantity]]</f>
        <v>322.56</v>
      </c>
    </row>
    <row r="977" spans="1:9" x14ac:dyDescent="0.3">
      <c r="A977" t="s">
        <v>2994</v>
      </c>
      <c r="B977" t="s">
        <v>189</v>
      </c>
      <c r="C977" t="s">
        <v>2001</v>
      </c>
      <c r="D977">
        <v>4</v>
      </c>
      <c r="E977" s="16">
        <v>1200.32</v>
      </c>
      <c r="F977" s="1">
        <v>44474</v>
      </c>
      <c r="G977" t="s">
        <v>2012</v>
      </c>
      <c r="H977">
        <v>4</v>
      </c>
      <c r="I977" s="12">
        <f>Table16[[#This Row],[price]]*Table16[[#This Row],[quantity]]</f>
        <v>4801.28</v>
      </c>
    </row>
    <row r="978" spans="1:9" x14ac:dyDescent="0.3">
      <c r="A978" t="s">
        <v>2991</v>
      </c>
      <c r="B978" t="s">
        <v>189</v>
      </c>
      <c r="C978" t="s">
        <v>2001</v>
      </c>
      <c r="D978">
        <v>4</v>
      </c>
      <c r="E978" s="16">
        <v>1200.32</v>
      </c>
      <c r="F978" s="1">
        <v>44543</v>
      </c>
      <c r="G978" t="s">
        <v>2004</v>
      </c>
      <c r="H978">
        <v>1</v>
      </c>
      <c r="I978" s="12">
        <f>Table16[[#This Row],[price]]*Table16[[#This Row],[quantity]]</f>
        <v>4801.28</v>
      </c>
    </row>
    <row r="979" spans="1:9" x14ac:dyDescent="0.3">
      <c r="A979" t="s">
        <v>2993</v>
      </c>
      <c r="B979" t="s">
        <v>189</v>
      </c>
      <c r="C979" t="s">
        <v>2015</v>
      </c>
      <c r="D979">
        <v>4</v>
      </c>
      <c r="E979" s="16">
        <v>2400.6799999999998</v>
      </c>
      <c r="F979" s="1">
        <v>44714</v>
      </c>
      <c r="G979" t="s">
        <v>2027</v>
      </c>
      <c r="H979">
        <v>1</v>
      </c>
      <c r="I979" s="12">
        <f>Table16[[#This Row],[price]]*Table16[[#This Row],[quantity]]</f>
        <v>9602.7199999999993</v>
      </c>
    </row>
    <row r="980" spans="1:9" x14ac:dyDescent="0.3">
      <c r="A980" t="s">
        <v>2995</v>
      </c>
      <c r="B980" t="s">
        <v>189</v>
      </c>
      <c r="C980" t="s">
        <v>2011</v>
      </c>
      <c r="D980">
        <v>4</v>
      </c>
      <c r="E980" s="16">
        <v>162.63999999999999</v>
      </c>
      <c r="F980" s="1">
        <v>44989</v>
      </c>
      <c r="G980" t="s">
        <v>2027</v>
      </c>
      <c r="H980">
        <v>2</v>
      </c>
      <c r="I980" s="12">
        <f>Table16[[#This Row],[price]]*Table16[[#This Row],[quantity]]</f>
        <v>650.55999999999995</v>
      </c>
    </row>
    <row r="981" spans="1:9" x14ac:dyDescent="0.3">
      <c r="A981" t="s">
        <v>2998</v>
      </c>
      <c r="B981" t="s">
        <v>190</v>
      </c>
      <c r="C981" t="s">
        <v>2001</v>
      </c>
      <c r="D981">
        <v>2</v>
      </c>
      <c r="E981" s="16">
        <v>600.16</v>
      </c>
      <c r="F981" s="1">
        <v>44226</v>
      </c>
      <c r="G981" t="s">
        <v>2004</v>
      </c>
      <c r="H981">
        <v>2</v>
      </c>
      <c r="I981" s="12">
        <f>Table16[[#This Row],[price]]*Table16[[#This Row],[quantity]]</f>
        <v>1200.32</v>
      </c>
    </row>
    <row r="982" spans="1:9" x14ac:dyDescent="0.3">
      <c r="A982" t="s">
        <v>3000</v>
      </c>
      <c r="B982" t="s">
        <v>190</v>
      </c>
      <c r="C982" t="s">
        <v>2011</v>
      </c>
      <c r="D982">
        <v>4</v>
      </c>
      <c r="E982" s="16">
        <v>162.63999999999999</v>
      </c>
      <c r="F982" s="1">
        <v>44261</v>
      </c>
      <c r="G982" t="s">
        <v>2002</v>
      </c>
      <c r="H982">
        <v>3</v>
      </c>
      <c r="I982" s="12">
        <f>Table16[[#This Row],[price]]*Table16[[#This Row],[quantity]]</f>
        <v>650.55999999999995</v>
      </c>
    </row>
    <row r="983" spans="1:9" x14ac:dyDescent="0.3">
      <c r="A983" t="s">
        <v>2997</v>
      </c>
      <c r="B983" t="s">
        <v>190</v>
      </c>
      <c r="C983" t="s">
        <v>2008</v>
      </c>
      <c r="D983">
        <v>5</v>
      </c>
      <c r="E983" s="16">
        <v>26.15</v>
      </c>
      <c r="F983" s="1">
        <v>44333</v>
      </c>
      <c r="G983" t="s">
        <v>2018</v>
      </c>
      <c r="H983">
        <v>5</v>
      </c>
      <c r="I983" s="12">
        <f>Table16[[#This Row],[price]]*Table16[[#This Row],[quantity]]</f>
        <v>130.75</v>
      </c>
    </row>
    <row r="984" spans="1:9" x14ac:dyDescent="0.3">
      <c r="A984" t="s">
        <v>2999</v>
      </c>
      <c r="B984" t="s">
        <v>190</v>
      </c>
      <c r="C984" t="s">
        <v>2008</v>
      </c>
      <c r="D984">
        <v>5</v>
      </c>
      <c r="E984" s="16">
        <v>26.15</v>
      </c>
      <c r="F984" s="1">
        <v>44445</v>
      </c>
      <c r="G984" t="s">
        <v>2064</v>
      </c>
      <c r="H984">
        <v>3</v>
      </c>
      <c r="I984" s="12">
        <f>Table16[[#This Row],[price]]*Table16[[#This Row],[quantity]]</f>
        <v>130.75</v>
      </c>
    </row>
    <row r="985" spans="1:9" x14ac:dyDescent="0.3">
      <c r="A985" t="s">
        <v>3001</v>
      </c>
      <c r="B985" t="s">
        <v>190</v>
      </c>
      <c r="C985" t="s">
        <v>2057</v>
      </c>
      <c r="D985">
        <v>3</v>
      </c>
      <c r="E985" s="16">
        <v>35.19</v>
      </c>
      <c r="F985" s="1">
        <v>44990</v>
      </c>
      <c r="G985" t="s">
        <v>2020</v>
      </c>
      <c r="H985">
        <v>1</v>
      </c>
      <c r="I985" s="12">
        <f>Table16[[#This Row],[price]]*Table16[[#This Row],[quantity]]</f>
        <v>105.57</v>
      </c>
    </row>
    <row r="986" spans="1:9" x14ac:dyDescent="0.3">
      <c r="A986" t="s">
        <v>3005</v>
      </c>
      <c r="B986" t="s">
        <v>191</v>
      </c>
      <c r="C986" t="s">
        <v>2001</v>
      </c>
      <c r="D986">
        <v>1</v>
      </c>
      <c r="E986" s="16">
        <v>300.08</v>
      </c>
      <c r="F986" s="1">
        <v>44362</v>
      </c>
      <c r="G986" t="s">
        <v>2027</v>
      </c>
      <c r="H986">
        <v>4</v>
      </c>
      <c r="I986" s="12">
        <f>Table16[[#This Row],[price]]*Table16[[#This Row],[quantity]]</f>
        <v>300.08</v>
      </c>
    </row>
    <row r="987" spans="1:9" x14ac:dyDescent="0.3">
      <c r="A987" t="s">
        <v>3002</v>
      </c>
      <c r="B987" t="s">
        <v>191</v>
      </c>
      <c r="C987" t="s">
        <v>2011</v>
      </c>
      <c r="D987">
        <v>1</v>
      </c>
      <c r="E987" s="16">
        <v>40.659999999999997</v>
      </c>
      <c r="F987" s="1">
        <v>44396</v>
      </c>
      <c r="G987" t="s">
        <v>2027</v>
      </c>
      <c r="H987">
        <v>1</v>
      </c>
      <c r="I987" s="12">
        <f>Table16[[#This Row],[price]]*Table16[[#This Row],[quantity]]</f>
        <v>40.659999999999997</v>
      </c>
    </row>
    <row r="988" spans="1:9" x14ac:dyDescent="0.3">
      <c r="A988" t="s">
        <v>3008</v>
      </c>
      <c r="B988" t="s">
        <v>191</v>
      </c>
      <c r="C988" t="s">
        <v>2011</v>
      </c>
      <c r="D988">
        <v>5</v>
      </c>
      <c r="E988" s="16">
        <v>203.3</v>
      </c>
      <c r="F988" s="1">
        <v>44561</v>
      </c>
      <c r="G988" t="s">
        <v>2004</v>
      </c>
      <c r="H988">
        <v>3</v>
      </c>
      <c r="I988" s="12">
        <f>Table16[[#This Row],[price]]*Table16[[#This Row],[quantity]]</f>
        <v>1016.5</v>
      </c>
    </row>
    <row r="989" spans="1:9" x14ac:dyDescent="0.3">
      <c r="A989" t="s">
        <v>3003</v>
      </c>
      <c r="B989" t="s">
        <v>191</v>
      </c>
      <c r="C989" t="s">
        <v>2008</v>
      </c>
      <c r="D989">
        <v>1</v>
      </c>
      <c r="E989" s="16">
        <v>5.23</v>
      </c>
      <c r="F989" s="1">
        <v>44674</v>
      </c>
      <c r="G989" t="s">
        <v>2064</v>
      </c>
      <c r="H989">
        <v>5</v>
      </c>
      <c r="I989" s="12">
        <f>Table16[[#This Row],[price]]*Table16[[#This Row],[quantity]]</f>
        <v>5.23</v>
      </c>
    </row>
    <row r="990" spans="1:9" x14ac:dyDescent="0.3">
      <c r="A990" t="s">
        <v>3006</v>
      </c>
      <c r="B990" t="s">
        <v>191</v>
      </c>
      <c r="C990" t="s">
        <v>2001</v>
      </c>
      <c r="D990">
        <v>1</v>
      </c>
      <c r="E990" s="16">
        <v>300.08</v>
      </c>
      <c r="F990" s="1">
        <v>44749</v>
      </c>
      <c r="G990" t="s">
        <v>2020</v>
      </c>
      <c r="H990">
        <v>5</v>
      </c>
      <c r="I990" s="12">
        <f>Table16[[#This Row],[price]]*Table16[[#This Row],[quantity]]</f>
        <v>300.08</v>
      </c>
    </row>
    <row r="991" spans="1:9" x14ac:dyDescent="0.3">
      <c r="A991" t="s">
        <v>3007</v>
      </c>
      <c r="B991" t="s">
        <v>191</v>
      </c>
      <c r="C991" t="s">
        <v>2057</v>
      </c>
      <c r="D991">
        <v>3</v>
      </c>
      <c r="E991" s="16">
        <v>35.19</v>
      </c>
      <c r="F991" s="1">
        <v>44868</v>
      </c>
      <c r="G991" t="s">
        <v>2020</v>
      </c>
      <c r="H991">
        <v>2</v>
      </c>
      <c r="I991" s="12">
        <f>Table16[[#This Row],[price]]*Table16[[#This Row],[quantity]]</f>
        <v>105.57</v>
      </c>
    </row>
    <row r="992" spans="1:9" x14ac:dyDescent="0.3">
      <c r="A992" t="s">
        <v>3004</v>
      </c>
      <c r="B992" t="s">
        <v>191</v>
      </c>
      <c r="C992" t="s">
        <v>2024</v>
      </c>
      <c r="D992">
        <v>5</v>
      </c>
      <c r="E992" s="16">
        <v>179.2</v>
      </c>
      <c r="F992" s="1">
        <v>44884</v>
      </c>
      <c r="G992" t="s">
        <v>2020</v>
      </c>
      <c r="H992">
        <v>2</v>
      </c>
      <c r="I992" s="12">
        <f>Table16[[#This Row],[price]]*Table16[[#This Row],[quantity]]</f>
        <v>896</v>
      </c>
    </row>
    <row r="993" spans="1:9" x14ac:dyDescent="0.3">
      <c r="A993" t="s">
        <v>3009</v>
      </c>
      <c r="B993" t="s">
        <v>192</v>
      </c>
      <c r="C993" t="s">
        <v>2011</v>
      </c>
      <c r="D993">
        <v>4</v>
      </c>
      <c r="E993" s="16">
        <v>162.63999999999999</v>
      </c>
      <c r="F993" s="1">
        <v>44559</v>
      </c>
      <c r="G993" t="s">
        <v>2009</v>
      </c>
      <c r="H993">
        <v>2</v>
      </c>
      <c r="I993" s="12">
        <f>Table16[[#This Row],[price]]*Table16[[#This Row],[quantity]]</f>
        <v>650.55999999999995</v>
      </c>
    </row>
    <row r="994" spans="1:9" x14ac:dyDescent="0.3">
      <c r="A994" t="s">
        <v>3010</v>
      </c>
      <c r="B994" t="s">
        <v>192</v>
      </c>
      <c r="C994" t="s">
        <v>2017</v>
      </c>
      <c r="D994">
        <v>2</v>
      </c>
      <c r="E994" s="16">
        <v>2100</v>
      </c>
      <c r="F994" s="1">
        <v>44838</v>
      </c>
      <c r="G994" t="s">
        <v>2027</v>
      </c>
      <c r="H994">
        <v>2</v>
      </c>
      <c r="I994" s="12">
        <f>Table16[[#This Row],[price]]*Table16[[#This Row],[quantity]]</f>
        <v>4200</v>
      </c>
    </row>
    <row r="995" spans="1:9" x14ac:dyDescent="0.3">
      <c r="A995" t="s">
        <v>3011</v>
      </c>
      <c r="B995" t="s">
        <v>193</v>
      </c>
      <c r="C995" t="s">
        <v>2001</v>
      </c>
      <c r="D995">
        <v>5</v>
      </c>
      <c r="E995" s="16">
        <v>1500.4</v>
      </c>
      <c r="F995" s="1">
        <v>44425</v>
      </c>
      <c r="G995" t="s">
        <v>2027</v>
      </c>
      <c r="H995">
        <v>1</v>
      </c>
      <c r="I995" s="12">
        <f>Table16[[#This Row],[price]]*Table16[[#This Row],[quantity]]</f>
        <v>7502</v>
      </c>
    </row>
    <row r="996" spans="1:9" x14ac:dyDescent="0.3">
      <c r="A996" t="s">
        <v>3012</v>
      </c>
      <c r="B996" t="s">
        <v>193</v>
      </c>
      <c r="C996" t="s">
        <v>2008</v>
      </c>
      <c r="D996">
        <v>5</v>
      </c>
      <c r="E996" s="16">
        <v>26.15</v>
      </c>
      <c r="F996" s="1">
        <v>44878</v>
      </c>
      <c r="G996" t="s">
        <v>2058</v>
      </c>
      <c r="H996">
        <v>3</v>
      </c>
      <c r="I996" s="12">
        <f>Table16[[#This Row],[price]]*Table16[[#This Row],[quantity]]</f>
        <v>130.75</v>
      </c>
    </row>
    <row r="997" spans="1:9" x14ac:dyDescent="0.3">
      <c r="A997" t="s">
        <v>3020</v>
      </c>
      <c r="B997" t="s">
        <v>194</v>
      </c>
      <c r="C997" t="s">
        <v>2006</v>
      </c>
      <c r="D997">
        <v>2</v>
      </c>
      <c r="E997" s="16">
        <v>30.3</v>
      </c>
      <c r="F997" s="1">
        <v>44244</v>
      </c>
      <c r="G997" t="s">
        <v>2004</v>
      </c>
      <c r="H997">
        <v>2</v>
      </c>
      <c r="I997" s="12">
        <f>Table16[[#This Row],[price]]*Table16[[#This Row],[quantity]]</f>
        <v>60.6</v>
      </c>
    </row>
    <row r="998" spans="1:9" x14ac:dyDescent="0.3">
      <c r="A998" t="s">
        <v>3018</v>
      </c>
      <c r="B998" t="s">
        <v>194</v>
      </c>
      <c r="C998" t="s">
        <v>2057</v>
      </c>
      <c r="D998">
        <v>5</v>
      </c>
      <c r="E998" s="16">
        <v>58.65</v>
      </c>
      <c r="F998" s="1">
        <v>44298</v>
      </c>
      <c r="G998" t="s">
        <v>2002</v>
      </c>
      <c r="H998">
        <v>3</v>
      </c>
      <c r="I998" s="12">
        <f>Table16[[#This Row],[price]]*Table16[[#This Row],[quantity]]</f>
        <v>293.25</v>
      </c>
    </row>
    <row r="999" spans="1:9" x14ac:dyDescent="0.3">
      <c r="A999" t="s">
        <v>3022</v>
      </c>
      <c r="B999" t="s">
        <v>194</v>
      </c>
      <c r="C999" t="s">
        <v>2001</v>
      </c>
      <c r="D999">
        <v>4</v>
      </c>
      <c r="E999" s="16">
        <v>1200.32</v>
      </c>
      <c r="F999" s="1">
        <v>44379</v>
      </c>
      <c r="G999" t="s">
        <v>2058</v>
      </c>
      <c r="H999">
        <v>4</v>
      </c>
      <c r="I999" s="12">
        <f>Table16[[#This Row],[price]]*Table16[[#This Row],[quantity]]</f>
        <v>4801.28</v>
      </c>
    </row>
    <row r="1000" spans="1:9" x14ac:dyDescent="0.3">
      <c r="A1000" t="s">
        <v>3021</v>
      </c>
      <c r="B1000" t="s">
        <v>194</v>
      </c>
      <c r="C1000" t="s">
        <v>2001</v>
      </c>
      <c r="D1000">
        <v>5</v>
      </c>
      <c r="E1000" s="16">
        <v>1500.4</v>
      </c>
      <c r="F1000" s="1">
        <v>44511</v>
      </c>
      <c r="G1000" t="s">
        <v>2064</v>
      </c>
      <c r="H1000">
        <v>1</v>
      </c>
      <c r="I1000" s="12">
        <f>Table16[[#This Row],[price]]*Table16[[#This Row],[quantity]]</f>
        <v>7502</v>
      </c>
    </row>
    <row r="1001" spans="1:9" x14ac:dyDescent="0.3">
      <c r="A1001" t="s">
        <v>3016</v>
      </c>
      <c r="B1001" t="s">
        <v>194</v>
      </c>
      <c r="C1001" t="s">
        <v>2011</v>
      </c>
      <c r="D1001">
        <v>3</v>
      </c>
      <c r="E1001" s="16">
        <v>121.98</v>
      </c>
      <c r="F1001" s="1">
        <v>44529</v>
      </c>
      <c r="G1001" t="s">
        <v>2020</v>
      </c>
      <c r="H1001">
        <v>4</v>
      </c>
      <c r="I1001" s="12">
        <f>Table16[[#This Row],[price]]*Table16[[#This Row],[quantity]]</f>
        <v>365.94</v>
      </c>
    </row>
    <row r="1002" spans="1:9" x14ac:dyDescent="0.3">
      <c r="A1002" t="s">
        <v>3013</v>
      </c>
      <c r="B1002" t="s">
        <v>194</v>
      </c>
      <c r="C1002" t="s">
        <v>2006</v>
      </c>
      <c r="D1002">
        <v>3</v>
      </c>
      <c r="E1002" s="16">
        <v>45.45</v>
      </c>
      <c r="F1002" s="1">
        <v>44549</v>
      </c>
      <c r="G1002" t="s">
        <v>2004</v>
      </c>
      <c r="H1002">
        <v>4</v>
      </c>
      <c r="I1002" s="12">
        <f>Table16[[#This Row],[price]]*Table16[[#This Row],[quantity]]</f>
        <v>136.35000000000002</v>
      </c>
    </row>
    <row r="1003" spans="1:9" x14ac:dyDescent="0.3">
      <c r="A1003" t="s">
        <v>3017</v>
      </c>
      <c r="B1003" t="s">
        <v>194</v>
      </c>
      <c r="C1003" t="s">
        <v>2057</v>
      </c>
      <c r="D1003">
        <v>1</v>
      </c>
      <c r="E1003" s="16">
        <v>11.73</v>
      </c>
      <c r="F1003" s="1">
        <v>44787</v>
      </c>
      <c r="G1003" t="s">
        <v>2004</v>
      </c>
      <c r="H1003">
        <v>3</v>
      </c>
      <c r="I1003" s="12">
        <f>Table16[[#This Row],[price]]*Table16[[#This Row],[quantity]]</f>
        <v>11.73</v>
      </c>
    </row>
    <row r="1004" spans="1:9" x14ac:dyDescent="0.3">
      <c r="A1004" t="s">
        <v>3015</v>
      </c>
      <c r="B1004" t="s">
        <v>194</v>
      </c>
      <c r="C1004" t="s">
        <v>2001</v>
      </c>
      <c r="D1004">
        <v>2</v>
      </c>
      <c r="E1004" s="16">
        <v>600.16</v>
      </c>
      <c r="F1004" s="1">
        <v>44808</v>
      </c>
      <c r="G1004" t="s">
        <v>2020</v>
      </c>
      <c r="H1004">
        <v>1</v>
      </c>
      <c r="I1004" s="12">
        <f>Table16[[#This Row],[price]]*Table16[[#This Row],[quantity]]</f>
        <v>1200.32</v>
      </c>
    </row>
    <row r="1005" spans="1:9" x14ac:dyDescent="0.3">
      <c r="A1005" t="s">
        <v>3019</v>
      </c>
      <c r="B1005" t="s">
        <v>194</v>
      </c>
      <c r="C1005" t="s">
        <v>2011</v>
      </c>
      <c r="D1005">
        <v>5</v>
      </c>
      <c r="E1005" s="16">
        <v>203.3</v>
      </c>
      <c r="F1005" s="1">
        <v>44848</v>
      </c>
      <c r="G1005" t="s">
        <v>2009</v>
      </c>
      <c r="H1005">
        <v>1</v>
      </c>
      <c r="I1005" s="12">
        <f>Table16[[#This Row],[price]]*Table16[[#This Row],[quantity]]</f>
        <v>1016.5</v>
      </c>
    </row>
    <row r="1006" spans="1:9" x14ac:dyDescent="0.3">
      <c r="A1006" t="s">
        <v>3014</v>
      </c>
      <c r="B1006" t="s">
        <v>194</v>
      </c>
      <c r="C1006" t="s">
        <v>2015</v>
      </c>
      <c r="D1006">
        <v>4</v>
      </c>
      <c r="E1006" s="16">
        <v>2400.6799999999998</v>
      </c>
      <c r="F1006" s="1">
        <v>44864</v>
      </c>
      <c r="G1006" t="s">
        <v>2027</v>
      </c>
      <c r="H1006">
        <v>5</v>
      </c>
      <c r="I1006" s="12">
        <f>Table16[[#This Row],[price]]*Table16[[#This Row],[quantity]]</f>
        <v>9602.7199999999993</v>
      </c>
    </row>
    <row r="1007" spans="1:9" x14ac:dyDescent="0.3">
      <c r="A1007" t="s">
        <v>3025</v>
      </c>
      <c r="B1007" t="s">
        <v>195</v>
      </c>
      <c r="C1007" t="s">
        <v>2024</v>
      </c>
      <c r="D1007">
        <v>2</v>
      </c>
      <c r="E1007" s="16">
        <v>71.680000000000007</v>
      </c>
      <c r="F1007" s="1">
        <v>44475</v>
      </c>
      <c r="G1007" t="s">
        <v>2027</v>
      </c>
      <c r="H1007">
        <v>4</v>
      </c>
      <c r="I1007" s="12">
        <f>Table16[[#This Row],[price]]*Table16[[#This Row],[quantity]]</f>
        <v>143.36000000000001</v>
      </c>
    </row>
    <row r="1008" spans="1:9" x14ac:dyDescent="0.3">
      <c r="A1008" t="s">
        <v>3023</v>
      </c>
      <c r="B1008" t="s">
        <v>195</v>
      </c>
      <c r="C1008" t="s">
        <v>2001</v>
      </c>
      <c r="D1008">
        <v>2</v>
      </c>
      <c r="E1008" s="16">
        <v>600.16</v>
      </c>
      <c r="F1008" s="1">
        <v>44617</v>
      </c>
      <c r="G1008" t="s">
        <v>2004</v>
      </c>
      <c r="H1008">
        <v>4</v>
      </c>
      <c r="I1008" s="12">
        <f>Table16[[#This Row],[price]]*Table16[[#This Row],[quantity]]</f>
        <v>1200.32</v>
      </c>
    </row>
    <row r="1009" spans="1:9" x14ac:dyDescent="0.3">
      <c r="A1009" t="s">
        <v>3026</v>
      </c>
      <c r="B1009" t="s">
        <v>195</v>
      </c>
      <c r="C1009" t="s">
        <v>2001</v>
      </c>
      <c r="D1009">
        <v>4</v>
      </c>
      <c r="E1009" s="16">
        <v>1200.32</v>
      </c>
      <c r="F1009" s="1">
        <v>44799</v>
      </c>
      <c r="G1009" t="s">
        <v>2002</v>
      </c>
      <c r="H1009">
        <v>2</v>
      </c>
      <c r="I1009" s="12">
        <f>Table16[[#This Row],[price]]*Table16[[#This Row],[quantity]]</f>
        <v>4801.28</v>
      </c>
    </row>
    <row r="1010" spans="1:9" x14ac:dyDescent="0.3">
      <c r="A1010" t="s">
        <v>3024</v>
      </c>
      <c r="B1010" t="s">
        <v>195</v>
      </c>
      <c r="C1010" t="s">
        <v>2017</v>
      </c>
      <c r="D1010">
        <v>3</v>
      </c>
      <c r="E1010" s="16">
        <v>3150</v>
      </c>
      <c r="F1010" s="1">
        <v>44828</v>
      </c>
      <c r="G1010" t="s">
        <v>2009</v>
      </c>
      <c r="H1010">
        <v>5</v>
      </c>
      <c r="I1010" s="12">
        <f>Table16[[#This Row],[price]]*Table16[[#This Row],[quantity]]</f>
        <v>9450</v>
      </c>
    </row>
    <row r="1011" spans="1:9" x14ac:dyDescent="0.3">
      <c r="A1011" t="s">
        <v>3027</v>
      </c>
      <c r="B1011" t="s">
        <v>196</v>
      </c>
      <c r="C1011" t="s">
        <v>2011</v>
      </c>
      <c r="D1011">
        <v>1</v>
      </c>
      <c r="E1011" s="16">
        <v>40.659999999999997</v>
      </c>
      <c r="F1011" s="1">
        <v>44256</v>
      </c>
      <c r="G1011" t="s">
        <v>2002</v>
      </c>
      <c r="H1011">
        <v>3</v>
      </c>
      <c r="I1011" s="12">
        <f>Table16[[#This Row],[price]]*Table16[[#This Row],[quantity]]</f>
        <v>40.659999999999997</v>
      </c>
    </row>
    <row r="1012" spans="1:9" x14ac:dyDescent="0.3">
      <c r="A1012" t="s">
        <v>3029</v>
      </c>
      <c r="B1012" t="s">
        <v>196</v>
      </c>
      <c r="C1012" t="s">
        <v>2057</v>
      </c>
      <c r="D1012">
        <v>2</v>
      </c>
      <c r="E1012" s="16">
        <v>23.46</v>
      </c>
      <c r="F1012" s="1">
        <v>44427</v>
      </c>
      <c r="G1012" t="s">
        <v>2064</v>
      </c>
      <c r="H1012">
        <v>5</v>
      </c>
      <c r="I1012" s="12">
        <f>Table16[[#This Row],[price]]*Table16[[#This Row],[quantity]]</f>
        <v>46.92</v>
      </c>
    </row>
    <row r="1013" spans="1:9" x14ac:dyDescent="0.3">
      <c r="A1013" t="s">
        <v>3030</v>
      </c>
      <c r="B1013" t="s">
        <v>196</v>
      </c>
      <c r="C1013" t="s">
        <v>2015</v>
      </c>
      <c r="D1013">
        <v>5</v>
      </c>
      <c r="E1013" s="16">
        <v>3000.85</v>
      </c>
      <c r="F1013" s="1">
        <v>44503</v>
      </c>
      <c r="G1013" t="s">
        <v>2004</v>
      </c>
      <c r="H1013">
        <v>1</v>
      </c>
      <c r="I1013" s="12">
        <f>Table16[[#This Row],[price]]*Table16[[#This Row],[quantity]]</f>
        <v>15004.25</v>
      </c>
    </row>
    <row r="1014" spans="1:9" x14ac:dyDescent="0.3">
      <c r="A1014" t="s">
        <v>3031</v>
      </c>
      <c r="B1014" t="s">
        <v>196</v>
      </c>
      <c r="C1014" t="s">
        <v>2011</v>
      </c>
      <c r="D1014">
        <v>3</v>
      </c>
      <c r="E1014" s="16">
        <v>121.98</v>
      </c>
      <c r="F1014" s="1">
        <v>44524</v>
      </c>
      <c r="G1014" t="s">
        <v>2027</v>
      </c>
      <c r="H1014">
        <v>5</v>
      </c>
      <c r="I1014" s="12">
        <f>Table16[[#This Row],[price]]*Table16[[#This Row],[quantity]]</f>
        <v>365.94</v>
      </c>
    </row>
    <row r="1015" spans="1:9" x14ac:dyDescent="0.3">
      <c r="A1015" t="s">
        <v>3028</v>
      </c>
      <c r="B1015" t="s">
        <v>196</v>
      </c>
      <c r="C1015" t="s">
        <v>2011</v>
      </c>
      <c r="D1015">
        <v>5</v>
      </c>
      <c r="E1015" s="16">
        <v>203.3</v>
      </c>
      <c r="F1015" s="1">
        <v>44567</v>
      </c>
      <c r="G1015" t="s">
        <v>2002</v>
      </c>
      <c r="H1015">
        <v>5</v>
      </c>
      <c r="I1015" s="12">
        <f>Table16[[#This Row],[price]]*Table16[[#This Row],[quantity]]</f>
        <v>1016.5</v>
      </c>
    </row>
    <row r="1016" spans="1:9" x14ac:dyDescent="0.3">
      <c r="A1016" t="s">
        <v>3033</v>
      </c>
      <c r="B1016" t="s">
        <v>197</v>
      </c>
      <c r="C1016" t="s">
        <v>2001</v>
      </c>
      <c r="D1016">
        <v>2</v>
      </c>
      <c r="E1016" s="16">
        <v>600.16</v>
      </c>
      <c r="F1016" s="1">
        <v>44702</v>
      </c>
      <c r="G1016" t="s">
        <v>2004</v>
      </c>
      <c r="H1016">
        <v>5</v>
      </c>
      <c r="I1016" s="12">
        <f>Table16[[#This Row],[price]]*Table16[[#This Row],[quantity]]</f>
        <v>1200.32</v>
      </c>
    </row>
    <row r="1017" spans="1:9" x14ac:dyDescent="0.3">
      <c r="A1017" t="s">
        <v>3032</v>
      </c>
      <c r="B1017" t="s">
        <v>197</v>
      </c>
      <c r="C1017" t="s">
        <v>2001</v>
      </c>
      <c r="D1017">
        <v>3</v>
      </c>
      <c r="E1017" s="16">
        <v>900.24</v>
      </c>
      <c r="F1017" s="1">
        <v>44757</v>
      </c>
      <c r="G1017" t="s">
        <v>2027</v>
      </c>
      <c r="H1017">
        <v>1</v>
      </c>
      <c r="I1017" s="12">
        <f>Table16[[#This Row],[price]]*Table16[[#This Row],[quantity]]</f>
        <v>2700.7200000000003</v>
      </c>
    </row>
    <row r="1018" spans="1:9" x14ac:dyDescent="0.3">
      <c r="A1018" t="s">
        <v>3034</v>
      </c>
      <c r="B1018" t="s">
        <v>197</v>
      </c>
      <c r="C1018" t="s">
        <v>2001</v>
      </c>
      <c r="D1018">
        <v>1</v>
      </c>
      <c r="E1018" s="16">
        <v>300.08</v>
      </c>
      <c r="F1018" s="1">
        <v>44886</v>
      </c>
      <c r="G1018" t="s">
        <v>2020</v>
      </c>
      <c r="H1018">
        <v>3</v>
      </c>
      <c r="I1018" s="12">
        <f>Table16[[#This Row],[price]]*Table16[[#This Row],[quantity]]</f>
        <v>300.08</v>
      </c>
    </row>
    <row r="1019" spans="1:9" x14ac:dyDescent="0.3">
      <c r="A1019" t="s">
        <v>3037</v>
      </c>
      <c r="B1019" t="s">
        <v>198</v>
      </c>
      <c r="C1019" t="s">
        <v>2015</v>
      </c>
      <c r="D1019">
        <v>5</v>
      </c>
      <c r="E1019" s="16">
        <v>3000.85</v>
      </c>
      <c r="F1019" s="1">
        <v>44457</v>
      </c>
      <c r="G1019" t="s">
        <v>2041</v>
      </c>
      <c r="H1019">
        <v>5</v>
      </c>
      <c r="I1019" s="12">
        <f>Table16[[#This Row],[price]]*Table16[[#This Row],[quantity]]</f>
        <v>15004.25</v>
      </c>
    </row>
    <row r="1020" spans="1:9" x14ac:dyDescent="0.3">
      <c r="A1020" t="s">
        <v>3036</v>
      </c>
      <c r="B1020" t="s">
        <v>198</v>
      </c>
      <c r="C1020" t="s">
        <v>2001</v>
      </c>
      <c r="D1020">
        <v>2</v>
      </c>
      <c r="E1020" s="16">
        <v>600.16</v>
      </c>
      <c r="F1020" s="1">
        <v>44663</v>
      </c>
      <c r="G1020" t="s">
        <v>2027</v>
      </c>
      <c r="H1020">
        <v>4</v>
      </c>
      <c r="I1020" s="12">
        <f>Table16[[#This Row],[price]]*Table16[[#This Row],[quantity]]</f>
        <v>1200.32</v>
      </c>
    </row>
    <row r="1021" spans="1:9" x14ac:dyDescent="0.3">
      <c r="A1021" t="s">
        <v>3038</v>
      </c>
      <c r="B1021" t="s">
        <v>198</v>
      </c>
      <c r="C1021" t="s">
        <v>2011</v>
      </c>
      <c r="D1021">
        <v>4</v>
      </c>
      <c r="E1021" s="16">
        <v>162.63999999999999</v>
      </c>
      <c r="F1021" s="1">
        <v>44742</v>
      </c>
      <c r="G1021" t="s">
        <v>2004</v>
      </c>
      <c r="H1021">
        <v>1</v>
      </c>
      <c r="I1021" s="12">
        <f>Table16[[#This Row],[price]]*Table16[[#This Row],[quantity]]</f>
        <v>650.55999999999995</v>
      </c>
    </row>
    <row r="1022" spans="1:9" x14ac:dyDescent="0.3">
      <c r="A1022" t="s">
        <v>3035</v>
      </c>
      <c r="B1022" t="s">
        <v>198</v>
      </c>
      <c r="C1022" t="s">
        <v>2024</v>
      </c>
      <c r="D1022">
        <v>3</v>
      </c>
      <c r="E1022" s="16">
        <v>107.52</v>
      </c>
      <c r="F1022" s="1">
        <v>44810</v>
      </c>
      <c r="G1022" t="s">
        <v>2004</v>
      </c>
      <c r="H1022">
        <v>5</v>
      </c>
      <c r="I1022" s="12">
        <f>Table16[[#This Row],[price]]*Table16[[#This Row],[quantity]]</f>
        <v>322.56</v>
      </c>
    </row>
    <row r="1023" spans="1:9" x14ac:dyDescent="0.3">
      <c r="A1023" t="s">
        <v>3040</v>
      </c>
      <c r="B1023" t="s">
        <v>199</v>
      </c>
      <c r="C1023" t="s">
        <v>2008</v>
      </c>
      <c r="D1023">
        <v>2</v>
      </c>
      <c r="E1023" s="16">
        <v>10.46</v>
      </c>
      <c r="F1023" s="1">
        <v>44346</v>
      </c>
      <c r="G1023" t="s">
        <v>2004</v>
      </c>
      <c r="H1023">
        <v>3</v>
      </c>
      <c r="I1023" s="12">
        <f>Table16[[#This Row],[price]]*Table16[[#This Row],[quantity]]</f>
        <v>20.92</v>
      </c>
    </row>
    <row r="1024" spans="1:9" x14ac:dyDescent="0.3">
      <c r="A1024" t="s">
        <v>3045</v>
      </c>
      <c r="B1024" t="s">
        <v>199</v>
      </c>
      <c r="C1024" t="s">
        <v>2001</v>
      </c>
      <c r="D1024">
        <v>4</v>
      </c>
      <c r="E1024" s="16">
        <v>1200.32</v>
      </c>
      <c r="F1024" s="1">
        <v>44448</v>
      </c>
      <c r="G1024" t="s">
        <v>2027</v>
      </c>
      <c r="H1024">
        <v>1</v>
      </c>
      <c r="I1024" s="12">
        <f>Table16[[#This Row],[price]]*Table16[[#This Row],[quantity]]</f>
        <v>4801.28</v>
      </c>
    </row>
    <row r="1025" spans="1:9" x14ac:dyDescent="0.3">
      <c r="A1025" t="s">
        <v>3042</v>
      </c>
      <c r="B1025" t="s">
        <v>199</v>
      </c>
      <c r="C1025" t="s">
        <v>2024</v>
      </c>
      <c r="D1025">
        <v>3</v>
      </c>
      <c r="E1025" s="16">
        <v>107.52</v>
      </c>
      <c r="F1025" s="1">
        <v>44587</v>
      </c>
      <c r="G1025" t="s">
        <v>2058</v>
      </c>
      <c r="H1025">
        <v>2</v>
      </c>
      <c r="I1025" s="12">
        <f>Table16[[#This Row],[price]]*Table16[[#This Row],[quantity]]</f>
        <v>322.56</v>
      </c>
    </row>
    <row r="1026" spans="1:9" x14ac:dyDescent="0.3">
      <c r="A1026" t="s">
        <v>3044</v>
      </c>
      <c r="B1026" t="s">
        <v>199</v>
      </c>
      <c r="C1026" t="s">
        <v>2015</v>
      </c>
      <c r="D1026">
        <v>1</v>
      </c>
      <c r="E1026" s="16">
        <v>600.16999999999996</v>
      </c>
      <c r="F1026" s="1">
        <v>44650</v>
      </c>
      <c r="G1026" t="s">
        <v>2012</v>
      </c>
      <c r="H1026">
        <v>5</v>
      </c>
      <c r="I1026" s="12">
        <f>Table16[[#This Row],[price]]*Table16[[#This Row],[quantity]]</f>
        <v>600.16999999999996</v>
      </c>
    </row>
    <row r="1027" spans="1:9" x14ac:dyDescent="0.3">
      <c r="A1027" t="s">
        <v>3041</v>
      </c>
      <c r="B1027" t="s">
        <v>199</v>
      </c>
      <c r="C1027" t="s">
        <v>2057</v>
      </c>
      <c r="D1027">
        <v>4</v>
      </c>
      <c r="E1027" s="16">
        <v>46.92</v>
      </c>
      <c r="F1027" s="1">
        <v>44770</v>
      </c>
      <c r="G1027" t="s">
        <v>2027</v>
      </c>
      <c r="H1027">
        <v>2</v>
      </c>
      <c r="I1027" s="12">
        <f>Table16[[#This Row],[price]]*Table16[[#This Row],[quantity]]</f>
        <v>187.68</v>
      </c>
    </row>
    <row r="1028" spans="1:9" x14ac:dyDescent="0.3">
      <c r="A1028" t="s">
        <v>3043</v>
      </c>
      <c r="B1028" t="s">
        <v>199</v>
      </c>
      <c r="C1028" t="s">
        <v>2001</v>
      </c>
      <c r="D1028">
        <v>1</v>
      </c>
      <c r="E1028" s="16">
        <v>300.08</v>
      </c>
      <c r="F1028" s="1">
        <v>44808</v>
      </c>
      <c r="G1028" t="s">
        <v>2004</v>
      </c>
      <c r="H1028">
        <v>3</v>
      </c>
      <c r="I1028" s="12">
        <f>Table16[[#This Row],[price]]*Table16[[#This Row],[quantity]]</f>
        <v>300.08</v>
      </c>
    </row>
    <row r="1029" spans="1:9" x14ac:dyDescent="0.3">
      <c r="A1029" t="s">
        <v>3039</v>
      </c>
      <c r="B1029" t="s">
        <v>199</v>
      </c>
      <c r="C1029" t="s">
        <v>2008</v>
      </c>
      <c r="D1029">
        <v>2</v>
      </c>
      <c r="E1029" s="16">
        <v>10.46</v>
      </c>
      <c r="F1029" s="1">
        <v>44871</v>
      </c>
      <c r="G1029" t="s">
        <v>2012</v>
      </c>
      <c r="H1029">
        <v>2</v>
      </c>
      <c r="I1029" s="12">
        <f>Table16[[#This Row],[price]]*Table16[[#This Row],[quantity]]</f>
        <v>20.92</v>
      </c>
    </row>
    <row r="1030" spans="1:9" x14ac:dyDescent="0.3">
      <c r="A1030" t="s">
        <v>3046</v>
      </c>
      <c r="B1030" t="s">
        <v>200</v>
      </c>
      <c r="C1030" t="s">
        <v>2001</v>
      </c>
      <c r="D1030">
        <v>2</v>
      </c>
      <c r="E1030" s="16">
        <v>600.16</v>
      </c>
      <c r="F1030" s="1">
        <v>44393</v>
      </c>
      <c r="G1030" t="s">
        <v>2002</v>
      </c>
      <c r="H1030">
        <v>1</v>
      </c>
      <c r="I1030" s="12">
        <f>Table16[[#This Row],[price]]*Table16[[#This Row],[quantity]]</f>
        <v>1200.32</v>
      </c>
    </row>
    <row r="1031" spans="1:9" x14ac:dyDescent="0.3">
      <c r="A1031" t="s">
        <v>3048</v>
      </c>
      <c r="B1031" t="s">
        <v>200</v>
      </c>
      <c r="C1031" t="s">
        <v>2001</v>
      </c>
      <c r="D1031">
        <v>3</v>
      </c>
      <c r="E1031" s="16">
        <v>900.24</v>
      </c>
      <c r="F1031" s="1">
        <v>44664</v>
      </c>
      <c r="G1031" t="s">
        <v>2004</v>
      </c>
      <c r="H1031">
        <v>3</v>
      </c>
      <c r="I1031" s="12">
        <f>Table16[[#This Row],[price]]*Table16[[#This Row],[quantity]]</f>
        <v>2700.7200000000003</v>
      </c>
    </row>
    <row r="1032" spans="1:9" x14ac:dyDescent="0.3">
      <c r="A1032" t="s">
        <v>3050</v>
      </c>
      <c r="B1032" t="s">
        <v>200</v>
      </c>
      <c r="C1032" t="s">
        <v>2011</v>
      </c>
      <c r="D1032">
        <v>1</v>
      </c>
      <c r="E1032" s="16">
        <v>40.659999999999997</v>
      </c>
      <c r="F1032" s="1">
        <v>44681</v>
      </c>
      <c r="G1032" t="s">
        <v>2002</v>
      </c>
      <c r="H1032">
        <v>1</v>
      </c>
      <c r="I1032" s="12">
        <f>Table16[[#This Row],[price]]*Table16[[#This Row],[quantity]]</f>
        <v>40.659999999999997</v>
      </c>
    </row>
    <row r="1033" spans="1:9" x14ac:dyDescent="0.3">
      <c r="A1033" t="s">
        <v>3049</v>
      </c>
      <c r="B1033" t="s">
        <v>200</v>
      </c>
      <c r="C1033" t="s">
        <v>2001</v>
      </c>
      <c r="D1033">
        <v>1</v>
      </c>
      <c r="E1033" s="16">
        <v>300.08</v>
      </c>
      <c r="F1033" s="1">
        <v>44747</v>
      </c>
      <c r="G1033" t="s">
        <v>2004</v>
      </c>
      <c r="H1033">
        <v>4</v>
      </c>
      <c r="I1033" s="12">
        <f>Table16[[#This Row],[price]]*Table16[[#This Row],[quantity]]</f>
        <v>300.08</v>
      </c>
    </row>
    <row r="1034" spans="1:9" x14ac:dyDescent="0.3">
      <c r="A1034" t="s">
        <v>3047</v>
      </c>
      <c r="B1034" t="s">
        <v>200</v>
      </c>
      <c r="C1034" t="s">
        <v>2001</v>
      </c>
      <c r="D1034">
        <v>4</v>
      </c>
      <c r="E1034" s="16">
        <v>1200.32</v>
      </c>
      <c r="F1034" s="1">
        <v>44755</v>
      </c>
      <c r="G1034" t="s">
        <v>2002</v>
      </c>
      <c r="H1034">
        <v>5</v>
      </c>
      <c r="I1034" s="12">
        <f>Table16[[#This Row],[price]]*Table16[[#This Row],[quantity]]</f>
        <v>4801.28</v>
      </c>
    </row>
    <row r="1035" spans="1:9" x14ac:dyDescent="0.3">
      <c r="A1035" t="s">
        <v>3054</v>
      </c>
      <c r="B1035" t="s">
        <v>201</v>
      </c>
      <c r="C1035" t="s">
        <v>2011</v>
      </c>
      <c r="D1035">
        <v>2</v>
      </c>
      <c r="E1035" s="16">
        <v>81.319999999999993</v>
      </c>
      <c r="F1035" s="1">
        <v>44427</v>
      </c>
      <c r="G1035" t="s">
        <v>2058</v>
      </c>
      <c r="H1035">
        <v>1</v>
      </c>
      <c r="I1035" s="12">
        <f>Table16[[#This Row],[price]]*Table16[[#This Row],[quantity]]</f>
        <v>162.63999999999999</v>
      </c>
    </row>
    <row r="1036" spans="1:9" x14ac:dyDescent="0.3">
      <c r="A1036" t="s">
        <v>3055</v>
      </c>
      <c r="B1036" t="s">
        <v>201</v>
      </c>
      <c r="C1036" t="s">
        <v>2015</v>
      </c>
      <c r="D1036">
        <v>1</v>
      </c>
      <c r="E1036" s="16">
        <v>600.16999999999996</v>
      </c>
      <c r="F1036" s="1">
        <v>44616</v>
      </c>
      <c r="G1036" t="s">
        <v>2020</v>
      </c>
      <c r="H1036">
        <v>3</v>
      </c>
      <c r="I1036" s="12">
        <f>Table16[[#This Row],[price]]*Table16[[#This Row],[quantity]]</f>
        <v>600.16999999999996</v>
      </c>
    </row>
    <row r="1037" spans="1:9" x14ac:dyDescent="0.3">
      <c r="A1037" t="s">
        <v>3052</v>
      </c>
      <c r="B1037" t="s">
        <v>201</v>
      </c>
      <c r="C1037" t="s">
        <v>2011</v>
      </c>
      <c r="D1037">
        <v>5</v>
      </c>
      <c r="E1037" s="16">
        <v>203.3</v>
      </c>
      <c r="F1037" s="1">
        <v>44665</v>
      </c>
      <c r="G1037" t="s">
        <v>2012</v>
      </c>
      <c r="H1037">
        <v>4</v>
      </c>
      <c r="I1037" s="12">
        <f>Table16[[#This Row],[price]]*Table16[[#This Row],[quantity]]</f>
        <v>1016.5</v>
      </c>
    </row>
    <row r="1038" spans="1:9" x14ac:dyDescent="0.3">
      <c r="A1038" t="s">
        <v>3056</v>
      </c>
      <c r="B1038" t="s">
        <v>201</v>
      </c>
      <c r="C1038" t="s">
        <v>2011</v>
      </c>
      <c r="D1038">
        <v>3</v>
      </c>
      <c r="E1038" s="16">
        <v>121.98</v>
      </c>
      <c r="F1038" s="1">
        <v>44787</v>
      </c>
      <c r="G1038" t="s">
        <v>2009</v>
      </c>
      <c r="H1038">
        <v>1</v>
      </c>
      <c r="I1038" s="12">
        <f>Table16[[#This Row],[price]]*Table16[[#This Row],[quantity]]</f>
        <v>365.94</v>
      </c>
    </row>
    <row r="1039" spans="1:9" x14ac:dyDescent="0.3">
      <c r="A1039" t="s">
        <v>3059</v>
      </c>
      <c r="B1039" t="s">
        <v>201</v>
      </c>
      <c r="C1039" t="s">
        <v>2011</v>
      </c>
      <c r="D1039">
        <v>1</v>
      </c>
      <c r="E1039" s="16">
        <v>40.659999999999997</v>
      </c>
      <c r="F1039" s="1">
        <v>44836</v>
      </c>
      <c r="G1039" t="s">
        <v>2027</v>
      </c>
      <c r="H1039">
        <v>5</v>
      </c>
      <c r="I1039" s="12">
        <f>Table16[[#This Row],[price]]*Table16[[#This Row],[quantity]]</f>
        <v>40.659999999999997</v>
      </c>
    </row>
    <row r="1040" spans="1:9" x14ac:dyDescent="0.3">
      <c r="A1040" t="s">
        <v>3058</v>
      </c>
      <c r="B1040" t="s">
        <v>201</v>
      </c>
      <c r="C1040" t="s">
        <v>2015</v>
      </c>
      <c r="D1040">
        <v>2</v>
      </c>
      <c r="E1040" s="16">
        <v>1200.3399999999999</v>
      </c>
      <c r="F1040" s="1">
        <v>44842</v>
      </c>
      <c r="G1040" t="s">
        <v>2020</v>
      </c>
      <c r="H1040">
        <v>4</v>
      </c>
      <c r="I1040" s="12">
        <f>Table16[[#This Row],[price]]*Table16[[#This Row],[quantity]]</f>
        <v>2400.6799999999998</v>
      </c>
    </row>
    <row r="1041" spans="1:9" x14ac:dyDescent="0.3">
      <c r="A1041" t="s">
        <v>3051</v>
      </c>
      <c r="B1041" t="s">
        <v>201</v>
      </c>
      <c r="C1041" t="s">
        <v>2001</v>
      </c>
      <c r="D1041">
        <v>5</v>
      </c>
      <c r="E1041" s="16">
        <v>1500.4</v>
      </c>
      <c r="F1041" s="1">
        <v>44956</v>
      </c>
      <c r="G1041" t="s">
        <v>2004</v>
      </c>
      <c r="H1041">
        <v>5</v>
      </c>
      <c r="I1041" s="12">
        <f>Table16[[#This Row],[price]]*Table16[[#This Row],[quantity]]</f>
        <v>7502</v>
      </c>
    </row>
    <row r="1042" spans="1:9" x14ac:dyDescent="0.3">
      <c r="A1042" t="s">
        <v>3057</v>
      </c>
      <c r="B1042" t="s">
        <v>201</v>
      </c>
      <c r="C1042" t="s">
        <v>2011</v>
      </c>
      <c r="D1042">
        <v>5</v>
      </c>
      <c r="E1042" s="16">
        <v>203.3</v>
      </c>
      <c r="F1042" s="1">
        <v>44960</v>
      </c>
      <c r="G1042" t="s">
        <v>2027</v>
      </c>
      <c r="H1042">
        <v>5</v>
      </c>
      <c r="I1042" s="12">
        <f>Table16[[#This Row],[price]]*Table16[[#This Row],[quantity]]</f>
        <v>1016.5</v>
      </c>
    </row>
    <row r="1043" spans="1:9" x14ac:dyDescent="0.3">
      <c r="A1043" t="s">
        <v>3053</v>
      </c>
      <c r="B1043" t="s">
        <v>201</v>
      </c>
      <c r="C1043" t="s">
        <v>2001</v>
      </c>
      <c r="D1043">
        <v>2</v>
      </c>
      <c r="E1043" s="16">
        <v>600.16</v>
      </c>
      <c r="F1043" s="1">
        <v>44984</v>
      </c>
      <c r="G1043" t="s">
        <v>2018</v>
      </c>
      <c r="H1043">
        <v>3</v>
      </c>
      <c r="I1043" s="12">
        <f>Table16[[#This Row],[price]]*Table16[[#This Row],[quantity]]</f>
        <v>1200.32</v>
      </c>
    </row>
    <row r="1044" spans="1:9" x14ac:dyDescent="0.3">
      <c r="A1044" t="s">
        <v>3060</v>
      </c>
      <c r="B1044" t="s">
        <v>202</v>
      </c>
      <c r="C1044" t="s">
        <v>2011</v>
      </c>
      <c r="D1044">
        <v>3</v>
      </c>
      <c r="E1044" s="16">
        <v>121.98</v>
      </c>
      <c r="F1044" s="1">
        <v>44257</v>
      </c>
      <c r="G1044" t="s">
        <v>2012</v>
      </c>
      <c r="H1044">
        <v>2</v>
      </c>
      <c r="I1044" s="12">
        <f>Table16[[#This Row],[price]]*Table16[[#This Row],[quantity]]</f>
        <v>365.94</v>
      </c>
    </row>
    <row r="1045" spans="1:9" x14ac:dyDescent="0.3">
      <c r="A1045" t="s">
        <v>3063</v>
      </c>
      <c r="B1045" t="s">
        <v>202</v>
      </c>
      <c r="C1045" t="s">
        <v>2024</v>
      </c>
      <c r="D1045">
        <v>4</v>
      </c>
      <c r="E1045" s="16">
        <v>143.36000000000001</v>
      </c>
      <c r="F1045" s="1">
        <v>44456</v>
      </c>
      <c r="G1045" t="s">
        <v>2020</v>
      </c>
      <c r="H1045">
        <v>1</v>
      </c>
      <c r="I1045" s="12">
        <f>Table16[[#This Row],[price]]*Table16[[#This Row],[quantity]]</f>
        <v>573.44000000000005</v>
      </c>
    </row>
    <row r="1046" spans="1:9" x14ac:dyDescent="0.3">
      <c r="A1046" t="s">
        <v>3062</v>
      </c>
      <c r="B1046" t="s">
        <v>202</v>
      </c>
      <c r="C1046" t="s">
        <v>2001</v>
      </c>
      <c r="D1046">
        <v>1</v>
      </c>
      <c r="E1046" s="16">
        <v>300.08</v>
      </c>
      <c r="F1046" s="1">
        <v>44698</v>
      </c>
      <c r="G1046" t="s">
        <v>2018</v>
      </c>
      <c r="H1046">
        <v>2</v>
      </c>
      <c r="I1046" s="12">
        <f>Table16[[#This Row],[price]]*Table16[[#This Row],[quantity]]</f>
        <v>300.08</v>
      </c>
    </row>
    <row r="1047" spans="1:9" x14ac:dyDescent="0.3">
      <c r="A1047" t="s">
        <v>3064</v>
      </c>
      <c r="B1047" t="s">
        <v>202</v>
      </c>
      <c r="C1047" t="s">
        <v>2001</v>
      </c>
      <c r="D1047">
        <v>3</v>
      </c>
      <c r="E1047" s="16">
        <v>900.24</v>
      </c>
      <c r="F1047" s="1">
        <v>44711</v>
      </c>
      <c r="G1047" t="s">
        <v>2004</v>
      </c>
      <c r="H1047">
        <v>4</v>
      </c>
      <c r="I1047" s="12">
        <f>Table16[[#This Row],[price]]*Table16[[#This Row],[quantity]]</f>
        <v>2700.7200000000003</v>
      </c>
    </row>
    <row r="1048" spans="1:9" x14ac:dyDescent="0.3">
      <c r="A1048" t="s">
        <v>3061</v>
      </c>
      <c r="B1048" t="s">
        <v>202</v>
      </c>
      <c r="C1048" t="s">
        <v>2001</v>
      </c>
      <c r="D1048">
        <v>3</v>
      </c>
      <c r="E1048" s="16">
        <v>900.24</v>
      </c>
      <c r="F1048" s="1">
        <v>44838</v>
      </c>
      <c r="G1048" t="s">
        <v>2002</v>
      </c>
      <c r="H1048">
        <v>5</v>
      </c>
      <c r="I1048" s="12">
        <f>Table16[[#This Row],[price]]*Table16[[#This Row],[quantity]]</f>
        <v>2700.7200000000003</v>
      </c>
    </row>
    <row r="1049" spans="1:9" x14ac:dyDescent="0.3">
      <c r="A1049" t="s">
        <v>3066</v>
      </c>
      <c r="B1049" t="s">
        <v>203</v>
      </c>
      <c r="C1049" t="s">
        <v>2001</v>
      </c>
      <c r="D1049">
        <v>5</v>
      </c>
      <c r="E1049" s="16">
        <v>1500.4</v>
      </c>
      <c r="F1049" s="1">
        <v>44393</v>
      </c>
      <c r="G1049" t="s">
        <v>2027</v>
      </c>
      <c r="H1049">
        <v>3</v>
      </c>
      <c r="I1049" s="12">
        <f>Table16[[#This Row],[price]]*Table16[[#This Row],[quantity]]</f>
        <v>7502</v>
      </c>
    </row>
    <row r="1050" spans="1:9" x14ac:dyDescent="0.3">
      <c r="A1050" t="s">
        <v>3067</v>
      </c>
      <c r="B1050" t="s">
        <v>203</v>
      </c>
      <c r="C1050" t="s">
        <v>2006</v>
      </c>
      <c r="D1050">
        <v>1</v>
      </c>
      <c r="E1050" s="16">
        <v>15.15</v>
      </c>
      <c r="F1050" s="1">
        <v>44850</v>
      </c>
      <c r="G1050" t="s">
        <v>2020</v>
      </c>
      <c r="H1050">
        <v>2</v>
      </c>
      <c r="I1050" s="12">
        <f>Table16[[#This Row],[price]]*Table16[[#This Row],[quantity]]</f>
        <v>15.15</v>
      </c>
    </row>
    <row r="1051" spans="1:9" x14ac:dyDescent="0.3">
      <c r="A1051" t="s">
        <v>3065</v>
      </c>
      <c r="B1051" t="s">
        <v>203</v>
      </c>
      <c r="C1051" t="s">
        <v>2015</v>
      </c>
      <c r="D1051">
        <v>3</v>
      </c>
      <c r="E1051" s="16">
        <v>1800.51</v>
      </c>
      <c r="F1051" s="1">
        <v>44889</v>
      </c>
      <c r="G1051" t="s">
        <v>2027</v>
      </c>
      <c r="H1051">
        <v>4</v>
      </c>
      <c r="I1051" s="12">
        <f>Table16[[#This Row],[price]]*Table16[[#This Row],[quantity]]</f>
        <v>5401.53</v>
      </c>
    </row>
    <row r="1052" spans="1:9" x14ac:dyDescent="0.3">
      <c r="A1052" t="s">
        <v>3077</v>
      </c>
      <c r="B1052" t="s">
        <v>204</v>
      </c>
      <c r="C1052" t="s">
        <v>2001</v>
      </c>
      <c r="D1052">
        <v>5</v>
      </c>
      <c r="E1052" s="16">
        <v>1500.4</v>
      </c>
      <c r="F1052" s="1">
        <v>44266</v>
      </c>
      <c r="G1052" t="s">
        <v>2012</v>
      </c>
      <c r="H1052">
        <v>3</v>
      </c>
      <c r="I1052" s="12">
        <f>Table16[[#This Row],[price]]*Table16[[#This Row],[quantity]]</f>
        <v>7502</v>
      </c>
    </row>
    <row r="1053" spans="1:9" x14ac:dyDescent="0.3">
      <c r="A1053" t="s">
        <v>3075</v>
      </c>
      <c r="B1053" t="s">
        <v>204</v>
      </c>
      <c r="C1053" t="s">
        <v>2001</v>
      </c>
      <c r="D1053">
        <v>1</v>
      </c>
      <c r="E1053" s="16">
        <v>300.08</v>
      </c>
      <c r="F1053" s="1">
        <v>44279</v>
      </c>
      <c r="G1053" t="s">
        <v>2064</v>
      </c>
      <c r="H1053">
        <v>3</v>
      </c>
      <c r="I1053" s="12">
        <f>Table16[[#This Row],[price]]*Table16[[#This Row],[quantity]]</f>
        <v>300.08</v>
      </c>
    </row>
    <row r="1054" spans="1:9" x14ac:dyDescent="0.3">
      <c r="A1054" t="s">
        <v>3069</v>
      </c>
      <c r="B1054" t="s">
        <v>204</v>
      </c>
      <c r="C1054" t="s">
        <v>2001</v>
      </c>
      <c r="D1054">
        <v>5</v>
      </c>
      <c r="E1054" s="16">
        <v>1500.4</v>
      </c>
      <c r="F1054" s="1">
        <v>44340</v>
      </c>
      <c r="G1054" t="s">
        <v>2027</v>
      </c>
      <c r="H1054">
        <v>1</v>
      </c>
      <c r="I1054" s="12">
        <f>Table16[[#This Row],[price]]*Table16[[#This Row],[quantity]]</f>
        <v>7502</v>
      </c>
    </row>
    <row r="1055" spans="1:9" x14ac:dyDescent="0.3">
      <c r="A1055" t="s">
        <v>3071</v>
      </c>
      <c r="B1055" t="s">
        <v>204</v>
      </c>
      <c r="C1055" t="s">
        <v>2006</v>
      </c>
      <c r="D1055">
        <v>4</v>
      </c>
      <c r="E1055" s="16">
        <v>60.6</v>
      </c>
      <c r="F1055" s="1">
        <v>44399</v>
      </c>
      <c r="G1055" t="s">
        <v>2027</v>
      </c>
      <c r="H1055">
        <v>1</v>
      </c>
      <c r="I1055" s="12">
        <f>Table16[[#This Row],[price]]*Table16[[#This Row],[quantity]]</f>
        <v>242.4</v>
      </c>
    </row>
    <row r="1056" spans="1:9" x14ac:dyDescent="0.3">
      <c r="A1056" t="s">
        <v>3070</v>
      </c>
      <c r="B1056" t="s">
        <v>204</v>
      </c>
      <c r="C1056" t="s">
        <v>2001</v>
      </c>
      <c r="D1056">
        <v>5</v>
      </c>
      <c r="E1056" s="16">
        <v>1500.4</v>
      </c>
      <c r="F1056" s="1">
        <v>44492</v>
      </c>
      <c r="G1056" t="s">
        <v>2027</v>
      </c>
      <c r="H1056">
        <v>2</v>
      </c>
      <c r="I1056" s="12">
        <f>Table16[[#This Row],[price]]*Table16[[#This Row],[quantity]]</f>
        <v>7502</v>
      </c>
    </row>
    <row r="1057" spans="1:9" x14ac:dyDescent="0.3">
      <c r="A1057" t="s">
        <v>3074</v>
      </c>
      <c r="B1057" t="s">
        <v>204</v>
      </c>
      <c r="C1057" t="s">
        <v>2015</v>
      </c>
      <c r="D1057">
        <v>3</v>
      </c>
      <c r="E1057" s="16">
        <v>1800.51</v>
      </c>
      <c r="F1057" s="1">
        <v>44525</v>
      </c>
      <c r="G1057" t="s">
        <v>2004</v>
      </c>
      <c r="H1057">
        <v>3</v>
      </c>
      <c r="I1057" s="12">
        <f>Table16[[#This Row],[price]]*Table16[[#This Row],[quantity]]</f>
        <v>5401.53</v>
      </c>
    </row>
    <row r="1058" spans="1:9" x14ac:dyDescent="0.3">
      <c r="A1058" t="s">
        <v>3076</v>
      </c>
      <c r="B1058" t="s">
        <v>204</v>
      </c>
      <c r="C1058" t="s">
        <v>2008</v>
      </c>
      <c r="D1058">
        <v>5</v>
      </c>
      <c r="E1058" s="16">
        <v>26.15</v>
      </c>
      <c r="F1058" s="1">
        <v>44600</v>
      </c>
      <c r="G1058" t="s">
        <v>2004</v>
      </c>
      <c r="H1058">
        <v>3</v>
      </c>
      <c r="I1058" s="12">
        <f>Table16[[#This Row],[price]]*Table16[[#This Row],[quantity]]</f>
        <v>130.75</v>
      </c>
    </row>
    <row r="1059" spans="1:9" x14ac:dyDescent="0.3">
      <c r="A1059" t="s">
        <v>3068</v>
      </c>
      <c r="B1059" t="s">
        <v>204</v>
      </c>
      <c r="C1059" t="s">
        <v>2008</v>
      </c>
      <c r="D1059">
        <v>2</v>
      </c>
      <c r="E1059" s="16">
        <v>10.46</v>
      </c>
      <c r="F1059" s="1">
        <v>44642</v>
      </c>
      <c r="G1059" t="s">
        <v>2002</v>
      </c>
      <c r="H1059">
        <v>4</v>
      </c>
      <c r="I1059" s="12">
        <f>Table16[[#This Row],[price]]*Table16[[#This Row],[quantity]]</f>
        <v>20.92</v>
      </c>
    </row>
    <row r="1060" spans="1:9" x14ac:dyDescent="0.3">
      <c r="A1060" t="s">
        <v>3073</v>
      </c>
      <c r="B1060" t="s">
        <v>204</v>
      </c>
      <c r="C1060" t="s">
        <v>2024</v>
      </c>
      <c r="D1060">
        <v>4</v>
      </c>
      <c r="E1060" s="16">
        <v>143.36000000000001</v>
      </c>
      <c r="F1060" s="1">
        <v>44666</v>
      </c>
      <c r="G1060" t="s">
        <v>2004</v>
      </c>
      <c r="H1060">
        <v>5</v>
      </c>
      <c r="I1060" s="12">
        <f>Table16[[#This Row],[price]]*Table16[[#This Row],[quantity]]</f>
        <v>573.44000000000005</v>
      </c>
    </row>
    <row r="1061" spans="1:9" x14ac:dyDescent="0.3">
      <c r="A1061" t="s">
        <v>3072</v>
      </c>
      <c r="B1061" t="s">
        <v>204</v>
      </c>
      <c r="C1061" t="s">
        <v>2024</v>
      </c>
      <c r="D1061">
        <v>3</v>
      </c>
      <c r="E1061" s="16">
        <v>107.52</v>
      </c>
      <c r="F1061" s="1">
        <v>44911</v>
      </c>
      <c r="G1061" t="s">
        <v>2058</v>
      </c>
      <c r="H1061">
        <v>2</v>
      </c>
      <c r="I1061" s="12">
        <f>Table16[[#This Row],[price]]*Table16[[#This Row],[quantity]]</f>
        <v>322.56</v>
      </c>
    </row>
    <row r="1062" spans="1:9" x14ac:dyDescent="0.3">
      <c r="A1062" t="s">
        <v>3078</v>
      </c>
      <c r="B1062" t="s">
        <v>205</v>
      </c>
      <c r="C1062" t="s">
        <v>2001</v>
      </c>
      <c r="D1062">
        <v>2</v>
      </c>
      <c r="E1062" s="16">
        <v>600.16</v>
      </c>
      <c r="F1062" s="1">
        <v>44257</v>
      </c>
      <c r="G1062" t="s">
        <v>2004</v>
      </c>
      <c r="H1062">
        <v>2</v>
      </c>
      <c r="I1062" s="12">
        <f>Table16[[#This Row],[price]]*Table16[[#This Row],[quantity]]</f>
        <v>1200.32</v>
      </c>
    </row>
    <row r="1063" spans="1:9" x14ac:dyDescent="0.3">
      <c r="A1063" t="s">
        <v>3080</v>
      </c>
      <c r="B1063" t="s">
        <v>205</v>
      </c>
      <c r="C1063" t="s">
        <v>2001</v>
      </c>
      <c r="D1063">
        <v>5</v>
      </c>
      <c r="E1063" s="16">
        <v>1500.4</v>
      </c>
      <c r="F1063" s="1">
        <v>44616</v>
      </c>
      <c r="G1063" t="s">
        <v>2041</v>
      </c>
      <c r="H1063">
        <v>3</v>
      </c>
      <c r="I1063" s="12">
        <f>Table16[[#This Row],[price]]*Table16[[#This Row],[quantity]]</f>
        <v>7502</v>
      </c>
    </row>
    <row r="1064" spans="1:9" x14ac:dyDescent="0.3">
      <c r="A1064" t="s">
        <v>3079</v>
      </c>
      <c r="B1064" t="s">
        <v>205</v>
      </c>
      <c r="C1064" t="s">
        <v>2001</v>
      </c>
      <c r="D1064">
        <v>3</v>
      </c>
      <c r="E1064" s="16">
        <v>900.24</v>
      </c>
      <c r="F1064" s="1">
        <v>44779</v>
      </c>
      <c r="G1064" t="s">
        <v>2012</v>
      </c>
      <c r="H1064">
        <v>4</v>
      </c>
      <c r="I1064" s="12">
        <f>Table16[[#This Row],[price]]*Table16[[#This Row],[quantity]]</f>
        <v>2700.7200000000003</v>
      </c>
    </row>
    <row r="1065" spans="1:9" x14ac:dyDescent="0.3">
      <c r="A1065" t="s">
        <v>3082</v>
      </c>
      <c r="B1065" t="s">
        <v>206</v>
      </c>
      <c r="C1065" t="s">
        <v>2017</v>
      </c>
      <c r="D1065">
        <v>4</v>
      </c>
      <c r="E1065" s="16">
        <v>4200</v>
      </c>
      <c r="F1065" s="1">
        <v>44452</v>
      </c>
      <c r="G1065" t="s">
        <v>2027</v>
      </c>
      <c r="H1065">
        <v>1</v>
      </c>
      <c r="I1065" s="12">
        <f>Table16[[#This Row],[price]]*Table16[[#This Row],[quantity]]</f>
        <v>16800</v>
      </c>
    </row>
    <row r="1066" spans="1:9" x14ac:dyDescent="0.3">
      <c r="A1066" t="s">
        <v>3085</v>
      </c>
      <c r="B1066" t="s">
        <v>206</v>
      </c>
      <c r="C1066" t="s">
        <v>2001</v>
      </c>
      <c r="D1066">
        <v>1</v>
      </c>
      <c r="E1066" s="16">
        <v>300.08</v>
      </c>
      <c r="F1066" s="1">
        <v>44637</v>
      </c>
      <c r="G1066" t="s">
        <v>2020</v>
      </c>
      <c r="H1066">
        <v>4</v>
      </c>
      <c r="I1066" s="12">
        <f>Table16[[#This Row],[price]]*Table16[[#This Row],[quantity]]</f>
        <v>300.08</v>
      </c>
    </row>
    <row r="1067" spans="1:9" x14ac:dyDescent="0.3">
      <c r="A1067" t="s">
        <v>3084</v>
      </c>
      <c r="B1067" t="s">
        <v>206</v>
      </c>
      <c r="C1067" t="s">
        <v>2001</v>
      </c>
      <c r="D1067">
        <v>2</v>
      </c>
      <c r="E1067" s="16">
        <v>600.16</v>
      </c>
      <c r="F1067" s="1">
        <v>44915</v>
      </c>
      <c r="G1067" t="s">
        <v>2041</v>
      </c>
      <c r="H1067">
        <v>5</v>
      </c>
      <c r="I1067" s="12">
        <f>Table16[[#This Row],[price]]*Table16[[#This Row],[quantity]]</f>
        <v>1200.32</v>
      </c>
    </row>
    <row r="1068" spans="1:9" x14ac:dyDescent="0.3">
      <c r="A1068" t="s">
        <v>3081</v>
      </c>
      <c r="B1068" t="s">
        <v>206</v>
      </c>
      <c r="C1068" t="s">
        <v>2001</v>
      </c>
      <c r="D1068">
        <v>5</v>
      </c>
      <c r="E1068" s="16">
        <v>1500.4</v>
      </c>
      <c r="F1068" s="1">
        <v>44951</v>
      </c>
      <c r="G1068" t="s">
        <v>2027</v>
      </c>
      <c r="H1068">
        <v>2</v>
      </c>
      <c r="I1068" s="12">
        <f>Table16[[#This Row],[price]]*Table16[[#This Row],[quantity]]</f>
        <v>7502</v>
      </c>
    </row>
    <row r="1069" spans="1:9" x14ac:dyDescent="0.3">
      <c r="A1069" t="s">
        <v>3083</v>
      </c>
      <c r="B1069" t="s">
        <v>206</v>
      </c>
      <c r="C1069" t="s">
        <v>2001</v>
      </c>
      <c r="D1069">
        <v>5</v>
      </c>
      <c r="E1069" s="16">
        <v>1500.4</v>
      </c>
      <c r="F1069" s="1">
        <v>44953</v>
      </c>
      <c r="G1069" t="s">
        <v>2002</v>
      </c>
      <c r="H1069">
        <v>1</v>
      </c>
      <c r="I1069" s="12">
        <f>Table16[[#This Row],[price]]*Table16[[#This Row],[quantity]]</f>
        <v>7502</v>
      </c>
    </row>
    <row r="1070" spans="1:9" x14ac:dyDescent="0.3">
      <c r="A1070" t="s">
        <v>3087</v>
      </c>
      <c r="B1070" t="s">
        <v>207</v>
      </c>
      <c r="C1070" t="s">
        <v>2006</v>
      </c>
      <c r="D1070">
        <v>5</v>
      </c>
      <c r="E1070" s="16">
        <v>75.75</v>
      </c>
      <c r="F1070" s="1">
        <v>44301</v>
      </c>
      <c r="G1070" t="s">
        <v>2064</v>
      </c>
      <c r="H1070">
        <v>2</v>
      </c>
      <c r="I1070" s="12">
        <f>Table16[[#This Row],[price]]*Table16[[#This Row],[quantity]]</f>
        <v>378.75</v>
      </c>
    </row>
    <row r="1071" spans="1:9" x14ac:dyDescent="0.3">
      <c r="A1071" t="s">
        <v>3088</v>
      </c>
      <c r="B1071" t="s">
        <v>207</v>
      </c>
      <c r="C1071" t="s">
        <v>2015</v>
      </c>
      <c r="D1071">
        <v>4</v>
      </c>
      <c r="E1071" s="16">
        <v>2400.6799999999998</v>
      </c>
      <c r="F1071" s="1">
        <v>44765</v>
      </c>
      <c r="G1071" t="s">
        <v>2027</v>
      </c>
      <c r="H1071">
        <v>4</v>
      </c>
      <c r="I1071" s="12">
        <f>Table16[[#This Row],[price]]*Table16[[#This Row],[quantity]]</f>
        <v>9602.7199999999993</v>
      </c>
    </row>
    <row r="1072" spans="1:9" x14ac:dyDescent="0.3">
      <c r="A1072" t="s">
        <v>3089</v>
      </c>
      <c r="B1072" t="s">
        <v>207</v>
      </c>
      <c r="C1072" t="s">
        <v>2001</v>
      </c>
      <c r="D1072">
        <v>4</v>
      </c>
      <c r="E1072" s="16">
        <v>1200.32</v>
      </c>
      <c r="F1072" s="1">
        <v>44919</v>
      </c>
      <c r="G1072" t="s">
        <v>2027</v>
      </c>
      <c r="H1072">
        <v>4</v>
      </c>
      <c r="I1072" s="12">
        <f>Table16[[#This Row],[price]]*Table16[[#This Row],[quantity]]</f>
        <v>4801.28</v>
      </c>
    </row>
    <row r="1073" spans="1:9" x14ac:dyDescent="0.3">
      <c r="A1073" t="s">
        <v>3086</v>
      </c>
      <c r="B1073" t="s">
        <v>207</v>
      </c>
      <c r="C1073" t="s">
        <v>2001</v>
      </c>
      <c r="D1073">
        <v>5</v>
      </c>
      <c r="E1073" s="16">
        <v>1500.4</v>
      </c>
      <c r="F1073" s="1">
        <v>44957</v>
      </c>
      <c r="G1073" t="s">
        <v>2004</v>
      </c>
      <c r="H1073">
        <v>5</v>
      </c>
      <c r="I1073" s="12">
        <f>Table16[[#This Row],[price]]*Table16[[#This Row],[quantity]]</f>
        <v>7502</v>
      </c>
    </row>
    <row r="1074" spans="1:9" x14ac:dyDescent="0.3">
      <c r="A1074" t="s">
        <v>3093</v>
      </c>
      <c r="B1074" t="s">
        <v>208</v>
      </c>
      <c r="C1074" t="s">
        <v>2008</v>
      </c>
      <c r="D1074">
        <v>5</v>
      </c>
      <c r="E1074" s="16">
        <v>26.15</v>
      </c>
      <c r="F1074" s="1">
        <v>44710</v>
      </c>
      <c r="G1074" t="s">
        <v>2027</v>
      </c>
      <c r="H1074">
        <v>5</v>
      </c>
      <c r="I1074" s="12">
        <f>Table16[[#This Row],[price]]*Table16[[#This Row],[quantity]]</f>
        <v>130.75</v>
      </c>
    </row>
    <row r="1075" spans="1:9" x14ac:dyDescent="0.3">
      <c r="A1075" t="s">
        <v>3092</v>
      </c>
      <c r="B1075" t="s">
        <v>208</v>
      </c>
      <c r="C1075" t="s">
        <v>2006</v>
      </c>
      <c r="D1075">
        <v>3</v>
      </c>
      <c r="E1075" s="16">
        <v>45.45</v>
      </c>
      <c r="F1075" s="1">
        <v>44720</v>
      </c>
      <c r="G1075" t="s">
        <v>2027</v>
      </c>
      <c r="H1075">
        <v>2</v>
      </c>
      <c r="I1075" s="12">
        <f>Table16[[#This Row],[price]]*Table16[[#This Row],[quantity]]</f>
        <v>136.35000000000002</v>
      </c>
    </row>
    <row r="1076" spans="1:9" x14ac:dyDescent="0.3">
      <c r="A1076" t="s">
        <v>3091</v>
      </c>
      <c r="B1076" t="s">
        <v>208</v>
      </c>
      <c r="C1076" t="s">
        <v>2001</v>
      </c>
      <c r="D1076">
        <v>3</v>
      </c>
      <c r="E1076" s="16">
        <v>900.24</v>
      </c>
      <c r="F1076" s="1">
        <v>44833</v>
      </c>
      <c r="G1076" t="s">
        <v>2018</v>
      </c>
      <c r="H1076">
        <v>3</v>
      </c>
      <c r="I1076" s="12">
        <f>Table16[[#This Row],[price]]*Table16[[#This Row],[quantity]]</f>
        <v>2700.7200000000003</v>
      </c>
    </row>
    <row r="1077" spans="1:9" x14ac:dyDescent="0.3">
      <c r="A1077" t="s">
        <v>3090</v>
      </c>
      <c r="B1077" t="s">
        <v>208</v>
      </c>
      <c r="C1077" t="s">
        <v>2008</v>
      </c>
      <c r="D1077">
        <v>1</v>
      </c>
      <c r="E1077" s="16">
        <v>5.23</v>
      </c>
      <c r="F1077" s="1">
        <v>44938</v>
      </c>
      <c r="G1077" t="s">
        <v>2027</v>
      </c>
      <c r="H1077">
        <v>3</v>
      </c>
      <c r="I1077" s="12">
        <f>Table16[[#This Row],[price]]*Table16[[#This Row],[quantity]]</f>
        <v>5.23</v>
      </c>
    </row>
    <row r="1078" spans="1:9" x14ac:dyDescent="0.3">
      <c r="A1078" t="s">
        <v>3094</v>
      </c>
      <c r="B1078" t="s">
        <v>209</v>
      </c>
      <c r="C1078" t="s">
        <v>2015</v>
      </c>
      <c r="D1078">
        <v>4</v>
      </c>
      <c r="E1078" s="16">
        <v>2400.6799999999998</v>
      </c>
      <c r="F1078" s="1">
        <v>44214</v>
      </c>
      <c r="G1078" t="s">
        <v>2058</v>
      </c>
      <c r="H1078">
        <v>4</v>
      </c>
      <c r="I1078" s="12">
        <f>Table16[[#This Row],[price]]*Table16[[#This Row],[quantity]]</f>
        <v>9602.7199999999993</v>
      </c>
    </row>
    <row r="1079" spans="1:9" x14ac:dyDescent="0.3">
      <c r="A1079" t="s">
        <v>3098</v>
      </c>
      <c r="B1079" t="s">
        <v>209</v>
      </c>
      <c r="C1079" t="s">
        <v>2001</v>
      </c>
      <c r="D1079">
        <v>5</v>
      </c>
      <c r="E1079" s="16">
        <v>1500.4</v>
      </c>
      <c r="F1079" s="1">
        <v>44277</v>
      </c>
      <c r="G1079" t="s">
        <v>2004</v>
      </c>
      <c r="H1079">
        <v>3</v>
      </c>
      <c r="I1079" s="12">
        <f>Table16[[#This Row],[price]]*Table16[[#This Row],[quantity]]</f>
        <v>7502</v>
      </c>
    </row>
    <row r="1080" spans="1:9" x14ac:dyDescent="0.3">
      <c r="A1080" t="s">
        <v>3097</v>
      </c>
      <c r="B1080" t="s">
        <v>209</v>
      </c>
      <c r="C1080" t="s">
        <v>2001</v>
      </c>
      <c r="D1080">
        <v>1</v>
      </c>
      <c r="E1080" s="16">
        <v>300.08</v>
      </c>
      <c r="F1080" s="1">
        <v>44553</v>
      </c>
      <c r="G1080" t="s">
        <v>2020</v>
      </c>
      <c r="H1080">
        <v>4</v>
      </c>
      <c r="I1080" s="12">
        <f>Table16[[#This Row],[price]]*Table16[[#This Row],[quantity]]</f>
        <v>300.08</v>
      </c>
    </row>
    <row r="1081" spans="1:9" x14ac:dyDescent="0.3">
      <c r="A1081" t="s">
        <v>3096</v>
      </c>
      <c r="B1081" t="s">
        <v>209</v>
      </c>
      <c r="C1081" t="s">
        <v>2008</v>
      </c>
      <c r="D1081">
        <v>2</v>
      </c>
      <c r="E1081" s="16">
        <v>10.46</v>
      </c>
      <c r="F1081" s="1">
        <v>44739</v>
      </c>
      <c r="G1081" t="s">
        <v>2058</v>
      </c>
      <c r="H1081">
        <v>1</v>
      </c>
      <c r="I1081" s="12">
        <f>Table16[[#This Row],[price]]*Table16[[#This Row],[quantity]]</f>
        <v>20.92</v>
      </c>
    </row>
    <row r="1082" spans="1:9" x14ac:dyDescent="0.3">
      <c r="A1082" t="s">
        <v>3095</v>
      </c>
      <c r="B1082" t="s">
        <v>209</v>
      </c>
      <c r="C1082" t="s">
        <v>2011</v>
      </c>
      <c r="D1082">
        <v>2</v>
      </c>
      <c r="E1082" s="16">
        <v>81.319999999999993</v>
      </c>
      <c r="F1082" s="1">
        <v>44806</v>
      </c>
      <c r="G1082" t="s">
        <v>2002</v>
      </c>
      <c r="H1082">
        <v>3</v>
      </c>
      <c r="I1082" s="12">
        <f>Table16[[#This Row],[price]]*Table16[[#This Row],[quantity]]</f>
        <v>162.63999999999999</v>
      </c>
    </row>
    <row r="1083" spans="1:9" x14ac:dyDescent="0.3">
      <c r="A1083" t="s">
        <v>3099</v>
      </c>
      <c r="B1083" t="s">
        <v>210</v>
      </c>
      <c r="C1083" t="s">
        <v>2001</v>
      </c>
      <c r="D1083">
        <v>3</v>
      </c>
      <c r="E1083" s="16">
        <v>900.24</v>
      </c>
      <c r="F1083" s="1">
        <v>44202</v>
      </c>
      <c r="G1083" t="s">
        <v>2027</v>
      </c>
      <c r="H1083">
        <v>3</v>
      </c>
      <c r="I1083" s="12">
        <f>Table16[[#This Row],[price]]*Table16[[#This Row],[quantity]]</f>
        <v>2700.7200000000003</v>
      </c>
    </row>
    <row r="1084" spans="1:9" x14ac:dyDescent="0.3">
      <c r="A1084" t="s">
        <v>3101</v>
      </c>
      <c r="B1084" t="s">
        <v>210</v>
      </c>
      <c r="C1084" t="s">
        <v>2011</v>
      </c>
      <c r="D1084">
        <v>3</v>
      </c>
      <c r="E1084" s="16">
        <v>121.98</v>
      </c>
      <c r="F1084" s="1">
        <v>44538</v>
      </c>
      <c r="G1084" t="s">
        <v>2064</v>
      </c>
      <c r="H1084">
        <v>1</v>
      </c>
      <c r="I1084" s="12">
        <f>Table16[[#This Row],[price]]*Table16[[#This Row],[quantity]]</f>
        <v>365.94</v>
      </c>
    </row>
    <row r="1085" spans="1:9" x14ac:dyDescent="0.3">
      <c r="A1085" t="s">
        <v>3102</v>
      </c>
      <c r="B1085" t="s">
        <v>210</v>
      </c>
      <c r="C1085" t="s">
        <v>2024</v>
      </c>
      <c r="D1085">
        <v>3</v>
      </c>
      <c r="E1085" s="16">
        <v>107.52</v>
      </c>
      <c r="F1085" s="1">
        <v>44902</v>
      </c>
      <c r="G1085" t="s">
        <v>2004</v>
      </c>
      <c r="H1085">
        <v>5</v>
      </c>
      <c r="I1085" s="12">
        <f>Table16[[#This Row],[price]]*Table16[[#This Row],[quantity]]</f>
        <v>322.56</v>
      </c>
    </row>
    <row r="1086" spans="1:9" x14ac:dyDescent="0.3">
      <c r="A1086" t="s">
        <v>3100</v>
      </c>
      <c r="B1086" t="s">
        <v>210</v>
      </c>
      <c r="C1086" t="s">
        <v>2011</v>
      </c>
      <c r="D1086">
        <v>1</v>
      </c>
      <c r="E1086" s="16">
        <v>40.659999999999997</v>
      </c>
      <c r="F1086" s="1">
        <v>44930</v>
      </c>
      <c r="G1086" t="s">
        <v>2020</v>
      </c>
      <c r="H1086">
        <v>1</v>
      </c>
      <c r="I1086" s="12">
        <f>Table16[[#This Row],[price]]*Table16[[#This Row],[quantity]]</f>
        <v>40.659999999999997</v>
      </c>
    </row>
    <row r="1087" spans="1:9" x14ac:dyDescent="0.3">
      <c r="A1087" t="s">
        <v>3105</v>
      </c>
      <c r="B1087" t="s">
        <v>211</v>
      </c>
      <c r="C1087" t="s">
        <v>2001</v>
      </c>
      <c r="D1087">
        <v>1</v>
      </c>
      <c r="E1087" s="16">
        <v>300.08</v>
      </c>
      <c r="F1087" s="1">
        <v>44413</v>
      </c>
      <c r="G1087" t="s">
        <v>2009</v>
      </c>
      <c r="H1087">
        <v>3</v>
      </c>
      <c r="I1087" s="12">
        <f>Table16[[#This Row],[price]]*Table16[[#This Row],[quantity]]</f>
        <v>300.08</v>
      </c>
    </row>
    <row r="1088" spans="1:9" x14ac:dyDescent="0.3">
      <c r="A1088" t="s">
        <v>3104</v>
      </c>
      <c r="B1088" t="s">
        <v>211</v>
      </c>
      <c r="C1088" t="s">
        <v>2057</v>
      </c>
      <c r="D1088">
        <v>2</v>
      </c>
      <c r="E1088" s="16">
        <v>23.46</v>
      </c>
      <c r="F1088" s="1">
        <v>44486</v>
      </c>
      <c r="G1088" t="s">
        <v>2009</v>
      </c>
      <c r="H1088">
        <v>4</v>
      </c>
      <c r="I1088" s="12">
        <f>Table16[[#This Row],[price]]*Table16[[#This Row],[quantity]]</f>
        <v>46.92</v>
      </c>
    </row>
    <row r="1089" spans="1:9" x14ac:dyDescent="0.3">
      <c r="A1089" t="s">
        <v>3108</v>
      </c>
      <c r="B1089" t="s">
        <v>211</v>
      </c>
      <c r="C1089" t="s">
        <v>2024</v>
      </c>
      <c r="D1089">
        <v>5</v>
      </c>
      <c r="E1089" s="16">
        <v>179.2</v>
      </c>
      <c r="F1089" s="1">
        <v>44562</v>
      </c>
      <c r="G1089" t="s">
        <v>2002</v>
      </c>
      <c r="H1089">
        <v>4</v>
      </c>
      <c r="I1089" s="12">
        <f>Table16[[#This Row],[price]]*Table16[[#This Row],[quantity]]</f>
        <v>896</v>
      </c>
    </row>
    <row r="1090" spans="1:9" x14ac:dyDescent="0.3">
      <c r="A1090" t="s">
        <v>3103</v>
      </c>
      <c r="B1090" t="s">
        <v>211</v>
      </c>
      <c r="C1090" t="s">
        <v>2008</v>
      </c>
      <c r="D1090">
        <v>5</v>
      </c>
      <c r="E1090" s="16">
        <v>26.15</v>
      </c>
      <c r="F1090" s="1">
        <v>44643</v>
      </c>
      <c r="G1090" t="s">
        <v>2002</v>
      </c>
      <c r="H1090">
        <v>3</v>
      </c>
      <c r="I1090" s="12">
        <f>Table16[[#This Row],[price]]*Table16[[#This Row],[quantity]]</f>
        <v>130.75</v>
      </c>
    </row>
    <row r="1091" spans="1:9" x14ac:dyDescent="0.3">
      <c r="A1091" t="s">
        <v>3107</v>
      </c>
      <c r="B1091" t="s">
        <v>211</v>
      </c>
      <c r="C1091" t="s">
        <v>2006</v>
      </c>
      <c r="D1091">
        <v>5</v>
      </c>
      <c r="E1091" s="16">
        <v>75.75</v>
      </c>
      <c r="F1091" s="1">
        <v>44698</v>
      </c>
      <c r="G1091" t="s">
        <v>2012</v>
      </c>
      <c r="H1091">
        <v>4</v>
      </c>
      <c r="I1091" s="12">
        <f>Table16[[#This Row],[price]]*Table16[[#This Row],[quantity]]</f>
        <v>378.75</v>
      </c>
    </row>
    <row r="1092" spans="1:9" x14ac:dyDescent="0.3">
      <c r="A1092" t="s">
        <v>3106</v>
      </c>
      <c r="B1092" t="s">
        <v>211</v>
      </c>
      <c r="C1092" t="s">
        <v>2001</v>
      </c>
      <c r="D1092">
        <v>2</v>
      </c>
      <c r="E1092" s="16">
        <v>600.16</v>
      </c>
      <c r="F1092" s="1">
        <v>44823</v>
      </c>
      <c r="G1092" t="s">
        <v>2020</v>
      </c>
      <c r="H1092">
        <v>4</v>
      </c>
      <c r="I1092" s="12">
        <f>Table16[[#This Row],[price]]*Table16[[#This Row],[quantity]]</f>
        <v>1200.32</v>
      </c>
    </row>
    <row r="1093" spans="1:9" x14ac:dyDescent="0.3">
      <c r="A1093" t="s">
        <v>3111</v>
      </c>
      <c r="B1093" t="s">
        <v>212</v>
      </c>
      <c r="C1093" t="s">
        <v>2015</v>
      </c>
      <c r="D1093">
        <v>5</v>
      </c>
      <c r="E1093" s="16">
        <v>3000.85</v>
      </c>
      <c r="F1093" s="1">
        <v>44296</v>
      </c>
      <c r="G1093" t="s">
        <v>2058</v>
      </c>
      <c r="H1093">
        <v>1</v>
      </c>
      <c r="I1093" s="12">
        <f>Table16[[#This Row],[price]]*Table16[[#This Row],[quantity]]</f>
        <v>15004.25</v>
      </c>
    </row>
    <row r="1094" spans="1:9" x14ac:dyDescent="0.3">
      <c r="A1094" t="s">
        <v>3113</v>
      </c>
      <c r="B1094" t="s">
        <v>212</v>
      </c>
      <c r="C1094" t="s">
        <v>2006</v>
      </c>
      <c r="D1094">
        <v>3</v>
      </c>
      <c r="E1094" s="16">
        <v>45.45</v>
      </c>
      <c r="F1094" s="1">
        <v>44421</v>
      </c>
      <c r="G1094" t="s">
        <v>2041</v>
      </c>
      <c r="H1094">
        <v>3</v>
      </c>
      <c r="I1094" s="12">
        <f>Table16[[#This Row],[price]]*Table16[[#This Row],[quantity]]</f>
        <v>136.35000000000002</v>
      </c>
    </row>
    <row r="1095" spans="1:9" x14ac:dyDescent="0.3">
      <c r="A1095" t="s">
        <v>3112</v>
      </c>
      <c r="B1095" t="s">
        <v>212</v>
      </c>
      <c r="C1095" t="s">
        <v>2015</v>
      </c>
      <c r="D1095">
        <v>3</v>
      </c>
      <c r="E1095" s="16">
        <v>1800.51</v>
      </c>
      <c r="F1095" s="1">
        <v>44462</v>
      </c>
      <c r="G1095" t="s">
        <v>2027</v>
      </c>
      <c r="H1095">
        <v>4</v>
      </c>
      <c r="I1095" s="12">
        <f>Table16[[#This Row],[price]]*Table16[[#This Row],[quantity]]</f>
        <v>5401.53</v>
      </c>
    </row>
    <row r="1096" spans="1:9" x14ac:dyDescent="0.3">
      <c r="A1096" t="s">
        <v>3109</v>
      </c>
      <c r="B1096" t="s">
        <v>212</v>
      </c>
      <c r="C1096" t="s">
        <v>2015</v>
      </c>
      <c r="D1096">
        <v>5</v>
      </c>
      <c r="E1096" s="16">
        <v>3000.85</v>
      </c>
      <c r="F1096" s="1">
        <v>44608</v>
      </c>
      <c r="G1096" t="s">
        <v>2018</v>
      </c>
      <c r="H1096">
        <v>2</v>
      </c>
      <c r="I1096" s="12">
        <f>Table16[[#This Row],[price]]*Table16[[#This Row],[quantity]]</f>
        <v>15004.25</v>
      </c>
    </row>
    <row r="1097" spans="1:9" x14ac:dyDescent="0.3">
      <c r="A1097" t="s">
        <v>3110</v>
      </c>
      <c r="B1097" t="s">
        <v>212</v>
      </c>
      <c r="C1097" t="s">
        <v>2015</v>
      </c>
      <c r="D1097">
        <v>3</v>
      </c>
      <c r="E1097" s="16">
        <v>1800.51</v>
      </c>
      <c r="F1097" s="1">
        <v>44636</v>
      </c>
      <c r="G1097" t="s">
        <v>2041</v>
      </c>
      <c r="H1097">
        <v>3</v>
      </c>
      <c r="I1097" s="12">
        <f>Table16[[#This Row],[price]]*Table16[[#This Row],[quantity]]</f>
        <v>5401.53</v>
      </c>
    </row>
    <row r="1098" spans="1:9" x14ac:dyDescent="0.3">
      <c r="A1098" t="s">
        <v>3116</v>
      </c>
      <c r="B1098" t="s">
        <v>213</v>
      </c>
      <c r="C1098" t="s">
        <v>2001</v>
      </c>
      <c r="D1098">
        <v>1</v>
      </c>
      <c r="E1098" s="16">
        <v>300.08</v>
      </c>
      <c r="F1098" s="1">
        <v>44351</v>
      </c>
      <c r="G1098" t="s">
        <v>2009</v>
      </c>
      <c r="H1098">
        <v>2</v>
      </c>
      <c r="I1098" s="12">
        <f>Table16[[#This Row],[price]]*Table16[[#This Row],[quantity]]</f>
        <v>300.08</v>
      </c>
    </row>
    <row r="1099" spans="1:9" x14ac:dyDescent="0.3">
      <c r="A1099" t="s">
        <v>3119</v>
      </c>
      <c r="B1099" t="s">
        <v>213</v>
      </c>
      <c r="C1099" t="s">
        <v>2008</v>
      </c>
      <c r="D1099">
        <v>5</v>
      </c>
      <c r="E1099" s="16">
        <v>26.15</v>
      </c>
      <c r="F1099" s="1">
        <v>44525</v>
      </c>
      <c r="G1099" t="s">
        <v>2004</v>
      </c>
      <c r="H1099">
        <v>4</v>
      </c>
      <c r="I1099" s="12">
        <f>Table16[[#This Row],[price]]*Table16[[#This Row],[quantity]]</f>
        <v>130.75</v>
      </c>
    </row>
    <row r="1100" spans="1:9" x14ac:dyDescent="0.3">
      <c r="A1100" t="s">
        <v>3117</v>
      </c>
      <c r="B1100" t="s">
        <v>213</v>
      </c>
      <c r="C1100" t="s">
        <v>2011</v>
      </c>
      <c r="D1100">
        <v>4</v>
      </c>
      <c r="E1100" s="16">
        <v>162.63999999999999</v>
      </c>
      <c r="F1100" s="1">
        <v>44589</v>
      </c>
      <c r="G1100" t="s">
        <v>2064</v>
      </c>
      <c r="H1100">
        <v>3</v>
      </c>
      <c r="I1100" s="12">
        <f>Table16[[#This Row],[price]]*Table16[[#This Row],[quantity]]</f>
        <v>650.55999999999995</v>
      </c>
    </row>
    <row r="1101" spans="1:9" x14ac:dyDescent="0.3">
      <c r="A1101" t="s">
        <v>3118</v>
      </c>
      <c r="B1101" t="s">
        <v>213</v>
      </c>
      <c r="C1101" t="s">
        <v>2057</v>
      </c>
      <c r="D1101">
        <v>4</v>
      </c>
      <c r="E1101" s="16">
        <v>46.92</v>
      </c>
      <c r="F1101" s="1">
        <v>44628</v>
      </c>
      <c r="G1101" t="s">
        <v>2009</v>
      </c>
      <c r="H1101">
        <v>4</v>
      </c>
      <c r="I1101" s="12">
        <f>Table16[[#This Row],[price]]*Table16[[#This Row],[quantity]]</f>
        <v>187.68</v>
      </c>
    </row>
    <row r="1102" spans="1:9" x14ac:dyDescent="0.3">
      <c r="A1102" t="s">
        <v>3114</v>
      </c>
      <c r="B1102" t="s">
        <v>213</v>
      </c>
      <c r="C1102" t="s">
        <v>2008</v>
      </c>
      <c r="D1102">
        <v>1</v>
      </c>
      <c r="E1102" s="16">
        <v>5.23</v>
      </c>
      <c r="F1102" s="1">
        <v>44777</v>
      </c>
      <c r="G1102" t="s">
        <v>2020</v>
      </c>
      <c r="H1102">
        <v>5</v>
      </c>
      <c r="I1102" s="12">
        <f>Table16[[#This Row],[price]]*Table16[[#This Row],[quantity]]</f>
        <v>5.23</v>
      </c>
    </row>
    <row r="1103" spans="1:9" x14ac:dyDescent="0.3">
      <c r="A1103" t="s">
        <v>3121</v>
      </c>
      <c r="B1103" t="s">
        <v>213</v>
      </c>
      <c r="C1103" t="s">
        <v>2001</v>
      </c>
      <c r="D1103">
        <v>2</v>
      </c>
      <c r="E1103" s="16">
        <v>600.16</v>
      </c>
      <c r="F1103" s="1">
        <v>44788</v>
      </c>
      <c r="G1103" t="s">
        <v>2041</v>
      </c>
      <c r="H1103">
        <v>4</v>
      </c>
      <c r="I1103" s="12">
        <f>Table16[[#This Row],[price]]*Table16[[#This Row],[quantity]]</f>
        <v>1200.32</v>
      </c>
    </row>
    <row r="1104" spans="1:9" x14ac:dyDescent="0.3">
      <c r="A1104" t="s">
        <v>3115</v>
      </c>
      <c r="B1104" t="s">
        <v>213</v>
      </c>
      <c r="C1104" t="s">
        <v>2008</v>
      </c>
      <c r="D1104">
        <v>1</v>
      </c>
      <c r="E1104" s="16">
        <v>5.23</v>
      </c>
      <c r="F1104" s="1">
        <v>44820</v>
      </c>
      <c r="G1104" t="s">
        <v>2041</v>
      </c>
      <c r="H1104">
        <v>2</v>
      </c>
      <c r="I1104" s="12">
        <f>Table16[[#This Row],[price]]*Table16[[#This Row],[quantity]]</f>
        <v>5.23</v>
      </c>
    </row>
    <row r="1105" spans="1:9" x14ac:dyDescent="0.3">
      <c r="A1105" t="s">
        <v>3120</v>
      </c>
      <c r="B1105" t="s">
        <v>213</v>
      </c>
      <c r="C1105" t="s">
        <v>2024</v>
      </c>
      <c r="D1105">
        <v>5</v>
      </c>
      <c r="E1105" s="16">
        <v>179.2</v>
      </c>
      <c r="F1105" s="1">
        <v>44861</v>
      </c>
      <c r="G1105" t="s">
        <v>2018</v>
      </c>
      <c r="H1105">
        <v>3</v>
      </c>
      <c r="I1105" s="12">
        <f>Table16[[#This Row],[price]]*Table16[[#This Row],[quantity]]</f>
        <v>896</v>
      </c>
    </row>
    <row r="1106" spans="1:9" x14ac:dyDescent="0.3">
      <c r="A1106" t="s">
        <v>3127</v>
      </c>
      <c r="B1106" t="s">
        <v>214</v>
      </c>
      <c r="C1106" t="s">
        <v>2008</v>
      </c>
      <c r="D1106">
        <v>3</v>
      </c>
      <c r="E1106" s="16">
        <v>15.69</v>
      </c>
      <c r="F1106" s="1">
        <v>44545</v>
      </c>
      <c r="G1106" t="s">
        <v>2009</v>
      </c>
      <c r="H1106">
        <v>3</v>
      </c>
      <c r="I1106" s="12">
        <f>Table16[[#This Row],[price]]*Table16[[#This Row],[quantity]]</f>
        <v>47.07</v>
      </c>
    </row>
    <row r="1107" spans="1:9" x14ac:dyDescent="0.3">
      <c r="A1107" t="s">
        <v>3122</v>
      </c>
      <c r="B1107" t="s">
        <v>214</v>
      </c>
      <c r="C1107" t="s">
        <v>2057</v>
      </c>
      <c r="D1107">
        <v>1</v>
      </c>
      <c r="E1107" s="16">
        <v>11.73</v>
      </c>
      <c r="F1107" s="1">
        <v>44557</v>
      </c>
      <c r="G1107" t="s">
        <v>2020</v>
      </c>
      <c r="H1107">
        <v>1</v>
      </c>
      <c r="I1107" s="12">
        <f>Table16[[#This Row],[price]]*Table16[[#This Row],[quantity]]</f>
        <v>11.73</v>
      </c>
    </row>
    <row r="1108" spans="1:9" x14ac:dyDescent="0.3">
      <c r="A1108" t="s">
        <v>3123</v>
      </c>
      <c r="B1108" t="s">
        <v>214</v>
      </c>
      <c r="C1108" t="s">
        <v>2001</v>
      </c>
      <c r="D1108">
        <v>4</v>
      </c>
      <c r="E1108" s="16">
        <v>1200.32</v>
      </c>
      <c r="F1108" s="1">
        <v>44606</v>
      </c>
      <c r="G1108" t="s">
        <v>2027</v>
      </c>
      <c r="H1108">
        <v>4</v>
      </c>
      <c r="I1108" s="12">
        <f>Table16[[#This Row],[price]]*Table16[[#This Row],[quantity]]</f>
        <v>4801.28</v>
      </c>
    </row>
    <row r="1109" spans="1:9" x14ac:dyDescent="0.3">
      <c r="A1109" t="s">
        <v>3124</v>
      </c>
      <c r="B1109" t="s">
        <v>214</v>
      </c>
      <c r="C1109" t="s">
        <v>2057</v>
      </c>
      <c r="D1109">
        <v>5</v>
      </c>
      <c r="E1109" s="16">
        <v>58.65</v>
      </c>
      <c r="F1109" s="1">
        <v>44676</v>
      </c>
      <c r="G1109" t="s">
        <v>2041</v>
      </c>
      <c r="H1109">
        <v>1</v>
      </c>
      <c r="I1109" s="12">
        <f>Table16[[#This Row],[price]]*Table16[[#This Row],[quantity]]</f>
        <v>293.25</v>
      </c>
    </row>
    <row r="1110" spans="1:9" x14ac:dyDescent="0.3">
      <c r="A1110" t="s">
        <v>3125</v>
      </c>
      <c r="B1110" t="s">
        <v>214</v>
      </c>
      <c r="C1110" t="s">
        <v>2001</v>
      </c>
      <c r="D1110">
        <v>5</v>
      </c>
      <c r="E1110" s="16">
        <v>1500.4</v>
      </c>
      <c r="F1110" s="1">
        <v>44803</v>
      </c>
      <c r="G1110" t="s">
        <v>2012</v>
      </c>
      <c r="H1110">
        <v>1</v>
      </c>
      <c r="I1110" s="12">
        <f>Table16[[#This Row],[price]]*Table16[[#This Row],[quantity]]</f>
        <v>7502</v>
      </c>
    </row>
    <row r="1111" spans="1:9" x14ac:dyDescent="0.3">
      <c r="A1111" t="s">
        <v>3126</v>
      </c>
      <c r="B1111" t="s">
        <v>214</v>
      </c>
      <c r="C1111" t="s">
        <v>2024</v>
      </c>
      <c r="D1111">
        <v>1</v>
      </c>
      <c r="E1111" s="16">
        <v>35.840000000000003</v>
      </c>
      <c r="F1111" s="1">
        <v>44864</v>
      </c>
      <c r="G1111" t="s">
        <v>2064</v>
      </c>
      <c r="H1111">
        <v>4</v>
      </c>
      <c r="I1111" s="12">
        <f>Table16[[#This Row],[price]]*Table16[[#This Row],[quantity]]</f>
        <v>35.840000000000003</v>
      </c>
    </row>
    <row r="1112" spans="1:9" x14ac:dyDescent="0.3">
      <c r="A1112" t="s">
        <v>3129</v>
      </c>
      <c r="B1112" t="s">
        <v>215</v>
      </c>
      <c r="C1112" t="s">
        <v>2001</v>
      </c>
      <c r="D1112">
        <v>4</v>
      </c>
      <c r="E1112" s="16">
        <v>1200.32</v>
      </c>
      <c r="F1112" s="1">
        <v>44291</v>
      </c>
      <c r="G1112" t="s">
        <v>2020</v>
      </c>
      <c r="H1112">
        <v>5</v>
      </c>
      <c r="I1112" s="12">
        <f>Table16[[#This Row],[price]]*Table16[[#This Row],[quantity]]</f>
        <v>4801.28</v>
      </c>
    </row>
    <row r="1113" spans="1:9" x14ac:dyDescent="0.3">
      <c r="A1113" t="s">
        <v>3131</v>
      </c>
      <c r="B1113" t="s">
        <v>215</v>
      </c>
      <c r="C1113" t="s">
        <v>2001</v>
      </c>
      <c r="D1113">
        <v>3</v>
      </c>
      <c r="E1113" s="16">
        <v>900.24</v>
      </c>
      <c r="F1113" s="1">
        <v>44660</v>
      </c>
      <c r="G1113" t="s">
        <v>2004</v>
      </c>
      <c r="H1113">
        <v>4</v>
      </c>
      <c r="I1113" s="12">
        <f>Table16[[#This Row],[price]]*Table16[[#This Row],[quantity]]</f>
        <v>2700.7200000000003</v>
      </c>
    </row>
    <row r="1114" spans="1:9" x14ac:dyDescent="0.3">
      <c r="A1114" t="s">
        <v>3128</v>
      </c>
      <c r="B1114" t="s">
        <v>215</v>
      </c>
      <c r="C1114" t="s">
        <v>2011</v>
      </c>
      <c r="D1114">
        <v>2</v>
      </c>
      <c r="E1114" s="16">
        <v>81.319999999999993</v>
      </c>
      <c r="F1114" s="1">
        <v>44790</v>
      </c>
      <c r="G1114" t="s">
        <v>2058</v>
      </c>
      <c r="H1114">
        <v>2</v>
      </c>
      <c r="I1114" s="12">
        <f>Table16[[#This Row],[price]]*Table16[[#This Row],[quantity]]</f>
        <v>162.63999999999999</v>
      </c>
    </row>
    <row r="1115" spans="1:9" x14ac:dyDescent="0.3">
      <c r="A1115" t="s">
        <v>3130</v>
      </c>
      <c r="B1115" t="s">
        <v>215</v>
      </c>
      <c r="C1115" t="s">
        <v>2001</v>
      </c>
      <c r="D1115">
        <v>2</v>
      </c>
      <c r="E1115" s="16">
        <v>600.16</v>
      </c>
      <c r="F1115" s="1">
        <v>44808</v>
      </c>
      <c r="G1115" t="s">
        <v>2004</v>
      </c>
      <c r="H1115">
        <v>1</v>
      </c>
      <c r="I1115" s="12">
        <f>Table16[[#This Row],[price]]*Table16[[#This Row],[quantity]]</f>
        <v>1200.32</v>
      </c>
    </row>
    <row r="1116" spans="1:9" x14ac:dyDescent="0.3">
      <c r="A1116" t="s">
        <v>3138</v>
      </c>
      <c r="B1116" t="s">
        <v>216</v>
      </c>
      <c r="C1116" t="s">
        <v>2008</v>
      </c>
      <c r="D1116">
        <v>5</v>
      </c>
      <c r="E1116" s="16">
        <v>26.15</v>
      </c>
      <c r="F1116" s="1">
        <v>44344</v>
      </c>
      <c r="G1116" t="s">
        <v>2012</v>
      </c>
      <c r="H1116">
        <v>4</v>
      </c>
      <c r="I1116" s="12">
        <f>Table16[[#This Row],[price]]*Table16[[#This Row],[quantity]]</f>
        <v>130.75</v>
      </c>
    </row>
    <row r="1117" spans="1:9" x14ac:dyDescent="0.3">
      <c r="A1117" t="s">
        <v>3135</v>
      </c>
      <c r="B1117" t="s">
        <v>216</v>
      </c>
      <c r="C1117" t="s">
        <v>2011</v>
      </c>
      <c r="D1117">
        <v>5</v>
      </c>
      <c r="E1117" s="16">
        <v>203.3</v>
      </c>
      <c r="F1117" s="1">
        <v>44352</v>
      </c>
      <c r="G1117" t="s">
        <v>2004</v>
      </c>
      <c r="H1117">
        <v>2</v>
      </c>
      <c r="I1117" s="12">
        <f>Table16[[#This Row],[price]]*Table16[[#This Row],[quantity]]</f>
        <v>1016.5</v>
      </c>
    </row>
    <row r="1118" spans="1:9" x14ac:dyDescent="0.3">
      <c r="A1118" t="s">
        <v>3133</v>
      </c>
      <c r="B1118" t="s">
        <v>216</v>
      </c>
      <c r="C1118" t="s">
        <v>2015</v>
      </c>
      <c r="D1118">
        <v>4</v>
      </c>
      <c r="E1118" s="16">
        <v>2400.6799999999998</v>
      </c>
      <c r="F1118" s="1">
        <v>44430</v>
      </c>
      <c r="G1118" t="s">
        <v>2004</v>
      </c>
      <c r="H1118">
        <v>3</v>
      </c>
      <c r="I1118" s="12">
        <f>Table16[[#This Row],[price]]*Table16[[#This Row],[quantity]]</f>
        <v>9602.7199999999993</v>
      </c>
    </row>
    <row r="1119" spans="1:9" x14ac:dyDescent="0.3">
      <c r="A1119" t="s">
        <v>3134</v>
      </c>
      <c r="B1119" t="s">
        <v>216</v>
      </c>
      <c r="C1119" t="s">
        <v>2057</v>
      </c>
      <c r="D1119">
        <v>3</v>
      </c>
      <c r="E1119" s="16">
        <v>35.19</v>
      </c>
      <c r="F1119" s="1">
        <v>44737</v>
      </c>
      <c r="G1119" t="s">
        <v>2009</v>
      </c>
      <c r="H1119">
        <v>4</v>
      </c>
      <c r="I1119" s="12">
        <f>Table16[[#This Row],[price]]*Table16[[#This Row],[quantity]]</f>
        <v>105.57</v>
      </c>
    </row>
    <row r="1120" spans="1:9" x14ac:dyDescent="0.3">
      <c r="A1120" t="s">
        <v>3132</v>
      </c>
      <c r="B1120" t="s">
        <v>216</v>
      </c>
      <c r="C1120" t="s">
        <v>2008</v>
      </c>
      <c r="D1120">
        <v>3</v>
      </c>
      <c r="E1120" s="16">
        <v>15.69</v>
      </c>
      <c r="F1120" s="1">
        <v>44749</v>
      </c>
      <c r="G1120" t="s">
        <v>2027</v>
      </c>
      <c r="H1120">
        <v>1</v>
      </c>
      <c r="I1120" s="12">
        <f>Table16[[#This Row],[price]]*Table16[[#This Row],[quantity]]</f>
        <v>47.07</v>
      </c>
    </row>
    <row r="1121" spans="1:9" x14ac:dyDescent="0.3">
      <c r="A1121" t="s">
        <v>3137</v>
      </c>
      <c r="B1121" t="s">
        <v>216</v>
      </c>
      <c r="C1121" t="s">
        <v>2057</v>
      </c>
      <c r="D1121">
        <v>5</v>
      </c>
      <c r="E1121" s="16">
        <v>58.65</v>
      </c>
      <c r="F1121" s="1">
        <v>44892</v>
      </c>
      <c r="G1121" t="s">
        <v>2004</v>
      </c>
      <c r="H1121">
        <v>5</v>
      </c>
      <c r="I1121" s="12">
        <f>Table16[[#This Row],[price]]*Table16[[#This Row],[quantity]]</f>
        <v>293.25</v>
      </c>
    </row>
    <row r="1122" spans="1:9" x14ac:dyDescent="0.3">
      <c r="A1122" t="s">
        <v>3136</v>
      </c>
      <c r="B1122" t="s">
        <v>216</v>
      </c>
      <c r="C1122" t="s">
        <v>2008</v>
      </c>
      <c r="D1122">
        <v>5</v>
      </c>
      <c r="E1122" s="16">
        <v>26.15</v>
      </c>
      <c r="F1122" s="1">
        <v>44940</v>
      </c>
      <c r="G1122" t="s">
        <v>2002</v>
      </c>
      <c r="H1122">
        <v>2</v>
      </c>
      <c r="I1122" s="12">
        <f>Table16[[#This Row],[price]]*Table16[[#This Row],[quantity]]</f>
        <v>130.75</v>
      </c>
    </row>
    <row r="1123" spans="1:9" x14ac:dyDescent="0.3">
      <c r="A1123" t="s">
        <v>3144</v>
      </c>
      <c r="B1123" t="s">
        <v>217</v>
      </c>
      <c r="C1123" t="s">
        <v>2001</v>
      </c>
      <c r="D1123">
        <v>5</v>
      </c>
      <c r="E1123" s="16">
        <v>1500.4</v>
      </c>
      <c r="F1123" s="1">
        <v>44199</v>
      </c>
      <c r="G1123" t="s">
        <v>2012</v>
      </c>
      <c r="H1123">
        <v>4</v>
      </c>
      <c r="I1123" s="12">
        <f>Table16[[#This Row],[price]]*Table16[[#This Row],[quantity]]</f>
        <v>7502</v>
      </c>
    </row>
    <row r="1124" spans="1:9" x14ac:dyDescent="0.3">
      <c r="A1124" t="s">
        <v>3146</v>
      </c>
      <c r="B1124" t="s">
        <v>217</v>
      </c>
      <c r="C1124" t="s">
        <v>2017</v>
      </c>
      <c r="D1124">
        <v>1</v>
      </c>
      <c r="E1124" s="16">
        <v>1050</v>
      </c>
      <c r="F1124" s="1">
        <v>44267</v>
      </c>
      <c r="G1124" t="s">
        <v>2064</v>
      </c>
      <c r="H1124">
        <v>1</v>
      </c>
      <c r="I1124" s="12">
        <f>Table16[[#This Row],[price]]*Table16[[#This Row],[quantity]]</f>
        <v>1050</v>
      </c>
    </row>
    <row r="1125" spans="1:9" x14ac:dyDescent="0.3">
      <c r="A1125" t="s">
        <v>3145</v>
      </c>
      <c r="B1125" t="s">
        <v>217</v>
      </c>
      <c r="C1125" t="s">
        <v>2057</v>
      </c>
      <c r="D1125">
        <v>4</v>
      </c>
      <c r="E1125" s="16">
        <v>46.92</v>
      </c>
      <c r="F1125" s="1">
        <v>44321</v>
      </c>
      <c r="G1125" t="s">
        <v>2002</v>
      </c>
      <c r="H1125">
        <v>3</v>
      </c>
      <c r="I1125" s="12">
        <f>Table16[[#This Row],[price]]*Table16[[#This Row],[quantity]]</f>
        <v>187.68</v>
      </c>
    </row>
    <row r="1126" spans="1:9" x14ac:dyDescent="0.3">
      <c r="A1126" t="s">
        <v>3140</v>
      </c>
      <c r="B1126" t="s">
        <v>217</v>
      </c>
      <c r="C1126" t="s">
        <v>2024</v>
      </c>
      <c r="D1126">
        <v>5</v>
      </c>
      <c r="E1126" s="16">
        <v>179.2</v>
      </c>
      <c r="F1126" s="1">
        <v>44383</v>
      </c>
      <c r="G1126" t="s">
        <v>2002</v>
      </c>
      <c r="H1126">
        <v>1</v>
      </c>
      <c r="I1126" s="12">
        <f>Table16[[#This Row],[price]]*Table16[[#This Row],[quantity]]</f>
        <v>896</v>
      </c>
    </row>
    <row r="1127" spans="1:9" x14ac:dyDescent="0.3">
      <c r="A1127" t="s">
        <v>3141</v>
      </c>
      <c r="B1127" t="s">
        <v>217</v>
      </c>
      <c r="C1127" t="s">
        <v>2001</v>
      </c>
      <c r="D1127">
        <v>1</v>
      </c>
      <c r="E1127" s="16">
        <v>300.08</v>
      </c>
      <c r="F1127" s="1">
        <v>44465</v>
      </c>
      <c r="G1127" t="s">
        <v>2020</v>
      </c>
      <c r="H1127">
        <v>3</v>
      </c>
      <c r="I1127" s="12">
        <f>Table16[[#This Row],[price]]*Table16[[#This Row],[quantity]]</f>
        <v>300.08</v>
      </c>
    </row>
    <row r="1128" spans="1:9" x14ac:dyDescent="0.3">
      <c r="A1128" t="s">
        <v>3139</v>
      </c>
      <c r="B1128" t="s">
        <v>217</v>
      </c>
      <c r="C1128" t="s">
        <v>2057</v>
      </c>
      <c r="D1128">
        <v>5</v>
      </c>
      <c r="E1128" s="16">
        <v>58.65</v>
      </c>
      <c r="F1128" s="1">
        <v>44745</v>
      </c>
      <c r="G1128" t="s">
        <v>2027</v>
      </c>
      <c r="H1128">
        <v>2</v>
      </c>
      <c r="I1128" s="12">
        <f>Table16[[#This Row],[price]]*Table16[[#This Row],[quantity]]</f>
        <v>293.25</v>
      </c>
    </row>
    <row r="1129" spans="1:9" x14ac:dyDescent="0.3">
      <c r="A1129" t="s">
        <v>3143</v>
      </c>
      <c r="B1129" t="s">
        <v>217</v>
      </c>
      <c r="C1129" t="s">
        <v>2001</v>
      </c>
      <c r="D1129">
        <v>5</v>
      </c>
      <c r="E1129" s="16">
        <v>1500.4</v>
      </c>
      <c r="F1129" s="1">
        <v>44791</v>
      </c>
      <c r="G1129" t="s">
        <v>2018</v>
      </c>
      <c r="H1129">
        <v>5</v>
      </c>
      <c r="I1129" s="12">
        <f>Table16[[#This Row],[price]]*Table16[[#This Row],[quantity]]</f>
        <v>7502</v>
      </c>
    </row>
    <row r="1130" spans="1:9" x14ac:dyDescent="0.3">
      <c r="A1130" t="s">
        <v>3142</v>
      </c>
      <c r="B1130" t="s">
        <v>217</v>
      </c>
      <c r="C1130" t="s">
        <v>2008</v>
      </c>
      <c r="D1130">
        <v>4</v>
      </c>
      <c r="E1130" s="16">
        <v>20.92</v>
      </c>
      <c r="F1130" s="1">
        <v>44819</v>
      </c>
      <c r="G1130" t="s">
        <v>2009</v>
      </c>
      <c r="H1130">
        <v>4</v>
      </c>
      <c r="I1130" s="12">
        <f>Table16[[#This Row],[price]]*Table16[[#This Row],[quantity]]</f>
        <v>83.68</v>
      </c>
    </row>
    <row r="1131" spans="1:9" x14ac:dyDescent="0.3">
      <c r="A1131" t="s">
        <v>3147</v>
      </c>
      <c r="B1131" t="s">
        <v>218</v>
      </c>
      <c r="C1131" t="s">
        <v>2001</v>
      </c>
      <c r="D1131">
        <v>4</v>
      </c>
      <c r="E1131" s="16">
        <v>1200.32</v>
      </c>
      <c r="F1131" s="1">
        <v>44386</v>
      </c>
      <c r="G1131" t="s">
        <v>2004</v>
      </c>
      <c r="H1131">
        <v>4</v>
      </c>
      <c r="I1131" s="12">
        <f>Table16[[#This Row],[price]]*Table16[[#This Row],[quantity]]</f>
        <v>4801.28</v>
      </c>
    </row>
    <row r="1132" spans="1:9" x14ac:dyDescent="0.3">
      <c r="A1132" t="s">
        <v>3150</v>
      </c>
      <c r="B1132" t="s">
        <v>218</v>
      </c>
      <c r="C1132" t="s">
        <v>2001</v>
      </c>
      <c r="D1132">
        <v>3</v>
      </c>
      <c r="E1132" s="16">
        <v>900.24</v>
      </c>
      <c r="F1132" s="1">
        <v>44608</v>
      </c>
      <c r="G1132" t="s">
        <v>2041</v>
      </c>
      <c r="H1132">
        <v>1</v>
      </c>
      <c r="I1132" s="12">
        <f>Table16[[#This Row],[price]]*Table16[[#This Row],[quantity]]</f>
        <v>2700.7200000000003</v>
      </c>
    </row>
    <row r="1133" spans="1:9" x14ac:dyDescent="0.3">
      <c r="A1133" t="s">
        <v>3152</v>
      </c>
      <c r="B1133" t="s">
        <v>218</v>
      </c>
      <c r="C1133" t="s">
        <v>2011</v>
      </c>
      <c r="D1133">
        <v>2</v>
      </c>
      <c r="E1133" s="16">
        <v>81.319999999999993</v>
      </c>
      <c r="F1133" s="1">
        <v>44631</v>
      </c>
      <c r="G1133" t="s">
        <v>2004</v>
      </c>
      <c r="H1133">
        <v>1</v>
      </c>
      <c r="I1133" s="12">
        <f>Table16[[#This Row],[price]]*Table16[[#This Row],[quantity]]</f>
        <v>162.63999999999999</v>
      </c>
    </row>
    <row r="1134" spans="1:9" x14ac:dyDescent="0.3">
      <c r="A1134" t="s">
        <v>3148</v>
      </c>
      <c r="B1134" t="s">
        <v>218</v>
      </c>
      <c r="C1134" t="s">
        <v>2011</v>
      </c>
      <c r="D1134">
        <v>4</v>
      </c>
      <c r="E1134" s="16">
        <v>162.63999999999999</v>
      </c>
      <c r="F1134" s="1">
        <v>44789</v>
      </c>
      <c r="G1134" t="s">
        <v>2004</v>
      </c>
      <c r="H1134">
        <v>3</v>
      </c>
      <c r="I1134" s="12">
        <f>Table16[[#This Row],[price]]*Table16[[#This Row],[quantity]]</f>
        <v>650.55999999999995</v>
      </c>
    </row>
    <row r="1135" spans="1:9" x14ac:dyDescent="0.3">
      <c r="A1135" t="s">
        <v>3149</v>
      </c>
      <c r="B1135" t="s">
        <v>218</v>
      </c>
      <c r="C1135" t="s">
        <v>2017</v>
      </c>
      <c r="D1135">
        <v>1</v>
      </c>
      <c r="E1135" s="16">
        <v>1050</v>
      </c>
      <c r="F1135" s="1">
        <v>44795</v>
      </c>
      <c r="G1135" t="s">
        <v>2058</v>
      </c>
      <c r="H1135">
        <v>5</v>
      </c>
      <c r="I1135" s="12">
        <f>Table16[[#This Row],[price]]*Table16[[#This Row],[quantity]]</f>
        <v>1050</v>
      </c>
    </row>
    <row r="1136" spans="1:9" x14ac:dyDescent="0.3">
      <c r="A1136" t="s">
        <v>3151</v>
      </c>
      <c r="B1136" t="s">
        <v>218</v>
      </c>
      <c r="C1136" t="s">
        <v>2001</v>
      </c>
      <c r="D1136">
        <v>3</v>
      </c>
      <c r="E1136" s="16">
        <v>900.24</v>
      </c>
      <c r="F1136" s="1">
        <v>44910</v>
      </c>
      <c r="G1136" t="s">
        <v>2020</v>
      </c>
      <c r="H1136">
        <v>3</v>
      </c>
      <c r="I1136" s="12">
        <f>Table16[[#This Row],[price]]*Table16[[#This Row],[quantity]]</f>
        <v>2700.7200000000003</v>
      </c>
    </row>
    <row r="1137" spans="1:9" x14ac:dyDescent="0.3">
      <c r="A1137" t="s">
        <v>3156</v>
      </c>
      <c r="B1137" t="s">
        <v>219</v>
      </c>
      <c r="C1137" t="s">
        <v>2001</v>
      </c>
      <c r="D1137">
        <v>5</v>
      </c>
      <c r="E1137" s="16">
        <v>1500.4</v>
      </c>
      <c r="F1137" s="1">
        <v>44391</v>
      </c>
      <c r="G1137" t="s">
        <v>2002</v>
      </c>
      <c r="H1137">
        <v>2</v>
      </c>
      <c r="I1137" s="12">
        <f>Table16[[#This Row],[price]]*Table16[[#This Row],[quantity]]</f>
        <v>7502</v>
      </c>
    </row>
    <row r="1138" spans="1:9" x14ac:dyDescent="0.3">
      <c r="A1138" t="s">
        <v>3154</v>
      </c>
      <c r="B1138" t="s">
        <v>219</v>
      </c>
      <c r="C1138" t="s">
        <v>2008</v>
      </c>
      <c r="D1138">
        <v>2</v>
      </c>
      <c r="E1138" s="16">
        <v>10.46</v>
      </c>
      <c r="F1138" s="1">
        <v>44447</v>
      </c>
      <c r="G1138" t="s">
        <v>2004</v>
      </c>
      <c r="H1138">
        <v>1</v>
      </c>
      <c r="I1138" s="12">
        <f>Table16[[#This Row],[price]]*Table16[[#This Row],[quantity]]</f>
        <v>20.92</v>
      </c>
    </row>
    <row r="1139" spans="1:9" x14ac:dyDescent="0.3">
      <c r="A1139" t="s">
        <v>3153</v>
      </c>
      <c r="B1139" t="s">
        <v>219</v>
      </c>
      <c r="C1139" t="s">
        <v>2008</v>
      </c>
      <c r="D1139">
        <v>4</v>
      </c>
      <c r="E1139" s="16">
        <v>20.92</v>
      </c>
      <c r="F1139" s="1">
        <v>44549</v>
      </c>
      <c r="G1139" t="s">
        <v>2012</v>
      </c>
      <c r="H1139">
        <v>4</v>
      </c>
      <c r="I1139" s="12">
        <f>Table16[[#This Row],[price]]*Table16[[#This Row],[quantity]]</f>
        <v>83.68</v>
      </c>
    </row>
    <row r="1140" spans="1:9" x14ac:dyDescent="0.3">
      <c r="A1140" t="s">
        <v>3155</v>
      </c>
      <c r="B1140" t="s">
        <v>219</v>
      </c>
      <c r="C1140" t="s">
        <v>2001</v>
      </c>
      <c r="D1140">
        <v>3</v>
      </c>
      <c r="E1140" s="16">
        <v>900.24</v>
      </c>
      <c r="F1140" s="1">
        <v>44738</v>
      </c>
      <c r="G1140" t="s">
        <v>2027</v>
      </c>
      <c r="H1140">
        <v>4</v>
      </c>
      <c r="I1140" s="12">
        <f>Table16[[#This Row],[price]]*Table16[[#This Row],[quantity]]</f>
        <v>2700.7200000000003</v>
      </c>
    </row>
    <row r="1141" spans="1:9" x14ac:dyDescent="0.3">
      <c r="A1141" t="s">
        <v>3157</v>
      </c>
      <c r="B1141" t="s">
        <v>219</v>
      </c>
      <c r="C1141" t="s">
        <v>2057</v>
      </c>
      <c r="D1141">
        <v>3</v>
      </c>
      <c r="E1141" s="16">
        <v>35.19</v>
      </c>
      <c r="F1141" s="1">
        <v>44923</v>
      </c>
      <c r="G1141" t="s">
        <v>2004</v>
      </c>
      <c r="H1141">
        <v>4</v>
      </c>
      <c r="I1141" s="12">
        <f>Table16[[#This Row],[price]]*Table16[[#This Row],[quantity]]</f>
        <v>105.57</v>
      </c>
    </row>
    <row r="1142" spans="1:9" x14ac:dyDescent="0.3">
      <c r="A1142" t="s">
        <v>3158</v>
      </c>
      <c r="B1142" t="s">
        <v>220</v>
      </c>
      <c r="C1142" t="s">
        <v>2001</v>
      </c>
      <c r="D1142">
        <v>5</v>
      </c>
      <c r="E1142" s="16">
        <v>1500.4</v>
      </c>
      <c r="F1142" s="1">
        <v>44216</v>
      </c>
      <c r="G1142" t="s">
        <v>2004</v>
      </c>
      <c r="H1142">
        <v>5</v>
      </c>
      <c r="I1142" s="12">
        <f>Table16[[#This Row],[price]]*Table16[[#This Row],[quantity]]</f>
        <v>7502</v>
      </c>
    </row>
    <row r="1143" spans="1:9" x14ac:dyDescent="0.3">
      <c r="A1143" t="s">
        <v>3160</v>
      </c>
      <c r="B1143" t="s">
        <v>220</v>
      </c>
      <c r="C1143" t="s">
        <v>2001</v>
      </c>
      <c r="D1143">
        <v>3</v>
      </c>
      <c r="E1143" s="16">
        <v>900.24</v>
      </c>
      <c r="F1143" s="1">
        <v>44229</v>
      </c>
      <c r="G1143" t="s">
        <v>2027</v>
      </c>
      <c r="H1143">
        <v>2</v>
      </c>
      <c r="I1143" s="12">
        <f>Table16[[#This Row],[price]]*Table16[[#This Row],[quantity]]</f>
        <v>2700.7200000000003</v>
      </c>
    </row>
    <row r="1144" spans="1:9" x14ac:dyDescent="0.3">
      <c r="A1144" t="s">
        <v>3159</v>
      </c>
      <c r="B1144" t="s">
        <v>220</v>
      </c>
      <c r="C1144" t="s">
        <v>2057</v>
      </c>
      <c r="D1144">
        <v>2</v>
      </c>
      <c r="E1144" s="16">
        <v>23.46</v>
      </c>
      <c r="F1144" s="1">
        <v>44290</v>
      </c>
      <c r="G1144" t="s">
        <v>2004</v>
      </c>
      <c r="H1144">
        <v>4</v>
      </c>
      <c r="I1144" s="12">
        <f>Table16[[#This Row],[price]]*Table16[[#This Row],[quantity]]</f>
        <v>46.92</v>
      </c>
    </row>
    <row r="1145" spans="1:9" x14ac:dyDescent="0.3">
      <c r="A1145" t="s">
        <v>3161</v>
      </c>
      <c r="B1145" t="s">
        <v>220</v>
      </c>
      <c r="C1145" t="s">
        <v>2011</v>
      </c>
      <c r="D1145">
        <v>4</v>
      </c>
      <c r="E1145" s="16">
        <v>162.63999999999999</v>
      </c>
      <c r="F1145" s="1">
        <v>44882</v>
      </c>
      <c r="G1145" t="s">
        <v>2018</v>
      </c>
      <c r="H1145">
        <v>5</v>
      </c>
      <c r="I1145" s="12">
        <f>Table16[[#This Row],[price]]*Table16[[#This Row],[quantity]]</f>
        <v>650.55999999999995</v>
      </c>
    </row>
    <row r="1146" spans="1:9" x14ac:dyDescent="0.3">
      <c r="A1146" t="s">
        <v>3162</v>
      </c>
      <c r="B1146" t="s">
        <v>221</v>
      </c>
      <c r="C1146" t="s">
        <v>2011</v>
      </c>
      <c r="D1146">
        <v>3</v>
      </c>
      <c r="E1146" s="16">
        <v>121.98</v>
      </c>
      <c r="F1146" s="1">
        <v>44317</v>
      </c>
      <c r="G1146" t="s">
        <v>2027</v>
      </c>
      <c r="H1146">
        <v>5</v>
      </c>
      <c r="I1146" s="12">
        <f>Table16[[#This Row],[price]]*Table16[[#This Row],[quantity]]</f>
        <v>365.94</v>
      </c>
    </row>
    <row r="1147" spans="1:9" x14ac:dyDescent="0.3">
      <c r="A1147" t="s">
        <v>3166</v>
      </c>
      <c r="B1147" t="s">
        <v>221</v>
      </c>
      <c r="C1147" t="s">
        <v>2001</v>
      </c>
      <c r="D1147">
        <v>3</v>
      </c>
      <c r="E1147" s="16">
        <v>900.24</v>
      </c>
      <c r="F1147" s="1">
        <v>44390</v>
      </c>
      <c r="G1147" t="s">
        <v>2027</v>
      </c>
      <c r="H1147">
        <v>5</v>
      </c>
      <c r="I1147" s="12">
        <f>Table16[[#This Row],[price]]*Table16[[#This Row],[quantity]]</f>
        <v>2700.7200000000003</v>
      </c>
    </row>
    <row r="1148" spans="1:9" x14ac:dyDescent="0.3">
      <c r="A1148" t="s">
        <v>3165</v>
      </c>
      <c r="B1148" t="s">
        <v>221</v>
      </c>
      <c r="C1148" t="s">
        <v>2001</v>
      </c>
      <c r="D1148">
        <v>2</v>
      </c>
      <c r="E1148" s="16">
        <v>600.16</v>
      </c>
      <c r="F1148" s="1">
        <v>44635</v>
      </c>
      <c r="G1148" t="s">
        <v>2002</v>
      </c>
      <c r="H1148">
        <v>4</v>
      </c>
      <c r="I1148" s="12">
        <f>Table16[[#This Row],[price]]*Table16[[#This Row],[quantity]]</f>
        <v>1200.32</v>
      </c>
    </row>
    <row r="1149" spans="1:9" x14ac:dyDescent="0.3">
      <c r="A1149" t="s">
        <v>3164</v>
      </c>
      <c r="B1149" t="s">
        <v>221</v>
      </c>
      <c r="C1149" t="s">
        <v>2017</v>
      </c>
      <c r="D1149">
        <v>1</v>
      </c>
      <c r="E1149" s="16">
        <v>1050</v>
      </c>
      <c r="F1149" s="1">
        <v>44699</v>
      </c>
      <c r="G1149" t="s">
        <v>2020</v>
      </c>
      <c r="H1149">
        <v>3</v>
      </c>
      <c r="I1149" s="12">
        <f>Table16[[#This Row],[price]]*Table16[[#This Row],[quantity]]</f>
        <v>1050</v>
      </c>
    </row>
    <row r="1150" spans="1:9" x14ac:dyDescent="0.3">
      <c r="A1150" t="s">
        <v>3163</v>
      </c>
      <c r="B1150" t="s">
        <v>221</v>
      </c>
      <c r="C1150" t="s">
        <v>2011</v>
      </c>
      <c r="D1150">
        <v>4</v>
      </c>
      <c r="E1150" s="16">
        <v>162.63999999999999</v>
      </c>
      <c r="F1150" s="1">
        <v>44929</v>
      </c>
      <c r="G1150" t="s">
        <v>2018</v>
      </c>
      <c r="H1150">
        <v>4</v>
      </c>
      <c r="I1150" s="12">
        <f>Table16[[#This Row],[price]]*Table16[[#This Row],[quantity]]</f>
        <v>650.55999999999995</v>
      </c>
    </row>
    <row r="1151" spans="1:9" x14ac:dyDescent="0.3">
      <c r="A1151" t="s">
        <v>3169</v>
      </c>
      <c r="B1151" t="s">
        <v>222</v>
      </c>
      <c r="C1151" t="s">
        <v>2001</v>
      </c>
      <c r="D1151">
        <v>5</v>
      </c>
      <c r="E1151" s="16">
        <v>1500.4</v>
      </c>
      <c r="F1151" s="1">
        <v>44396</v>
      </c>
      <c r="G1151" t="s">
        <v>2027</v>
      </c>
      <c r="H1151">
        <v>4</v>
      </c>
      <c r="I1151" s="12">
        <f>Table16[[#This Row],[price]]*Table16[[#This Row],[quantity]]</f>
        <v>7502</v>
      </c>
    </row>
    <row r="1152" spans="1:9" x14ac:dyDescent="0.3">
      <c r="A1152" t="s">
        <v>3167</v>
      </c>
      <c r="B1152" t="s">
        <v>222</v>
      </c>
      <c r="C1152" t="s">
        <v>2008</v>
      </c>
      <c r="D1152">
        <v>2</v>
      </c>
      <c r="E1152" s="16">
        <v>10.46</v>
      </c>
      <c r="F1152" s="1">
        <v>44672</v>
      </c>
      <c r="G1152" t="s">
        <v>2002</v>
      </c>
      <c r="H1152">
        <v>4</v>
      </c>
      <c r="I1152" s="12">
        <f>Table16[[#This Row],[price]]*Table16[[#This Row],[quantity]]</f>
        <v>20.92</v>
      </c>
    </row>
    <row r="1153" spans="1:9" x14ac:dyDescent="0.3">
      <c r="A1153" t="s">
        <v>3170</v>
      </c>
      <c r="B1153" t="s">
        <v>222</v>
      </c>
      <c r="C1153" t="s">
        <v>2008</v>
      </c>
      <c r="D1153">
        <v>4</v>
      </c>
      <c r="E1153" s="16">
        <v>20.92</v>
      </c>
      <c r="F1153" s="1">
        <v>44935</v>
      </c>
      <c r="G1153" t="s">
        <v>2004</v>
      </c>
      <c r="H1153">
        <v>5</v>
      </c>
      <c r="I1153" s="12">
        <f>Table16[[#This Row],[price]]*Table16[[#This Row],[quantity]]</f>
        <v>83.68</v>
      </c>
    </row>
    <row r="1154" spans="1:9" x14ac:dyDescent="0.3">
      <c r="A1154" t="s">
        <v>3168</v>
      </c>
      <c r="B1154" t="s">
        <v>222</v>
      </c>
      <c r="C1154" t="s">
        <v>2017</v>
      </c>
      <c r="D1154">
        <v>1</v>
      </c>
      <c r="E1154" s="16">
        <v>1050</v>
      </c>
      <c r="F1154" s="1">
        <v>44938</v>
      </c>
      <c r="G1154" t="s">
        <v>2009</v>
      </c>
      <c r="H1154">
        <v>2</v>
      </c>
      <c r="I1154" s="12">
        <f>Table16[[#This Row],[price]]*Table16[[#This Row],[quantity]]</f>
        <v>1050</v>
      </c>
    </row>
    <row r="1155" spans="1:9" x14ac:dyDescent="0.3">
      <c r="A1155" t="s">
        <v>3172</v>
      </c>
      <c r="B1155" t="s">
        <v>223</v>
      </c>
      <c r="C1155" t="s">
        <v>2008</v>
      </c>
      <c r="D1155">
        <v>3</v>
      </c>
      <c r="E1155" s="16">
        <v>15.69</v>
      </c>
      <c r="F1155" s="1">
        <v>44267</v>
      </c>
      <c r="G1155" t="s">
        <v>2018</v>
      </c>
      <c r="H1155">
        <v>4</v>
      </c>
      <c r="I1155" s="12">
        <f>Table16[[#This Row],[price]]*Table16[[#This Row],[quantity]]</f>
        <v>47.07</v>
      </c>
    </row>
    <row r="1156" spans="1:9" x14ac:dyDescent="0.3">
      <c r="A1156" t="s">
        <v>3174</v>
      </c>
      <c r="B1156" t="s">
        <v>223</v>
      </c>
      <c r="C1156" t="s">
        <v>2024</v>
      </c>
      <c r="D1156">
        <v>5</v>
      </c>
      <c r="E1156" s="16">
        <v>179.2</v>
      </c>
      <c r="F1156" s="1">
        <v>44298</v>
      </c>
      <c r="G1156" t="s">
        <v>2018</v>
      </c>
      <c r="H1156">
        <v>5</v>
      </c>
      <c r="I1156" s="12">
        <f>Table16[[#This Row],[price]]*Table16[[#This Row],[quantity]]</f>
        <v>896</v>
      </c>
    </row>
    <row r="1157" spans="1:9" x14ac:dyDescent="0.3">
      <c r="A1157" t="s">
        <v>3176</v>
      </c>
      <c r="B1157" t="s">
        <v>223</v>
      </c>
      <c r="C1157" t="s">
        <v>2001</v>
      </c>
      <c r="D1157">
        <v>3</v>
      </c>
      <c r="E1157" s="16">
        <v>900.24</v>
      </c>
      <c r="F1157" s="1">
        <v>44301</v>
      </c>
      <c r="G1157" t="s">
        <v>2027</v>
      </c>
      <c r="H1157">
        <v>5</v>
      </c>
      <c r="I1157" s="12">
        <f>Table16[[#This Row],[price]]*Table16[[#This Row],[quantity]]</f>
        <v>2700.7200000000003</v>
      </c>
    </row>
    <row r="1158" spans="1:9" x14ac:dyDescent="0.3">
      <c r="A1158" t="s">
        <v>3171</v>
      </c>
      <c r="B1158" t="s">
        <v>223</v>
      </c>
      <c r="C1158" t="s">
        <v>2006</v>
      </c>
      <c r="D1158">
        <v>3</v>
      </c>
      <c r="E1158" s="16">
        <v>45.45</v>
      </c>
      <c r="F1158" s="1">
        <v>44384</v>
      </c>
      <c r="G1158" t="s">
        <v>2004</v>
      </c>
      <c r="H1158">
        <v>1</v>
      </c>
      <c r="I1158" s="12">
        <f>Table16[[#This Row],[price]]*Table16[[#This Row],[quantity]]</f>
        <v>136.35000000000002</v>
      </c>
    </row>
    <row r="1159" spans="1:9" x14ac:dyDescent="0.3">
      <c r="A1159" t="s">
        <v>3173</v>
      </c>
      <c r="B1159" t="s">
        <v>223</v>
      </c>
      <c r="C1159" t="s">
        <v>2001</v>
      </c>
      <c r="D1159">
        <v>5</v>
      </c>
      <c r="E1159" s="16">
        <v>1500.4</v>
      </c>
      <c r="F1159" s="1">
        <v>44466</v>
      </c>
      <c r="G1159" t="s">
        <v>2027</v>
      </c>
      <c r="H1159">
        <v>3</v>
      </c>
      <c r="I1159" s="12">
        <f>Table16[[#This Row],[price]]*Table16[[#This Row],[quantity]]</f>
        <v>7502</v>
      </c>
    </row>
    <row r="1160" spans="1:9" x14ac:dyDescent="0.3">
      <c r="A1160" t="s">
        <v>3175</v>
      </c>
      <c r="B1160" t="s">
        <v>223</v>
      </c>
      <c r="C1160" t="s">
        <v>2024</v>
      </c>
      <c r="D1160">
        <v>2</v>
      </c>
      <c r="E1160" s="16">
        <v>71.680000000000007</v>
      </c>
      <c r="F1160" s="1">
        <v>44952</v>
      </c>
      <c r="G1160" t="s">
        <v>2004</v>
      </c>
      <c r="H1160">
        <v>4</v>
      </c>
      <c r="I1160" s="12">
        <f>Table16[[#This Row],[price]]*Table16[[#This Row],[quantity]]</f>
        <v>143.36000000000001</v>
      </c>
    </row>
    <row r="1161" spans="1:9" x14ac:dyDescent="0.3">
      <c r="A1161" t="s">
        <v>3177</v>
      </c>
      <c r="B1161" t="s">
        <v>224</v>
      </c>
      <c r="C1161" t="s">
        <v>2024</v>
      </c>
      <c r="D1161">
        <v>5</v>
      </c>
      <c r="E1161" s="16">
        <v>179.2</v>
      </c>
      <c r="F1161" s="1">
        <v>44272</v>
      </c>
      <c r="G1161" t="s">
        <v>2041</v>
      </c>
      <c r="H1161">
        <v>3</v>
      </c>
      <c r="I1161" s="12">
        <f>Table16[[#This Row],[price]]*Table16[[#This Row],[quantity]]</f>
        <v>896</v>
      </c>
    </row>
    <row r="1162" spans="1:9" x14ac:dyDescent="0.3">
      <c r="A1162" t="s">
        <v>3178</v>
      </c>
      <c r="B1162" t="s">
        <v>224</v>
      </c>
      <c r="C1162" t="s">
        <v>2001</v>
      </c>
      <c r="D1162">
        <v>5</v>
      </c>
      <c r="E1162" s="16">
        <v>1500.4</v>
      </c>
      <c r="F1162" s="1">
        <v>44689</v>
      </c>
      <c r="G1162" t="s">
        <v>2027</v>
      </c>
      <c r="H1162">
        <v>5</v>
      </c>
      <c r="I1162" s="12">
        <f>Table16[[#This Row],[price]]*Table16[[#This Row],[quantity]]</f>
        <v>7502</v>
      </c>
    </row>
    <row r="1163" spans="1:9" x14ac:dyDescent="0.3">
      <c r="A1163" t="s">
        <v>3180</v>
      </c>
      <c r="B1163" t="s">
        <v>224</v>
      </c>
      <c r="C1163" t="s">
        <v>2011</v>
      </c>
      <c r="D1163">
        <v>4</v>
      </c>
      <c r="E1163" s="16">
        <v>162.63999999999999</v>
      </c>
      <c r="F1163" s="1">
        <v>44818</v>
      </c>
      <c r="G1163" t="s">
        <v>2041</v>
      </c>
      <c r="H1163">
        <v>5</v>
      </c>
      <c r="I1163" s="12">
        <f>Table16[[#This Row],[price]]*Table16[[#This Row],[quantity]]</f>
        <v>650.55999999999995</v>
      </c>
    </row>
    <row r="1164" spans="1:9" x14ac:dyDescent="0.3">
      <c r="A1164" t="s">
        <v>3179</v>
      </c>
      <c r="B1164" t="s">
        <v>224</v>
      </c>
      <c r="C1164" t="s">
        <v>2017</v>
      </c>
      <c r="D1164">
        <v>3</v>
      </c>
      <c r="E1164" s="16">
        <v>3150</v>
      </c>
      <c r="F1164" s="1">
        <v>44912</v>
      </c>
      <c r="G1164" t="s">
        <v>2027</v>
      </c>
      <c r="H1164">
        <v>1</v>
      </c>
      <c r="I1164" s="12">
        <f>Table16[[#This Row],[price]]*Table16[[#This Row],[quantity]]</f>
        <v>9450</v>
      </c>
    </row>
    <row r="1165" spans="1:9" x14ac:dyDescent="0.3">
      <c r="A1165" t="s">
        <v>3186</v>
      </c>
      <c r="B1165" t="s">
        <v>225</v>
      </c>
      <c r="C1165" t="s">
        <v>2015</v>
      </c>
      <c r="D1165">
        <v>2</v>
      </c>
      <c r="E1165" s="16">
        <v>1200.3399999999999</v>
      </c>
      <c r="F1165" s="1">
        <v>44320</v>
      </c>
      <c r="G1165" t="s">
        <v>2004</v>
      </c>
      <c r="H1165">
        <v>3</v>
      </c>
      <c r="I1165" s="12">
        <f>Table16[[#This Row],[price]]*Table16[[#This Row],[quantity]]</f>
        <v>2400.6799999999998</v>
      </c>
    </row>
    <row r="1166" spans="1:9" x14ac:dyDescent="0.3">
      <c r="A1166" t="s">
        <v>3183</v>
      </c>
      <c r="B1166" t="s">
        <v>225</v>
      </c>
      <c r="C1166" t="s">
        <v>2011</v>
      </c>
      <c r="D1166">
        <v>2</v>
      </c>
      <c r="E1166" s="16">
        <v>81.319999999999993</v>
      </c>
      <c r="F1166" s="1">
        <v>44377</v>
      </c>
      <c r="G1166" t="s">
        <v>2002</v>
      </c>
      <c r="H1166">
        <v>5</v>
      </c>
      <c r="I1166" s="12">
        <f>Table16[[#This Row],[price]]*Table16[[#This Row],[quantity]]</f>
        <v>162.63999999999999</v>
      </c>
    </row>
    <row r="1167" spans="1:9" x14ac:dyDescent="0.3">
      <c r="A1167" t="s">
        <v>3185</v>
      </c>
      <c r="B1167" t="s">
        <v>225</v>
      </c>
      <c r="C1167" t="s">
        <v>2001</v>
      </c>
      <c r="D1167">
        <v>5</v>
      </c>
      <c r="E1167" s="16">
        <v>1500.4</v>
      </c>
      <c r="F1167" s="1">
        <v>44387</v>
      </c>
      <c r="G1167" t="s">
        <v>2058</v>
      </c>
      <c r="H1167">
        <v>2</v>
      </c>
      <c r="I1167" s="12">
        <f>Table16[[#This Row],[price]]*Table16[[#This Row],[quantity]]</f>
        <v>7502</v>
      </c>
    </row>
    <row r="1168" spans="1:9" x14ac:dyDescent="0.3">
      <c r="A1168" t="s">
        <v>3181</v>
      </c>
      <c r="B1168" t="s">
        <v>225</v>
      </c>
      <c r="C1168" t="s">
        <v>2057</v>
      </c>
      <c r="D1168">
        <v>3</v>
      </c>
      <c r="E1168" s="16">
        <v>35.19</v>
      </c>
      <c r="F1168" s="1">
        <v>44426</v>
      </c>
      <c r="G1168" t="s">
        <v>2009</v>
      </c>
      <c r="H1168">
        <v>2</v>
      </c>
      <c r="I1168" s="12">
        <f>Table16[[#This Row],[price]]*Table16[[#This Row],[quantity]]</f>
        <v>105.57</v>
      </c>
    </row>
    <row r="1169" spans="1:9" x14ac:dyDescent="0.3">
      <c r="A1169" t="s">
        <v>3182</v>
      </c>
      <c r="B1169" t="s">
        <v>225</v>
      </c>
      <c r="C1169" t="s">
        <v>2024</v>
      </c>
      <c r="D1169">
        <v>3</v>
      </c>
      <c r="E1169" s="16">
        <v>107.52</v>
      </c>
      <c r="F1169" s="1">
        <v>44556</v>
      </c>
      <c r="G1169" t="s">
        <v>2012</v>
      </c>
      <c r="H1169">
        <v>5</v>
      </c>
      <c r="I1169" s="12">
        <f>Table16[[#This Row],[price]]*Table16[[#This Row],[quantity]]</f>
        <v>322.56</v>
      </c>
    </row>
    <row r="1170" spans="1:9" x14ac:dyDescent="0.3">
      <c r="A1170" t="s">
        <v>3184</v>
      </c>
      <c r="B1170" t="s">
        <v>225</v>
      </c>
      <c r="C1170" t="s">
        <v>2017</v>
      </c>
      <c r="D1170">
        <v>2</v>
      </c>
      <c r="E1170" s="16">
        <v>2100</v>
      </c>
      <c r="F1170" s="1">
        <v>44746</v>
      </c>
      <c r="G1170" t="s">
        <v>2009</v>
      </c>
      <c r="H1170">
        <v>3</v>
      </c>
      <c r="I1170" s="12">
        <f>Table16[[#This Row],[price]]*Table16[[#This Row],[quantity]]</f>
        <v>4200</v>
      </c>
    </row>
    <row r="1171" spans="1:9" x14ac:dyDescent="0.3">
      <c r="A1171" t="s">
        <v>3189</v>
      </c>
      <c r="B1171" t="s">
        <v>226</v>
      </c>
      <c r="C1171" t="s">
        <v>2011</v>
      </c>
      <c r="D1171">
        <v>3</v>
      </c>
      <c r="E1171" s="16">
        <v>121.98</v>
      </c>
      <c r="F1171" s="1">
        <v>44495</v>
      </c>
      <c r="G1171" t="s">
        <v>2004</v>
      </c>
      <c r="H1171">
        <v>2</v>
      </c>
      <c r="I1171" s="12">
        <f>Table16[[#This Row],[price]]*Table16[[#This Row],[quantity]]</f>
        <v>365.94</v>
      </c>
    </row>
    <row r="1172" spans="1:9" x14ac:dyDescent="0.3">
      <c r="A1172" t="s">
        <v>3187</v>
      </c>
      <c r="B1172" t="s">
        <v>226</v>
      </c>
      <c r="C1172" t="s">
        <v>2011</v>
      </c>
      <c r="D1172">
        <v>5</v>
      </c>
      <c r="E1172" s="16">
        <v>203.3</v>
      </c>
      <c r="F1172" s="1">
        <v>44694</v>
      </c>
      <c r="G1172" t="s">
        <v>2009</v>
      </c>
      <c r="H1172">
        <v>4</v>
      </c>
      <c r="I1172" s="12">
        <f>Table16[[#This Row],[price]]*Table16[[#This Row],[quantity]]</f>
        <v>1016.5</v>
      </c>
    </row>
    <row r="1173" spans="1:9" x14ac:dyDescent="0.3">
      <c r="A1173" t="s">
        <v>3190</v>
      </c>
      <c r="B1173" t="s">
        <v>226</v>
      </c>
      <c r="C1173" t="s">
        <v>2011</v>
      </c>
      <c r="D1173">
        <v>5</v>
      </c>
      <c r="E1173" s="16">
        <v>203.3</v>
      </c>
      <c r="F1173" s="1">
        <v>44772</v>
      </c>
      <c r="G1173" t="s">
        <v>2004</v>
      </c>
      <c r="H1173">
        <v>4</v>
      </c>
      <c r="I1173" s="12">
        <f>Table16[[#This Row],[price]]*Table16[[#This Row],[quantity]]</f>
        <v>1016.5</v>
      </c>
    </row>
    <row r="1174" spans="1:9" x14ac:dyDescent="0.3">
      <c r="A1174" t="s">
        <v>3188</v>
      </c>
      <c r="B1174" t="s">
        <v>226</v>
      </c>
      <c r="C1174" t="s">
        <v>2008</v>
      </c>
      <c r="D1174">
        <v>5</v>
      </c>
      <c r="E1174" s="16">
        <v>26.15</v>
      </c>
      <c r="F1174" s="1">
        <v>44955</v>
      </c>
      <c r="G1174" t="s">
        <v>2002</v>
      </c>
      <c r="H1174">
        <v>2</v>
      </c>
      <c r="I1174" s="12">
        <f>Table16[[#This Row],[price]]*Table16[[#This Row],[quantity]]</f>
        <v>130.75</v>
      </c>
    </row>
    <row r="1175" spans="1:9" x14ac:dyDescent="0.3">
      <c r="A1175" t="s">
        <v>3192</v>
      </c>
      <c r="B1175" t="s">
        <v>227</v>
      </c>
      <c r="C1175" t="s">
        <v>2001</v>
      </c>
      <c r="D1175">
        <v>3</v>
      </c>
      <c r="E1175" s="16">
        <v>900.24</v>
      </c>
      <c r="F1175" s="1">
        <v>44348</v>
      </c>
      <c r="G1175" t="s">
        <v>2020</v>
      </c>
      <c r="H1175">
        <v>3</v>
      </c>
      <c r="I1175" s="12">
        <f>Table16[[#This Row],[price]]*Table16[[#This Row],[quantity]]</f>
        <v>2700.7200000000003</v>
      </c>
    </row>
    <row r="1176" spans="1:9" x14ac:dyDescent="0.3">
      <c r="A1176" t="s">
        <v>3194</v>
      </c>
      <c r="B1176" t="s">
        <v>227</v>
      </c>
      <c r="C1176" t="s">
        <v>2008</v>
      </c>
      <c r="D1176">
        <v>3</v>
      </c>
      <c r="E1176" s="16">
        <v>15.69</v>
      </c>
      <c r="F1176" s="1">
        <v>44450</v>
      </c>
      <c r="G1176" t="s">
        <v>2027</v>
      </c>
      <c r="H1176">
        <v>3</v>
      </c>
      <c r="I1176" s="12">
        <f>Table16[[#This Row],[price]]*Table16[[#This Row],[quantity]]</f>
        <v>47.07</v>
      </c>
    </row>
    <row r="1177" spans="1:9" x14ac:dyDescent="0.3">
      <c r="A1177" t="s">
        <v>3196</v>
      </c>
      <c r="B1177" t="s">
        <v>227</v>
      </c>
      <c r="C1177" t="s">
        <v>2008</v>
      </c>
      <c r="D1177">
        <v>5</v>
      </c>
      <c r="E1177" s="16">
        <v>26.15</v>
      </c>
      <c r="F1177" s="1">
        <v>44545</v>
      </c>
      <c r="G1177" t="s">
        <v>2002</v>
      </c>
      <c r="H1177">
        <v>5</v>
      </c>
      <c r="I1177" s="12">
        <f>Table16[[#This Row],[price]]*Table16[[#This Row],[quantity]]</f>
        <v>130.75</v>
      </c>
    </row>
    <row r="1178" spans="1:9" x14ac:dyDescent="0.3">
      <c r="A1178" t="s">
        <v>3191</v>
      </c>
      <c r="B1178" t="s">
        <v>227</v>
      </c>
      <c r="C1178" t="s">
        <v>2024</v>
      </c>
      <c r="D1178">
        <v>2</v>
      </c>
      <c r="E1178" s="16">
        <v>71.680000000000007</v>
      </c>
      <c r="F1178" s="1">
        <v>44800</v>
      </c>
      <c r="G1178" t="s">
        <v>2027</v>
      </c>
      <c r="H1178">
        <v>2</v>
      </c>
      <c r="I1178" s="12">
        <f>Table16[[#This Row],[price]]*Table16[[#This Row],[quantity]]</f>
        <v>143.36000000000001</v>
      </c>
    </row>
    <row r="1179" spans="1:9" x14ac:dyDescent="0.3">
      <c r="A1179" t="s">
        <v>3195</v>
      </c>
      <c r="B1179" t="s">
        <v>227</v>
      </c>
      <c r="C1179" t="s">
        <v>2001</v>
      </c>
      <c r="D1179">
        <v>5</v>
      </c>
      <c r="E1179" s="16">
        <v>1500.4</v>
      </c>
      <c r="F1179" s="1">
        <v>44808</v>
      </c>
      <c r="G1179" t="s">
        <v>2041</v>
      </c>
      <c r="H1179">
        <v>1</v>
      </c>
      <c r="I1179" s="12">
        <f>Table16[[#This Row],[price]]*Table16[[#This Row],[quantity]]</f>
        <v>7502</v>
      </c>
    </row>
    <row r="1180" spans="1:9" x14ac:dyDescent="0.3">
      <c r="A1180" t="s">
        <v>3193</v>
      </c>
      <c r="B1180" t="s">
        <v>227</v>
      </c>
      <c r="C1180" t="s">
        <v>2057</v>
      </c>
      <c r="D1180">
        <v>4</v>
      </c>
      <c r="E1180" s="16">
        <v>46.92</v>
      </c>
      <c r="F1180" s="1">
        <v>44974</v>
      </c>
      <c r="G1180" t="s">
        <v>2018</v>
      </c>
      <c r="H1180">
        <v>2</v>
      </c>
      <c r="I1180" s="12">
        <f>Table16[[#This Row],[price]]*Table16[[#This Row],[quantity]]</f>
        <v>187.68</v>
      </c>
    </row>
    <row r="1181" spans="1:9" x14ac:dyDescent="0.3">
      <c r="A1181" t="s">
        <v>3200</v>
      </c>
      <c r="B1181" t="s">
        <v>228</v>
      </c>
      <c r="C1181" t="s">
        <v>2011</v>
      </c>
      <c r="D1181">
        <v>1</v>
      </c>
      <c r="E1181" s="16">
        <v>40.659999999999997</v>
      </c>
      <c r="F1181" s="1">
        <v>44341</v>
      </c>
      <c r="G1181" t="s">
        <v>2012</v>
      </c>
      <c r="H1181">
        <v>1</v>
      </c>
      <c r="I1181" s="12">
        <f>Table16[[#This Row],[price]]*Table16[[#This Row],[quantity]]</f>
        <v>40.659999999999997</v>
      </c>
    </row>
    <row r="1182" spans="1:9" x14ac:dyDescent="0.3">
      <c r="A1182" t="s">
        <v>3197</v>
      </c>
      <c r="B1182" t="s">
        <v>228</v>
      </c>
      <c r="C1182" t="s">
        <v>2001</v>
      </c>
      <c r="D1182">
        <v>3</v>
      </c>
      <c r="E1182" s="16">
        <v>900.24</v>
      </c>
      <c r="F1182" s="1">
        <v>44418</v>
      </c>
      <c r="G1182" t="s">
        <v>2064</v>
      </c>
      <c r="H1182">
        <v>3</v>
      </c>
      <c r="I1182" s="12">
        <f>Table16[[#This Row],[price]]*Table16[[#This Row],[quantity]]</f>
        <v>2700.7200000000003</v>
      </c>
    </row>
    <row r="1183" spans="1:9" x14ac:dyDescent="0.3">
      <c r="A1183" t="s">
        <v>3198</v>
      </c>
      <c r="B1183" t="s">
        <v>228</v>
      </c>
      <c r="C1183" t="s">
        <v>2011</v>
      </c>
      <c r="D1183">
        <v>1</v>
      </c>
      <c r="E1183" s="16">
        <v>40.659999999999997</v>
      </c>
      <c r="F1183" s="1">
        <v>44566</v>
      </c>
      <c r="G1183" t="s">
        <v>2027</v>
      </c>
      <c r="H1183">
        <v>2</v>
      </c>
      <c r="I1183" s="12">
        <f>Table16[[#This Row],[price]]*Table16[[#This Row],[quantity]]</f>
        <v>40.659999999999997</v>
      </c>
    </row>
    <row r="1184" spans="1:9" x14ac:dyDescent="0.3">
      <c r="A1184" t="s">
        <v>3201</v>
      </c>
      <c r="B1184" t="s">
        <v>228</v>
      </c>
      <c r="C1184" t="s">
        <v>2001</v>
      </c>
      <c r="D1184">
        <v>1</v>
      </c>
      <c r="E1184" s="16">
        <v>300.08</v>
      </c>
      <c r="F1184" s="1">
        <v>44740</v>
      </c>
      <c r="G1184" t="s">
        <v>2004</v>
      </c>
      <c r="H1184">
        <v>2</v>
      </c>
      <c r="I1184" s="12">
        <f>Table16[[#This Row],[price]]*Table16[[#This Row],[quantity]]</f>
        <v>300.08</v>
      </c>
    </row>
    <row r="1185" spans="1:9" x14ac:dyDescent="0.3">
      <c r="A1185" t="s">
        <v>3199</v>
      </c>
      <c r="B1185" t="s">
        <v>228</v>
      </c>
      <c r="C1185" t="s">
        <v>2024</v>
      </c>
      <c r="D1185">
        <v>5</v>
      </c>
      <c r="E1185" s="16">
        <v>179.2</v>
      </c>
      <c r="F1185" s="1">
        <v>44881</v>
      </c>
      <c r="G1185" t="s">
        <v>2004</v>
      </c>
      <c r="H1185">
        <v>2</v>
      </c>
      <c r="I1185" s="12">
        <f>Table16[[#This Row],[price]]*Table16[[#This Row],[quantity]]</f>
        <v>896</v>
      </c>
    </row>
    <row r="1186" spans="1:9" x14ac:dyDescent="0.3">
      <c r="A1186" t="s">
        <v>3203</v>
      </c>
      <c r="B1186" t="s">
        <v>229</v>
      </c>
      <c r="C1186" t="s">
        <v>2001</v>
      </c>
      <c r="D1186">
        <v>2</v>
      </c>
      <c r="E1186" s="16">
        <v>600.16</v>
      </c>
      <c r="F1186" s="1">
        <v>44334</v>
      </c>
      <c r="G1186" t="s">
        <v>2027</v>
      </c>
      <c r="H1186">
        <v>2</v>
      </c>
      <c r="I1186" s="12">
        <f>Table16[[#This Row],[price]]*Table16[[#This Row],[quantity]]</f>
        <v>1200.32</v>
      </c>
    </row>
    <row r="1187" spans="1:9" x14ac:dyDescent="0.3">
      <c r="A1187" t="s">
        <v>3204</v>
      </c>
      <c r="B1187" t="s">
        <v>229</v>
      </c>
      <c r="C1187" t="s">
        <v>2057</v>
      </c>
      <c r="D1187">
        <v>3</v>
      </c>
      <c r="E1187" s="16">
        <v>35.19</v>
      </c>
      <c r="F1187" s="1">
        <v>44568</v>
      </c>
      <c r="G1187" t="s">
        <v>2004</v>
      </c>
      <c r="H1187">
        <v>5</v>
      </c>
      <c r="I1187" s="12">
        <f>Table16[[#This Row],[price]]*Table16[[#This Row],[quantity]]</f>
        <v>105.57</v>
      </c>
    </row>
    <row r="1188" spans="1:9" x14ac:dyDescent="0.3">
      <c r="A1188" t="s">
        <v>3205</v>
      </c>
      <c r="B1188" t="s">
        <v>229</v>
      </c>
      <c r="C1188" t="s">
        <v>2001</v>
      </c>
      <c r="D1188">
        <v>3</v>
      </c>
      <c r="E1188" s="16">
        <v>900.24</v>
      </c>
      <c r="F1188" s="1">
        <v>44815</v>
      </c>
      <c r="G1188" t="s">
        <v>2009</v>
      </c>
      <c r="H1188">
        <v>3</v>
      </c>
      <c r="I1188" s="12">
        <f>Table16[[#This Row],[price]]*Table16[[#This Row],[quantity]]</f>
        <v>2700.7200000000003</v>
      </c>
    </row>
    <row r="1189" spans="1:9" x14ac:dyDescent="0.3">
      <c r="A1189" t="s">
        <v>3202</v>
      </c>
      <c r="B1189" t="s">
        <v>229</v>
      </c>
      <c r="C1189" t="s">
        <v>2006</v>
      </c>
      <c r="D1189">
        <v>5</v>
      </c>
      <c r="E1189" s="16">
        <v>75.75</v>
      </c>
      <c r="F1189" s="1">
        <v>44904</v>
      </c>
      <c r="G1189" t="s">
        <v>2012</v>
      </c>
      <c r="H1189">
        <v>1</v>
      </c>
      <c r="I1189" s="12">
        <f>Table16[[#This Row],[price]]*Table16[[#This Row],[quantity]]</f>
        <v>378.75</v>
      </c>
    </row>
    <row r="1190" spans="1:9" x14ac:dyDescent="0.3">
      <c r="A1190" t="s">
        <v>3207</v>
      </c>
      <c r="B1190" t="s">
        <v>230</v>
      </c>
      <c r="C1190" t="s">
        <v>2024</v>
      </c>
      <c r="D1190">
        <v>5</v>
      </c>
      <c r="E1190" s="16">
        <v>179.2</v>
      </c>
      <c r="F1190" s="1">
        <v>44217</v>
      </c>
      <c r="G1190" t="s">
        <v>2027</v>
      </c>
      <c r="H1190">
        <v>3</v>
      </c>
      <c r="I1190" s="12">
        <f>Table16[[#This Row],[price]]*Table16[[#This Row],[quantity]]</f>
        <v>896</v>
      </c>
    </row>
    <row r="1191" spans="1:9" x14ac:dyDescent="0.3">
      <c r="A1191" t="s">
        <v>3209</v>
      </c>
      <c r="B1191" t="s">
        <v>230</v>
      </c>
      <c r="C1191" t="s">
        <v>2008</v>
      </c>
      <c r="D1191">
        <v>3</v>
      </c>
      <c r="E1191" s="16">
        <v>15.69</v>
      </c>
      <c r="F1191" s="1">
        <v>44230</v>
      </c>
      <c r="G1191" t="s">
        <v>2012</v>
      </c>
      <c r="H1191">
        <v>1</v>
      </c>
      <c r="I1191" s="12">
        <f>Table16[[#This Row],[price]]*Table16[[#This Row],[quantity]]</f>
        <v>47.07</v>
      </c>
    </row>
    <row r="1192" spans="1:9" x14ac:dyDescent="0.3">
      <c r="A1192" t="s">
        <v>3208</v>
      </c>
      <c r="B1192" t="s">
        <v>230</v>
      </c>
      <c r="C1192" t="s">
        <v>2024</v>
      </c>
      <c r="D1192">
        <v>4</v>
      </c>
      <c r="E1192" s="16">
        <v>143.36000000000001</v>
      </c>
      <c r="F1192" s="1">
        <v>44579</v>
      </c>
      <c r="G1192" t="s">
        <v>2002</v>
      </c>
      <c r="H1192">
        <v>3</v>
      </c>
      <c r="I1192" s="12">
        <f>Table16[[#This Row],[price]]*Table16[[#This Row],[quantity]]</f>
        <v>573.44000000000005</v>
      </c>
    </row>
    <row r="1193" spans="1:9" x14ac:dyDescent="0.3">
      <c r="A1193" t="s">
        <v>3206</v>
      </c>
      <c r="B1193" t="s">
        <v>230</v>
      </c>
      <c r="C1193" t="s">
        <v>2001</v>
      </c>
      <c r="D1193">
        <v>2</v>
      </c>
      <c r="E1193" s="16">
        <v>600.16</v>
      </c>
      <c r="F1193" s="1">
        <v>44713</v>
      </c>
      <c r="G1193" t="s">
        <v>2002</v>
      </c>
      <c r="H1193">
        <v>2</v>
      </c>
      <c r="I1193" s="12">
        <f>Table16[[#This Row],[price]]*Table16[[#This Row],[quantity]]</f>
        <v>1200.32</v>
      </c>
    </row>
    <row r="1194" spans="1:9" x14ac:dyDescent="0.3">
      <c r="A1194" t="s">
        <v>3210</v>
      </c>
      <c r="B1194" t="s">
        <v>230</v>
      </c>
      <c r="C1194" t="s">
        <v>2011</v>
      </c>
      <c r="D1194">
        <v>4</v>
      </c>
      <c r="E1194" s="16">
        <v>162.63999999999999</v>
      </c>
      <c r="F1194" s="1">
        <v>44932</v>
      </c>
      <c r="G1194" t="s">
        <v>2027</v>
      </c>
      <c r="H1194">
        <v>3</v>
      </c>
      <c r="I1194" s="12">
        <f>Table16[[#This Row],[price]]*Table16[[#This Row],[quantity]]</f>
        <v>650.55999999999995</v>
      </c>
    </row>
    <row r="1195" spans="1:9" x14ac:dyDescent="0.3">
      <c r="A1195" t="s">
        <v>3213</v>
      </c>
      <c r="B1195" t="s">
        <v>231</v>
      </c>
      <c r="C1195" t="s">
        <v>2024</v>
      </c>
      <c r="D1195">
        <v>5</v>
      </c>
      <c r="E1195" s="16">
        <v>179.2</v>
      </c>
      <c r="F1195" s="1">
        <v>44479</v>
      </c>
      <c r="G1195" t="s">
        <v>2004</v>
      </c>
      <c r="H1195">
        <v>5</v>
      </c>
      <c r="I1195" s="12">
        <f>Table16[[#This Row],[price]]*Table16[[#This Row],[quantity]]</f>
        <v>896</v>
      </c>
    </row>
    <row r="1196" spans="1:9" x14ac:dyDescent="0.3">
      <c r="A1196" t="s">
        <v>3215</v>
      </c>
      <c r="B1196" t="s">
        <v>231</v>
      </c>
      <c r="C1196" t="s">
        <v>2001</v>
      </c>
      <c r="D1196">
        <v>4</v>
      </c>
      <c r="E1196" s="16">
        <v>1200.32</v>
      </c>
      <c r="F1196" s="1">
        <v>44641</v>
      </c>
      <c r="G1196" t="s">
        <v>2002</v>
      </c>
      <c r="H1196">
        <v>2</v>
      </c>
      <c r="I1196" s="12">
        <f>Table16[[#This Row],[price]]*Table16[[#This Row],[quantity]]</f>
        <v>4801.28</v>
      </c>
    </row>
    <row r="1197" spans="1:9" x14ac:dyDescent="0.3">
      <c r="A1197" t="s">
        <v>3211</v>
      </c>
      <c r="B1197" t="s">
        <v>231</v>
      </c>
      <c r="C1197" t="s">
        <v>2011</v>
      </c>
      <c r="D1197">
        <v>1</v>
      </c>
      <c r="E1197" s="16">
        <v>40.659999999999997</v>
      </c>
      <c r="F1197" s="1">
        <v>44719</v>
      </c>
      <c r="G1197" t="s">
        <v>2027</v>
      </c>
      <c r="H1197">
        <v>2</v>
      </c>
      <c r="I1197" s="12">
        <f>Table16[[#This Row],[price]]*Table16[[#This Row],[quantity]]</f>
        <v>40.659999999999997</v>
      </c>
    </row>
    <row r="1198" spans="1:9" x14ac:dyDescent="0.3">
      <c r="A1198" t="s">
        <v>3214</v>
      </c>
      <c r="B1198" t="s">
        <v>231</v>
      </c>
      <c r="C1198" t="s">
        <v>2011</v>
      </c>
      <c r="D1198">
        <v>2</v>
      </c>
      <c r="E1198" s="16">
        <v>81.319999999999993</v>
      </c>
      <c r="F1198" s="1">
        <v>44729</v>
      </c>
      <c r="G1198" t="s">
        <v>2020</v>
      </c>
      <c r="H1198">
        <v>2</v>
      </c>
      <c r="I1198" s="12">
        <f>Table16[[#This Row],[price]]*Table16[[#This Row],[quantity]]</f>
        <v>162.63999999999999</v>
      </c>
    </row>
    <row r="1199" spans="1:9" x14ac:dyDescent="0.3">
      <c r="A1199" t="s">
        <v>3216</v>
      </c>
      <c r="B1199" t="s">
        <v>231</v>
      </c>
      <c r="C1199" t="s">
        <v>2057</v>
      </c>
      <c r="D1199">
        <v>1</v>
      </c>
      <c r="E1199" s="16">
        <v>11.73</v>
      </c>
      <c r="F1199" s="1">
        <v>44810</v>
      </c>
      <c r="G1199" t="s">
        <v>2004</v>
      </c>
      <c r="H1199">
        <v>4</v>
      </c>
      <c r="I1199" s="12">
        <f>Table16[[#This Row],[price]]*Table16[[#This Row],[quantity]]</f>
        <v>11.73</v>
      </c>
    </row>
    <row r="1200" spans="1:9" x14ac:dyDescent="0.3">
      <c r="A1200" t="s">
        <v>3212</v>
      </c>
      <c r="B1200" t="s">
        <v>231</v>
      </c>
      <c r="C1200" t="s">
        <v>2001</v>
      </c>
      <c r="D1200">
        <v>4</v>
      </c>
      <c r="E1200" s="16">
        <v>1200.32</v>
      </c>
      <c r="F1200" s="1">
        <v>44981</v>
      </c>
      <c r="G1200" t="s">
        <v>2064</v>
      </c>
      <c r="H1200">
        <v>4</v>
      </c>
      <c r="I1200" s="12">
        <f>Table16[[#This Row],[price]]*Table16[[#This Row],[quantity]]</f>
        <v>4801.28</v>
      </c>
    </row>
    <row r="1201" spans="1:9" x14ac:dyDescent="0.3">
      <c r="A1201" t="s">
        <v>3218</v>
      </c>
      <c r="B1201" t="s">
        <v>232</v>
      </c>
      <c r="C1201" t="s">
        <v>2001</v>
      </c>
      <c r="D1201">
        <v>3</v>
      </c>
      <c r="E1201" s="16">
        <v>900.24</v>
      </c>
      <c r="F1201" s="1">
        <v>44294</v>
      </c>
      <c r="G1201" t="s">
        <v>2058</v>
      </c>
      <c r="H1201">
        <v>4</v>
      </c>
      <c r="I1201" s="12">
        <f>Table16[[#This Row],[price]]*Table16[[#This Row],[quantity]]</f>
        <v>2700.7200000000003</v>
      </c>
    </row>
    <row r="1202" spans="1:9" x14ac:dyDescent="0.3">
      <c r="A1202" t="s">
        <v>3217</v>
      </c>
      <c r="B1202" t="s">
        <v>232</v>
      </c>
      <c r="C1202" t="s">
        <v>2001</v>
      </c>
      <c r="D1202">
        <v>4</v>
      </c>
      <c r="E1202" s="16">
        <v>1200.32</v>
      </c>
      <c r="F1202" s="1">
        <v>44812</v>
      </c>
      <c r="G1202" t="s">
        <v>2002</v>
      </c>
      <c r="H1202">
        <v>4</v>
      </c>
      <c r="I1202" s="12">
        <f>Table16[[#This Row],[price]]*Table16[[#This Row],[quantity]]</f>
        <v>4801.28</v>
      </c>
    </row>
    <row r="1203" spans="1:9" x14ac:dyDescent="0.3">
      <c r="A1203" t="s">
        <v>3220</v>
      </c>
      <c r="B1203" t="s">
        <v>233</v>
      </c>
      <c r="C1203" t="s">
        <v>2001</v>
      </c>
      <c r="D1203">
        <v>3</v>
      </c>
      <c r="E1203" s="16">
        <v>900.24</v>
      </c>
      <c r="F1203" s="1">
        <v>44278</v>
      </c>
      <c r="G1203" t="s">
        <v>2004</v>
      </c>
      <c r="H1203">
        <v>2</v>
      </c>
      <c r="I1203" s="12">
        <f>Table16[[#This Row],[price]]*Table16[[#This Row],[quantity]]</f>
        <v>2700.7200000000003</v>
      </c>
    </row>
    <row r="1204" spans="1:9" x14ac:dyDescent="0.3">
      <c r="A1204" t="s">
        <v>3224</v>
      </c>
      <c r="B1204" t="s">
        <v>233</v>
      </c>
      <c r="C1204" t="s">
        <v>2024</v>
      </c>
      <c r="D1204">
        <v>4</v>
      </c>
      <c r="E1204" s="16">
        <v>143.36000000000001</v>
      </c>
      <c r="F1204" s="1">
        <v>44290</v>
      </c>
      <c r="G1204" t="s">
        <v>2004</v>
      </c>
      <c r="H1204">
        <v>4</v>
      </c>
      <c r="I1204" s="12">
        <f>Table16[[#This Row],[price]]*Table16[[#This Row],[quantity]]</f>
        <v>573.44000000000005</v>
      </c>
    </row>
    <row r="1205" spans="1:9" x14ac:dyDescent="0.3">
      <c r="A1205" t="s">
        <v>3223</v>
      </c>
      <c r="B1205" t="s">
        <v>233</v>
      </c>
      <c r="C1205" t="s">
        <v>2001</v>
      </c>
      <c r="D1205">
        <v>5</v>
      </c>
      <c r="E1205" s="16">
        <v>1500.4</v>
      </c>
      <c r="F1205" s="1">
        <v>44346</v>
      </c>
      <c r="G1205" t="s">
        <v>2009</v>
      </c>
      <c r="H1205">
        <v>4</v>
      </c>
      <c r="I1205" s="12">
        <f>Table16[[#This Row],[price]]*Table16[[#This Row],[quantity]]</f>
        <v>7502</v>
      </c>
    </row>
    <row r="1206" spans="1:9" x14ac:dyDescent="0.3">
      <c r="A1206" t="s">
        <v>3225</v>
      </c>
      <c r="B1206" t="s">
        <v>233</v>
      </c>
      <c r="C1206" t="s">
        <v>2001</v>
      </c>
      <c r="D1206">
        <v>1</v>
      </c>
      <c r="E1206" s="16">
        <v>300.08</v>
      </c>
      <c r="F1206" s="1">
        <v>44509</v>
      </c>
      <c r="G1206" t="s">
        <v>2027</v>
      </c>
      <c r="H1206">
        <v>5</v>
      </c>
      <c r="I1206" s="12">
        <f>Table16[[#This Row],[price]]*Table16[[#This Row],[quantity]]</f>
        <v>300.08</v>
      </c>
    </row>
    <row r="1207" spans="1:9" x14ac:dyDescent="0.3">
      <c r="A1207" t="s">
        <v>3221</v>
      </c>
      <c r="B1207" t="s">
        <v>233</v>
      </c>
      <c r="C1207" t="s">
        <v>2011</v>
      </c>
      <c r="D1207">
        <v>1</v>
      </c>
      <c r="E1207" s="16">
        <v>40.659999999999997</v>
      </c>
      <c r="F1207" s="1">
        <v>44746</v>
      </c>
      <c r="G1207" t="s">
        <v>2020</v>
      </c>
      <c r="H1207">
        <v>3</v>
      </c>
      <c r="I1207" s="12">
        <f>Table16[[#This Row],[price]]*Table16[[#This Row],[quantity]]</f>
        <v>40.659999999999997</v>
      </c>
    </row>
    <row r="1208" spans="1:9" x14ac:dyDescent="0.3">
      <c r="A1208" t="s">
        <v>3219</v>
      </c>
      <c r="B1208" t="s">
        <v>233</v>
      </c>
      <c r="C1208" t="s">
        <v>2006</v>
      </c>
      <c r="D1208">
        <v>4</v>
      </c>
      <c r="E1208" s="16">
        <v>60.6</v>
      </c>
      <c r="F1208" s="1">
        <v>44817</v>
      </c>
      <c r="G1208" t="s">
        <v>2027</v>
      </c>
      <c r="H1208">
        <v>1</v>
      </c>
      <c r="I1208" s="12">
        <f>Table16[[#This Row],[price]]*Table16[[#This Row],[quantity]]</f>
        <v>242.4</v>
      </c>
    </row>
    <row r="1209" spans="1:9" x14ac:dyDescent="0.3">
      <c r="A1209" t="s">
        <v>3222</v>
      </c>
      <c r="B1209" t="s">
        <v>233</v>
      </c>
      <c r="C1209" t="s">
        <v>2001</v>
      </c>
      <c r="D1209">
        <v>1</v>
      </c>
      <c r="E1209" s="16">
        <v>300.08</v>
      </c>
      <c r="F1209" s="1">
        <v>44973</v>
      </c>
      <c r="G1209" t="s">
        <v>2009</v>
      </c>
      <c r="H1209">
        <v>4</v>
      </c>
      <c r="I1209" s="12">
        <f>Table16[[#This Row],[price]]*Table16[[#This Row],[quantity]]</f>
        <v>300.08</v>
      </c>
    </row>
    <row r="1210" spans="1:9" x14ac:dyDescent="0.3">
      <c r="A1210" t="s">
        <v>3226</v>
      </c>
      <c r="B1210" t="s">
        <v>234</v>
      </c>
      <c r="C1210" t="s">
        <v>2024</v>
      </c>
      <c r="D1210">
        <v>3</v>
      </c>
      <c r="E1210" s="16">
        <v>107.52</v>
      </c>
      <c r="F1210" s="1">
        <v>44236</v>
      </c>
      <c r="G1210" t="s">
        <v>2058</v>
      </c>
      <c r="H1210">
        <v>4</v>
      </c>
      <c r="I1210" s="12">
        <f>Table16[[#This Row],[price]]*Table16[[#This Row],[quantity]]</f>
        <v>322.56</v>
      </c>
    </row>
    <row r="1211" spans="1:9" x14ac:dyDescent="0.3">
      <c r="A1211" t="s">
        <v>3228</v>
      </c>
      <c r="B1211" t="s">
        <v>234</v>
      </c>
      <c r="C1211" t="s">
        <v>2057</v>
      </c>
      <c r="D1211">
        <v>3</v>
      </c>
      <c r="E1211" s="16">
        <v>35.19</v>
      </c>
      <c r="F1211" s="1">
        <v>44254</v>
      </c>
      <c r="G1211" t="s">
        <v>2004</v>
      </c>
      <c r="H1211">
        <v>3</v>
      </c>
      <c r="I1211" s="12">
        <f>Table16[[#This Row],[price]]*Table16[[#This Row],[quantity]]</f>
        <v>105.57</v>
      </c>
    </row>
    <row r="1212" spans="1:9" x14ac:dyDescent="0.3">
      <c r="A1212" t="s">
        <v>3231</v>
      </c>
      <c r="B1212" t="s">
        <v>234</v>
      </c>
      <c r="C1212" t="s">
        <v>2011</v>
      </c>
      <c r="D1212">
        <v>5</v>
      </c>
      <c r="E1212" s="16">
        <v>203.3</v>
      </c>
      <c r="F1212" s="1">
        <v>44323</v>
      </c>
      <c r="G1212" t="s">
        <v>2020</v>
      </c>
      <c r="H1212">
        <v>4</v>
      </c>
      <c r="I1212" s="12">
        <f>Table16[[#This Row],[price]]*Table16[[#This Row],[quantity]]</f>
        <v>1016.5</v>
      </c>
    </row>
    <row r="1213" spans="1:9" x14ac:dyDescent="0.3">
      <c r="A1213" t="s">
        <v>3230</v>
      </c>
      <c r="B1213" t="s">
        <v>234</v>
      </c>
      <c r="C1213" t="s">
        <v>2001</v>
      </c>
      <c r="D1213">
        <v>4</v>
      </c>
      <c r="E1213" s="16">
        <v>1200.32</v>
      </c>
      <c r="F1213" s="1">
        <v>44557</v>
      </c>
      <c r="G1213" t="s">
        <v>2064</v>
      </c>
      <c r="H1213">
        <v>1</v>
      </c>
      <c r="I1213" s="12">
        <f>Table16[[#This Row],[price]]*Table16[[#This Row],[quantity]]</f>
        <v>4801.28</v>
      </c>
    </row>
    <row r="1214" spans="1:9" x14ac:dyDescent="0.3">
      <c r="A1214" t="s">
        <v>3227</v>
      </c>
      <c r="B1214" t="s">
        <v>234</v>
      </c>
      <c r="C1214" t="s">
        <v>2001</v>
      </c>
      <c r="D1214">
        <v>4</v>
      </c>
      <c r="E1214" s="16">
        <v>1200.32</v>
      </c>
      <c r="F1214" s="1">
        <v>44832</v>
      </c>
      <c r="G1214" t="s">
        <v>2027</v>
      </c>
      <c r="H1214">
        <v>4</v>
      </c>
      <c r="I1214" s="12">
        <f>Table16[[#This Row],[price]]*Table16[[#This Row],[quantity]]</f>
        <v>4801.28</v>
      </c>
    </row>
    <row r="1215" spans="1:9" x14ac:dyDescent="0.3">
      <c r="A1215" t="s">
        <v>3229</v>
      </c>
      <c r="B1215" t="s">
        <v>234</v>
      </c>
      <c r="C1215" t="s">
        <v>2001</v>
      </c>
      <c r="D1215">
        <v>1</v>
      </c>
      <c r="E1215" s="16">
        <v>300.08</v>
      </c>
      <c r="F1215" s="1">
        <v>44851</v>
      </c>
      <c r="G1215" t="s">
        <v>2027</v>
      </c>
      <c r="H1215">
        <v>1</v>
      </c>
      <c r="I1215" s="12">
        <f>Table16[[#This Row],[price]]*Table16[[#This Row],[quantity]]</f>
        <v>300.08</v>
      </c>
    </row>
    <row r="1216" spans="1:9" x14ac:dyDescent="0.3">
      <c r="A1216" t="s">
        <v>3236</v>
      </c>
      <c r="B1216" t="s">
        <v>235</v>
      </c>
      <c r="C1216" t="s">
        <v>2008</v>
      </c>
      <c r="D1216">
        <v>3</v>
      </c>
      <c r="E1216" s="16">
        <v>15.69</v>
      </c>
      <c r="F1216" s="1">
        <v>44223</v>
      </c>
      <c r="G1216" t="s">
        <v>2058</v>
      </c>
      <c r="H1216">
        <v>5</v>
      </c>
      <c r="I1216" s="12">
        <f>Table16[[#This Row],[price]]*Table16[[#This Row],[quantity]]</f>
        <v>47.07</v>
      </c>
    </row>
    <row r="1217" spans="1:9" x14ac:dyDescent="0.3">
      <c r="A1217" t="s">
        <v>3235</v>
      </c>
      <c r="B1217" t="s">
        <v>235</v>
      </c>
      <c r="C1217" t="s">
        <v>2008</v>
      </c>
      <c r="D1217">
        <v>2</v>
      </c>
      <c r="E1217" s="16">
        <v>10.46</v>
      </c>
      <c r="F1217" s="1">
        <v>44294</v>
      </c>
      <c r="G1217" t="s">
        <v>2020</v>
      </c>
      <c r="H1217">
        <v>4</v>
      </c>
      <c r="I1217" s="12">
        <f>Table16[[#This Row],[price]]*Table16[[#This Row],[quantity]]</f>
        <v>20.92</v>
      </c>
    </row>
    <row r="1218" spans="1:9" x14ac:dyDescent="0.3">
      <c r="A1218" t="s">
        <v>3232</v>
      </c>
      <c r="B1218" t="s">
        <v>235</v>
      </c>
      <c r="C1218" t="s">
        <v>2011</v>
      </c>
      <c r="D1218">
        <v>5</v>
      </c>
      <c r="E1218" s="16">
        <v>203.3</v>
      </c>
      <c r="F1218" s="1">
        <v>44314</v>
      </c>
      <c r="G1218" t="s">
        <v>2002</v>
      </c>
      <c r="H1218">
        <v>3</v>
      </c>
      <c r="I1218" s="12">
        <f>Table16[[#This Row],[price]]*Table16[[#This Row],[quantity]]</f>
        <v>1016.5</v>
      </c>
    </row>
    <row r="1219" spans="1:9" x14ac:dyDescent="0.3">
      <c r="A1219" t="s">
        <v>3234</v>
      </c>
      <c r="B1219" t="s">
        <v>235</v>
      </c>
      <c r="C1219" t="s">
        <v>2001</v>
      </c>
      <c r="D1219">
        <v>1</v>
      </c>
      <c r="E1219" s="16">
        <v>300.08</v>
      </c>
      <c r="F1219" s="1">
        <v>44811</v>
      </c>
      <c r="G1219" t="s">
        <v>2027</v>
      </c>
      <c r="H1219">
        <v>1</v>
      </c>
      <c r="I1219" s="12">
        <f>Table16[[#This Row],[price]]*Table16[[#This Row],[quantity]]</f>
        <v>300.08</v>
      </c>
    </row>
    <row r="1220" spans="1:9" x14ac:dyDescent="0.3">
      <c r="A1220" t="s">
        <v>3233</v>
      </c>
      <c r="B1220" t="s">
        <v>235</v>
      </c>
      <c r="C1220" t="s">
        <v>2008</v>
      </c>
      <c r="D1220">
        <v>2</v>
      </c>
      <c r="E1220" s="16">
        <v>10.46</v>
      </c>
      <c r="F1220" s="1">
        <v>44919</v>
      </c>
      <c r="G1220" t="s">
        <v>2041</v>
      </c>
      <c r="H1220">
        <v>2</v>
      </c>
      <c r="I1220" s="12">
        <f>Table16[[#This Row],[price]]*Table16[[#This Row],[quantity]]</f>
        <v>20.92</v>
      </c>
    </row>
    <row r="1221" spans="1:9" x14ac:dyDescent="0.3">
      <c r="A1221" t="s">
        <v>3240</v>
      </c>
      <c r="B1221" t="s">
        <v>236</v>
      </c>
      <c r="C1221" t="s">
        <v>2001</v>
      </c>
      <c r="D1221">
        <v>5</v>
      </c>
      <c r="E1221" s="16">
        <v>1500.4</v>
      </c>
      <c r="F1221" s="1">
        <v>44237</v>
      </c>
      <c r="G1221" t="s">
        <v>2064</v>
      </c>
      <c r="H1221">
        <v>1</v>
      </c>
      <c r="I1221" s="12">
        <f>Table16[[#This Row],[price]]*Table16[[#This Row],[quantity]]</f>
        <v>7502</v>
      </c>
    </row>
    <row r="1222" spans="1:9" x14ac:dyDescent="0.3">
      <c r="A1222" t="s">
        <v>3239</v>
      </c>
      <c r="B1222" t="s">
        <v>236</v>
      </c>
      <c r="C1222" t="s">
        <v>2001</v>
      </c>
      <c r="D1222">
        <v>4</v>
      </c>
      <c r="E1222" s="16">
        <v>1200.32</v>
      </c>
      <c r="F1222" s="1">
        <v>44253</v>
      </c>
      <c r="G1222" t="s">
        <v>2004</v>
      </c>
      <c r="H1222">
        <v>5</v>
      </c>
      <c r="I1222" s="12">
        <f>Table16[[#This Row],[price]]*Table16[[#This Row],[quantity]]</f>
        <v>4801.28</v>
      </c>
    </row>
    <row r="1223" spans="1:9" x14ac:dyDescent="0.3">
      <c r="A1223" t="s">
        <v>3237</v>
      </c>
      <c r="B1223" t="s">
        <v>236</v>
      </c>
      <c r="C1223" t="s">
        <v>2001</v>
      </c>
      <c r="D1223">
        <v>4</v>
      </c>
      <c r="E1223" s="16">
        <v>1200.32</v>
      </c>
      <c r="F1223" s="1">
        <v>44450</v>
      </c>
      <c r="G1223" t="s">
        <v>2020</v>
      </c>
      <c r="H1223">
        <v>2</v>
      </c>
      <c r="I1223" s="12">
        <f>Table16[[#This Row],[price]]*Table16[[#This Row],[quantity]]</f>
        <v>4801.28</v>
      </c>
    </row>
    <row r="1224" spans="1:9" x14ac:dyDescent="0.3">
      <c r="A1224" t="s">
        <v>3238</v>
      </c>
      <c r="B1224" t="s">
        <v>236</v>
      </c>
      <c r="C1224" t="s">
        <v>2001</v>
      </c>
      <c r="D1224">
        <v>5</v>
      </c>
      <c r="E1224" s="16">
        <v>1500.4</v>
      </c>
      <c r="F1224" s="1">
        <v>44628</v>
      </c>
      <c r="G1224" t="s">
        <v>2002</v>
      </c>
      <c r="H1224">
        <v>1</v>
      </c>
      <c r="I1224" s="12">
        <f>Table16[[#This Row],[price]]*Table16[[#This Row],[quantity]]</f>
        <v>7502</v>
      </c>
    </row>
    <row r="1225" spans="1:9" x14ac:dyDescent="0.3">
      <c r="A1225" t="s">
        <v>3243</v>
      </c>
      <c r="B1225" t="s">
        <v>237</v>
      </c>
      <c r="C1225" t="s">
        <v>2011</v>
      </c>
      <c r="D1225">
        <v>3</v>
      </c>
      <c r="E1225" s="16">
        <v>121.98</v>
      </c>
      <c r="F1225" s="1">
        <v>44230</v>
      </c>
      <c r="G1225" t="s">
        <v>2027</v>
      </c>
      <c r="H1225">
        <v>3</v>
      </c>
      <c r="I1225" s="12">
        <f>Table16[[#This Row],[price]]*Table16[[#This Row],[quantity]]</f>
        <v>365.94</v>
      </c>
    </row>
    <row r="1226" spans="1:9" x14ac:dyDescent="0.3">
      <c r="A1226" t="s">
        <v>3245</v>
      </c>
      <c r="B1226" t="s">
        <v>237</v>
      </c>
      <c r="C1226" t="s">
        <v>2011</v>
      </c>
      <c r="D1226">
        <v>4</v>
      </c>
      <c r="E1226" s="16">
        <v>162.63999999999999</v>
      </c>
      <c r="F1226" s="1">
        <v>44248</v>
      </c>
      <c r="G1226" t="s">
        <v>2002</v>
      </c>
      <c r="H1226">
        <v>5</v>
      </c>
      <c r="I1226" s="12">
        <f>Table16[[#This Row],[price]]*Table16[[#This Row],[quantity]]</f>
        <v>650.55999999999995</v>
      </c>
    </row>
    <row r="1227" spans="1:9" x14ac:dyDescent="0.3">
      <c r="A1227" t="s">
        <v>3244</v>
      </c>
      <c r="B1227" t="s">
        <v>237</v>
      </c>
      <c r="C1227" t="s">
        <v>2001</v>
      </c>
      <c r="D1227">
        <v>1</v>
      </c>
      <c r="E1227" s="16">
        <v>300.08</v>
      </c>
      <c r="F1227" s="1">
        <v>44361</v>
      </c>
      <c r="G1227" t="s">
        <v>2018</v>
      </c>
      <c r="H1227">
        <v>2</v>
      </c>
      <c r="I1227" s="12">
        <f>Table16[[#This Row],[price]]*Table16[[#This Row],[quantity]]</f>
        <v>300.08</v>
      </c>
    </row>
    <row r="1228" spans="1:9" x14ac:dyDescent="0.3">
      <c r="A1228" t="s">
        <v>3246</v>
      </c>
      <c r="B1228" t="s">
        <v>237</v>
      </c>
      <c r="C1228" t="s">
        <v>2017</v>
      </c>
      <c r="D1228">
        <v>5</v>
      </c>
      <c r="E1228" s="16">
        <v>5250</v>
      </c>
      <c r="F1228" s="1">
        <v>44675</v>
      </c>
      <c r="G1228" t="s">
        <v>2002</v>
      </c>
      <c r="H1228">
        <v>3</v>
      </c>
      <c r="I1228" s="12">
        <f>Table16[[#This Row],[price]]*Table16[[#This Row],[quantity]]</f>
        <v>26250</v>
      </c>
    </row>
    <row r="1229" spans="1:9" x14ac:dyDescent="0.3">
      <c r="A1229" t="s">
        <v>3241</v>
      </c>
      <c r="B1229" t="s">
        <v>237</v>
      </c>
      <c r="C1229" t="s">
        <v>2001</v>
      </c>
      <c r="D1229">
        <v>2</v>
      </c>
      <c r="E1229" s="16">
        <v>600.16</v>
      </c>
      <c r="F1229" s="1">
        <v>44729</v>
      </c>
      <c r="G1229" t="s">
        <v>2027</v>
      </c>
      <c r="H1229">
        <v>3</v>
      </c>
      <c r="I1229" s="12">
        <f>Table16[[#This Row],[price]]*Table16[[#This Row],[quantity]]</f>
        <v>1200.32</v>
      </c>
    </row>
    <row r="1230" spans="1:9" x14ac:dyDescent="0.3">
      <c r="A1230" t="s">
        <v>3242</v>
      </c>
      <c r="B1230" t="s">
        <v>237</v>
      </c>
      <c r="C1230" t="s">
        <v>2015</v>
      </c>
      <c r="D1230">
        <v>3</v>
      </c>
      <c r="E1230" s="16">
        <v>1800.51</v>
      </c>
      <c r="F1230" s="1">
        <v>44770</v>
      </c>
      <c r="G1230" t="s">
        <v>2012</v>
      </c>
      <c r="H1230">
        <v>4</v>
      </c>
      <c r="I1230" s="12">
        <f>Table16[[#This Row],[price]]*Table16[[#This Row],[quantity]]</f>
        <v>5401.53</v>
      </c>
    </row>
    <row r="1231" spans="1:9" x14ac:dyDescent="0.3">
      <c r="A1231" t="s">
        <v>3249</v>
      </c>
      <c r="B1231" t="s">
        <v>238</v>
      </c>
      <c r="C1231" t="s">
        <v>2057</v>
      </c>
      <c r="D1231">
        <v>4</v>
      </c>
      <c r="E1231" s="16">
        <v>46.92</v>
      </c>
      <c r="F1231" s="1">
        <v>44308</v>
      </c>
      <c r="G1231" t="s">
        <v>2020</v>
      </c>
      <c r="H1231">
        <v>5</v>
      </c>
      <c r="I1231" s="12">
        <f>Table16[[#This Row],[price]]*Table16[[#This Row],[quantity]]</f>
        <v>187.68</v>
      </c>
    </row>
    <row r="1232" spans="1:9" x14ac:dyDescent="0.3">
      <c r="A1232" t="s">
        <v>3253</v>
      </c>
      <c r="B1232" t="s">
        <v>238</v>
      </c>
      <c r="C1232" t="s">
        <v>2006</v>
      </c>
      <c r="D1232">
        <v>3</v>
      </c>
      <c r="E1232" s="16">
        <v>45.45</v>
      </c>
      <c r="F1232" s="1">
        <v>44387</v>
      </c>
      <c r="G1232" t="s">
        <v>2041</v>
      </c>
      <c r="H1232">
        <v>5</v>
      </c>
      <c r="I1232" s="12">
        <f>Table16[[#This Row],[price]]*Table16[[#This Row],[quantity]]</f>
        <v>136.35000000000002</v>
      </c>
    </row>
    <row r="1233" spans="1:9" x14ac:dyDescent="0.3">
      <c r="A1233" t="s">
        <v>3248</v>
      </c>
      <c r="B1233" t="s">
        <v>238</v>
      </c>
      <c r="C1233" t="s">
        <v>2015</v>
      </c>
      <c r="D1233">
        <v>4</v>
      </c>
      <c r="E1233" s="16">
        <v>2400.6799999999998</v>
      </c>
      <c r="F1233" s="1">
        <v>44443</v>
      </c>
      <c r="G1233" t="s">
        <v>2002</v>
      </c>
      <c r="H1233">
        <v>3</v>
      </c>
      <c r="I1233" s="12">
        <f>Table16[[#This Row],[price]]*Table16[[#This Row],[quantity]]</f>
        <v>9602.7199999999993</v>
      </c>
    </row>
    <row r="1234" spans="1:9" x14ac:dyDescent="0.3">
      <c r="A1234" t="s">
        <v>3252</v>
      </c>
      <c r="B1234" t="s">
        <v>238</v>
      </c>
      <c r="C1234" t="s">
        <v>2001</v>
      </c>
      <c r="D1234">
        <v>1</v>
      </c>
      <c r="E1234" s="16">
        <v>300.08</v>
      </c>
      <c r="F1234" s="1">
        <v>44479</v>
      </c>
      <c r="G1234" t="s">
        <v>2027</v>
      </c>
      <c r="H1234">
        <v>2</v>
      </c>
      <c r="I1234" s="12">
        <f>Table16[[#This Row],[price]]*Table16[[#This Row],[quantity]]</f>
        <v>300.08</v>
      </c>
    </row>
    <row r="1235" spans="1:9" x14ac:dyDescent="0.3">
      <c r="A1235" t="s">
        <v>3250</v>
      </c>
      <c r="B1235" t="s">
        <v>238</v>
      </c>
      <c r="C1235" t="s">
        <v>2008</v>
      </c>
      <c r="D1235">
        <v>4</v>
      </c>
      <c r="E1235" s="16">
        <v>20.92</v>
      </c>
      <c r="F1235" s="1">
        <v>44621</v>
      </c>
      <c r="G1235" t="s">
        <v>2041</v>
      </c>
      <c r="H1235">
        <v>2</v>
      </c>
      <c r="I1235" s="12">
        <f>Table16[[#This Row],[price]]*Table16[[#This Row],[quantity]]</f>
        <v>83.68</v>
      </c>
    </row>
    <row r="1236" spans="1:9" x14ac:dyDescent="0.3">
      <c r="A1236" t="s">
        <v>3247</v>
      </c>
      <c r="B1236" t="s">
        <v>238</v>
      </c>
      <c r="C1236" t="s">
        <v>2011</v>
      </c>
      <c r="D1236">
        <v>1</v>
      </c>
      <c r="E1236" s="16">
        <v>40.659999999999997</v>
      </c>
      <c r="F1236" s="1">
        <v>44796</v>
      </c>
      <c r="G1236" t="s">
        <v>2002</v>
      </c>
      <c r="H1236">
        <v>2</v>
      </c>
      <c r="I1236" s="12">
        <f>Table16[[#This Row],[price]]*Table16[[#This Row],[quantity]]</f>
        <v>40.659999999999997</v>
      </c>
    </row>
    <row r="1237" spans="1:9" x14ac:dyDescent="0.3">
      <c r="A1237" t="s">
        <v>3251</v>
      </c>
      <c r="B1237" t="s">
        <v>238</v>
      </c>
      <c r="C1237" t="s">
        <v>2006</v>
      </c>
      <c r="D1237">
        <v>3</v>
      </c>
      <c r="E1237" s="16">
        <v>45.45</v>
      </c>
      <c r="F1237" s="1">
        <v>44919</v>
      </c>
      <c r="G1237" t="s">
        <v>2004</v>
      </c>
      <c r="H1237">
        <v>2</v>
      </c>
      <c r="I1237" s="12">
        <f>Table16[[#This Row],[price]]*Table16[[#This Row],[quantity]]</f>
        <v>136.35000000000002</v>
      </c>
    </row>
    <row r="1238" spans="1:9" x14ac:dyDescent="0.3">
      <c r="A1238" t="s">
        <v>3256</v>
      </c>
      <c r="B1238" t="s">
        <v>239</v>
      </c>
      <c r="C1238" t="s">
        <v>2057</v>
      </c>
      <c r="D1238">
        <v>2</v>
      </c>
      <c r="E1238" s="16">
        <v>23.46</v>
      </c>
      <c r="F1238" s="1">
        <v>44460</v>
      </c>
      <c r="G1238" t="s">
        <v>2004</v>
      </c>
      <c r="H1238">
        <v>1</v>
      </c>
      <c r="I1238" s="12">
        <f>Table16[[#This Row],[price]]*Table16[[#This Row],[quantity]]</f>
        <v>46.92</v>
      </c>
    </row>
    <row r="1239" spans="1:9" x14ac:dyDescent="0.3">
      <c r="A1239" t="s">
        <v>3254</v>
      </c>
      <c r="B1239" t="s">
        <v>239</v>
      </c>
      <c r="C1239" t="s">
        <v>2011</v>
      </c>
      <c r="D1239">
        <v>3</v>
      </c>
      <c r="E1239" s="16">
        <v>121.98</v>
      </c>
      <c r="F1239" s="1">
        <v>44806</v>
      </c>
      <c r="G1239" t="s">
        <v>2041</v>
      </c>
      <c r="H1239">
        <v>4</v>
      </c>
      <c r="I1239" s="12">
        <f>Table16[[#This Row],[price]]*Table16[[#This Row],[quantity]]</f>
        <v>365.94</v>
      </c>
    </row>
    <row r="1240" spans="1:9" x14ac:dyDescent="0.3">
      <c r="A1240" t="s">
        <v>3255</v>
      </c>
      <c r="B1240" t="s">
        <v>239</v>
      </c>
      <c r="C1240" t="s">
        <v>2017</v>
      </c>
      <c r="D1240">
        <v>1</v>
      </c>
      <c r="E1240" s="16">
        <v>1050</v>
      </c>
      <c r="F1240" s="1">
        <v>44840</v>
      </c>
      <c r="G1240" t="s">
        <v>2058</v>
      </c>
      <c r="H1240">
        <v>2</v>
      </c>
      <c r="I1240" s="12">
        <f>Table16[[#This Row],[price]]*Table16[[#This Row],[quantity]]</f>
        <v>1050</v>
      </c>
    </row>
    <row r="1241" spans="1:9" x14ac:dyDescent="0.3">
      <c r="A1241" t="s">
        <v>3258</v>
      </c>
      <c r="B1241" t="s">
        <v>240</v>
      </c>
      <c r="C1241" t="s">
        <v>2011</v>
      </c>
      <c r="D1241">
        <v>5</v>
      </c>
      <c r="E1241" s="16">
        <v>203.3</v>
      </c>
      <c r="F1241" s="1">
        <v>44271</v>
      </c>
      <c r="G1241" t="s">
        <v>2041</v>
      </c>
      <c r="H1241">
        <v>3</v>
      </c>
      <c r="I1241" s="12">
        <f>Table16[[#This Row],[price]]*Table16[[#This Row],[quantity]]</f>
        <v>1016.5</v>
      </c>
    </row>
    <row r="1242" spans="1:9" x14ac:dyDescent="0.3">
      <c r="A1242" t="s">
        <v>3260</v>
      </c>
      <c r="B1242" t="s">
        <v>240</v>
      </c>
      <c r="C1242" t="s">
        <v>2001</v>
      </c>
      <c r="D1242">
        <v>4</v>
      </c>
      <c r="E1242" s="16">
        <v>1200.32</v>
      </c>
      <c r="F1242" s="1">
        <v>44286</v>
      </c>
      <c r="G1242" t="s">
        <v>2009</v>
      </c>
      <c r="H1242">
        <v>4</v>
      </c>
      <c r="I1242" s="12">
        <f>Table16[[#This Row],[price]]*Table16[[#This Row],[quantity]]</f>
        <v>4801.28</v>
      </c>
    </row>
    <row r="1243" spans="1:9" x14ac:dyDescent="0.3">
      <c r="A1243" t="s">
        <v>3259</v>
      </c>
      <c r="B1243" t="s">
        <v>240</v>
      </c>
      <c r="C1243" t="s">
        <v>2011</v>
      </c>
      <c r="D1243">
        <v>1</v>
      </c>
      <c r="E1243" s="16">
        <v>40.659999999999997</v>
      </c>
      <c r="F1243" s="1">
        <v>44294</v>
      </c>
      <c r="G1243" t="s">
        <v>2027</v>
      </c>
      <c r="H1243">
        <v>4</v>
      </c>
      <c r="I1243" s="12">
        <f>Table16[[#This Row],[price]]*Table16[[#This Row],[quantity]]</f>
        <v>40.659999999999997</v>
      </c>
    </row>
    <row r="1244" spans="1:9" x14ac:dyDescent="0.3">
      <c r="A1244" t="s">
        <v>3261</v>
      </c>
      <c r="B1244" t="s">
        <v>240</v>
      </c>
      <c r="C1244" t="s">
        <v>2001</v>
      </c>
      <c r="D1244">
        <v>1</v>
      </c>
      <c r="E1244" s="16">
        <v>300.08</v>
      </c>
      <c r="F1244" s="1">
        <v>44471</v>
      </c>
      <c r="G1244" t="s">
        <v>2027</v>
      </c>
      <c r="H1244">
        <v>1</v>
      </c>
      <c r="I1244" s="12">
        <f>Table16[[#This Row],[price]]*Table16[[#This Row],[quantity]]</f>
        <v>300.08</v>
      </c>
    </row>
    <row r="1245" spans="1:9" x14ac:dyDescent="0.3">
      <c r="A1245" t="s">
        <v>3257</v>
      </c>
      <c r="B1245" t="s">
        <v>240</v>
      </c>
      <c r="C1245" t="s">
        <v>2011</v>
      </c>
      <c r="D1245">
        <v>1</v>
      </c>
      <c r="E1245" s="16">
        <v>40.659999999999997</v>
      </c>
      <c r="F1245" s="1">
        <v>44944</v>
      </c>
      <c r="G1245" t="s">
        <v>2020</v>
      </c>
      <c r="H1245">
        <v>2</v>
      </c>
      <c r="I1245" s="12">
        <f>Table16[[#This Row],[price]]*Table16[[#This Row],[quantity]]</f>
        <v>40.659999999999997</v>
      </c>
    </row>
    <row r="1246" spans="1:9" x14ac:dyDescent="0.3">
      <c r="A1246" t="s">
        <v>3263</v>
      </c>
      <c r="B1246" t="s">
        <v>241</v>
      </c>
      <c r="C1246" t="s">
        <v>2001</v>
      </c>
      <c r="D1246">
        <v>2</v>
      </c>
      <c r="E1246" s="16">
        <v>600.16</v>
      </c>
      <c r="F1246" s="1">
        <v>44209</v>
      </c>
      <c r="G1246" t="s">
        <v>2027</v>
      </c>
      <c r="H1246">
        <v>2</v>
      </c>
      <c r="I1246" s="12">
        <f>Table16[[#This Row],[price]]*Table16[[#This Row],[quantity]]</f>
        <v>1200.32</v>
      </c>
    </row>
    <row r="1247" spans="1:9" x14ac:dyDescent="0.3">
      <c r="A1247" t="s">
        <v>3264</v>
      </c>
      <c r="B1247" t="s">
        <v>241</v>
      </c>
      <c r="C1247" t="s">
        <v>2001</v>
      </c>
      <c r="D1247">
        <v>5</v>
      </c>
      <c r="E1247" s="16">
        <v>1500.4</v>
      </c>
      <c r="F1247" s="1">
        <v>44368</v>
      </c>
      <c r="G1247" t="s">
        <v>2064</v>
      </c>
      <c r="H1247">
        <v>2</v>
      </c>
      <c r="I1247" s="12">
        <f>Table16[[#This Row],[price]]*Table16[[#This Row],[quantity]]</f>
        <v>7502</v>
      </c>
    </row>
    <row r="1248" spans="1:9" x14ac:dyDescent="0.3">
      <c r="A1248" t="s">
        <v>3262</v>
      </c>
      <c r="B1248" t="s">
        <v>241</v>
      </c>
      <c r="C1248" t="s">
        <v>2011</v>
      </c>
      <c r="D1248">
        <v>3</v>
      </c>
      <c r="E1248" s="16">
        <v>121.98</v>
      </c>
      <c r="F1248" s="1">
        <v>44780</v>
      </c>
      <c r="G1248" t="s">
        <v>2009</v>
      </c>
      <c r="H1248">
        <v>3</v>
      </c>
      <c r="I1248" s="12">
        <f>Table16[[#This Row],[price]]*Table16[[#This Row],[quantity]]</f>
        <v>365.94</v>
      </c>
    </row>
    <row r="1249" spans="1:9" x14ac:dyDescent="0.3">
      <c r="A1249" t="s">
        <v>3265</v>
      </c>
      <c r="B1249" t="s">
        <v>241</v>
      </c>
      <c r="C1249" t="s">
        <v>2024</v>
      </c>
      <c r="D1249">
        <v>1</v>
      </c>
      <c r="E1249" s="16">
        <v>35.840000000000003</v>
      </c>
      <c r="F1249" s="1">
        <v>44888</v>
      </c>
      <c r="G1249" t="s">
        <v>2027</v>
      </c>
      <c r="H1249">
        <v>1</v>
      </c>
      <c r="I1249" s="12">
        <f>Table16[[#This Row],[price]]*Table16[[#This Row],[quantity]]</f>
        <v>35.840000000000003</v>
      </c>
    </row>
    <row r="1250" spans="1:9" x14ac:dyDescent="0.3">
      <c r="A1250" t="s">
        <v>3266</v>
      </c>
      <c r="B1250" t="s">
        <v>241</v>
      </c>
      <c r="C1250" t="s">
        <v>2001</v>
      </c>
      <c r="D1250">
        <v>1</v>
      </c>
      <c r="E1250" s="16">
        <v>300.08</v>
      </c>
      <c r="F1250" s="1">
        <v>44987</v>
      </c>
      <c r="G1250" t="s">
        <v>2027</v>
      </c>
      <c r="H1250">
        <v>4</v>
      </c>
      <c r="I1250" s="12">
        <f>Table16[[#This Row],[price]]*Table16[[#This Row],[quantity]]</f>
        <v>300.08</v>
      </c>
    </row>
    <row r="1251" spans="1:9" x14ac:dyDescent="0.3">
      <c r="A1251" t="s">
        <v>3270</v>
      </c>
      <c r="B1251" t="s">
        <v>242</v>
      </c>
      <c r="C1251" t="s">
        <v>2015</v>
      </c>
      <c r="D1251">
        <v>4</v>
      </c>
      <c r="E1251" s="16">
        <v>2400.6799999999998</v>
      </c>
      <c r="F1251" s="1">
        <v>44226</v>
      </c>
      <c r="G1251" t="s">
        <v>2064</v>
      </c>
      <c r="H1251">
        <v>1</v>
      </c>
      <c r="I1251" s="12">
        <f>Table16[[#This Row],[price]]*Table16[[#This Row],[quantity]]</f>
        <v>9602.7199999999993</v>
      </c>
    </row>
    <row r="1252" spans="1:9" x14ac:dyDescent="0.3">
      <c r="A1252" t="s">
        <v>3267</v>
      </c>
      <c r="B1252" t="s">
        <v>242</v>
      </c>
      <c r="C1252" t="s">
        <v>2001</v>
      </c>
      <c r="D1252">
        <v>4</v>
      </c>
      <c r="E1252" s="16">
        <v>1200.32</v>
      </c>
      <c r="F1252" s="1">
        <v>44287</v>
      </c>
      <c r="G1252" t="s">
        <v>2064</v>
      </c>
      <c r="H1252">
        <v>1</v>
      </c>
      <c r="I1252" s="12">
        <f>Table16[[#This Row],[price]]*Table16[[#This Row],[quantity]]</f>
        <v>4801.28</v>
      </c>
    </row>
    <row r="1253" spans="1:9" x14ac:dyDescent="0.3">
      <c r="A1253" t="s">
        <v>3273</v>
      </c>
      <c r="B1253" t="s">
        <v>242</v>
      </c>
      <c r="C1253" t="s">
        <v>2001</v>
      </c>
      <c r="D1253">
        <v>5</v>
      </c>
      <c r="E1253" s="16">
        <v>1500.4</v>
      </c>
      <c r="F1253" s="1">
        <v>44434</v>
      </c>
      <c r="G1253" t="s">
        <v>2027</v>
      </c>
      <c r="H1253">
        <v>1</v>
      </c>
      <c r="I1253" s="12">
        <f>Table16[[#This Row],[price]]*Table16[[#This Row],[quantity]]</f>
        <v>7502</v>
      </c>
    </row>
    <row r="1254" spans="1:9" x14ac:dyDescent="0.3">
      <c r="A1254" t="s">
        <v>3272</v>
      </c>
      <c r="B1254" t="s">
        <v>242</v>
      </c>
      <c r="C1254" t="s">
        <v>2015</v>
      </c>
      <c r="D1254">
        <v>1</v>
      </c>
      <c r="E1254" s="16">
        <v>600.16999999999996</v>
      </c>
      <c r="F1254" s="1">
        <v>44443</v>
      </c>
      <c r="G1254" t="s">
        <v>2002</v>
      </c>
      <c r="H1254">
        <v>1</v>
      </c>
      <c r="I1254" s="12">
        <f>Table16[[#This Row],[price]]*Table16[[#This Row],[quantity]]</f>
        <v>600.16999999999996</v>
      </c>
    </row>
    <row r="1255" spans="1:9" x14ac:dyDescent="0.3">
      <c r="A1255" t="s">
        <v>3271</v>
      </c>
      <c r="B1255" t="s">
        <v>242</v>
      </c>
      <c r="C1255" t="s">
        <v>2015</v>
      </c>
      <c r="D1255">
        <v>5</v>
      </c>
      <c r="E1255" s="16">
        <v>3000.85</v>
      </c>
      <c r="F1255" s="1">
        <v>44471</v>
      </c>
      <c r="G1255" t="s">
        <v>2058</v>
      </c>
      <c r="H1255">
        <v>1</v>
      </c>
      <c r="I1255" s="12">
        <f>Table16[[#This Row],[price]]*Table16[[#This Row],[quantity]]</f>
        <v>15004.25</v>
      </c>
    </row>
    <row r="1256" spans="1:9" x14ac:dyDescent="0.3">
      <c r="A1256" t="s">
        <v>3269</v>
      </c>
      <c r="B1256" t="s">
        <v>242</v>
      </c>
      <c r="C1256" t="s">
        <v>2001</v>
      </c>
      <c r="D1256">
        <v>3</v>
      </c>
      <c r="E1256" s="16">
        <v>900.24</v>
      </c>
      <c r="F1256" s="1">
        <v>44597</v>
      </c>
      <c r="G1256" t="s">
        <v>2012</v>
      </c>
      <c r="H1256">
        <v>5</v>
      </c>
      <c r="I1256" s="12">
        <f>Table16[[#This Row],[price]]*Table16[[#This Row],[quantity]]</f>
        <v>2700.7200000000003</v>
      </c>
    </row>
    <row r="1257" spans="1:9" x14ac:dyDescent="0.3">
      <c r="A1257" t="s">
        <v>3268</v>
      </c>
      <c r="B1257" t="s">
        <v>242</v>
      </c>
      <c r="C1257" t="s">
        <v>2008</v>
      </c>
      <c r="D1257">
        <v>1</v>
      </c>
      <c r="E1257" s="16">
        <v>5.23</v>
      </c>
      <c r="F1257" s="1">
        <v>44733</v>
      </c>
      <c r="G1257" t="s">
        <v>2020</v>
      </c>
      <c r="H1257">
        <v>4</v>
      </c>
      <c r="I1257" s="12">
        <f>Table16[[#This Row],[price]]*Table16[[#This Row],[quantity]]</f>
        <v>5.23</v>
      </c>
    </row>
    <row r="1258" spans="1:9" x14ac:dyDescent="0.3">
      <c r="A1258" t="s">
        <v>3274</v>
      </c>
      <c r="B1258" t="s">
        <v>242</v>
      </c>
      <c r="C1258" t="s">
        <v>2008</v>
      </c>
      <c r="D1258">
        <v>1</v>
      </c>
      <c r="E1258" s="16">
        <v>5.23</v>
      </c>
      <c r="F1258" s="1">
        <v>44788</v>
      </c>
      <c r="G1258" t="s">
        <v>2002</v>
      </c>
      <c r="H1258">
        <v>5</v>
      </c>
      <c r="I1258" s="12">
        <f>Table16[[#This Row],[price]]*Table16[[#This Row],[quantity]]</f>
        <v>5.23</v>
      </c>
    </row>
    <row r="1259" spans="1:9" x14ac:dyDescent="0.3">
      <c r="A1259" t="s">
        <v>3275</v>
      </c>
      <c r="B1259" t="s">
        <v>243</v>
      </c>
      <c r="C1259" t="s">
        <v>2001</v>
      </c>
      <c r="D1259">
        <v>3</v>
      </c>
      <c r="E1259" s="16">
        <v>900.24</v>
      </c>
      <c r="F1259" s="1">
        <v>44403</v>
      </c>
      <c r="G1259" t="s">
        <v>2020</v>
      </c>
      <c r="H1259">
        <v>4</v>
      </c>
      <c r="I1259" s="12">
        <f>Table16[[#This Row],[price]]*Table16[[#This Row],[quantity]]</f>
        <v>2700.7200000000003</v>
      </c>
    </row>
    <row r="1260" spans="1:9" x14ac:dyDescent="0.3">
      <c r="A1260" t="s">
        <v>3277</v>
      </c>
      <c r="B1260" t="s">
        <v>243</v>
      </c>
      <c r="C1260" t="s">
        <v>2008</v>
      </c>
      <c r="D1260">
        <v>3</v>
      </c>
      <c r="E1260" s="16">
        <v>15.69</v>
      </c>
      <c r="F1260" s="1">
        <v>44559</v>
      </c>
      <c r="G1260" t="s">
        <v>2027</v>
      </c>
      <c r="H1260">
        <v>3</v>
      </c>
      <c r="I1260" s="12">
        <f>Table16[[#This Row],[price]]*Table16[[#This Row],[quantity]]</f>
        <v>47.07</v>
      </c>
    </row>
    <row r="1261" spans="1:9" x14ac:dyDescent="0.3">
      <c r="A1261" t="s">
        <v>3276</v>
      </c>
      <c r="B1261" t="s">
        <v>243</v>
      </c>
      <c r="C1261" t="s">
        <v>2017</v>
      </c>
      <c r="D1261">
        <v>3</v>
      </c>
      <c r="E1261" s="16">
        <v>3150</v>
      </c>
      <c r="F1261" s="1">
        <v>44682</v>
      </c>
      <c r="G1261" t="s">
        <v>2002</v>
      </c>
      <c r="H1261">
        <v>1</v>
      </c>
      <c r="I1261" s="12">
        <f>Table16[[#This Row],[price]]*Table16[[#This Row],[quantity]]</f>
        <v>9450</v>
      </c>
    </row>
    <row r="1262" spans="1:9" x14ac:dyDescent="0.3">
      <c r="A1262" t="s">
        <v>3279</v>
      </c>
      <c r="B1262" t="s">
        <v>243</v>
      </c>
      <c r="C1262" t="s">
        <v>2015</v>
      </c>
      <c r="D1262">
        <v>4</v>
      </c>
      <c r="E1262" s="16">
        <v>2400.6799999999998</v>
      </c>
      <c r="F1262" s="1">
        <v>44687</v>
      </c>
      <c r="G1262" t="s">
        <v>2004</v>
      </c>
      <c r="H1262">
        <v>1</v>
      </c>
      <c r="I1262" s="12">
        <f>Table16[[#This Row],[price]]*Table16[[#This Row],[quantity]]</f>
        <v>9602.7199999999993</v>
      </c>
    </row>
    <row r="1263" spans="1:9" x14ac:dyDescent="0.3">
      <c r="A1263" t="s">
        <v>3278</v>
      </c>
      <c r="B1263" t="s">
        <v>243</v>
      </c>
      <c r="C1263" t="s">
        <v>2011</v>
      </c>
      <c r="D1263">
        <v>5</v>
      </c>
      <c r="E1263" s="16">
        <v>203.3</v>
      </c>
      <c r="F1263" s="1">
        <v>44736</v>
      </c>
      <c r="G1263" t="s">
        <v>2027</v>
      </c>
      <c r="H1263">
        <v>4</v>
      </c>
      <c r="I1263" s="12">
        <f>Table16[[#This Row],[price]]*Table16[[#This Row],[quantity]]</f>
        <v>1016.5</v>
      </c>
    </row>
    <row r="1264" spans="1:9" x14ac:dyDescent="0.3">
      <c r="A1264" t="s">
        <v>3282</v>
      </c>
      <c r="B1264" t="s">
        <v>244</v>
      </c>
      <c r="C1264" t="s">
        <v>2015</v>
      </c>
      <c r="D1264">
        <v>5</v>
      </c>
      <c r="E1264" s="16">
        <v>3000.85</v>
      </c>
      <c r="F1264" s="1">
        <v>44267</v>
      </c>
      <c r="G1264" t="s">
        <v>2002</v>
      </c>
      <c r="H1264">
        <v>4</v>
      </c>
      <c r="I1264" s="12">
        <f>Table16[[#This Row],[price]]*Table16[[#This Row],[quantity]]</f>
        <v>15004.25</v>
      </c>
    </row>
    <row r="1265" spans="1:9" x14ac:dyDescent="0.3">
      <c r="A1265" t="s">
        <v>3284</v>
      </c>
      <c r="B1265" t="s">
        <v>244</v>
      </c>
      <c r="C1265" t="s">
        <v>2001</v>
      </c>
      <c r="D1265">
        <v>4</v>
      </c>
      <c r="E1265" s="16">
        <v>1200.32</v>
      </c>
      <c r="F1265" s="1">
        <v>44274</v>
      </c>
      <c r="G1265" t="s">
        <v>2058</v>
      </c>
      <c r="H1265">
        <v>4</v>
      </c>
      <c r="I1265" s="12">
        <f>Table16[[#This Row],[price]]*Table16[[#This Row],[quantity]]</f>
        <v>4801.28</v>
      </c>
    </row>
    <row r="1266" spans="1:9" x14ac:dyDescent="0.3">
      <c r="A1266" t="s">
        <v>3280</v>
      </c>
      <c r="B1266" t="s">
        <v>244</v>
      </c>
      <c r="C1266" t="s">
        <v>2001</v>
      </c>
      <c r="D1266">
        <v>5</v>
      </c>
      <c r="E1266" s="16">
        <v>1500.4</v>
      </c>
      <c r="F1266" s="1">
        <v>44384</v>
      </c>
      <c r="G1266" t="s">
        <v>2027</v>
      </c>
      <c r="H1266">
        <v>2</v>
      </c>
      <c r="I1266" s="12">
        <f>Table16[[#This Row],[price]]*Table16[[#This Row],[quantity]]</f>
        <v>7502</v>
      </c>
    </row>
    <row r="1267" spans="1:9" x14ac:dyDescent="0.3">
      <c r="A1267" t="s">
        <v>3281</v>
      </c>
      <c r="B1267" t="s">
        <v>244</v>
      </c>
      <c r="C1267" t="s">
        <v>2024</v>
      </c>
      <c r="D1267">
        <v>3</v>
      </c>
      <c r="E1267" s="16">
        <v>107.52</v>
      </c>
      <c r="F1267" s="1">
        <v>44421</v>
      </c>
      <c r="G1267" t="s">
        <v>2009</v>
      </c>
      <c r="H1267">
        <v>1</v>
      </c>
      <c r="I1267" s="12">
        <f>Table16[[#This Row],[price]]*Table16[[#This Row],[quantity]]</f>
        <v>322.56</v>
      </c>
    </row>
    <row r="1268" spans="1:9" x14ac:dyDescent="0.3">
      <c r="A1268" t="s">
        <v>3286</v>
      </c>
      <c r="B1268" t="s">
        <v>244</v>
      </c>
      <c r="C1268" t="s">
        <v>2008</v>
      </c>
      <c r="D1268">
        <v>1</v>
      </c>
      <c r="E1268" s="16">
        <v>5.23</v>
      </c>
      <c r="F1268" s="1">
        <v>44801</v>
      </c>
      <c r="G1268" t="s">
        <v>2058</v>
      </c>
      <c r="H1268">
        <v>4</v>
      </c>
      <c r="I1268" s="12">
        <f>Table16[[#This Row],[price]]*Table16[[#This Row],[quantity]]</f>
        <v>5.23</v>
      </c>
    </row>
    <row r="1269" spans="1:9" x14ac:dyDescent="0.3">
      <c r="A1269" t="s">
        <v>3285</v>
      </c>
      <c r="B1269" t="s">
        <v>244</v>
      </c>
      <c r="C1269" t="s">
        <v>2001</v>
      </c>
      <c r="D1269">
        <v>3</v>
      </c>
      <c r="E1269" s="16">
        <v>900.24</v>
      </c>
      <c r="F1269" s="1">
        <v>44945</v>
      </c>
      <c r="G1269" t="s">
        <v>2018</v>
      </c>
      <c r="H1269">
        <v>1</v>
      </c>
      <c r="I1269" s="12">
        <f>Table16[[#This Row],[price]]*Table16[[#This Row],[quantity]]</f>
        <v>2700.7200000000003</v>
      </c>
    </row>
    <row r="1270" spans="1:9" x14ac:dyDescent="0.3">
      <c r="A1270" t="s">
        <v>3283</v>
      </c>
      <c r="B1270" t="s">
        <v>244</v>
      </c>
      <c r="C1270" t="s">
        <v>2024</v>
      </c>
      <c r="D1270">
        <v>3</v>
      </c>
      <c r="E1270" s="16">
        <v>107.52</v>
      </c>
      <c r="F1270" s="1">
        <v>44985</v>
      </c>
      <c r="G1270" t="s">
        <v>2041</v>
      </c>
      <c r="H1270">
        <v>1</v>
      </c>
      <c r="I1270" s="12">
        <f>Table16[[#This Row],[price]]*Table16[[#This Row],[quantity]]</f>
        <v>322.56</v>
      </c>
    </row>
    <row r="1271" spans="1:9" x14ac:dyDescent="0.3">
      <c r="A1271" t="s">
        <v>3290</v>
      </c>
      <c r="B1271" t="s">
        <v>245</v>
      </c>
      <c r="C1271" t="s">
        <v>2015</v>
      </c>
      <c r="D1271">
        <v>1</v>
      </c>
      <c r="E1271" s="16">
        <v>600.16999999999996</v>
      </c>
      <c r="F1271" s="1">
        <v>44371</v>
      </c>
      <c r="G1271" t="s">
        <v>2002</v>
      </c>
      <c r="H1271">
        <v>5</v>
      </c>
      <c r="I1271" s="12">
        <f>Table16[[#This Row],[price]]*Table16[[#This Row],[quantity]]</f>
        <v>600.16999999999996</v>
      </c>
    </row>
    <row r="1272" spans="1:9" x14ac:dyDescent="0.3">
      <c r="A1272" t="s">
        <v>3289</v>
      </c>
      <c r="B1272" t="s">
        <v>245</v>
      </c>
      <c r="C1272" t="s">
        <v>2011</v>
      </c>
      <c r="D1272">
        <v>3</v>
      </c>
      <c r="E1272" s="16">
        <v>121.98</v>
      </c>
      <c r="F1272" s="1">
        <v>44773</v>
      </c>
      <c r="G1272" t="s">
        <v>2004</v>
      </c>
      <c r="H1272">
        <v>3</v>
      </c>
      <c r="I1272" s="12">
        <f>Table16[[#This Row],[price]]*Table16[[#This Row],[quantity]]</f>
        <v>365.94</v>
      </c>
    </row>
    <row r="1273" spans="1:9" x14ac:dyDescent="0.3">
      <c r="A1273" t="s">
        <v>3287</v>
      </c>
      <c r="B1273" t="s">
        <v>245</v>
      </c>
      <c r="C1273" t="s">
        <v>2011</v>
      </c>
      <c r="D1273">
        <v>1</v>
      </c>
      <c r="E1273" s="16">
        <v>40.659999999999997</v>
      </c>
      <c r="F1273" s="1">
        <v>44802</v>
      </c>
      <c r="G1273" t="s">
        <v>2064</v>
      </c>
      <c r="H1273">
        <v>2</v>
      </c>
      <c r="I1273" s="12">
        <f>Table16[[#This Row],[price]]*Table16[[#This Row],[quantity]]</f>
        <v>40.659999999999997</v>
      </c>
    </row>
    <row r="1274" spans="1:9" x14ac:dyDescent="0.3">
      <c r="A1274" t="s">
        <v>3291</v>
      </c>
      <c r="B1274" t="s">
        <v>245</v>
      </c>
      <c r="C1274" t="s">
        <v>2008</v>
      </c>
      <c r="D1274">
        <v>5</v>
      </c>
      <c r="E1274" s="16">
        <v>26.15</v>
      </c>
      <c r="F1274" s="1">
        <v>44842</v>
      </c>
      <c r="G1274" t="s">
        <v>2009</v>
      </c>
      <c r="H1274">
        <v>3</v>
      </c>
      <c r="I1274" s="12">
        <f>Table16[[#This Row],[price]]*Table16[[#This Row],[quantity]]</f>
        <v>130.75</v>
      </c>
    </row>
    <row r="1275" spans="1:9" x14ac:dyDescent="0.3">
      <c r="A1275" t="s">
        <v>3288</v>
      </c>
      <c r="B1275" t="s">
        <v>245</v>
      </c>
      <c r="C1275" t="s">
        <v>2011</v>
      </c>
      <c r="D1275">
        <v>3</v>
      </c>
      <c r="E1275" s="16">
        <v>121.98</v>
      </c>
      <c r="F1275" s="1">
        <v>44887</v>
      </c>
      <c r="G1275" t="s">
        <v>2002</v>
      </c>
      <c r="H1275">
        <v>3</v>
      </c>
      <c r="I1275" s="12">
        <f>Table16[[#This Row],[price]]*Table16[[#This Row],[quantity]]</f>
        <v>365.94</v>
      </c>
    </row>
    <row r="1276" spans="1:9" x14ac:dyDescent="0.3">
      <c r="A1276" t="s">
        <v>3296</v>
      </c>
      <c r="B1276" t="s">
        <v>246</v>
      </c>
      <c r="C1276" t="s">
        <v>2024</v>
      </c>
      <c r="D1276">
        <v>2</v>
      </c>
      <c r="E1276" s="16">
        <v>71.680000000000007</v>
      </c>
      <c r="F1276" s="1">
        <v>44244</v>
      </c>
      <c r="G1276" t="s">
        <v>2004</v>
      </c>
      <c r="H1276">
        <v>4</v>
      </c>
      <c r="I1276" s="12">
        <f>Table16[[#This Row],[price]]*Table16[[#This Row],[quantity]]</f>
        <v>143.36000000000001</v>
      </c>
    </row>
    <row r="1277" spans="1:9" x14ac:dyDescent="0.3">
      <c r="A1277" t="s">
        <v>3297</v>
      </c>
      <c r="B1277" t="s">
        <v>246</v>
      </c>
      <c r="C1277" t="s">
        <v>2008</v>
      </c>
      <c r="D1277">
        <v>3</v>
      </c>
      <c r="E1277" s="16">
        <v>15.69</v>
      </c>
      <c r="F1277" s="1">
        <v>44407</v>
      </c>
      <c r="G1277" t="s">
        <v>2004</v>
      </c>
      <c r="H1277">
        <v>2</v>
      </c>
      <c r="I1277" s="12">
        <f>Table16[[#This Row],[price]]*Table16[[#This Row],[quantity]]</f>
        <v>47.07</v>
      </c>
    </row>
    <row r="1278" spans="1:9" x14ac:dyDescent="0.3">
      <c r="A1278" t="s">
        <v>3293</v>
      </c>
      <c r="B1278" t="s">
        <v>246</v>
      </c>
      <c r="C1278" t="s">
        <v>2001</v>
      </c>
      <c r="D1278">
        <v>5</v>
      </c>
      <c r="E1278" s="16">
        <v>1500.4</v>
      </c>
      <c r="F1278" s="1">
        <v>44594</v>
      </c>
      <c r="G1278" t="s">
        <v>2004</v>
      </c>
      <c r="H1278">
        <v>2</v>
      </c>
      <c r="I1278" s="12">
        <f>Table16[[#This Row],[price]]*Table16[[#This Row],[quantity]]</f>
        <v>7502</v>
      </c>
    </row>
    <row r="1279" spans="1:9" x14ac:dyDescent="0.3">
      <c r="A1279" t="s">
        <v>3294</v>
      </c>
      <c r="B1279" t="s">
        <v>246</v>
      </c>
      <c r="C1279" t="s">
        <v>2011</v>
      </c>
      <c r="D1279">
        <v>4</v>
      </c>
      <c r="E1279" s="16">
        <v>162.63999999999999</v>
      </c>
      <c r="F1279" s="1">
        <v>44613</v>
      </c>
      <c r="G1279" t="s">
        <v>2041</v>
      </c>
      <c r="H1279">
        <v>1</v>
      </c>
      <c r="I1279" s="12">
        <f>Table16[[#This Row],[price]]*Table16[[#This Row],[quantity]]</f>
        <v>650.55999999999995</v>
      </c>
    </row>
    <row r="1280" spans="1:9" x14ac:dyDescent="0.3">
      <c r="A1280" t="s">
        <v>3295</v>
      </c>
      <c r="B1280" t="s">
        <v>246</v>
      </c>
      <c r="C1280" t="s">
        <v>2057</v>
      </c>
      <c r="D1280">
        <v>5</v>
      </c>
      <c r="E1280" s="16">
        <v>58.65</v>
      </c>
      <c r="F1280" s="1">
        <v>44772</v>
      </c>
      <c r="G1280" t="s">
        <v>2018</v>
      </c>
      <c r="H1280">
        <v>5</v>
      </c>
      <c r="I1280" s="12">
        <f>Table16[[#This Row],[price]]*Table16[[#This Row],[quantity]]</f>
        <v>293.25</v>
      </c>
    </row>
    <row r="1281" spans="1:9" x14ac:dyDescent="0.3">
      <c r="A1281" t="s">
        <v>3292</v>
      </c>
      <c r="B1281" t="s">
        <v>246</v>
      </c>
      <c r="C1281" t="s">
        <v>2024</v>
      </c>
      <c r="D1281">
        <v>2</v>
      </c>
      <c r="E1281" s="16">
        <v>71.680000000000007</v>
      </c>
      <c r="F1281" s="1">
        <v>44777</v>
      </c>
      <c r="G1281" t="s">
        <v>2020</v>
      </c>
      <c r="H1281">
        <v>4</v>
      </c>
      <c r="I1281" s="12">
        <f>Table16[[#This Row],[price]]*Table16[[#This Row],[quantity]]</f>
        <v>143.36000000000001</v>
      </c>
    </row>
    <row r="1282" spans="1:9" x14ac:dyDescent="0.3">
      <c r="A1282" t="s">
        <v>3300</v>
      </c>
      <c r="B1282" t="s">
        <v>247</v>
      </c>
      <c r="C1282" t="s">
        <v>2015</v>
      </c>
      <c r="D1282">
        <v>2</v>
      </c>
      <c r="E1282" s="16">
        <v>1200.3399999999999</v>
      </c>
      <c r="F1282" s="1">
        <v>44310</v>
      </c>
      <c r="G1282" t="s">
        <v>2041</v>
      </c>
      <c r="H1282">
        <v>3</v>
      </c>
      <c r="I1282" s="12">
        <f>Table16[[#This Row],[price]]*Table16[[#This Row],[quantity]]</f>
        <v>2400.6799999999998</v>
      </c>
    </row>
    <row r="1283" spans="1:9" x14ac:dyDescent="0.3">
      <c r="A1283" t="s">
        <v>3299</v>
      </c>
      <c r="B1283" t="s">
        <v>247</v>
      </c>
      <c r="C1283" t="s">
        <v>2017</v>
      </c>
      <c r="D1283">
        <v>5</v>
      </c>
      <c r="E1283" s="16">
        <v>5250</v>
      </c>
      <c r="F1283" s="1">
        <v>44547</v>
      </c>
      <c r="G1283" t="s">
        <v>2004</v>
      </c>
      <c r="H1283">
        <v>3</v>
      </c>
      <c r="I1283" s="12">
        <f>Table16[[#This Row],[price]]*Table16[[#This Row],[quantity]]</f>
        <v>26250</v>
      </c>
    </row>
    <row r="1284" spans="1:9" x14ac:dyDescent="0.3">
      <c r="A1284" t="s">
        <v>3302</v>
      </c>
      <c r="B1284" t="s">
        <v>247</v>
      </c>
      <c r="C1284" t="s">
        <v>2011</v>
      </c>
      <c r="D1284">
        <v>4</v>
      </c>
      <c r="E1284" s="16">
        <v>162.63999999999999</v>
      </c>
      <c r="F1284" s="1">
        <v>44613</v>
      </c>
      <c r="G1284" t="s">
        <v>2020</v>
      </c>
      <c r="H1284">
        <v>4</v>
      </c>
      <c r="I1284" s="12">
        <f>Table16[[#This Row],[price]]*Table16[[#This Row],[quantity]]</f>
        <v>650.55999999999995</v>
      </c>
    </row>
    <row r="1285" spans="1:9" x14ac:dyDescent="0.3">
      <c r="A1285" t="s">
        <v>3303</v>
      </c>
      <c r="B1285" t="s">
        <v>247</v>
      </c>
      <c r="C1285" t="s">
        <v>2057</v>
      </c>
      <c r="D1285">
        <v>4</v>
      </c>
      <c r="E1285" s="16">
        <v>46.92</v>
      </c>
      <c r="F1285" s="1">
        <v>44638</v>
      </c>
      <c r="G1285" t="s">
        <v>2020</v>
      </c>
      <c r="H1285">
        <v>5</v>
      </c>
      <c r="I1285" s="12">
        <f>Table16[[#This Row],[price]]*Table16[[#This Row],[quantity]]</f>
        <v>187.68</v>
      </c>
    </row>
    <row r="1286" spans="1:9" x14ac:dyDescent="0.3">
      <c r="A1286" t="s">
        <v>3298</v>
      </c>
      <c r="B1286" t="s">
        <v>247</v>
      </c>
      <c r="C1286" t="s">
        <v>2024</v>
      </c>
      <c r="D1286">
        <v>1</v>
      </c>
      <c r="E1286" s="16">
        <v>35.840000000000003</v>
      </c>
      <c r="F1286" s="1">
        <v>44791</v>
      </c>
      <c r="G1286" t="s">
        <v>2064</v>
      </c>
      <c r="H1286">
        <v>3</v>
      </c>
      <c r="I1286" s="12">
        <f>Table16[[#This Row],[price]]*Table16[[#This Row],[quantity]]</f>
        <v>35.840000000000003</v>
      </c>
    </row>
    <row r="1287" spans="1:9" x14ac:dyDescent="0.3">
      <c r="A1287" t="s">
        <v>3301</v>
      </c>
      <c r="B1287" t="s">
        <v>247</v>
      </c>
      <c r="C1287" t="s">
        <v>2011</v>
      </c>
      <c r="D1287">
        <v>4</v>
      </c>
      <c r="E1287" s="16">
        <v>162.63999999999999</v>
      </c>
      <c r="F1287" s="1">
        <v>44916</v>
      </c>
      <c r="G1287" t="s">
        <v>2004</v>
      </c>
      <c r="H1287">
        <v>1</v>
      </c>
      <c r="I1287" s="12">
        <f>Table16[[#This Row],[price]]*Table16[[#This Row],[quantity]]</f>
        <v>650.55999999999995</v>
      </c>
    </row>
    <row r="1288" spans="1:9" x14ac:dyDescent="0.3">
      <c r="A1288" t="s">
        <v>3304</v>
      </c>
      <c r="B1288" t="s">
        <v>248</v>
      </c>
      <c r="C1288" t="s">
        <v>2015</v>
      </c>
      <c r="D1288">
        <v>3</v>
      </c>
      <c r="E1288" s="16">
        <v>1800.51</v>
      </c>
      <c r="F1288" s="1">
        <v>44341</v>
      </c>
      <c r="G1288" t="s">
        <v>2004</v>
      </c>
      <c r="H1288">
        <v>3</v>
      </c>
      <c r="I1288" s="12">
        <f>Table16[[#This Row],[price]]*Table16[[#This Row],[quantity]]</f>
        <v>5401.53</v>
      </c>
    </row>
    <row r="1289" spans="1:9" x14ac:dyDescent="0.3">
      <c r="A1289" t="s">
        <v>3305</v>
      </c>
      <c r="B1289" t="s">
        <v>248</v>
      </c>
      <c r="C1289" t="s">
        <v>2001</v>
      </c>
      <c r="D1289">
        <v>4</v>
      </c>
      <c r="E1289" s="16">
        <v>1200.32</v>
      </c>
      <c r="F1289" s="1">
        <v>44536</v>
      </c>
      <c r="G1289" t="s">
        <v>2002</v>
      </c>
      <c r="H1289">
        <v>1</v>
      </c>
      <c r="I1289" s="12">
        <f>Table16[[#This Row],[price]]*Table16[[#This Row],[quantity]]</f>
        <v>4801.28</v>
      </c>
    </row>
    <row r="1290" spans="1:9" x14ac:dyDescent="0.3">
      <c r="A1290" t="s">
        <v>3306</v>
      </c>
      <c r="B1290" t="s">
        <v>248</v>
      </c>
      <c r="C1290" t="s">
        <v>2001</v>
      </c>
      <c r="D1290">
        <v>2</v>
      </c>
      <c r="E1290" s="16">
        <v>600.16</v>
      </c>
      <c r="F1290" s="1">
        <v>44635</v>
      </c>
      <c r="G1290" t="s">
        <v>2020</v>
      </c>
      <c r="H1290">
        <v>2</v>
      </c>
      <c r="I1290" s="12">
        <f>Table16[[#This Row],[price]]*Table16[[#This Row],[quantity]]</f>
        <v>1200.32</v>
      </c>
    </row>
    <row r="1291" spans="1:9" x14ac:dyDescent="0.3">
      <c r="A1291" t="s">
        <v>3308</v>
      </c>
      <c r="B1291" t="s">
        <v>248</v>
      </c>
      <c r="C1291" t="s">
        <v>2001</v>
      </c>
      <c r="D1291">
        <v>5</v>
      </c>
      <c r="E1291" s="16">
        <v>1500.4</v>
      </c>
      <c r="F1291" s="1">
        <v>44722</v>
      </c>
      <c r="G1291" t="s">
        <v>2009</v>
      </c>
      <c r="H1291">
        <v>5</v>
      </c>
      <c r="I1291" s="12">
        <f>Table16[[#This Row],[price]]*Table16[[#This Row],[quantity]]</f>
        <v>7502</v>
      </c>
    </row>
    <row r="1292" spans="1:9" x14ac:dyDescent="0.3">
      <c r="A1292" t="s">
        <v>3307</v>
      </c>
      <c r="B1292" t="s">
        <v>248</v>
      </c>
      <c r="C1292" t="s">
        <v>2057</v>
      </c>
      <c r="D1292">
        <v>5</v>
      </c>
      <c r="E1292" s="16">
        <v>58.65</v>
      </c>
      <c r="F1292" s="1">
        <v>44869</v>
      </c>
      <c r="G1292" t="s">
        <v>2041</v>
      </c>
      <c r="H1292">
        <v>2</v>
      </c>
      <c r="I1292" s="12">
        <f>Table16[[#This Row],[price]]*Table16[[#This Row],[quantity]]</f>
        <v>293.25</v>
      </c>
    </row>
    <row r="1293" spans="1:9" x14ac:dyDescent="0.3">
      <c r="A1293" t="s">
        <v>3311</v>
      </c>
      <c r="B1293" t="s">
        <v>249</v>
      </c>
      <c r="C1293" t="s">
        <v>2008</v>
      </c>
      <c r="D1293">
        <v>1</v>
      </c>
      <c r="E1293" s="16">
        <v>5.23</v>
      </c>
      <c r="F1293" s="1">
        <v>44329</v>
      </c>
      <c r="G1293" t="s">
        <v>2027</v>
      </c>
      <c r="H1293">
        <v>5</v>
      </c>
      <c r="I1293" s="12">
        <f>Table16[[#This Row],[price]]*Table16[[#This Row],[quantity]]</f>
        <v>5.23</v>
      </c>
    </row>
    <row r="1294" spans="1:9" x14ac:dyDescent="0.3">
      <c r="A1294" t="s">
        <v>3313</v>
      </c>
      <c r="B1294" t="s">
        <v>249</v>
      </c>
      <c r="C1294" t="s">
        <v>2001</v>
      </c>
      <c r="D1294">
        <v>3</v>
      </c>
      <c r="E1294" s="16">
        <v>900.24</v>
      </c>
      <c r="F1294" s="1">
        <v>44407</v>
      </c>
      <c r="G1294" t="s">
        <v>2020</v>
      </c>
      <c r="H1294">
        <v>5</v>
      </c>
      <c r="I1294" s="12">
        <f>Table16[[#This Row],[price]]*Table16[[#This Row],[quantity]]</f>
        <v>2700.7200000000003</v>
      </c>
    </row>
    <row r="1295" spans="1:9" x14ac:dyDescent="0.3">
      <c r="A1295" t="s">
        <v>3314</v>
      </c>
      <c r="B1295" t="s">
        <v>249</v>
      </c>
      <c r="C1295" t="s">
        <v>2017</v>
      </c>
      <c r="D1295">
        <v>4</v>
      </c>
      <c r="E1295" s="16">
        <v>4200</v>
      </c>
      <c r="F1295" s="1">
        <v>44648</v>
      </c>
      <c r="G1295" t="s">
        <v>2018</v>
      </c>
      <c r="H1295">
        <v>3</v>
      </c>
      <c r="I1295" s="12">
        <f>Table16[[#This Row],[price]]*Table16[[#This Row],[quantity]]</f>
        <v>16800</v>
      </c>
    </row>
    <row r="1296" spans="1:9" x14ac:dyDescent="0.3">
      <c r="A1296" t="s">
        <v>3309</v>
      </c>
      <c r="B1296" t="s">
        <v>249</v>
      </c>
      <c r="C1296" t="s">
        <v>2017</v>
      </c>
      <c r="D1296">
        <v>1</v>
      </c>
      <c r="E1296" s="16">
        <v>1050</v>
      </c>
      <c r="F1296" s="1">
        <v>44765</v>
      </c>
      <c r="G1296" t="s">
        <v>2027</v>
      </c>
      <c r="H1296">
        <v>1</v>
      </c>
      <c r="I1296" s="12">
        <f>Table16[[#This Row],[price]]*Table16[[#This Row],[quantity]]</f>
        <v>1050</v>
      </c>
    </row>
    <row r="1297" spans="1:9" x14ac:dyDescent="0.3">
      <c r="A1297" t="s">
        <v>3310</v>
      </c>
      <c r="B1297" t="s">
        <v>249</v>
      </c>
      <c r="C1297" t="s">
        <v>2011</v>
      </c>
      <c r="D1297">
        <v>4</v>
      </c>
      <c r="E1297" s="16">
        <v>162.63999999999999</v>
      </c>
      <c r="F1297" s="1">
        <v>44834</v>
      </c>
      <c r="G1297" t="s">
        <v>2020</v>
      </c>
      <c r="H1297">
        <v>3</v>
      </c>
      <c r="I1297" s="12">
        <f>Table16[[#This Row],[price]]*Table16[[#This Row],[quantity]]</f>
        <v>650.55999999999995</v>
      </c>
    </row>
    <row r="1298" spans="1:9" x14ac:dyDescent="0.3">
      <c r="A1298" t="s">
        <v>3312</v>
      </c>
      <c r="B1298" t="s">
        <v>249</v>
      </c>
      <c r="C1298" t="s">
        <v>2015</v>
      </c>
      <c r="D1298">
        <v>3</v>
      </c>
      <c r="E1298" s="16">
        <v>1800.51</v>
      </c>
      <c r="F1298" s="1">
        <v>44869</v>
      </c>
      <c r="G1298" t="s">
        <v>2004</v>
      </c>
      <c r="H1298">
        <v>1</v>
      </c>
      <c r="I1298" s="12">
        <f>Table16[[#This Row],[price]]*Table16[[#This Row],[quantity]]</f>
        <v>5401.53</v>
      </c>
    </row>
    <row r="1299" spans="1:9" x14ac:dyDescent="0.3">
      <c r="A1299" t="s">
        <v>3315</v>
      </c>
      <c r="B1299" t="s">
        <v>249</v>
      </c>
      <c r="C1299" t="s">
        <v>2001</v>
      </c>
      <c r="D1299">
        <v>1</v>
      </c>
      <c r="E1299" s="16">
        <v>300.08</v>
      </c>
      <c r="F1299" s="1">
        <v>44988</v>
      </c>
      <c r="G1299" t="s">
        <v>2012</v>
      </c>
      <c r="H1299">
        <v>3</v>
      </c>
      <c r="I1299" s="12">
        <f>Table16[[#This Row],[price]]*Table16[[#This Row],[quantity]]</f>
        <v>300.08</v>
      </c>
    </row>
    <row r="1300" spans="1:9" x14ac:dyDescent="0.3">
      <c r="A1300" t="s">
        <v>3321</v>
      </c>
      <c r="B1300" t="s">
        <v>250</v>
      </c>
      <c r="C1300" t="s">
        <v>2001</v>
      </c>
      <c r="D1300">
        <v>4</v>
      </c>
      <c r="E1300" s="16">
        <v>1200.32</v>
      </c>
      <c r="F1300" s="1">
        <v>44289</v>
      </c>
      <c r="G1300" t="s">
        <v>2004</v>
      </c>
      <c r="H1300">
        <v>5</v>
      </c>
      <c r="I1300" s="12">
        <f>Table16[[#This Row],[price]]*Table16[[#This Row],[quantity]]</f>
        <v>4801.28</v>
      </c>
    </row>
    <row r="1301" spans="1:9" x14ac:dyDescent="0.3">
      <c r="A1301" t="s">
        <v>3319</v>
      </c>
      <c r="B1301" t="s">
        <v>250</v>
      </c>
      <c r="C1301" t="s">
        <v>2001</v>
      </c>
      <c r="D1301">
        <v>2</v>
      </c>
      <c r="E1301" s="16">
        <v>600.16</v>
      </c>
      <c r="F1301" s="1">
        <v>44291</v>
      </c>
      <c r="G1301" t="s">
        <v>2004</v>
      </c>
      <c r="H1301">
        <v>4</v>
      </c>
      <c r="I1301" s="12">
        <f>Table16[[#This Row],[price]]*Table16[[#This Row],[quantity]]</f>
        <v>1200.32</v>
      </c>
    </row>
    <row r="1302" spans="1:9" x14ac:dyDescent="0.3">
      <c r="A1302" t="s">
        <v>3318</v>
      </c>
      <c r="B1302" t="s">
        <v>250</v>
      </c>
      <c r="C1302" t="s">
        <v>2006</v>
      </c>
      <c r="D1302">
        <v>3</v>
      </c>
      <c r="E1302" s="16">
        <v>45.45</v>
      </c>
      <c r="F1302" s="1">
        <v>44523</v>
      </c>
      <c r="G1302" t="s">
        <v>2064</v>
      </c>
      <c r="H1302">
        <v>5</v>
      </c>
      <c r="I1302" s="12">
        <f>Table16[[#This Row],[price]]*Table16[[#This Row],[quantity]]</f>
        <v>136.35000000000002</v>
      </c>
    </row>
    <row r="1303" spans="1:9" x14ac:dyDescent="0.3">
      <c r="A1303" t="s">
        <v>3317</v>
      </c>
      <c r="B1303" t="s">
        <v>250</v>
      </c>
      <c r="C1303" t="s">
        <v>2015</v>
      </c>
      <c r="D1303">
        <v>1</v>
      </c>
      <c r="E1303" s="16">
        <v>600.16999999999996</v>
      </c>
      <c r="F1303" s="1">
        <v>44557</v>
      </c>
      <c r="G1303" t="s">
        <v>2027</v>
      </c>
      <c r="H1303">
        <v>5</v>
      </c>
      <c r="I1303" s="12">
        <f>Table16[[#This Row],[price]]*Table16[[#This Row],[quantity]]</f>
        <v>600.16999999999996</v>
      </c>
    </row>
    <row r="1304" spans="1:9" x14ac:dyDescent="0.3">
      <c r="A1304" t="s">
        <v>3316</v>
      </c>
      <c r="B1304" t="s">
        <v>250</v>
      </c>
      <c r="C1304" t="s">
        <v>2024</v>
      </c>
      <c r="D1304">
        <v>5</v>
      </c>
      <c r="E1304" s="16">
        <v>179.2</v>
      </c>
      <c r="F1304" s="1">
        <v>44576</v>
      </c>
      <c r="G1304" t="s">
        <v>2027</v>
      </c>
      <c r="H1304">
        <v>5</v>
      </c>
      <c r="I1304" s="12">
        <f>Table16[[#This Row],[price]]*Table16[[#This Row],[quantity]]</f>
        <v>896</v>
      </c>
    </row>
    <row r="1305" spans="1:9" x14ac:dyDescent="0.3">
      <c r="A1305" t="s">
        <v>3320</v>
      </c>
      <c r="B1305" t="s">
        <v>250</v>
      </c>
      <c r="C1305" t="s">
        <v>2011</v>
      </c>
      <c r="D1305">
        <v>3</v>
      </c>
      <c r="E1305" s="16">
        <v>121.98</v>
      </c>
      <c r="F1305" s="1">
        <v>44701</v>
      </c>
      <c r="G1305" t="s">
        <v>2004</v>
      </c>
      <c r="H1305">
        <v>2</v>
      </c>
      <c r="I1305" s="12">
        <f>Table16[[#This Row],[price]]*Table16[[#This Row],[quantity]]</f>
        <v>365.94</v>
      </c>
    </row>
    <row r="1306" spans="1:9" x14ac:dyDescent="0.3">
      <c r="A1306" t="s">
        <v>3323</v>
      </c>
      <c r="B1306" t="s">
        <v>251</v>
      </c>
      <c r="C1306" t="s">
        <v>2001</v>
      </c>
      <c r="D1306">
        <v>1</v>
      </c>
      <c r="E1306" s="16">
        <v>300.08</v>
      </c>
      <c r="F1306" s="1">
        <v>44376</v>
      </c>
      <c r="G1306" t="s">
        <v>2002</v>
      </c>
      <c r="H1306">
        <v>3</v>
      </c>
      <c r="I1306" s="12">
        <f>Table16[[#This Row],[price]]*Table16[[#This Row],[quantity]]</f>
        <v>300.08</v>
      </c>
    </row>
    <row r="1307" spans="1:9" x14ac:dyDescent="0.3">
      <c r="A1307" t="s">
        <v>3325</v>
      </c>
      <c r="B1307" t="s">
        <v>251</v>
      </c>
      <c r="C1307" t="s">
        <v>2015</v>
      </c>
      <c r="D1307">
        <v>4</v>
      </c>
      <c r="E1307" s="16">
        <v>2400.6799999999998</v>
      </c>
      <c r="F1307" s="1">
        <v>44578</v>
      </c>
      <c r="G1307" t="s">
        <v>2058</v>
      </c>
      <c r="H1307">
        <v>4</v>
      </c>
      <c r="I1307" s="12">
        <f>Table16[[#This Row],[price]]*Table16[[#This Row],[quantity]]</f>
        <v>9602.7199999999993</v>
      </c>
    </row>
    <row r="1308" spans="1:9" x14ac:dyDescent="0.3">
      <c r="A1308" t="s">
        <v>3322</v>
      </c>
      <c r="B1308" t="s">
        <v>251</v>
      </c>
      <c r="C1308" t="s">
        <v>2001</v>
      </c>
      <c r="D1308">
        <v>2</v>
      </c>
      <c r="E1308" s="16">
        <v>600.16</v>
      </c>
      <c r="F1308" s="1">
        <v>44812</v>
      </c>
      <c r="G1308" t="s">
        <v>2002</v>
      </c>
      <c r="H1308">
        <v>3</v>
      </c>
      <c r="I1308" s="12">
        <f>Table16[[#This Row],[price]]*Table16[[#This Row],[quantity]]</f>
        <v>1200.32</v>
      </c>
    </row>
    <row r="1309" spans="1:9" x14ac:dyDescent="0.3">
      <c r="A1309" t="s">
        <v>3324</v>
      </c>
      <c r="B1309" t="s">
        <v>251</v>
      </c>
      <c r="C1309" t="s">
        <v>2008</v>
      </c>
      <c r="D1309">
        <v>5</v>
      </c>
      <c r="E1309" s="16">
        <v>26.15</v>
      </c>
      <c r="F1309" s="1">
        <v>44813</v>
      </c>
      <c r="G1309" t="s">
        <v>2041</v>
      </c>
      <c r="H1309">
        <v>1</v>
      </c>
      <c r="I1309" s="12">
        <f>Table16[[#This Row],[price]]*Table16[[#This Row],[quantity]]</f>
        <v>130.75</v>
      </c>
    </row>
    <row r="1310" spans="1:9" x14ac:dyDescent="0.3">
      <c r="A1310" t="s">
        <v>3326</v>
      </c>
      <c r="B1310" t="s">
        <v>252</v>
      </c>
      <c r="C1310" t="s">
        <v>2017</v>
      </c>
      <c r="D1310">
        <v>1</v>
      </c>
      <c r="E1310" s="16">
        <v>1050</v>
      </c>
      <c r="F1310" s="1">
        <v>44415</v>
      </c>
      <c r="G1310" t="s">
        <v>2009</v>
      </c>
      <c r="H1310">
        <v>1</v>
      </c>
      <c r="I1310" s="12">
        <f>Table16[[#This Row],[price]]*Table16[[#This Row],[quantity]]</f>
        <v>1050</v>
      </c>
    </row>
    <row r="1311" spans="1:9" x14ac:dyDescent="0.3">
      <c r="A1311" t="s">
        <v>3328</v>
      </c>
      <c r="B1311" t="s">
        <v>252</v>
      </c>
      <c r="C1311" t="s">
        <v>2024</v>
      </c>
      <c r="D1311">
        <v>1</v>
      </c>
      <c r="E1311" s="16">
        <v>35.840000000000003</v>
      </c>
      <c r="F1311" s="1">
        <v>44498</v>
      </c>
      <c r="G1311" t="s">
        <v>2018</v>
      </c>
      <c r="H1311">
        <v>4</v>
      </c>
      <c r="I1311" s="12">
        <f>Table16[[#This Row],[price]]*Table16[[#This Row],[quantity]]</f>
        <v>35.840000000000003</v>
      </c>
    </row>
    <row r="1312" spans="1:9" x14ac:dyDescent="0.3">
      <c r="A1312" t="s">
        <v>3327</v>
      </c>
      <c r="B1312" t="s">
        <v>252</v>
      </c>
      <c r="C1312" t="s">
        <v>2011</v>
      </c>
      <c r="D1312">
        <v>1</v>
      </c>
      <c r="E1312" s="16">
        <v>40.659999999999997</v>
      </c>
      <c r="F1312" s="1">
        <v>44704</v>
      </c>
      <c r="G1312" t="s">
        <v>2027</v>
      </c>
      <c r="H1312">
        <v>2</v>
      </c>
      <c r="I1312" s="12">
        <f>Table16[[#This Row],[price]]*Table16[[#This Row],[quantity]]</f>
        <v>40.659999999999997</v>
      </c>
    </row>
    <row r="1313" spans="1:9" x14ac:dyDescent="0.3">
      <c r="A1313" t="s">
        <v>3332</v>
      </c>
      <c r="B1313" t="s">
        <v>253</v>
      </c>
      <c r="C1313" t="s">
        <v>2011</v>
      </c>
      <c r="D1313">
        <v>5</v>
      </c>
      <c r="E1313" s="16">
        <v>203.3</v>
      </c>
      <c r="F1313" s="1">
        <v>44326</v>
      </c>
      <c r="G1313" t="s">
        <v>2041</v>
      </c>
      <c r="H1313">
        <v>4</v>
      </c>
      <c r="I1313" s="12">
        <f>Table16[[#This Row],[price]]*Table16[[#This Row],[quantity]]</f>
        <v>1016.5</v>
      </c>
    </row>
    <row r="1314" spans="1:9" x14ac:dyDescent="0.3">
      <c r="A1314" t="s">
        <v>3333</v>
      </c>
      <c r="B1314" t="s">
        <v>253</v>
      </c>
      <c r="C1314" t="s">
        <v>2011</v>
      </c>
      <c r="D1314">
        <v>4</v>
      </c>
      <c r="E1314" s="16">
        <v>162.63999999999999</v>
      </c>
      <c r="F1314" s="1">
        <v>44482</v>
      </c>
      <c r="G1314" t="s">
        <v>2002</v>
      </c>
      <c r="H1314">
        <v>4</v>
      </c>
      <c r="I1314" s="12">
        <f>Table16[[#This Row],[price]]*Table16[[#This Row],[quantity]]</f>
        <v>650.55999999999995</v>
      </c>
    </row>
    <row r="1315" spans="1:9" x14ac:dyDescent="0.3">
      <c r="A1315" t="s">
        <v>3331</v>
      </c>
      <c r="B1315" t="s">
        <v>253</v>
      </c>
      <c r="C1315" t="s">
        <v>2017</v>
      </c>
      <c r="D1315">
        <v>2</v>
      </c>
      <c r="E1315" s="16">
        <v>2100</v>
      </c>
      <c r="F1315" s="1">
        <v>44581</v>
      </c>
      <c r="G1315" t="s">
        <v>2012</v>
      </c>
      <c r="H1315">
        <v>5</v>
      </c>
      <c r="I1315" s="12">
        <f>Table16[[#This Row],[price]]*Table16[[#This Row],[quantity]]</f>
        <v>4200</v>
      </c>
    </row>
    <row r="1316" spans="1:9" x14ac:dyDescent="0.3">
      <c r="A1316" t="s">
        <v>3330</v>
      </c>
      <c r="B1316" t="s">
        <v>253</v>
      </c>
      <c r="C1316" t="s">
        <v>2015</v>
      </c>
      <c r="D1316">
        <v>4</v>
      </c>
      <c r="E1316" s="16">
        <v>2400.6799999999998</v>
      </c>
      <c r="F1316" s="1">
        <v>44781</v>
      </c>
      <c r="G1316" t="s">
        <v>2012</v>
      </c>
      <c r="H1316">
        <v>4</v>
      </c>
      <c r="I1316" s="12">
        <f>Table16[[#This Row],[price]]*Table16[[#This Row],[quantity]]</f>
        <v>9602.7199999999993</v>
      </c>
    </row>
    <row r="1317" spans="1:9" x14ac:dyDescent="0.3">
      <c r="A1317" t="s">
        <v>3334</v>
      </c>
      <c r="B1317" t="s">
        <v>253</v>
      </c>
      <c r="C1317" t="s">
        <v>2001</v>
      </c>
      <c r="D1317">
        <v>4</v>
      </c>
      <c r="E1317" s="16">
        <v>1200.32</v>
      </c>
      <c r="F1317" s="1">
        <v>44845</v>
      </c>
      <c r="G1317" t="s">
        <v>2004</v>
      </c>
      <c r="H1317">
        <v>4</v>
      </c>
      <c r="I1317" s="12">
        <f>Table16[[#This Row],[price]]*Table16[[#This Row],[quantity]]</f>
        <v>4801.28</v>
      </c>
    </row>
    <row r="1318" spans="1:9" x14ac:dyDescent="0.3">
      <c r="A1318" t="s">
        <v>3329</v>
      </c>
      <c r="B1318" t="s">
        <v>253</v>
      </c>
      <c r="C1318" t="s">
        <v>2057</v>
      </c>
      <c r="D1318">
        <v>5</v>
      </c>
      <c r="E1318" s="16">
        <v>58.65</v>
      </c>
      <c r="F1318" s="1">
        <v>44886</v>
      </c>
      <c r="G1318" t="s">
        <v>2027</v>
      </c>
      <c r="H1318">
        <v>5</v>
      </c>
      <c r="I1318" s="12">
        <f>Table16[[#This Row],[price]]*Table16[[#This Row],[quantity]]</f>
        <v>293.25</v>
      </c>
    </row>
    <row r="1319" spans="1:9" x14ac:dyDescent="0.3">
      <c r="A1319" t="s">
        <v>3335</v>
      </c>
      <c r="B1319" t="s">
        <v>254</v>
      </c>
      <c r="C1319" t="s">
        <v>2011</v>
      </c>
      <c r="D1319">
        <v>1</v>
      </c>
      <c r="E1319" s="16">
        <v>40.659999999999997</v>
      </c>
      <c r="F1319" s="1">
        <v>44238</v>
      </c>
      <c r="G1319" t="s">
        <v>2004</v>
      </c>
      <c r="H1319">
        <v>4</v>
      </c>
      <c r="I1319" s="12">
        <f>Table16[[#This Row],[price]]*Table16[[#This Row],[quantity]]</f>
        <v>40.659999999999997</v>
      </c>
    </row>
    <row r="1320" spans="1:9" x14ac:dyDescent="0.3">
      <c r="A1320" t="s">
        <v>3336</v>
      </c>
      <c r="B1320" t="s">
        <v>254</v>
      </c>
      <c r="C1320" t="s">
        <v>2024</v>
      </c>
      <c r="D1320">
        <v>2</v>
      </c>
      <c r="E1320" s="16">
        <v>71.680000000000007</v>
      </c>
      <c r="F1320" s="1">
        <v>44277</v>
      </c>
      <c r="G1320" t="s">
        <v>2002</v>
      </c>
      <c r="H1320">
        <v>3</v>
      </c>
      <c r="I1320" s="12">
        <f>Table16[[#This Row],[price]]*Table16[[#This Row],[quantity]]</f>
        <v>143.36000000000001</v>
      </c>
    </row>
    <row r="1321" spans="1:9" x14ac:dyDescent="0.3">
      <c r="A1321" t="s">
        <v>3339</v>
      </c>
      <c r="B1321" t="s">
        <v>254</v>
      </c>
      <c r="C1321" t="s">
        <v>2001</v>
      </c>
      <c r="D1321">
        <v>5</v>
      </c>
      <c r="E1321" s="16">
        <v>1500.4</v>
      </c>
      <c r="F1321" s="1">
        <v>44297</v>
      </c>
      <c r="G1321" t="s">
        <v>2018</v>
      </c>
      <c r="H1321">
        <v>3</v>
      </c>
      <c r="I1321" s="12">
        <f>Table16[[#This Row],[price]]*Table16[[#This Row],[quantity]]</f>
        <v>7502</v>
      </c>
    </row>
    <row r="1322" spans="1:9" x14ac:dyDescent="0.3">
      <c r="A1322" t="s">
        <v>3338</v>
      </c>
      <c r="B1322" t="s">
        <v>254</v>
      </c>
      <c r="C1322" t="s">
        <v>2024</v>
      </c>
      <c r="D1322">
        <v>5</v>
      </c>
      <c r="E1322" s="16">
        <v>179.2</v>
      </c>
      <c r="F1322" s="1">
        <v>44647</v>
      </c>
      <c r="G1322" t="s">
        <v>2020</v>
      </c>
      <c r="H1322">
        <v>5</v>
      </c>
      <c r="I1322" s="12">
        <f>Table16[[#This Row],[price]]*Table16[[#This Row],[quantity]]</f>
        <v>896</v>
      </c>
    </row>
    <row r="1323" spans="1:9" x14ac:dyDescent="0.3">
      <c r="A1323" t="s">
        <v>3337</v>
      </c>
      <c r="B1323" t="s">
        <v>254</v>
      </c>
      <c r="C1323" t="s">
        <v>2001</v>
      </c>
      <c r="D1323">
        <v>4</v>
      </c>
      <c r="E1323" s="16">
        <v>1200.32</v>
      </c>
      <c r="F1323" s="1">
        <v>44721</v>
      </c>
      <c r="G1323" t="s">
        <v>2027</v>
      </c>
      <c r="H1323">
        <v>4</v>
      </c>
      <c r="I1323" s="12">
        <f>Table16[[#This Row],[price]]*Table16[[#This Row],[quantity]]</f>
        <v>4801.28</v>
      </c>
    </row>
    <row r="1324" spans="1:9" x14ac:dyDescent="0.3">
      <c r="A1324" t="s">
        <v>3341</v>
      </c>
      <c r="B1324" t="s">
        <v>255</v>
      </c>
      <c r="C1324" t="s">
        <v>2024</v>
      </c>
      <c r="D1324">
        <v>1</v>
      </c>
      <c r="E1324" s="16">
        <v>35.840000000000003</v>
      </c>
      <c r="F1324" s="1">
        <v>44458</v>
      </c>
      <c r="G1324" t="s">
        <v>2012</v>
      </c>
      <c r="H1324">
        <v>1</v>
      </c>
      <c r="I1324" s="12">
        <f>Table16[[#This Row],[price]]*Table16[[#This Row],[quantity]]</f>
        <v>35.840000000000003</v>
      </c>
    </row>
    <row r="1325" spans="1:9" x14ac:dyDescent="0.3">
      <c r="A1325" t="s">
        <v>3340</v>
      </c>
      <c r="B1325" t="s">
        <v>255</v>
      </c>
      <c r="C1325" t="s">
        <v>2015</v>
      </c>
      <c r="D1325">
        <v>1</v>
      </c>
      <c r="E1325" s="16">
        <v>600.16999999999996</v>
      </c>
      <c r="F1325" s="1">
        <v>44512</v>
      </c>
      <c r="G1325" t="s">
        <v>2018</v>
      </c>
      <c r="H1325">
        <v>5</v>
      </c>
      <c r="I1325" s="12">
        <f>Table16[[#This Row],[price]]*Table16[[#This Row],[quantity]]</f>
        <v>600.16999999999996</v>
      </c>
    </row>
    <row r="1326" spans="1:9" x14ac:dyDescent="0.3">
      <c r="A1326" t="s">
        <v>3342</v>
      </c>
      <c r="B1326" t="s">
        <v>255</v>
      </c>
      <c r="C1326" t="s">
        <v>2001</v>
      </c>
      <c r="D1326">
        <v>1</v>
      </c>
      <c r="E1326" s="16">
        <v>300.08</v>
      </c>
      <c r="F1326" s="1">
        <v>44933</v>
      </c>
      <c r="G1326" t="s">
        <v>2027</v>
      </c>
      <c r="H1326">
        <v>1</v>
      </c>
      <c r="I1326" s="12">
        <f>Table16[[#This Row],[price]]*Table16[[#This Row],[quantity]]</f>
        <v>300.08</v>
      </c>
    </row>
    <row r="1327" spans="1:9" x14ac:dyDescent="0.3">
      <c r="A1327" t="s">
        <v>3347</v>
      </c>
      <c r="B1327" t="s">
        <v>256</v>
      </c>
      <c r="C1327" t="s">
        <v>2001</v>
      </c>
      <c r="D1327">
        <v>5</v>
      </c>
      <c r="E1327" s="16">
        <v>1500.4</v>
      </c>
      <c r="F1327" s="1">
        <v>44333</v>
      </c>
      <c r="G1327" t="s">
        <v>2002</v>
      </c>
      <c r="H1327">
        <v>3</v>
      </c>
      <c r="I1327" s="12">
        <f>Table16[[#This Row],[price]]*Table16[[#This Row],[quantity]]</f>
        <v>7502</v>
      </c>
    </row>
    <row r="1328" spans="1:9" x14ac:dyDescent="0.3">
      <c r="A1328" t="s">
        <v>3344</v>
      </c>
      <c r="B1328" t="s">
        <v>256</v>
      </c>
      <c r="C1328" t="s">
        <v>2001</v>
      </c>
      <c r="D1328">
        <v>3</v>
      </c>
      <c r="E1328" s="16">
        <v>900.24</v>
      </c>
      <c r="F1328" s="1">
        <v>44417</v>
      </c>
      <c r="G1328" t="s">
        <v>2004</v>
      </c>
      <c r="H1328">
        <v>2</v>
      </c>
      <c r="I1328" s="12">
        <f>Table16[[#This Row],[price]]*Table16[[#This Row],[quantity]]</f>
        <v>2700.7200000000003</v>
      </c>
    </row>
    <row r="1329" spans="1:9" x14ac:dyDescent="0.3">
      <c r="A1329" t="s">
        <v>3346</v>
      </c>
      <c r="B1329" t="s">
        <v>256</v>
      </c>
      <c r="C1329" t="s">
        <v>2001</v>
      </c>
      <c r="D1329">
        <v>1</v>
      </c>
      <c r="E1329" s="16">
        <v>300.08</v>
      </c>
      <c r="F1329" s="1">
        <v>44468</v>
      </c>
      <c r="G1329" t="s">
        <v>2004</v>
      </c>
      <c r="H1329">
        <v>2</v>
      </c>
      <c r="I1329" s="12">
        <f>Table16[[#This Row],[price]]*Table16[[#This Row],[quantity]]</f>
        <v>300.08</v>
      </c>
    </row>
    <row r="1330" spans="1:9" x14ac:dyDescent="0.3">
      <c r="A1330" t="s">
        <v>3345</v>
      </c>
      <c r="B1330" t="s">
        <v>256</v>
      </c>
      <c r="C1330" t="s">
        <v>2001</v>
      </c>
      <c r="D1330">
        <v>4</v>
      </c>
      <c r="E1330" s="16">
        <v>1200.32</v>
      </c>
      <c r="F1330" s="1">
        <v>44518</v>
      </c>
      <c r="G1330" t="s">
        <v>2018</v>
      </c>
      <c r="H1330">
        <v>3</v>
      </c>
      <c r="I1330" s="12">
        <f>Table16[[#This Row],[price]]*Table16[[#This Row],[quantity]]</f>
        <v>4801.28</v>
      </c>
    </row>
    <row r="1331" spans="1:9" x14ac:dyDescent="0.3">
      <c r="A1331" t="s">
        <v>3348</v>
      </c>
      <c r="B1331" t="s">
        <v>256</v>
      </c>
      <c r="C1331" t="s">
        <v>2024</v>
      </c>
      <c r="D1331">
        <v>1</v>
      </c>
      <c r="E1331" s="16">
        <v>35.840000000000003</v>
      </c>
      <c r="F1331" s="1">
        <v>44525</v>
      </c>
      <c r="G1331" t="s">
        <v>2027</v>
      </c>
      <c r="H1331">
        <v>4</v>
      </c>
      <c r="I1331" s="12">
        <f>Table16[[#This Row],[price]]*Table16[[#This Row],[quantity]]</f>
        <v>35.840000000000003</v>
      </c>
    </row>
    <row r="1332" spans="1:9" x14ac:dyDescent="0.3">
      <c r="A1332" t="s">
        <v>3343</v>
      </c>
      <c r="B1332" t="s">
        <v>256</v>
      </c>
      <c r="C1332" t="s">
        <v>2057</v>
      </c>
      <c r="D1332">
        <v>2</v>
      </c>
      <c r="E1332" s="16">
        <v>23.46</v>
      </c>
      <c r="F1332" s="1">
        <v>44626</v>
      </c>
      <c r="G1332" t="s">
        <v>2018</v>
      </c>
      <c r="H1332">
        <v>3</v>
      </c>
      <c r="I1332" s="12">
        <f>Table16[[#This Row],[price]]*Table16[[#This Row],[quantity]]</f>
        <v>46.92</v>
      </c>
    </row>
    <row r="1333" spans="1:9" x14ac:dyDescent="0.3">
      <c r="A1333" t="s">
        <v>3351</v>
      </c>
      <c r="B1333" t="s">
        <v>257</v>
      </c>
      <c r="C1333" t="s">
        <v>2001</v>
      </c>
      <c r="D1333">
        <v>2</v>
      </c>
      <c r="E1333" s="16">
        <v>600.16</v>
      </c>
      <c r="F1333" s="1">
        <v>44250</v>
      </c>
      <c r="G1333" t="s">
        <v>2002</v>
      </c>
      <c r="H1333">
        <v>2</v>
      </c>
      <c r="I1333" s="12">
        <f>Table16[[#This Row],[price]]*Table16[[#This Row],[quantity]]</f>
        <v>1200.32</v>
      </c>
    </row>
    <row r="1334" spans="1:9" x14ac:dyDescent="0.3">
      <c r="A1334" t="s">
        <v>3352</v>
      </c>
      <c r="B1334" t="s">
        <v>257</v>
      </c>
      <c r="C1334" t="s">
        <v>2008</v>
      </c>
      <c r="D1334">
        <v>4</v>
      </c>
      <c r="E1334" s="16">
        <v>20.92</v>
      </c>
      <c r="F1334" s="1">
        <v>44409</v>
      </c>
      <c r="G1334" t="s">
        <v>2027</v>
      </c>
      <c r="H1334">
        <v>2</v>
      </c>
      <c r="I1334" s="12">
        <f>Table16[[#This Row],[price]]*Table16[[#This Row],[quantity]]</f>
        <v>83.68</v>
      </c>
    </row>
    <row r="1335" spans="1:9" x14ac:dyDescent="0.3">
      <c r="A1335" t="s">
        <v>3353</v>
      </c>
      <c r="B1335" t="s">
        <v>257</v>
      </c>
      <c r="C1335" t="s">
        <v>2015</v>
      </c>
      <c r="D1335">
        <v>1</v>
      </c>
      <c r="E1335" s="16">
        <v>600.16999999999996</v>
      </c>
      <c r="F1335" s="1">
        <v>44551</v>
      </c>
      <c r="G1335" t="s">
        <v>2027</v>
      </c>
      <c r="H1335">
        <v>3</v>
      </c>
      <c r="I1335" s="12">
        <f>Table16[[#This Row],[price]]*Table16[[#This Row],[quantity]]</f>
        <v>600.16999999999996</v>
      </c>
    </row>
    <row r="1336" spans="1:9" x14ac:dyDescent="0.3">
      <c r="A1336" t="s">
        <v>3350</v>
      </c>
      <c r="B1336" t="s">
        <v>257</v>
      </c>
      <c r="C1336" t="s">
        <v>2001</v>
      </c>
      <c r="D1336">
        <v>5</v>
      </c>
      <c r="E1336" s="16">
        <v>1500.4</v>
      </c>
      <c r="F1336" s="1">
        <v>44691</v>
      </c>
      <c r="G1336" t="s">
        <v>2018</v>
      </c>
      <c r="H1336">
        <v>1</v>
      </c>
      <c r="I1336" s="12">
        <f>Table16[[#This Row],[price]]*Table16[[#This Row],[quantity]]</f>
        <v>7502</v>
      </c>
    </row>
    <row r="1337" spans="1:9" x14ac:dyDescent="0.3">
      <c r="A1337" t="s">
        <v>3349</v>
      </c>
      <c r="B1337" t="s">
        <v>257</v>
      </c>
      <c r="C1337" t="s">
        <v>2001</v>
      </c>
      <c r="D1337">
        <v>2</v>
      </c>
      <c r="E1337" s="16">
        <v>600.16</v>
      </c>
      <c r="F1337" s="1">
        <v>44812</v>
      </c>
      <c r="G1337" t="s">
        <v>2002</v>
      </c>
      <c r="H1337">
        <v>1</v>
      </c>
      <c r="I1337" s="12">
        <f>Table16[[#This Row],[price]]*Table16[[#This Row],[quantity]]</f>
        <v>1200.32</v>
      </c>
    </row>
    <row r="1338" spans="1:9" x14ac:dyDescent="0.3">
      <c r="A1338" t="s">
        <v>3354</v>
      </c>
      <c r="B1338" t="s">
        <v>257</v>
      </c>
      <c r="C1338" t="s">
        <v>2011</v>
      </c>
      <c r="D1338">
        <v>1</v>
      </c>
      <c r="E1338" s="16">
        <v>40.659999999999997</v>
      </c>
      <c r="F1338" s="1">
        <v>44969</v>
      </c>
      <c r="G1338" t="s">
        <v>2002</v>
      </c>
      <c r="H1338">
        <v>5</v>
      </c>
      <c r="I1338" s="12">
        <f>Table16[[#This Row],[price]]*Table16[[#This Row],[quantity]]</f>
        <v>40.659999999999997</v>
      </c>
    </row>
    <row r="1339" spans="1:9" x14ac:dyDescent="0.3">
      <c r="A1339" t="s">
        <v>3361</v>
      </c>
      <c r="B1339" t="s">
        <v>258</v>
      </c>
      <c r="C1339" t="s">
        <v>2011</v>
      </c>
      <c r="D1339">
        <v>3</v>
      </c>
      <c r="E1339" s="16">
        <v>121.98</v>
      </c>
      <c r="F1339" s="1">
        <v>44197</v>
      </c>
      <c r="G1339" t="s">
        <v>2002</v>
      </c>
      <c r="H1339">
        <v>3</v>
      </c>
      <c r="I1339" s="12">
        <f>Table16[[#This Row],[price]]*Table16[[#This Row],[quantity]]</f>
        <v>365.94</v>
      </c>
    </row>
    <row r="1340" spans="1:9" x14ac:dyDescent="0.3">
      <c r="A1340" t="s">
        <v>3356</v>
      </c>
      <c r="B1340" t="s">
        <v>258</v>
      </c>
      <c r="C1340" t="s">
        <v>2008</v>
      </c>
      <c r="D1340">
        <v>3</v>
      </c>
      <c r="E1340" s="16">
        <v>15.69</v>
      </c>
      <c r="F1340" s="1">
        <v>44392</v>
      </c>
      <c r="G1340" t="s">
        <v>2020</v>
      </c>
      <c r="H1340">
        <v>5</v>
      </c>
      <c r="I1340" s="12">
        <f>Table16[[#This Row],[price]]*Table16[[#This Row],[quantity]]</f>
        <v>47.07</v>
      </c>
    </row>
    <row r="1341" spans="1:9" x14ac:dyDescent="0.3">
      <c r="A1341" t="s">
        <v>3355</v>
      </c>
      <c r="B1341" t="s">
        <v>258</v>
      </c>
      <c r="C1341" t="s">
        <v>2015</v>
      </c>
      <c r="D1341">
        <v>2</v>
      </c>
      <c r="E1341" s="16">
        <v>1200.3399999999999</v>
      </c>
      <c r="F1341" s="1">
        <v>44414</v>
      </c>
      <c r="G1341" t="s">
        <v>2002</v>
      </c>
      <c r="H1341">
        <v>4</v>
      </c>
      <c r="I1341" s="12">
        <f>Table16[[#This Row],[price]]*Table16[[#This Row],[quantity]]</f>
        <v>2400.6799999999998</v>
      </c>
    </row>
    <row r="1342" spans="1:9" x14ac:dyDescent="0.3">
      <c r="A1342" t="s">
        <v>3359</v>
      </c>
      <c r="B1342" t="s">
        <v>258</v>
      </c>
      <c r="C1342" t="s">
        <v>2011</v>
      </c>
      <c r="D1342">
        <v>3</v>
      </c>
      <c r="E1342" s="16">
        <v>121.98</v>
      </c>
      <c r="F1342" s="1">
        <v>44431</v>
      </c>
      <c r="G1342" t="s">
        <v>2058</v>
      </c>
      <c r="H1342">
        <v>1</v>
      </c>
      <c r="I1342" s="12">
        <f>Table16[[#This Row],[price]]*Table16[[#This Row],[quantity]]</f>
        <v>365.94</v>
      </c>
    </row>
    <row r="1343" spans="1:9" x14ac:dyDescent="0.3">
      <c r="A1343" t="s">
        <v>3358</v>
      </c>
      <c r="B1343" t="s">
        <v>258</v>
      </c>
      <c r="C1343" t="s">
        <v>2001</v>
      </c>
      <c r="D1343">
        <v>4</v>
      </c>
      <c r="E1343" s="16">
        <v>1200.32</v>
      </c>
      <c r="F1343" s="1">
        <v>44462</v>
      </c>
      <c r="G1343" t="s">
        <v>2002</v>
      </c>
      <c r="H1343">
        <v>5</v>
      </c>
      <c r="I1343" s="12">
        <f>Table16[[#This Row],[price]]*Table16[[#This Row],[quantity]]</f>
        <v>4801.28</v>
      </c>
    </row>
    <row r="1344" spans="1:9" x14ac:dyDescent="0.3">
      <c r="A1344" t="s">
        <v>3360</v>
      </c>
      <c r="B1344" t="s">
        <v>258</v>
      </c>
      <c r="C1344" t="s">
        <v>2001</v>
      </c>
      <c r="D1344">
        <v>5</v>
      </c>
      <c r="E1344" s="16">
        <v>1500.4</v>
      </c>
      <c r="F1344" s="1">
        <v>44678</v>
      </c>
      <c r="G1344" t="s">
        <v>2018</v>
      </c>
      <c r="H1344">
        <v>2</v>
      </c>
      <c r="I1344" s="12">
        <f>Table16[[#This Row],[price]]*Table16[[#This Row],[quantity]]</f>
        <v>7502</v>
      </c>
    </row>
    <row r="1345" spans="1:9" x14ac:dyDescent="0.3">
      <c r="A1345" t="s">
        <v>3357</v>
      </c>
      <c r="B1345" t="s">
        <v>258</v>
      </c>
      <c r="C1345" t="s">
        <v>2001</v>
      </c>
      <c r="D1345">
        <v>1</v>
      </c>
      <c r="E1345" s="16">
        <v>300.08</v>
      </c>
      <c r="F1345" s="1">
        <v>44693</v>
      </c>
      <c r="G1345" t="s">
        <v>2020</v>
      </c>
      <c r="H1345">
        <v>5</v>
      </c>
      <c r="I1345" s="12">
        <f>Table16[[#This Row],[price]]*Table16[[#This Row],[quantity]]</f>
        <v>300.08</v>
      </c>
    </row>
    <row r="1346" spans="1:9" x14ac:dyDescent="0.3">
      <c r="A1346" t="s">
        <v>3366</v>
      </c>
      <c r="B1346" t="s">
        <v>259</v>
      </c>
      <c r="C1346" t="s">
        <v>2015</v>
      </c>
      <c r="D1346">
        <v>5</v>
      </c>
      <c r="E1346" s="16">
        <v>3000.85</v>
      </c>
      <c r="F1346" s="1">
        <v>44238</v>
      </c>
      <c r="G1346" t="s">
        <v>2020</v>
      </c>
      <c r="H1346">
        <v>5</v>
      </c>
      <c r="I1346" s="12">
        <f>Table16[[#This Row],[price]]*Table16[[#This Row],[quantity]]</f>
        <v>15004.25</v>
      </c>
    </row>
    <row r="1347" spans="1:9" x14ac:dyDescent="0.3">
      <c r="A1347" t="s">
        <v>3362</v>
      </c>
      <c r="B1347" t="s">
        <v>259</v>
      </c>
      <c r="C1347" t="s">
        <v>2001</v>
      </c>
      <c r="D1347">
        <v>2</v>
      </c>
      <c r="E1347" s="16">
        <v>600.16</v>
      </c>
      <c r="F1347" s="1">
        <v>44304</v>
      </c>
      <c r="G1347" t="s">
        <v>2058</v>
      </c>
      <c r="H1347">
        <v>1</v>
      </c>
      <c r="I1347" s="12">
        <f>Table16[[#This Row],[price]]*Table16[[#This Row],[quantity]]</f>
        <v>1200.32</v>
      </c>
    </row>
    <row r="1348" spans="1:9" x14ac:dyDescent="0.3">
      <c r="A1348" t="s">
        <v>3368</v>
      </c>
      <c r="B1348" t="s">
        <v>259</v>
      </c>
      <c r="C1348" t="s">
        <v>2008</v>
      </c>
      <c r="D1348">
        <v>4</v>
      </c>
      <c r="E1348" s="16">
        <v>20.92</v>
      </c>
      <c r="F1348" s="1">
        <v>44348</v>
      </c>
      <c r="G1348" t="s">
        <v>2020</v>
      </c>
      <c r="H1348">
        <v>5</v>
      </c>
      <c r="I1348" s="12">
        <f>Table16[[#This Row],[price]]*Table16[[#This Row],[quantity]]</f>
        <v>83.68</v>
      </c>
    </row>
    <row r="1349" spans="1:9" x14ac:dyDescent="0.3">
      <c r="A1349" t="s">
        <v>3370</v>
      </c>
      <c r="B1349" t="s">
        <v>259</v>
      </c>
      <c r="C1349" t="s">
        <v>2017</v>
      </c>
      <c r="D1349">
        <v>1</v>
      </c>
      <c r="E1349" s="16">
        <v>1050</v>
      </c>
      <c r="F1349" s="1">
        <v>44426</v>
      </c>
      <c r="G1349" t="s">
        <v>2018</v>
      </c>
      <c r="H1349">
        <v>3</v>
      </c>
      <c r="I1349" s="12">
        <f>Table16[[#This Row],[price]]*Table16[[#This Row],[quantity]]</f>
        <v>1050</v>
      </c>
    </row>
    <row r="1350" spans="1:9" x14ac:dyDescent="0.3">
      <c r="A1350" t="s">
        <v>3364</v>
      </c>
      <c r="B1350" t="s">
        <v>259</v>
      </c>
      <c r="C1350" t="s">
        <v>2001</v>
      </c>
      <c r="D1350">
        <v>3</v>
      </c>
      <c r="E1350" s="16">
        <v>900.24</v>
      </c>
      <c r="F1350" s="1">
        <v>44474</v>
      </c>
      <c r="G1350" t="s">
        <v>2027</v>
      </c>
      <c r="H1350">
        <v>3</v>
      </c>
      <c r="I1350" s="12">
        <f>Table16[[#This Row],[price]]*Table16[[#This Row],[quantity]]</f>
        <v>2700.7200000000003</v>
      </c>
    </row>
    <row r="1351" spans="1:9" x14ac:dyDescent="0.3">
      <c r="A1351" t="s">
        <v>3371</v>
      </c>
      <c r="B1351" t="s">
        <v>259</v>
      </c>
      <c r="C1351" t="s">
        <v>2008</v>
      </c>
      <c r="D1351">
        <v>1</v>
      </c>
      <c r="E1351" s="16">
        <v>5.23</v>
      </c>
      <c r="F1351" s="1">
        <v>44515</v>
      </c>
      <c r="G1351" t="s">
        <v>2020</v>
      </c>
      <c r="H1351">
        <v>1</v>
      </c>
      <c r="I1351" s="12">
        <f>Table16[[#This Row],[price]]*Table16[[#This Row],[quantity]]</f>
        <v>5.23</v>
      </c>
    </row>
    <row r="1352" spans="1:9" x14ac:dyDescent="0.3">
      <c r="A1352" t="s">
        <v>3369</v>
      </c>
      <c r="B1352" t="s">
        <v>259</v>
      </c>
      <c r="C1352" t="s">
        <v>2001</v>
      </c>
      <c r="D1352">
        <v>5</v>
      </c>
      <c r="E1352" s="16">
        <v>1500.4</v>
      </c>
      <c r="F1352" s="1">
        <v>44546</v>
      </c>
      <c r="G1352" t="s">
        <v>2002</v>
      </c>
      <c r="H1352">
        <v>3</v>
      </c>
      <c r="I1352" s="12">
        <f>Table16[[#This Row],[price]]*Table16[[#This Row],[quantity]]</f>
        <v>7502</v>
      </c>
    </row>
    <row r="1353" spans="1:9" x14ac:dyDescent="0.3">
      <c r="A1353" t="s">
        <v>3363</v>
      </c>
      <c r="B1353" t="s">
        <v>259</v>
      </c>
      <c r="C1353" t="s">
        <v>2008</v>
      </c>
      <c r="D1353">
        <v>4</v>
      </c>
      <c r="E1353" s="16">
        <v>20.92</v>
      </c>
      <c r="F1353" s="1">
        <v>44622</v>
      </c>
      <c r="G1353" t="s">
        <v>2020</v>
      </c>
      <c r="H1353">
        <v>5</v>
      </c>
      <c r="I1353" s="12">
        <f>Table16[[#This Row],[price]]*Table16[[#This Row],[quantity]]</f>
        <v>83.68</v>
      </c>
    </row>
    <row r="1354" spans="1:9" x14ac:dyDescent="0.3">
      <c r="A1354" t="s">
        <v>3365</v>
      </c>
      <c r="B1354" t="s">
        <v>259</v>
      </c>
      <c r="C1354" t="s">
        <v>2006</v>
      </c>
      <c r="D1354">
        <v>4</v>
      </c>
      <c r="E1354" s="16">
        <v>60.6</v>
      </c>
      <c r="F1354" s="1">
        <v>44641</v>
      </c>
      <c r="G1354" t="s">
        <v>2027</v>
      </c>
      <c r="H1354">
        <v>1</v>
      </c>
      <c r="I1354" s="12">
        <f>Table16[[#This Row],[price]]*Table16[[#This Row],[quantity]]</f>
        <v>242.4</v>
      </c>
    </row>
    <row r="1355" spans="1:9" x14ac:dyDescent="0.3">
      <c r="A1355" t="s">
        <v>3367</v>
      </c>
      <c r="B1355" t="s">
        <v>259</v>
      </c>
      <c r="C1355" t="s">
        <v>2011</v>
      </c>
      <c r="D1355">
        <v>4</v>
      </c>
      <c r="E1355" s="16">
        <v>162.63999999999999</v>
      </c>
      <c r="F1355" s="1">
        <v>44757</v>
      </c>
      <c r="G1355" t="s">
        <v>2018</v>
      </c>
      <c r="H1355">
        <v>5</v>
      </c>
      <c r="I1355" s="12">
        <f>Table16[[#This Row],[price]]*Table16[[#This Row],[quantity]]</f>
        <v>650.55999999999995</v>
      </c>
    </row>
    <row r="1356" spans="1:9" x14ac:dyDescent="0.3">
      <c r="A1356" t="s">
        <v>3374</v>
      </c>
      <c r="B1356" t="s">
        <v>260</v>
      </c>
      <c r="C1356" t="s">
        <v>2015</v>
      </c>
      <c r="D1356">
        <v>1</v>
      </c>
      <c r="E1356" s="16">
        <v>600.16999999999996</v>
      </c>
      <c r="F1356" s="1">
        <v>44447</v>
      </c>
      <c r="G1356" t="s">
        <v>2009</v>
      </c>
      <c r="H1356">
        <v>5</v>
      </c>
      <c r="I1356" s="12">
        <f>Table16[[#This Row],[price]]*Table16[[#This Row],[quantity]]</f>
        <v>600.16999999999996</v>
      </c>
    </row>
    <row r="1357" spans="1:9" x14ac:dyDescent="0.3">
      <c r="A1357" t="s">
        <v>3373</v>
      </c>
      <c r="B1357" t="s">
        <v>260</v>
      </c>
      <c r="C1357" t="s">
        <v>2011</v>
      </c>
      <c r="D1357">
        <v>2</v>
      </c>
      <c r="E1357" s="16">
        <v>81.319999999999993</v>
      </c>
      <c r="F1357" s="1">
        <v>44797</v>
      </c>
      <c r="G1357" t="s">
        <v>2012</v>
      </c>
      <c r="H1357">
        <v>3</v>
      </c>
      <c r="I1357" s="12">
        <f>Table16[[#This Row],[price]]*Table16[[#This Row],[quantity]]</f>
        <v>162.63999999999999</v>
      </c>
    </row>
    <row r="1358" spans="1:9" x14ac:dyDescent="0.3">
      <c r="A1358" t="s">
        <v>3375</v>
      </c>
      <c r="B1358" t="s">
        <v>260</v>
      </c>
      <c r="C1358" t="s">
        <v>2011</v>
      </c>
      <c r="D1358">
        <v>3</v>
      </c>
      <c r="E1358" s="16">
        <v>121.98</v>
      </c>
      <c r="F1358" s="1">
        <v>44939</v>
      </c>
      <c r="G1358" t="s">
        <v>2009</v>
      </c>
      <c r="H1358">
        <v>1</v>
      </c>
      <c r="I1358" s="12">
        <f>Table16[[#This Row],[price]]*Table16[[#This Row],[quantity]]</f>
        <v>365.94</v>
      </c>
    </row>
    <row r="1359" spans="1:9" x14ac:dyDescent="0.3">
      <c r="A1359" t="s">
        <v>3372</v>
      </c>
      <c r="B1359" t="s">
        <v>260</v>
      </c>
      <c r="C1359" t="s">
        <v>2024</v>
      </c>
      <c r="D1359">
        <v>3</v>
      </c>
      <c r="E1359" s="16">
        <v>107.52</v>
      </c>
      <c r="F1359" s="1">
        <v>44980</v>
      </c>
      <c r="G1359" t="s">
        <v>2002</v>
      </c>
      <c r="H1359">
        <v>3</v>
      </c>
      <c r="I1359" s="12">
        <f>Table16[[#This Row],[price]]*Table16[[#This Row],[quantity]]</f>
        <v>322.56</v>
      </c>
    </row>
    <row r="1360" spans="1:9" x14ac:dyDescent="0.3">
      <c r="A1360" t="s">
        <v>3377</v>
      </c>
      <c r="B1360" t="s">
        <v>261</v>
      </c>
      <c r="C1360" t="s">
        <v>2057</v>
      </c>
      <c r="D1360">
        <v>1</v>
      </c>
      <c r="E1360" s="16">
        <v>11.73</v>
      </c>
      <c r="F1360" s="1">
        <v>44205</v>
      </c>
      <c r="G1360" t="s">
        <v>2004</v>
      </c>
      <c r="H1360">
        <v>5</v>
      </c>
      <c r="I1360" s="12">
        <f>Table16[[#This Row],[price]]*Table16[[#This Row],[quantity]]</f>
        <v>11.73</v>
      </c>
    </row>
    <row r="1361" spans="1:9" x14ac:dyDescent="0.3">
      <c r="A1361" t="s">
        <v>3378</v>
      </c>
      <c r="B1361" t="s">
        <v>261</v>
      </c>
      <c r="C1361" t="s">
        <v>2017</v>
      </c>
      <c r="D1361">
        <v>5</v>
      </c>
      <c r="E1361" s="16">
        <v>5250</v>
      </c>
      <c r="F1361" s="1">
        <v>44370</v>
      </c>
      <c r="G1361" t="s">
        <v>2058</v>
      </c>
      <c r="H1361">
        <v>3</v>
      </c>
      <c r="I1361" s="12">
        <f>Table16[[#This Row],[price]]*Table16[[#This Row],[quantity]]</f>
        <v>26250</v>
      </c>
    </row>
    <row r="1362" spans="1:9" x14ac:dyDescent="0.3">
      <c r="A1362" t="s">
        <v>3376</v>
      </c>
      <c r="B1362" t="s">
        <v>261</v>
      </c>
      <c r="C1362" t="s">
        <v>2001</v>
      </c>
      <c r="D1362">
        <v>3</v>
      </c>
      <c r="E1362" s="16">
        <v>900.24</v>
      </c>
      <c r="F1362" s="1">
        <v>44543</v>
      </c>
      <c r="G1362" t="s">
        <v>2064</v>
      </c>
      <c r="H1362">
        <v>2</v>
      </c>
      <c r="I1362" s="12">
        <f>Table16[[#This Row],[price]]*Table16[[#This Row],[quantity]]</f>
        <v>2700.7200000000003</v>
      </c>
    </row>
    <row r="1363" spans="1:9" x14ac:dyDescent="0.3">
      <c r="A1363" t="s">
        <v>3379</v>
      </c>
      <c r="B1363" t="s">
        <v>262</v>
      </c>
      <c r="C1363" t="s">
        <v>2001</v>
      </c>
      <c r="D1363">
        <v>5</v>
      </c>
      <c r="E1363" s="16">
        <v>1500.4</v>
      </c>
      <c r="F1363" s="1">
        <v>44747</v>
      </c>
      <c r="G1363" t="s">
        <v>2002</v>
      </c>
      <c r="H1363">
        <v>1</v>
      </c>
      <c r="I1363" s="12">
        <f>Table16[[#This Row],[price]]*Table16[[#This Row],[quantity]]</f>
        <v>7502</v>
      </c>
    </row>
    <row r="1364" spans="1:9" x14ac:dyDescent="0.3">
      <c r="A1364" t="s">
        <v>3380</v>
      </c>
      <c r="B1364" t="s">
        <v>262</v>
      </c>
      <c r="C1364" t="s">
        <v>2057</v>
      </c>
      <c r="D1364">
        <v>1</v>
      </c>
      <c r="E1364" s="16">
        <v>11.73</v>
      </c>
      <c r="F1364" s="1">
        <v>44771</v>
      </c>
      <c r="G1364" t="s">
        <v>2002</v>
      </c>
      <c r="H1364">
        <v>3</v>
      </c>
      <c r="I1364" s="12">
        <f>Table16[[#This Row],[price]]*Table16[[#This Row],[quantity]]</f>
        <v>11.73</v>
      </c>
    </row>
    <row r="1365" spans="1:9" x14ac:dyDescent="0.3">
      <c r="A1365" t="s">
        <v>3382</v>
      </c>
      <c r="B1365" t="s">
        <v>263</v>
      </c>
      <c r="C1365" t="s">
        <v>2011</v>
      </c>
      <c r="D1365">
        <v>1</v>
      </c>
      <c r="E1365" s="16">
        <v>40.659999999999997</v>
      </c>
      <c r="F1365" s="1">
        <v>44736</v>
      </c>
      <c r="G1365" t="s">
        <v>2018</v>
      </c>
      <c r="H1365">
        <v>2</v>
      </c>
      <c r="I1365" s="12">
        <f>Table16[[#This Row],[price]]*Table16[[#This Row],[quantity]]</f>
        <v>40.659999999999997</v>
      </c>
    </row>
    <row r="1366" spans="1:9" x14ac:dyDescent="0.3">
      <c r="A1366" t="s">
        <v>3381</v>
      </c>
      <c r="B1366" t="s">
        <v>263</v>
      </c>
      <c r="C1366" t="s">
        <v>2001</v>
      </c>
      <c r="D1366">
        <v>2</v>
      </c>
      <c r="E1366" s="16">
        <v>600.16</v>
      </c>
      <c r="F1366" s="1">
        <v>44898</v>
      </c>
      <c r="G1366" t="s">
        <v>2020</v>
      </c>
      <c r="H1366">
        <v>2</v>
      </c>
      <c r="I1366" s="12">
        <f>Table16[[#This Row],[price]]*Table16[[#This Row],[quantity]]</f>
        <v>1200.32</v>
      </c>
    </row>
    <row r="1367" spans="1:9" x14ac:dyDescent="0.3">
      <c r="A1367" t="s">
        <v>3387</v>
      </c>
      <c r="B1367" t="s">
        <v>264</v>
      </c>
      <c r="C1367" t="s">
        <v>2015</v>
      </c>
      <c r="D1367">
        <v>4</v>
      </c>
      <c r="E1367" s="16">
        <v>2400.6799999999998</v>
      </c>
      <c r="F1367" s="1">
        <v>44301</v>
      </c>
      <c r="G1367" t="s">
        <v>2064</v>
      </c>
      <c r="H1367">
        <v>2</v>
      </c>
      <c r="I1367" s="12">
        <f>Table16[[#This Row],[price]]*Table16[[#This Row],[quantity]]</f>
        <v>9602.7199999999993</v>
      </c>
    </row>
    <row r="1368" spans="1:9" x14ac:dyDescent="0.3">
      <c r="A1368" t="s">
        <v>3383</v>
      </c>
      <c r="B1368" t="s">
        <v>264</v>
      </c>
      <c r="C1368" t="s">
        <v>2011</v>
      </c>
      <c r="D1368">
        <v>3</v>
      </c>
      <c r="E1368" s="16">
        <v>121.98</v>
      </c>
      <c r="F1368" s="1">
        <v>44326</v>
      </c>
      <c r="G1368" t="s">
        <v>2004</v>
      </c>
      <c r="H1368">
        <v>5</v>
      </c>
      <c r="I1368" s="12">
        <f>Table16[[#This Row],[price]]*Table16[[#This Row],[quantity]]</f>
        <v>365.94</v>
      </c>
    </row>
    <row r="1369" spans="1:9" x14ac:dyDescent="0.3">
      <c r="A1369" t="s">
        <v>3385</v>
      </c>
      <c r="B1369" t="s">
        <v>264</v>
      </c>
      <c r="C1369" t="s">
        <v>2017</v>
      </c>
      <c r="D1369">
        <v>3</v>
      </c>
      <c r="E1369" s="16">
        <v>3150</v>
      </c>
      <c r="F1369" s="1">
        <v>44407</v>
      </c>
      <c r="G1369" t="s">
        <v>2002</v>
      </c>
      <c r="H1369">
        <v>1</v>
      </c>
      <c r="I1369" s="12">
        <f>Table16[[#This Row],[price]]*Table16[[#This Row],[quantity]]</f>
        <v>9450</v>
      </c>
    </row>
    <row r="1370" spans="1:9" x14ac:dyDescent="0.3">
      <c r="A1370" t="s">
        <v>3388</v>
      </c>
      <c r="B1370" t="s">
        <v>264</v>
      </c>
      <c r="C1370" t="s">
        <v>2008</v>
      </c>
      <c r="D1370">
        <v>5</v>
      </c>
      <c r="E1370" s="16">
        <v>26.15</v>
      </c>
      <c r="F1370" s="1">
        <v>44439</v>
      </c>
      <c r="G1370" t="s">
        <v>2058</v>
      </c>
      <c r="H1370">
        <v>4</v>
      </c>
      <c r="I1370" s="12">
        <f>Table16[[#This Row],[price]]*Table16[[#This Row],[quantity]]</f>
        <v>130.75</v>
      </c>
    </row>
    <row r="1371" spans="1:9" x14ac:dyDescent="0.3">
      <c r="A1371" t="s">
        <v>3384</v>
      </c>
      <c r="B1371" t="s">
        <v>264</v>
      </c>
      <c r="C1371" t="s">
        <v>2011</v>
      </c>
      <c r="D1371">
        <v>3</v>
      </c>
      <c r="E1371" s="16">
        <v>121.98</v>
      </c>
      <c r="F1371" s="1">
        <v>44528</v>
      </c>
      <c r="G1371" t="s">
        <v>2020</v>
      </c>
      <c r="H1371">
        <v>1</v>
      </c>
      <c r="I1371" s="12">
        <f>Table16[[#This Row],[price]]*Table16[[#This Row],[quantity]]</f>
        <v>365.94</v>
      </c>
    </row>
    <row r="1372" spans="1:9" x14ac:dyDescent="0.3">
      <c r="A1372" t="s">
        <v>3386</v>
      </c>
      <c r="B1372" t="s">
        <v>264</v>
      </c>
      <c r="C1372" t="s">
        <v>2011</v>
      </c>
      <c r="D1372">
        <v>4</v>
      </c>
      <c r="E1372" s="16">
        <v>162.63999999999999</v>
      </c>
      <c r="F1372" s="1">
        <v>44587</v>
      </c>
      <c r="G1372" t="s">
        <v>2041</v>
      </c>
      <c r="H1372">
        <v>4</v>
      </c>
      <c r="I1372" s="12">
        <f>Table16[[#This Row],[price]]*Table16[[#This Row],[quantity]]</f>
        <v>650.55999999999995</v>
      </c>
    </row>
    <row r="1373" spans="1:9" x14ac:dyDescent="0.3">
      <c r="A1373" t="s">
        <v>3389</v>
      </c>
      <c r="B1373" t="s">
        <v>265</v>
      </c>
      <c r="C1373" t="s">
        <v>2011</v>
      </c>
      <c r="D1373">
        <v>3</v>
      </c>
      <c r="E1373" s="16">
        <v>121.98</v>
      </c>
      <c r="F1373" s="1">
        <v>44455</v>
      </c>
      <c r="G1373" t="s">
        <v>2020</v>
      </c>
      <c r="H1373">
        <v>5</v>
      </c>
      <c r="I1373" s="12">
        <f>Table16[[#This Row],[price]]*Table16[[#This Row],[quantity]]</f>
        <v>365.94</v>
      </c>
    </row>
    <row r="1374" spans="1:9" x14ac:dyDescent="0.3">
      <c r="A1374" t="s">
        <v>3393</v>
      </c>
      <c r="B1374" t="s">
        <v>265</v>
      </c>
      <c r="C1374" t="s">
        <v>2008</v>
      </c>
      <c r="D1374">
        <v>1</v>
      </c>
      <c r="E1374" s="16">
        <v>5.23</v>
      </c>
      <c r="F1374" s="1">
        <v>44590</v>
      </c>
      <c r="G1374" t="s">
        <v>2009</v>
      </c>
      <c r="H1374">
        <v>4</v>
      </c>
      <c r="I1374" s="12">
        <f>Table16[[#This Row],[price]]*Table16[[#This Row],[quantity]]</f>
        <v>5.23</v>
      </c>
    </row>
    <row r="1375" spans="1:9" x14ac:dyDescent="0.3">
      <c r="A1375" t="s">
        <v>3390</v>
      </c>
      <c r="B1375" t="s">
        <v>265</v>
      </c>
      <c r="C1375" t="s">
        <v>2057</v>
      </c>
      <c r="D1375">
        <v>5</v>
      </c>
      <c r="E1375" s="16">
        <v>58.65</v>
      </c>
      <c r="F1375" s="1">
        <v>44600</v>
      </c>
      <c r="G1375" t="s">
        <v>2027</v>
      </c>
      <c r="H1375">
        <v>2</v>
      </c>
      <c r="I1375" s="12">
        <f>Table16[[#This Row],[price]]*Table16[[#This Row],[quantity]]</f>
        <v>293.25</v>
      </c>
    </row>
    <row r="1376" spans="1:9" x14ac:dyDescent="0.3">
      <c r="A1376" t="s">
        <v>3394</v>
      </c>
      <c r="B1376" t="s">
        <v>265</v>
      </c>
      <c r="C1376" t="s">
        <v>2015</v>
      </c>
      <c r="D1376">
        <v>3</v>
      </c>
      <c r="E1376" s="16">
        <v>1800.51</v>
      </c>
      <c r="F1376" s="1">
        <v>44803</v>
      </c>
      <c r="G1376" t="s">
        <v>2020</v>
      </c>
      <c r="H1376">
        <v>2</v>
      </c>
      <c r="I1376" s="12">
        <f>Table16[[#This Row],[price]]*Table16[[#This Row],[quantity]]</f>
        <v>5401.53</v>
      </c>
    </row>
    <row r="1377" spans="1:9" x14ac:dyDescent="0.3">
      <c r="A1377" t="s">
        <v>3392</v>
      </c>
      <c r="B1377" t="s">
        <v>265</v>
      </c>
      <c r="C1377" t="s">
        <v>2015</v>
      </c>
      <c r="D1377">
        <v>1</v>
      </c>
      <c r="E1377" s="16">
        <v>600.16999999999996</v>
      </c>
      <c r="F1377" s="1">
        <v>44955</v>
      </c>
      <c r="G1377" t="s">
        <v>2041</v>
      </c>
      <c r="H1377">
        <v>3</v>
      </c>
      <c r="I1377" s="12">
        <f>Table16[[#This Row],[price]]*Table16[[#This Row],[quantity]]</f>
        <v>600.16999999999996</v>
      </c>
    </row>
    <row r="1378" spans="1:9" x14ac:dyDescent="0.3">
      <c r="A1378" t="s">
        <v>3391</v>
      </c>
      <c r="B1378" t="s">
        <v>265</v>
      </c>
      <c r="C1378" t="s">
        <v>2001</v>
      </c>
      <c r="D1378">
        <v>5</v>
      </c>
      <c r="E1378" s="16">
        <v>1500.4</v>
      </c>
      <c r="F1378" s="1">
        <v>44984</v>
      </c>
      <c r="G1378" t="s">
        <v>2027</v>
      </c>
      <c r="H1378">
        <v>1</v>
      </c>
      <c r="I1378" s="12">
        <f>Table16[[#This Row],[price]]*Table16[[#This Row],[quantity]]</f>
        <v>7502</v>
      </c>
    </row>
    <row r="1379" spans="1:9" x14ac:dyDescent="0.3">
      <c r="A1379" t="s">
        <v>3398</v>
      </c>
      <c r="B1379" t="s">
        <v>266</v>
      </c>
      <c r="C1379" t="s">
        <v>2001</v>
      </c>
      <c r="D1379">
        <v>4</v>
      </c>
      <c r="E1379" s="16">
        <v>1200.32</v>
      </c>
      <c r="F1379" s="1">
        <v>44214</v>
      </c>
      <c r="G1379" t="s">
        <v>2002</v>
      </c>
      <c r="H1379">
        <v>4</v>
      </c>
      <c r="I1379" s="12">
        <f>Table16[[#This Row],[price]]*Table16[[#This Row],[quantity]]</f>
        <v>4801.28</v>
      </c>
    </row>
    <row r="1380" spans="1:9" x14ac:dyDescent="0.3">
      <c r="A1380" t="s">
        <v>3396</v>
      </c>
      <c r="B1380" t="s">
        <v>266</v>
      </c>
      <c r="C1380" t="s">
        <v>2001</v>
      </c>
      <c r="D1380">
        <v>5</v>
      </c>
      <c r="E1380" s="16">
        <v>1500.4</v>
      </c>
      <c r="F1380" s="1">
        <v>44521</v>
      </c>
      <c r="G1380" t="s">
        <v>2012</v>
      </c>
      <c r="H1380">
        <v>1</v>
      </c>
      <c r="I1380" s="12">
        <f>Table16[[#This Row],[price]]*Table16[[#This Row],[quantity]]</f>
        <v>7502</v>
      </c>
    </row>
    <row r="1381" spans="1:9" x14ac:dyDescent="0.3">
      <c r="A1381" t="s">
        <v>3397</v>
      </c>
      <c r="B1381" t="s">
        <v>266</v>
      </c>
      <c r="C1381" t="s">
        <v>2001</v>
      </c>
      <c r="D1381">
        <v>3</v>
      </c>
      <c r="E1381" s="16">
        <v>900.24</v>
      </c>
      <c r="F1381" s="1">
        <v>44540</v>
      </c>
      <c r="G1381" t="s">
        <v>2002</v>
      </c>
      <c r="H1381">
        <v>2</v>
      </c>
      <c r="I1381" s="12">
        <f>Table16[[#This Row],[price]]*Table16[[#This Row],[quantity]]</f>
        <v>2700.7200000000003</v>
      </c>
    </row>
    <row r="1382" spans="1:9" x14ac:dyDescent="0.3">
      <c r="A1382" t="s">
        <v>3395</v>
      </c>
      <c r="B1382" t="s">
        <v>266</v>
      </c>
      <c r="C1382" t="s">
        <v>2001</v>
      </c>
      <c r="D1382">
        <v>5</v>
      </c>
      <c r="E1382" s="16">
        <v>1500.4</v>
      </c>
      <c r="F1382" s="1">
        <v>44853</v>
      </c>
      <c r="G1382" t="s">
        <v>2002</v>
      </c>
      <c r="H1382">
        <v>4</v>
      </c>
      <c r="I1382" s="12">
        <f>Table16[[#This Row],[price]]*Table16[[#This Row],[quantity]]</f>
        <v>7502</v>
      </c>
    </row>
    <row r="1383" spans="1:9" x14ac:dyDescent="0.3">
      <c r="A1383" t="s">
        <v>3401</v>
      </c>
      <c r="B1383" t="s">
        <v>267</v>
      </c>
      <c r="C1383" t="s">
        <v>2011</v>
      </c>
      <c r="D1383">
        <v>2</v>
      </c>
      <c r="E1383" s="16">
        <v>81.319999999999993</v>
      </c>
      <c r="F1383" s="1">
        <v>44294</v>
      </c>
      <c r="G1383" t="s">
        <v>2002</v>
      </c>
      <c r="H1383">
        <v>4</v>
      </c>
      <c r="I1383" s="12">
        <f>Table16[[#This Row],[price]]*Table16[[#This Row],[quantity]]</f>
        <v>162.63999999999999</v>
      </c>
    </row>
    <row r="1384" spans="1:9" x14ac:dyDescent="0.3">
      <c r="A1384" t="s">
        <v>3400</v>
      </c>
      <c r="B1384" t="s">
        <v>267</v>
      </c>
      <c r="C1384" t="s">
        <v>2057</v>
      </c>
      <c r="D1384">
        <v>2</v>
      </c>
      <c r="E1384" s="16">
        <v>23.46</v>
      </c>
      <c r="F1384" s="1">
        <v>44499</v>
      </c>
      <c r="G1384" t="s">
        <v>2002</v>
      </c>
      <c r="H1384">
        <v>1</v>
      </c>
      <c r="I1384" s="12">
        <f>Table16[[#This Row],[price]]*Table16[[#This Row],[quantity]]</f>
        <v>46.92</v>
      </c>
    </row>
    <row r="1385" spans="1:9" x14ac:dyDescent="0.3">
      <c r="A1385" t="s">
        <v>3402</v>
      </c>
      <c r="B1385" t="s">
        <v>267</v>
      </c>
      <c r="C1385" t="s">
        <v>2001</v>
      </c>
      <c r="D1385">
        <v>2</v>
      </c>
      <c r="E1385" s="16">
        <v>600.16</v>
      </c>
      <c r="F1385" s="1">
        <v>44529</v>
      </c>
      <c r="G1385" t="s">
        <v>2004</v>
      </c>
      <c r="H1385">
        <v>3</v>
      </c>
      <c r="I1385" s="12">
        <f>Table16[[#This Row],[price]]*Table16[[#This Row],[quantity]]</f>
        <v>1200.32</v>
      </c>
    </row>
    <row r="1386" spans="1:9" x14ac:dyDescent="0.3">
      <c r="A1386" t="s">
        <v>3399</v>
      </c>
      <c r="B1386" t="s">
        <v>267</v>
      </c>
      <c r="C1386" t="s">
        <v>2006</v>
      </c>
      <c r="D1386">
        <v>3</v>
      </c>
      <c r="E1386" s="16">
        <v>45.45</v>
      </c>
      <c r="F1386" s="1">
        <v>44538</v>
      </c>
      <c r="G1386" t="s">
        <v>2012</v>
      </c>
      <c r="H1386">
        <v>4</v>
      </c>
      <c r="I1386" s="12">
        <f>Table16[[#This Row],[price]]*Table16[[#This Row],[quantity]]</f>
        <v>136.35000000000002</v>
      </c>
    </row>
    <row r="1387" spans="1:9" x14ac:dyDescent="0.3">
      <c r="A1387" t="s">
        <v>3405</v>
      </c>
      <c r="B1387" t="s">
        <v>268</v>
      </c>
      <c r="C1387" t="s">
        <v>2006</v>
      </c>
      <c r="D1387">
        <v>1</v>
      </c>
      <c r="E1387" s="16">
        <v>15.15</v>
      </c>
      <c r="F1387" s="1">
        <v>44399</v>
      </c>
      <c r="G1387" t="s">
        <v>2018</v>
      </c>
      <c r="H1387">
        <v>3</v>
      </c>
      <c r="I1387" s="12">
        <f>Table16[[#This Row],[price]]*Table16[[#This Row],[quantity]]</f>
        <v>15.15</v>
      </c>
    </row>
    <row r="1388" spans="1:9" x14ac:dyDescent="0.3">
      <c r="A1388" t="s">
        <v>3403</v>
      </c>
      <c r="B1388" t="s">
        <v>268</v>
      </c>
      <c r="C1388" t="s">
        <v>2001</v>
      </c>
      <c r="D1388">
        <v>5</v>
      </c>
      <c r="E1388" s="16">
        <v>1500.4</v>
      </c>
      <c r="F1388" s="1">
        <v>44477</v>
      </c>
      <c r="G1388" t="s">
        <v>2018</v>
      </c>
      <c r="H1388">
        <v>3</v>
      </c>
      <c r="I1388" s="12">
        <f>Table16[[#This Row],[price]]*Table16[[#This Row],[quantity]]</f>
        <v>7502</v>
      </c>
    </row>
    <row r="1389" spans="1:9" x14ac:dyDescent="0.3">
      <c r="A1389" t="s">
        <v>3404</v>
      </c>
      <c r="B1389" t="s">
        <v>268</v>
      </c>
      <c r="C1389" t="s">
        <v>2008</v>
      </c>
      <c r="D1389">
        <v>4</v>
      </c>
      <c r="E1389" s="16">
        <v>20.92</v>
      </c>
      <c r="F1389" s="1">
        <v>44539</v>
      </c>
      <c r="G1389" t="s">
        <v>2020</v>
      </c>
      <c r="H1389">
        <v>1</v>
      </c>
      <c r="I1389" s="12">
        <f>Table16[[#This Row],[price]]*Table16[[#This Row],[quantity]]</f>
        <v>83.68</v>
      </c>
    </row>
    <row r="1390" spans="1:9" x14ac:dyDescent="0.3">
      <c r="A1390" t="s">
        <v>3407</v>
      </c>
      <c r="B1390" t="s">
        <v>269</v>
      </c>
      <c r="C1390" t="s">
        <v>2001</v>
      </c>
      <c r="D1390">
        <v>2</v>
      </c>
      <c r="E1390" s="16">
        <v>600.16</v>
      </c>
      <c r="F1390" s="1">
        <v>44384</v>
      </c>
      <c r="G1390" t="s">
        <v>2027</v>
      </c>
      <c r="H1390">
        <v>3</v>
      </c>
      <c r="I1390" s="12">
        <f>Table16[[#This Row],[price]]*Table16[[#This Row],[quantity]]</f>
        <v>1200.32</v>
      </c>
    </row>
    <row r="1391" spans="1:9" x14ac:dyDescent="0.3">
      <c r="A1391" t="s">
        <v>3406</v>
      </c>
      <c r="B1391" t="s">
        <v>269</v>
      </c>
      <c r="C1391" t="s">
        <v>2024</v>
      </c>
      <c r="D1391">
        <v>3</v>
      </c>
      <c r="E1391" s="16">
        <v>107.52</v>
      </c>
      <c r="F1391" s="1">
        <v>44532</v>
      </c>
      <c r="G1391" t="s">
        <v>2020</v>
      </c>
      <c r="H1391">
        <v>4</v>
      </c>
      <c r="I1391" s="12">
        <f>Table16[[#This Row],[price]]*Table16[[#This Row],[quantity]]</f>
        <v>322.56</v>
      </c>
    </row>
    <row r="1392" spans="1:9" x14ac:dyDescent="0.3">
      <c r="A1392" t="s">
        <v>3408</v>
      </c>
      <c r="B1392" t="s">
        <v>270</v>
      </c>
      <c r="C1392" t="s">
        <v>2008</v>
      </c>
      <c r="D1392">
        <v>3</v>
      </c>
      <c r="E1392" s="16">
        <v>15.69</v>
      </c>
      <c r="F1392" s="1">
        <v>44199</v>
      </c>
      <c r="G1392" t="s">
        <v>2064</v>
      </c>
      <c r="H1392">
        <v>2</v>
      </c>
      <c r="I1392" s="12">
        <f>Table16[[#This Row],[price]]*Table16[[#This Row],[quantity]]</f>
        <v>47.07</v>
      </c>
    </row>
    <row r="1393" spans="1:9" x14ac:dyDescent="0.3">
      <c r="A1393" t="s">
        <v>3409</v>
      </c>
      <c r="B1393" t="s">
        <v>270</v>
      </c>
      <c r="C1393" t="s">
        <v>2011</v>
      </c>
      <c r="D1393">
        <v>5</v>
      </c>
      <c r="E1393" s="16">
        <v>203.3</v>
      </c>
      <c r="F1393" s="1">
        <v>44396</v>
      </c>
      <c r="G1393" t="s">
        <v>2027</v>
      </c>
      <c r="H1393">
        <v>3</v>
      </c>
      <c r="I1393" s="12">
        <f>Table16[[#This Row],[price]]*Table16[[#This Row],[quantity]]</f>
        <v>1016.5</v>
      </c>
    </row>
    <row r="1394" spans="1:9" x14ac:dyDescent="0.3">
      <c r="A1394" t="s">
        <v>3410</v>
      </c>
      <c r="B1394" t="s">
        <v>270</v>
      </c>
      <c r="C1394" t="s">
        <v>2008</v>
      </c>
      <c r="D1394">
        <v>5</v>
      </c>
      <c r="E1394" s="16">
        <v>26.15</v>
      </c>
      <c r="F1394" s="1">
        <v>44795</v>
      </c>
      <c r="G1394" t="s">
        <v>2002</v>
      </c>
      <c r="H1394">
        <v>4</v>
      </c>
      <c r="I1394" s="12">
        <f>Table16[[#This Row],[price]]*Table16[[#This Row],[quantity]]</f>
        <v>130.75</v>
      </c>
    </row>
    <row r="1395" spans="1:9" x14ac:dyDescent="0.3">
      <c r="A1395" t="s">
        <v>3411</v>
      </c>
      <c r="B1395" t="s">
        <v>270</v>
      </c>
      <c r="C1395" t="s">
        <v>2024</v>
      </c>
      <c r="D1395">
        <v>2</v>
      </c>
      <c r="E1395" s="16">
        <v>71.680000000000007</v>
      </c>
      <c r="F1395" s="1">
        <v>44932</v>
      </c>
      <c r="G1395" t="s">
        <v>2018</v>
      </c>
      <c r="H1395">
        <v>1</v>
      </c>
      <c r="I1395" s="12">
        <f>Table16[[#This Row],[price]]*Table16[[#This Row],[quantity]]</f>
        <v>143.36000000000001</v>
      </c>
    </row>
    <row r="1396" spans="1:9" x14ac:dyDescent="0.3">
      <c r="A1396" t="s">
        <v>3416</v>
      </c>
      <c r="B1396" t="s">
        <v>271</v>
      </c>
      <c r="C1396" t="s">
        <v>2008</v>
      </c>
      <c r="D1396">
        <v>3</v>
      </c>
      <c r="E1396" s="16">
        <v>15.69</v>
      </c>
      <c r="F1396" s="1">
        <v>44207</v>
      </c>
      <c r="G1396" t="s">
        <v>2058</v>
      </c>
      <c r="H1396">
        <v>2</v>
      </c>
      <c r="I1396" s="12">
        <f>Table16[[#This Row],[price]]*Table16[[#This Row],[quantity]]</f>
        <v>47.07</v>
      </c>
    </row>
    <row r="1397" spans="1:9" x14ac:dyDescent="0.3">
      <c r="A1397" t="s">
        <v>3418</v>
      </c>
      <c r="B1397" t="s">
        <v>271</v>
      </c>
      <c r="C1397" t="s">
        <v>2008</v>
      </c>
      <c r="D1397">
        <v>1</v>
      </c>
      <c r="E1397" s="16">
        <v>5.23</v>
      </c>
      <c r="F1397" s="1">
        <v>44220</v>
      </c>
      <c r="G1397" t="s">
        <v>2027</v>
      </c>
      <c r="H1397">
        <v>1</v>
      </c>
      <c r="I1397" s="12">
        <f>Table16[[#This Row],[price]]*Table16[[#This Row],[quantity]]</f>
        <v>5.23</v>
      </c>
    </row>
    <row r="1398" spans="1:9" x14ac:dyDescent="0.3">
      <c r="A1398" t="s">
        <v>3414</v>
      </c>
      <c r="B1398" t="s">
        <v>271</v>
      </c>
      <c r="C1398" t="s">
        <v>2024</v>
      </c>
      <c r="D1398">
        <v>3</v>
      </c>
      <c r="E1398" s="16">
        <v>107.52</v>
      </c>
      <c r="F1398" s="1">
        <v>44538</v>
      </c>
      <c r="G1398" t="s">
        <v>2027</v>
      </c>
      <c r="H1398">
        <v>4</v>
      </c>
      <c r="I1398" s="12">
        <f>Table16[[#This Row],[price]]*Table16[[#This Row],[quantity]]</f>
        <v>322.56</v>
      </c>
    </row>
    <row r="1399" spans="1:9" x14ac:dyDescent="0.3">
      <c r="A1399" t="s">
        <v>3412</v>
      </c>
      <c r="B1399" t="s">
        <v>271</v>
      </c>
      <c r="C1399" t="s">
        <v>2001</v>
      </c>
      <c r="D1399">
        <v>4</v>
      </c>
      <c r="E1399" s="16">
        <v>1200.32</v>
      </c>
      <c r="F1399" s="1">
        <v>44543</v>
      </c>
      <c r="G1399" t="s">
        <v>2027</v>
      </c>
      <c r="H1399">
        <v>2</v>
      </c>
      <c r="I1399" s="12">
        <f>Table16[[#This Row],[price]]*Table16[[#This Row],[quantity]]</f>
        <v>4801.28</v>
      </c>
    </row>
    <row r="1400" spans="1:9" x14ac:dyDescent="0.3">
      <c r="A1400" t="s">
        <v>3415</v>
      </c>
      <c r="B1400" t="s">
        <v>271</v>
      </c>
      <c r="C1400" t="s">
        <v>2057</v>
      </c>
      <c r="D1400">
        <v>3</v>
      </c>
      <c r="E1400" s="16">
        <v>35.19</v>
      </c>
      <c r="F1400" s="1">
        <v>44567</v>
      </c>
      <c r="G1400" t="s">
        <v>2009</v>
      </c>
      <c r="H1400">
        <v>3</v>
      </c>
      <c r="I1400" s="12">
        <f>Table16[[#This Row],[price]]*Table16[[#This Row],[quantity]]</f>
        <v>105.57</v>
      </c>
    </row>
    <row r="1401" spans="1:9" x14ac:dyDescent="0.3">
      <c r="A1401" t="s">
        <v>3417</v>
      </c>
      <c r="B1401" t="s">
        <v>271</v>
      </c>
      <c r="C1401" t="s">
        <v>2017</v>
      </c>
      <c r="D1401">
        <v>4</v>
      </c>
      <c r="E1401" s="16">
        <v>4200</v>
      </c>
      <c r="F1401" s="1">
        <v>44729</v>
      </c>
      <c r="G1401" t="s">
        <v>2018</v>
      </c>
      <c r="H1401">
        <v>4</v>
      </c>
      <c r="I1401" s="12">
        <f>Table16[[#This Row],[price]]*Table16[[#This Row],[quantity]]</f>
        <v>16800</v>
      </c>
    </row>
    <row r="1402" spans="1:9" x14ac:dyDescent="0.3">
      <c r="A1402" t="s">
        <v>3413</v>
      </c>
      <c r="B1402" t="s">
        <v>271</v>
      </c>
      <c r="C1402" t="s">
        <v>2008</v>
      </c>
      <c r="D1402">
        <v>4</v>
      </c>
      <c r="E1402" s="16">
        <v>20.92</v>
      </c>
      <c r="F1402" s="1">
        <v>44920</v>
      </c>
      <c r="G1402" t="s">
        <v>2027</v>
      </c>
      <c r="H1402">
        <v>4</v>
      </c>
      <c r="I1402" s="12">
        <f>Table16[[#This Row],[price]]*Table16[[#This Row],[quantity]]</f>
        <v>83.68</v>
      </c>
    </row>
    <row r="1403" spans="1:9" x14ac:dyDescent="0.3">
      <c r="A1403" t="s">
        <v>3425</v>
      </c>
      <c r="B1403" t="s">
        <v>272</v>
      </c>
      <c r="C1403" t="s">
        <v>2001</v>
      </c>
      <c r="D1403">
        <v>5</v>
      </c>
      <c r="E1403" s="16">
        <v>1500.4</v>
      </c>
      <c r="F1403" s="1">
        <v>44292</v>
      </c>
      <c r="G1403" t="s">
        <v>2041</v>
      </c>
      <c r="H1403">
        <v>4</v>
      </c>
      <c r="I1403" s="12">
        <f>Table16[[#This Row],[price]]*Table16[[#This Row],[quantity]]</f>
        <v>7502</v>
      </c>
    </row>
    <row r="1404" spans="1:9" x14ac:dyDescent="0.3">
      <c r="A1404" t="s">
        <v>3421</v>
      </c>
      <c r="B1404" t="s">
        <v>272</v>
      </c>
      <c r="C1404" t="s">
        <v>2001</v>
      </c>
      <c r="D1404">
        <v>2</v>
      </c>
      <c r="E1404" s="16">
        <v>600.16</v>
      </c>
      <c r="F1404" s="1">
        <v>44302</v>
      </c>
      <c r="G1404" t="s">
        <v>2012</v>
      </c>
      <c r="H1404">
        <v>5</v>
      </c>
      <c r="I1404" s="12">
        <f>Table16[[#This Row],[price]]*Table16[[#This Row],[quantity]]</f>
        <v>1200.32</v>
      </c>
    </row>
    <row r="1405" spans="1:9" x14ac:dyDescent="0.3">
      <c r="A1405" t="s">
        <v>3419</v>
      </c>
      <c r="B1405" t="s">
        <v>272</v>
      </c>
      <c r="C1405" t="s">
        <v>2006</v>
      </c>
      <c r="D1405">
        <v>5</v>
      </c>
      <c r="E1405" s="16">
        <v>75.75</v>
      </c>
      <c r="F1405" s="1">
        <v>44401</v>
      </c>
      <c r="G1405" t="s">
        <v>2058</v>
      </c>
      <c r="H1405">
        <v>2</v>
      </c>
      <c r="I1405" s="12">
        <f>Table16[[#This Row],[price]]*Table16[[#This Row],[quantity]]</f>
        <v>378.75</v>
      </c>
    </row>
    <row r="1406" spans="1:9" x14ac:dyDescent="0.3">
      <c r="A1406" t="s">
        <v>3426</v>
      </c>
      <c r="B1406" t="s">
        <v>272</v>
      </c>
      <c r="C1406" t="s">
        <v>2001</v>
      </c>
      <c r="D1406">
        <v>5</v>
      </c>
      <c r="E1406" s="16">
        <v>1500.4</v>
      </c>
      <c r="F1406" s="1">
        <v>44431</v>
      </c>
      <c r="G1406" t="s">
        <v>2002</v>
      </c>
      <c r="H1406">
        <v>3</v>
      </c>
      <c r="I1406" s="12">
        <f>Table16[[#This Row],[price]]*Table16[[#This Row],[quantity]]</f>
        <v>7502</v>
      </c>
    </row>
    <row r="1407" spans="1:9" x14ac:dyDescent="0.3">
      <c r="A1407" t="s">
        <v>3420</v>
      </c>
      <c r="B1407" t="s">
        <v>272</v>
      </c>
      <c r="C1407" t="s">
        <v>2008</v>
      </c>
      <c r="D1407">
        <v>4</v>
      </c>
      <c r="E1407" s="16">
        <v>20.92</v>
      </c>
      <c r="F1407" s="1">
        <v>44528</v>
      </c>
      <c r="G1407" t="s">
        <v>2020</v>
      </c>
      <c r="H1407">
        <v>5</v>
      </c>
      <c r="I1407" s="12">
        <f>Table16[[#This Row],[price]]*Table16[[#This Row],[quantity]]</f>
        <v>83.68</v>
      </c>
    </row>
    <row r="1408" spans="1:9" x14ac:dyDescent="0.3">
      <c r="A1408" t="s">
        <v>3422</v>
      </c>
      <c r="B1408" t="s">
        <v>272</v>
      </c>
      <c r="C1408" t="s">
        <v>2057</v>
      </c>
      <c r="D1408">
        <v>3</v>
      </c>
      <c r="E1408" s="16">
        <v>35.19</v>
      </c>
      <c r="F1408" s="1">
        <v>44547</v>
      </c>
      <c r="G1408" t="s">
        <v>2027</v>
      </c>
      <c r="H1408">
        <v>4</v>
      </c>
      <c r="I1408" s="12">
        <f>Table16[[#This Row],[price]]*Table16[[#This Row],[quantity]]</f>
        <v>105.57</v>
      </c>
    </row>
    <row r="1409" spans="1:9" x14ac:dyDescent="0.3">
      <c r="A1409" t="s">
        <v>3424</v>
      </c>
      <c r="B1409" t="s">
        <v>272</v>
      </c>
      <c r="C1409" t="s">
        <v>2024</v>
      </c>
      <c r="D1409">
        <v>3</v>
      </c>
      <c r="E1409" s="16">
        <v>107.52</v>
      </c>
      <c r="F1409" s="1">
        <v>44758</v>
      </c>
      <c r="G1409" t="s">
        <v>2004</v>
      </c>
      <c r="H1409">
        <v>1</v>
      </c>
      <c r="I1409" s="12">
        <f>Table16[[#This Row],[price]]*Table16[[#This Row],[quantity]]</f>
        <v>322.56</v>
      </c>
    </row>
    <row r="1410" spans="1:9" x14ac:dyDescent="0.3">
      <c r="A1410" t="s">
        <v>3423</v>
      </c>
      <c r="B1410" t="s">
        <v>272</v>
      </c>
      <c r="C1410" t="s">
        <v>2001</v>
      </c>
      <c r="D1410">
        <v>1</v>
      </c>
      <c r="E1410" s="16">
        <v>300.08</v>
      </c>
      <c r="F1410" s="1">
        <v>44861</v>
      </c>
      <c r="G1410" t="s">
        <v>2002</v>
      </c>
      <c r="H1410">
        <v>1</v>
      </c>
      <c r="I1410" s="12">
        <f>Table16[[#This Row],[price]]*Table16[[#This Row],[quantity]]</f>
        <v>300.08</v>
      </c>
    </row>
    <row r="1411" spans="1:9" x14ac:dyDescent="0.3">
      <c r="A1411" t="s">
        <v>3427</v>
      </c>
      <c r="B1411" t="s">
        <v>273</v>
      </c>
      <c r="C1411" t="s">
        <v>2001</v>
      </c>
      <c r="D1411">
        <v>2</v>
      </c>
      <c r="E1411" s="16">
        <v>600.16</v>
      </c>
      <c r="F1411" s="1">
        <v>44406</v>
      </c>
      <c r="G1411" t="s">
        <v>2018</v>
      </c>
      <c r="H1411">
        <v>5</v>
      </c>
      <c r="I1411" s="12">
        <f>Table16[[#This Row],[price]]*Table16[[#This Row],[quantity]]</f>
        <v>1200.32</v>
      </c>
    </row>
    <row r="1412" spans="1:9" x14ac:dyDescent="0.3">
      <c r="A1412" t="s">
        <v>3428</v>
      </c>
      <c r="B1412" t="s">
        <v>273</v>
      </c>
      <c r="C1412" t="s">
        <v>2001</v>
      </c>
      <c r="D1412">
        <v>5</v>
      </c>
      <c r="E1412" s="16">
        <v>1500.4</v>
      </c>
      <c r="F1412" s="1">
        <v>44427</v>
      </c>
      <c r="G1412" t="s">
        <v>2002</v>
      </c>
      <c r="H1412">
        <v>1</v>
      </c>
      <c r="I1412" s="12">
        <f>Table16[[#This Row],[price]]*Table16[[#This Row],[quantity]]</f>
        <v>7502</v>
      </c>
    </row>
    <row r="1413" spans="1:9" x14ac:dyDescent="0.3">
      <c r="A1413" t="s">
        <v>3430</v>
      </c>
      <c r="B1413" t="s">
        <v>273</v>
      </c>
      <c r="C1413" t="s">
        <v>2008</v>
      </c>
      <c r="D1413">
        <v>1</v>
      </c>
      <c r="E1413" s="16">
        <v>5.23</v>
      </c>
      <c r="F1413" s="1">
        <v>44736</v>
      </c>
      <c r="G1413" t="s">
        <v>2004</v>
      </c>
      <c r="H1413">
        <v>3</v>
      </c>
      <c r="I1413" s="12">
        <f>Table16[[#This Row],[price]]*Table16[[#This Row],[quantity]]</f>
        <v>5.23</v>
      </c>
    </row>
    <row r="1414" spans="1:9" x14ac:dyDescent="0.3">
      <c r="A1414" t="s">
        <v>3429</v>
      </c>
      <c r="B1414" t="s">
        <v>273</v>
      </c>
      <c r="C1414" t="s">
        <v>2015</v>
      </c>
      <c r="D1414">
        <v>5</v>
      </c>
      <c r="E1414" s="16">
        <v>3000.85</v>
      </c>
      <c r="F1414" s="1">
        <v>44809</v>
      </c>
      <c r="G1414" t="s">
        <v>2027</v>
      </c>
      <c r="H1414">
        <v>3</v>
      </c>
      <c r="I1414" s="12">
        <f>Table16[[#This Row],[price]]*Table16[[#This Row],[quantity]]</f>
        <v>15004.25</v>
      </c>
    </row>
    <row r="1415" spans="1:9" x14ac:dyDescent="0.3">
      <c r="A1415" t="s">
        <v>3433</v>
      </c>
      <c r="B1415" t="s">
        <v>274</v>
      </c>
      <c r="C1415" t="s">
        <v>2001</v>
      </c>
      <c r="D1415">
        <v>1</v>
      </c>
      <c r="E1415" s="16">
        <v>300.08</v>
      </c>
      <c r="F1415" s="1">
        <v>44510</v>
      </c>
      <c r="G1415" t="s">
        <v>2020</v>
      </c>
      <c r="H1415">
        <v>3</v>
      </c>
      <c r="I1415" s="12">
        <f>Table16[[#This Row],[price]]*Table16[[#This Row],[quantity]]</f>
        <v>300.08</v>
      </c>
    </row>
    <row r="1416" spans="1:9" x14ac:dyDescent="0.3">
      <c r="A1416" t="s">
        <v>3431</v>
      </c>
      <c r="B1416" t="s">
        <v>274</v>
      </c>
      <c r="C1416" t="s">
        <v>2024</v>
      </c>
      <c r="D1416">
        <v>4</v>
      </c>
      <c r="E1416" s="16">
        <v>143.36000000000001</v>
      </c>
      <c r="F1416" s="1">
        <v>44523</v>
      </c>
      <c r="G1416" t="s">
        <v>2004</v>
      </c>
      <c r="H1416">
        <v>5</v>
      </c>
      <c r="I1416" s="12">
        <f>Table16[[#This Row],[price]]*Table16[[#This Row],[quantity]]</f>
        <v>573.44000000000005</v>
      </c>
    </row>
    <row r="1417" spans="1:9" x14ac:dyDescent="0.3">
      <c r="A1417" t="s">
        <v>3432</v>
      </c>
      <c r="B1417" t="s">
        <v>274</v>
      </c>
      <c r="C1417" t="s">
        <v>2008</v>
      </c>
      <c r="D1417">
        <v>2</v>
      </c>
      <c r="E1417" s="16">
        <v>10.46</v>
      </c>
      <c r="F1417" s="1">
        <v>44533</v>
      </c>
      <c r="G1417" t="s">
        <v>2020</v>
      </c>
      <c r="H1417">
        <v>1</v>
      </c>
      <c r="I1417" s="12">
        <f>Table16[[#This Row],[price]]*Table16[[#This Row],[quantity]]</f>
        <v>20.92</v>
      </c>
    </row>
    <row r="1418" spans="1:9" x14ac:dyDescent="0.3">
      <c r="A1418" t="s">
        <v>3438</v>
      </c>
      <c r="B1418" t="s">
        <v>275</v>
      </c>
      <c r="C1418" t="s">
        <v>2011</v>
      </c>
      <c r="D1418">
        <v>4</v>
      </c>
      <c r="E1418" s="16">
        <v>162.63999999999999</v>
      </c>
      <c r="F1418" s="1">
        <v>44289</v>
      </c>
      <c r="G1418" t="s">
        <v>2027</v>
      </c>
      <c r="H1418">
        <v>1</v>
      </c>
      <c r="I1418" s="12">
        <f>Table16[[#This Row],[price]]*Table16[[#This Row],[quantity]]</f>
        <v>650.55999999999995</v>
      </c>
    </row>
    <row r="1419" spans="1:9" x14ac:dyDescent="0.3">
      <c r="A1419" t="s">
        <v>3436</v>
      </c>
      <c r="B1419" t="s">
        <v>275</v>
      </c>
      <c r="C1419" t="s">
        <v>2001</v>
      </c>
      <c r="D1419">
        <v>2</v>
      </c>
      <c r="E1419" s="16">
        <v>600.16</v>
      </c>
      <c r="F1419" s="1">
        <v>44465</v>
      </c>
      <c r="G1419" t="s">
        <v>2027</v>
      </c>
      <c r="H1419">
        <v>3</v>
      </c>
      <c r="I1419" s="12">
        <f>Table16[[#This Row],[price]]*Table16[[#This Row],[quantity]]</f>
        <v>1200.32</v>
      </c>
    </row>
    <row r="1420" spans="1:9" x14ac:dyDescent="0.3">
      <c r="A1420" t="s">
        <v>3434</v>
      </c>
      <c r="B1420" t="s">
        <v>275</v>
      </c>
      <c r="C1420" t="s">
        <v>2017</v>
      </c>
      <c r="D1420">
        <v>5</v>
      </c>
      <c r="E1420" s="16">
        <v>5250</v>
      </c>
      <c r="F1420" s="1">
        <v>44662</v>
      </c>
      <c r="G1420" t="s">
        <v>2064</v>
      </c>
      <c r="H1420">
        <v>1</v>
      </c>
      <c r="I1420" s="12">
        <f>Table16[[#This Row],[price]]*Table16[[#This Row],[quantity]]</f>
        <v>26250</v>
      </c>
    </row>
    <row r="1421" spans="1:9" x14ac:dyDescent="0.3">
      <c r="A1421" t="s">
        <v>3435</v>
      </c>
      <c r="B1421" t="s">
        <v>275</v>
      </c>
      <c r="C1421" t="s">
        <v>2011</v>
      </c>
      <c r="D1421">
        <v>1</v>
      </c>
      <c r="E1421" s="16">
        <v>40.659999999999997</v>
      </c>
      <c r="F1421" s="1">
        <v>44808</v>
      </c>
      <c r="G1421" t="s">
        <v>2027</v>
      </c>
      <c r="H1421">
        <v>4</v>
      </c>
      <c r="I1421" s="12">
        <f>Table16[[#This Row],[price]]*Table16[[#This Row],[quantity]]</f>
        <v>40.659999999999997</v>
      </c>
    </row>
    <row r="1422" spans="1:9" x14ac:dyDescent="0.3">
      <c r="A1422" t="s">
        <v>3439</v>
      </c>
      <c r="B1422" t="s">
        <v>275</v>
      </c>
      <c r="C1422" t="s">
        <v>2015</v>
      </c>
      <c r="D1422">
        <v>1</v>
      </c>
      <c r="E1422" s="16">
        <v>600.16999999999996</v>
      </c>
      <c r="F1422" s="1">
        <v>44920</v>
      </c>
      <c r="G1422" t="s">
        <v>2018</v>
      </c>
      <c r="H1422">
        <v>2</v>
      </c>
      <c r="I1422" s="12">
        <f>Table16[[#This Row],[price]]*Table16[[#This Row],[quantity]]</f>
        <v>600.16999999999996</v>
      </c>
    </row>
    <row r="1423" spans="1:9" x14ac:dyDescent="0.3">
      <c r="A1423" t="s">
        <v>3437</v>
      </c>
      <c r="B1423" t="s">
        <v>275</v>
      </c>
      <c r="C1423" t="s">
        <v>2006</v>
      </c>
      <c r="D1423">
        <v>1</v>
      </c>
      <c r="E1423" s="16">
        <v>15.15</v>
      </c>
      <c r="F1423" s="1">
        <v>44980</v>
      </c>
      <c r="G1423" t="s">
        <v>2018</v>
      </c>
      <c r="H1423">
        <v>2</v>
      </c>
      <c r="I1423" s="12">
        <f>Table16[[#This Row],[price]]*Table16[[#This Row],[quantity]]</f>
        <v>15.15</v>
      </c>
    </row>
    <row r="1424" spans="1:9" x14ac:dyDescent="0.3">
      <c r="A1424" t="s">
        <v>3441</v>
      </c>
      <c r="B1424" t="s">
        <v>276</v>
      </c>
      <c r="C1424" t="s">
        <v>2008</v>
      </c>
      <c r="D1424">
        <v>3</v>
      </c>
      <c r="E1424" s="16">
        <v>15.69</v>
      </c>
      <c r="F1424" s="1">
        <v>44450</v>
      </c>
      <c r="G1424" t="s">
        <v>2002</v>
      </c>
      <c r="H1424">
        <v>2</v>
      </c>
      <c r="I1424" s="12">
        <f>Table16[[#This Row],[price]]*Table16[[#This Row],[quantity]]</f>
        <v>47.07</v>
      </c>
    </row>
    <row r="1425" spans="1:9" x14ac:dyDescent="0.3">
      <c r="A1425" t="s">
        <v>3442</v>
      </c>
      <c r="B1425" t="s">
        <v>276</v>
      </c>
      <c r="C1425" t="s">
        <v>2017</v>
      </c>
      <c r="D1425">
        <v>3</v>
      </c>
      <c r="E1425" s="16">
        <v>3150</v>
      </c>
      <c r="F1425" s="1">
        <v>44464</v>
      </c>
      <c r="G1425" t="s">
        <v>2002</v>
      </c>
      <c r="H1425">
        <v>2</v>
      </c>
      <c r="I1425" s="12">
        <f>Table16[[#This Row],[price]]*Table16[[#This Row],[quantity]]</f>
        <v>9450</v>
      </c>
    </row>
    <row r="1426" spans="1:9" x14ac:dyDescent="0.3">
      <c r="A1426" t="s">
        <v>3443</v>
      </c>
      <c r="B1426" t="s">
        <v>276</v>
      </c>
      <c r="C1426" t="s">
        <v>2015</v>
      </c>
      <c r="D1426">
        <v>5</v>
      </c>
      <c r="E1426" s="16">
        <v>3000.85</v>
      </c>
      <c r="F1426" s="1">
        <v>44501</v>
      </c>
      <c r="G1426" t="s">
        <v>2064</v>
      </c>
      <c r="H1426">
        <v>2</v>
      </c>
      <c r="I1426" s="12">
        <f>Table16[[#This Row],[price]]*Table16[[#This Row],[quantity]]</f>
        <v>15004.25</v>
      </c>
    </row>
    <row r="1427" spans="1:9" x14ac:dyDescent="0.3">
      <c r="A1427" t="s">
        <v>3440</v>
      </c>
      <c r="B1427" t="s">
        <v>276</v>
      </c>
      <c r="C1427" t="s">
        <v>2001</v>
      </c>
      <c r="D1427">
        <v>3</v>
      </c>
      <c r="E1427" s="16">
        <v>900.24</v>
      </c>
      <c r="F1427" s="1">
        <v>44676</v>
      </c>
      <c r="G1427" t="s">
        <v>2004</v>
      </c>
      <c r="H1427">
        <v>3</v>
      </c>
      <c r="I1427" s="12">
        <f>Table16[[#This Row],[price]]*Table16[[#This Row],[quantity]]</f>
        <v>2700.7200000000003</v>
      </c>
    </row>
    <row r="1428" spans="1:9" x14ac:dyDescent="0.3">
      <c r="A1428" t="s">
        <v>3444</v>
      </c>
      <c r="B1428" t="s">
        <v>276</v>
      </c>
      <c r="C1428" t="s">
        <v>2001</v>
      </c>
      <c r="D1428">
        <v>1</v>
      </c>
      <c r="E1428" s="16">
        <v>300.08</v>
      </c>
      <c r="F1428" s="1">
        <v>44823</v>
      </c>
      <c r="G1428" t="s">
        <v>2002</v>
      </c>
      <c r="H1428">
        <v>1</v>
      </c>
      <c r="I1428" s="12">
        <f>Table16[[#This Row],[price]]*Table16[[#This Row],[quantity]]</f>
        <v>300.08</v>
      </c>
    </row>
    <row r="1429" spans="1:9" x14ac:dyDescent="0.3">
      <c r="A1429" t="s">
        <v>3448</v>
      </c>
      <c r="B1429" t="s">
        <v>277</v>
      </c>
      <c r="C1429" t="s">
        <v>2057</v>
      </c>
      <c r="D1429">
        <v>2</v>
      </c>
      <c r="E1429" s="16">
        <v>23.46</v>
      </c>
      <c r="F1429" s="1">
        <v>44443</v>
      </c>
      <c r="G1429" t="s">
        <v>2064</v>
      </c>
      <c r="H1429">
        <v>5</v>
      </c>
      <c r="I1429" s="12">
        <f>Table16[[#This Row],[price]]*Table16[[#This Row],[quantity]]</f>
        <v>46.92</v>
      </c>
    </row>
    <row r="1430" spans="1:9" x14ac:dyDescent="0.3">
      <c r="A1430" t="s">
        <v>3445</v>
      </c>
      <c r="B1430" t="s">
        <v>277</v>
      </c>
      <c r="C1430" t="s">
        <v>2008</v>
      </c>
      <c r="D1430">
        <v>4</v>
      </c>
      <c r="E1430" s="16">
        <v>20.92</v>
      </c>
      <c r="F1430" s="1">
        <v>44620</v>
      </c>
      <c r="G1430" t="s">
        <v>2004</v>
      </c>
      <c r="H1430">
        <v>2</v>
      </c>
      <c r="I1430" s="12">
        <f>Table16[[#This Row],[price]]*Table16[[#This Row],[quantity]]</f>
        <v>83.68</v>
      </c>
    </row>
    <row r="1431" spans="1:9" x14ac:dyDescent="0.3">
      <c r="A1431" t="s">
        <v>3446</v>
      </c>
      <c r="B1431" t="s">
        <v>277</v>
      </c>
      <c r="C1431" t="s">
        <v>2001</v>
      </c>
      <c r="D1431">
        <v>1</v>
      </c>
      <c r="E1431" s="16">
        <v>300.08</v>
      </c>
      <c r="F1431" s="1">
        <v>44875</v>
      </c>
      <c r="G1431" t="s">
        <v>2020</v>
      </c>
      <c r="H1431">
        <v>3</v>
      </c>
      <c r="I1431" s="12">
        <f>Table16[[#This Row],[price]]*Table16[[#This Row],[quantity]]</f>
        <v>300.08</v>
      </c>
    </row>
    <row r="1432" spans="1:9" x14ac:dyDescent="0.3">
      <c r="A1432" t="s">
        <v>3449</v>
      </c>
      <c r="B1432" t="s">
        <v>277</v>
      </c>
      <c r="C1432" t="s">
        <v>2024</v>
      </c>
      <c r="D1432">
        <v>1</v>
      </c>
      <c r="E1432" s="16">
        <v>35.840000000000003</v>
      </c>
      <c r="F1432" s="1">
        <v>44888</v>
      </c>
      <c r="G1432" t="s">
        <v>2018</v>
      </c>
      <c r="H1432">
        <v>2</v>
      </c>
      <c r="I1432" s="12">
        <f>Table16[[#This Row],[price]]*Table16[[#This Row],[quantity]]</f>
        <v>35.840000000000003</v>
      </c>
    </row>
    <row r="1433" spans="1:9" x14ac:dyDescent="0.3">
      <c r="A1433" t="s">
        <v>3447</v>
      </c>
      <c r="B1433" t="s">
        <v>277</v>
      </c>
      <c r="C1433" t="s">
        <v>2011</v>
      </c>
      <c r="D1433">
        <v>2</v>
      </c>
      <c r="E1433" s="16">
        <v>81.319999999999993</v>
      </c>
      <c r="F1433" s="1">
        <v>44975</v>
      </c>
      <c r="G1433" t="s">
        <v>2004</v>
      </c>
      <c r="H1433">
        <v>1</v>
      </c>
      <c r="I1433" s="12">
        <f>Table16[[#This Row],[price]]*Table16[[#This Row],[quantity]]</f>
        <v>162.63999999999999</v>
      </c>
    </row>
    <row r="1434" spans="1:9" x14ac:dyDescent="0.3">
      <c r="A1434" t="s">
        <v>3450</v>
      </c>
      <c r="B1434" t="s">
        <v>278</v>
      </c>
      <c r="C1434" t="s">
        <v>2024</v>
      </c>
      <c r="D1434">
        <v>1</v>
      </c>
      <c r="E1434" s="16">
        <v>35.840000000000003</v>
      </c>
      <c r="F1434" s="1">
        <v>44441</v>
      </c>
      <c r="G1434" t="s">
        <v>2002</v>
      </c>
      <c r="H1434">
        <v>3</v>
      </c>
      <c r="I1434" s="12">
        <f>Table16[[#This Row],[price]]*Table16[[#This Row],[quantity]]</f>
        <v>35.840000000000003</v>
      </c>
    </row>
    <row r="1435" spans="1:9" x14ac:dyDescent="0.3">
      <c r="A1435" t="s">
        <v>3451</v>
      </c>
      <c r="B1435" t="s">
        <v>278</v>
      </c>
      <c r="C1435" t="s">
        <v>2057</v>
      </c>
      <c r="D1435">
        <v>5</v>
      </c>
      <c r="E1435" s="16">
        <v>58.65</v>
      </c>
      <c r="F1435" s="1">
        <v>44662</v>
      </c>
      <c r="G1435" t="s">
        <v>2004</v>
      </c>
      <c r="H1435">
        <v>3</v>
      </c>
      <c r="I1435" s="12">
        <f>Table16[[#This Row],[price]]*Table16[[#This Row],[quantity]]</f>
        <v>293.25</v>
      </c>
    </row>
    <row r="1436" spans="1:9" x14ac:dyDescent="0.3">
      <c r="A1436" t="s">
        <v>3459</v>
      </c>
      <c r="B1436" t="s">
        <v>279</v>
      </c>
      <c r="C1436" t="s">
        <v>2001</v>
      </c>
      <c r="D1436">
        <v>2</v>
      </c>
      <c r="E1436" s="16">
        <v>600.16</v>
      </c>
      <c r="F1436" s="1">
        <v>44241</v>
      </c>
      <c r="G1436" t="s">
        <v>2058</v>
      </c>
      <c r="H1436">
        <v>5</v>
      </c>
      <c r="I1436" s="12">
        <f>Table16[[#This Row],[price]]*Table16[[#This Row],[quantity]]</f>
        <v>1200.32</v>
      </c>
    </row>
    <row r="1437" spans="1:9" x14ac:dyDescent="0.3">
      <c r="A1437" t="s">
        <v>3454</v>
      </c>
      <c r="B1437" t="s">
        <v>279</v>
      </c>
      <c r="C1437" t="s">
        <v>2011</v>
      </c>
      <c r="D1437">
        <v>5</v>
      </c>
      <c r="E1437" s="16">
        <v>203.3</v>
      </c>
      <c r="F1437" s="1">
        <v>44307</v>
      </c>
      <c r="G1437" t="s">
        <v>2041</v>
      </c>
      <c r="H1437">
        <v>3</v>
      </c>
      <c r="I1437" s="12">
        <f>Table16[[#This Row],[price]]*Table16[[#This Row],[quantity]]</f>
        <v>1016.5</v>
      </c>
    </row>
    <row r="1438" spans="1:9" x14ac:dyDescent="0.3">
      <c r="A1438" t="s">
        <v>3453</v>
      </c>
      <c r="B1438" t="s">
        <v>279</v>
      </c>
      <c r="C1438" t="s">
        <v>2024</v>
      </c>
      <c r="D1438">
        <v>3</v>
      </c>
      <c r="E1438" s="16">
        <v>107.52</v>
      </c>
      <c r="F1438" s="1">
        <v>44394</v>
      </c>
      <c r="G1438" t="s">
        <v>2012</v>
      </c>
      <c r="H1438">
        <v>4</v>
      </c>
      <c r="I1438" s="12">
        <f>Table16[[#This Row],[price]]*Table16[[#This Row],[quantity]]</f>
        <v>322.56</v>
      </c>
    </row>
    <row r="1439" spans="1:9" x14ac:dyDescent="0.3">
      <c r="A1439" t="s">
        <v>3456</v>
      </c>
      <c r="B1439" t="s">
        <v>279</v>
      </c>
      <c r="C1439" t="s">
        <v>2001</v>
      </c>
      <c r="D1439">
        <v>2</v>
      </c>
      <c r="E1439" s="16">
        <v>600.16</v>
      </c>
      <c r="F1439" s="1">
        <v>44426</v>
      </c>
      <c r="G1439" t="s">
        <v>2027</v>
      </c>
      <c r="H1439">
        <v>3</v>
      </c>
      <c r="I1439" s="12">
        <f>Table16[[#This Row],[price]]*Table16[[#This Row],[quantity]]</f>
        <v>1200.32</v>
      </c>
    </row>
    <row r="1440" spans="1:9" x14ac:dyDescent="0.3">
      <c r="A1440" t="s">
        <v>3455</v>
      </c>
      <c r="B1440" t="s">
        <v>279</v>
      </c>
      <c r="C1440" t="s">
        <v>2024</v>
      </c>
      <c r="D1440">
        <v>3</v>
      </c>
      <c r="E1440" s="16">
        <v>107.52</v>
      </c>
      <c r="F1440" s="1">
        <v>44857</v>
      </c>
      <c r="G1440" t="s">
        <v>2004</v>
      </c>
      <c r="H1440">
        <v>4</v>
      </c>
      <c r="I1440" s="12">
        <f>Table16[[#This Row],[price]]*Table16[[#This Row],[quantity]]</f>
        <v>322.56</v>
      </c>
    </row>
    <row r="1441" spans="1:9" x14ac:dyDescent="0.3">
      <c r="A1441" t="s">
        <v>3457</v>
      </c>
      <c r="B1441" t="s">
        <v>279</v>
      </c>
      <c r="C1441" t="s">
        <v>2001</v>
      </c>
      <c r="D1441">
        <v>3</v>
      </c>
      <c r="E1441" s="16">
        <v>900.24</v>
      </c>
      <c r="F1441" s="1">
        <v>44914</v>
      </c>
      <c r="G1441" t="s">
        <v>2018</v>
      </c>
      <c r="H1441">
        <v>4</v>
      </c>
      <c r="I1441" s="12">
        <f>Table16[[#This Row],[price]]*Table16[[#This Row],[quantity]]</f>
        <v>2700.7200000000003</v>
      </c>
    </row>
    <row r="1442" spans="1:9" x14ac:dyDescent="0.3">
      <c r="A1442" t="s">
        <v>3458</v>
      </c>
      <c r="B1442" t="s">
        <v>279</v>
      </c>
      <c r="C1442" t="s">
        <v>2011</v>
      </c>
      <c r="D1442">
        <v>5</v>
      </c>
      <c r="E1442" s="16">
        <v>203.3</v>
      </c>
      <c r="F1442" s="1">
        <v>44964</v>
      </c>
      <c r="G1442" t="s">
        <v>2012</v>
      </c>
      <c r="H1442">
        <v>1</v>
      </c>
      <c r="I1442" s="12">
        <f>Table16[[#This Row],[price]]*Table16[[#This Row],[quantity]]</f>
        <v>1016.5</v>
      </c>
    </row>
    <row r="1443" spans="1:9" x14ac:dyDescent="0.3">
      <c r="A1443" t="s">
        <v>3452</v>
      </c>
      <c r="B1443" t="s">
        <v>279</v>
      </c>
      <c r="C1443" t="s">
        <v>2024</v>
      </c>
      <c r="D1443">
        <v>5</v>
      </c>
      <c r="E1443" s="16">
        <v>179.2</v>
      </c>
      <c r="F1443" s="1">
        <v>44984</v>
      </c>
      <c r="G1443" t="s">
        <v>2064</v>
      </c>
      <c r="H1443">
        <v>4</v>
      </c>
      <c r="I1443" s="12">
        <f>Table16[[#This Row],[price]]*Table16[[#This Row],[quantity]]</f>
        <v>896</v>
      </c>
    </row>
    <row r="1444" spans="1:9" x14ac:dyDescent="0.3">
      <c r="A1444" t="s">
        <v>3464</v>
      </c>
      <c r="B1444" t="s">
        <v>280</v>
      </c>
      <c r="C1444" t="s">
        <v>2001</v>
      </c>
      <c r="D1444">
        <v>1</v>
      </c>
      <c r="E1444" s="16">
        <v>300.08</v>
      </c>
      <c r="F1444" s="1">
        <v>44289</v>
      </c>
      <c r="G1444" t="s">
        <v>2004</v>
      </c>
      <c r="H1444">
        <v>1</v>
      </c>
      <c r="I1444" s="12">
        <f>Table16[[#This Row],[price]]*Table16[[#This Row],[quantity]]</f>
        <v>300.08</v>
      </c>
    </row>
    <row r="1445" spans="1:9" x14ac:dyDescent="0.3">
      <c r="A1445" t="s">
        <v>3462</v>
      </c>
      <c r="B1445" t="s">
        <v>280</v>
      </c>
      <c r="C1445" t="s">
        <v>2011</v>
      </c>
      <c r="D1445">
        <v>5</v>
      </c>
      <c r="E1445" s="16">
        <v>203.3</v>
      </c>
      <c r="F1445" s="1">
        <v>44386</v>
      </c>
      <c r="G1445" t="s">
        <v>2002</v>
      </c>
      <c r="H1445">
        <v>1</v>
      </c>
      <c r="I1445" s="12">
        <f>Table16[[#This Row],[price]]*Table16[[#This Row],[quantity]]</f>
        <v>1016.5</v>
      </c>
    </row>
    <row r="1446" spans="1:9" x14ac:dyDescent="0.3">
      <c r="A1446" t="s">
        <v>3461</v>
      </c>
      <c r="B1446" t="s">
        <v>280</v>
      </c>
      <c r="C1446" t="s">
        <v>2001</v>
      </c>
      <c r="D1446">
        <v>4</v>
      </c>
      <c r="E1446" s="16">
        <v>1200.32</v>
      </c>
      <c r="F1446" s="1">
        <v>44583</v>
      </c>
      <c r="G1446" t="s">
        <v>2012</v>
      </c>
      <c r="H1446">
        <v>2</v>
      </c>
      <c r="I1446" s="12">
        <f>Table16[[#This Row],[price]]*Table16[[#This Row],[quantity]]</f>
        <v>4801.28</v>
      </c>
    </row>
    <row r="1447" spans="1:9" x14ac:dyDescent="0.3">
      <c r="A1447" t="s">
        <v>3460</v>
      </c>
      <c r="B1447" t="s">
        <v>280</v>
      </c>
      <c r="C1447" t="s">
        <v>2008</v>
      </c>
      <c r="D1447">
        <v>1</v>
      </c>
      <c r="E1447" s="16">
        <v>5.23</v>
      </c>
      <c r="F1447" s="1">
        <v>44593</v>
      </c>
      <c r="G1447" t="s">
        <v>2020</v>
      </c>
      <c r="H1447">
        <v>4</v>
      </c>
      <c r="I1447" s="12">
        <f>Table16[[#This Row],[price]]*Table16[[#This Row],[quantity]]</f>
        <v>5.23</v>
      </c>
    </row>
    <row r="1448" spans="1:9" x14ac:dyDescent="0.3">
      <c r="A1448" t="s">
        <v>3463</v>
      </c>
      <c r="B1448" t="s">
        <v>280</v>
      </c>
      <c r="C1448" t="s">
        <v>2011</v>
      </c>
      <c r="D1448">
        <v>3</v>
      </c>
      <c r="E1448" s="16">
        <v>121.98</v>
      </c>
      <c r="F1448" s="1">
        <v>44968</v>
      </c>
      <c r="G1448" t="s">
        <v>2041</v>
      </c>
      <c r="H1448">
        <v>4</v>
      </c>
      <c r="I1448" s="12">
        <f>Table16[[#This Row],[price]]*Table16[[#This Row],[quantity]]</f>
        <v>365.94</v>
      </c>
    </row>
    <row r="1449" spans="1:9" x14ac:dyDescent="0.3">
      <c r="A1449" t="s">
        <v>3465</v>
      </c>
      <c r="B1449" t="s">
        <v>281</v>
      </c>
      <c r="C1449" t="s">
        <v>2008</v>
      </c>
      <c r="D1449">
        <v>5</v>
      </c>
      <c r="E1449" s="16">
        <v>26.15</v>
      </c>
      <c r="F1449" s="1">
        <v>44305</v>
      </c>
      <c r="G1449" t="s">
        <v>2064</v>
      </c>
      <c r="H1449">
        <v>4</v>
      </c>
      <c r="I1449" s="12">
        <f>Table16[[#This Row],[price]]*Table16[[#This Row],[quantity]]</f>
        <v>130.75</v>
      </c>
    </row>
    <row r="1450" spans="1:9" x14ac:dyDescent="0.3">
      <c r="A1450" t="s">
        <v>3468</v>
      </c>
      <c r="B1450" t="s">
        <v>281</v>
      </c>
      <c r="C1450" t="s">
        <v>2008</v>
      </c>
      <c r="D1450">
        <v>1</v>
      </c>
      <c r="E1450" s="16">
        <v>5.23</v>
      </c>
      <c r="F1450" s="1">
        <v>44361</v>
      </c>
      <c r="G1450" t="s">
        <v>2064</v>
      </c>
      <c r="H1450">
        <v>5</v>
      </c>
      <c r="I1450" s="12">
        <f>Table16[[#This Row],[price]]*Table16[[#This Row],[quantity]]</f>
        <v>5.23</v>
      </c>
    </row>
    <row r="1451" spans="1:9" x14ac:dyDescent="0.3">
      <c r="A1451" t="s">
        <v>3467</v>
      </c>
      <c r="B1451" t="s">
        <v>281</v>
      </c>
      <c r="C1451" t="s">
        <v>2024</v>
      </c>
      <c r="D1451">
        <v>1</v>
      </c>
      <c r="E1451" s="16">
        <v>35.840000000000003</v>
      </c>
      <c r="F1451" s="1">
        <v>44751</v>
      </c>
      <c r="G1451" t="s">
        <v>2018</v>
      </c>
      <c r="H1451">
        <v>3</v>
      </c>
      <c r="I1451" s="12">
        <f>Table16[[#This Row],[price]]*Table16[[#This Row],[quantity]]</f>
        <v>35.840000000000003</v>
      </c>
    </row>
    <row r="1452" spans="1:9" x14ac:dyDescent="0.3">
      <c r="A1452" t="s">
        <v>3469</v>
      </c>
      <c r="B1452" t="s">
        <v>281</v>
      </c>
      <c r="C1452" t="s">
        <v>2011</v>
      </c>
      <c r="D1452">
        <v>5</v>
      </c>
      <c r="E1452" s="16">
        <v>203.3</v>
      </c>
      <c r="F1452" s="1">
        <v>44892</v>
      </c>
      <c r="G1452" t="s">
        <v>2004</v>
      </c>
      <c r="H1452">
        <v>3</v>
      </c>
      <c r="I1452" s="12">
        <f>Table16[[#This Row],[price]]*Table16[[#This Row],[quantity]]</f>
        <v>1016.5</v>
      </c>
    </row>
    <row r="1453" spans="1:9" x14ac:dyDescent="0.3">
      <c r="A1453" t="s">
        <v>3466</v>
      </c>
      <c r="B1453" t="s">
        <v>281</v>
      </c>
      <c r="C1453" t="s">
        <v>2001</v>
      </c>
      <c r="D1453">
        <v>5</v>
      </c>
      <c r="E1453" s="16">
        <v>1500.4</v>
      </c>
      <c r="F1453" s="1">
        <v>44930</v>
      </c>
      <c r="G1453" t="s">
        <v>2064</v>
      </c>
      <c r="H1453">
        <v>4</v>
      </c>
      <c r="I1453" s="12">
        <f>Table16[[#This Row],[price]]*Table16[[#This Row],[quantity]]</f>
        <v>7502</v>
      </c>
    </row>
    <row r="1454" spans="1:9" x14ac:dyDescent="0.3">
      <c r="A1454" t="s">
        <v>3471</v>
      </c>
      <c r="B1454" t="s">
        <v>282</v>
      </c>
      <c r="C1454" t="s">
        <v>2017</v>
      </c>
      <c r="D1454">
        <v>1</v>
      </c>
      <c r="E1454" s="16">
        <v>1050</v>
      </c>
      <c r="F1454" s="1">
        <v>44277</v>
      </c>
      <c r="G1454" t="s">
        <v>2004</v>
      </c>
      <c r="H1454">
        <v>2</v>
      </c>
      <c r="I1454" s="12">
        <f>Table16[[#This Row],[price]]*Table16[[#This Row],[quantity]]</f>
        <v>1050</v>
      </c>
    </row>
    <row r="1455" spans="1:9" x14ac:dyDescent="0.3">
      <c r="A1455" t="s">
        <v>3473</v>
      </c>
      <c r="B1455" t="s">
        <v>282</v>
      </c>
      <c r="C1455" t="s">
        <v>2001</v>
      </c>
      <c r="D1455">
        <v>5</v>
      </c>
      <c r="E1455" s="16">
        <v>1500.4</v>
      </c>
      <c r="F1455" s="1">
        <v>44298</v>
      </c>
      <c r="G1455" t="s">
        <v>2027</v>
      </c>
      <c r="H1455">
        <v>2</v>
      </c>
      <c r="I1455" s="12">
        <f>Table16[[#This Row],[price]]*Table16[[#This Row],[quantity]]</f>
        <v>7502</v>
      </c>
    </row>
    <row r="1456" spans="1:9" x14ac:dyDescent="0.3">
      <c r="A1456" t="s">
        <v>3476</v>
      </c>
      <c r="B1456" t="s">
        <v>282</v>
      </c>
      <c r="C1456" t="s">
        <v>2024</v>
      </c>
      <c r="D1456">
        <v>3</v>
      </c>
      <c r="E1456" s="16">
        <v>107.52</v>
      </c>
      <c r="F1456" s="1">
        <v>44349</v>
      </c>
      <c r="G1456" t="s">
        <v>2004</v>
      </c>
      <c r="H1456">
        <v>2</v>
      </c>
      <c r="I1456" s="12">
        <f>Table16[[#This Row],[price]]*Table16[[#This Row],[quantity]]</f>
        <v>322.56</v>
      </c>
    </row>
    <row r="1457" spans="1:9" x14ac:dyDescent="0.3">
      <c r="A1457" t="s">
        <v>3470</v>
      </c>
      <c r="B1457" t="s">
        <v>282</v>
      </c>
      <c r="C1457" t="s">
        <v>2001</v>
      </c>
      <c r="D1457">
        <v>2</v>
      </c>
      <c r="E1457" s="16">
        <v>600.16</v>
      </c>
      <c r="F1457" s="1">
        <v>44480</v>
      </c>
      <c r="G1457" t="s">
        <v>2020</v>
      </c>
      <c r="H1457">
        <v>3</v>
      </c>
      <c r="I1457" s="12">
        <f>Table16[[#This Row],[price]]*Table16[[#This Row],[quantity]]</f>
        <v>1200.32</v>
      </c>
    </row>
    <row r="1458" spans="1:9" x14ac:dyDescent="0.3">
      <c r="A1458" t="s">
        <v>3472</v>
      </c>
      <c r="B1458" t="s">
        <v>282</v>
      </c>
      <c r="C1458" t="s">
        <v>2024</v>
      </c>
      <c r="D1458">
        <v>1</v>
      </c>
      <c r="E1458" s="16">
        <v>35.840000000000003</v>
      </c>
      <c r="F1458" s="1">
        <v>44757</v>
      </c>
      <c r="G1458" t="s">
        <v>2027</v>
      </c>
      <c r="H1458">
        <v>1</v>
      </c>
      <c r="I1458" s="12">
        <f>Table16[[#This Row],[price]]*Table16[[#This Row],[quantity]]</f>
        <v>35.840000000000003</v>
      </c>
    </row>
    <row r="1459" spans="1:9" x14ac:dyDescent="0.3">
      <c r="A1459" t="s">
        <v>3475</v>
      </c>
      <c r="B1459" t="s">
        <v>282</v>
      </c>
      <c r="C1459" t="s">
        <v>2008</v>
      </c>
      <c r="D1459">
        <v>5</v>
      </c>
      <c r="E1459" s="16">
        <v>26.15</v>
      </c>
      <c r="F1459" s="1">
        <v>44895</v>
      </c>
      <c r="G1459" t="s">
        <v>2027</v>
      </c>
      <c r="H1459">
        <v>1</v>
      </c>
      <c r="I1459" s="12">
        <f>Table16[[#This Row],[price]]*Table16[[#This Row],[quantity]]</f>
        <v>130.75</v>
      </c>
    </row>
    <row r="1460" spans="1:9" x14ac:dyDescent="0.3">
      <c r="A1460" t="s">
        <v>3474</v>
      </c>
      <c r="B1460" t="s">
        <v>282</v>
      </c>
      <c r="C1460" t="s">
        <v>2017</v>
      </c>
      <c r="D1460">
        <v>5</v>
      </c>
      <c r="E1460" s="16">
        <v>5250</v>
      </c>
      <c r="F1460" s="1">
        <v>44971</v>
      </c>
      <c r="G1460" t="s">
        <v>2058</v>
      </c>
      <c r="H1460">
        <v>2</v>
      </c>
      <c r="I1460" s="12">
        <f>Table16[[#This Row],[price]]*Table16[[#This Row],[quantity]]</f>
        <v>26250</v>
      </c>
    </row>
    <row r="1461" spans="1:9" x14ac:dyDescent="0.3">
      <c r="A1461" t="s">
        <v>3477</v>
      </c>
      <c r="B1461" t="s">
        <v>283</v>
      </c>
      <c r="C1461" t="s">
        <v>2057</v>
      </c>
      <c r="D1461">
        <v>2</v>
      </c>
      <c r="E1461" s="16">
        <v>23.46</v>
      </c>
      <c r="F1461" s="1">
        <v>44219</v>
      </c>
      <c r="G1461" t="s">
        <v>2002</v>
      </c>
      <c r="H1461">
        <v>3</v>
      </c>
      <c r="I1461" s="12">
        <f>Table16[[#This Row],[price]]*Table16[[#This Row],[quantity]]</f>
        <v>46.92</v>
      </c>
    </row>
    <row r="1462" spans="1:9" x14ac:dyDescent="0.3">
      <c r="A1462" t="s">
        <v>3479</v>
      </c>
      <c r="B1462" t="s">
        <v>283</v>
      </c>
      <c r="C1462" t="s">
        <v>2057</v>
      </c>
      <c r="D1462">
        <v>2</v>
      </c>
      <c r="E1462" s="16">
        <v>23.46</v>
      </c>
      <c r="F1462" s="1">
        <v>44368</v>
      </c>
      <c r="G1462" t="s">
        <v>2027</v>
      </c>
      <c r="H1462">
        <v>1</v>
      </c>
      <c r="I1462" s="12">
        <f>Table16[[#This Row],[price]]*Table16[[#This Row],[quantity]]</f>
        <v>46.92</v>
      </c>
    </row>
    <row r="1463" spans="1:9" x14ac:dyDescent="0.3">
      <c r="A1463" t="s">
        <v>3480</v>
      </c>
      <c r="B1463" t="s">
        <v>283</v>
      </c>
      <c r="C1463" t="s">
        <v>2017</v>
      </c>
      <c r="D1463">
        <v>4</v>
      </c>
      <c r="E1463" s="16">
        <v>4200</v>
      </c>
      <c r="F1463" s="1">
        <v>44452</v>
      </c>
      <c r="G1463" t="s">
        <v>2027</v>
      </c>
      <c r="H1463">
        <v>5</v>
      </c>
      <c r="I1463" s="12">
        <f>Table16[[#This Row],[price]]*Table16[[#This Row],[quantity]]</f>
        <v>16800</v>
      </c>
    </row>
    <row r="1464" spans="1:9" x14ac:dyDescent="0.3">
      <c r="A1464" t="s">
        <v>3478</v>
      </c>
      <c r="B1464" t="s">
        <v>283</v>
      </c>
      <c r="C1464" t="s">
        <v>2015</v>
      </c>
      <c r="D1464">
        <v>1</v>
      </c>
      <c r="E1464" s="16">
        <v>600.16999999999996</v>
      </c>
      <c r="F1464" s="1">
        <v>44561</v>
      </c>
      <c r="G1464" t="s">
        <v>2027</v>
      </c>
      <c r="H1464">
        <v>1</v>
      </c>
      <c r="I1464" s="12">
        <f>Table16[[#This Row],[price]]*Table16[[#This Row],[quantity]]</f>
        <v>600.16999999999996</v>
      </c>
    </row>
    <row r="1465" spans="1:9" x14ac:dyDescent="0.3">
      <c r="A1465" t="s">
        <v>3482</v>
      </c>
      <c r="B1465" t="s">
        <v>283</v>
      </c>
      <c r="C1465" t="s">
        <v>2008</v>
      </c>
      <c r="D1465">
        <v>1</v>
      </c>
      <c r="E1465" s="16">
        <v>5.23</v>
      </c>
      <c r="F1465" s="1">
        <v>44631</v>
      </c>
      <c r="G1465" t="s">
        <v>2004</v>
      </c>
      <c r="H1465">
        <v>1</v>
      </c>
      <c r="I1465" s="12">
        <f>Table16[[#This Row],[price]]*Table16[[#This Row],[quantity]]</f>
        <v>5.23</v>
      </c>
    </row>
    <row r="1466" spans="1:9" x14ac:dyDescent="0.3">
      <c r="A1466" t="s">
        <v>3481</v>
      </c>
      <c r="B1466" t="s">
        <v>283</v>
      </c>
      <c r="C1466" t="s">
        <v>2057</v>
      </c>
      <c r="D1466">
        <v>4</v>
      </c>
      <c r="E1466" s="16">
        <v>46.92</v>
      </c>
      <c r="F1466" s="1">
        <v>44863</v>
      </c>
      <c r="G1466" t="s">
        <v>2018</v>
      </c>
      <c r="H1466">
        <v>5</v>
      </c>
      <c r="I1466" s="12">
        <f>Table16[[#This Row],[price]]*Table16[[#This Row],[quantity]]</f>
        <v>187.68</v>
      </c>
    </row>
    <row r="1467" spans="1:9" x14ac:dyDescent="0.3">
      <c r="A1467" t="s">
        <v>3487</v>
      </c>
      <c r="B1467" t="s">
        <v>284</v>
      </c>
      <c r="C1467" t="s">
        <v>2001</v>
      </c>
      <c r="D1467">
        <v>5</v>
      </c>
      <c r="E1467" s="16">
        <v>1500.4</v>
      </c>
      <c r="F1467" s="1">
        <v>44310</v>
      </c>
      <c r="G1467" t="s">
        <v>2058</v>
      </c>
      <c r="H1467">
        <v>3</v>
      </c>
      <c r="I1467" s="12">
        <f>Table16[[#This Row],[price]]*Table16[[#This Row],[quantity]]</f>
        <v>7502</v>
      </c>
    </row>
    <row r="1468" spans="1:9" x14ac:dyDescent="0.3">
      <c r="A1468" t="s">
        <v>3483</v>
      </c>
      <c r="B1468" t="s">
        <v>284</v>
      </c>
      <c r="C1468" t="s">
        <v>2024</v>
      </c>
      <c r="D1468">
        <v>4</v>
      </c>
      <c r="E1468" s="16">
        <v>143.36000000000001</v>
      </c>
      <c r="F1468" s="1">
        <v>44508</v>
      </c>
      <c r="G1468" t="s">
        <v>2027</v>
      </c>
      <c r="H1468">
        <v>3</v>
      </c>
      <c r="I1468" s="12">
        <f>Table16[[#This Row],[price]]*Table16[[#This Row],[quantity]]</f>
        <v>573.44000000000005</v>
      </c>
    </row>
    <row r="1469" spans="1:9" x14ac:dyDescent="0.3">
      <c r="A1469" t="s">
        <v>3484</v>
      </c>
      <c r="B1469" t="s">
        <v>284</v>
      </c>
      <c r="C1469" t="s">
        <v>2008</v>
      </c>
      <c r="D1469">
        <v>4</v>
      </c>
      <c r="E1469" s="16">
        <v>20.92</v>
      </c>
      <c r="F1469" s="1">
        <v>44604</v>
      </c>
      <c r="G1469" t="s">
        <v>2018</v>
      </c>
      <c r="H1469">
        <v>4</v>
      </c>
      <c r="I1469" s="12">
        <f>Table16[[#This Row],[price]]*Table16[[#This Row],[quantity]]</f>
        <v>83.68</v>
      </c>
    </row>
    <row r="1470" spans="1:9" x14ac:dyDescent="0.3">
      <c r="A1470" t="s">
        <v>3486</v>
      </c>
      <c r="B1470" t="s">
        <v>284</v>
      </c>
      <c r="C1470" t="s">
        <v>2011</v>
      </c>
      <c r="D1470">
        <v>4</v>
      </c>
      <c r="E1470" s="16">
        <v>162.63999999999999</v>
      </c>
      <c r="F1470" s="1">
        <v>44789</v>
      </c>
      <c r="G1470" t="s">
        <v>2027</v>
      </c>
      <c r="H1470">
        <v>2</v>
      </c>
      <c r="I1470" s="12">
        <f>Table16[[#This Row],[price]]*Table16[[#This Row],[quantity]]</f>
        <v>650.55999999999995</v>
      </c>
    </row>
    <row r="1471" spans="1:9" x14ac:dyDescent="0.3">
      <c r="A1471" t="s">
        <v>3485</v>
      </c>
      <c r="B1471" t="s">
        <v>284</v>
      </c>
      <c r="C1471" t="s">
        <v>2008</v>
      </c>
      <c r="D1471">
        <v>3</v>
      </c>
      <c r="E1471" s="16">
        <v>15.69</v>
      </c>
      <c r="F1471" s="1">
        <v>44798</v>
      </c>
      <c r="G1471" t="s">
        <v>2027</v>
      </c>
      <c r="H1471">
        <v>4</v>
      </c>
      <c r="I1471" s="12">
        <f>Table16[[#This Row],[price]]*Table16[[#This Row],[quantity]]</f>
        <v>47.07</v>
      </c>
    </row>
    <row r="1472" spans="1:9" x14ac:dyDescent="0.3">
      <c r="A1472" t="s">
        <v>3488</v>
      </c>
      <c r="B1472" t="s">
        <v>284</v>
      </c>
      <c r="C1472" t="s">
        <v>2001</v>
      </c>
      <c r="D1472">
        <v>3</v>
      </c>
      <c r="E1472" s="16">
        <v>900.24</v>
      </c>
      <c r="F1472" s="1">
        <v>44831</v>
      </c>
      <c r="G1472" t="s">
        <v>2027</v>
      </c>
      <c r="H1472">
        <v>5</v>
      </c>
      <c r="I1472" s="12">
        <f>Table16[[#This Row],[price]]*Table16[[#This Row],[quantity]]</f>
        <v>2700.7200000000003</v>
      </c>
    </row>
    <row r="1473" spans="1:9" x14ac:dyDescent="0.3">
      <c r="A1473" t="s">
        <v>3489</v>
      </c>
      <c r="B1473" t="s">
        <v>284</v>
      </c>
      <c r="C1473" t="s">
        <v>2001</v>
      </c>
      <c r="D1473">
        <v>1</v>
      </c>
      <c r="E1473" s="16">
        <v>300.08</v>
      </c>
      <c r="F1473" s="1">
        <v>44888</v>
      </c>
      <c r="G1473" t="s">
        <v>2027</v>
      </c>
      <c r="H1473">
        <v>4</v>
      </c>
      <c r="I1473" s="12">
        <f>Table16[[#This Row],[price]]*Table16[[#This Row],[quantity]]</f>
        <v>300.08</v>
      </c>
    </row>
    <row r="1474" spans="1:9" x14ac:dyDescent="0.3">
      <c r="A1474" t="s">
        <v>3493</v>
      </c>
      <c r="B1474" t="s">
        <v>285</v>
      </c>
      <c r="C1474" t="s">
        <v>2001</v>
      </c>
      <c r="D1474">
        <v>4</v>
      </c>
      <c r="E1474" s="16">
        <v>1200.32</v>
      </c>
      <c r="F1474" s="1">
        <v>44409</v>
      </c>
      <c r="G1474" t="s">
        <v>2009</v>
      </c>
      <c r="H1474">
        <v>1</v>
      </c>
      <c r="I1474" s="12">
        <f>Table16[[#This Row],[price]]*Table16[[#This Row],[quantity]]</f>
        <v>4801.28</v>
      </c>
    </row>
    <row r="1475" spans="1:9" x14ac:dyDescent="0.3">
      <c r="A1475" t="s">
        <v>3490</v>
      </c>
      <c r="B1475" t="s">
        <v>285</v>
      </c>
      <c r="C1475" t="s">
        <v>2008</v>
      </c>
      <c r="D1475">
        <v>4</v>
      </c>
      <c r="E1475" s="16">
        <v>20.92</v>
      </c>
      <c r="F1475" s="1">
        <v>44453</v>
      </c>
      <c r="G1475" t="s">
        <v>2020</v>
      </c>
      <c r="H1475">
        <v>3</v>
      </c>
      <c r="I1475" s="12">
        <f>Table16[[#This Row],[price]]*Table16[[#This Row],[quantity]]</f>
        <v>83.68</v>
      </c>
    </row>
    <row r="1476" spans="1:9" x14ac:dyDescent="0.3">
      <c r="A1476" t="s">
        <v>3492</v>
      </c>
      <c r="B1476" t="s">
        <v>285</v>
      </c>
      <c r="C1476" t="s">
        <v>2008</v>
      </c>
      <c r="D1476">
        <v>5</v>
      </c>
      <c r="E1476" s="16">
        <v>26.15</v>
      </c>
      <c r="F1476" s="1">
        <v>44635</v>
      </c>
      <c r="G1476" t="s">
        <v>2064</v>
      </c>
      <c r="H1476">
        <v>4</v>
      </c>
      <c r="I1476" s="12">
        <f>Table16[[#This Row],[price]]*Table16[[#This Row],[quantity]]</f>
        <v>130.75</v>
      </c>
    </row>
    <row r="1477" spans="1:9" x14ac:dyDescent="0.3">
      <c r="A1477" t="s">
        <v>3491</v>
      </c>
      <c r="B1477" t="s">
        <v>285</v>
      </c>
      <c r="C1477" t="s">
        <v>2001</v>
      </c>
      <c r="D1477">
        <v>4</v>
      </c>
      <c r="E1477" s="16">
        <v>1200.32</v>
      </c>
      <c r="F1477" s="1">
        <v>44685</v>
      </c>
      <c r="G1477" t="s">
        <v>2004</v>
      </c>
      <c r="H1477">
        <v>1</v>
      </c>
      <c r="I1477" s="12">
        <f>Table16[[#This Row],[price]]*Table16[[#This Row],[quantity]]</f>
        <v>4801.28</v>
      </c>
    </row>
    <row r="1478" spans="1:9" x14ac:dyDescent="0.3">
      <c r="A1478" t="s">
        <v>3494</v>
      </c>
      <c r="B1478" t="s">
        <v>285</v>
      </c>
      <c r="C1478" t="s">
        <v>2001</v>
      </c>
      <c r="D1478">
        <v>1</v>
      </c>
      <c r="E1478" s="16">
        <v>300.08</v>
      </c>
      <c r="F1478" s="1">
        <v>44899</v>
      </c>
      <c r="G1478" t="s">
        <v>2027</v>
      </c>
      <c r="H1478">
        <v>1</v>
      </c>
      <c r="I1478" s="12">
        <f>Table16[[#This Row],[price]]*Table16[[#This Row],[quantity]]</f>
        <v>300.08</v>
      </c>
    </row>
    <row r="1479" spans="1:9" x14ac:dyDescent="0.3">
      <c r="A1479" t="s">
        <v>3495</v>
      </c>
      <c r="B1479" t="s">
        <v>285</v>
      </c>
      <c r="C1479" t="s">
        <v>2008</v>
      </c>
      <c r="D1479">
        <v>5</v>
      </c>
      <c r="E1479" s="16">
        <v>26.15</v>
      </c>
      <c r="F1479" s="1">
        <v>44939</v>
      </c>
      <c r="G1479" t="s">
        <v>2027</v>
      </c>
      <c r="H1479">
        <v>1</v>
      </c>
      <c r="I1479" s="12">
        <f>Table16[[#This Row],[price]]*Table16[[#This Row],[quantity]]</f>
        <v>130.75</v>
      </c>
    </row>
    <row r="1480" spans="1:9" x14ac:dyDescent="0.3">
      <c r="A1480" t="s">
        <v>3498</v>
      </c>
      <c r="B1480" t="s">
        <v>286</v>
      </c>
      <c r="C1480" t="s">
        <v>2011</v>
      </c>
      <c r="D1480">
        <v>3</v>
      </c>
      <c r="E1480" s="16">
        <v>121.98</v>
      </c>
      <c r="F1480" s="1">
        <v>44253</v>
      </c>
      <c r="G1480" t="s">
        <v>2041</v>
      </c>
      <c r="H1480">
        <v>3</v>
      </c>
      <c r="I1480" s="12">
        <f>Table16[[#This Row],[price]]*Table16[[#This Row],[quantity]]</f>
        <v>365.94</v>
      </c>
    </row>
    <row r="1481" spans="1:9" x14ac:dyDescent="0.3">
      <c r="A1481" t="s">
        <v>3496</v>
      </c>
      <c r="B1481" t="s">
        <v>286</v>
      </c>
      <c r="C1481" t="s">
        <v>2008</v>
      </c>
      <c r="D1481">
        <v>3</v>
      </c>
      <c r="E1481" s="16">
        <v>15.69</v>
      </c>
      <c r="F1481" s="1">
        <v>44271</v>
      </c>
      <c r="G1481" t="s">
        <v>2058</v>
      </c>
      <c r="H1481">
        <v>5</v>
      </c>
      <c r="I1481" s="12">
        <f>Table16[[#This Row],[price]]*Table16[[#This Row],[quantity]]</f>
        <v>47.07</v>
      </c>
    </row>
    <row r="1482" spans="1:9" x14ac:dyDescent="0.3">
      <c r="A1482" t="s">
        <v>3497</v>
      </c>
      <c r="B1482" t="s">
        <v>286</v>
      </c>
      <c r="C1482" t="s">
        <v>2015</v>
      </c>
      <c r="D1482">
        <v>4</v>
      </c>
      <c r="E1482" s="16">
        <v>2400.6799999999998</v>
      </c>
      <c r="F1482" s="1">
        <v>44643</v>
      </c>
      <c r="G1482" t="s">
        <v>2004</v>
      </c>
      <c r="H1482">
        <v>4</v>
      </c>
      <c r="I1482" s="12">
        <f>Table16[[#This Row],[price]]*Table16[[#This Row],[quantity]]</f>
        <v>9602.7199999999993</v>
      </c>
    </row>
    <row r="1483" spans="1:9" x14ac:dyDescent="0.3">
      <c r="A1483" t="s">
        <v>3500</v>
      </c>
      <c r="B1483" t="s">
        <v>286</v>
      </c>
      <c r="C1483" t="s">
        <v>2006</v>
      </c>
      <c r="D1483">
        <v>3</v>
      </c>
      <c r="E1483" s="16">
        <v>45.45</v>
      </c>
      <c r="F1483" s="1">
        <v>44751</v>
      </c>
      <c r="G1483" t="s">
        <v>2018</v>
      </c>
      <c r="H1483">
        <v>5</v>
      </c>
      <c r="I1483" s="12">
        <f>Table16[[#This Row],[price]]*Table16[[#This Row],[quantity]]</f>
        <v>136.35000000000002</v>
      </c>
    </row>
    <row r="1484" spans="1:9" x14ac:dyDescent="0.3">
      <c r="A1484" t="s">
        <v>3499</v>
      </c>
      <c r="B1484" t="s">
        <v>286</v>
      </c>
      <c r="C1484" t="s">
        <v>2001</v>
      </c>
      <c r="D1484">
        <v>4</v>
      </c>
      <c r="E1484" s="16">
        <v>1200.32</v>
      </c>
      <c r="F1484" s="1">
        <v>44846</v>
      </c>
      <c r="G1484" t="s">
        <v>2004</v>
      </c>
      <c r="H1484">
        <v>5</v>
      </c>
      <c r="I1484" s="12">
        <f>Table16[[#This Row],[price]]*Table16[[#This Row],[quantity]]</f>
        <v>4801.28</v>
      </c>
    </row>
    <row r="1485" spans="1:9" x14ac:dyDescent="0.3">
      <c r="A1485" t="s">
        <v>3501</v>
      </c>
      <c r="B1485" t="s">
        <v>287</v>
      </c>
      <c r="C1485" t="s">
        <v>2001</v>
      </c>
      <c r="D1485">
        <v>5</v>
      </c>
      <c r="E1485" s="16">
        <v>1500.4</v>
      </c>
      <c r="F1485" s="1">
        <v>44242</v>
      </c>
      <c r="G1485" t="s">
        <v>2012</v>
      </c>
      <c r="H1485">
        <v>4</v>
      </c>
      <c r="I1485" s="12">
        <f>Table16[[#This Row],[price]]*Table16[[#This Row],[quantity]]</f>
        <v>7502</v>
      </c>
    </row>
    <row r="1486" spans="1:9" x14ac:dyDescent="0.3">
      <c r="A1486" t="s">
        <v>3504</v>
      </c>
      <c r="B1486" t="s">
        <v>287</v>
      </c>
      <c r="C1486" t="s">
        <v>2008</v>
      </c>
      <c r="D1486">
        <v>4</v>
      </c>
      <c r="E1486" s="16">
        <v>20.92</v>
      </c>
      <c r="F1486" s="1">
        <v>44312</v>
      </c>
      <c r="G1486" t="s">
        <v>2064</v>
      </c>
      <c r="H1486">
        <v>1</v>
      </c>
      <c r="I1486" s="12">
        <f>Table16[[#This Row],[price]]*Table16[[#This Row],[quantity]]</f>
        <v>83.68</v>
      </c>
    </row>
    <row r="1487" spans="1:9" x14ac:dyDescent="0.3">
      <c r="A1487" t="s">
        <v>3502</v>
      </c>
      <c r="B1487" t="s">
        <v>287</v>
      </c>
      <c r="C1487" t="s">
        <v>2001</v>
      </c>
      <c r="D1487">
        <v>4</v>
      </c>
      <c r="E1487" s="16">
        <v>1200.32</v>
      </c>
      <c r="F1487" s="1">
        <v>44561</v>
      </c>
      <c r="G1487" t="s">
        <v>2027</v>
      </c>
      <c r="H1487">
        <v>5</v>
      </c>
      <c r="I1487" s="12">
        <f>Table16[[#This Row],[price]]*Table16[[#This Row],[quantity]]</f>
        <v>4801.28</v>
      </c>
    </row>
    <row r="1488" spans="1:9" x14ac:dyDescent="0.3">
      <c r="A1488" t="s">
        <v>3503</v>
      </c>
      <c r="B1488" t="s">
        <v>287</v>
      </c>
      <c r="C1488" t="s">
        <v>2057</v>
      </c>
      <c r="D1488">
        <v>4</v>
      </c>
      <c r="E1488" s="16">
        <v>46.92</v>
      </c>
      <c r="F1488" s="1">
        <v>44695</v>
      </c>
      <c r="G1488" t="s">
        <v>2020</v>
      </c>
      <c r="H1488">
        <v>3</v>
      </c>
      <c r="I1488" s="12">
        <f>Table16[[#This Row],[price]]*Table16[[#This Row],[quantity]]</f>
        <v>187.68</v>
      </c>
    </row>
    <row r="1489" spans="1:9" x14ac:dyDescent="0.3">
      <c r="A1489" t="s">
        <v>3506</v>
      </c>
      <c r="B1489" t="s">
        <v>288</v>
      </c>
      <c r="C1489" t="s">
        <v>2024</v>
      </c>
      <c r="D1489">
        <v>3</v>
      </c>
      <c r="E1489" s="16">
        <v>107.52</v>
      </c>
      <c r="F1489" s="1">
        <v>44461</v>
      </c>
      <c r="G1489" t="s">
        <v>2018</v>
      </c>
      <c r="H1489">
        <v>1</v>
      </c>
      <c r="I1489" s="12">
        <f>Table16[[#This Row],[price]]*Table16[[#This Row],[quantity]]</f>
        <v>322.56</v>
      </c>
    </row>
    <row r="1490" spans="1:9" x14ac:dyDescent="0.3">
      <c r="A1490" t="s">
        <v>3508</v>
      </c>
      <c r="B1490" t="s">
        <v>288</v>
      </c>
      <c r="C1490" t="s">
        <v>2006</v>
      </c>
      <c r="D1490">
        <v>1</v>
      </c>
      <c r="E1490" s="16">
        <v>15.15</v>
      </c>
      <c r="F1490" s="1">
        <v>44571</v>
      </c>
      <c r="G1490" t="s">
        <v>2027</v>
      </c>
      <c r="H1490">
        <v>5</v>
      </c>
      <c r="I1490" s="12">
        <f>Table16[[#This Row],[price]]*Table16[[#This Row],[quantity]]</f>
        <v>15.15</v>
      </c>
    </row>
    <row r="1491" spans="1:9" x14ac:dyDescent="0.3">
      <c r="A1491" t="s">
        <v>3509</v>
      </c>
      <c r="B1491" t="s">
        <v>288</v>
      </c>
      <c r="C1491" t="s">
        <v>2015</v>
      </c>
      <c r="D1491">
        <v>5</v>
      </c>
      <c r="E1491" s="16">
        <v>3000.85</v>
      </c>
      <c r="F1491" s="1">
        <v>44613</v>
      </c>
      <c r="G1491" t="s">
        <v>2027</v>
      </c>
      <c r="H1491">
        <v>3</v>
      </c>
      <c r="I1491" s="12">
        <f>Table16[[#This Row],[price]]*Table16[[#This Row],[quantity]]</f>
        <v>15004.25</v>
      </c>
    </row>
    <row r="1492" spans="1:9" x14ac:dyDescent="0.3">
      <c r="A1492" t="s">
        <v>3505</v>
      </c>
      <c r="B1492" t="s">
        <v>288</v>
      </c>
      <c r="C1492" t="s">
        <v>2001</v>
      </c>
      <c r="D1492">
        <v>4</v>
      </c>
      <c r="E1492" s="16">
        <v>1200.32</v>
      </c>
      <c r="F1492" s="1">
        <v>44634</v>
      </c>
      <c r="G1492" t="s">
        <v>2009</v>
      </c>
      <c r="H1492">
        <v>2</v>
      </c>
      <c r="I1492" s="12">
        <f>Table16[[#This Row],[price]]*Table16[[#This Row],[quantity]]</f>
        <v>4801.28</v>
      </c>
    </row>
    <row r="1493" spans="1:9" x14ac:dyDescent="0.3">
      <c r="A1493" t="s">
        <v>3510</v>
      </c>
      <c r="B1493" t="s">
        <v>288</v>
      </c>
      <c r="C1493" t="s">
        <v>2006</v>
      </c>
      <c r="D1493">
        <v>4</v>
      </c>
      <c r="E1493" s="16">
        <v>60.6</v>
      </c>
      <c r="F1493" s="1">
        <v>44815</v>
      </c>
      <c r="G1493" t="s">
        <v>2027</v>
      </c>
      <c r="H1493">
        <v>3</v>
      </c>
      <c r="I1493" s="12">
        <f>Table16[[#This Row],[price]]*Table16[[#This Row],[quantity]]</f>
        <v>242.4</v>
      </c>
    </row>
    <row r="1494" spans="1:9" x14ac:dyDescent="0.3">
      <c r="A1494" t="s">
        <v>3507</v>
      </c>
      <c r="B1494" t="s">
        <v>288</v>
      </c>
      <c r="C1494" t="s">
        <v>2017</v>
      </c>
      <c r="D1494">
        <v>1</v>
      </c>
      <c r="E1494" s="16">
        <v>1050</v>
      </c>
      <c r="F1494" s="1">
        <v>44980</v>
      </c>
      <c r="G1494" t="s">
        <v>2012</v>
      </c>
      <c r="H1494">
        <v>2</v>
      </c>
      <c r="I1494" s="12">
        <f>Table16[[#This Row],[price]]*Table16[[#This Row],[quantity]]</f>
        <v>1050</v>
      </c>
    </row>
    <row r="1495" spans="1:9" x14ac:dyDescent="0.3">
      <c r="A1495" t="s">
        <v>3513</v>
      </c>
      <c r="B1495" t="s">
        <v>289</v>
      </c>
      <c r="C1495" t="s">
        <v>2001</v>
      </c>
      <c r="D1495">
        <v>1</v>
      </c>
      <c r="E1495" s="16">
        <v>300.08</v>
      </c>
      <c r="F1495" s="1">
        <v>44214</v>
      </c>
      <c r="G1495" t="s">
        <v>2004</v>
      </c>
      <c r="H1495">
        <v>4</v>
      </c>
      <c r="I1495" s="12">
        <f>Table16[[#This Row],[price]]*Table16[[#This Row],[quantity]]</f>
        <v>300.08</v>
      </c>
    </row>
    <row r="1496" spans="1:9" x14ac:dyDescent="0.3">
      <c r="A1496" t="s">
        <v>3512</v>
      </c>
      <c r="B1496" t="s">
        <v>289</v>
      </c>
      <c r="C1496" t="s">
        <v>2001</v>
      </c>
      <c r="D1496">
        <v>2</v>
      </c>
      <c r="E1496" s="16">
        <v>600.16</v>
      </c>
      <c r="F1496" s="1">
        <v>44483</v>
      </c>
      <c r="G1496" t="s">
        <v>2027</v>
      </c>
      <c r="H1496">
        <v>3</v>
      </c>
      <c r="I1496" s="12">
        <f>Table16[[#This Row],[price]]*Table16[[#This Row],[quantity]]</f>
        <v>1200.32</v>
      </c>
    </row>
    <row r="1497" spans="1:9" x14ac:dyDescent="0.3">
      <c r="A1497" t="s">
        <v>3511</v>
      </c>
      <c r="B1497" t="s">
        <v>289</v>
      </c>
      <c r="C1497" t="s">
        <v>2006</v>
      </c>
      <c r="D1497">
        <v>1</v>
      </c>
      <c r="E1497" s="16">
        <v>15.15</v>
      </c>
      <c r="F1497" s="1">
        <v>44505</v>
      </c>
      <c r="G1497" t="s">
        <v>2012</v>
      </c>
      <c r="H1497">
        <v>5</v>
      </c>
      <c r="I1497" s="12">
        <f>Table16[[#This Row],[price]]*Table16[[#This Row],[quantity]]</f>
        <v>15.15</v>
      </c>
    </row>
    <row r="1498" spans="1:9" x14ac:dyDescent="0.3">
      <c r="A1498" t="s">
        <v>3516</v>
      </c>
      <c r="B1498" t="s">
        <v>290</v>
      </c>
      <c r="C1498" t="s">
        <v>2001</v>
      </c>
      <c r="D1498">
        <v>5</v>
      </c>
      <c r="E1498" s="16">
        <v>1500.4</v>
      </c>
      <c r="F1498" s="1">
        <v>44384</v>
      </c>
      <c r="G1498" t="s">
        <v>2041</v>
      </c>
      <c r="H1498">
        <v>2</v>
      </c>
      <c r="I1498" s="12">
        <f>Table16[[#This Row],[price]]*Table16[[#This Row],[quantity]]</f>
        <v>7502</v>
      </c>
    </row>
    <row r="1499" spans="1:9" x14ac:dyDescent="0.3">
      <c r="A1499" t="s">
        <v>3515</v>
      </c>
      <c r="B1499" t="s">
        <v>290</v>
      </c>
      <c r="C1499" t="s">
        <v>2015</v>
      </c>
      <c r="D1499">
        <v>2</v>
      </c>
      <c r="E1499" s="16">
        <v>1200.3399999999999</v>
      </c>
      <c r="F1499" s="1">
        <v>44552</v>
      </c>
      <c r="G1499" t="s">
        <v>2004</v>
      </c>
      <c r="H1499">
        <v>2</v>
      </c>
      <c r="I1499" s="12">
        <f>Table16[[#This Row],[price]]*Table16[[#This Row],[quantity]]</f>
        <v>2400.6799999999998</v>
      </c>
    </row>
    <row r="1500" spans="1:9" x14ac:dyDescent="0.3">
      <c r="A1500" t="s">
        <v>3514</v>
      </c>
      <c r="B1500" t="s">
        <v>290</v>
      </c>
      <c r="C1500" t="s">
        <v>2011</v>
      </c>
      <c r="D1500">
        <v>4</v>
      </c>
      <c r="E1500" s="16">
        <v>162.63999999999999</v>
      </c>
      <c r="F1500" s="1">
        <v>44884</v>
      </c>
      <c r="G1500" t="s">
        <v>2004</v>
      </c>
      <c r="H1500">
        <v>5</v>
      </c>
      <c r="I1500" s="12">
        <f>Table16[[#This Row],[price]]*Table16[[#This Row],[quantity]]</f>
        <v>650.55999999999995</v>
      </c>
    </row>
    <row r="1501" spans="1:9" x14ac:dyDescent="0.3">
      <c r="A1501" t="s">
        <v>3519</v>
      </c>
      <c r="B1501" t="s">
        <v>291</v>
      </c>
      <c r="C1501" t="s">
        <v>2006</v>
      </c>
      <c r="D1501">
        <v>5</v>
      </c>
      <c r="E1501" s="16">
        <v>75.75</v>
      </c>
      <c r="F1501" s="1">
        <v>44201</v>
      </c>
      <c r="G1501" t="s">
        <v>2004</v>
      </c>
      <c r="H1501">
        <v>2</v>
      </c>
      <c r="I1501" s="12">
        <f>Table16[[#This Row],[price]]*Table16[[#This Row],[quantity]]</f>
        <v>378.75</v>
      </c>
    </row>
    <row r="1502" spans="1:9" x14ac:dyDescent="0.3">
      <c r="A1502" t="s">
        <v>3517</v>
      </c>
      <c r="B1502" t="s">
        <v>291</v>
      </c>
      <c r="C1502" t="s">
        <v>2008</v>
      </c>
      <c r="D1502">
        <v>2</v>
      </c>
      <c r="E1502" s="16">
        <v>10.46</v>
      </c>
      <c r="F1502" s="1">
        <v>44202</v>
      </c>
      <c r="G1502" t="s">
        <v>2058</v>
      </c>
      <c r="H1502">
        <v>3</v>
      </c>
      <c r="I1502" s="12">
        <f>Table16[[#This Row],[price]]*Table16[[#This Row],[quantity]]</f>
        <v>20.92</v>
      </c>
    </row>
    <row r="1503" spans="1:9" x14ac:dyDescent="0.3">
      <c r="A1503" t="s">
        <v>3521</v>
      </c>
      <c r="B1503" t="s">
        <v>291</v>
      </c>
      <c r="C1503" t="s">
        <v>2001</v>
      </c>
      <c r="D1503">
        <v>4</v>
      </c>
      <c r="E1503" s="16">
        <v>1200.32</v>
      </c>
      <c r="F1503" s="1">
        <v>44297</v>
      </c>
      <c r="G1503" t="s">
        <v>2004</v>
      </c>
      <c r="H1503">
        <v>4</v>
      </c>
      <c r="I1503" s="12">
        <f>Table16[[#This Row],[price]]*Table16[[#This Row],[quantity]]</f>
        <v>4801.28</v>
      </c>
    </row>
    <row r="1504" spans="1:9" x14ac:dyDescent="0.3">
      <c r="A1504" t="s">
        <v>3520</v>
      </c>
      <c r="B1504" t="s">
        <v>291</v>
      </c>
      <c r="C1504" t="s">
        <v>2001</v>
      </c>
      <c r="D1504">
        <v>3</v>
      </c>
      <c r="E1504" s="16">
        <v>900.24</v>
      </c>
      <c r="F1504" s="1">
        <v>44303</v>
      </c>
      <c r="G1504" t="s">
        <v>2020</v>
      </c>
      <c r="H1504">
        <v>4</v>
      </c>
      <c r="I1504" s="12">
        <f>Table16[[#This Row],[price]]*Table16[[#This Row],[quantity]]</f>
        <v>2700.7200000000003</v>
      </c>
    </row>
    <row r="1505" spans="1:9" x14ac:dyDescent="0.3">
      <c r="A1505" t="s">
        <v>3518</v>
      </c>
      <c r="B1505" t="s">
        <v>291</v>
      </c>
      <c r="C1505" t="s">
        <v>2011</v>
      </c>
      <c r="D1505">
        <v>2</v>
      </c>
      <c r="E1505" s="16">
        <v>81.319999999999993</v>
      </c>
      <c r="F1505" s="1">
        <v>44371</v>
      </c>
      <c r="G1505" t="s">
        <v>2020</v>
      </c>
      <c r="H1505">
        <v>2</v>
      </c>
      <c r="I1505" s="12">
        <f>Table16[[#This Row],[price]]*Table16[[#This Row],[quantity]]</f>
        <v>162.63999999999999</v>
      </c>
    </row>
    <row r="1506" spans="1:9" x14ac:dyDescent="0.3">
      <c r="A1506" t="s">
        <v>3523</v>
      </c>
      <c r="B1506" t="s">
        <v>291</v>
      </c>
      <c r="C1506" t="s">
        <v>2001</v>
      </c>
      <c r="D1506">
        <v>1</v>
      </c>
      <c r="E1506" s="16">
        <v>300.08</v>
      </c>
      <c r="F1506" s="1">
        <v>44479</v>
      </c>
      <c r="G1506" t="s">
        <v>2002</v>
      </c>
      <c r="H1506">
        <v>3</v>
      </c>
      <c r="I1506" s="12">
        <f>Table16[[#This Row],[price]]*Table16[[#This Row],[quantity]]</f>
        <v>300.08</v>
      </c>
    </row>
    <row r="1507" spans="1:9" x14ac:dyDescent="0.3">
      <c r="A1507" t="s">
        <v>3522</v>
      </c>
      <c r="B1507" t="s">
        <v>291</v>
      </c>
      <c r="C1507" t="s">
        <v>2001</v>
      </c>
      <c r="D1507">
        <v>2</v>
      </c>
      <c r="E1507" s="16">
        <v>600.16</v>
      </c>
      <c r="F1507" s="1">
        <v>44646</v>
      </c>
      <c r="G1507" t="s">
        <v>2002</v>
      </c>
      <c r="H1507">
        <v>1</v>
      </c>
      <c r="I1507" s="12">
        <f>Table16[[#This Row],[price]]*Table16[[#This Row],[quantity]]</f>
        <v>1200.32</v>
      </c>
    </row>
    <row r="1508" spans="1:9" x14ac:dyDescent="0.3">
      <c r="A1508" t="s">
        <v>3524</v>
      </c>
      <c r="B1508" t="s">
        <v>291</v>
      </c>
      <c r="C1508" t="s">
        <v>2008</v>
      </c>
      <c r="D1508">
        <v>1</v>
      </c>
      <c r="E1508" s="16">
        <v>5.23</v>
      </c>
      <c r="F1508" s="1">
        <v>44828</v>
      </c>
      <c r="G1508" t="s">
        <v>2020</v>
      </c>
      <c r="H1508">
        <v>1</v>
      </c>
      <c r="I1508" s="12">
        <f>Table16[[#This Row],[price]]*Table16[[#This Row],[quantity]]</f>
        <v>5.23</v>
      </c>
    </row>
    <row r="1509" spans="1:9" x14ac:dyDescent="0.3">
      <c r="A1509" t="s">
        <v>3526</v>
      </c>
      <c r="B1509" t="s">
        <v>292</v>
      </c>
      <c r="C1509" t="s">
        <v>2001</v>
      </c>
      <c r="D1509">
        <v>3</v>
      </c>
      <c r="E1509" s="16">
        <v>900.24</v>
      </c>
      <c r="F1509" s="1">
        <v>44268</v>
      </c>
      <c r="G1509" t="s">
        <v>2027</v>
      </c>
      <c r="H1509">
        <v>4</v>
      </c>
      <c r="I1509" s="12">
        <f>Table16[[#This Row],[price]]*Table16[[#This Row],[quantity]]</f>
        <v>2700.7200000000003</v>
      </c>
    </row>
    <row r="1510" spans="1:9" x14ac:dyDescent="0.3">
      <c r="A1510" t="s">
        <v>3527</v>
      </c>
      <c r="B1510" t="s">
        <v>292</v>
      </c>
      <c r="C1510" t="s">
        <v>2011</v>
      </c>
      <c r="D1510">
        <v>3</v>
      </c>
      <c r="E1510" s="16">
        <v>121.98</v>
      </c>
      <c r="F1510" s="1">
        <v>44512</v>
      </c>
      <c r="G1510" t="s">
        <v>2027</v>
      </c>
      <c r="H1510">
        <v>5</v>
      </c>
      <c r="I1510" s="12">
        <f>Table16[[#This Row],[price]]*Table16[[#This Row],[quantity]]</f>
        <v>365.94</v>
      </c>
    </row>
    <row r="1511" spans="1:9" x14ac:dyDescent="0.3">
      <c r="A1511" t="s">
        <v>3528</v>
      </c>
      <c r="B1511" t="s">
        <v>292</v>
      </c>
      <c r="C1511" t="s">
        <v>2001</v>
      </c>
      <c r="D1511">
        <v>5</v>
      </c>
      <c r="E1511" s="16">
        <v>1500.4</v>
      </c>
      <c r="F1511" s="1">
        <v>44925</v>
      </c>
      <c r="G1511" t="s">
        <v>2018</v>
      </c>
      <c r="H1511">
        <v>5</v>
      </c>
      <c r="I1511" s="12">
        <f>Table16[[#This Row],[price]]*Table16[[#This Row],[quantity]]</f>
        <v>7502</v>
      </c>
    </row>
    <row r="1512" spans="1:9" x14ac:dyDescent="0.3">
      <c r="A1512" t="s">
        <v>3525</v>
      </c>
      <c r="B1512" t="s">
        <v>292</v>
      </c>
      <c r="C1512" t="s">
        <v>2011</v>
      </c>
      <c r="D1512">
        <v>2</v>
      </c>
      <c r="E1512" s="16">
        <v>81.319999999999993</v>
      </c>
      <c r="F1512" s="1">
        <v>44961</v>
      </c>
      <c r="G1512" t="s">
        <v>2004</v>
      </c>
      <c r="H1512">
        <v>2</v>
      </c>
      <c r="I1512" s="12">
        <f>Table16[[#This Row],[price]]*Table16[[#This Row],[quantity]]</f>
        <v>162.63999999999999</v>
      </c>
    </row>
    <row r="1513" spans="1:9" x14ac:dyDescent="0.3">
      <c r="A1513" t="s">
        <v>3533</v>
      </c>
      <c r="B1513" t="s">
        <v>293</v>
      </c>
      <c r="C1513" t="s">
        <v>2001</v>
      </c>
      <c r="D1513">
        <v>2</v>
      </c>
      <c r="E1513" s="16">
        <v>600.16</v>
      </c>
      <c r="F1513" s="1">
        <v>44217</v>
      </c>
      <c r="G1513" t="s">
        <v>2009</v>
      </c>
      <c r="H1513">
        <v>1</v>
      </c>
      <c r="I1513" s="12">
        <f>Table16[[#This Row],[price]]*Table16[[#This Row],[quantity]]</f>
        <v>1200.32</v>
      </c>
    </row>
    <row r="1514" spans="1:9" x14ac:dyDescent="0.3">
      <c r="A1514" t="s">
        <v>3532</v>
      </c>
      <c r="B1514" t="s">
        <v>293</v>
      </c>
      <c r="C1514" t="s">
        <v>2008</v>
      </c>
      <c r="D1514">
        <v>4</v>
      </c>
      <c r="E1514" s="16">
        <v>20.92</v>
      </c>
      <c r="F1514" s="1">
        <v>44675</v>
      </c>
      <c r="G1514" t="s">
        <v>2027</v>
      </c>
      <c r="H1514">
        <v>2</v>
      </c>
      <c r="I1514" s="12">
        <f>Table16[[#This Row],[price]]*Table16[[#This Row],[quantity]]</f>
        <v>83.68</v>
      </c>
    </row>
    <row r="1515" spans="1:9" x14ac:dyDescent="0.3">
      <c r="A1515" t="s">
        <v>3529</v>
      </c>
      <c r="B1515" t="s">
        <v>293</v>
      </c>
      <c r="C1515" t="s">
        <v>2057</v>
      </c>
      <c r="D1515">
        <v>5</v>
      </c>
      <c r="E1515" s="16">
        <v>58.65</v>
      </c>
      <c r="F1515" s="1">
        <v>44730</v>
      </c>
      <c r="G1515" t="s">
        <v>2064</v>
      </c>
      <c r="H1515">
        <v>2</v>
      </c>
      <c r="I1515" s="12">
        <f>Table16[[#This Row],[price]]*Table16[[#This Row],[quantity]]</f>
        <v>293.25</v>
      </c>
    </row>
    <row r="1516" spans="1:9" x14ac:dyDescent="0.3">
      <c r="A1516" t="s">
        <v>3531</v>
      </c>
      <c r="B1516" t="s">
        <v>293</v>
      </c>
      <c r="C1516" t="s">
        <v>2057</v>
      </c>
      <c r="D1516">
        <v>3</v>
      </c>
      <c r="E1516" s="16">
        <v>35.19</v>
      </c>
      <c r="F1516" s="1">
        <v>44786</v>
      </c>
      <c r="G1516" t="s">
        <v>2002</v>
      </c>
      <c r="H1516">
        <v>4</v>
      </c>
      <c r="I1516" s="12">
        <f>Table16[[#This Row],[price]]*Table16[[#This Row],[quantity]]</f>
        <v>105.57</v>
      </c>
    </row>
    <row r="1517" spans="1:9" x14ac:dyDescent="0.3">
      <c r="A1517" t="s">
        <v>3530</v>
      </c>
      <c r="B1517" t="s">
        <v>293</v>
      </c>
      <c r="C1517" t="s">
        <v>2017</v>
      </c>
      <c r="D1517">
        <v>5</v>
      </c>
      <c r="E1517" s="16">
        <v>5250</v>
      </c>
      <c r="F1517" s="1">
        <v>44861</v>
      </c>
      <c r="G1517" t="s">
        <v>2002</v>
      </c>
      <c r="H1517">
        <v>2</v>
      </c>
      <c r="I1517" s="12">
        <f>Table16[[#This Row],[price]]*Table16[[#This Row],[quantity]]</f>
        <v>26250</v>
      </c>
    </row>
    <row r="1518" spans="1:9" x14ac:dyDescent="0.3">
      <c r="A1518" t="s">
        <v>3534</v>
      </c>
      <c r="B1518" t="s">
        <v>294</v>
      </c>
      <c r="C1518" t="s">
        <v>2011</v>
      </c>
      <c r="D1518">
        <v>3</v>
      </c>
      <c r="E1518" s="16">
        <v>121.98</v>
      </c>
      <c r="F1518" s="1">
        <v>44201</v>
      </c>
      <c r="G1518" t="s">
        <v>2027</v>
      </c>
      <c r="H1518">
        <v>2</v>
      </c>
      <c r="I1518" s="12">
        <f>Table16[[#This Row],[price]]*Table16[[#This Row],[quantity]]</f>
        <v>365.94</v>
      </c>
    </row>
    <row r="1519" spans="1:9" x14ac:dyDescent="0.3">
      <c r="A1519" t="s">
        <v>3536</v>
      </c>
      <c r="B1519" t="s">
        <v>294</v>
      </c>
      <c r="C1519" t="s">
        <v>2024</v>
      </c>
      <c r="D1519">
        <v>2</v>
      </c>
      <c r="E1519" s="16">
        <v>71.680000000000007</v>
      </c>
      <c r="F1519" s="1">
        <v>44445</v>
      </c>
      <c r="G1519" t="s">
        <v>2027</v>
      </c>
      <c r="H1519">
        <v>1</v>
      </c>
      <c r="I1519" s="12">
        <f>Table16[[#This Row],[price]]*Table16[[#This Row],[quantity]]</f>
        <v>143.36000000000001</v>
      </c>
    </row>
    <row r="1520" spans="1:9" x14ac:dyDescent="0.3">
      <c r="A1520" t="s">
        <v>3535</v>
      </c>
      <c r="B1520" t="s">
        <v>294</v>
      </c>
      <c r="C1520" t="s">
        <v>2024</v>
      </c>
      <c r="D1520">
        <v>5</v>
      </c>
      <c r="E1520" s="16">
        <v>179.2</v>
      </c>
      <c r="F1520" s="1">
        <v>44985</v>
      </c>
      <c r="G1520" t="s">
        <v>2064</v>
      </c>
      <c r="H1520">
        <v>4</v>
      </c>
      <c r="I1520" s="12">
        <f>Table16[[#This Row],[price]]*Table16[[#This Row],[quantity]]</f>
        <v>896</v>
      </c>
    </row>
    <row r="1521" spans="1:9" x14ac:dyDescent="0.3">
      <c r="A1521" t="s">
        <v>3538</v>
      </c>
      <c r="B1521" t="s">
        <v>295</v>
      </c>
      <c r="C1521" t="s">
        <v>2001</v>
      </c>
      <c r="D1521">
        <v>5</v>
      </c>
      <c r="E1521" s="16">
        <v>1500.4</v>
      </c>
      <c r="F1521" s="1">
        <v>44219</v>
      </c>
      <c r="G1521" t="s">
        <v>2004</v>
      </c>
      <c r="H1521">
        <v>3</v>
      </c>
      <c r="I1521" s="12">
        <f>Table16[[#This Row],[price]]*Table16[[#This Row],[quantity]]</f>
        <v>7502</v>
      </c>
    </row>
    <row r="1522" spans="1:9" x14ac:dyDescent="0.3">
      <c r="A1522" t="s">
        <v>3537</v>
      </c>
      <c r="B1522" t="s">
        <v>295</v>
      </c>
      <c r="C1522" t="s">
        <v>2015</v>
      </c>
      <c r="D1522">
        <v>3</v>
      </c>
      <c r="E1522" s="16">
        <v>1800.51</v>
      </c>
      <c r="F1522" s="1">
        <v>44272</v>
      </c>
      <c r="G1522" t="s">
        <v>2064</v>
      </c>
      <c r="H1522">
        <v>4</v>
      </c>
      <c r="I1522" s="12">
        <f>Table16[[#This Row],[price]]*Table16[[#This Row],[quantity]]</f>
        <v>5401.53</v>
      </c>
    </row>
    <row r="1523" spans="1:9" x14ac:dyDescent="0.3">
      <c r="A1523" t="s">
        <v>3539</v>
      </c>
      <c r="B1523" t="s">
        <v>295</v>
      </c>
      <c r="C1523" t="s">
        <v>2011</v>
      </c>
      <c r="D1523">
        <v>3</v>
      </c>
      <c r="E1523" s="16">
        <v>121.98</v>
      </c>
      <c r="F1523" s="1">
        <v>44433</v>
      </c>
      <c r="G1523" t="s">
        <v>2002</v>
      </c>
      <c r="H1523">
        <v>4</v>
      </c>
      <c r="I1523" s="12">
        <f>Table16[[#This Row],[price]]*Table16[[#This Row],[quantity]]</f>
        <v>365.94</v>
      </c>
    </row>
    <row r="1524" spans="1:9" x14ac:dyDescent="0.3">
      <c r="A1524" t="s">
        <v>3540</v>
      </c>
      <c r="B1524" t="s">
        <v>295</v>
      </c>
      <c r="C1524" t="s">
        <v>2006</v>
      </c>
      <c r="D1524">
        <v>2</v>
      </c>
      <c r="E1524" s="16">
        <v>30.3</v>
      </c>
      <c r="F1524" s="1">
        <v>44455</v>
      </c>
      <c r="G1524" t="s">
        <v>2009</v>
      </c>
      <c r="H1524">
        <v>4</v>
      </c>
      <c r="I1524" s="12">
        <f>Table16[[#This Row],[price]]*Table16[[#This Row],[quantity]]</f>
        <v>60.6</v>
      </c>
    </row>
    <row r="1525" spans="1:9" x14ac:dyDescent="0.3">
      <c r="A1525" t="s">
        <v>3544</v>
      </c>
      <c r="B1525" t="s">
        <v>295</v>
      </c>
      <c r="C1525" t="s">
        <v>2017</v>
      </c>
      <c r="D1525">
        <v>3</v>
      </c>
      <c r="E1525" s="16">
        <v>3150</v>
      </c>
      <c r="F1525" s="1">
        <v>44554</v>
      </c>
      <c r="G1525" t="s">
        <v>2004</v>
      </c>
      <c r="H1525">
        <v>5</v>
      </c>
      <c r="I1525" s="12">
        <f>Table16[[#This Row],[price]]*Table16[[#This Row],[quantity]]</f>
        <v>9450</v>
      </c>
    </row>
    <row r="1526" spans="1:9" x14ac:dyDescent="0.3">
      <c r="A1526" t="s">
        <v>3545</v>
      </c>
      <c r="B1526" t="s">
        <v>295</v>
      </c>
      <c r="C1526" t="s">
        <v>2015</v>
      </c>
      <c r="D1526">
        <v>1</v>
      </c>
      <c r="E1526" s="16">
        <v>600.16999999999996</v>
      </c>
      <c r="F1526" s="1">
        <v>44622</v>
      </c>
      <c r="G1526" t="s">
        <v>2002</v>
      </c>
      <c r="H1526">
        <v>5</v>
      </c>
      <c r="I1526" s="12">
        <f>Table16[[#This Row],[price]]*Table16[[#This Row],[quantity]]</f>
        <v>600.16999999999996</v>
      </c>
    </row>
    <row r="1527" spans="1:9" x14ac:dyDescent="0.3">
      <c r="A1527" t="s">
        <v>3541</v>
      </c>
      <c r="B1527" t="s">
        <v>295</v>
      </c>
      <c r="C1527" t="s">
        <v>2011</v>
      </c>
      <c r="D1527">
        <v>4</v>
      </c>
      <c r="E1527" s="16">
        <v>162.63999999999999</v>
      </c>
      <c r="F1527" s="1">
        <v>44789</v>
      </c>
      <c r="G1527" t="s">
        <v>2020</v>
      </c>
      <c r="H1527">
        <v>3</v>
      </c>
      <c r="I1527" s="12">
        <f>Table16[[#This Row],[price]]*Table16[[#This Row],[quantity]]</f>
        <v>650.55999999999995</v>
      </c>
    </row>
    <row r="1528" spans="1:9" x14ac:dyDescent="0.3">
      <c r="A1528" t="s">
        <v>3542</v>
      </c>
      <c r="B1528" t="s">
        <v>295</v>
      </c>
      <c r="C1528" t="s">
        <v>2017</v>
      </c>
      <c r="D1528">
        <v>4</v>
      </c>
      <c r="E1528" s="16">
        <v>4200</v>
      </c>
      <c r="F1528" s="1">
        <v>44860</v>
      </c>
      <c r="G1528" t="s">
        <v>2041</v>
      </c>
      <c r="H1528">
        <v>3</v>
      </c>
      <c r="I1528" s="12">
        <f>Table16[[#This Row],[price]]*Table16[[#This Row],[quantity]]</f>
        <v>16800</v>
      </c>
    </row>
    <row r="1529" spans="1:9" x14ac:dyDescent="0.3">
      <c r="A1529" t="s">
        <v>3543</v>
      </c>
      <c r="B1529" t="s">
        <v>295</v>
      </c>
      <c r="C1529" t="s">
        <v>2008</v>
      </c>
      <c r="D1529">
        <v>2</v>
      </c>
      <c r="E1529" s="16">
        <v>10.46</v>
      </c>
      <c r="F1529" s="1">
        <v>44878</v>
      </c>
      <c r="G1529" t="s">
        <v>2027</v>
      </c>
      <c r="H1529">
        <v>5</v>
      </c>
      <c r="I1529" s="12">
        <f>Table16[[#This Row],[price]]*Table16[[#This Row],[quantity]]</f>
        <v>20.92</v>
      </c>
    </row>
    <row r="1530" spans="1:9" x14ac:dyDescent="0.3">
      <c r="A1530" t="s">
        <v>3546</v>
      </c>
      <c r="B1530" t="s">
        <v>296</v>
      </c>
      <c r="C1530" t="s">
        <v>2015</v>
      </c>
      <c r="D1530">
        <v>4</v>
      </c>
      <c r="E1530" s="16">
        <v>2400.6799999999998</v>
      </c>
      <c r="F1530" s="1">
        <v>44680</v>
      </c>
      <c r="G1530" t="s">
        <v>2058</v>
      </c>
      <c r="H1530">
        <v>5</v>
      </c>
      <c r="I1530" s="12">
        <f>Table16[[#This Row],[price]]*Table16[[#This Row],[quantity]]</f>
        <v>9602.7199999999993</v>
      </c>
    </row>
    <row r="1531" spans="1:9" x14ac:dyDescent="0.3">
      <c r="A1531" t="s">
        <v>3547</v>
      </c>
      <c r="B1531" t="s">
        <v>296</v>
      </c>
      <c r="C1531" t="s">
        <v>2001</v>
      </c>
      <c r="D1531">
        <v>1</v>
      </c>
      <c r="E1531" s="16">
        <v>300.08</v>
      </c>
      <c r="F1531" s="1">
        <v>44796</v>
      </c>
      <c r="G1531" t="s">
        <v>2064</v>
      </c>
      <c r="H1531">
        <v>5</v>
      </c>
      <c r="I1531" s="12">
        <f>Table16[[#This Row],[price]]*Table16[[#This Row],[quantity]]</f>
        <v>300.08</v>
      </c>
    </row>
    <row r="1532" spans="1:9" x14ac:dyDescent="0.3">
      <c r="A1532" t="s">
        <v>3552</v>
      </c>
      <c r="B1532" t="s">
        <v>297</v>
      </c>
      <c r="C1532" t="s">
        <v>2015</v>
      </c>
      <c r="D1532">
        <v>5</v>
      </c>
      <c r="E1532" s="16">
        <v>3000.85</v>
      </c>
      <c r="F1532" s="1">
        <v>44286</v>
      </c>
      <c r="G1532" t="s">
        <v>2004</v>
      </c>
      <c r="H1532">
        <v>1</v>
      </c>
      <c r="I1532" s="12">
        <f>Table16[[#This Row],[price]]*Table16[[#This Row],[quantity]]</f>
        <v>15004.25</v>
      </c>
    </row>
    <row r="1533" spans="1:9" x14ac:dyDescent="0.3">
      <c r="A1533" t="s">
        <v>3553</v>
      </c>
      <c r="B1533" t="s">
        <v>297</v>
      </c>
      <c r="C1533" t="s">
        <v>2015</v>
      </c>
      <c r="D1533">
        <v>4</v>
      </c>
      <c r="E1533" s="16">
        <v>2400.6799999999998</v>
      </c>
      <c r="F1533" s="1">
        <v>44295</v>
      </c>
      <c r="G1533" t="s">
        <v>2009</v>
      </c>
      <c r="H1533">
        <v>3</v>
      </c>
      <c r="I1533" s="12">
        <f>Table16[[#This Row],[price]]*Table16[[#This Row],[quantity]]</f>
        <v>9602.7199999999993</v>
      </c>
    </row>
    <row r="1534" spans="1:9" x14ac:dyDescent="0.3">
      <c r="A1534" t="s">
        <v>3554</v>
      </c>
      <c r="B1534" t="s">
        <v>297</v>
      </c>
      <c r="C1534" t="s">
        <v>2011</v>
      </c>
      <c r="D1534">
        <v>1</v>
      </c>
      <c r="E1534" s="16">
        <v>40.659999999999997</v>
      </c>
      <c r="F1534" s="1">
        <v>44313</v>
      </c>
      <c r="G1534" t="s">
        <v>2064</v>
      </c>
      <c r="H1534">
        <v>1</v>
      </c>
      <c r="I1534" s="12">
        <f>Table16[[#This Row],[price]]*Table16[[#This Row],[quantity]]</f>
        <v>40.659999999999997</v>
      </c>
    </row>
    <row r="1535" spans="1:9" x14ac:dyDescent="0.3">
      <c r="A1535" t="s">
        <v>3551</v>
      </c>
      <c r="B1535" t="s">
        <v>297</v>
      </c>
      <c r="C1535" t="s">
        <v>2024</v>
      </c>
      <c r="D1535">
        <v>1</v>
      </c>
      <c r="E1535" s="16">
        <v>35.840000000000003</v>
      </c>
      <c r="F1535" s="1">
        <v>44353</v>
      </c>
      <c r="G1535" t="s">
        <v>2020</v>
      </c>
      <c r="H1535">
        <v>2</v>
      </c>
      <c r="I1535" s="12">
        <f>Table16[[#This Row],[price]]*Table16[[#This Row],[quantity]]</f>
        <v>35.840000000000003</v>
      </c>
    </row>
    <row r="1536" spans="1:9" x14ac:dyDescent="0.3">
      <c r="A1536" t="s">
        <v>3555</v>
      </c>
      <c r="B1536" t="s">
        <v>297</v>
      </c>
      <c r="C1536" t="s">
        <v>2008</v>
      </c>
      <c r="D1536">
        <v>3</v>
      </c>
      <c r="E1536" s="16">
        <v>15.69</v>
      </c>
      <c r="F1536" s="1">
        <v>44370</v>
      </c>
      <c r="G1536" t="s">
        <v>2004</v>
      </c>
      <c r="H1536">
        <v>1</v>
      </c>
      <c r="I1536" s="12">
        <f>Table16[[#This Row],[price]]*Table16[[#This Row],[quantity]]</f>
        <v>47.07</v>
      </c>
    </row>
    <row r="1537" spans="1:9" x14ac:dyDescent="0.3">
      <c r="A1537" t="s">
        <v>3548</v>
      </c>
      <c r="B1537" t="s">
        <v>297</v>
      </c>
      <c r="C1537" t="s">
        <v>2024</v>
      </c>
      <c r="D1537">
        <v>3</v>
      </c>
      <c r="E1537" s="16">
        <v>107.52</v>
      </c>
      <c r="F1537" s="1">
        <v>44645</v>
      </c>
      <c r="G1537" t="s">
        <v>2004</v>
      </c>
      <c r="H1537">
        <v>3</v>
      </c>
      <c r="I1537" s="12">
        <f>Table16[[#This Row],[price]]*Table16[[#This Row],[quantity]]</f>
        <v>322.56</v>
      </c>
    </row>
    <row r="1538" spans="1:9" x14ac:dyDescent="0.3">
      <c r="A1538" t="s">
        <v>3549</v>
      </c>
      <c r="B1538" t="s">
        <v>297</v>
      </c>
      <c r="C1538" t="s">
        <v>2001</v>
      </c>
      <c r="D1538">
        <v>3</v>
      </c>
      <c r="E1538" s="16">
        <v>900.24</v>
      </c>
      <c r="F1538" s="1">
        <v>44736</v>
      </c>
      <c r="G1538" t="s">
        <v>2020</v>
      </c>
      <c r="H1538">
        <v>2</v>
      </c>
      <c r="I1538" s="12">
        <f>Table16[[#This Row],[price]]*Table16[[#This Row],[quantity]]</f>
        <v>2700.7200000000003</v>
      </c>
    </row>
    <row r="1539" spans="1:9" x14ac:dyDescent="0.3">
      <c r="A1539" t="s">
        <v>3550</v>
      </c>
      <c r="B1539" t="s">
        <v>297</v>
      </c>
      <c r="C1539" t="s">
        <v>2008</v>
      </c>
      <c r="D1539">
        <v>1</v>
      </c>
      <c r="E1539" s="16">
        <v>5.23</v>
      </c>
      <c r="F1539" s="1">
        <v>44916</v>
      </c>
      <c r="G1539" t="s">
        <v>2012</v>
      </c>
      <c r="H1539">
        <v>4</v>
      </c>
      <c r="I1539" s="12">
        <f>Table16[[#This Row],[price]]*Table16[[#This Row],[quantity]]</f>
        <v>5.23</v>
      </c>
    </row>
    <row r="1540" spans="1:9" x14ac:dyDescent="0.3">
      <c r="A1540" t="s">
        <v>3556</v>
      </c>
      <c r="B1540" t="s">
        <v>298</v>
      </c>
      <c r="C1540" t="s">
        <v>2008</v>
      </c>
      <c r="D1540">
        <v>2</v>
      </c>
      <c r="E1540" s="16">
        <v>10.46</v>
      </c>
      <c r="F1540" s="1">
        <v>44882</v>
      </c>
      <c r="G1540" t="s">
        <v>2002</v>
      </c>
      <c r="H1540">
        <v>4</v>
      </c>
      <c r="I1540" s="12">
        <f>Table16[[#This Row],[price]]*Table16[[#This Row],[quantity]]</f>
        <v>20.92</v>
      </c>
    </row>
    <row r="1541" spans="1:9" x14ac:dyDescent="0.3">
      <c r="A1541" t="s">
        <v>3557</v>
      </c>
      <c r="B1541" t="s">
        <v>299</v>
      </c>
      <c r="C1541" t="s">
        <v>2008</v>
      </c>
      <c r="D1541">
        <v>4</v>
      </c>
      <c r="E1541" s="16">
        <v>20.92</v>
      </c>
      <c r="F1541" s="1">
        <v>44252</v>
      </c>
      <c r="G1541" t="s">
        <v>2020</v>
      </c>
      <c r="H1541">
        <v>4</v>
      </c>
      <c r="I1541" s="12">
        <f>Table16[[#This Row],[price]]*Table16[[#This Row],[quantity]]</f>
        <v>83.68</v>
      </c>
    </row>
    <row r="1542" spans="1:9" x14ac:dyDescent="0.3">
      <c r="A1542" t="s">
        <v>3560</v>
      </c>
      <c r="B1542" t="s">
        <v>299</v>
      </c>
      <c r="C1542" t="s">
        <v>2008</v>
      </c>
      <c r="D1542">
        <v>1</v>
      </c>
      <c r="E1542" s="16">
        <v>5.23</v>
      </c>
      <c r="F1542" s="1">
        <v>44301</v>
      </c>
      <c r="G1542" t="s">
        <v>2004</v>
      </c>
      <c r="H1542">
        <v>5</v>
      </c>
      <c r="I1542" s="12">
        <f>Table16[[#This Row],[price]]*Table16[[#This Row],[quantity]]</f>
        <v>5.23</v>
      </c>
    </row>
    <row r="1543" spans="1:9" x14ac:dyDescent="0.3">
      <c r="A1543" t="s">
        <v>3559</v>
      </c>
      <c r="B1543" t="s">
        <v>299</v>
      </c>
      <c r="C1543" t="s">
        <v>2008</v>
      </c>
      <c r="D1543">
        <v>5</v>
      </c>
      <c r="E1543" s="16">
        <v>26.15</v>
      </c>
      <c r="F1543" s="1">
        <v>44352</v>
      </c>
      <c r="G1543" t="s">
        <v>2027</v>
      </c>
      <c r="H1543">
        <v>1</v>
      </c>
      <c r="I1543" s="12">
        <f>Table16[[#This Row],[price]]*Table16[[#This Row],[quantity]]</f>
        <v>130.75</v>
      </c>
    </row>
    <row r="1544" spans="1:9" x14ac:dyDescent="0.3">
      <c r="A1544" t="s">
        <v>3558</v>
      </c>
      <c r="B1544" t="s">
        <v>299</v>
      </c>
      <c r="C1544" t="s">
        <v>2008</v>
      </c>
      <c r="D1544">
        <v>3</v>
      </c>
      <c r="E1544" s="16">
        <v>15.69</v>
      </c>
      <c r="F1544" s="1">
        <v>44600</v>
      </c>
      <c r="G1544" t="s">
        <v>2064</v>
      </c>
      <c r="H1544">
        <v>3</v>
      </c>
      <c r="I1544" s="12">
        <f>Table16[[#This Row],[price]]*Table16[[#This Row],[quantity]]</f>
        <v>47.07</v>
      </c>
    </row>
    <row r="1545" spans="1:9" x14ac:dyDescent="0.3">
      <c r="A1545" t="s">
        <v>3563</v>
      </c>
      <c r="B1545" t="s">
        <v>300</v>
      </c>
      <c r="C1545" t="s">
        <v>2057</v>
      </c>
      <c r="D1545">
        <v>1</v>
      </c>
      <c r="E1545" s="16">
        <v>11.73</v>
      </c>
      <c r="F1545" s="1">
        <v>44279</v>
      </c>
      <c r="G1545" t="s">
        <v>2002</v>
      </c>
      <c r="H1545">
        <v>3</v>
      </c>
      <c r="I1545" s="12">
        <f>Table16[[#This Row],[price]]*Table16[[#This Row],[quantity]]</f>
        <v>11.73</v>
      </c>
    </row>
    <row r="1546" spans="1:9" x14ac:dyDescent="0.3">
      <c r="A1546" t="s">
        <v>3564</v>
      </c>
      <c r="B1546" t="s">
        <v>300</v>
      </c>
      <c r="C1546" t="s">
        <v>2001</v>
      </c>
      <c r="D1546">
        <v>5</v>
      </c>
      <c r="E1546" s="16">
        <v>1500.4</v>
      </c>
      <c r="F1546" s="1">
        <v>44380</v>
      </c>
      <c r="G1546" t="s">
        <v>2027</v>
      </c>
      <c r="H1546">
        <v>1</v>
      </c>
      <c r="I1546" s="12">
        <f>Table16[[#This Row],[price]]*Table16[[#This Row],[quantity]]</f>
        <v>7502</v>
      </c>
    </row>
    <row r="1547" spans="1:9" x14ac:dyDescent="0.3">
      <c r="A1547" t="s">
        <v>3562</v>
      </c>
      <c r="B1547" t="s">
        <v>300</v>
      </c>
      <c r="C1547" t="s">
        <v>2001</v>
      </c>
      <c r="D1547">
        <v>5</v>
      </c>
      <c r="E1547" s="16">
        <v>1500.4</v>
      </c>
      <c r="F1547" s="1">
        <v>44580</v>
      </c>
      <c r="G1547" t="s">
        <v>2027</v>
      </c>
      <c r="H1547">
        <v>1</v>
      </c>
      <c r="I1547" s="12">
        <f>Table16[[#This Row],[price]]*Table16[[#This Row],[quantity]]</f>
        <v>7502</v>
      </c>
    </row>
    <row r="1548" spans="1:9" x14ac:dyDescent="0.3">
      <c r="A1548" t="s">
        <v>3566</v>
      </c>
      <c r="B1548" t="s">
        <v>300</v>
      </c>
      <c r="C1548" t="s">
        <v>2015</v>
      </c>
      <c r="D1548">
        <v>4</v>
      </c>
      <c r="E1548" s="16">
        <v>2400.6799999999998</v>
      </c>
      <c r="F1548" s="1">
        <v>44675</v>
      </c>
      <c r="G1548" t="s">
        <v>2002</v>
      </c>
      <c r="H1548">
        <v>4</v>
      </c>
      <c r="I1548" s="12">
        <f>Table16[[#This Row],[price]]*Table16[[#This Row],[quantity]]</f>
        <v>9602.7199999999993</v>
      </c>
    </row>
    <row r="1549" spans="1:9" x14ac:dyDescent="0.3">
      <c r="A1549" t="s">
        <v>3565</v>
      </c>
      <c r="B1549" t="s">
        <v>300</v>
      </c>
      <c r="C1549" t="s">
        <v>2008</v>
      </c>
      <c r="D1549">
        <v>2</v>
      </c>
      <c r="E1549" s="16">
        <v>10.46</v>
      </c>
      <c r="F1549" s="1">
        <v>44675</v>
      </c>
      <c r="G1549" t="s">
        <v>2018</v>
      </c>
      <c r="H1549">
        <v>1</v>
      </c>
      <c r="I1549" s="12">
        <f>Table16[[#This Row],[price]]*Table16[[#This Row],[quantity]]</f>
        <v>20.92</v>
      </c>
    </row>
    <row r="1550" spans="1:9" x14ac:dyDescent="0.3">
      <c r="A1550" t="s">
        <v>3561</v>
      </c>
      <c r="B1550" t="s">
        <v>300</v>
      </c>
      <c r="C1550" t="s">
        <v>2001</v>
      </c>
      <c r="D1550">
        <v>2</v>
      </c>
      <c r="E1550" s="16">
        <v>600.16</v>
      </c>
      <c r="F1550" s="1">
        <v>44814</v>
      </c>
      <c r="G1550" t="s">
        <v>2020</v>
      </c>
      <c r="H1550">
        <v>5</v>
      </c>
      <c r="I1550" s="12">
        <f>Table16[[#This Row],[price]]*Table16[[#This Row],[quantity]]</f>
        <v>1200.32</v>
      </c>
    </row>
    <row r="1551" spans="1:9" x14ac:dyDescent="0.3">
      <c r="A1551" t="s">
        <v>3567</v>
      </c>
      <c r="B1551" t="s">
        <v>300</v>
      </c>
      <c r="C1551" t="s">
        <v>2001</v>
      </c>
      <c r="D1551">
        <v>5</v>
      </c>
      <c r="E1551" s="16">
        <v>1500.4</v>
      </c>
      <c r="F1551" s="1">
        <v>44902</v>
      </c>
      <c r="G1551" t="s">
        <v>2027</v>
      </c>
      <c r="H1551">
        <v>5</v>
      </c>
      <c r="I1551" s="12">
        <f>Table16[[#This Row],[price]]*Table16[[#This Row],[quantity]]</f>
        <v>7502</v>
      </c>
    </row>
    <row r="1552" spans="1:9" x14ac:dyDescent="0.3">
      <c r="A1552" t="s">
        <v>3573</v>
      </c>
      <c r="B1552" t="s">
        <v>301</v>
      </c>
      <c r="C1552" t="s">
        <v>2024</v>
      </c>
      <c r="D1552">
        <v>5</v>
      </c>
      <c r="E1552" s="16">
        <v>179.2</v>
      </c>
      <c r="F1552" s="1">
        <v>44262</v>
      </c>
      <c r="G1552" t="s">
        <v>2027</v>
      </c>
      <c r="H1552">
        <v>2</v>
      </c>
      <c r="I1552" s="12">
        <f>Table16[[#This Row],[price]]*Table16[[#This Row],[quantity]]</f>
        <v>896</v>
      </c>
    </row>
    <row r="1553" spans="1:9" x14ac:dyDescent="0.3">
      <c r="A1553" t="s">
        <v>3568</v>
      </c>
      <c r="B1553" t="s">
        <v>301</v>
      </c>
      <c r="C1553" t="s">
        <v>2011</v>
      </c>
      <c r="D1553">
        <v>1</v>
      </c>
      <c r="E1553" s="16">
        <v>40.659999999999997</v>
      </c>
      <c r="F1553" s="1">
        <v>44274</v>
      </c>
      <c r="G1553" t="s">
        <v>2027</v>
      </c>
      <c r="H1553">
        <v>5</v>
      </c>
      <c r="I1553" s="12">
        <f>Table16[[#This Row],[price]]*Table16[[#This Row],[quantity]]</f>
        <v>40.659999999999997</v>
      </c>
    </row>
    <row r="1554" spans="1:9" x14ac:dyDescent="0.3">
      <c r="A1554" t="s">
        <v>3572</v>
      </c>
      <c r="B1554" t="s">
        <v>301</v>
      </c>
      <c r="C1554" t="s">
        <v>2015</v>
      </c>
      <c r="D1554">
        <v>1</v>
      </c>
      <c r="E1554" s="16">
        <v>600.16999999999996</v>
      </c>
      <c r="F1554" s="1">
        <v>44420</v>
      </c>
      <c r="G1554" t="s">
        <v>2004</v>
      </c>
      <c r="H1554">
        <v>4</v>
      </c>
      <c r="I1554" s="12">
        <f>Table16[[#This Row],[price]]*Table16[[#This Row],[quantity]]</f>
        <v>600.16999999999996</v>
      </c>
    </row>
    <row r="1555" spans="1:9" x14ac:dyDescent="0.3">
      <c r="A1555" t="s">
        <v>3570</v>
      </c>
      <c r="B1555" t="s">
        <v>301</v>
      </c>
      <c r="C1555" t="s">
        <v>2015</v>
      </c>
      <c r="D1555">
        <v>5</v>
      </c>
      <c r="E1555" s="16">
        <v>3000.85</v>
      </c>
      <c r="F1555" s="1">
        <v>44491</v>
      </c>
      <c r="G1555" t="s">
        <v>2012</v>
      </c>
      <c r="H1555">
        <v>4</v>
      </c>
      <c r="I1555" s="12">
        <f>Table16[[#This Row],[price]]*Table16[[#This Row],[quantity]]</f>
        <v>15004.25</v>
      </c>
    </row>
    <row r="1556" spans="1:9" x14ac:dyDescent="0.3">
      <c r="A1556" t="s">
        <v>3571</v>
      </c>
      <c r="B1556" t="s">
        <v>301</v>
      </c>
      <c r="C1556" t="s">
        <v>2008</v>
      </c>
      <c r="D1556">
        <v>3</v>
      </c>
      <c r="E1556" s="16">
        <v>15.69</v>
      </c>
      <c r="F1556" s="1">
        <v>44540</v>
      </c>
      <c r="G1556" t="s">
        <v>2004</v>
      </c>
      <c r="H1556">
        <v>3</v>
      </c>
      <c r="I1556" s="12">
        <f>Table16[[#This Row],[price]]*Table16[[#This Row],[quantity]]</f>
        <v>47.07</v>
      </c>
    </row>
    <row r="1557" spans="1:9" x14ac:dyDescent="0.3">
      <c r="A1557" t="s">
        <v>3569</v>
      </c>
      <c r="B1557" t="s">
        <v>301</v>
      </c>
      <c r="C1557" t="s">
        <v>2024</v>
      </c>
      <c r="D1557">
        <v>5</v>
      </c>
      <c r="E1557" s="16">
        <v>179.2</v>
      </c>
      <c r="F1557" s="1">
        <v>44826</v>
      </c>
      <c r="G1557" t="s">
        <v>2002</v>
      </c>
      <c r="H1557">
        <v>1</v>
      </c>
      <c r="I1557" s="12">
        <f>Table16[[#This Row],[price]]*Table16[[#This Row],[quantity]]</f>
        <v>896</v>
      </c>
    </row>
    <row r="1558" spans="1:9" x14ac:dyDescent="0.3">
      <c r="A1558" t="s">
        <v>3576</v>
      </c>
      <c r="B1558" t="s">
        <v>302</v>
      </c>
      <c r="C1558" t="s">
        <v>2001</v>
      </c>
      <c r="D1558">
        <v>4</v>
      </c>
      <c r="E1558" s="16">
        <v>1200.32</v>
      </c>
      <c r="F1558" s="1">
        <v>44330</v>
      </c>
      <c r="G1558" t="s">
        <v>2018</v>
      </c>
      <c r="H1558">
        <v>5</v>
      </c>
      <c r="I1558" s="12">
        <f>Table16[[#This Row],[price]]*Table16[[#This Row],[quantity]]</f>
        <v>4801.28</v>
      </c>
    </row>
    <row r="1559" spans="1:9" x14ac:dyDescent="0.3">
      <c r="A1559" t="s">
        <v>3574</v>
      </c>
      <c r="B1559" t="s">
        <v>302</v>
      </c>
      <c r="C1559" t="s">
        <v>2001</v>
      </c>
      <c r="D1559">
        <v>2</v>
      </c>
      <c r="E1559" s="16">
        <v>600.16</v>
      </c>
      <c r="F1559" s="1">
        <v>44768</v>
      </c>
      <c r="G1559" t="s">
        <v>2027</v>
      </c>
      <c r="H1559">
        <v>4</v>
      </c>
      <c r="I1559" s="12">
        <f>Table16[[#This Row],[price]]*Table16[[#This Row],[quantity]]</f>
        <v>1200.32</v>
      </c>
    </row>
    <row r="1560" spans="1:9" x14ac:dyDescent="0.3">
      <c r="A1560" t="s">
        <v>3575</v>
      </c>
      <c r="B1560" t="s">
        <v>302</v>
      </c>
      <c r="C1560" t="s">
        <v>2011</v>
      </c>
      <c r="D1560">
        <v>3</v>
      </c>
      <c r="E1560" s="16">
        <v>121.98</v>
      </c>
      <c r="F1560" s="1">
        <v>44807</v>
      </c>
      <c r="G1560" t="s">
        <v>2004</v>
      </c>
      <c r="H1560">
        <v>1</v>
      </c>
      <c r="I1560" s="12">
        <f>Table16[[#This Row],[price]]*Table16[[#This Row],[quantity]]</f>
        <v>365.94</v>
      </c>
    </row>
    <row r="1561" spans="1:9" x14ac:dyDescent="0.3">
      <c r="A1561" t="s">
        <v>3577</v>
      </c>
      <c r="B1561" t="s">
        <v>303</v>
      </c>
      <c r="C1561" t="s">
        <v>2001</v>
      </c>
      <c r="D1561">
        <v>2</v>
      </c>
      <c r="E1561" s="16">
        <v>600.16</v>
      </c>
      <c r="F1561" s="1">
        <v>44783</v>
      </c>
      <c r="G1561" t="s">
        <v>2027</v>
      </c>
      <c r="H1561">
        <v>1</v>
      </c>
      <c r="I1561" s="12">
        <f>Table16[[#This Row],[price]]*Table16[[#This Row],[quantity]]</f>
        <v>1200.32</v>
      </c>
    </row>
    <row r="1562" spans="1:9" x14ac:dyDescent="0.3">
      <c r="A1562" t="s">
        <v>3579</v>
      </c>
      <c r="B1562" t="s">
        <v>303</v>
      </c>
      <c r="C1562" t="s">
        <v>2006</v>
      </c>
      <c r="D1562">
        <v>4</v>
      </c>
      <c r="E1562" s="16">
        <v>60.6</v>
      </c>
      <c r="F1562" s="1">
        <v>44941</v>
      </c>
      <c r="G1562" t="s">
        <v>2020</v>
      </c>
      <c r="H1562">
        <v>5</v>
      </c>
      <c r="I1562" s="12">
        <f>Table16[[#This Row],[price]]*Table16[[#This Row],[quantity]]</f>
        <v>242.4</v>
      </c>
    </row>
    <row r="1563" spans="1:9" x14ac:dyDescent="0.3">
      <c r="A1563" t="s">
        <v>3578</v>
      </c>
      <c r="B1563" t="s">
        <v>303</v>
      </c>
      <c r="C1563" t="s">
        <v>2001</v>
      </c>
      <c r="D1563">
        <v>4</v>
      </c>
      <c r="E1563" s="16">
        <v>1200.32</v>
      </c>
      <c r="F1563" s="1">
        <v>44949</v>
      </c>
      <c r="G1563" t="s">
        <v>2027</v>
      </c>
      <c r="H1563">
        <v>5</v>
      </c>
      <c r="I1563" s="12">
        <f>Table16[[#This Row],[price]]*Table16[[#This Row],[quantity]]</f>
        <v>4801.28</v>
      </c>
    </row>
    <row r="1564" spans="1:9" x14ac:dyDescent="0.3">
      <c r="A1564" t="s">
        <v>3586</v>
      </c>
      <c r="B1564" t="s">
        <v>304</v>
      </c>
      <c r="C1564" t="s">
        <v>2011</v>
      </c>
      <c r="D1564">
        <v>3</v>
      </c>
      <c r="E1564" s="16">
        <v>121.98</v>
      </c>
      <c r="F1564" s="1">
        <v>44237</v>
      </c>
      <c r="G1564" t="s">
        <v>2027</v>
      </c>
      <c r="H1564">
        <v>3</v>
      </c>
      <c r="I1564" s="12">
        <f>Table16[[#This Row],[price]]*Table16[[#This Row],[quantity]]</f>
        <v>365.94</v>
      </c>
    </row>
    <row r="1565" spans="1:9" x14ac:dyDescent="0.3">
      <c r="A1565" t="s">
        <v>3583</v>
      </c>
      <c r="B1565" t="s">
        <v>304</v>
      </c>
      <c r="C1565" t="s">
        <v>2008</v>
      </c>
      <c r="D1565">
        <v>3</v>
      </c>
      <c r="E1565" s="16">
        <v>15.69</v>
      </c>
      <c r="F1565" s="1">
        <v>44257</v>
      </c>
      <c r="G1565" t="s">
        <v>2027</v>
      </c>
      <c r="H1565">
        <v>4</v>
      </c>
      <c r="I1565" s="12">
        <f>Table16[[#This Row],[price]]*Table16[[#This Row],[quantity]]</f>
        <v>47.07</v>
      </c>
    </row>
    <row r="1566" spans="1:9" x14ac:dyDescent="0.3">
      <c r="A1566" t="s">
        <v>3588</v>
      </c>
      <c r="B1566" t="s">
        <v>304</v>
      </c>
      <c r="C1566" t="s">
        <v>2024</v>
      </c>
      <c r="D1566">
        <v>4</v>
      </c>
      <c r="E1566" s="16">
        <v>143.36000000000001</v>
      </c>
      <c r="F1566" s="1">
        <v>44294</v>
      </c>
      <c r="G1566" t="s">
        <v>2058</v>
      </c>
      <c r="H1566">
        <v>5</v>
      </c>
      <c r="I1566" s="12">
        <f>Table16[[#This Row],[price]]*Table16[[#This Row],[quantity]]</f>
        <v>573.44000000000005</v>
      </c>
    </row>
    <row r="1567" spans="1:9" x14ac:dyDescent="0.3">
      <c r="A1567" t="s">
        <v>3584</v>
      </c>
      <c r="B1567" t="s">
        <v>304</v>
      </c>
      <c r="C1567" t="s">
        <v>2008</v>
      </c>
      <c r="D1567">
        <v>5</v>
      </c>
      <c r="E1567" s="16">
        <v>26.15</v>
      </c>
      <c r="F1567" s="1">
        <v>44312</v>
      </c>
      <c r="G1567" t="s">
        <v>2020</v>
      </c>
      <c r="H1567">
        <v>5</v>
      </c>
      <c r="I1567" s="12">
        <f>Table16[[#This Row],[price]]*Table16[[#This Row],[quantity]]</f>
        <v>130.75</v>
      </c>
    </row>
    <row r="1568" spans="1:9" x14ac:dyDescent="0.3">
      <c r="A1568" t="s">
        <v>3582</v>
      </c>
      <c r="B1568" t="s">
        <v>304</v>
      </c>
      <c r="C1568" t="s">
        <v>2006</v>
      </c>
      <c r="D1568">
        <v>1</v>
      </c>
      <c r="E1568" s="16">
        <v>15.15</v>
      </c>
      <c r="F1568" s="1">
        <v>44342</v>
      </c>
      <c r="G1568" t="s">
        <v>2009</v>
      </c>
      <c r="H1568">
        <v>5</v>
      </c>
      <c r="I1568" s="12">
        <f>Table16[[#This Row],[price]]*Table16[[#This Row],[quantity]]</f>
        <v>15.15</v>
      </c>
    </row>
    <row r="1569" spans="1:9" x14ac:dyDescent="0.3">
      <c r="A1569" t="s">
        <v>3587</v>
      </c>
      <c r="B1569" t="s">
        <v>304</v>
      </c>
      <c r="C1569" t="s">
        <v>2001</v>
      </c>
      <c r="D1569">
        <v>1</v>
      </c>
      <c r="E1569" s="16">
        <v>300.08</v>
      </c>
      <c r="F1569" s="1">
        <v>44537</v>
      </c>
      <c r="G1569" t="s">
        <v>2058</v>
      </c>
      <c r="H1569">
        <v>2</v>
      </c>
      <c r="I1569" s="12">
        <f>Table16[[#This Row],[price]]*Table16[[#This Row],[quantity]]</f>
        <v>300.08</v>
      </c>
    </row>
    <row r="1570" spans="1:9" x14ac:dyDescent="0.3">
      <c r="A1570" t="s">
        <v>3581</v>
      </c>
      <c r="B1570" t="s">
        <v>304</v>
      </c>
      <c r="C1570" t="s">
        <v>2057</v>
      </c>
      <c r="D1570">
        <v>3</v>
      </c>
      <c r="E1570" s="16">
        <v>35.19</v>
      </c>
      <c r="F1570" s="1">
        <v>44581</v>
      </c>
      <c r="G1570" t="s">
        <v>2004</v>
      </c>
      <c r="H1570">
        <v>2</v>
      </c>
      <c r="I1570" s="12">
        <f>Table16[[#This Row],[price]]*Table16[[#This Row],[quantity]]</f>
        <v>105.57</v>
      </c>
    </row>
    <row r="1571" spans="1:9" x14ac:dyDescent="0.3">
      <c r="A1571" t="s">
        <v>3585</v>
      </c>
      <c r="B1571" t="s">
        <v>304</v>
      </c>
      <c r="C1571" t="s">
        <v>2001</v>
      </c>
      <c r="D1571">
        <v>2</v>
      </c>
      <c r="E1571" s="16">
        <v>600.16</v>
      </c>
      <c r="F1571" s="1">
        <v>44849</v>
      </c>
      <c r="G1571" t="s">
        <v>2004</v>
      </c>
      <c r="H1571">
        <v>2</v>
      </c>
      <c r="I1571" s="12">
        <f>Table16[[#This Row],[price]]*Table16[[#This Row],[quantity]]</f>
        <v>1200.32</v>
      </c>
    </row>
    <row r="1572" spans="1:9" x14ac:dyDescent="0.3">
      <c r="A1572" t="s">
        <v>3580</v>
      </c>
      <c r="B1572" t="s">
        <v>304</v>
      </c>
      <c r="C1572" t="s">
        <v>2001</v>
      </c>
      <c r="D1572">
        <v>1</v>
      </c>
      <c r="E1572" s="16">
        <v>300.08</v>
      </c>
      <c r="F1572" s="1">
        <v>44966</v>
      </c>
      <c r="G1572" t="s">
        <v>2064</v>
      </c>
      <c r="H1572">
        <v>4</v>
      </c>
      <c r="I1572" s="12">
        <f>Table16[[#This Row],[price]]*Table16[[#This Row],[quantity]]</f>
        <v>300.08</v>
      </c>
    </row>
    <row r="1573" spans="1:9" x14ac:dyDescent="0.3">
      <c r="A1573" t="s">
        <v>3594</v>
      </c>
      <c r="B1573" t="s">
        <v>305</v>
      </c>
      <c r="C1573" t="s">
        <v>2017</v>
      </c>
      <c r="D1573">
        <v>1</v>
      </c>
      <c r="E1573" s="16">
        <v>1050</v>
      </c>
      <c r="F1573" s="1">
        <v>44213</v>
      </c>
      <c r="G1573" t="s">
        <v>2027</v>
      </c>
      <c r="H1573">
        <v>4</v>
      </c>
      <c r="I1573" s="12">
        <f>Table16[[#This Row],[price]]*Table16[[#This Row],[quantity]]</f>
        <v>1050</v>
      </c>
    </row>
    <row r="1574" spans="1:9" x14ac:dyDescent="0.3">
      <c r="A1574" t="s">
        <v>3592</v>
      </c>
      <c r="B1574" t="s">
        <v>305</v>
      </c>
      <c r="C1574" t="s">
        <v>2008</v>
      </c>
      <c r="D1574">
        <v>5</v>
      </c>
      <c r="E1574" s="16">
        <v>26.15</v>
      </c>
      <c r="F1574" s="1">
        <v>44270</v>
      </c>
      <c r="G1574" t="s">
        <v>2004</v>
      </c>
      <c r="H1574">
        <v>4</v>
      </c>
      <c r="I1574" s="12">
        <f>Table16[[#This Row],[price]]*Table16[[#This Row],[quantity]]</f>
        <v>130.75</v>
      </c>
    </row>
    <row r="1575" spans="1:9" x14ac:dyDescent="0.3">
      <c r="A1575" t="s">
        <v>3593</v>
      </c>
      <c r="B1575" t="s">
        <v>305</v>
      </c>
      <c r="C1575" t="s">
        <v>2001</v>
      </c>
      <c r="D1575">
        <v>2</v>
      </c>
      <c r="E1575" s="16">
        <v>600.16</v>
      </c>
      <c r="F1575" s="1">
        <v>44535</v>
      </c>
      <c r="G1575" t="s">
        <v>2064</v>
      </c>
      <c r="H1575">
        <v>3</v>
      </c>
      <c r="I1575" s="12">
        <f>Table16[[#This Row],[price]]*Table16[[#This Row],[quantity]]</f>
        <v>1200.32</v>
      </c>
    </row>
    <row r="1576" spans="1:9" x14ac:dyDescent="0.3">
      <c r="A1576" t="s">
        <v>3596</v>
      </c>
      <c r="B1576" t="s">
        <v>305</v>
      </c>
      <c r="C1576" t="s">
        <v>2001</v>
      </c>
      <c r="D1576">
        <v>4</v>
      </c>
      <c r="E1576" s="16">
        <v>1200.32</v>
      </c>
      <c r="F1576" s="1">
        <v>44589</v>
      </c>
      <c r="G1576" t="s">
        <v>2027</v>
      </c>
      <c r="H1576">
        <v>4</v>
      </c>
      <c r="I1576" s="12">
        <f>Table16[[#This Row],[price]]*Table16[[#This Row],[quantity]]</f>
        <v>4801.28</v>
      </c>
    </row>
    <row r="1577" spans="1:9" x14ac:dyDescent="0.3">
      <c r="A1577" t="s">
        <v>3595</v>
      </c>
      <c r="B1577" t="s">
        <v>305</v>
      </c>
      <c r="C1577" t="s">
        <v>2011</v>
      </c>
      <c r="D1577">
        <v>5</v>
      </c>
      <c r="E1577" s="16">
        <v>203.3</v>
      </c>
      <c r="F1577" s="1">
        <v>44592</v>
      </c>
      <c r="G1577" t="s">
        <v>2027</v>
      </c>
      <c r="H1577">
        <v>2</v>
      </c>
      <c r="I1577" s="12">
        <f>Table16[[#This Row],[price]]*Table16[[#This Row],[quantity]]</f>
        <v>1016.5</v>
      </c>
    </row>
    <row r="1578" spans="1:9" x14ac:dyDescent="0.3">
      <c r="A1578" t="s">
        <v>3590</v>
      </c>
      <c r="B1578" t="s">
        <v>305</v>
      </c>
      <c r="C1578" t="s">
        <v>2001</v>
      </c>
      <c r="D1578">
        <v>4</v>
      </c>
      <c r="E1578" s="16">
        <v>1200.32</v>
      </c>
      <c r="F1578" s="1">
        <v>44646</v>
      </c>
      <c r="G1578" t="s">
        <v>2004</v>
      </c>
      <c r="H1578">
        <v>5</v>
      </c>
      <c r="I1578" s="12">
        <f>Table16[[#This Row],[price]]*Table16[[#This Row],[quantity]]</f>
        <v>4801.28</v>
      </c>
    </row>
    <row r="1579" spans="1:9" x14ac:dyDescent="0.3">
      <c r="A1579" t="s">
        <v>3589</v>
      </c>
      <c r="B1579" t="s">
        <v>305</v>
      </c>
      <c r="C1579" t="s">
        <v>2001</v>
      </c>
      <c r="D1579">
        <v>1</v>
      </c>
      <c r="E1579" s="16">
        <v>300.08</v>
      </c>
      <c r="F1579" s="1">
        <v>44800</v>
      </c>
      <c r="G1579" t="s">
        <v>2002</v>
      </c>
      <c r="H1579">
        <v>1</v>
      </c>
      <c r="I1579" s="12">
        <f>Table16[[#This Row],[price]]*Table16[[#This Row],[quantity]]</f>
        <v>300.08</v>
      </c>
    </row>
    <row r="1580" spans="1:9" x14ac:dyDescent="0.3">
      <c r="A1580" t="s">
        <v>3591</v>
      </c>
      <c r="B1580" t="s">
        <v>305</v>
      </c>
      <c r="C1580" t="s">
        <v>2011</v>
      </c>
      <c r="D1580">
        <v>4</v>
      </c>
      <c r="E1580" s="16">
        <v>162.63999999999999</v>
      </c>
      <c r="F1580" s="1">
        <v>44983</v>
      </c>
      <c r="G1580" t="s">
        <v>2002</v>
      </c>
      <c r="H1580">
        <v>4</v>
      </c>
      <c r="I1580" s="12">
        <f>Table16[[#This Row],[price]]*Table16[[#This Row],[quantity]]</f>
        <v>650.55999999999995</v>
      </c>
    </row>
    <row r="1581" spans="1:9" x14ac:dyDescent="0.3">
      <c r="A1581" t="s">
        <v>3605</v>
      </c>
      <c r="B1581" t="s">
        <v>306</v>
      </c>
      <c r="C1581" t="s">
        <v>2008</v>
      </c>
      <c r="D1581">
        <v>5</v>
      </c>
      <c r="E1581" s="16">
        <v>26.15</v>
      </c>
      <c r="F1581" s="1">
        <v>44300</v>
      </c>
      <c r="G1581" t="s">
        <v>2027</v>
      </c>
      <c r="H1581">
        <v>3</v>
      </c>
      <c r="I1581" s="12">
        <f>Table16[[#This Row],[price]]*Table16[[#This Row],[quantity]]</f>
        <v>130.75</v>
      </c>
    </row>
    <row r="1582" spans="1:9" x14ac:dyDescent="0.3">
      <c r="A1582" t="s">
        <v>3600</v>
      </c>
      <c r="B1582" t="s">
        <v>306</v>
      </c>
      <c r="C1582" t="s">
        <v>2011</v>
      </c>
      <c r="D1582">
        <v>2</v>
      </c>
      <c r="E1582" s="16">
        <v>81.319999999999993</v>
      </c>
      <c r="F1582" s="1">
        <v>44323</v>
      </c>
      <c r="G1582" t="s">
        <v>2002</v>
      </c>
      <c r="H1582">
        <v>5</v>
      </c>
      <c r="I1582" s="12">
        <f>Table16[[#This Row],[price]]*Table16[[#This Row],[quantity]]</f>
        <v>162.63999999999999</v>
      </c>
    </row>
    <row r="1583" spans="1:9" x14ac:dyDescent="0.3">
      <c r="A1583" t="s">
        <v>3603</v>
      </c>
      <c r="B1583" t="s">
        <v>306</v>
      </c>
      <c r="C1583" t="s">
        <v>2001</v>
      </c>
      <c r="D1583">
        <v>3</v>
      </c>
      <c r="E1583" s="16">
        <v>900.24</v>
      </c>
      <c r="F1583" s="1">
        <v>44355</v>
      </c>
      <c r="G1583" t="s">
        <v>2018</v>
      </c>
      <c r="H1583">
        <v>4</v>
      </c>
      <c r="I1583" s="12">
        <f>Table16[[#This Row],[price]]*Table16[[#This Row],[quantity]]</f>
        <v>2700.7200000000003</v>
      </c>
    </row>
    <row r="1584" spans="1:9" x14ac:dyDescent="0.3">
      <c r="A1584" t="s">
        <v>3599</v>
      </c>
      <c r="B1584" t="s">
        <v>306</v>
      </c>
      <c r="C1584" t="s">
        <v>2024</v>
      </c>
      <c r="D1584">
        <v>5</v>
      </c>
      <c r="E1584" s="16">
        <v>179.2</v>
      </c>
      <c r="F1584" s="1">
        <v>44526</v>
      </c>
      <c r="G1584" t="s">
        <v>2020</v>
      </c>
      <c r="H1584">
        <v>2</v>
      </c>
      <c r="I1584" s="12">
        <f>Table16[[#This Row],[price]]*Table16[[#This Row],[quantity]]</f>
        <v>896</v>
      </c>
    </row>
    <row r="1585" spans="1:9" x14ac:dyDescent="0.3">
      <c r="A1585" t="s">
        <v>3597</v>
      </c>
      <c r="B1585" t="s">
        <v>306</v>
      </c>
      <c r="C1585" t="s">
        <v>2011</v>
      </c>
      <c r="D1585">
        <v>3</v>
      </c>
      <c r="E1585" s="16">
        <v>121.98</v>
      </c>
      <c r="F1585" s="1">
        <v>44543</v>
      </c>
      <c r="G1585" t="s">
        <v>2002</v>
      </c>
      <c r="H1585">
        <v>5</v>
      </c>
      <c r="I1585" s="12">
        <f>Table16[[#This Row],[price]]*Table16[[#This Row],[quantity]]</f>
        <v>365.94</v>
      </c>
    </row>
    <row r="1586" spans="1:9" x14ac:dyDescent="0.3">
      <c r="A1586" t="s">
        <v>3601</v>
      </c>
      <c r="B1586" t="s">
        <v>306</v>
      </c>
      <c r="C1586" t="s">
        <v>2024</v>
      </c>
      <c r="D1586">
        <v>4</v>
      </c>
      <c r="E1586" s="16">
        <v>143.36000000000001</v>
      </c>
      <c r="F1586" s="1">
        <v>44741</v>
      </c>
      <c r="G1586" t="s">
        <v>2020</v>
      </c>
      <c r="H1586">
        <v>3</v>
      </c>
      <c r="I1586" s="12">
        <f>Table16[[#This Row],[price]]*Table16[[#This Row],[quantity]]</f>
        <v>573.44000000000005</v>
      </c>
    </row>
    <row r="1587" spans="1:9" x14ac:dyDescent="0.3">
      <c r="A1587" t="s">
        <v>3604</v>
      </c>
      <c r="B1587" t="s">
        <v>306</v>
      </c>
      <c r="C1587" t="s">
        <v>2001</v>
      </c>
      <c r="D1587">
        <v>2</v>
      </c>
      <c r="E1587" s="16">
        <v>600.16</v>
      </c>
      <c r="F1587" s="1">
        <v>44781</v>
      </c>
      <c r="G1587" t="s">
        <v>2012</v>
      </c>
      <c r="H1587">
        <v>4</v>
      </c>
      <c r="I1587" s="12">
        <f>Table16[[#This Row],[price]]*Table16[[#This Row],[quantity]]</f>
        <v>1200.32</v>
      </c>
    </row>
    <row r="1588" spans="1:9" x14ac:dyDescent="0.3">
      <c r="A1588" t="s">
        <v>3598</v>
      </c>
      <c r="B1588" t="s">
        <v>306</v>
      </c>
      <c r="C1588" t="s">
        <v>2011</v>
      </c>
      <c r="D1588">
        <v>5</v>
      </c>
      <c r="E1588" s="16">
        <v>203.3</v>
      </c>
      <c r="F1588" s="1">
        <v>44816</v>
      </c>
      <c r="G1588" t="s">
        <v>2012</v>
      </c>
      <c r="H1588">
        <v>5</v>
      </c>
      <c r="I1588" s="12">
        <f>Table16[[#This Row],[price]]*Table16[[#This Row],[quantity]]</f>
        <v>1016.5</v>
      </c>
    </row>
    <row r="1589" spans="1:9" x14ac:dyDescent="0.3">
      <c r="A1589" t="s">
        <v>3602</v>
      </c>
      <c r="B1589" t="s">
        <v>306</v>
      </c>
      <c r="C1589" t="s">
        <v>2011</v>
      </c>
      <c r="D1589">
        <v>4</v>
      </c>
      <c r="E1589" s="16">
        <v>162.63999999999999</v>
      </c>
      <c r="F1589" s="1">
        <v>44868</v>
      </c>
      <c r="G1589" t="s">
        <v>2002</v>
      </c>
      <c r="H1589">
        <v>1</v>
      </c>
      <c r="I1589" s="12">
        <f>Table16[[#This Row],[price]]*Table16[[#This Row],[quantity]]</f>
        <v>650.55999999999995</v>
      </c>
    </row>
    <row r="1590" spans="1:9" x14ac:dyDescent="0.3">
      <c r="A1590" t="s">
        <v>3612</v>
      </c>
      <c r="B1590" t="s">
        <v>307</v>
      </c>
      <c r="C1590" t="s">
        <v>2001</v>
      </c>
      <c r="D1590">
        <v>4</v>
      </c>
      <c r="E1590" s="16">
        <v>1200.32</v>
      </c>
      <c r="F1590" s="1">
        <v>44212</v>
      </c>
      <c r="G1590" t="s">
        <v>2041</v>
      </c>
      <c r="H1590">
        <v>2</v>
      </c>
      <c r="I1590" s="12">
        <f>Table16[[#This Row],[price]]*Table16[[#This Row],[quantity]]</f>
        <v>4801.28</v>
      </c>
    </row>
    <row r="1591" spans="1:9" x14ac:dyDescent="0.3">
      <c r="A1591" t="s">
        <v>3608</v>
      </c>
      <c r="B1591" t="s">
        <v>307</v>
      </c>
      <c r="C1591" t="s">
        <v>2008</v>
      </c>
      <c r="D1591">
        <v>4</v>
      </c>
      <c r="E1591" s="16">
        <v>20.92</v>
      </c>
      <c r="F1591" s="1">
        <v>44465</v>
      </c>
      <c r="G1591" t="s">
        <v>2027</v>
      </c>
      <c r="H1591">
        <v>5</v>
      </c>
      <c r="I1591" s="12">
        <f>Table16[[#This Row],[price]]*Table16[[#This Row],[quantity]]</f>
        <v>83.68</v>
      </c>
    </row>
    <row r="1592" spans="1:9" x14ac:dyDescent="0.3">
      <c r="A1592" t="s">
        <v>3606</v>
      </c>
      <c r="B1592" t="s">
        <v>307</v>
      </c>
      <c r="C1592" t="s">
        <v>2008</v>
      </c>
      <c r="D1592">
        <v>1</v>
      </c>
      <c r="E1592" s="16">
        <v>5.23</v>
      </c>
      <c r="F1592" s="1">
        <v>44537</v>
      </c>
      <c r="G1592" t="s">
        <v>2002</v>
      </c>
      <c r="H1592">
        <v>2</v>
      </c>
      <c r="I1592" s="12">
        <f>Table16[[#This Row],[price]]*Table16[[#This Row],[quantity]]</f>
        <v>5.23</v>
      </c>
    </row>
    <row r="1593" spans="1:9" x14ac:dyDescent="0.3">
      <c r="A1593" t="s">
        <v>3609</v>
      </c>
      <c r="B1593" t="s">
        <v>307</v>
      </c>
      <c r="C1593" t="s">
        <v>2057</v>
      </c>
      <c r="D1593">
        <v>5</v>
      </c>
      <c r="E1593" s="16">
        <v>58.65</v>
      </c>
      <c r="F1593" s="1">
        <v>44547</v>
      </c>
      <c r="G1593" t="s">
        <v>2004</v>
      </c>
      <c r="H1593">
        <v>2</v>
      </c>
      <c r="I1593" s="12">
        <f>Table16[[#This Row],[price]]*Table16[[#This Row],[quantity]]</f>
        <v>293.25</v>
      </c>
    </row>
    <row r="1594" spans="1:9" x14ac:dyDescent="0.3">
      <c r="A1594" t="s">
        <v>3610</v>
      </c>
      <c r="B1594" t="s">
        <v>307</v>
      </c>
      <c r="C1594" t="s">
        <v>2001</v>
      </c>
      <c r="D1594">
        <v>2</v>
      </c>
      <c r="E1594" s="16">
        <v>600.16</v>
      </c>
      <c r="F1594" s="1">
        <v>44669</v>
      </c>
      <c r="G1594" t="s">
        <v>2041</v>
      </c>
      <c r="H1594">
        <v>3</v>
      </c>
      <c r="I1594" s="12">
        <f>Table16[[#This Row],[price]]*Table16[[#This Row],[quantity]]</f>
        <v>1200.32</v>
      </c>
    </row>
    <row r="1595" spans="1:9" x14ac:dyDescent="0.3">
      <c r="A1595" t="s">
        <v>3607</v>
      </c>
      <c r="B1595" t="s">
        <v>307</v>
      </c>
      <c r="C1595" t="s">
        <v>2001</v>
      </c>
      <c r="D1595">
        <v>5</v>
      </c>
      <c r="E1595" s="16">
        <v>1500.4</v>
      </c>
      <c r="F1595" s="1">
        <v>44872</v>
      </c>
      <c r="G1595" t="s">
        <v>2009</v>
      </c>
      <c r="H1595">
        <v>3</v>
      </c>
      <c r="I1595" s="12">
        <f>Table16[[#This Row],[price]]*Table16[[#This Row],[quantity]]</f>
        <v>7502</v>
      </c>
    </row>
    <row r="1596" spans="1:9" x14ac:dyDescent="0.3">
      <c r="A1596" t="s">
        <v>3611</v>
      </c>
      <c r="B1596" t="s">
        <v>307</v>
      </c>
      <c r="C1596" t="s">
        <v>2011</v>
      </c>
      <c r="D1596">
        <v>5</v>
      </c>
      <c r="E1596" s="16">
        <v>203.3</v>
      </c>
      <c r="F1596" s="1">
        <v>44904</v>
      </c>
      <c r="G1596" t="s">
        <v>2027</v>
      </c>
      <c r="H1596">
        <v>1</v>
      </c>
      <c r="I1596" s="12">
        <f>Table16[[#This Row],[price]]*Table16[[#This Row],[quantity]]</f>
        <v>1016.5</v>
      </c>
    </row>
    <row r="1597" spans="1:9" x14ac:dyDescent="0.3">
      <c r="A1597" t="s">
        <v>3615</v>
      </c>
      <c r="B1597" t="s">
        <v>308</v>
      </c>
      <c r="C1597" t="s">
        <v>2057</v>
      </c>
      <c r="D1597">
        <v>4</v>
      </c>
      <c r="E1597" s="16">
        <v>46.92</v>
      </c>
      <c r="F1597" s="1">
        <v>44307</v>
      </c>
      <c r="G1597" t="s">
        <v>2027</v>
      </c>
      <c r="H1597">
        <v>2</v>
      </c>
      <c r="I1597" s="12">
        <f>Table16[[#This Row],[price]]*Table16[[#This Row],[quantity]]</f>
        <v>187.68</v>
      </c>
    </row>
    <row r="1598" spans="1:9" x14ac:dyDescent="0.3">
      <c r="A1598" t="s">
        <v>3613</v>
      </c>
      <c r="B1598" t="s">
        <v>308</v>
      </c>
      <c r="C1598" t="s">
        <v>2008</v>
      </c>
      <c r="D1598">
        <v>2</v>
      </c>
      <c r="E1598" s="16">
        <v>10.46</v>
      </c>
      <c r="F1598" s="1">
        <v>44594</v>
      </c>
      <c r="G1598" t="s">
        <v>2002</v>
      </c>
      <c r="H1598">
        <v>3</v>
      </c>
      <c r="I1598" s="12">
        <f>Table16[[#This Row],[price]]*Table16[[#This Row],[quantity]]</f>
        <v>20.92</v>
      </c>
    </row>
    <row r="1599" spans="1:9" x14ac:dyDescent="0.3">
      <c r="A1599" t="s">
        <v>3619</v>
      </c>
      <c r="B1599" t="s">
        <v>308</v>
      </c>
      <c r="C1599" t="s">
        <v>2001</v>
      </c>
      <c r="D1599">
        <v>4</v>
      </c>
      <c r="E1599" s="16">
        <v>1200.32</v>
      </c>
      <c r="F1599" s="1">
        <v>44597</v>
      </c>
      <c r="G1599" t="s">
        <v>2018</v>
      </c>
      <c r="H1599">
        <v>4</v>
      </c>
      <c r="I1599" s="12">
        <f>Table16[[#This Row],[price]]*Table16[[#This Row],[quantity]]</f>
        <v>4801.28</v>
      </c>
    </row>
    <row r="1600" spans="1:9" x14ac:dyDescent="0.3">
      <c r="A1600" t="s">
        <v>3616</v>
      </c>
      <c r="B1600" t="s">
        <v>308</v>
      </c>
      <c r="C1600" t="s">
        <v>2008</v>
      </c>
      <c r="D1600">
        <v>2</v>
      </c>
      <c r="E1600" s="16">
        <v>10.46</v>
      </c>
      <c r="F1600" s="1">
        <v>44619</v>
      </c>
      <c r="G1600" t="s">
        <v>2004</v>
      </c>
      <c r="H1600">
        <v>4</v>
      </c>
      <c r="I1600" s="12">
        <f>Table16[[#This Row],[price]]*Table16[[#This Row],[quantity]]</f>
        <v>20.92</v>
      </c>
    </row>
    <row r="1601" spans="1:9" x14ac:dyDescent="0.3">
      <c r="A1601" t="s">
        <v>3618</v>
      </c>
      <c r="B1601" t="s">
        <v>308</v>
      </c>
      <c r="C1601" t="s">
        <v>2001</v>
      </c>
      <c r="D1601">
        <v>5</v>
      </c>
      <c r="E1601" s="16">
        <v>1500.4</v>
      </c>
      <c r="F1601" s="1">
        <v>44759</v>
      </c>
      <c r="G1601" t="s">
        <v>2058</v>
      </c>
      <c r="H1601">
        <v>4</v>
      </c>
      <c r="I1601" s="12">
        <f>Table16[[#This Row],[price]]*Table16[[#This Row],[quantity]]</f>
        <v>7502</v>
      </c>
    </row>
    <row r="1602" spans="1:9" x14ac:dyDescent="0.3">
      <c r="A1602" t="s">
        <v>3617</v>
      </c>
      <c r="B1602" t="s">
        <v>308</v>
      </c>
      <c r="C1602" t="s">
        <v>2001</v>
      </c>
      <c r="D1602">
        <v>4</v>
      </c>
      <c r="E1602" s="16">
        <v>1200.32</v>
      </c>
      <c r="F1602" s="1">
        <v>44887</v>
      </c>
      <c r="G1602" t="s">
        <v>2027</v>
      </c>
      <c r="H1602">
        <v>5</v>
      </c>
      <c r="I1602" s="12">
        <f>Table16[[#This Row],[price]]*Table16[[#This Row],[quantity]]</f>
        <v>4801.28</v>
      </c>
    </row>
    <row r="1603" spans="1:9" x14ac:dyDescent="0.3">
      <c r="A1603" t="s">
        <v>3614</v>
      </c>
      <c r="B1603" t="s">
        <v>308</v>
      </c>
      <c r="C1603" t="s">
        <v>2008</v>
      </c>
      <c r="D1603">
        <v>4</v>
      </c>
      <c r="E1603" s="16">
        <v>20.92</v>
      </c>
      <c r="F1603" s="1">
        <v>44983</v>
      </c>
      <c r="G1603" t="s">
        <v>2020</v>
      </c>
      <c r="H1603">
        <v>4</v>
      </c>
      <c r="I1603" s="12">
        <f>Table16[[#This Row],[price]]*Table16[[#This Row],[quantity]]</f>
        <v>83.68</v>
      </c>
    </row>
    <row r="1604" spans="1:9" x14ac:dyDescent="0.3">
      <c r="A1604" t="s">
        <v>3622</v>
      </c>
      <c r="B1604" t="s">
        <v>309</v>
      </c>
      <c r="C1604" t="s">
        <v>2001</v>
      </c>
      <c r="D1604">
        <v>1</v>
      </c>
      <c r="E1604" s="16">
        <v>300.08</v>
      </c>
      <c r="F1604" s="1">
        <v>44447</v>
      </c>
      <c r="G1604" t="s">
        <v>2064</v>
      </c>
      <c r="H1604">
        <v>4</v>
      </c>
      <c r="I1604" s="12">
        <f>Table16[[#This Row],[price]]*Table16[[#This Row],[quantity]]</f>
        <v>300.08</v>
      </c>
    </row>
    <row r="1605" spans="1:9" x14ac:dyDescent="0.3">
      <c r="A1605" t="s">
        <v>3620</v>
      </c>
      <c r="B1605" t="s">
        <v>309</v>
      </c>
      <c r="C1605" t="s">
        <v>2001</v>
      </c>
      <c r="D1605">
        <v>2</v>
      </c>
      <c r="E1605" s="16">
        <v>600.16</v>
      </c>
      <c r="F1605" s="1">
        <v>44708</v>
      </c>
      <c r="G1605" t="s">
        <v>2058</v>
      </c>
      <c r="H1605">
        <v>2</v>
      </c>
      <c r="I1605" s="12">
        <f>Table16[[#This Row],[price]]*Table16[[#This Row],[quantity]]</f>
        <v>1200.32</v>
      </c>
    </row>
    <row r="1606" spans="1:9" x14ac:dyDescent="0.3">
      <c r="A1606" t="s">
        <v>3621</v>
      </c>
      <c r="B1606" t="s">
        <v>309</v>
      </c>
      <c r="C1606" t="s">
        <v>2001</v>
      </c>
      <c r="D1606">
        <v>3</v>
      </c>
      <c r="E1606" s="16">
        <v>900.24</v>
      </c>
      <c r="F1606" s="1">
        <v>44945</v>
      </c>
      <c r="G1606" t="s">
        <v>2020</v>
      </c>
      <c r="H1606">
        <v>1</v>
      </c>
      <c r="I1606" s="12">
        <f>Table16[[#This Row],[price]]*Table16[[#This Row],[quantity]]</f>
        <v>2700.7200000000003</v>
      </c>
    </row>
    <row r="1607" spans="1:9" x14ac:dyDescent="0.3">
      <c r="A1607" t="s">
        <v>3623</v>
      </c>
      <c r="B1607" t="s">
        <v>309</v>
      </c>
      <c r="C1607" t="s">
        <v>2024</v>
      </c>
      <c r="D1607">
        <v>1</v>
      </c>
      <c r="E1607" s="16">
        <v>35.840000000000003</v>
      </c>
      <c r="F1607" s="1">
        <v>44980</v>
      </c>
      <c r="G1607" t="s">
        <v>2064</v>
      </c>
      <c r="H1607">
        <v>1</v>
      </c>
      <c r="I1607" s="12">
        <f>Table16[[#This Row],[price]]*Table16[[#This Row],[quantity]]</f>
        <v>35.840000000000003</v>
      </c>
    </row>
    <row r="1608" spans="1:9" x14ac:dyDescent="0.3">
      <c r="A1608" t="s">
        <v>3626</v>
      </c>
      <c r="B1608" t="s">
        <v>310</v>
      </c>
      <c r="C1608" t="s">
        <v>2024</v>
      </c>
      <c r="D1608">
        <v>1</v>
      </c>
      <c r="E1608" s="16">
        <v>35.840000000000003</v>
      </c>
      <c r="F1608" s="1">
        <v>44340</v>
      </c>
      <c r="G1608" t="s">
        <v>2027</v>
      </c>
      <c r="H1608">
        <v>3</v>
      </c>
      <c r="I1608" s="12">
        <f>Table16[[#This Row],[price]]*Table16[[#This Row],[quantity]]</f>
        <v>35.840000000000003</v>
      </c>
    </row>
    <row r="1609" spans="1:9" x14ac:dyDescent="0.3">
      <c r="A1609" t="s">
        <v>3630</v>
      </c>
      <c r="B1609" t="s">
        <v>310</v>
      </c>
      <c r="C1609" t="s">
        <v>2008</v>
      </c>
      <c r="D1609">
        <v>2</v>
      </c>
      <c r="E1609" s="16">
        <v>10.46</v>
      </c>
      <c r="F1609" s="1">
        <v>44360</v>
      </c>
      <c r="G1609" t="s">
        <v>2020</v>
      </c>
      <c r="H1609">
        <v>5</v>
      </c>
      <c r="I1609" s="12">
        <f>Table16[[#This Row],[price]]*Table16[[#This Row],[quantity]]</f>
        <v>20.92</v>
      </c>
    </row>
    <row r="1610" spans="1:9" x14ac:dyDescent="0.3">
      <c r="A1610" t="s">
        <v>3629</v>
      </c>
      <c r="B1610" t="s">
        <v>310</v>
      </c>
      <c r="C1610" t="s">
        <v>2006</v>
      </c>
      <c r="D1610">
        <v>4</v>
      </c>
      <c r="E1610" s="16">
        <v>60.6</v>
      </c>
      <c r="F1610" s="1">
        <v>44384</v>
      </c>
      <c r="G1610" t="s">
        <v>2002</v>
      </c>
      <c r="H1610">
        <v>4</v>
      </c>
      <c r="I1610" s="12">
        <f>Table16[[#This Row],[price]]*Table16[[#This Row],[quantity]]</f>
        <v>242.4</v>
      </c>
    </row>
    <row r="1611" spans="1:9" x14ac:dyDescent="0.3">
      <c r="A1611" t="s">
        <v>3627</v>
      </c>
      <c r="B1611" t="s">
        <v>310</v>
      </c>
      <c r="C1611" t="s">
        <v>2015</v>
      </c>
      <c r="D1611">
        <v>4</v>
      </c>
      <c r="E1611" s="16">
        <v>2400.6799999999998</v>
      </c>
      <c r="F1611" s="1">
        <v>44408</v>
      </c>
      <c r="G1611" t="s">
        <v>2018</v>
      </c>
      <c r="H1611">
        <v>3</v>
      </c>
      <c r="I1611" s="12">
        <f>Table16[[#This Row],[price]]*Table16[[#This Row],[quantity]]</f>
        <v>9602.7199999999993</v>
      </c>
    </row>
    <row r="1612" spans="1:9" x14ac:dyDescent="0.3">
      <c r="A1612" t="s">
        <v>3625</v>
      </c>
      <c r="B1612" t="s">
        <v>310</v>
      </c>
      <c r="C1612" t="s">
        <v>2001</v>
      </c>
      <c r="D1612">
        <v>2</v>
      </c>
      <c r="E1612" s="16">
        <v>600.16</v>
      </c>
      <c r="F1612" s="1">
        <v>44687</v>
      </c>
      <c r="G1612" t="s">
        <v>2020</v>
      </c>
      <c r="H1612">
        <v>4</v>
      </c>
      <c r="I1612" s="12">
        <f>Table16[[#This Row],[price]]*Table16[[#This Row],[quantity]]</f>
        <v>1200.32</v>
      </c>
    </row>
    <row r="1613" spans="1:9" x14ac:dyDescent="0.3">
      <c r="A1613" t="s">
        <v>3624</v>
      </c>
      <c r="B1613" t="s">
        <v>310</v>
      </c>
      <c r="C1613" t="s">
        <v>2006</v>
      </c>
      <c r="D1613">
        <v>4</v>
      </c>
      <c r="E1613" s="16">
        <v>60.6</v>
      </c>
      <c r="F1613" s="1">
        <v>44724</v>
      </c>
      <c r="G1613" t="s">
        <v>2004</v>
      </c>
      <c r="H1613">
        <v>1</v>
      </c>
      <c r="I1613" s="12">
        <f>Table16[[#This Row],[price]]*Table16[[#This Row],[quantity]]</f>
        <v>242.4</v>
      </c>
    </row>
    <row r="1614" spans="1:9" x14ac:dyDescent="0.3">
      <c r="A1614" t="s">
        <v>3628</v>
      </c>
      <c r="B1614" t="s">
        <v>310</v>
      </c>
      <c r="C1614" t="s">
        <v>2008</v>
      </c>
      <c r="D1614">
        <v>5</v>
      </c>
      <c r="E1614" s="16">
        <v>26.15</v>
      </c>
      <c r="F1614" s="1">
        <v>44990</v>
      </c>
      <c r="G1614" t="s">
        <v>2027</v>
      </c>
      <c r="H1614">
        <v>4</v>
      </c>
      <c r="I1614" s="12">
        <f>Table16[[#This Row],[price]]*Table16[[#This Row],[quantity]]</f>
        <v>130.75</v>
      </c>
    </row>
    <row r="1615" spans="1:9" x14ac:dyDescent="0.3">
      <c r="A1615" t="s">
        <v>3634</v>
      </c>
      <c r="B1615" t="s">
        <v>311</v>
      </c>
      <c r="C1615" t="s">
        <v>2006</v>
      </c>
      <c r="D1615">
        <v>4</v>
      </c>
      <c r="E1615" s="16">
        <v>60.6</v>
      </c>
      <c r="F1615" s="1">
        <v>44244</v>
      </c>
      <c r="G1615" t="s">
        <v>2002</v>
      </c>
      <c r="H1615">
        <v>2</v>
      </c>
      <c r="I1615" s="12">
        <f>Table16[[#This Row],[price]]*Table16[[#This Row],[quantity]]</f>
        <v>242.4</v>
      </c>
    </row>
    <row r="1616" spans="1:9" x14ac:dyDescent="0.3">
      <c r="A1616" t="s">
        <v>3635</v>
      </c>
      <c r="B1616" t="s">
        <v>311</v>
      </c>
      <c r="C1616" t="s">
        <v>2001</v>
      </c>
      <c r="D1616">
        <v>5</v>
      </c>
      <c r="E1616" s="16">
        <v>1500.4</v>
      </c>
      <c r="F1616" s="1">
        <v>44347</v>
      </c>
      <c r="G1616" t="s">
        <v>2004</v>
      </c>
      <c r="H1616">
        <v>2</v>
      </c>
      <c r="I1616" s="12">
        <f>Table16[[#This Row],[price]]*Table16[[#This Row],[quantity]]</f>
        <v>7502</v>
      </c>
    </row>
    <row r="1617" spans="1:9" x14ac:dyDescent="0.3">
      <c r="A1617" t="s">
        <v>3636</v>
      </c>
      <c r="B1617" t="s">
        <v>311</v>
      </c>
      <c r="C1617" t="s">
        <v>2001</v>
      </c>
      <c r="D1617">
        <v>1</v>
      </c>
      <c r="E1617" s="16">
        <v>300.08</v>
      </c>
      <c r="F1617" s="1">
        <v>44381</v>
      </c>
      <c r="G1617" t="s">
        <v>2064</v>
      </c>
      <c r="H1617">
        <v>2</v>
      </c>
      <c r="I1617" s="12">
        <f>Table16[[#This Row],[price]]*Table16[[#This Row],[quantity]]</f>
        <v>300.08</v>
      </c>
    </row>
    <row r="1618" spans="1:9" x14ac:dyDescent="0.3">
      <c r="A1618" t="s">
        <v>3633</v>
      </c>
      <c r="B1618" t="s">
        <v>311</v>
      </c>
      <c r="C1618" t="s">
        <v>2008</v>
      </c>
      <c r="D1618">
        <v>5</v>
      </c>
      <c r="E1618" s="16">
        <v>26.15</v>
      </c>
      <c r="F1618" s="1">
        <v>44536</v>
      </c>
      <c r="G1618" t="s">
        <v>2020</v>
      </c>
      <c r="H1618">
        <v>3</v>
      </c>
      <c r="I1618" s="12">
        <f>Table16[[#This Row],[price]]*Table16[[#This Row],[quantity]]</f>
        <v>130.75</v>
      </c>
    </row>
    <row r="1619" spans="1:9" x14ac:dyDescent="0.3">
      <c r="A1619" t="s">
        <v>3631</v>
      </c>
      <c r="B1619" t="s">
        <v>311</v>
      </c>
      <c r="C1619" t="s">
        <v>2008</v>
      </c>
      <c r="D1619">
        <v>4</v>
      </c>
      <c r="E1619" s="16">
        <v>20.92</v>
      </c>
      <c r="F1619" s="1">
        <v>44581</v>
      </c>
      <c r="G1619" t="s">
        <v>2004</v>
      </c>
      <c r="H1619">
        <v>2</v>
      </c>
      <c r="I1619" s="12">
        <f>Table16[[#This Row],[price]]*Table16[[#This Row],[quantity]]</f>
        <v>83.68</v>
      </c>
    </row>
    <row r="1620" spans="1:9" x14ac:dyDescent="0.3">
      <c r="A1620" t="s">
        <v>3637</v>
      </c>
      <c r="B1620" t="s">
        <v>311</v>
      </c>
      <c r="C1620" t="s">
        <v>2008</v>
      </c>
      <c r="D1620">
        <v>5</v>
      </c>
      <c r="E1620" s="16">
        <v>26.15</v>
      </c>
      <c r="F1620" s="1">
        <v>44704</v>
      </c>
      <c r="G1620" t="s">
        <v>2058</v>
      </c>
      <c r="H1620">
        <v>3</v>
      </c>
      <c r="I1620" s="12">
        <f>Table16[[#This Row],[price]]*Table16[[#This Row],[quantity]]</f>
        <v>130.75</v>
      </c>
    </row>
    <row r="1621" spans="1:9" x14ac:dyDescent="0.3">
      <c r="A1621" t="s">
        <v>3632</v>
      </c>
      <c r="B1621" t="s">
        <v>311</v>
      </c>
      <c r="C1621" t="s">
        <v>2024</v>
      </c>
      <c r="D1621">
        <v>3</v>
      </c>
      <c r="E1621" s="16">
        <v>107.52</v>
      </c>
      <c r="F1621" s="1">
        <v>44760</v>
      </c>
      <c r="G1621" t="s">
        <v>2004</v>
      </c>
      <c r="H1621">
        <v>1</v>
      </c>
      <c r="I1621" s="12">
        <f>Table16[[#This Row],[price]]*Table16[[#This Row],[quantity]]</f>
        <v>322.56</v>
      </c>
    </row>
    <row r="1622" spans="1:9" x14ac:dyDescent="0.3">
      <c r="A1622" t="s">
        <v>3638</v>
      </c>
      <c r="B1622" t="s">
        <v>312</v>
      </c>
      <c r="C1622" t="s">
        <v>2015</v>
      </c>
      <c r="D1622">
        <v>2</v>
      </c>
      <c r="E1622" s="16">
        <v>1200.3399999999999</v>
      </c>
      <c r="F1622" s="1">
        <v>44567</v>
      </c>
      <c r="G1622" t="s">
        <v>2004</v>
      </c>
      <c r="H1622">
        <v>2</v>
      </c>
      <c r="I1622" s="12">
        <f>Table16[[#This Row],[price]]*Table16[[#This Row],[quantity]]</f>
        <v>2400.6799999999998</v>
      </c>
    </row>
    <row r="1623" spans="1:9" x14ac:dyDescent="0.3">
      <c r="A1623" t="s">
        <v>3639</v>
      </c>
      <c r="B1623" t="s">
        <v>312</v>
      </c>
      <c r="C1623" t="s">
        <v>2015</v>
      </c>
      <c r="D1623">
        <v>3</v>
      </c>
      <c r="E1623" s="16">
        <v>1800.51</v>
      </c>
      <c r="F1623" s="1">
        <v>44632</v>
      </c>
      <c r="G1623" t="s">
        <v>2004</v>
      </c>
      <c r="H1623">
        <v>2</v>
      </c>
      <c r="I1623" s="12">
        <f>Table16[[#This Row],[price]]*Table16[[#This Row],[quantity]]</f>
        <v>5401.53</v>
      </c>
    </row>
    <row r="1624" spans="1:9" x14ac:dyDescent="0.3">
      <c r="A1624" t="s">
        <v>3640</v>
      </c>
      <c r="B1624" t="s">
        <v>313</v>
      </c>
      <c r="C1624" t="s">
        <v>2001</v>
      </c>
      <c r="D1624">
        <v>4</v>
      </c>
      <c r="E1624" s="16">
        <v>1200.32</v>
      </c>
      <c r="F1624" s="1">
        <v>44448</v>
      </c>
      <c r="G1624" t="s">
        <v>2004</v>
      </c>
      <c r="H1624">
        <v>4</v>
      </c>
      <c r="I1624" s="12">
        <f>Table16[[#This Row],[price]]*Table16[[#This Row],[quantity]]</f>
        <v>4801.28</v>
      </c>
    </row>
    <row r="1625" spans="1:9" x14ac:dyDescent="0.3">
      <c r="A1625" t="s">
        <v>3642</v>
      </c>
      <c r="B1625" t="s">
        <v>313</v>
      </c>
      <c r="C1625" t="s">
        <v>2001</v>
      </c>
      <c r="D1625">
        <v>3</v>
      </c>
      <c r="E1625" s="16">
        <v>900.24</v>
      </c>
      <c r="F1625" s="1">
        <v>44693</v>
      </c>
      <c r="G1625" t="s">
        <v>2020</v>
      </c>
      <c r="H1625">
        <v>2</v>
      </c>
      <c r="I1625" s="12">
        <f>Table16[[#This Row],[price]]*Table16[[#This Row],[quantity]]</f>
        <v>2700.7200000000003</v>
      </c>
    </row>
    <row r="1626" spans="1:9" x14ac:dyDescent="0.3">
      <c r="A1626" t="s">
        <v>3641</v>
      </c>
      <c r="B1626" t="s">
        <v>313</v>
      </c>
      <c r="C1626" t="s">
        <v>2011</v>
      </c>
      <c r="D1626">
        <v>3</v>
      </c>
      <c r="E1626" s="16">
        <v>121.98</v>
      </c>
      <c r="F1626" s="1">
        <v>44739</v>
      </c>
      <c r="G1626" t="s">
        <v>2027</v>
      </c>
      <c r="H1626">
        <v>1</v>
      </c>
      <c r="I1626" s="12">
        <f>Table16[[#This Row],[price]]*Table16[[#This Row],[quantity]]</f>
        <v>365.94</v>
      </c>
    </row>
    <row r="1627" spans="1:9" x14ac:dyDescent="0.3">
      <c r="A1627" t="s">
        <v>3644</v>
      </c>
      <c r="B1627" t="s">
        <v>314</v>
      </c>
      <c r="C1627" t="s">
        <v>2024</v>
      </c>
      <c r="D1627">
        <v>5</v>
      </c>
      <c r="E1627" s="16">
        <v>179.2</v>
      </c>
      <c r="F1627" s="1">
        <v>44269</v>
      </c>
      <c r="G1627" t="s">
        <v>2004</v>
      </c>
      <c r="H1627">
        <v>4</v>
      </c>
      <c r="I1627" s="12">
        <f>Table16[[#This Row],[price]]*Table16[[#This Row],[quantity]]</f>
        <v>896</v>
      </c>
    </row>
    <row r="1628" spans="1:9" x14ac:dyDescent="0.3">
      <c r="A1628" t="s">
        <v>3645</v>
      </c>
      <c r="B1628" t="s">
        <v>314</v>
      </c>
      <c r="C1628" t="s">
        <v>2001</v>
      </c>
      <c r="D1628">
        <v>3</v>
      </c>
      <c r="E1628" s="16">
        <v>900.24</v>
      </c>
      <c r="F1628" s="1">
        <v>44503</v>
      </c>
      <c r="G1628" t="s">
        <v>2004</v>
      </c>
      <c r="H1628">
        <v>1</v>
      </c>
      <c r="I1628" s="12">
        <f>Table16[[#This Row],[price]]*Table16[[#This Row],[quantity]]</f>
        <v>2700.7200000000003</v>
      </c>
    </row>
    <row r="1629" spans="1:9" x14ac:dyDescent="0.3">
      <c r="A1629" t="s">
        <v>3647</v>
      </c>
      <c r="B1629" t="s">
        <v>314</v>
      </c>
      <c r="C1629" t="s">
        <v>2015</v>
      </c>
      <c r="D1629">
        <v>5</v>
      </c>
      <c r="E1629" s="16">
        <v>3000.85</v>
      </c>
      <c r="F1629" s="1">
        <v>44792</v>
      </c>
      <c r="G1629" t="s">
        <v>2064</v>
      </c>
      <c r="H1629">
        <v>1</v>
      </c>
      <c r="I1629" s="12">
        <f>Table16[[#This Row],[price]]*Table16[[#This Row],[quantity]]</f>
        <v>15004.25</v>
      </c>
    </row>
    <row r="1630" spans="1:9" x14ac:dyDescent="0.3">
      <c r="A1630" t="s">
        <v>3643</v>
      </c>
      <c r="B1630" t="s">
        <v>314</v>
      </c>
      <c r="C1630" t="s">
        <v>2017</v>
      </c>
      <c r="D1630">
        <v>2</v>
      </c>
      <c r="E1630" s="16">
        <v>2100</v>
      </c>
      <c r="F1630" s="1">
        <v>44949</v>
      </c>
      <c r="G1630" t="s">
        <v>2002</v>
      </c>
      <c r="H1630">
        <v>4</v>
      </c>
      <c r="I1630" s="12">
        <f>Table16[[#This Row],[price]]*Table16[[#This Row],[quantity]]</f>
        <v>4200</v>
      </c>
    </row>
    <row r="1631" spans="1:9" x14ac:dyDescent="0.3">
      <c r="A1631" t="s">
        <v>3646</v>
      </c>
      <c r="B1631" t="s">
        <v>314</v>
      </c>
      <c r="C1631" t="s">
        <v>2006</v>
      </c>
      <c r="D1631">
        <v>3</v>
      </c>
      <c r="E1631" s="16">
        <v>45.45</v>
      </c>
      <c r="F1631" s="1">
        <v>44951</v>
      </c>
      <c r="G1631" t="s">
        <v>2064</v>
      </c>
      <c r="H1631">
        <v>2</v>
      </c>
      <c r="I1631" s="12">
        <f>Table16[[#This Row],[price]]*Table16[[#This Row],[quantity]]</f>
        <v>136.35000000000002</v>
      </c>
    </row>
    <row r="1632" spans="1:9" x14ac:dyDescent="0.3">
      <c r="A1632" t="s">
        <v>3652</v>
      </c>
      <c r="B1632" t="s">
        <v>315</v>
      </c>
      <c r="C1632" t="s">
        <v>2017</v>
      </c>
      <c r="D1632">
        <v>1</v>
      </c>
      <c r="E1632" s="16">
        <v>1050</v>
      </c>
      <c r="F1632" s="1">
        <v>44415</v>
      </c>
      <c r="G1632" t="s">
        <v>2009</v>
      </c>
      <c r="H1632">
        <v>1</v>
      </c>
      <c r="I1632" s="12">
        <f>Table16[[#This Row],[price]]*Table16[[#This Row],[quantity]]</f>
        <v>1050</v>
      </c>
    </row>
    <row r="1633" spans="1:9" x14ac:dyDescent="0.3">
      <c r="A1633" t="s">
        <v>3648</v>
      </c>
      <c r="B1633" t="s">
        <v>315</v>
      </c>
      <c r="C1633" t="s">
        <v>2024</v>
      </c>
      <c r="D1633">
        <v>5</v>
      </c>
      <c r="E1633" s="16">
        <v>179.2</v>
      </c>
      <c r="F1633" s="1">
        <v>44427</v>
      </c>
      <c r="G1633" t="s">
        <v>2058</v>
      </c>
      <c r="H1633">
        <v>3</v>
      </c>
      <c r="I1633" s="12">
        <f>Table16[[#This Row],[price]]*Table16[[#This Row],[quantity]]</f>
        <v>896</v>
      </c>
    </row>
    <row r="1634" spans="1:9" x14ac:dyDescent="0.3">
      <c r="A1634" t="s">
        <v>3649</v>
      </c>
      <c r="B1634" t="s">
        <v>315</v>
      </c>
      <c r="C1634" t="s">
        <v>2011</v>
      </c>
      <c r="D1634">
        <v>1</v>
      </c>
      <c r="E1634" s="16">
        <v>40.659999999999997</v>
      </c>
      <c r="F1634" s="1">
        <v>44633</v>
      </c>
      <c r="G1634" t="s">
        <v>2064</v>
      </c>
      <c r="H1634">
        <v>4</v>
      </c>
      <c r="I1634" s="12">
        <f>Table16[[#This Row],[price]]*Table16[[#This Row],[quantity]]</f>
        <v>40.659999999999997</v>
      </c>
    </row>
    <row r="1635" spans="1:9" x14ac:dyDescent="0.3">
      <c r="A1635" t="s">
        <v>3650</v>
      </c>
      <c r="B1635" t="s">
        <v>315</v>
      </c>
      <c r="C1635" t="s">
        <v>2015</v>
      </c>
      <c r="D1635">
        <v>5</v>
      </c>
      <c r="E1635" s="16">
        <v>3000.85</v>
      </c>
      <c r="F1635" s="1">
        <v>44689</v>
      </c>
      <c r="G1635" t="s">
        <v>2004</v>
      </c>
      <c r="H1635">
        <v>1</v>
      </c>
      <c r="I1635" s="12">
        <f>Table16[[#This Row],[price]]*Table16[[#This Row],[quantity]]</f>
        <v>15004.25</v>
      </c>
    </row>
    <row r="1636" spans="1:9" x14ac:dyDescent="0.3">
      <c r="A1636" t="s">
        <v>3651</v>
      </c>
      <c r="B1636" t="s">
        <v>315</v>
      </c>
      <c r="C1636" t="s">
        <v>2001</v>
      </c>
      <c r="D1636">
        <v>1</v>
      </c>
      <c r="E1636" s="16">
        <v>300.08</v>
      </c>
      <c r="F1636" s="1">
        <v>44953</v>
      </c>
      <c r="G1636" t="s">
        <v>2004</v>
      </c>
      <c r="H1636">
        <v>4</v>
      </c>
      <c r="I1636" s="12">
        <f>Table16[[#This Row],[price]]*Table16[[#This Row],[quantity]]</f>
        <v>300.08</v>
      </c>
    </row>
    <row r="1637" spans="1:9" x14ac:dyDescent="0.3">
      <c r="A1637" t="s">
        <v>3656</v>
      </c>
      <c r="B1637" t="s">
        <v>316</v>
      </c>
      <c r="C1637" t="s">
        <v>2001</v>
      </c>
      <c r="D1637">
        <v>1</v>
      </c>
      <c r="E1637" s="16">
        <v>300.08</v>
      </c>
      <c r="F1637" s="1">
        <v>44313</v>
      </c>
      <c r="G1637" t="s">
        <v>2009</v>
      </c>
      <c r="H1637">
        <v>4</v>
      </c>
      <c r="I1637" s="12">
        <f>Table16[[#This Row],[price]]*Table16[[#This Row],[quantity]]</f>
        <v>300.08</v>
      </c>
    </row>
    <row r="1638" spans="1:9" x14ac:dyDescent="0.3">
      <c r="A1638" t="s">
        <v>3658</v>
      </c>
      <c r="B1638" t="s">
        <v>316</v>
      </c>
      <c r="C1638" t="s">
        <v>2024</v>
      </c>
      <c r="D1638">
        <v>1</v>
      </c>
      <c r="E1638" s="16">
        <v>35.840000000000003</v>
      </c>
      <c r="F1638" s="1">
        <v>44365</v>
      </c>
      <c r="G1638" t="s">
        <v>2002</v>
      </c>
      <c r="H1638">
        <v>5</v>
      </c>
      <c r="I1638" s="12">
        <f>Table16[[#This Row],[price]]*Table16[[#This Row],[quantity]]</f>
        <v>35.840000000000003</v>
      </c>
    </row>
    <row r="1639" spans="1:9" x14ac:dyDescent="0.3">
      <c r="A1639" t="s">
        <v>3657</v>
      </c>
      <c r="B1639" t="s">
        <v>316</v>
      </c>
      <c r="C1639" t="s">
        <v>2008</v>
      </c>
      <c r="D1639">
        <v>4</v>
      </c>
      <c r="E1639" s="16">
        <v>20.92</v>
      </c>
      <c r="F1639" s="1">
        <v>44499</v>
      </c>
      <c r="G1639" t="s">
        <v>2064</v>
      </c>
      <c r="H1639">
        <v>5</v>
      </c>
      <c r="I1639" s="12">
        <f>Table16[[#This Row],[price]]*Table16[[#This Row],[quantity]]</f>
        <v>83.68</v>
      </c>
    </row>
    <row r="1640" spans="1:9" x14ac:dyDescent="0.3">
      <c r="A1640" t="s">
        <v>3655</v>
      </c>
      <c r="B1640" t="s">
        <v>316</v>
      </c>
      <c r="C1640" t="s">
        <v>2008</v>
      </c>
      <c r="D1640">
        <v>2</v>
      </c>
      <c r="E1640" s="16">
        <v>10.46</v>
      </c>
      <c r="F1640" s="1">
        <v>44522</v>
      </c>
      <c r="G1640" t="s">
        <v>2064</v>
      </c>
      <c r="H1640">
        <v>2</v>
      </c>
      <c r="I1640" s="12">
        <f>Table16[[#This Row],[price]]*Table16[[#This Row],[quantity]]</f>
        <v>20.92</v>
      </c>
    </row>
    <row r="1641" spans="1:9" x14ac:dyDescent="0.3">
      <c r="A1641" t="s">
        <v>3659</v>
      </c>
      <c r="B1641" t="s">
        <v>316</v>
      </c>
      <c r="C1641" t="s">
        <v>2008</v>
      </c>
      <c r="D1641">
        <v>2</v>
      </c>
      <c r="E1641" s="16">
        <v>10.46</v>
      </c>
      <c r="F1641" s="1">
        <v>44698</v>
      </c>
      <c r="G1641" t="s">
        <v>2064</v>
      </c>
      <c r="H1641">
        <v>2</v>
      </c>
      <c r="I1641" s="12">
        <f>Table16[[#This Row],[price]]*Table16[[#This Row],[quantity]]</f>
        <v>20.92</v>
      </c>
    </row>
    <row r="1642" spans="1:9" x14ac:dyDescent="0.3">
      <c r="A1642" t="s">
        <v>3654</v>
      </c>
      <c r="B1642" t="s">
        <v>316</v>
      </c>
      <c r="C1642" t="s">
        <v>2006</v>
      </c>
      <c r="D1642">
        <v>3</v>
      </c>
      <c r="E1642" s="16">
        <v>45.45</v>
      </c>
      <c r="F1642" s="1">
        <v>44799</v>
      </c>
      <c r="G1642" t="s">
        <v>2064</v>
      </c>
      <c r="H1642">
        <v>4</v>
      </c>
      <c r="I1642" s="12">
        <f>Table16[[#This Row],[price]]*Table16[[#This Row],[quantity]]</f>
        <v>136.35000000000002</v>
      </c>
    </row>
    <row r="1643" spans="1:9" x14ac:dyDescent="0.3">
      <c r="A1643" t="s">
        <v>3653</v>
      </c>
      <c r="B1643" t="s">
        <v>316</v>
      </c>
      <c r="C1643" t="s">
        <v>2015</v>
      </c>
      <c r="D1643">
        <v>2</v>
      </c>
      <c r="E1643" s="16">
        <v>1200.3399999999999</v>
      </c>
      <c r="F1643" s="1">
        <v>44892</v>
      </c>
      <c r="G1643" t="s">
        <v>2004</v>
      </c>
      <c r="H1643">
        <v>2</v>
      </c>
      <c r="I1643" s="12">
        <f>Table16[[#This Row],[price]]*Table16[[#This Row],[quantity]]</f>
        <v>2400.6799999999998</v>
      </c>
    </row>
    <row r="1644" spans="1:9" x14ac:dyDescent="0.3">
      <c r="A1644" t="s">
        <v>3662</v>
      </c>
      <c r="B1644" t="s">
        <v>317</v>
      </c>
      <c r="C1644" t="s">
        <v>2017</v>
      </c>
      <c r="D1644">
        <v>2</v>
      </c>
      <c r="E1644" s="16">
        <v>2100</v>
      </c>
      <c r="F1644" s="1">
        <v>44777</v>
      </c>
      <c r="G1644" t="s">
        <v>2058</v>
      </c>
      <c r="H1644">
        <v>2</v>
      </c>
      <c r="I1644" s="12">
        <f>Table16[[#This Row],[price]]*Table16[[#This Row],[quantity]]</f>
        <v>4200</v>
      </c>
    </row>
    <row r="1645" spans="1:9" x14ac:dyDescent="0.3">
      <c r="A1645" t="s">
        <v>3660</v>
      </c>
      <c r="B1645" t="s">
        <v>317</v>
      </c>
      <c r="C1645" t="s">
        <v>2057</v>
      </c>
      <c r="D1645">
        <v>4</v>
      </c>
      <c r="E1645" s="16">
        <v>46.92</v>
      </c>
      <c r="F1645" s="1">
        <v>44833</v>
      </c>
      <c r="G1645" t="s">
        <v>2027</v>
      </c>
      <c r="H1645">
        <v>5</v>
      </c>
      <c r="I1645" s="12">
        <f>Table16[[#This Row],[price]]*Table16[[#This Row],[quantity]]</f>
        <v>187.68</v>
      </c>
    </row>
    <row r="1646" spans="1:9" x14ac:dyDescent="0.3">
      <c r="A1646" t="s">
        <v>3661</v>
      </c>
      <c r="B1646" t="s">
        <v>317</v>
      </c>
      <c r="C1646" t="s">
        <v>2008</v>
      </c>
      <c r="D1646">
        <v>5</v>
      </c>
      <c r="E1646" s="16">
        <v>26.15</v>
      </c>
      <c r="F1646" s="1">
        <v>44888</v>
      </c>
      <c r="G1646" t="s">
        <v>2041</v>
      </c>
      <c r="H1646">
        <v>2</v>
      </c>
      <c r="I1646" s="12">
        <f>Table16[[#This Row],[price]]*Table16[[#This Row],[quantity]]</f>
        <v>130.75</v>
      </c>
    </row>
    <row r="1647" spans="1:9" x14ac:dyDescent="0.3">
      <c r="A1647" t="s">
        <v>3667</v>
      </c>
      <c r="B1647" t="s">
        <v>318</v>
      </c>
      <c r="C1647" t="s">
        <v>2001</v>
      </c>
      <c r="D1647">
        <v>3</v>
      </c>
      <c r="E1647" s="16">
        <v>900.24</v>
      </c>
      <c r="F1647" s="1">
        <v>44382</v>
      </c>
      <c r="G1647" t="s">
        <v>2041</v>
      </c>
      <c r="H1647">
        <v>3</v>
      </c>
      <c r="I1647" s="12">
        <f>Table16[[#This Row],[price]]*Table16[[#This Row],[quantity]]</f>
        <v>2700.7200000000003</v>
      </c>
    </row>
    <row r="1648" spans="1:9" x14ac:dyDescent="0.3">
      <c r="A1648" t="s">
        <v>3663</v>
      </c>
      <c r="B1648" t="s">
        <v>318</v>
      </c>
      <c r="C1648" t="s">
        <v>2008</v>
      </c>
      <c r="D1648">
        <v>5</v>
      </c>
      <c r="E1648" s="16">
        <v>26.15</v>
      </c>
      <c r="F1648" s="1">
        <v>44399</v>
      </c>
      <c r="G1648" t="s">
        <v>2064</v>
      </c>
      <c r="H1648">
        <v>5</v>
      </c>
      <c r="I1648" s="12">
        <f>Table16[[#This Row],[price]]*Table16[[#This Row],[quantity]]</f>
        <v>130.75</v>
      </c>
    </row>
    <row r="1649" spans="1:9" x14ac:dyDescent="0.3">
      <c r="A1649" t="s">
        <v>3666</v>
      </c>
      <c r="B1649" t="s">
        <v>318</v>
      </c>
      <c r="C1649" t="s">
        <v>2024</v>
      </c>
      <c r="D1649">
        <v>3</v>
      </c>
      <c r="E1649" s="16">
        <v>107.52</v>
      </c>
      <c r="F1649" s="1">
        <v>44518</v>
      </c>
      <c r="G1649" t="s">
        <v>2064</v>
      </c>
      <c r="H1649">
        <v>2</v>
      </c>
      <c r="I1649" s="12">
        <f>Table16[[#This Row],[price]]*Table16[[#This Row],[quantity]]</f>
        <v>322.56</v>
      </c>
    </row>
    <row r="1650" spans="1:9" x14ac:dyDescent="0.3">
      <c r="A1650" t="s">
        <v>3665</v>
      </c>
      <c r="B1650" t="s">
        <v>318</v>
      </c>
      <c r="C1650" t="s">
        <v>2006</v>
      </c>
      <c r="D1650">
        <v>5</v>
      </c>
      <c r="E1650" s="16">
        <v>75.75</v>
      </c>
      <c r="F1650" s="1">
        <v>44742</v>
      </c>
      <c r="G1650" t="s">
        <v>2064</v>
      </c>
      <c r="H1650">
        <v>3</v>
      </c>
      <c r="I1650" s="12">
        <f>Table16[[#This Row],[price]]*Table16[[#This Row],[quantity]]</f>
        <v>378.75</v>
      </c>
    </row>
    <row r="1651" spans="1:9" x14ac:dyDescent="0.3">
      <c r="A1651" t="s">
        <v>3664</v>
      </c>
      <c r="B1651" t="s">
        <v>318</v>
      </c>
      <c r="C1651" t="s">
        <v>2011</v>
      </c>
      <c r="D1651">
        <v>5</v>
      </c>
      <c r="E1651" s="16">
        <v>203.3</v>
      </c>
      <c r="F1651" s="1">
        <v>44801</v>
      </c>
      <c r="G1651" t="s">
        <v>2002</v>
      </c>
      <c r="H1651">
        <v>2</v>
      </c>
      <c r="I1651" s="12">
        <f>Table16[[#This Row],[price]]*Table16[[#This Row],[quantity]]</f>
        <v>1016.5</v>
      </c>
    </row>
    <row r="1652" spans="1:9" x14ac:dyDescent="0.3">
      <c r="A1652" t="s">
        <v>3674</v>
      </c>
      <c r="B1652" t="s">
        <v>319</v>
      </c>
      <c r="C1652" t="s">
        <v>2011</v>
      </c>
      <c r="D1652">
        <v>1</v>
      </c>
      <c r="E1652" s="16">
        <v>40.659999999999997</v>
      </c>
      <c r="F1652" s="1">
        <v>44276</v>
      </c>
      <c r="G1652" t="s">
        <v>2002</v>
      </c>
      <c r="H1652">
        <v>5</v>
      </c>
      <c r="I1652" s="12">
        <f>Table16[[#This Row],[price]]*Table16[[#This Row],[quantity]]</f>
        <v>40.659999999999997</v>
      </c>
    </row>
    <row r="1653" spans="1:9" x14ac:dyDescent="0.3">
      <c r="A1653" t="s">
        <v>3670</v>
      </c>
      <c r="B1653" t="s">
        <v>319</v>
      </c>
      <c r="C1653" t="s">
        <v>2015</v>
      </c>
      <c r="D1653">
        <v>4</v>
      </c>
      <c r="E1653" s="16">
        <v>2400.6799999999998</v>
      </c>
      <c r="F1653" s="1">
        <v>44332</v>
      </c>
      <c r="G1653" t="s">
        <v>2027</v>
      </c>
      <c r="H1653">
        <v>2</v>
      </c>
      <c r="I1653" s="12">
        <f>Table16[[#This Row],[price]]*Table16[[#This Row],[quantity]]</f>
        <v>9602.7199999999993</v>
      </c>
    </row>
    <row r="1654" spans="1:9" x14ac:dyDescent="0.3">
      <c r="A1654" t="s">
        <v>3675</v>
      </c>
      <c r="B1654" t="s">
        <v>319</v>
      </c>
      <c r="C1654" t="s">
        <v>2001</v>
      </c>
      <c r="D1654">
        <v>2</v>
      </c>
      <c r="E1654" s="16">
        <v>600.16</v>
      </c>
      <c r="F1654" s="1">
        <v>44334</v>
      </c>
      <c r="G1654" t="s">
        <v>2004</v>
      </c>
      <c r="H1654">
        <v>1</v>
      </c>
      <c r="I1654" s="12">
        <f>Table16[[#This Row],[price]]*Table16[[#This Row],[quantity]]</f>
        <v>1200.32</v>
      </c>
    </row>
    <row r="1655" spans="1:9" x14ac:dyDescent="0.3">
      <c r="A1655" t="s">
        <v>3673</v>
      </c>
      <c r="B1655" t="s">
        <v>319</v>
      </c>
      <c r="C1655" t="s">
        <v>2011</v>
      </c>
      <c r="D1655">
        <v>1</v>
      </c>
      <c r="E1655" s="16">
        <v>40.659999999999997</v>
      </c>
      <c r="F1655" s="1">
        <v>44355</v>
      </c>
      <c r="G1655" t="s">
        <v>2002</v>
      </c>
      <c r="H1655">
        <v>1</v>
      </c>
      <c r="I1655" s="12">
        <f>Table16[[#This Row],[price]]*Table16[[#This Row],[quantity]]</f>
        <v>40.659999999999997</v>
      </c>
    </row>
    <row r="1656" spans="1:9" x14ac:dyDescent="0.3">
      <c r="A1656" t="s">
        <v>3669</v>
      </c>
      <c r="B1656" t="s">
        <v>319</v>
      </c>
      <c r="C1656" t="s">
        <v>2015</v>
      </c>
      <c r="D1656">
        <v>4</v>
      </c>
      <c r="E1656" s="16">
        <v>2400.6799999999998</v>
      </c>
      <c r="F1656" s="1">
        <v>44540</v>
      </c>
      <c r="G1656" t="s">
        <v>2004</v>
      </c>
      <c r="H1656">
        <v>5</v>
      </c>
      <c r="I1656" s="12">
        <f>Table16[[#This Row],[price]]*Table16[[#This Row],[quantity]]</f>
        <v>9602.7199999999993</v>
      </c>
    </row>
    <row r="1657" spans="1:9" x14ac:dyDescent="0.3">
      <c r="A1657" t="s">
        <v>3671</v>
      </c>
      <c r="B1657" t="s">
        <v>319</v>
      </c>
      <c r="C1657" t="s">
        <v>2006</v>
      </c>
      <c r="D1657">
        <v>4</v>
      </c>
      <c r="E1657" s="16">
        <v>60.6</v>
      </c>
      <c r="F1657" s="1">
        <v>44715</v>
      </c>
      <c r="G1657" t="s">
        <v>2020</v>
      </c>
      <c r="H1657">
        <v>2</v>
      </c>
      <c r="I1657" s="12">
        <f>Table16[[#This Row],[price]]*Table16[[#This Row],[quantity]]</f>
        <v>242.4</v>
      </c>
    </row>
    <row r="1658" spans="1:9" x14ac:dyDescent="0.3">
      <c r="A1658" t="s">
        <v>3672</v>
      </c>
      <c r="B1658" t="s">
        <v>319</v>
      </c>
      <c r="C1658" t="s">
        <v>2001</v>
      </c>
      <c r="D1658">
        <v>4</v>
      </c>
      <c r="E1658" s="16">
        <v>1200.32</v>
      </c>
      <c r="F1658" s="1">
        <v>44850</v>
      </c>
      <c r="G1658" t="s">
        <v>2004</v>
      </c>
      <c r="H1658">
        <v>2</v>
      </c>
      <c r="I1658" s="12">
        <f>Table16[[#This Row],[price]]*Table16[[#This Row],[quantity]]</f>
        <v>4801.28</v>
      </c>
    </row>
    <row r="1659" spans="1:9" x14ac:dyDescent="0.3">
      <c r="A1659" t="s">
        <v>3668</v>
      </c>
      <c r="B1659" t="s">
        <v>319</v>
      </c>
      <c r="C1659" t="s">
        <v>2017</v>
      </c>
      <c r="D1659">
        <v>1</v>
      </c>
      <c r="E1659" s="16">
        <v>1050</v>
      </c>
      <c r="F1659" s="1">
        <v>44929</v>
      </c>
      <c r="G1659" t="s">
        <v>2004</v>
      </c>
      <c r="H1659">
        <v>2</v>
      </c>
      <c r="I1659" s="12">
        <f>Table16[[#This Row],[price]]*Table16[[#This Row],[quantity]]</f>
        <v>1050</v>
      </c>
    </row>
    <row r="1660" spans="1:9" x14ac:dyDescent="0.3">
      <c r="A1660" t="s">
        <v>3682</v>
      </c>
      <c r="B1660" t="s">
        <v>320</v>
      </c>
      <c r="C1660" t="s">
        <v>2008</v>
      </c>
      <c r="D1660">
        <v>3</v>
      </c>
      <c r="E1660" s="16">
        <v>15.69</v>
      </c>
      <c r="F1660" s="1">
        <v>44200</v>
      </c>
      <c r="G1660" t="s">
        <v>2002</v>
      </c>
      <c r="H1660">
        <v>2</v>
      </c>
      <c r="I1660" s="12">
        <f>Table16[[#This Row],[price]]*Table16[[#This Row],[quantity]]</f>
        <v>47.07</v>
      </c>
    </row>
    <row r="1661" spans="1:9" x14ac:dyDescent="0.3">
      <c r="A1661" t="s">
        <v>3683</v>
      </c>
      <c r="B1661" t="s">
        <v>320</v>
      </c>
      <c r="C1661" t="s">
        <v>2011</v>
      </c>
      <c r="D1661">
        <v>4</v>
      </c>
      <c r="E1661" s="16">
        <v>162.63999999999999</v>
      </c>
      <c r="F1661" s="1">
        <v>44308</v>
      </c>
      <c r="G1661" t="s">
        <v>2020</v>
      </c>
      <c r="H1661">
        <v>1</v>
      </c>
      <c r="I1661" s="12">
        <f>Table16[[#This Row],[price]]*Table16[[#This Row],[quantity]]</f>
        <v>650.55999999999995</v>
      </c>
    </row>
    <row r="1662" spans="1:9" x14ac:dyDescent="0.3">
      <c r="A1662" t="s">
        <v>3680</v>
      </c>
      <c r="B1662" t="s">
        <v>320</v>
      </c>
      <c r="C1662" t="s">
        <v>2024</v>
      </c>
      <c r="D1662">
        <v>1</v>
      </c>
      <c r="E1662" s="16">
        <v>35.840000000000003</v>
      </c>
      <c r="F1662" s="1">
        <v>44323</v>
      </c>
      <c r="G1662" t="s">
        <v>2020</v>
      </c>
      <c r="H1662">
        <v>5</v>
      </c>
      <c r="I1662" s="12">
        <f>Table16[[#This Row],[price]]*Table16[[#This Row],[quantity]]</f>
        <v>35.840000000000003</v>
      </c>
    </row>
    <row r="1663" spans="1:9" x14ac:dyDescent="0.3">
      <c r="A1663" t="s">
        <v>3677</v>
      </c>
      <c r="B1663" t="s">
        <v>320</v>
      </c>
      <c r="C1663" t="s">
        <v>2015</v>
      </c>
      <c r="D1663">
        <v>4</v>
      </c>
      <c r="E1663" s="16">
        <v>2400.6799999999998</v>
      </c>
      <c r="F1663" s="1">
        <v>44336</v>
      </c>
      <c r="G1663" t="s">
        <v>2004</v>
      </c>
      <c r="H1663">
        <v>5</v>
      </c>
      <c r="I1663" s="12">
        <f>Table16[[#This Row],[price]]*Table16[[#This Row],[quantity]]</f>
        <v>9602.7199999999993</v>
      </c>
    </row>
    <row r="1664" spans="1:9" x14ac:dyDescent="0.3">
      <c r="A1664" t="s">
        <v>3684</v>
      </c>
      <c r="B1664" t="s">
        <v>320</v>
      </c>
      <c r="C1664" t="s">
        <v>2024</v>
      </c>
      <c r="D1664">
        <v>5</v>
      </c>
      <c r="E1664" s="16">
        <v>179.2</v>
      </c>
      <c r="F1664" s="1">
        <v>44563</v>
      </c>
      <c r="G1664" t="s">
        <v>2002</v>
      </c>
      <c r="H1664">
        <v>5</v>
      </c>
      <c r="I1664" s="12">
        <f>Table16[[#This Row],[price]]*Table16[[#This Row],[quantity]]</f>
        <v>896</v>
      </c>
    </row>
    <row r="1665" spans="1:9" x14ac:dyDescent="0.3">
      <c r="A1665" t="s">
        <v>3681</v>
      </c>
      <c r="B1665" t="s">
        <v>320</v>
      </c>
      <c r="C1665" t="s">
        <v>2057</v>
      </c>
      <c r="D1665">
        <v>1</v>
      </c>
      <c r="E1665" s="16">
        <v>11.73</v>
      </c>
      <c r="F1665" s="1">
        <v>44586</v>
      </c>
      <c r="G1665" t="s">
        <v>2004</v>
      </c>
      <c r="H1665">
        <v>2</v>
      </c>
      <c r="I1665" s="12">
        <f>Table16[[#This Row],[price]]*Table16[[#This Row],[quantity]]</f>
        <v>11.73</v>
      </c>
    </row>
    <row r="1666" spans="1:9" x14ac:dyDescent="0.3">
      <c r="A1666" t="s">
        <v>3679</v>
      </c>
      <c r="B1666" t="s">
        <v>320</v>
      </c>
      <c r="C1666" t="s">
        <v>2024</v>
      </c>
      <c r="D1666">
        <v>5</v>
      </c>
      <c r="E1666" s="16">
        <v>179.2</v>
      </c>
      <c r="F1666" s="1">
        <v>44754</v>
      </c>
      <c r="G1666" t="s">
        <v>2020</v>
      </c>
      <c r="H1666">
        <v>4</v>
      </c>
      <c r="I1666" s="12">
        <f>Table16[[#This Row],[price]]*Table16[[#This Row],[quantity]]</f>
        <v>896</v>
      </c>
    </row>
    <row r="1667" spans="1:9" x14ac:dyDescent="0.3">
      <c r="A1667" t="s">
        <v>3678</v>
      </c>
      <c r="B1667" t="s">
        <v>320</v>
      </c>
      <c r="C1667" t="s">
        <v>2024</v>
      </c>
      <c r="D1667">
        <v>4</v>
      </c>
      <c r="E1667" s="16">
        <v>143.36000000000001</v>
      </c>
      <c r="F1667" s="1">
        <v>44906</v>
      </c>
      <c r="G1667" t="s">
        <v>2027</v>
      </c>
      <c r="H1667">
        <v>1</v>
      </c>
      <c r="I1667" s="12">
        <f>Table16[[#This Row],[price]]*Table16[[#This Row],[quantity]]</f>
        <v>573.44000000000005</v>
      </c>
    </row>
    <row r="1668" spans="1:9" x14ac:dyDescent="0.3">
      <c r="A1668" t="s">
        <v>3676</v>
      </c>
      <c r="B1668" t="s">
        <v>320</v>
      </c>
      <c r="C1668" t="s">
        <v>2001</v>
      </c>
      <c r="D1668">
        <v>2</v>
      </c>
      <c r="E1668" s="16">
        <v>600.16</v>
      </c>
      <c r="F1668" s="1">
        <v>44992</v>
      </c>
      <c r="G1668" t="s">
        <v>2002</v>
      </c>
      <c r="H1668">
        <v>2</v>
      </c>
      <c r="I1668" s="12">
        <f>Table16[[#This Row],[price]]*Table16[[#This Row],[quantity]]</f>
        <v>1200.32</v>
      </c>
    </row>
    <row r="1669" spans="1:9" x14ac:dyDescent="0.3">
      <c r="A1669" t="s">
        <v>3689</v>
      </c>
      <c r="B1669" t="s">
        <v>321</v>
      </c>
      <c r="C1669" t="s">
        <v>2057</v>
      </c>
      <c r="D1669">
        <v>5</v>
      </c>
      <c r="E1669" s="16">
        <v>58.65</v>
      </c>
      <c r="F1669" s="1">
        <v>44210</v>
      </c>
      <c r="G1669" t="s">
        <v>2027</v>
      </c>
      <c r="H1669">
        <v>2</v>
      </c>
      <c r="I1669" s="12">
        <f>Table16[[#This Row],[price]]*Table16[[#This Row],[quantity]]</f>
        <v>293.25</v>
      </c>
    </row>
    <row r="1670" spans="1:9" x14ac:dyDescent="0.3">
      <c r="A1670" t="s">
        <v>3686</v>
      </c>
      <c r="B1670" t="s">
        <v>321</v>
      </c>
      <c r="C1670" t="s">
        <v>2024</v>
      </c>
      <c r="D1670">
        <v>5</v>
      </c>
      <c r="E1670" s="16">
        <v>179.2</v>
      </c>
      <c r="F1670" s="1">
        <v>44292</v>
      </c>
      <c r="G1670" t="s">
        <v>2027</v>
      </c>
      <c r="H1670">
        <v>3</v>
      </c>
      <c r="I1670" s="12">
        <f>Table16[[#This Row],[price]]*Table16[[#This Row],[quantity]]</f>
        <v>896</v>
      </c>
    </row>
    <row r="1671" spans="1:9" x14ac:dyDescent="0.3">
      <c r="A1671" t="s">
        <v>3688</v>
      </c>
      <c r="B1671" t="s">
        <v>321</v>
      </c>
      <c r="C1671" t="s">
        <v>2015</v>
      </c>
      <c r="D1671">
        <v>5</v>
      </c>
      <c r="E1671" s="16">
        <v>3000.85</v>
      </c>
      <c r="F1671" s="1">
        <v>44609</v>
      </c>
      <c r="G1671" t="s">
        <v>2064</v>
      </c>
      <c r="H1671">
        <v>3</v>
      </c>
      <c r="I1671" s="12">
        <f>Table16[[#This Row],[price]]*Table16[[#This Row],[quantity]]</f>
        <v>15004.25</v>
      </c>
    </row>
    <row r="1672" spans="1:9" x14ac:dyDescent="0.3">
      <c r="A1672" t="s">
        <v>3687</v>
      </c>
      <c r="B1672" t="s">
        <v>321</v>
      </c>
      <c r="C1672" t="s">
        <v>2008</v>
      </c>
      <c r="D1672">
        <v>3</v>
      </c>
      <c r="E1672" s="16">
        <v>15.69</v>
      </c>
      <c r="F1672" s="1">
        <v>44634</v>
      </c>
      <c r="G1672" t="s">
        <v>2058</v>
      </c>
      <c r="H1672">
        <v>3</v>
      </c>
      <c r="I1672" s="12">
        <f>Table16[[#This Row],[price]]*Table16[[#This Row],[quantity]]</f>
        <v>47.07</v>
      </c>
    </row>
    <row r="1673" spans="1:9" x14ac:dyDescent="0.3">
      <c r="A1673" t="s">
        <v>3685</v>
      </c>
      <c r="B1673" t="s">
        <v>321</v>
      </c>
      <c r="C1673" t="s">
        <v>2008</v>
      </c>
      <c r="D1673">
        <v>4</v>
      </c>
      <c r="E1673" s="16">
        <v>20.92</v>
      </c>
      <c r="F1673" s="1">
        <v>44789</v>
      </c>
      <c r="G1673" t="s">
        <v>2004</v>
      </c>
      <c r="H1673">
        <v>2</v>
      </c>
      <c r="I1673" s="12">
        <f>Table16[[#This Row],[price]]*Table16[[#This Row],[quantity]]</f>
        <v>83.68</v>
      </c>
    </row>
    <row r="1674" spans="1:9" x14ac:dyDescent="0.3">
      <c r="A1674" t="s">
        <v>3696</v>
      </c>
      <c r="B1674" t="s">
        <v>322</v>
      </c>
      <c r="C1674" t="s">
        <v>2008</v>
      </c>
      <c r="D1674">
        <v>1</v>
      </c>
      <c r="E1674" s="16">
        <v>5.23</v>
      </c>
      <c r="F1674" s="1">
        <v>44480</v>
      </c>
      <c r="G1674" t="s">
        <v>2020</v>
      </c>
      <c r="H1674">
        <v>5</v>
      </c>
      <c r="I1674" s="12">
        <f>Table16[[#This Row],[price]]*Table16[[#This Row],[quantity]]</f>
        <v>5.23</v>
      </c>
    </row>
    <row r="1675" spans="1:9" x14ac:dyDescent="0.3">
      <c r="A1675" t="s">
        <v>3691</v>
      </c>
      <c r="B1675" t="s">
        <v>322</v>
      </c>
      <c r="C1675" t="s">
        <v>2015</v>
      </c>
      <c r="D1675">
        <v>1</v>
      </c>
      <c r="E1675" s="16">
        <v>600.16999999999996</v>
      </c>
      <c r="F1675" s="1">
        <v>44491</v>
      </c>
      <c r="G1675" t="s">
        <v>2020</v>
      </c>
      <c r="H1675">
        <v>1</v>
      </c>
      <c r="I1675" s="12">
        <f>Table16[[#This Row],[price]]*Table16[[#This Row],[quantity]]</f>
        <v>600.16999999999996</v>
      </c>
    </row>
    <row r="1676" spans="1:9" x14ac:dyDescent="0.3">
      <c r="A1676" t="s">
        <v>3694</v>
      </c>
      <c r="B1676" t="s">
        <v>322</v>
      </c>
      <c r="C1676" t="s">
        <v>2024</v>
      </c>
      <c r="D1676">
        <v>5</v>
      </c>
      <c r="E1676" s="16">
        <v>179.2</v>
      </c>
      <c r="F1676" s="1">
        <v>44561</v>
      </c>
      <c r="G1676" t="s">
        <v>2002</v>
      </c>
      <c r="H1676">
        <v>3</v>
      </c>
      <c r="I1676" s="12">
        <f>Table16[[#This Row],[price]]*Table16[[#This Row],[quantity]]</f>
        <v>896</v>
      </c>
    </row>
    <row r="1677" spans="1:9" x14ac:dyDescent="0.3">
      <c r="A1677" t="s">
        <v>3693</v>
      </c>
      <c r="B1677" t="s">
        <v>322</v>
      </c>
      <c r="C1677" t="s">
        <v>2011</v>
      </c>
      <c r="D1677">
        <v>1</v>
      </c>
      <c r="E1677" s="16">
        <v>40.659999999999997</v>
      </c>
      <c r="F1677" s="1">
        <v>44596</v>
      </c>
      <c r="G1677" t="s">
        <v>2002</v>
      </c>
      <c r="H1677">
        <v>4</v>
      </c>
      <c r="I1677" s="12">
        <f>Table16[[#This Row],[price]]*Table16[[#This Row],[quantity]]</f>
        <v>40.659999999999997</v>
      </c>
    </row>
    <row r="1678" spans="1:9" x14ac:dyDescent="0.3">
      <c r="A1678" t="s">
        <v>3690</v>
      </c>
      <c r="B1678" t="s">
        <v>322</v>
      </c>
      <c r="C1678" t="s">
        <v>2001</v>
      </c>
      <c r="D1678">
        <v>4</v>
      </c>
      <c r="E1678" s="16">
        <v>1200.32</v>
      </c>
      <c r="F1678" s="1">
        <v>44736</v>
      </c>
      <c r="G1678" t="s">
        <v>2002</v>
      </c>
      <c r="H1678">
        <v>5</v>
      </c>
      <c r="I1678" s="12">
        <f>Table16[[#This Row],[price]]*Table16[[#This Row],[quantity]]</f>
        <v>4801.28</v>
      </c>
    </row>
    <row r="1679" spans="1:9" x14ac:dyDescent="0.3">
      <c r="A1679" t="s">
        <v>3692</v>
      </c>
      <c r="B1679" t="s">
        <v>322</v>
      </c>
      <c r="C1679" t="s">
        <v>2001</v>
      </c>
      <c r="D1679">
        <v>2</v>
      </c>
      <c r="E1679" s="16">
        <v>600.16</v>
      </c>
      <c r="F1679" s="1">
        <v>44927</v>
      </c>
      <c r="G1679" t="s">
        <v>2027</v>
      </c>
      <c r="H1679">
        <v>5</v>
      </c>
      <c r="I1679" s="12">
        <f>Table16[[#This Row],[price]]*Table16[[#This Row],[quantity]]</f>
        <v>1200.32</v>
      </c>
    </row>
    <row r="1680" spans="1:9" x14ac:dyDescent="0.3">
      <c r="A1680" t="s">
        <v>3695</v>
      </c>
      <c r="B1680" t="s">
        <v>322</v>
      </c>
      <c r="C1680" t="s">
        <v>2001</v>
      </c>
      <c r="D1680">
        <v>2</v>
      </c>
      <c r="E1680" s="16">
        <v>600.16</v>
      </c>
      <c r="F1680" s="1">
        <v>44984</v>
      </c>
      <c r="G1680" t="s">
        <v>2004</v>
      </c>
      <c r="H1680">
        <v>1</v>
      </c>
      <c r="I1680" s="12">
        <f>Table16[[#This Row],[price]]*Table16[[#This Row],[quantity]]</f>
        <v>1200.32</v>
      </c>
    </row>
    <row r="1681" spans="1:9" x14ac:dyDescent="0.3">
      <c r="A1681" t="s">
        <v>3699</v>
      </c>
      <c r="B1681" t="s">
        <v>323</v>
      </c>
      <c r="C1681" t="s">
        <v>2011</v>
      </c>
      <c r="D1681">
        <v>1</v>
      </c>
      <c r="E1681" s="16">
        <v>40.659999999999997</v>
      </c>
      <c r="F1681" s="1">
        <v>44328</v>
      </c>
      <c r="G1681" t="s">
        <v>2027</v>
      </c>
      <c r="H1681">
        <v>4</v>
      </c>
      <c r="I1681" s="12">
        <f>Table16[[#This Row],[price]]*Table16[[#This Row],[quantity]]</f>
        <v>40.659999999999997</v>
      </c>
    </row>
    <row r="1682" spans="1:9" x14ac:dyDescent="0.3">
      <c r="A1682" t="s">
        <v>3701</v>
      </c>
      <c r="B1682" t="s">
        <v>323</v>
      </c>
      <c r="C1682" t="s">
        <v>2008</v>
      </c>
      <c r="D1682">
        <v>5</v>
      </c>
      <c r="E1682" s="16">
        <v>26.15</v>
      </c>
      <c r="F1682" s="1">
        <v>44431</v>
      </c>
      <c r="G1682" t="s">
        <v>2027</v>
      </c>
      <c r="H1682">
        <v>5</v>
      </c>
      <c r="I1682" s="12">
        <f>Table16[[#This Row],[price]]*Table16[[#This Row],[quantity]]</f>
        <v>130.75</v>
      </c>
    </row>
    <row r="1683" spans="1:9" x14ac:dyDescent="0.3">
      <c r="A1683" t="s">
        <v>3698</v>
      </c>
      <c r="B1683" t="s">
        <v>323</v>
      </c>
      <c r="C1683" t="s">
        <v>2001</v>
      </c>
      <c r="D1683">
        <v>4</v>
      </c>
      <c r="E1683" s="16">
        <v>1200.32</v>
      </c>
      <c r="F1683" s="1">
        <v>44620</v>
      </c>
      <c r="G1683" t="s">
        <v>2027</v>
      </c>
      <c r="H1683">
        <v>1</v>
      </c>
      <c r="I1683" s="12">
        <f>Table16[[#This Row],[price]]*Table16[[#This Row],[quantity]]</f>
        <v>4801.28</v>
      </c>
    </row>
    <row r="1684" spans="1:9" x14ac:dyDescent="0.3">
      <c r="A1684" t="s">
        <v>3697</v>
      </c>
      <c r="B1684" t="s">
        <v>323</v>
      </c>
      <c r="C1684" t="s">
        <v>2011</v>
      </c>
      <c r="D1684">
        <v>5</v>
      </c>
      <c r="E1684" s="16">
        <v>203.3</v>
      </c>
      <c r="F1684" s="1">
        <v>44900</v>
      </c>
      <c r="G1684" t="s">
        <v>2004</v>
      </c>
      <c r="H1684">
        <v>3</v>
      </c>
      <c r="I1684" s="12">
        <f>Table16[[#This Row],[price]]*Table16[[#This Row],[quantity]]</f>
        <v>1016.5</v>
      </c>
    </row>
    <row r="1685" spans="1:9" x14ac:dyDescent="0.3">
      <c r="A1685" t="s">
        <v>3700</v>
      </c>
      <c r="B1685" t="s">
        <v>323</v>
      </c>
      <c r="C1685" t="s">
        <v>2001</v>
      </c>
      <c r="D1685">
        <v>5</v>
      </c>
      <c r="E1685" s="16">
        <v>1500.4</v>
      </c>
      <c r="F1685" s="1">
        <v>44942</v>
      </c>
      <c r="G1685" t="s">
        <v>2002</v>
      </c>
      <c r="H1685">
        <v>5</v>
      </c>
      <c r="I1685" s="12">
        <f>Table16[[#This Row],[price]]*Table16[[#This Row],[quantity]]</f>
        <v>7502</v>
      </c>
    </row>
    <row r="1686" spans="1:9" x14ac:dyDescent="0.3">
      <c r="A1686" t="s">
        <v>3705</v>
      </c>
      <c r="B1686" t="s">
        <v>324</v>
      </c>
      <c r="C1686" t="s">
        <v>2001</v>
      </c>
      <c r="D1686">
        <v>4</v>
      </c>
      <c r="E1686" s="16">
        <v>1200.32</v>
      </c>
      <c r="F1686" s="1">
        <v>44253</v>
      </c>
      <c r="G1686" t="s">
        <v>2002</v>
      </c>
      <c r="H1686">
        <v>4</v>
      </c>
      <c r="I1686" s="12">
        <f>Table16[[#This Row],[price]]*Table16[[#This Row],[quantity]]</f>
        <v>4801.28</v>
      </c>
    </row>
    <row r="1687" spans="1:9" x14ac:dyDescent="0.3">
      <c r="A1687" t="s">
        <v>3703</v>
      </c>
      <c r="B1687" t="s">
        <v>324</v>
      </c>
      <c r="C1687" t="s">
        <v>2001</v>
      </c>
      <c r="D1687">
        <v>1</v>
      </c>
      <c r="E1687" s="16">
        <v>300.08</v>
      </c>
      <c r="F1687" s="1">
        <v>44320</v>
      </c>
      <c r="G1687" t="s">
        <v>2058</v>
      </c>
      <c r="H1687">
        <v>4</v>
      </c>
      <c r="I1687" s="12">
        <f>Table16[[#This Row],[price]]*Table16[[#This Row],[quantity]]</f>
        <v>300.08</v>
      </c>
    </row>
    <row r="1688" spans="1:9" x14ac:dyDescent="0.3">
      <c r="A1688" t="s">
        <v>3707</v>
      </c>
      <c r="B1688" t="s">
        <v>324</v>
      </c>
      <c r="C1688" t="s">
        <v>2024</v>
      </c>
      <c r="D1688">
        <v>2</v>
      </c>
      <c r="E1688" s="16">
        <v>71.680000000000007</v>
      </c>
      <c r="F1688" s="1">
        <v>44391</v>
      </c>
      <c r="G1688" t="s">
        <v>2004</v>
      </c>
      <c r="H1688">
        <v>3</v>
      </c>
      <c r="I1688" s="12">
        <f>Table16[[#This Row],[price]]*Table16[[#This Row],[quantity]]</f>
        <v>143.36000000000001</v>
      </c>
    </row>
    <row r="1689" spans="1:9" x14ac:dyDescent="0.3">
      <c r="A1689" t="s">
        <v>3706</v>
      </c>
      <c r="B1689" t="s">
        <v>324</v>
      </c>
      <c r="C1689" t="s">
        <v>2008</v>
      </c>
      <c r="D1689">
        <v>1</v>
      </c>
      <c r="E1689" s="16">
        <v>5.23</v>
      </c>
      <c r="F1689" s="1">
        <v>44483</v>
      </c>
      <c r="G1689" t="s">
        <v>2004</v>
      </c>
      <c r="H1689">
        <v>4</v>
      </c>
      <c r="I1689" s="12">
        <f>Table16[[#This Row],[price]]*Table16[[#This Row],[quantity]]</f>
        <v>5.23</v>
      </c>
    </row>
    <row r="1690" spans="1:9" x14ac:dyDescent="0.3">
      <c r="A1690" t="s">
        <v>3704</v>
      </c>
      <c r="B1690" t="s">
        <v>324</v>
      </c>
      <c r="C1690" t="s">
        <v>2008</v>
      </c>
      <c r="D1690">
        <v>2</v>
      </c>
      <c r="E1690" s="16">
        <v>10.46</v>
      </c>
      <c r="F1690" s="1">
        <v>44658</v>
      </c>
      <c r="G1690" t="s">
        <v>2064</v>
      </c>
      <c r="H1690">
        <v>5</v>
      </c>
      <c r="I1690" s="12">
        <f>Table16[[#This Row],[price]]*Table16[[#This Row],[quantity]]</f>
        <v>20.92</v>
      </c>
    </row>
    <row r="1691" spans="1:9" x14ac:dyDescent="0.3">
      <c r="A1691" t="s">
        <v>3702</v>
      </c>
      <c r="B1691" t="s">
        <v>324</v>
      </c>
      <c r="C1691" t="s">
        <v>2008</v>
      </c>
      <c r="D1691">
        <v>2</v>
      </c>
      <c r="E1691" s="16">
        <v>10.46</v>
      </c>
      <c r="F1691" s="1">
        <v>44698</v>
      </c>
      <c r="G1691" t="s">
        <v>2009</v>
      </c>
      <c r="H1691">
        <v>4</v>
      </c>
      <c r="I1691" s="12">
        <f>Table16[[#This Row],[price]]*Table16[[#This Row],[quantity]]</f>
        <v>20.92</v>
      </c>
    </row>
    <row r="1692" spans="1:9" x14ac:dyDescent="0.3">
      <c r="A1692" t="s">
        <v>3708</v>
      </c>
      <c r="B1692" t="s">
        <v>325</v>
      </c>
      <c r="C1692" t="s">
        <v>2008</v>
      </c>
      <c r="D1692">
        <v>3</v>
      </c>
      <c r="E1692" s="16">
        <v>15.69</v>
      </c>
      <c r="F1692" s="1">
        <v>44198</v>
      </c>
      <c r="G1692" t="s">
        <v>2002</v>
      </c>
      <c r="H1692">
        <v>2</v>
      </c>
      <c r="I1692" s="12">
        <f>Table16[[#This Row],[price]]*Table16[[#This Row],[quantity]]</f>
        <v>47.07</v>
      </c>
    </row>
    <row r="1693" spans="1:9" x14ac:dyDescent="0.3">
      <c r="A1693" t="s">
        <v>3712</v>
      </c>
      <c r="B1693" t="s">
        <v>325</v>
      </c>
      <c r="C1693" t="s">
        <v>2001</v>
      </c>
      <c r="D1693">
        <v>1</v>
      </c>
      <c r="E1693" s="16">
        <v>300.08</v>
      </c>
      <c r="F1693" s="1">
        <v>44336</v>
      </c>
      <c r="G1693" t="s">
        <v>2027</v>
      </c>
      <c r="H1693">
        <v>4</v>
      </c>
      <c r="I1693" s="12">
        <f>Table16[[#This Row],[price]]*Table16[[#This Row],[quantity]]</f>
        <v>300.08</v>
      </c>
    </row>
    <row r="1694" spans="1:9" x14ac:dyDescent="0.3">
      <c r="A1694" t="s">
        <v>3711</v>
      </c>
      <c r="B1694" t="s">
        <v>325</v>
      </c>
      <c r="C1694" t="s">
        <v>2011</v>
      </c>
      <c r="D1694">
        <v>5</v>
      </c>
      <c r="E1694" s="16">
        <v>203.3</v>
      </c>
      <c r="F1694" s="1">
        <v>44767</v>
      </c>
      <c r="G1694" t="s">
        <v>2004</v>
      </c>
      <c r="H1694">
        <v>4</v>
      </c>
      <c r="I1694" s="12">
        <f>Table16[[#This Row],[price]]*Table16[[#This Row],[quantity]]</f>
        <v>1016.5</v>
      </c>
    </row>
    <row r="1695" spans="1:9" x14ac:dyDescent="0.3">
      <c r="A1695" t="s">
        <v>3710</v>
      </c>
      <c r="B1695" t="s">
        <v>325</v>
      </c>
      <c r="C1695" t="s">
        <v>2017</v>
      </c>
      <c r="D1695">
        <v>1</v>
      </c>
      <c r="E1695" s="16">
        <v>1050</v>
      </c>
      <c r="F1695" s="1">
        <v>44871</v>
      </c>
      <c r="G1695" t="s">
        <v>2027</v>
      </c>
      <c r="H1695">
        <v>3</v>
      </c>
      <c r="I1695" s="12">
        <f>Table16[[#This Row],[price]]*Table16[[#This Row],[quantity]]</f>
        <v>1050</v>
      </c>
    </row>
    <row r="1696" spans="1:9" x14ac:dyDescent="0.3">
      <c r="A1696" t="s">
        <v>3713</v>
      </c>
      <c r="B1696" t="s">
        <v>325</v>
      </c>
      <c r="C1696" t="s">
        <v>2024</v>
      </c>
      <c r="D1696">
        <v>3</v>
      </c>
      <c r="E1696" s="16">
        <v>107.52</v>
      </c>
      <c r="F1696" s="1">
        <v>44875</v>
      </c>
      <c r="G1696" t="s">
        <v>2002</v>
      </c>
      <c r="H1696">
        <v>3</v>
      </c>
      <c r="I1696" s="12">
        <f>Table16[[#This Row],[price]]*Table16[[#This Row],[quantity]]</f>
        <v>322.56</v>
      </c>
    </row>
    <row r="1697" spans="1:9" x14ac:dyDescent="0.3">
      <c r="A1697" t="s">
        <v>3709</v>
      </c>
      <c r="B1697" t="s">
        <v>325</v>
      </c>
      <c r="C1697" t="s">
        <v>2001</v>
      </c>
      <c r="D1697">
        <v>2</v>
      </c>
      <c r="E1697" s="16">
        <v>600.16</v>
      </c>
      <c r="F1697" s="1">
        <v>44885</v>
      </c>
      <c r="G1697" t="s">
        <v>2009</v>
      </c>
      <c r="H1697">
        <v>3</v>
      </c>
      <c r="I1697" s="12">
        <f>Table16[[#This Row],[price]]*Table16[[#This Row],[quantity]]</f>
        <v>1200.32</v>
      </c>
    </row>
    <row r="1698" spans="1:9" x14ac:dyDescent="0.3">
      <c r="A1698" t="s">
        <v>3715</v>
      </c>
      <c r="B1698" t="s">
        <v>326</v>
      </c>
      <c r="C1698" t="s">
        <v>2001</v>
      </c>
      <c r="D1698">
        <v>4</v>
      </c>
      <c r="E1698" s="16">
        <v>1200.32</v>
      </c>
      <c r="F1698" s="1">
        <v>44232</v>
      </c>
      <c r="G1698" t="s">
        <v>2009</v>
      </c>
      <c r="H1698">
        <v>1</v>
      </c>
      <c r="I1698" s="12">
        <f>Table16[[#This Row],[price]]*Table16[[#This Row],[quantity]]</f>
        <v>4801.28</v>
      </c>
    </row>
    <row r="1699" spans="1:9" x14ac:dyDescent="0.3">
      <c r="A1699" t="s">
        <v>3718</v>
      </c>
      <c r="B1699" t="s">
        <v>326</v>
      </c>
      <c r="C1699" t="s">
        <v>2001</v>
      </c>
      <c r="D1699">
        <v>3</v>
      </c>
      <c r="E1699" s="16">
        <v>900.24</v>
      </c>
      <c r="F1699" s="1">
        <v>44278</v>
      </c>
      <c r="G1699" t="s">
        <v>2027</v>
      </c>
      <c r="H1699">
        <v>2</v>
      </c>
      <c r="I1699" s="12">
        <f>Table16[[#This Row],[price]]*Table16[[#This Row],[quantity]]</f>
        <v>2700.7200000000003</v>
      </c>
    </row>
    <row r="1700" spans="1:9" x14ac:dyDescent="0.3">
      <c r="A1700" t="s">
        <v>3716</v>
      </c>
      <c r="B1700" t="s">
        <v>326</v>
      </c>
      <c r="C1700" t="s">
        <v>2001</v>
      </c>
      <c r="D1700">
        <v>2</v>
      </c>
      <c r="E1700" s="16">
        <v>600.16</v>
      </c>
      <c r="F1700" s="1">
        <v>44414</v>
      </c>
      <c r="G1700" t="s">
        <v>2018</v>
      </c>
      <c r="H1700">
        <v>3</v>
      </c>
      <c r="I1700" s="12">
        <f>Table16[[#This Row],[price]]*Table16[[#This Row],[quantity]]</f>
        <v>1200.32</v>
      </c>
    </row>
    <row r="1701" spans="1:9" x14ac:dyDescent="0.3">
      <c r="A1701" t="s">
        <v>3714</v>
      </c>
      <c r="B1701" t="s">
        <v>326</v>
      </c>
      <c r="C1701" t="s">
        <v>2001</v>
      </c>
      <c r="D1701">
        <v>1</v>
      </c>
      <c r="E1701" s="16">
        <v>300.08</v>
      </c>
      <c r="F1701" s="1">
        <v>44554</v>
      </c>
      <c r="G1701" t="s">
        <v>2027</v>
      </c>
      <c r="H1701">
        <v>2</v>
      </c>
      <c r="I1701" s="12">
        <f>Table16[[#This Row],[price]]*Table16[[#This Row],[quantity]]</f>
        <v>300.08</v>
      </c>
    </row>
    <row r="1702" spans="1:9" x14ac:dyDescent="0.3">
      <c r="A1702" t="s">
        <v>3717</v>
      </c>
      <c r="B1702" t="s">
        <v>326</v>
      </c>
      <c r="C1702" t="s">
        <v>2008</v>
      </c>
      <c r="D1702">
        <v>1</v>
      </c>
      <c r="E1702" s="16">
        <v>5.23</v>
      </c>
      <c r="F1702" s="1">
        <v>44991</v>
      </c>
      <c r="G1702" t="s">
        <v>2002</v>
      </c>
      <c r="H1702">
        <v>1</v>
      </c>
      <c r="I1702" s="12">
        <f>Table16[[#This Row],[price]]*Table16[[#This Row],[quantity]]</f>
        <v>5.23</v>
      </c>
    </row>
    <row r="1703" spans="1:9" x14ac:dyDescent="0.3">
      <c r="A1703" t="s">
        <v>3719</v>
      </c>
      <c r="B1703" t="s">
        <v>327</v>
      </c>
      <c r="C1703" t="s">
        <v>2015</v>
      </c>
      <c r="D1703">
        <v>1</v>
      </c>
      <c r="E1703" s="16">
        <v>600.16999999999996</v>
      </c>
      <c r="F1703" s="1">
        <v>44226</v>
      </c>
      <c r="G1703" t="s">
        <v>2012</v>
      </c>
      <c r="H1703">
        <v>1</v>
      </c>
      <c r="I1703" s="12">
        <f>Table16[[#This Row],[price]]*Table16[[#This Row],[quantity]]</f>
        <v>600.16999999999996</v>
      </c>
    </row>
    <row r="1704" spans="1:9" x14ac:dyDescent="0.3">
      <c r="A1704" t="s">
        <v>3721</v>
      </c>
      <c r="B1704" t="s">
        <v>327</v>
      </c>
      <c r="C1704" t="s">
        <v>2024</v>
      </c>
      <c r="D1704">
        <v>3</v>
      </c>
      <c r="E1704" s="16">
        <v>107.52</v>
      </c>
      <c r="F1704" s="1">
        <v>44442</v>
      </c>
      <c r="G1704" t="s">
        <v>2020</v>
      </c>
      <c r="H1704">
        <v>2</v>
      </c>
      <c r="I1704" s="12">
        <f>Table16[[#This Row],[price]]*Table16[[#This Row],[quantity]]</f>
        <v>322.56</v>
      </c>
    </row>
    <row r="1705" spans="1:9" x14ac:dyDescent="0.3">
      <c r="A1705" t="s">
        <v>3722</v>
      </c>
      <c r="B1705" t="s">
        <v>327</v>
      </c>
      <c r="C1705" t="s">
        <v>2015</v>
      </c>
      <c r="D1705">
        <v>4</v>
      </c>
      <c r="E1705" s="16">
        <v>2400.6799999999998</v>
      </c>
      <c r="F1705" s="1">
        <v>44858</v>
      </c>
      <c r="G1705" t="s">
        <v>2020</v>
      </c>
      <c r="H1705">
        <v>1</v>
      </c>
      <c r="I1705" s="12">
        <f>Table16[[#This Row],[price]]*Table16[[#This Row],[quantity]]</f>
        <v>9602.7199999999993</v>
      </c>
    </row>
    <row r="1706" spans="1:9" x14ac:dyDescent="0.3">
      <c r="A1706" t="s">
        <v>3720</v>
      </c>
      <c r="B1706" t="s">
        <v>327</v>
      </c>
      <c r="C1706" t="s">
        <v>2001</v>
      </c>
      <c r="D1706">
        <v>2</v>
      </c>
      <c r="E1706" s="16">
        <v>600.16</v>
      </c>
      <c r="F1706" s="1">
        <v>44927</v>
      </c>
      <c r="G1706" t="s">
        <v>2027</v>
      </c>
      <c r="H1706">
        <v>4</v>
      </c>
      <c r="I1706" s="12">
        <f>Table16[[#This Row],[price]]*Table16[[#This Row],[quantity]]</f>
        <v>1200.32</v>
      </c>
    </row>
    <row r="1707" spans="1:9" x14ac:dyDescent="0.3">
      <c r="A1707" t="s">
        <v>3723</v>
      </c>
      <c r="B1707" t="s">
        <v>328</v>
      </c>
      <c r="C1707" t="s">
        <v>2001</v>
      </c>
      <c r="D1707">
        <v>5</v>
      </c>
      <c r="E1707" s="16">
        <v>1500.4</v>
      </c>
      <c r="F1707" s="1">
        <v>44365</v>
      </c>
      <c r="G1707" t="s">
        <v>2020</v>
      </c>
      <c r="H1707">
        <v>5</v>
      </c>
      <c r="I1707" s="12">
        <f>Table16[[#This Row],[price]]*Table16[[#This Row],[quantity]]</f>
        <v>7502</v>
      </c>
    </row>
    <row r="1708" spans="1:9" x14ac:dyDescent="0.3">
      <c r="A1708" t="s">
        <v>3725</v>
      </c>
      <c r="B1708" t="s">
        <v>328</v>
      </c>
      <c r="C1708" t="s">
        <v>2011</v>
      </c>
      <c r="D1708">
        <v>2</v>
      </c>
      <c r="E1708" s="16">
        <v>81.319999999999993</v>
      </c>
      <c r="F1708" s="1">
        <v>44609</v>
      </c>
      <c r="G1708" t="s">
        <v>2002</v>
      </c>
      <c r="H1708">
        <v>5</v>
      </c>
      <c r="I1708" s="12">
        <f>Table16[[#This Row],[price]]*Table16[[#This Row],[quantity]]</f>
        <v>162.63999999999999</v>
      </c>
    </row>
    <row r="1709" spans="1:9" x14ac:dyDescent="0.3">
      <c r="A1709" t="s">
        <v>3724</v>
      </c>
      <c r="B1709" t="s">
        <v>328</v>
      </c>
      <c r="C1709" t="s">
        <v>2015</v>
      </c>
      <c r="D1709">
        <v>5</v>
      </c>
      <c r="E1709" s="16">
        <v>3000.85</v>
      </c>
      <c r="F1709" s="1">
        <v>44878</v>
      </c>
      <c r="G1709" t="s">
        <v>2004</v>
      </c>
      <c r="H1709">
        <v>2</v>
      </c>
      <c r="I1709" s="12">
        <f>Table16[[#This Row],[price]]*Table16[[#This Row],[quantity]]</f>
        <v>15004.25</v>
      </c>
    </row>
    <row r="1710" spans="1:9" x14ac:dyDescent="0.3">
      <c r="A1710" t="s">
        <v>3727</v>
      </c>
      <c r="B1710" t="s">
        <v>329</v>
      </c>
      <c r="C1710" t="s">
        <v>2011</v>
      </c>
      <c r="D1710">
        <v>3</v>
      </c>
      <c r="E1710" s="16">
        <v>121.98</v>
      </c>
      <c r="F1710" s="1">
        <v>44308</v>
      </c>
      <c r="G1710" t="s">
        <v>2064</v>
      </c>
      <c r="H1710">
        <v>4</v>
      </c>
      <c r="I1710" s="12">
        <f>Table16[[#This Row],[price]]*Table16[[#This Row],[quantity]]</f>
        <v>365.94</v>
      </c>
    </row>
    <row r="1711" spans="1:9" x14ac:dyDescent="0.3">
      <c r="A1711" t="s">
        <v>3726</v>
      </c>
      <c r="B1711" t="s">
        <v>329</v>
      </c>
      <c r="C1711" t="s">
        <v>2001</v>
      </c>
      <c r="D1711">
        <v>1</v>
      </c>
      <c r="E1711" s="16">
        <v>300.08</v>
      </c>
      <c r="F1711" s="1">
        <v>44646</v>
      </c>
      <c r="G1711" t="s">
        <v>2004</v>
      </c>
      <c r="H1711">
        <v>2</v>
      </c>
      <c r="I1711" s="12">
        <f>Table16[[#This Row],[price]]*Table16[[#This Row],[quantity]]</f>
        <v>300.08</v>
      </c>
    </row>
    <row r="1712" spans="1:9" x14ac:dyDescent="0.3">
      <c r="A1712" t="s">
        <v>3728</v>
      </c>
      <c r="B1712" t="s">
        <v>329</v>
      </c>
      <c r="C1712" t="s">
        <v>2008</v>
      </c>
      <c r="D1712">
        <v>5</v>
      </c>
      <c r="E1712" s="16">
        <v>26.15</v>
      </c>
      <c r="F1712" s="1">
        <v>44687</v>
      </c>
      <c r="G1712" t="s">
        <v>2004</v>
      </c>
      <c r="H1712">
        <v>3</v>
      </c>
      <c r="I1712" s="12">
        <f>Table16[[#This Row],[price]]*Table16[[#This Row],[quantity]]</f>
        <v>130.75</v>
      </c>
    </row>
    <row r="1713" spans="1:9" x14ac:dyDescent="0.3">
      <c r="A1713" t="s">
        <v>3732</v>
      </c>
      <c r="B1713" t="s">
        <v>330</v>
      </c>
      <c r="C1713" t="s">
        <v>2011</v>
      </c>
      <c r="D1713">
        <v>2</v>
      </c>
      <c r="E1713" s="16">
        <v>81.319999999999993</v>
      </c>
      <c r="F1713" s="1">
        <v>44532</v>
      </c>
      <c r="G1713" t="s">
        <v>2009</v>
      </c>
      <c r="H1713">
        <v>5</v>
      </c>
      <c r="I1713" s="12">
        <f>Table16[[#This Row],[price]]*Table16[[#This Row],[quantity]]</f>
        <v>162.63999999999999</v>
      </c>
    </row>
    <row r="1714" spans="1:9" x14ac:dyDescent="0.3">
      <c r="A1714" t="s">
        <v>3730</v>
      </c>
      <c r="B1714" t="s">
        <v>330</v>
      </c>
      <c r="C1714" t="s">
        <v>2001</v>
      </c>
      <c r="D1714">
        <v>5</v>
      </c>
      <c r="E1714" s="16">
        <v>1500.4</v>
      </c>
      <c r="F1714" s="1">
        <v>44583</v>
      </c>
      <c r="G1714" t="s">
        <v>2004</v>
      </c>
      <c r="H1714">
        <v>4</v>
      </c>
      <c r="I1714" s="12">
        <f>Table16[[#This Row],[price]]*Table16[[#This Row],[quantity]]</f>
        <v>7502</v>
      </c>
    </row>
    <row r="1715" spans="1:9" x14ac:dyDescent="0.3">
      <c r="A1715" t="s">
        <v>3729</v>
      </c>
      <c r="B1715" t="s">
        <v>330</v>
      </c>
      <c r="C1715" t="s">
        <v>2011</v>
      </c>
      <c r="D1715">
        <v>5</v>
      </c>
      <c r="E1715" s="16">
        <v>203.3</v>
      </c>
      <c r="F1715" s="1">
        <v>44827</v>
      </c>
      <c r="G1715" t="s">
        <v>2058</v>
      </c>
      <c r="H1715">
        <v>4</v>
      </c>
      <c r="I1715" s="12">
        <f>Table16[[#This Row],[price]]*Table16[[#This Row],[quantity]]</f>
        <v>1016.5</v>
      </c>
    </row>
    <row r="1716" spans="1:9" x14ac:dyDescent="0.3">
      <c r="A1716" t="s">
        <v>3731</v>
      </c>
      <c r="B1716" t="s">
        <v>330</v>
      </c>
      <c r="C1716" t="s">
        <v>2001</v>
      </c>
      <c r="D1716">
        <v>4</v>
      </c>
      <c r="E1716" s="16">
        <v>1200.32</v>
      </c>
      <c r="F1716" s="1">
        <v>44873</v>
      </c>
      <c r="G1716" t="s">
        <v>2041</v>
      </c>
      <c r="H1716">
        <v>2</v>
      </c>
      <c r="I1716" s="12">
        <f>Table16[[#This Row],[price]]*Table16[[#This Row],[quantity]]</f>
        <v>4801.28</v>
      </c>
    </row>
    <row r="1717" spans="1:9" x14ac:dyDescent="0.3">
      <c r="A1717" t="s">
        <v>3733</v>
      </c>
      <c r="B1717" t="s">
        <v>331</v>
      </c>
      <c r="C1717" t="s">
        <v>2008</v>
      </c>
      <c r="D1717">
        <v>2</v>
      </c>
      <c r="E1717" s="16">
        <v>10.46</v>
      </c>
      <c r="F1717" s="1">
        <v>44578</v>
      </c>
      <c r="G1717" t="s">
        <v>2027</v>
      </c>
      <c r="H1717">
        <v>2</v>
      </c>
      <c r="I1717" s="12">
        <f>Table16[[#This Row],[price]]*Table16[[#This Row],[quantity]]</f>
        <v>20.92</v>
      </c>
    </row>
    <row r="1718" spans="1:9" x14ac:dyDescent="0.3">
      <c r="A1718" t="s">
        <v>3734</v>
      </c>
      <c r="B1718" t="s">
        <v>331</v>
      </c>
      <c r="C1718" t="s">
        <v>2011</v>
      </c>
      <c r="D1718">
        <v>2</v>
      </c>
      <c r="E1718" s="16">
        <v>81.319999999999993</v>
      </c>
      <c r="F1718" s="1">
        <v>44606</v>
      </c>
      <c r="G1718" t="s">
        <v>2020</v>
      </c>
      <c r="H1718">
        <v>2</v>
      </c>
      <c r="I1718" s="12">
        <f>Table16[[#This Row],[price]]*Table16[[#This Row],[quantity]]</f>
        <v>162.63999999999999</v>
      </c>
    </row>
    <row r="1719" spans="1:9" x14ac:dyDescent="0.3">
      <c r="A1719" t="s">
        <v>3740</v>
      </c>
      <c r="B1719" t="s">
        <v>332</v>
      </c>
      <c r="C1719" t="s">
        <v>2057</v>
      </c>
      <c r="D1719">
        <v>3</v>
      </c>
      <c r="E1719" s="16">
        <v>35.19</v>
      </c>
      <c r="F1719" s="1">
        <v>44446</v>
      </c>
      <c r="G1719" t="s">
        <v>2027</v>
      </c>
      <c r="H1719">
        <v>5</v>
      </c>
      <c r="I1719" s="12">
        <f>Table16[[#This Row],[price]]*Table16[[#This Row],[quantity]]</f>
        <v>105.57</v>
      </c>
    </row>
    <row r="1720" spans="1:9" x14ac:dyDescent="0.3">
      <c r="A1720" t="s">
        <v>3738</v>
      </c>
      <c r="B1720" t="s">
        <v>332</v>
      </c>
      <c r="C1720" t="s">
        <v>2011</v>
      </c>
      <c r="D1720">
        <v>4</v>
      </c>
      <c r="E1720" s="16">
        <v>162.63999999999999</v>
      </c>
      <c r="F1720" s="1">
        <v>44493</v>
      </c>
      <c r="G1720" t="s">
        <v>2027</v>
      </c>
      <c r="H1720">
        <v>2</v>
      </c>
      <c r="I1720" s="12">
        <f>Table16[[#This Row],[price]]*Table16[[#This Row],[quantity]]</f>
        <v>650.55999999999995</v>
      </c>
    </row>
    <row r="1721" spans="1:9" x14ac:dyDescent="0.3">
      <c r="A1721" t="s">
        <v>3737</v>
      </c>
      <c r="B1721" t="s">
        <v>332</v>
      </c>
      <c r="C1721" t="s">
        <v>2024</v>
      </c>
      <c r="D1721">
        <v>3</v>
      </c>
      <c r="E1721" s="16">
        <v>107.52</v>
      </c>
      <c r="F1721" s="1">
        <v>44632</v>
      </c>
      <c r="G1721" t="s">
        <v>2027</v>
      </c>
      <c r="H1721">
        <v>3</v>
      </c>
      <c r="I1721" s="12">
        <f>Table16[[#This Row],[price]]*Table16[[#This Row],[quantity]]</f>
        <v>322.56</v>
      </c>
    </row>
    <row r="1722" spans="1:9" x14ac:dyDescent="0.3">
      <c r="A1722" t="s">
        <v>3736</v>
      </c>
      <c r="B1722" t="s">
        <v>332</v>
      </c>
      <c r="C1722" t="s">
        <v>2001</v>
      </c>
      <c r="D1722">
        <v>1</v>
      </c>
      <c r="E1722" s="16">
        <v>300.08</v>
      </c>
      <c r="F1722" s="1">
        <v>44842</v>
      </c>
      <c r="G1722" t="s">
        <v>2027</v>
      </c>
      <c r="H1722">
        <v>3</v>
      </c>
      <c r="I1722" s="12">
        <f>Table16[[#This Row],[price]]*Table16[[#This Row],[quantity]]</f>
        <v>300.08</v>
      </c>
    </row>
    <row r="1723" spans="1:9" x14ac:dyDescent="0.3">
      <c r="A1723" t="s">
        <v>3735</v>
      </c>
      <c r="B1723" t="s">
        <v>332</v>
      </c>
      <c r="C1723" t="s">
        <v>2015</v>
      </c>
      <c r="D1723">
        <v>3</v>
      </c>
      <c r="E1723" s="16">
        <v>1800.51</v>
      </c>
      <c r="F1723" s="1">
        <v>44882</v>
      </c>
      <c r="G1723" t="s">
        <v>2027</v>
      </c>
      <c r="H1723">
        <v>4</v>
      </c>
      <c r="I1723" s="12">
        <f>Table16[[#This Row],[price]]*Table16[[#This Row],[quantity]]</f>
        <v>5401.53</v>
      </c>
    </row>
    <row r="1724" spans="1:9" x14ac:dyDescent="0.3">
      <c r="A1724" t="s">
        <v>3739</v>
      </c>
      <c r="B1724" t="s">
        <v>332</v>
      </c>
      <c r="C1724" t="s">
        <v>2001</v>
      </c>
      <c r="D1724">
        <v>2</v>
      </c>
      <c r="E1724" s="16">
        <v>600.16</v>
      </c>
      <c r="F1724" s="1">
        <v>44925</v>
      </c>
      <c r="G1724" t="s">
        <v>2002</v>
      </c>
      <c r="H1724">
        <v>5</v>
      </c>
      <c r="I1724" s="12">
        <f>Table16[[#This Row],[price]]*Table16[[#This Row],[quantity]]</f>
        <v>1200.32</v>
      </c>
    </row>
    <row r="1725" spans="1:9" x14ac:dyDescent="0.3">
      <c r="A1725" t="s">
        <v>3741</v>
      </c>
      <c r="B1725" t="s">
        <v>333</v>
      </c>
      <c r="C1725" t="s">
        <v>2017</v>
      </c>
      <c r="D1725">
        <v>5</v>
      </c>
      <c r="E1725" s="16">
        <v>5250</v>
      </c>
      <c r="F1725" s="1">
        <v>44218</v>
      </c>
      <c r="G1725" t="s">
        <v>2027</v>
      </c>
      <c r="H1725">
        <v>4</v>
      </c>
      <c r="I1725" s="12">
        <f>Table16[[#This Row],[price]]*Table16[[#This Row],[quantity]]</f>
        <v>26250</v>
      </c>
    </row>
    <row r="1726" spans="1:9" x14ac:dyDescent="0.3">
      <c r="A1726" t="s">
        <v>3743</v>
      </c>
      <c r="B1726" t="s">
        <v>333</v>
      </c>
      <c r="C1726" t="s">
        <v>2008</v>
      </c>
      <c r="D1726">
        <v>3</v>
      </c>
      <c r="E1726" s="16">
        <v>15.69</v>
      </c>
      <c r="F1726" s="1">
        <v>44375</v>
      </c>
      <c r="G1726" t="s">
        <v>2009</v>
      </c>
      <c r="H1726">
        <v>1</v>
      </c>
      <c r="I1726" s="12">
        <f>Table16[[#This Row],[price]]*Table16[[#This Row],[quantity]]</f>
        <v>47.07</v>
      </c>
    </row>
    <row r="1727" spans="1:9" x14ac:dyDescent="0.3">
      <c r="A1727" t="s">
        <v>3742</v>
      </c>
      <c r="B1727" t="s">
        <v>333</v>
      </c>
      <c r="C1727" t="s">
        <v>2001</v>
      </c>
      <c r="D1727">
        <v>1</v>
      </c>
      <c r="E1727" s="16">
        <v>300.08</v>
      </c>
      <c r="F1727" s="1">
        <v>44467</v>
      </c>
      <c r="G1727" t="s">
        <v>2004</v>
      </c>
      <c r="H1727">
        <v>4</v>
      </c>
      <c r="I1727" s="12">
        <f>Table16[[#This Row],[price]]*Table16[[#This Row],[quantity]]</f>
        <v>300.08</v>
      </c>
    </row>
    <row r="1728" spans="1:9" x14ac:dyDescent="0.3">
      <c r="A1728" t="s">
        <v>3744</v>
      </c>
      <c r="B1728" t="s">
        <v>334</v>
      </c>
      <c r="C1728" t="s">
        <v>2001</v>
      </c>
      <c r="D1728">
        <v>3</v>
      </c>
      <c r="E1728" s="16">
        <v>900.24</v>
      </c>
      <c r="F1728" s="1">
        <v>44233</v>
      </c>
      <c r="G1728" t="s">
        <v>2041</v>
      </c>
      <c r="H1728">
        <v>2</v>
      </c>
      <c r="I1728" s="12">
        <f>Table16[[#This Row],[price]]*Table16[[#This Row],[quantity]]</f>
        <v>2700.7200000000003</v>
      </c>
    </row>
    <row r="1729" spans="1:9" x14ac:dyDescent="0.3">
      <c r="A1729" t="s">
        <v>3748</v>
      </c>
      <c r="B1729" t="s">
        <v>334</v>
      </c>
      <c r="C1729" t="s">
        <v>2001</v>
      </c>
      <c r="D1729">
        <v>5</v>
      </c>
      <c r="E1729" s="16">
        <v>1500.4</v>
      </c>
      <c r="F1729" s="1">
        <v>44281</v>
      </c>
      <c r="G1729" t="s">
        <v>2064</v>
      </c>
      <c r="H1729">
        <v>5</v>
      </c>
      <c r="I1729" s="12">
        <f>Table16[[#This Row],[price]]*Table16[[#This Row],[quantity]]</f>
        <v>7502</v>
      </c>
    </row>
    <row r="1730" spans="1:9" x14ac:dyDescent="0.3">
      <c r="A1730" t="s">
        <v>3747</v>
      </c>
      <c r="B1730" t="s">
        <v>334</v>
      </c>
      <c r="C1730" t="s">
        <v>2024</v>
      </c>
      <c r="D1730">
        <v>4</v>
      </c>
      <c r="E1730" s="16">
        <v>143.36000000000001</v>
      </c>
      <c r="F1730" s="1">
        <v>44365</v>
      </c>
      <c r="G1730" t="s">
        <v>2002</v>
      </c>
      <c r="H1730">
        <v>5</v>
      </c>
      <c r="I1730" s="12">
        <f>Table16[[#This Row],[price]]*Table16[[#This Row],[quantity]]</f>
        <v>573.44000000000005</v>
      </c>
    </row>
    <row r="1731" spans="1:9" x14ac:dyDescent="0.3">
      <c r="A1731" t="s">
        <v>3749</v>
      </c>
      <c r="B1731" t="s">
        <v>334</v>
      </c>
      <c r="C1731" t="s">
        <v>2024</v>
      </c>
      <c r="D1731">
        <v>1</v>
      </c>
      <c r="E1731" s="16">
        <v>35.840000000000003</v>
      </c>
      <c r="F1731" s="1">
        <v>44415</v>
      </c>
      <c r="G1731" t="s">
        <v>2027</v>
      </c>
      <c r="H1731">
        <v>5</v>
      </c>
      <c r="I1731" s="12">
        <f>Table16[[#This Row],[price]]*Table16[[#This Row],[quantity]]</f>
        <v>35.840000000000003</v>
      </c>
    </row>
    <row r="1732" spans="1:9" x14ac:dyDescent="0.3">
      <c r="A1732" t="s">
        <v>3745</v>
      </c>
      <c r="B1732" t="s">
        <v>334</v>
      </c>
      <c r="C1732" t="s">
        <v>2001</v>
      </c>
      <c r="D1732">
        <v>3</v>
      </c>
      <c r="E1732" s="16">
        <v>900.24</v>
      </c>
      <c r="F1732" s="1">
        <v>44510</v>
      </c>
      <c r="G1732" t="s">
        <v>2002</v>
      </c>
      <c r="H1732">
        <v>3</v>
      </c>
      <c r="I1732" s="12">
        <f>Table16[[#This Row],[price]]*Table16[[#This Row],[quantity]]</f>
        <v>2700.7200000000003</v>
      </c>
    </row>
    <row r="1733" spans="1:9" x14ac:dyDescent="0.3">
      <c r="A1733" t="s">
        <v>3746</v>
      </c>
      <c r="B1733" t="s">
        <v>334</v>
      </c>
      <c r="C1733" t="s">
        <v>2006</v>
      </c>
      <c r="D1733">
        <v>4</v>
      </c>
      <c r="E1733" s="16">
        <v>60.6</v>
      </c>
      <c r="F1733" s="1">
        <v>44878</v>
      </c>
      <c r="G1733" t="s">
        <v>2004</v>
      </c>
      <c r="H1733">
        <v>2</v>
      </c>
      <c r="I1733" s="12">
        <f>Table16[[#This Row],[price]]*Table16[[#This Row],[quantity]]</f>
        <v>242.4</v>
      </c>
    </row>
    <row r="1734" spans="1:9" x14ac:dyDescent="0.3">
      <c r="A1734" t="s">
        <v>3753</v>
      </c>
      <c r="B1734" t="s">
        <v>335</v>
      </c>
      <c r="C1734" t="s">
        <v>2001</v>
      </c>
      <c r="D1734">
        <v>1</v>
      </c>
      <c r="E1734" s="16">
        <v>300.08</v>
      </c>
      <c r="F1734" s="1">
        <v>44265</v>
      </c>
      <c r="G1734" t="s">
        <v>2009</v>
      </c>
      <c r="H1734">
        <v>5</v>
      </c>
      <c r="I1734" s="12">
        <f>Table16[[#This Row],[price]]*Table16[[#This Row],[quantity]]</f>
        <v>300.08</v>
      </c>
    </row>
    <row r="1735" spans="1:9" x14ac:dyDescent="0.3">
      <c r="A1735" t="s">
        <v>3754</v>
      </c>
      <c r="B1735" t="s">
        <v>335</v>
      </c>
      <c r="C1735" t="s">
        <v>2024</v>
      </c>
      <c r="D1735">
        <v>5</v>
      </c>
      <c r="E1735" s="16">
        <v>179.2</v>
      </c>
      <c r="F1735" s="1">
        <v>44300</v>
      </c>
      <c r="G1735" t="s">
        <v>2018</v>
      </c>
      <c r="H1735">
        <v>1</v>
      </c>
      <c r="I1735" s="12">
        <f>Table16[[#This Row],[price]]*Table16[[#This Row],[quantity]]</f>
        <v>896</v>
      </c>
    </row>
    <row r="1736" spans="1:9" x14ac:dyDescent="0.3">
      <c r="A1736" t="s">
        <v>3751</v>
      </c>
      <c r="B1736" t="s">
        <v>335</v>
      </c>
      <c r="C1736" t="s">
        <v>2024</v>
      </c>
      <c r="D1736">
        <v>5</v>
      </c>
      <c r="E1736" s="16">
        <v>179.2</v>
      </c>
      <c r="F1736" s="1">
        <v>44383</v>
      </c>
      <c r="G1736" t="s">
        <v>2018</v>
      </c>
      <c r="H1736">
        <v>4</v>
      </c>
      <c r="I1736" s="12">
        <f>Table16[[#This Row],[price]]*Table16[[#This Row],[quantity]]</f>
        <v>896</v>
      </c>
    </row>
    <row r="1737" spans="1:9" x14ac:dyDescent="0.3">
      <c r="A1737" t="s">
        <v>3750</v>
      </c>
      <c r="B1737" t="s">
        <v>335</v>
      </c>
      <c r="C1737" t="s">
        <v>2001</v>
      </c>
      <c r="D1737">
        <v>4</v>
      </c>
      <c r="E1737" s="16">
        <v>1200.32</v>
      </c>
      <c r="F1737" s="1">
        <v>44535</v>
      </c>
      <c r="G1737" t="s">
        <v>2020</v>
      </c>
      <c r="H1737">
        <v>3</v>
      </c>
      <c r="I1737" s="12">
        <f>Table16[[#This Row],[price]]*Table16[[#This Row],[quantity]]</f>
        <v>4801.28</v>
      </c>
    </row>
    <row r="1738" spans="1:9" x14ac:dyDescent="0.3">
      <c r="A1738" t="s">
        <v>3752</v>
      </c>
      <c r="B1738" t="s">
        <v>335</v>
      </c>
      <c r="C1738" t="s">
        <v>2011</v>
      </c>
      <c r="D1738">
        <v>3</v>
      </c>
      <c r="E1738" s="16">
        <v>121.98</v>
      </c>
      <c r="F1738" s="1">
        <v>44953</v>
      </c>
      <c r="G1738" t="s">
        <v>2027</v>
      </c>
      <c r="H1738">
        <v>1</v>
      </c>
      <c r="I1738" s="12">
        <f>Table16[[#This Row],[price]]*Table16[[#This Row],[quantity]]</f>
        <v>365.94</v>
      </c>
    </row>
    <row r="1739" spans="1:9" x14ac:dyDescent="0.3">
      <c r="A1739" t="s">
        <v>3757</v>
      </c>
      <c r="B1739" t="s">
        <v>336</v>
      </c>
      <c r="C1739" t="s">
        <v>2024</v>
      </c>
      <c r="D1739">
        <v>1</v>
      </c>
      <c r="E1739" s="16">
        <v>35.840000000000003</v>
      </c>
      <c r="F1739" s="1">
        <v>44428</v>
      </c>
      <c r="G1739" t="s">
        <v>2041</v>
      </c>
      <c r="H1739">
        <v>5</v>
      </c>
      <c r="I1739" s="12">
        <f>Table16[[#This Row],[price]]*Table16[[#This Row],[quantity]]</f>
        <v>35.840000000000003</v>
      </c>
    </row>
    <row r="1740" spans="1:9" x14ac:dyDescent="0.3">
      <c r="A1740" t="s">
        <v>3755</v>
      </c>
      <c r="B1740" t="s">
        <v>336</v>
      </c>
      <c r="C1740" t="s">
        <v>2001</v>
      </c>
      <c r="D1740">
        <v>2</v>
      </c>
      <c r="E1740" s="16">
        <v>600.16</v>
      </c>
      <c r="F1740" s="1">
        <v>44509</v>
      </c>
      <c r="G1740" t="s">
        <v>2027</v>
      </c>
      <c r="H1740">
        <v>3</v>
      </c>
      <c r="I1740" s="12">
        <f>Table16[[#This Row],[price]]*Table16[[#This Row],[quantity]]</f>
        <v>1200.32</v>
      </c>
    </row>
    <row r="1741" spans="1:9" x14ac:dyDescent="0.3">
      <c r="A1741" t="s">
        <v>3758</v>
      </c>
      <c r="B1741" t="s">
        <v>336</v>
      </c>
      <c r="C1741" t="s">
        <v>2024</v>
      </c>
      <c r="D1741">
        <v>3</v>
      </c>
      <c r="E1741" s="16">
        <v>107.52</v>
      </c>
      <c r="F1741" s="1">
        <v>44851</v>
      </c>
      <c r="G1741" t="s">
        <v>2018</v>
      </c>
      <c r="H1741">
        <v>1</v>
      </c>
      <c r="I1741" s="12">
        <f>Table16[[#This Row],[price]]*Table16[[#This Row],[quantity]]</f>
        <v>322.56</v>
      </c>
    </row>
    <row r="1742" spans="1:9" x14ac:dyDescent="0.3">
      <c r="A1742" t="s">
        <v>3756</v>
      </c>
      <c r="B1742" t="s">
        <v>336</v>
      </c>
      <c r="C1742" t="s">
        <v>2001</v>
      </c>
      <c r="D1742">
        <v>3</v>
      </c>
      <c r="E1742" s="16">
        <v>900.24</v>
      </c>
      <c r="F1742" s="1">
        <v>44876</v>
      </c>
      <c r="G1742" t="s">
        <v>2004</v>
      </c>
      <c r="H1742">
        <v>5</v>
      </c>
      <c r="I1742" s="12">
        <f>Table16[[#This Row],[price]]*Table16[[#This Row],[quantity]]</f>
        <v>2700.7200000000003</v>
      </c>
    </row>
    <row r="1743" spans="1:9" x14ac:dyDescent="0.3">
      <c r="A1743" t="s">
        <v>3762</v>
      </c>
      <c r="B1743" t="s">
        <v>337</v>
      </c>
      <c r="C1743" t="s">
        <v>2001</v>
      </c>
      <c r="D1743">
        <v>4</v>
      </c>
      <c r="E1743" s="16">
        <v>1200.32</v>
      </c>
      <c r="F1743" s="1">
        <v>44313</v>
      </c>
      <c r="G1743" t="s">
        <v>2012</v>
      </c>
      <c r="H1743">
        <v>5</v>
      </c>
      <c r="I1743" s="12">
        <f>Table16[[#This Row],[price]]*Table16[[#This Row],[quantity]]</f>
        <v>4801.28</v>
      </c>
    </row>
    <row r="1744" spans="1:9" x14ac:dyDescent="0.3">
      <c r="A1744" t="s">
        <v>3760</v>
      </c>
      <c r="B1744" t="s">
        <v>337</v>
      </c>
      <c r="C1744" t="s">
        <v>2015</v>
      </c>
      <c r="D1744">
        <v>5</v>
      </c>
      <c r="E1744" s="16">
        <v>3000.85</v>
      </c>
      <c r="F1744" s="1">
        <v>44315</v>
      </c>
      <c r="G1744" t="s">
        <v>2012</v>
      </c>
      <c r="H1744">
        <v>5</v>
      </c>
      <c r="I1744" s="12">
        <f>Table16[[#This Row],[price]]*Table16[[#This Row],[quantity]]</f>
        <v>15004.25</v>
      </c>
    </row>
    <row r="1745" spans="1:9" x14ac:dyDescent="0.3">
      <c r="A1745" t="s">
        <v>3766</v>
      </c>
      <c r="B1745" t="s">
        <v>337</v>
      </c>
      <c r="C1745" t="s">
        <v>2001</v>
      </c>
      <c r="D1745">
        <v>5</v>
      </c>
      <c r="E1745" s="16">
        <v>1500.4</v>
      </c>
      <c r="F1745" s="1">
        <v>44463</v>
      </c>
      <c r="G1745" t="s">
        <v>2004</v>
      </c>
      <c r="H1745">
        <v>2</v>
      </c>
      <c r="I1745" s="12">
        <f>Table16[[#This Row],[price]]*Table16[[#This Row],[quantity]]</f>
        <v>7502</v>
      </c>
    </row>
    <row r="1746" spans="1:9" x14ac:dyDescent="0.3">
      <c r="A1746" t="s">
        <v>3767</v>
      </c>
      <c r="B1746" t="s">
        <v>337</v>
      </c>
      <c r="C1746" t="s">
        <v>2006</v>
      </c>
      <c r="D1746">
        <v>3</v>
      </c>
      <c r="E1746" s="16">
        <v>45.45</v>
      </c>
      <c r="F1746" s="1">
        <v>44520</v>
      </c>
      <c r="G1746" t="s">
        <v>2002</v>
      </c>
      <c r="H1746">
        <v>3</v>
      </c>
      <c r="I1746" s="12">
        <f>Table16[[#This Row],[price]]*Table16[[#This Row],[quantity]]</f>
        <v>136.35000000000002</v>
      </c>
    </row>
    <row r="1747" spans="1:9" x14ac:dyDescent="0.3">
      <c r="A1747" t="s">
        <v>3770</v>
      </c>
      <c r="B1747" t="s">
        <v>337</v>
      </c>
      <c r="C1747" t="s">
        <v>2001</v>
      </c>
      <c r="D1747">
        <v>4</v>
      </c>
      <c r="E1747" s="16">
        <v>1200.32</v>
      </c>
      <c r="F1747" s="1">
        <v>44745</v>
      </c>
      <c r="G1747" t="s">
        <v>2027</v>
      </c>
      <c r="H1747">
        <v>2</v>
      </c>
      <c r="I1747" s="12">
        <f>Table16[[#This Row],[price]]*Table16[[#This Row],[quantity]]</f>
        <v>4801.28</v>
      </c>
    </row>
    <row r="1748" spans="1:9" x14ac:dyDescent="0.3">
      <c r="A1748" t="s">
        <v>3759</v>
      </c>
      <c r="B1748" t="s">
        <v>337</v>
      </c>
      <c r="C1748" t="s">
        <v>2008</v>
      </c>
      <c r="D1748">
        <v>4</v>
      </c>
      <c r="E1748" s="16">
        <v>20.92</v>
      </c>
      <c r="F1748" s="1">
        <v>44807</v>
      </c>
      <c r="G1748" t="s">
        <v>2009</v>
      </c>
      <c r="H1748">
        <v>4</v>
      </c>
      <c r="I1748" s="12">
        <f>Table16[[#This Row],[price]]*Table16[[#This Row],[quantity]]</f>
        <v>83.68</v>
      </c>
    </row>
    <row r="1749" spans="1:9" x14ac:dyDescent="0.3">
      <c r="A1749" t="s">
        <v>3763</v>
      </c>
      <c r="B1749" t="s">
        <v>337</v>
      </c>
      <c r="C1749" t="s">
        <v>2011</v>
      </c>
      <c r="D1749">
        <v>3</v>
      </c>
      <c r="E1749" s="16">
        <v>121.98</v>
      </c>
      <c r="F1749" s="1">
        <v>44810</v>
      </c>
      <c r="G1749" t="s">
        <v>2009</v>
      </c>
      <c r="H1749">
        <v>4</v>
      </c>
      <c r="I1749" s="12">
        <f>Table16[[#This Row],[price]]*Table16[[#This Row],[quantity]]</f>
        <v>365.94</v>
      </c>
    </row>
    <row r="1750" spans="1:9" x14ac:dyDescent="0.3">
      <c r="A1750" t="s">
        <v>3769</v>
      </c>
      <c r="B1750" t="s">
        <v>337</v>
      </c>
      <c r="C1750" t="s">
        <v>2017</v>
      </c>
      <c r="D1750">
        <v>4</v>
      </c>
      <c r="E1750" s="16">
        <v>4200</v>
      </c>
      <c r="F1750" s="1">
        <v>44870</v>
      </c>
      <c r="G1750" t="s">
        <v>2004</v>
      </c>
      <c r="H1750">
        <v>2</v>
      </c>
      <c r="I1750" s="12">
        <f>Table16[[#This Row],[price]]*Table16[[#This Row],[quantity]]</f>
        <v>16800</v>
      </c>
    </row>
    <row r="1751" spans="1:9" x14ac:dyDescent="0.3">
      <c r="A1751" t="s">
        <v>3768</v>
      </c>
      <c r="B1751" t="s">
        <v>337</v>
      </c>
      <c r="C1751" t="s">
        <v>2011</v>
      </c>
      <c r="D1751">
        <v>3</v>
      </c>
      <c r="E1751" s="16">
        <v>121.98</v>
      </c>
      <c r="F1751" s="1">
        <v>44878</v>
      </c>
      <c r="G1751" t="s">
        <v>2018</v>
      </c>
      <c r="H1751">
        <v>4</v>
      </c>
      <c r="I1751" s="12">
        <f>Table16[[#This Row],[price]]*Table16[[#This Row],[quantity]]</f>
        <v>365.94</v>
      </c>
    </row>
    <row r="1752" spans="1:9" x14ac:dyDescent="0.3">
      <c r="A1752" t="s">
        <v>3764</v>
      </c>
      <c r="B1752" t="s">
        <v>337</v>
      </c>
      <c r="C1752" t="s">
        <v>2008</v>
      </c>
      <c r="D1752">
        <v>4</v>
      </c>
      <c r="E1752" s="16">
        <v>20.92</v>
      </c>
      <c r="F1752" s="1">
        <v>44907</v>
      </c>
      <c r="G1752" t="s">
        <v>2004</v>
      </c>
      <c r="H1752">
        <v>4</v>
      </c>
      <c r="I1752" s="12">
        <f>Table16[[#This Row],[price]]*Table16[[#This Row],[quantity]]</f>
        <v>83.68</v>
      </c>
    </row>
    <row r="1753" spans="1:9" x14ac:dyDescent="0.3">
      <c r="A1753" t="s">
        <v>3761</v>
      </c>
      <c r="B1753" t="s">
        <v>337</v>
      </c>
      <c r="C1753" t="s">
        <v>2008</v>
      </c>
      <c r="D1753">
        <v>1</v>
      </c>
      <c r="E1753" s="16">
        <v>5.23</v>
      </c>
      <c r="F1753" s="1">
        <v>44918</v>
      </c>
      <c r="G1753" t="s">
        <v>2004</v>
      </c>
      <c r="H1753">
        <v>5</v>
      </c>
      <c r="I1753" s="12">
        <f>Table16[[#This Row],[price]]*Table16[[#This Row],[quantity]]</f>
        <v>5.23</v>
      </c>
    </row>
    <row r="1754" spans="1:9" x14ac:dyDescent="0.3">
      <c r="A1754" t="s">
        <v>3765</v>
      </c>
      <c r="B1754" t="s">
        <v>337</v>
      </c>
      <c r="C1754" t="s">
        <v>2008</v>
      </c>
      <c r="D1754">
        <v>4</v>
      </c>
      <c r="E1754" s="16">
        <v>20.92</v>
      </c>
      <c r="F1754" s="1">
        <v>44974</v>
      </c>
      <c r="G1754" t="s">
        <v>2004</v>
      </c>
      <c r="H1754">
        <v>4</v>
      </c>
      <c r="I1754" s="12">
        <f>Table16[[#This Row],[price]]*Table16[[#This Row],[quantity]]</f>
        <v>83.68</v>
      </c>
    </row>
    <row r="1755" spans="1:9" x14ac:dyDescent="0.3">
      <c r="A1755" t="s">
        <v>3772</v>
      </c>
      <c r="B1755" t="s">
        <v>338</v>
      </c>
      <c r="C1755" t="s">
        <v>2001</v>
      </c>
      <c r="D1755">
        <v>5</v>
      </c>
      <c r="E1755" s="16">
        <v>1500.4</v>
      </c>
      <c r="F1755" s="1">
        <v>44491</v>
      </c>
      <c r="G1755" t="s">
        <v>2004</v>
      </c>
      <c r="H1755">
        <v>1</v>
      </c>
      <c r="I1755" s="12">
        <f>Table16[[#This Row],[price]]*Table16[[#This Row],[quantity]]</f>
        <v>7502</v>
      </c>
    </row>
    <row r="1756" spans="1:9" x14ac:dyDescent="0.3">
      <c r="A1756" t="s">
        <v>3774</v>
      </c>
      <c r="B1756" t="s">
        <v>338</v>
      </c>
      <c r="C1756" t="s">
        <v>2057</v>
      </c>
      <c r="D1756">
        <v>1</v>
      </c>
      <c r="E1756" s="16">
        <v>11.73</v>
      </c>
      <c r="F1756" s="1">
        <v>44520</v>
      </c>
      <c r="G1756" t="s">
        <v>2027</v>
      </c>
      <c r="H1756">
        <v>5</v>
      </c>
      <c r="I1756" s="12">
        <f>Table16[[#This Row],[price]]*Table16[[#This Row],[quantity]]</f>
        <v>11.73</v>
      </c>
    </row>
    <row r="1757" spans="1:9" x14ac:dyDescent="0.3">
      <c r="A1757" t="s">
        <v>3773</v>
      </c>
      <c r="B1757" t="s">
        <v>338</v>
      </c>
      <c r="C1757" t="s">
        <v>2001</v>
      </c>
      <c r="D1757">
        <v>4</v>
      </c>
      <c r="E1757" s="16">
        <v>1200.32</v>
      </c>
      <c r="F1757" s="1">
        <v>44573</v>
      </c>
      <c r="G1757" t="s">
        <v>2064</v>
      </c>
      <c r="H1757">
        <v>1</v>
      </c>
      <c r="I1757" s="12">
        <f>Table16[[#This Row],[price]]*Table16[[#This Row],[quantity]]</f>
        <v>4801.28</v>
      </c>
    </row>
    <row r="1758" spans="1:9" x14ac:dyDescent="0.3">
      <c r="A1758" t="s">
        <v>3771</v>
      </c>
      <c r="B1758" t="s">
        <v>338</v>
      </c>
      <c r="C1758" t="s">
        <v>2001</v>
      </c>
      <c r="D1758">
        <v>4</v>
      </c>
      <c r="E1758" s="16">
        <v>1200.32</v>
      </c>
      <c r="F1758" s="1">
        <v>44678</v>
      </c>
      <c r="G1758" t="s">
        <v>2027</v>
      </c>
      <c r="H1758">
        <v>2</v>
      </c>
      <c r="I1758" s="12">
        <f>Table16[[#This Row],[price]]*Table16[[#This Row],[quantity]]</f>
        <v>4801.28</v>
      </c>
    </row>
    <row r="1759" spans="1:9" x14ac:dyDescent="0.3">
      <c r="A1759" t="s">
        <v>3776</v>
      </c>
      <c r="B1759" t="s">
        <v>339</v>
      </c>
      <c r="C1759" t="s">
        <v>2008</v>
      </c>
      <c r="D1759">
        <v>2</v>
      </c>
      <c r="E1759" s="16">
        <v>10.46</v>
      </c>
      <c r="F1759" s="1">
        <v>44260</v>
      </c>
      <c r="G1759" t="s">
        <v>2004</v>
      </c>
      <c r="H1759">
        <v>5</v>
      </c>
      <c r="I1759" s="12">
        <f>Table16[[#This Row],[price]]*Table16[[#This Row],[quantity]]</f>
        <v>20.92</v>
      </c>
    </row>
    <row r="1760" spans="1:9" x14ac:dyDescent="0.3">
      <c r="A1760" t="s">
        <v>3777</v>
      </c>
      <c r="B1760" t="s">
        <v>339</v>
      </c>
      <c r="C1760" t="s">
        <v>2008</v>
      </c>
      <c r="D1760">
        <v>1</v>
      </c>
      <c r="E1760" s="16">
        <v>5.23</v>
      </c>
      <c r="F1760" s="1">
        <v>44852</v>
      </c>
      <c r="G1760" t="s">
        <v>2020</v>
      </c>
      <c r="H1760">
        <v>2</v>
      </c>
      <c r="I1760" s="12">
        <f>Table16[[#This Row],[price]]*Table16[[#This Row],[quantity]]</f>
        <v>5.23</v>
      </c>
    </row>
    <row r="1761" spans="1:9" x14ac:dyDescent="0.3">
      <c r="A1761" t="s">
        <v>3775</v>
      </c>
      <c r="B1761" t="s">
        <v>339</v>
      </c>
      <c r="C1761" t="s">
        <v>2015</v>
      </c>
      <c r="D1761">
        <v>5</v>
      </c>
      <c r="E1761" s="16">
        <v>3000.85</v>
      </c>
      <c r="F1761" s="1">
        <v>44902</v>
      </c>
      <c r="G1761" t="s">
        <v>2027</v>
      </c>
      <c r="H1761">
        <v>2</v>
      </c>
      <c r="I1761" s="12">
        <f>Table16[[#This Row],[price]]*Table16[[#This Row],[quantity]]</f>
        <v>15004.25</v>
      </c>
    </row>
    <row r="1762" spans="1:9" x14ac:dyDescent="0.3">
      <c r="A1762" t="s">
        <v>3781</v>
      </c>
      <c r="B1762" t="s">
        <v>340</v>
      </c>
      <c r="C1762" t="s">
        <v>2001</v>
      </c>
      <c r="D1762">
        <v>2</v>
      </c>
      <c r="E1762" s="16">
        <v>600.16</v>
      </c>
      <c r="F1762" s="1">
        <v>44245</v>
      </c>
      <c r="G1762" t="s">
        <v>2004</v>
      </c>
      <c r="H1762">
        <v>3</v>
      </c>
      <c r="I1762" s="12">
        <f>Table16[[#This Row],[price]]*Table16[[#This Row],[quantity]]</f>
        <v>1200.32</v>
      </c>
    </row>
    <row r="1763" spans="1:9" x14ac:dyDescent="0.3">
      <c r="A1763" t="s">
        <v>3783</v>
      </c>
      <c r="B1763" t="s">
        <v>340</v>
      </c>
      <c r="C1763" t="s">
        <v>2008</v>
      </c>
      <c r="D1763">
        <v>3</v>
      </c>
      <c r="E1763" s="16">
        <v>15.69</v>
      </c>
      <c r="F1763" s="1">
        <v>44423</v>
      </c>
      <c r="G1763" t="s">
        <v>2018</v>
      </c>
      <c r="H1763">
        <v>1</v>
      </c>
      <c r="I1763" s="12">
        <f>Table16[[#This Row],[price]]*Table16[[#This Row],[quantity]]</f>
        <v>47.07</v>
      </c>
    </row>
    <row r="1764" spans="1:9" x14ac:dyDescent="0.3">
      <c r="A1764" t="s">
        <v>3779</v>
      </c>
      <c r="B1764" t="s">
        <v>340</v>
      </c>
      <c r="C1764" t="s">
        <v>2015</v>
      </c>
      <c r="D1764">
        <v>5</v>
      </c>
      <c r="E1764" s="16">
        <v>3000.85</v>
      </c>
      <c r="F1764" s="1">
        <v>44434</v>
      </c>
      <c r="G1764" t="s">
        <v>2020</v>
      </c>
      <c r="H1764">
        <v>4</v>
      </c>
      <c r="I1764" s="12">
        <f>Table16[[#This Row],[price]]*Table16[[#This Row],[quantity]]</f>
        <v>15004.25</v>
      </c>
    </row>
    <row r="1765" spans="1:9" x14ac:dyDescent="0.3">
      <c r="A1765" t="s">
        <v>3782</v>
      </c>
      <c r="B1765" t="s">
        <v>340</v>
      </c>
      <c r="C1765" t="s">
        <v>2006</v>
      </c>
      <c r="D1765">
        <v>2</v>
      </c>
      <c r="E1765" s="16">
        <v>30.3</v>
      </c>
      <c r="F1765" s="1">
        <v>44604</v>
      </c>
      <c r="G1765" t="s">
        <v>2064</v>
      </c>
      <c r="H1765">
        <v>5</v>
      </c>
      <c r="I1765" s="12">
        <f>Table16[[#This Row],[price]]*Table16[[#This Row],[quantity]]</f>
        <v>60.6</v>
      </c>
    </row>
    <row r="1766" spans="1:9" x14ac:dyDescent="0.3">
      <c r="A1766" t="s">
        <v>3785</v>
      </c>
      <c r="B1766" t="s">
        <v>340</v>
      </c>
      <c r="C1766" t="s">
        <v>2011</v>
      </c>
      <c r="D1766">
        <v>1</v>
      </c>
      <c r="E1766" s="16">
        <v>40.659999999999997</v>
      </c>
      <c r="F1766" s="1">
        <v>44716</v>
      </c>
      <c r="G1766" t="s">
        <v>2004</v>
      </c>
      <c r="H1766">
        <v>1</v>
      </c>
      <c r="I1766" s="12">
        <f>Table16[[#This Row],[price]]*Table16[[#This Row],[quantity]]</f>
        <v>40.659999999999997</v>
      </c>
    </row>
    <row r="1767" spans="1:9" x14ac:dyDescent="0.3">
      <c r="A1767" t="s">
        <v>3784</v>
      </c>
      <c r="B1767" t="s">
        <v>340</v>
      </c>
      <c r="C1767" t="s">
        <v>2006</v>
      </c>
      <c r="D1767">
        <v>3</v>
      </c>
      <c r="E1767" s="16">
        <v>45.45</v>
      </c>
      <c r="F1767" s="1">
        <v>44769</v>
      </c>
      <c r="G1767" t="s">
        <v>2027</v>
      </c>
      <c r="H1767">
        <v>2</v>
      </c>
      <c r="I1767" s="12">
        <f>Table16[[#This Row],[price]]*Table16[[#This Row],[quantity]]</f>
        <v>136.35000000000002</v>
      </c>
    </row>
    <row r="1768" spans="1:9" x14ac:dyDescent="0.3">
      <c r="A1768" t="s">
        <v>3786</v>
      </c>
      <c r="B1768" t="s">
        <v>340</v>
      </c>
      <c r="C1768" t="s">
        <v>2011</v>
      </c>
      <c r="D1768">
        <v>2</v>
      </c>
      <c r="E1768" s="16">
        <v>81.319999999999993</v>
      </c>
      <c r="F1768" s="1">
        <v>44786</v>
      </c>
      <c r="G1768" t="s">
        <v>2002</v>
      </c>
      <c r="H1768">
        <v>3</v>
      </c>
      <c r="I1768" s="12">
        <f>Table16[[#This Row],[price]]*Table16[[#This Row],[quantity]]</f>
        <v>162.63999999999999</v>
      </c>
    </row>
    <row r="1769" spans="1:9" x14ac:dyDescent="0.3">
      <c r="A1769" t="s">
        <v>3787</v>
      </c>
      <c r="B1769" t="s">
        <v>340</v>
      </c>
      <c r="C1769" t="s">
        <v>2011</v>
      </c>
      <c r="D1769">
        <v>4</v>
      </c>
      <c r="E1769" s="16">
        <v>162.63999999999999</v>
      </c>
      <c r="F1769" s="1">
        <v>44850</v>
      </c>
      <c r="G1769" t="s">
        <v>2027</v>
      </c>
      <c r="H1769">
        <v>2</v>
      </c>
      <c r="I1769" s="12">
        <f>Table16[[#This Row],[price]]*Table16[[#This Row],[quantity]]</f>
        <v>650.55999999999995</v>
      </c>
    </row>
    <row r="1770" spans="1:9" x14ac:dyDescent="0.3">
      <c r="A1770" t="s">
        <v>3778</v>
      </c>
      <c r="B1770" t="s">
        <v>340</v>
      </c>
      <c r="C1770" t="s">
        <v>2001</v>
      </c>
      <c r="D1770">
        <v>4</v>
      </c>
      <c r="E1770" s="16">
        <v>1200.32</v>
      </c>
      <c r="F1770" s="1">
        <v>44883</v>
      </c>
      <c r="G1770" t="s">
        <v>2002</v>
      </c>
      <c r="H1770">
        <v>1</v>
      </c>
      <c r="I1770" s="12">
        <f>Table16[[#This Row],[price]]*Table16[[#This Row],[quantity]]</f>
        <v>4801.28</v>
      </c>
    </row>
    <row r="1771" spans="1:9" x14ac:dyDescent="0.3">
      <c r="A1771" t="s">
        <v>3780</v>
      </c>
      <c r="B1771" t="s">
        <v>340</v>
      </c>
      <c r="C1771" t="s">
        <v>2011</v>
      </c>
      <c r="D1771">
        <v>2</v>
      </c>
      <c r="E1771" s="16">
        <v>81.319999999999993</v>
      </c>
      <c r="F1771" s="1">
        <v>44966</v>
      </c>
      <c r="G1771" t="s">
        <v>2058</v>
      </c>
      <c r="H1771">
        <v>1</v>
      </c>
      <c r="I1771" s="12">
        <f>Table16[[#This Row],[price]]*Table16[[#This Row],[quantity]]</f>
        <v>162.63999999999999</v>
      </c>
    </row>
    <row r="1772" spans="1:9" x14ac:dyDescent="0.3">
      <c r="A1772" t="s">
        <v>3791</v>
      </c>
      <c r="B1772" t="s">
        <v>341</v>
      </c>
      <c r="C1772" t="s">
        <v>2001</v>
      </c>
      <c r="D1772">
        <v>5</v>
      </c>
      <c r="E1772" s="16">
        <v>1500.4</v>
      </c>
      <c r="F1772" s="1">
        <v>44342</v>
      </c>
      <c r="G1772" t="s">
        <v>2041</v>
      </c>
      <c r="H1772">
        <v>3</v>
      </c>
      <c r="I1772" s="12">
        <f>Table16[[#This Row],[price]]*Table16[[#This Row],[quantity]]</f>
        <v>7502</v>
      </c>
    </row>
    <row r="1773" spans="1:9" x14ac:dyDescent="0.3">
      <c r="A1773" t="s">
        <v>3792</v>
      </c>
      <c r="B1773" t="s">
        <v>341</v>
      </c>
      <c r="C1773" t="s">
        <v>2001</v>
      </c>
      <c r="D1773">
        <v>5</v>
      </c>
      <c r="E1773" s="16">
        <v>1500.4</v>
      </c>
      <c r="F1773" s="1">
        <v>44356</v>
      </c>
      <c r="G1773" t="s">
        <v>2020</v>
      </c>
      <c r="H1773">
        <v>5</v>
      </c>
      <c r="I1773" s="12">
        <f>Table16[[#This Row],[price]]*Table16[[#This Row],[quantity]]</f>
        <v>7502</v>
      </c>
    </row>
    <row r="1774" spans="1:9" x14ac:dyDescent="0.3">
      <c r="A1774" t="s">
        <v>3790</v>
      </c>
      <c r="B1774" t="s">
        <v>341</v>
      </c>
      <c r="C1774" t="s">
        <v>2008</v>
      </c>
      <c r="D1774">
        <v>1</v>
      </c>
      <c r="E1774" s="16">
        <v>5.23</v>
      </c>
      <c r="F1774" s="1">
        <v>44361</v>
      </c>
      <c r="G1774" t="s">
        <v>2004</v>
      </c>
      <c r="H1774">
        <v>4</v>
      </c>
      <c r="I1774" s="12">
        <f>Table16[[#This Row],[price]]*Table16[[#This Row],[quantity]]</f>
        <v>5.23</v>
      </c>
    </row>
    <row r="1775" spans="1:9" x14ac:dyDescent="0.3">
      <c r="A1775" t="s">
        <v>3789</v>
      </c>
      <c r="B1775" t="s">
        <v>341</v>
      </c>
      <c r="C1775" t="s">
        <v>2008</v>
      </c>
      <c r="D1775">
        <v>1</v>
      </c>
      <c r="E1775" s="16">
        <v>5.23</v>
      </c>
      <c r="F1775" s="1">
        <v>44371</v>
      </c>
      <c r="G1775" t="s">
        <v>2020</v>
      </c>
      <c r="H1775">
        <v>4</v>
      </c>
      <c r="I1775" s="12">
        <f>Table16[[#This Row],[price]]*Table16[[#This Row],[quantity]]</f>
        <v>5.23</v>
      </c>
    </row>
    <row r="1776" spans="1:9" x14ac:dyDescent="0.3">
      <c r="A1776" t="s">
        <v>3788</v>
      </c>
      <c r="B1776" t="s">
        <v>341</v>
      </c>
      <c r="C1776" t="s">
        <v>2006</v>
      </c>
      <c r="D1776">
        <v>1</v>
      </c>
      <c r="E1776" s="16">
        <v>15.15</v>
      </c>
      <c r="F1776" s="1">
        <v>44396</v>
      </c>
      <c r="G1776" t="s">
        <v>2004</v>
      </c>
      <c r="H1776">
        <v>3</v>
      </c>
      <c r="I1776" s="12">
        <f>Table16[[#This Row],[price]]*Table16[[#This Row],[quantity]]</f>
        <v>15.15</v>
      </c>
    </row>
    <row r="1777" spans="1:9" x14ac:dyDescent="0.3">
      <c r="A1777" t="s">
        <v>3795</v>
      </c>
      <c r="B1777" t="s">
        <v>342</v>
      </c>
      <c r="C1777" t="s">
        <v>2011</v>
      </c>
      <c r="D1777">
        <v>2</v>
      </c>
      <c r="E1777" s="16">
        <v>81.319999999999993</v>
      </c>
      <c r="F1777" s="1">
        <v>44323</v>
      </c>
      <c r="G1777" t="s">
        <v>2058</v>
      </c>
      <c r="H1777">
        <v>1</v>
      </c>
      <c r="I1777" s="12">
        <f>Table16[[#This Row],[price]]*Table16[[#This Row],[quantity]]</f>
        <v>162.63999999999999</v>
      </c>
    </row>
    <row r="1778" spans="1:9" x14ac:dyDescent="0.3">
      <c r="A1778" t="s">
        <v>3793</v>
      </c>
      <c r="B1778" t="s">
        <v>342</v>
      </c>
      <c r="C1778" t="s">
        <v>2008</v>
      </c>
      <c r="D1778">
        <v>2</v>
      </c>
      <c r="E1778" s="16">
        <v>10.46</v>
      </c>
      <c r="F1778" s="1">
        <v>44503</v>
      </c>
      <c r="G1778" t="s">
        <v>2004</v>
      </c>
      <c r="H1778">
        <v>2</v>
      </c>
      <c r="I1778" s="12">
        <f>Table16[[#This Row],[price]]*Table16[[#This Row],[quantity]]</f>
        <v>20.92</v>
      </c>
    </row>
    <row r="1779" spans="1:9" x14ac:dyDescent="0.3">
      <c r="A1779" t="s">
        <v>3796</v>
      </c>
      <c r="B1779" t="s">
        <v>342</v>
      </c>
      <c r="C1779" t="s">
        <v>2057</v>
      </c>
      <c r="D1779">
        <v>4</v>
      </c>
      <c r="E1779" s="16">
        <v>46.92</v>
      </c>
      <c r="F1779" s="1">
        <v>44618</v>
      </c>
      <c r="G1779" t="s">
        <v>2041</v>
      </c>
      <c r="H1779">
        <v>5</v>
      </c>
      <c r="I1779" s="12">
        <f>Table16[[#This Row],[price]]*Table16[[#This Row],[quantity]]</f>
        <v>187.68</v>
      </c>
    </row>
    <row r="1780" spans="1:9" x14ac:dyDescent="0.3">
      <c r="A1780" t="s">
        <v>3794</v>
      </c>
      <c r="B1780" t="s">
        <v>342</v>
      </c>
      <c r="C1780" t="s">
        <v>2011</v>
      </c>
      <c r="D1780">
        <v>5</v>
      </c>
      <c r="E1780" s="16">
        <v>203.3</v>
      </c>
      <c r="F1780" s="1">
        <v>44734</v>
      </c>
      <c r="G1780" t="s">
        <v>2004</v>
      </c>
      <c r="H1780">
        <v>3</v>
      </c>
      <c r="I1780" s="12">
        <f>Table16[[#This Row],[price]]*Table16[[#This Row],[quantity]]</f>
        <v>1016.5</v>
      </c>
    </row>
    <row r="1781" spans="1:9" x14ac:dyDescent="0.3">
      <c r="A1781" t="s">
        <v>3800</v>
      </c>
      <c r="B1781" t="s">
        <v>343</v>
      </c>
      <c r="C1781" t="s">
        <v>2006</v>
      </c>
      <c r="D1781">
        <v>5</v>
      </c>
      <c r="E1781" s="16">
        <v>75.75</v>
      </c>
      <c r="F1781" s="1">
        <v>44274</v>
      </c>
      <c r="G1781" t="s">
        <v>2009</v>
      </c>
      <c r="H1781">
        <v>2</v>
      </c>
      <c r="I1781" s="12">
        <f>Table16[[#This Row],[price]]*Table16[[#This Row],[quantity]]</f>
        <v>378.75</v>
      </c>
    </row>
    <row r="1782" spans="1:9" x14ac:dyDescent="0.3">
      <c r="A1782" t="s">
        <v>3798</v>
      </c>
      <c r="B1782" t="s">
        <v>343</v>
      </c>
      <c r="C1782" t="s">
        <v>2024</v>
      </c>
      <c r="D1782">
        <v>1</v>
      </c>
      <c r="E1782" s="16">
        <v>35.840000000000003</v>
      </c>
      <c r="F1782" s="1">
        <v>44302</v>
      </c>
      <c r="G1782" t="s">
        <v>2004</v>
      </c>
      <c r="H1782">
        <v>4</v>
      </c>
      <c r="I1782" s="12">
        <f>Table16[[#This Row],[price]]*Table16[[#This Row],[quantity]]</f>
        <v>35.840000000000003</v>
      </c>
    </row>
    <row r="1783" spans="1:9" x14ac:dyDescent="0.3">
      <c r="A1783" t="s">
        <v>3797</v>
      </c>
      <c r="B1783" t="s">
        <v>343</v>
      </c>
      <c r="C1783" t="s">
        <v>2001</v>
      </c>
      <c r="D1783">
        <v>4</v>
      </c>
      <c r="E1783" s="16">
        <v>1200.32</v>
      </c>
      <c r="F1783" s="1">
        <v>44315</v>
      </c>
      <c r="G1783" t="s">
        <v>2004</v>
      </c>
      <c r="H1783">
        <v>5</v>
      </c>
      <c r="I1783" s="12">
        <f>Table16[[#This Row],[price]]*Table16[[#This Row],[quantity]]</f>
        <v>4801.28</v>
      </c>
    </row>
    <row r="1784" spans="1:9" x14ac:dyDescent="0.3">
      <c r="A1784" t="s">
        <v>3801</v>
      </c>
      <c r="B1784" t="s">
        <v>343</v>
      </c>
      <c r="C1784" t="s">
        <v>2015</v>
      </c>
      <c r="D1784">
        <v>2</v>
      </c>
      <c r="E1784" s="16">
        <v>1200.3399999999999</v>
      </c>
      <c r="F1784" s="1">
        <v>44397</v>
      </c>
      <c r="G1784" t="s">
        <v>2058</v>
      </c>
      <c r="H1784">
        <v>2</v>
      </c>
      <c r="I1784" s="12">
        <f>Table16[[#This Row],[price]]*Table16[[#This Row],[quantity]]</f>
        <v>2400.6799999999998</v>
      </c>
    </row>
    <row r="1785" spans="1:9" x14ac:dyDescent="0.3">
      <c r="A1785" t="s">
        <v>3799</v>
      </c>
      <c r="B1785" t="s">
        <v>343</v>
      </c>
      <c r="C1785" t="s">
        <v>2001</v>
      </c>
      <c r="D1785">
        <v>4</v>
      </c>
      <c r="E1785" s="16">
        <v>1200.32</v>
      </c>
      <c r="F1785" s="1">
        <v>44770</v>
      </c>
      <c r="G1785" t="s">
        <v>2064</v>
      </c>
      <c r="H1785">
        <v>5</v>
      </c>
      <c r="I1785" s="12">
        <f>Table16[[#This Row],[price]]*Table16[[#This Row],[quantity]]</f>
        <v>4801.28</v>
      </c>
    </row>
    <row r="1786" spans="1:9" x14ac:dyDescent="0.3">
      <c r="A1786" t="s">
        <v>3802</v>
      </c>
      <c r="B1786" t="s">
        <v>344</v>
      </c>
      <c r="C1786" t="s">
        <v>2011</v>
      </c>
      <c r="D1786">
        <v>1</v>
      </c>
      <c r="E1786" s="16">
        <v>40.659999999999997</v>
      </c>
      <c r="F1786" s="1">
        <v>44203</v>
      </c>
      <c r="G1786" t="s">
        <v>2009</v>
      </c>
      <c r="H1786">
        <v>1</v>
      </c>
      <c r="I1786" s="12">
        <f>Table16[[#This Row],[price]]*Table16[[#This Row],[quantity]]</f>
        <v>40.659999999999997</v>
      </c>
    </row>
    <row r="1787" spans="1:9" x14ac:dyDescent="0.3">
      <c r="A1787" t="s">
        <v>3805</v>
      </c>
      <c r="B1787" t="s">
        <v>344</v>
      </c>
      <c r="C1787" t="s">
        <v>2024</v>
      </c>
      <c r="D1787">
        <v>3</v>
      </c>
      <c r="E1787" s="16">
        <v>107.52</v>
      </c>
      <c r="F1787" s="1">
        <v>44267</v>
      </c>
      <c r="G1787" t="s">
        <v>2009</v>
      </c>
      <c r="H1787">
        <v>2</v>
      </c>
      <c r="I1787" s="12">
        <f>Table16[[#This Row],[price]]*Table16[[#This Row],[quantity]]</f>
        <v>322.56</v>
      </c>
    </row>
    <row r="1788" spans="1:9" x14ac:dyDescent="0.3">
      <c r="A1788" t="s">
        <v>3803</v>
      </c>
      <c r="B1788" t="s">
        <v>344</v>
      </c>
      <c r="C1788" t="s">
        <v>2001</v>
      </c>
      <c r="D1788">
        <v>3</v>
      </c>
      <c r="E1788" s="16">
        <v>900.24</v>
      </c>
      <c r="F1788" s="1">
        <v>44281</v>
      </c>
      <c r="G1788" t="s">
        <v>2004</v>
      </c>
      <c r="H1788">
        <v>3</v>
      </c>
      <c r="I1788" s="12">
        <f>Table16[[#This Row],[price]]*Table16[[#This Row],[quantity]]</f>
        <v>2700.7200000000003</v>
      </c>
    </row>
    <row r="1789" spans="1:9" x14ac:dyDescent="0.3">
      <c r="A1789" t="s">
        <v>3810</v>
      </c>
      <c r="B1789" t="s">
        <v>344</v>
      </c>
      <c r="C1789" t="s">
        <v>2001</v>
      </c>
      <c r="D1789">
        <v>5</v>
      </c>
      <c r="E1789" s="16">
        <v>1500.4</v>
      </c>
      <c r="F1789" s="1">
        <v>44322</v>
      </c>
      <c r="G1789" t="s">
        <v>2041</v>
      </c>
      <c r="H1789">
        <v>4</v>
      </c>
      <c r="I1789" s="12">
        <f>Table16[[#This Row],[price]]*Table16[[#This Row],[quantity]]</f>
        <v>7502</v>
      </c>
    </row>
    <row r="1790" spans="1:9" x14ac:dyDescent="0.3">
      <c r="A1790" t="s">
        <v>3811</v>
      </c>
      <c r="B1790" t="s">
        <v>344</v>
      </c>
      <c r="C1790" t="s">
        <v>2024</v>
      </c>
      <c r="D1790">
        <v>3</v>
      </c>
      <c r="E1790" s="16">
        <v>107.52</v>
      </c>
      <c r="F1790" s="1">
        <v>44410</v>
      </c>
      <c r="G1790" t="s">
        <v>2004</v>
      </c>
      <c r="H1790">
        <v>5</v>
      </c>
      <c r="I1790" s="12">
        <f>Table16[[#This Row],[price]]*Table16[[#This Row],[quantity]]</f>
        <v>322.56</v>
      </c>
    </row>
    <row r="1791" spans="1:9" x14ac:dyDescent="0.3">
      <c r="A1791" t="s">
        <v>3807</v>
      </c>
      <c r="B1791" t="s">
        <v>344</v>
      </c>
      <c r="C1791" t="s">
        <v>2001</v>
      </c>
      <c r="D1791">
        <v>2</v>
      </c>
      <c r="E1791" s="16">
        <v>600.16</v>
      </c>
      <c r="F1791" s="1">
        <v>44468</v>
      </c>
      <c r="G1791" t="s">
        <v>2020</v>
      </c>
      <c r="H1791">
        <v>3</v>
      </c>
      <c r="I1791" s="12">
        <f>Table16[[#This Row],[price]]*Table16[[#This Row],[quantity]]</f>
        <v>1200.32</v>
      </c>
    </row>
    <row r="1792" spans="1:9" x14ac:dyDescent="0.3">
      <c r="A1792" t="s">
        <v>3804</v>
      </c>
      <c r="B1792" t="s">
        <v>344</v>
      </c>
      <c r="C1792" t="s">
        <v>2024</v>
      </c>
      <c r="D1792">
        <v>1</v>
      </c>
      <c r="E1792" s="16">
        <v>35.840000000000003</v>
      </c>
      <c r="F1792" s="1">
        <v>44495</v>
      </c>
      <c r="G1792" t="s">
        <v>2020</v>
      </c>
      <c r="H1792">
        <v>2</v>
      </c>
      <c r="I1792" s="12">
        <f>Table16[[#This Row],[price]]*Table16[[#This Row],[quantity]]</f>
        <v>35.840000000000003</v>
      </c>
    </row>
    <row r="1793" spans="1:9" x14ac:dyDescent="0.3">
      <c r="A1793" t="s">
        <v>3806</v>
      </c>
      <c r="B1793" t="s">
        <v>344</v>
      </c>
      <c r="C1793" t="s">
        <v>2008</v>
      </c>
      <c r="D1793">
        <v>1</v>
      </c>
      <c r="E1793" s="16">
        <v>5.23</v>
      </c>
      <c r="F1793" s="1">
        <v>44536</v>
      </c>
      <c r="G1793" t="s">
        <v>2012</v>
      </c>
      <c r="H1793">
        <v>4</v>
      </c>
      <c r="I1793" s="12">
        <f>Table16[[#This Row],[price]]*Table16[[#This Row],[quantity]]</f>
        <v>5.23</v>
      </c>
    </row>
    <row r="1794" spans="1:9" x14ac:dyDescent="0.3">
      <c r="A1794" t="s">
        <v>3809</v>
      </c>
      <c r="B1794" t="s">
        <v>344</v>
      </c>
      <c r="C1794" t="s">
        <v>2001</v>
      </c>
      <c r="D1794">
        <v>4</v>
      </c>
      <c r="E1794" s="16">
        <v>1200.32</v>
      </c>
      <c r="F1794" s="1">
        <v>44648</v>
      </c>
      <c r="G1794" t="s">
        <v>2020</v>
      </c>
      <c r="H1794">
        <v>5</v>
      </c>
      <c r="I1794" s="12">
        <f>Table16[[#This Row],[price]]*Table16[[#This Row],[quantity]]</f>
        <v>4801.28</v>
      </c>
    </row>
    <row r="1795" spans="1:9" x14ac:dyDescent="0.3">
      <c r="A1795" t="s">
        <v>3808</v>
      </c>
      <c r="B1795" t="s">
        <v>344</v>
      </c>
      <c r="C1795" t="s">
        <v>2001</v>
      </c>
      <c r="D1795">
        <v>4</v>
      </c>
      <c r="E1795" s="16">
        <v>1200.32</v>
      </c>
      <c r="F1795" s="1">
        <v>44897</v>
      </c>
      <c r="G1795" t="s">
        <v>2012</v>
      </c>
      <c r="H1795">
        <v>4</v>
      </c>
      <c r="I1795" s="12">
        <f>Table16[[#This Row],[price]]*Table16[[#This Row],[quantity]]</f>
        <v>4801.28</v>
      </c>
    </row>
    <row r="1796" spans="1:9" x14ac:dyDescent="0.3">
      <c r="A1796" t="s">
        <v>3812</v>
      </c>
      <c r="B1796" t="s">
        <v>345</v>
      </c>
      <c r="C1796" t="s">
        <v>2008</v>
      </c>
      <c r="D1796">
        <v>3</v>
      </c>
      <c r="E1796" s="16">
        <v>15.69</v>
      </c>
      <c r="F1796" s="1">
        <v>44290</v>
      </c>
      <c r="G1796" t="s">
        <v>2064</v>
      </c>
      <c r="H1796">
        <v>5</v>
      </c>
      <c r="I1796" s="12">
        <f>Table16[[#This Row],[price]]*Table16[[#This Row],[quantity]]</f>
        <v>47.07</v>
      </c>
    </row>
    <row r="1797" spans="1:9" x14ac:dyDescent="0.3">
      <c r="A1797" t="s">
        <v>3815</v>
      </c>
      <c r="B1797" t="s">
        <v>345</v>
      </c>
      <c r="C1797" t="s">
        <v>2001</v>
      </c>
      <c r="D1797">
        <v>1</v>
      </c>
      <c r="E1797" s="16">
        <v>300.08</v>
      </c>
      <c r="F1797" s="1">
        <v>44348</v>
      </c>
      <c r="G1797" t="s">
        <v>2002</v>
      </c>
      <c r="H1797">
        <v>2</v>
      </c>
      <c r="I1797" s="12">
        <f>Table16[[#This Row],[price]]*Table16[[#This Row],[quantity]]</f>
        <v>300.08</v>
      </c>
    </row>
    <row r="1798" spans="1:9" x14ac:dyDescent="0.3">
      <c r="A1798" t="s">
        <v>3816</v>
      </c>
      <c r="B1798" t="s">
        <v>345</v>
      </c>
      <c r="C1798" t="s">
        <v>2001</v>
      </c>
      <c r="D1798">
        <v>1</v>
      </c>
      <c r="E1798" s="16">
        <v>300.08</v>
      </c>
      <c r="F1798" s="1">
        <v>44558</v>
      </c>
      <c r="G1798" t="s">
        <v>2020</v>
      </c>
      <c r="H1798">
        <v>3</v>
      </c>
      <c r="I1798" s="12">
        <f>Table16[[#This Row],[price]]*Table16[[#This Row],[quantity]]</f>
        <v>300.08</v>
      </c>
    </row>
    <row r="1799" spans="1:9" x14ac:dyDescent="0.3">
      <c r="A1799" t="s">
        <v>3813</v>
      </c>
      <c r="B1799" t="s">
        <v>345</v>
      </c>
      <c r="C1799" t="s">
        <v>2008</v>
      </c>
      <c r="D1799">
        <v>2</v>
      </c>
      <c r="E1799" s="16">
        <v>10.46</v>
      </c>
      <c r="F1799" s="1">
        <v>44658</v>
      </c>
      <c r="G1799" t="s">
        <v>2064</v>
      </c>
      <c r="H1799">
        <v>1</v>
      </c>
      <c r="I1799" s="12">
        <f>Table16[[#This Row],[price]]*Table16[[#This Row],[quantity]]</f>
        <v>20.92</v>
      </c>
    </row>
    <row r="1800" spans="1:9" x14ac:dyDescent="0.3">
      <c r="A1800" t="s">
        <v>3814</v>
      </c>
      <c r="B1800" t="s">
        <v>345</v>
      </c>
      <c r="C1800" t="s">
        <v>2011</v>
      </c>
      <c r="D1800">
        <v>4</v>
      </c>
      <c r="E1800" s="16">
        <v>162.63999999999999</v>
      </c>
      <c r="F1800" s="1">
        <v>44739</v>
      </c>
      <c r="G1800" t="s">
        <v>2004</v>
      </c>
      <c r="H1800">
        <v>2</v>
      </c>
      <c r="I1800" s="12">
        <f>Table16[[#This Row],[price]]*Table16[[#This Row],[quantity]]</f>
        <v>650.55999999999995</v>
      </c>
    </row>
    <row r="1801" spans="1:9" x14ac:dyDescent="0.3">
      <c r="A1801" t="s">
        <v>3820</v>
      </c>
      <c r="B1801" t="s">
        <v>346</v>
      </c>
      <c r="C1801" t="s">
        <v>2024</v>
      </c>
      <c r="D1801">
        <v>4</v>
      </c>
      <c r="E1801" s="16">
        <v>143.36000000000001</v>
      </c>
      <c r="F1801" s="1">
        <v>44619</v>
      </c>
      <c r="G1801" t="s">
        <v>2027</v>
      </c>
      <c r="H1801">
        <v>4</v>
      </c>
      <c r="I1801" s="12">
        <f>Table16[[#This Row],[price]]*Table16[[#This Row],[quantity]]</f>
        <v>573.44000000000005</v>
      </c>
    </row>
    <row r="1802" spans="1:9" x14ac:dyDescent="0.3">
      <c r="A1802" t="s">
        <v>3822</v>
      </c>
      <c r="B1802" t="s">
        <v>346</v>
      </c>
      <c r="C1802" t="s">
        <v>2015</v>
      </c>
      <c r="D1802">
        <v>3</v>
      </c>
      <c r="E1802" s="16">
        <v>1800.51</v>
      </c>
      <c r="F1802" s="1">
        <v>44641</v>
      </c>
      <c r="G1802" t="s">
        <v>2027</v>
      </c>
      <c r="H1802">
        <v>5</v>
      </c>
      <c r="I1802" s="12">
        <f>Table16[[#This Row],[price]]*Table16[[#This Row],[quantity]]</f>
        <v>5401.53</v>
      </c>
    </row>
    <row r="1803" spans="1:9" x14ac:dyDescent="0.3">
      <c r="A1803" t="s">
        <v>3817</v>
      </c>
      <c r="B1803" t="s">
        <v>346</v>
      </c>
      <c r="C1803" t="s">
        <v>2001</v>
      </c>
      <c r="D1803">
        <v>1</v>
      </c>
      <c r="E1803" s="16">
        <v>300.08</v>
      </c>
      <c r="F1803" s="1">
        <v>44654</v>
      </c>
      <c r="G1803" t="s">
        <v>2004</v>
      </c>
      <c r="H1803">
        <v>4</v>
      </c>
      <c r="I1803" s="12">
        <f>Table16[[#This Row],[price]]*Table16[[#This Row],[quantity]]</f>
        <v>300.08</v>
      </c>
    </row>
    <row r="1804" spans="1:9" x14ac:dyDescent="0.3">
      <c r="A1804" t="s">
        <v>3821</v>
      </c>
      <c r="B1804" t="s">
        <v>346</v>
      </c>
      <c r="C1804" t="s">
        <v>2001</v>
      </c>
      <c r="D1804">
        <v>3</v>
      </c>
      <c r="E1804" s="16">
        <v>900.24</v>
      </c>
      <c r="F1804" s="1">
        <v>44842</v>
      </c>
      <c r="G1804" t="s">
        <v>2027</v>
      </c>
      <c r="H1804">
        <v>2</v>
      </c>
      <c r="I1804" s="12">
        <f>Table16[[#This Row],[price]]*Table16[[#This Row],[quantity]]</f>
        <v>2700.7200000000003</v>
      </c>
    </row>
    <row r="1805" spans="1:9" x14ac:dyDescent="0.3">
      <c r="A1805" t="s">
        <v>3819</v>
      </c>
      <c r="B1805" t="s">
        <v>346</v>
      </c>
      <c r="C1805" t="s">
        <v>2001</v>
      </c>
      <c r="D1805">
        <v>5</v>
      </c>
      <c r="E1805" s="16">
        <v>1500.4</v>
      </c>
      <c r="F1805" s="1">
        <v>44895</v>
      </c>
      <c r="G1805" t="s">
        <v>2002</v>
      </c>
      <c r="H1805">
        <v>5</v>
      </c>
      <c r="I1805" s="12">
        <f>Table16[[#This Row],[price]]*Table16[[#This Row],[quantity]]</f>
        <v>7502</v>
      </c>
    </row>
    <row r="1806" spans="1:9" x14ac:dyDescent="0.3">
      <c r="A1806" t="s">
        <v>3818</v>
      </c>
      <c r="B1806" t="s">
        <v>346</v>
      </c>
      <c r="C1806" t="s">
        <v>2001</v>
      </c>
      <c r="D1806">
        <v>3</v>
      </c>
      <c r="E1806" s="16">
        <v>900.24</v>
      </c>
      <c r="F1806" s="1">
        <v>44913</v>
      </c>
      <c r="G1806" t="s">
        <v>2004</v>
      </c>
      <c r="H1806">
        <v>4</v>
      </c>
      <c r="I1806" s="12">
        <f>Table16[[#This Row],[price]]*Table16[[#This Row],[quantity]]</f>
        <v>2700.7200000000003</v>
      </c>
    </row>
    <row r="1807" spans="1:9" x14ac:dyDescent="0.3">
      <c r="A1807" t="s">
        <v>3826</v>
      </c>
      <c r="B1807" t="s">
        <v>347</v>
      </c>
      <c r="C1807" t="s">
        <v>2001</v>
      </c>
      <c r="D1807">
        <v>5</v>
      </c>
      <c r="E1807" s="16">
        <v>1500.4</v>
      </c>
      <c r="F1807" s="1">
        <v>44286</v>
      </c>
      <c r="G1807" t="s">
        <v>2002</v>
      </c>
      <c r="H1807">
        <v>1</v>
      </c>
      <c r="I1807" s="12">
        <f>Table16[[#This Row],[price]]*Table16[[#This Row],[quantity]]</f>
        <v>7502</v>
      </c>
    </row>
    <row r="1808" spans="1:9" x14ac:dyDescent="0.3">
      <c r="A1808" t="s">
        <v>3824</v>
      </c>
      <c r="B1808" t="s">
        <v>347</v>
      </c>
      <c r="C1808" t="s">
        <v>2057</v>
      </c>
      <c r="D1808">
        <v>5</v>
      </c>
      <c r="E1808" s="16">
        <v>58.65</v>
      </c>
      <c r="F1808" s="1">
        <v>44313</v>
      </c>
      <c r="G1808" t="s">
        <v>2004</v>
      </c>
      <c r="H1808">
        <v>5</v>
      </c>
      <c r="I1808" s="12">
        <f>Table16[[#This Row],[price]]*Table16[[#This Row],[quantity]]</f>
        <v>293.25</v>
      </c>
    </row>
    <row r="1809" spans="1:9" x14ac:dyDescent="0.3">
      <c r="A1809" t="s">
        <v>3825</v>
      </c>
      <c r="B1809" t="s">
        <v>347</v>
      </c>
      <c r="C1809" t="s">
        <v>2024</v>
      </c>
      <c r="D1809">
        <v>3</v>
      </c>
      <c r="E1809" s="16">
        <v>107.52</v>
      </c>
      <c r="F1809" s="1">
        <v>44418</v>
      </c>
      <c r="G1809" t="s">
        <v>2027</v>
      </c>
      <c r="H1809">
        <v>2</v>
      </c>
      <c r="I1809" s="12">
        <f>Table16[[#This Row],[price]]*Table16[[#This Row],[quantity]]</f>
        <v>322.56</v>
      </c>
    </row>
    <row r="1810" spans="1:9" x14ac:dyDescent="0.3">
      <c r="A1810" t="s">
        <v>3823</v>
      </c>
      <c r="B1810" t="s">
        <v>347</v>
      </c>
      <c r="C1810" t="s">
        <v>2008</v>
      </c>
      <c r="D1810">
        <v>2</v>
      </c>
      <c r="E1810" s="16">
        <v>10.46</v>
      </c>
      <c r="F1810" s="1">
        <v>44789</v>
      </c>
      <c r="G1810" t="s">
        <v>2020</v>
      </c>
      <c r="H1810">
        <v>3</v>
      </c>
      <c r="I1810" s="12">
        <f>Table16[[#This Row],[price]]*Table16[[#This Row],[quantity]]</f>
        <v>20.92</v>
      </c>
    </row>
    <row r="1811" spans="1:9" x14ac:dyDescent="0.3">
      <c r="A1811" t="s">
        <v>3830</v>
      </c>
      <c r="B1811" t="s">
        <v>348</v>
      </c>
      <c r="C1811" t="s">
        <v>2024</v>
      </c>
      <c r="D1811">
        <v>1</v>
      </c>
      <c r="E1811" s="16">
        <v>35.840000000000003</v>
      </c>
      <c r="F1811" s="1">
        <v>44472</v>
      </c>
      <c r="G1811" t="s">
        <v>2004</v>
      </c>
      <c r="H1811">
        <v>5</v>
      </c>
      <c r="I1811" s="12">
        <f>Table16[[#This Row],[price]]*Table16[[#This Row],[quantity]]</f>
        <v>35.840000000000003</v>
      </c>
    </row>
    <row r="1812" spans="1:9" x14ac:dyDescent="0.3">
      <c r="A1812" t="s">
        <v>3827</v>
      </c>
      <c r="B1812" t="s">
        <v>348</v>
      </c>
      <c r="C1812" t="s">
        <v>2017</v>
      </c>
      <c r="D1812">
        <v>1</v>
      </c>
      <c r="E1812" s="16">
        <v>1050</v>
      </c>
      <c r="F1812" s="1">
        <v>44523</v>
      </c>
      <c r="G1812" t="s">
        <v>2018</v>
      </c>
      <c r="H1812">
        <v>2</v>
      </c>
      <c r="I1812" s="12">
        <f>Table16[[#This Row],[price]]*Table16[[#This Row],[quantity]]</f>
        <v>1050</v>
      </c>
    </row>
    <row r="1813" spans="1:9" x14ac:dyDescent="0.3">
      <c r="A1813" t="s">
        <v>3829</v>
      </c>
      <c r="B1813" t="s">
        <v>348</v>
      </c>
      <c r="C1813" t="s">
        <v>2017</v>
      </c>
      <c r="D1813">
        <v>5</v>
      </c>
      <c r="E1813" s="16">
        <v>5250</v>
      </c>
      <c r="F1813" s="1">
        <v>44870</v>
      </c>
      <c r="G1813" t="s">
        <v>2064</v>
      </c>
      <c r="H1813">
        <v>1</v>
      </c>
      <c r="I1813" s="12">
        <f>Table16[[#This Row],[price]]*Table16[[#This Row],[quantity]]</f>
        <v>26250</v>
      </c>
    </row>
    <row r="1814" spans="1:9" x14ac:dyDescent="0.3">
      <c r="A1814" t="s">
        <v>3828</v>
      </c>
      <c r="B1814" t="s">
        <v>348</v>
      </c>
      <c r="C1814" t="s">
        <v>2015</v>
      </c>
      <c r="D1814">
        <v>4</v>
      </c>
      <c r="E1814" s="16">
        <v>2400.6799999999998</v>
      </c>
      <c r="F1814" s="1">
        <v>44983</v>
      </c>
      <c r="G1814" t="s">
        <v>2012</v>
      </c>
      <c r="H1814">
        <v>1</v>
      </c>
      <c r="I1814" s="12">
        <f>Table16[[#This Row],[price]]*Table16[[#This Row],[quantity]]</f>
        <v>9602.7199999999993</v>
      </c>
    </row>
    <row r="1815" spans="1:9" x14ac:dyDescent="0.3">
      <c r="A1815" t="s">
        <v>3831</v>
      </c>
      <c r="B1815" t="s">
        <v>349</v>
      </c>
      <c r="C1815" t="s">
        <v>2008</v>
      </c>
      <c r="D1815">
        <v>3</v>
      </c>
      <c r="E1815" s="16">
        <v>15.69</v>
      </c>
      <c r="F1815" s="1">
        <v>44277</v>
      </c>
      <c r="G1815" t="s">
        <v>2002</v>
      </c>
      <c r="H1815">
        <v>1</v>
      </c>
      <c r="I1815" s="12">
        <f>Table16[[#This Row],[price]]*Table16[[#This Row],[quantity]]</f>
        <v>47.07</v>
      </c>
    </row>
    <row r="1816" spans="1:9" x14ac:dyDescent="0.3">
      <c r="A1816" t="s">
        <v>3834</v>
      </c>
      <c r="B1816" t="s">
        <v>349</v>
      </c>
      <c r="C1816" t="s">
        <v>2011</v>
      </c>
      <c r="D1816">
        <v>2</v>
      </c>
      <c r="E1816" s="16">
        <v>81.319999999999993</v>
      </c>
      <c r="F1816" s="1">
        <v>44330</v>
      </c>
      <c r="G1816" t="s">
        <v>2018</v>
      </c>
      <c r="H1816">
        <v>5</v>
      </c>
      <c r="I1816" s="12">
        <f>Table16[[#This Row],[price]]*Table16[[#This Row],[quantity]]</f>
        <v>162.63999999999999</v>
      </c>
    </row>
    <row r="1817" spans="1:9" x14ac:dyDescent="0.3">
      <c r="A1817" t="s">
        <v>3835</v>
      </c>
      <c r="B1817" t="s">
        <v>349</v>
      </c>
      <c r="C1817" t="s">
        <v>2008</v>
      </c>
      <c r="D1817">
        <v>5</v>
      </c>
      <c r="E1817" s="16">
        <v>26.15</v>
      </c>
      <c r="F1817" s="1">
        <v>44604</v>
      </c>
      <c r="G1817" t="s">
        <v>2004</v>
      </c>
      <c r="H1817">
        <v>2</v>
      </c>
      <c r="I1817" s="12">
        <f>Table16[[#This Row],[price]]*Table16[[#This Row],[quantity]]</f>
        <v>130.75</v>
      </c>
    </row>
    <row r="1818" spans="1:9" x14ac:dyDescent="0.3">
      <c r="A1818" t="s">
        <v>3833</v>
      </c>
      <c r="B1818" t="s">
        <v>349</v>
      </c>
      <c r="C1818" t="s">
        <v>2057</v>
      </c>
      <c r="D1818">
        <v>5</v>
      </c>
      <c r="E1818" s="16">
        <v>58.65</v>
      </c>
      <c r="F1818" s="1">
        <v>44741</v>
      </c>
      <c r="G1818" t="s">
        <v>2027</v>
      </c>
      <c r="H1818">
        <v>5</v>
      </c>
      <c r="I1818" s="12">
        <f>Table16[[#This Row],[price]]*Table16[[#This Row],[quantity]]</f>
        <v>293.25</v>
      </c>
    </row>
    <row r="1819" spans="1:9" x14ac:dyDescent="0.3">
      <c r="A1819" t="s">
        <v>3832</v>
      </c>
      <c r="B1819" t="s">
        <v>349</v>
      </c>
      <c r="C1819" t="s">
        <v>2001</v>
      </c>
      <c r="D1819">
        <v>4</v>
      </c>
      <c r="E1819" s="16">
        <v>1200.32</v>
      </c>
      <c r="F1819" s="1">
        <v>44978</v>
      </c>
      <c r="G1819" t="s">
        <v>2012</v>
      </c>
      <c r="H1819">
        <v>2</v>
      </c>
      <c r="I1819" s="12">
        <f>Table16[[#This Row],[price]]*Table16[[#This Row],[quantity]]</f>
        <v>4801.28</v>
      </c>
    </row>
    <row r="1820" spans="1:9" x14ac:dyDescent="0.3">
      <c r="A1820" t="s">
        <v>3838</v>
      </c>
      <c r="B1820" t="s">
        <v>350</v>
      </c>
      <c r="C1820" t="s">
        <v>2017</v>
      </c>
      <c r="D1820">
        <v>5</v>
      </c>
      <c r="E1820" s="16">
        <v>5250</v>
      </c>
      <c r="F1820" s="1">
        <v>44258</v>
      </c>
      <c r="G1820" t="s">
        <v>2004</v>
      </c>
      <c r="H1820">
        <v>4</v>
      </c>
      <c r="I1820" s="12">
        <f>Table16[[#This Row],[price]]*Table16[[#This Row],[quantity]]</f>
        <v>26250</v>
      </c>
    </row>
    <row r="1821" spans="1:9" x14ac:dyDescent="0.3">
      <c r="A1821" t="s">
        <v>3841</v>
      </c>
      <c r="B1821" t="s">
        <v>350</v>
      </c>
      <c r="C1821" t="s">
        <v>2017</v>
      </c>
      <c r="D1821">
        <v>3</v>
      </c>
      <c r="E1821" s="16">
        <v>3150</v>
      </c>
      <c r="F1821" s="1">
        <v>44304</v>
      </c>
      <c r="G1821" t="s">
        <v>2064</v>
      </c>
      <c r="H1821">
        <v>2</v>
      </c>
      <c r="I1821" s="12">
        <f>Table16[[#This Row],[price]]*Table16[[#This Row],[quantity]]</f>
        <v>9450</v>
      </c>
    </row>
    <row r="1822" spans="1:9" x14ac:dyDescent="0.3">
      <c r="A1822" t="s">
        <v>3839</v>
      </c>
      <c r="B1822" t="s">
        <v>350</v>
      </c>
      <c r="C1822" t="s">
        <v>2001</v>
      </c>
      <c r="D1822">
        <v>4</v>
      </c>
      <c r="E1822" s="16">
        <v>1200.32</v>
      </c>
      <c r="F1822" s="1">
        <v>44531</v>
      </c>
      <c r="G1822" t="s">
        <v>2004</v>
      </c>
      <c r="H1822">
        <v>4</v>
      </c>
      <c r="I1822" s="12">
        <f>Table16[[#This Row],[price]]*Table16[[#This Row],[quantity]]</f>
        <v>4801.28</v>
      </c>
    </row>
    <row r="1823" spans="1:9" x14ac:dyDescent="0.3">
      <c r="A1823" t="s">
        <v>3837</v>
      </c>
      <c r="B1823" t="s">
        <v>350</v>
      </c>
      <c r="C1823" t="s">
        <v>2001</v>
      </c>
      <c r="D1823">
        <v>3</v>
      </c>
      <c r="E1823" s="16">
        <v>900.24</v>
      </c>
      <c r="F1823" s="1">
        <v>44611</v>
      </c>
      <c r="G1823" t="s">
        <v>2020</v>
      </c>
      <c r="H1823">
        <v>5</v>
      </c>
      <c r="I1823" s="12">
        <f>Table16[[#This Row],[price]]*Table16[[#This Row],[quantity]]</f>
        <v>2700.7200000000003</v>
      </c>
    </row>
    <row r="1824" spans="1:9" x14ac:dyDescent="0.3">
      <c r="A1824" t="s">
        <v>3842</v>
      </c>
      <c r="B1824" t="s">
        <v>350</v>
      </c>
      <c r="C1824" t="s">
        <v>2008</v>
      </c>
      <c r="D1824">
        <v>2</v>
      </c>
      <c r="E1824" s="16">
        <v>10.46</v>
      </c>
      <c r="F1824" s="1">
        <v>44663</v>
      </c>
      <c r="G1824" t="s">
        <v>2027</v>
      </c>
      <c r="H1824">
        <v>4</v>
      </c>
      <c r="I1824" s="12">
        <f>Table16[[#This Row],[price]]*Table16[[#This Row],[quantity]]</f>
        <v>20.92</v>
      </c>
    </row>
    <row r="1825" spans="1:9" x14ac:dyDescent="0.3">
      <c r="A1825" t="s">
        <v>3840</v>
      </c>
      <c r="B1825" t="s">
        <v>350</v>
      </c>
      <c r="C1825" t="s">
        <v>2008</v>
      </c>
      <c r="D1825">
        <v>3</v>
      </c>
      <c r="E1825" s="16">
        <v>15.69</v>
      </c>
      <c r="F1825" s="1">
        <v>44717</v>
      </c>
      <c r="G1825" t="s">
        <v>2020</v>
      </c>
      <c r="H1825">
        <v>5</v>
      </c>
      <c r="I1825" s="12">
        <f>Table16[[#This Row],[price]]*Table16[[#This Row],[quantity]]</f>
        <v>47.07</v>
      </c>
    </row>
    <row r="1826" spans="1:9" x14ac:dyDescent="0.3">
      <c r="A1826" t="s">
        <v>3836</v>
      </c>
      <c r="B1826" t="s">
        <v>350</v>
      </c>
      <c r="C1826" t="s">
        <v>2008</v>
      </c>
      <c r="D1826">
        <v>4</v>
      </c>
      <c r="E1826" s="16">
        <v>20.92</v>
      </c>
      <c r="F1826" s="1">
        <v>44843</v>
      </c>
      <c r="G1826" t="s">
        <v>2027</v>
      </c>
      <c r="H1826">
        <v>3</v>
      </c>
      <c r="I1826" s="12">
        <f>Table16[[#This Row],[price]]*Table16[[#This Row],[quantity]]</f>
        <v>83.68</v>
      </c>
    </row>
    <row r="1827" spans="1:9" x14ac:dyDescent="0.3">
      <c r="A1827" t="s">
        <v>3843</v>
      </c>
      <c r="B1827" t="s">
        <v>350</v>
      </c>
      <c r="C1827" t="s">
        <v>2001</v>
      </c>
      <c r="D1827">
        <v>3</v>
      </c>
      <c r="E1827" s="16">
        <v>900.24</v>
      </c>
      <c r="F1827" s="1">
        <v>44888</v>
      </c>
      <c r="G1827" t="s">
        <v>2027</v>
      </c>
      <c r="H1827">
        <v>3</v>
      </c>
      <c r="I1827" s="12">
        <f>Table16[[#This Row],[price]]*Table16[[#This Row],[quantity]]</f>
        <v>2700.7200000000003</v>
      </c>
    </row>
    <row r="1828" spans="1:9" x14ac:dyDescent="0.3">
      <c r="A1828" t="s">
        <v>3845</v>
      </c>
      <c r="B1828" t="s">
        <v>351</v>
      </c>
      <c r="C1828" t="s">
        <v>2024</v>
      </c>
      <c r="D1828">
        <v>3</v>
      </c>
      <c r="E1828" s="16">
        <v>107.52</v>
      </c>
      <c r="F1828" s="1">
        <v>44198</v>
      </c>
      <c r="G1828" t="s">
        <v>2009</v>
      </c>
      <c r="H1828">
        <v>1</v>
      </c>
      <c r="I1828" s="12">
        <f>Table16[[#This Row],[price]]*Table16[[#This Row],[quantity]]</f>
        <v>322.56</v>
      </c>
    </row>
    <row r="1829" spans="1:9" x14ac:dyDescent="0.3">
      <c r="A1829" t="s">
        <v>3848</v>
      </c>
      <c r="B1829" t="s">
        <v>351</v>
      </c>
      <c r="C1829" t="s">
        <v>2001</v>
      </c>
      <c r="D1829">
        <v>1</v>
      </c>
      <c r="E1829" s="16">
        <v>300.08</v>
      </c>
      <c r="F1829" s="1">
        <v>44223</v>
      </c>
      <c r="G1829" t="s">
        <v>2027</v>
      </c>
      <c r="H1829">
        <v>1</v>
      </c>
      <c r="I1829" s="12">
        <f>Table16[[#This Row],[price]]*Table16[[#This Row],[quantity]]</f>
        <v>300.08</v>
      </c>
    </row>
    <row r="1830" spans="1:9" x14ac:dyDescent="0.3">
      <c r="A1830" t="s">
        <v>3847</v>
      </c>
      <c r="B1830" t="s">
        <v>351</v>
      </c>
      <c r="C1830" t="s">
        <v>2008</v>
      </c>
      <c r="D1830">
        <v>3</v>
      </c>
      <c r="E1830" s="16">
        <v>15.69</v>
      </c>
      <c r="F1830" s="1">
        <v>44320</v>
      </c>
      <c r="G1830" t="s">
        <v>2004</v>
      </c>
      <c r="H1830">
        <v>3</v>
      </c>
      <c r="I1830" s="12">
        <f>Table16[[#This Row],[price]]*Table16[[#This Row],[quantity]]</f>
        <v>47.07</v>
      </c>
    </row>
    <row r="1831" spans="1:9" x14ac:dyDescent="0.3">
      <c r="A1831" t="s">
        <v>3846</v>
      </c>
      <c r="B1831" t="s">
        <v>351</v>
      </c>
      <c r="C1831" t="s">
        <v>2015</v>
      </c>
      <c r="D1831">
        <v>1</v>
      </c>
      <c r="E1831" s="16">
        <v>600.16999999999996</v>
      </c>
      <c r="F1831" s="1">
        <v>44824</v>
      </c>
      <c r="G1831" t="s">
        <v>2004</v>
      </c>
      <c r="H1831">
        <v>5</v>
      </c>
      <c r="I1831" s="12">
        <f>Table16[[#This Row],[price]]*Table16[[#This Row],[quantity]]</f>
        <v>600.16999999999996</v>
      </c>
    </row>
    <row r="1832" spans="1:9" x14ac:dyDescent="0.3">
      <c r="A1832" t="s">
        <v>3844</v>
      </c>
      <c r="B1832" t="s">
        <v>351</v>
      </c>
      <c r="C1832" t="s">
        <v>2024</v>
      </c>
      <c r="D1832">
        <v>1</v>
      </c>
      <c r="E1832" s="16">
        <v>35.840000000000003</v>
      </c>
      <c r="F1832" s="1">
        <v>44889</v>
      </c>
      <c r="G1832" t="s">
        <v>2002</v>
      </c>
      <c r="H1832">
        <v>1</v>
      </c>
      <c r="I1832" s="12">
        <f>Table16[[#This Row],[price]]*Table16[[#This Row],[quantity]]</f>
        <v>35.840000000000003</v>
      </c>
    </row>
    <row r="1833" spans="1:9" x14ac:dyDescent="0.3">
      <c r="A1833" t="s">
        <v>3850</v>
      </c>
      <c r="B1833" t="s">
        <v>352</v>
      </c>
      <c r="C1833" t="s">
        <v>2006</v>
      </c>
      <c r="D1833">
        <v>4</v>
      </c>
      <c r="E1833" s="16">
        <v>60.6</v>
      </c>
      <c r="F1833" s="1">
        <v>44238</v>
      </c>
      <c r="G1833" t="s">
        <v>2004</v>
      </c>
      <c r="H1833">
        <v>4</v>
      </c>
      <c r="I1833" s="12">
        <f>Table16[[#This Row],[price]]*Table16[[#This Row],[quantity]]</f>
        <v>242.4</v>
      </c>
    </row>
    <row r="1834" spans="1:9" x14ac:dyDescent="0.3">
      <c r="A1834" t="s">
        <v>3851</v>
      </c>
      <c r="B1834" t="s">
        <v>352</v>
      </c>
      <c r="C1834" t="s">
        <v>2008</v>
      </c>
      <c r="D1834">
        <v>5</v>
      </c>
      <c r="E1834" s="16">
        <v>26.15</v>
      </c>
      <c r="F1834" s="1">
        <v>44368</v>
      </c>
      <c r="G1834" t="s">
        <v>2058</v>
      </c>
      <c r="H1834">
        <v>2</v>
      </c>
      <c r="I1834" s="12">
        <f>Table16[[#This Row],[price]]*Table16[[#This Row],[quantity]]</f>
        <v>130.75</v>
      </c>
    </row>
    <row r="1835" spans="1:9" x14ac:dyDescent="0.3">
      <c r="A1835" t="s">
        <v>3854</v>
      </c>
      <c r="B1835" t="s">
        <v>352</v>
      </c>
      <c r="C1835" t="s">
        <v>2011</v>
      </c>
      <c r="D1835">
        <v>1</v>
      </c>
      <c r="E1835" s="16">
        <v>40.659999999999997</v>
      </c>
      <c r="F1835" s="1">
        <v>44419</v>
      </c>
      <c r="G1835" t="s">
        <v>2064</v>
      </c>
      <c r="H1835">
        <v>5</v>
      </c>
      <c r="I1835" s="12">
        <f>Table16[[#This Row],[price]]*Table16[[#This Row],[quantity]]</f>
        <v>40.659999999999997</v>
      </c>
    </row>
    <row r="1836" spans="1:9" x14ac:dyDescent="0.3">
      <c r="A1836" t="s">
        <v>3849</v>
      </c>
      <c r="B1836" t="s">
        <v>352</v>
      </c>
      <c r="C1836" t="s">
        <v>2015</v>
      </c>
      <c r="D1836">
        <v>5</v>
      </c>
      <c r="E1836" s="16">
        <v>3000.85</v>
      </c>
      <c r="F1836" s="1">
        <v>44821</v>
      </c>
      <c r="G1836" t="s">
        <v>2002</v>
      </c>
      <c r="H1836">
        <v>1</v>
      </c>
      <c r="I1836" s="12">
        <f>Table16[[#This Row],[price]]*Table16[[#This Row],[quantity]]</f>
        <v>15004.25</v>
      </c>
    </row>
    <row r="1837" spans="1:9" x14ac:dyDescent="0.3">
      <c r="A1837" t="s">
        <v>3852</v>
      </c>
      <c r="B1837" t="s">
        <v>352</v>
      </c>
      <c r="C1837" t="s">
        <v>2057</v>
      </c>
      <c r="D1837">
        <v>5</v>
      </c>
      <c r="E1837" s="16">
        <v>58.65</v>
      </c>
      <c r="F1837" s="1">
        <v>44861</v>
      </c>
      <c r="G1837" t="s">
        <v>2018</v>
      </c>
      <c r="H1837">
        <v>1</v>
      </c>
      <c r="I1837" s="12">
        <f>Table16[[#This Row],[price]]*Table16[[#This Row],[quantity]]</f>
        <v>293.25</v>
      </c>
    </row>
    <row r="1838" spans="1:9" x14ac:dyDescent="0.3">
      <c r="A1838" t="s">
        <v>3853</v>
      </c>
      <c r="B1838" t="s">
        <v>352</v>
      </c>
      <c r="C1838" t="s">
        <v>2006</v>
      </c>
      <c r="D1838">
        <v>3</v>
      </c>
      <c r="E1838" s="16">
        <v>45.45</v>
      </c>
      <c r="F1838" s="1">
        <v>44961</v>
      </c>
      <c r="G1838" t="s">
        <v>2004</v>
      </c>
      <c r="H1838">
        <v>5</v>
      </c>
      <c r="I1838" s="12">
        <f>Table16[[#This Row],[price]]*Table16[[#This Row],[quantity]]</f>
        <v>136.35000000000002</v>
      </c>
    </row>
    <row r="1839" spans="1:9" x14ac:dyDescent="0.3">
      <c r="A1839" t="s">
        <v>3855</v>
      </c>
      <c r="B1839" t="s">
        <v>352</v>
      </c>
      <c r="C1839" t="s">
        <v>2001</v>
      </c>
      <c r="D1839">
        <v>1</v>
      </c>
      <c r="E1839" s="16">
        <v>300.08</v>
      </c>
      <c r="F1839" s="1">
        <v>44982</v>
      </c>
      <c r="G1839" t="s">
        <v>2058</v>
      </c>
      <c r="H1839">
        <v>2</v>
      </c>
      <c r="I1839" s="12">
        <f>Table16[[#This Row],[price]]*Table16[[#This Row],[quantity]]</f>
        <v>300.08</v>
      </c>
    </row>
    <row r="1840" spans="1:9" x14ac:dyDescent="0.3">
      <c r="A1840" t="s">
        <v>3857</v>
      </c>
      <c r="B1840" t="s">
        <v>353</v>
      </c>
      <c r="C1840" t="s">
        <v>2011</v>
      </c>
      <c r="D1840">
        <v>5</v>
      </c>
      <c r="E1840" s="16">
        <v>203.3</v>
      </c>
      <c r="F1840" s="1">
        <v>44203</v>
      </c>
      <c r="G1840" t="s">
        <v>2064</v>
      </c>
      <c r="H1840">
        <v>5</v>
      </c>
      <c r="I1840" s="12">
        <f>Table16[[#This Row],[price]]*Table16[[#This Row],[quantity]]</f>
        <v>1016.5</v>
      </c>
    </row>
    <row r="1841" spans="1:9" x14ac:dyDescent="0.3">
      <c r="A1841" t="s">
        <v>3858</v>
      </c>
      <c r="B1841" t="s">
        <v>353</v>
      </c>
      <c r="C1841" t="s">
        <v>2001</v>
      </c>
      <c r="D1841">
        <v>2</v>
      </c>
      <c r="E1841" s="16">
        <v>600.16</v>
      </c>
      <c r="F1841" s="1">
        <v>44255</v>
      </c>
      <c r="G1841" t="s">
        <v>2027</v>
      </c>
      <c r="H1841">
        <v>2</v>
      </c>
      <c r="I1841" s="12">
        <f>Table16[[#This Row],[price]]*Table16[[#This Row],[quantity]]</f>
        <v>1200.32</v>
      </c>
    </row>
    <row r="1842" spans="1:9" x14ac:dyDescent="0.3">
      <c r="A1842" t="s">
        <v>3862</v>
      </c>
      <c r="B1842" t="s">
        <v>353</v>
      </c>
      <c r="C1842" t="s">
        <v>2001</v>
      </c>
      <c r="D1842">
        <v>2</v>
      </c>
      <c r="E1842" s="16">
        <v>600.16</v>
      </c>
      <c r="F1842" s="1">
        <v>44360</v>
      </c>
      <c r="G1842" t="s">
        <v>2027</v>
      </c>
      <c r="H1842">
        <v>3</v>
      </c>
      <c r="I1842" s="12">
        <f>Table16[[#This Row],[price]]*Table16[[#This Row],[quantity]]</f>
        <v>1200.32</v>
      </c>
    </row>
    <row r="1843" spans="1:9" x14ac:dyDescent="0.3">
      <c r="A1843" t="s">
        <v>3861</v>
      </c>
      <c r="B1843" t="s">
        <v>353</v>
      </c>
      <c r="C1843" t="s">
        <v>2001</v>
      </c>
      <c r="D1843">
        <v>3</v>
      </c>
      <c r="E1843" s="16">
        <v>900.24</v>
      </c>
      <c r="F1843" s="1">
        <v>44415</v>
      </c>
      <c r="G1843" t="s">
        <v>2027</v>
      </c>
      <c r="H1843">
        <v>1</v>
      </c>
      <c r="I1843" s="12">
        <f>Table16[[#This Row],[price]]*Table16[[#This Row],[quantity]]</f>
        <v>2700.7200000000003</v>
      </c>
    </row>
    <row r="1844" spans="1:9" x14ac:dyDescent="0.3">
      <c r="A1844" t="s">
        <v>3860</v>
      </c>
      <c r="B1844" t="s">
        <v>353</v>
      </c>
      <c r="C1844" t="s">
        <v>2011</v>
      </c>
      <c r="D1844">
        <v>3</v>
      </c>
      <c r="E1844" s="16">
        <v>121.98</v>
      </c>
      <c r="F1844" s="1">
        <v>44482</v>
      </c>
      <c r="G1844" t="s">
        <v>2027</v>
      </c>
      <c r="H1844">
        <v>3</v>
      </c>
      <c r="I1844" s="12">
        <f>Table16[[#This Row],[price]]*Table16[[#This Row],[quantity]]</f>
        <v>365.94</v>
      </c>
    </row>
    <row r="1845" spans="1:9" x14ac:dyDescent="0.3">
      <c r="A1845" t="s">
        <v>3856</v>
      </c>
      <c r="B1845" t="s">
        <v>353</v>
      </c>
      <c r="C1845" t="s">
        <v>2001</v>
      </c>
      <c r="D1845">
        <v>5</v>
      </c>
      <c r="E1845" s="16">
        <v>1500.4</v>
      </c>
      <c r="F1845" s="1">
        <v>44698</v>
      </c>
      <c r="G1845" t="s">
        <v>2027</v>
      </c>
      <c r="H1845">
        <v>3</v>
      </c>
      <c r="I1845" s="12">
        <f>Table16[[#This Row],[price]]*Table16[[#This Row],[quantity]]</f>
        <v>7502</v>
      </c>
    </row>
    <row r="1846" spans="1:9" x14ac:dyDescent="0.3">
      <c r="A1846" t="s">
        <v>3859</v>
      </c>
      <c r="B1846" t="s">
        <v>353</v>
      </c>
      <c r="C1846" t="s">
        <v>2011</v>
      </c>
      <c r="D1846">
        <v>5</v>
      </c>
      <c r="E1846" s="16">
        <v>203.3</v>
      </c>
      <c r="F1846" s="1">
        <v>44975</v>
      </c>
      <c r="G1846" t="s">
        <v>2064</v>
      </c>
      <c r="H1846">
        <v>3</v>
      </c>
      <c r="I1846" s="12">
        <f>Table16[[#This Row],[price]]*Table16[[#This Row],[quantity]]</f>
        <v>1016.5</v>
      </c>
    </row>
    <row r="1847" spans="1:9" x14ac:dyDescent="0.3">
      <c r="A1847" t="s">
        <v>3866</v>
      </c>
      <c r="B1847" t="s">
        <v>354</v>
      </c>
      <c r="C1847" t="s">
        <v>2011</v>
      </c>
      <c r="D1847">
        <v>2</v>
      </c>
      <c r="E1847" s="16">
        <v>81.319999999999993</v>
      </c>
      <c r="F1847" s="1">
        <v>44299</v>
      </c>
      <c r="G1847" t="s">
        <v>2027</v>
      </c>
      <c r="H1847">
        <v>4</v>
      </c>
      <c r="I1847" s="12">
        <f>Table16[[#This Row],[price]]*Table16[[#This Row],[quantity]]</f>
        <v>162.63999999999999</v>
      </c>
    </row>
    <row r="1848" spans="1:9" x14ac:dyDescent="0.3">
      <c r="A1848" t="s">
        <v>3867</v>
      </c>
      <c r="B1848" t="s">
        <v>354</v>
      </c>
      <c r="C1848" t="s">
        <v>2001</v>
      </c>
      <c r="D1848">
        <v>1</v>
      </c>
      <c r="E1848" s="16">
        <v>300.08</v>
      </c>
      <c r="F1848" s="1">
        <v>44351</v>
      </c>
      <c r="G1848" t="s">
        <v>2020</v>
      </c>
      <c r="H1848">
        <v>5</v>
      </c>
      <c r="I1848" s="12">
        <f>Table16[[#This Row],[price]]*Table16[[#This Row],[quantity]]</f>
        <v>300.08</v>
      </c>
    </row>
    <row r="1849" spans="1:9" x14ac:dyDescent="0.3">
      <c r="A1849" t="s">
        <v>3863</v>
      </c>
      <c r="B1849" t="s">
        <v>354</v>
      </c>
      <c r="C1849" t="s">
        <v>2015</v>
      </c>
      <c r="D1849">
        <v>4</v>
      </c>
      <c r="E1849" s="16">
        <v>2400.6799999999998</v>
      </c>
      <c r="F1849" s="1">
        <v>44564</v>
      </c>
      <c r="G1849" t="s">
        <v>2027</v>
      </c>
      <c r="H1849">
        <v>4</v>
      </c>
      <c r="I1849" s="12">
        <f>Table16[[#This Row],[price]]*Table16[[#This Row],[quantity]]</f>
        <v>9602.7199999999993</v>
      </c>
    </row>
    <row r="1850" spans="1:9" x14ac:dyDescent="0.3">
      <c r="A1850" t="s">
        <v>3868</v>
      </c>
      <c r="B1850" t="s">
        <v>354</v>
      </c>
      <c r="C1850" t="s">
        <v>2001</v>
      </c>
      <c r="D1850">
        <v>3</v>
      </c>
      <c r="E1850" s="16">
        <v>900.24</v>
      </c>
      <c r="F1850" s="1">
        <v>44615</v>
      </c>
      <c r="G1850" t="s">
        <v>2012</v>
      </c>
      <c r="H1850">
        <v>4</v>
      </c>
      <c r="I1850" s="12">
        <f>Table16[[#This Row],[price]]*Table16[[#This Row],[quantity]]</f>
        <v>2700.7200000000003</v>
      </c>
    </row>
    <row r="1851" spans="1:9" x14ac:dyDescent="0.3">
      <c r="A1851" t="s">
        <v>3864</v>
      </c>
      <c r="B1851" t="s">
        <v>354</v>
      </c>
      <c r="C1851" t="s">
        <v>2001</v>
      </c>
      <c r="D1851">
        <v>3</v>
      </c>
      <c r="E1851" s="16">
        <v>900.24</v>
      </c>
      <c r="F1851" s="1">
        <v>44667</v>
      </c>
      <c r="G1851" t="s">
        <v>2004</v>
      </c>
      <c r="H1851">
        <v>3</v>
      </c>
      <c r="I1851" s="12">
        <f>Table16[[#This Row],[price]]*Table16[[#This Row],[quantity]]</f>
        <v>2700.7200000000003</v>
      </c>
    </row>
    <row r="1852" spans="1:9" x14ac:dyDescent="0.3">
      <c r="A1852" t="s">
        <v>3865</v>
      </c>
      <c r="B1852" t="s">
        <v>354</v>
      </c>
      <c r="C1852" t="s">
        <v>2011</v>
      </c>
      <c r="D1852">
        <v>3</v>
      </c>
      <c r="E1852" s="16">
        <v>121.98</v>
      </c>
      <c r="F1852" s="1">
        <v>44742</v>
      </c>
      <c r="G1852" t="s">
        <v>2020</v>
      </c>
      <c r="H1852">
        <v>4</v>
      </c>
      <c r="I1852" s="12">
        <f>Table16[[#This Row],[price]]*Table16[[#This Row],[quantity]]</f>
        <v>365.94</v>
      </c>
    </row>
    <row r="1853" spans="1:9" x14ac:dyDescent="0.3">
      <c r="A1853" t="s">
        <v>3872</v>
      </c>
      <c r="B1853" t="s">
        <v>355</v>
      </c>
      <c r="C1853" t="s">
        <v>2015</v>
      </c>
      <c r="D1853">
        <v>3</v>
      </c>
      <c r="E1853" s="16">
        <v>1800.51</v>
      </c>
      <c r="F1853" s="1">
        <v>44386</v>
      </c>
      <c r="G1853" t="s">
        <v>2004</v>
      </c>
      <c r="H1853">
        <v>4</v>
      </c>
      <c r="I1853" s="12">
        <f>Table16[[#This Row],[price]]*Table16[[#This Row],[quantity]]</f>
        <v>5401.53</v>
      </c>
    </row>
    <row r="1854" spans="1:9" x14ac:dyDescent="0.3">
      <c r="A1854" t="s">
        <v>3870</v>
      </c>
      <c r="B1854" t="s">
        <v>355</v>
      </c>
      <c r="C1854" t="s">
        <v>2008</v>
      </c>
      <c r="D1854">
        <v>1</v>
      </c>
      <c r="E1854" s="16">
        <v>5.23</v>
      </c>
      <c r="F1854" s="1">
        <v>44610</v>
      </c>
      <c r="G1854" t="s">
        <v>2027</v>
      </c>
      <c r="H1854">
        <v>1</v>
      </c>
      <c r="I1854" s="12">
        <f>Table16[[#This Row],[price]]*Table16[[#This Row],[quantity]]</f>
        <v>5.23</v>
      </c>
    </row>
    <row r="1855" spans="1:9" x14ac:dyDescent="0.3">
      <c r="A1855" t="s">
        <v>3869</v>
      </c>
      <c r="B1855" t="s">
        <v>355</v>
      </c>
      <c r="C1855" t="s">
        <v>2011</v>
      </c>
      <c r="D1855">
        <v>4</v>
      </c>
      <c r="E1855" s="16">
        <v>162.63999999999999</v>
      </c>
      <c r="F1855" s="1">
        <v>44797</v>
      </c>
      <c r="G1855" t="s">
        <v>2018</v>
      </c>
      <c r="H1855">
        <v>1</v>
      </c>
      <c r="I1855" s="12">
        <f>Table16[[#This Row],[price]]*Table16[[#This Row],[quantity]]</f>
        <v>650.55999999999995</v>
      </c>
    </row>
    <row r="1856" spans="1:9" x14ac:dyDescent="0.3">
      <c r="A1856" t="s">
        <v>3871</v>
      </c>
      <c r="B1856" t="s">
        <v>355</v>
      </c>
      <c r="C1856" t="s">
        <v>2015</v>
      </c>
      <c r="D1856">
        <v>5</v>
      </c>
      <c r="E1856" s="16">
        <v>3000.85</v>
      </c>
      <c r="F1856" s="1">
        <v>44924</v>
      </c>
      <c r="G1856" t="s">
        <v>2002</v>
      </c>
      <c r="H1856">
        <v>5</v>
      </c>
      <c r="I1856" s="12">
        <f>Table16[[#This Row],[price]]*Table16[[#This Row],[quantity]]</f>
        <v>15004.25</v>
      </c>
    </row>
    <row r="1857" spans="1:9" x14ac:dyDescent="0.3">
      <c r="A1857" t="s">
        <v>3873</v>
      </c>
      <c r="B1857" t="s">
        <v>356</v>
      </c>
      <c r="C1857" t="s">
        <v>2001</v>
      </c>
      <c r="D1857">
        <v>3</v>
      </c>
      <c r="E1857" s="16">
        <v>900.24</v>
      </c>
      <c r="F1857" s="1">
        <v>44247</v>
      </c>
      <c r="G1857" t="s">
        <v>2004</v>
      </c>
      <c r="H1857">
        <v>1</v>
      </c>
      <c r="I1857" s="12">
        <f>Table16[[#This Row],[price]]*Table16[[#This Row],[quantity]]</f>
        <v>2700.7200000000003</v>
      </c>
    </row>
    <row r="1858" spans="1:9" x14ac:dyDescent="0.3">
      <c r="A1858" t="s">
        <v>3874</v>
      </c>
      <c r="B1858" t="s">
        <v>356</v>
      </c>
      <c r="C1858" t="s">
        <v>2017</v>
      </c>
      <c r="D1858">
        <v>1</v>
      </c>
      <c r="E1858" s="16">
        <v>1050</v>
      </c>
      <c r="F1858" s="1">
        <v>44330</v>
      </c>
      <c r="G1858" t="s">
        <v>2058</v>
      </c>
      <c r="H1858">
        <v>5</v>
      </c>
      <c r="I1858" s="12">
        <f>Table16[[#This Row],[price]]*Table16[[#This Row],[quantity]]</f>
        <v>1050</v>
      </c>
    </row>
    <row r="1859" spans="1:9" x14ac:dyDescent="0.3">
      <c r="A1859" t="s">
        <v>3876</v>
      </c>
      <c r="B1859" t="s">
        <v>356</v>
      </c>
      <c r="C1859" t="s">
        <v>2008</v>
      </c>
      <c r="D1859">
        <v>2</v>
      </c>
      <c r="E1859" s="16">
        <v>10.46</v>
      </c>
      <c r="F1859" s="1">
        <v>44679</v>
      </c>
      <c r="G1859" t="s">
        <v>2002</v>
      </c>
      <c r="H1859">
        <v>2</v>
      </c>
      <c r="I1859" s="12">
        <f>Table16[[#This Row],[price]]*Table16[[#This Row],[quantity]]</f>
        <v>20.92</v>
      </c>
    </row>
    <row r="1860" spans="1:9" x14ac:dyDescent="0.3">
      <c r="A1860" t="s">
        <v>3875</v>
      </c>
      <c r="B1860" t="s">
        <v>356</v>
      </c>
      <c r="C1860" t="s">
        <v>2008</v>
      </c>
      <c r="D1860">
        <v>5</v>
      </c>
      <c r="E1860" s="16">
        <v>26.15</v>
      </c>
      <c r="F1860" s="1">
        <v>44733</v>
      </c>
      <c r="G1860" t="s">
        <v>2027</v>
      </c>
      <c r="H1860">
        <v>2</v>
      </c>
      <c r="I1860" s="12">
        <f>Table16[[#This Row],[price]]*Table16[[#This Row],[quantity]]</f>
        <v>130.75</v>
      </c>
    </row>
    <row r="1861" spans="1:9" x14ac:dyDescent="0.3">
      <c r="A1861" t="s">
        <v>3878</v>
      </c>
      <c r="B1861" t="s">
        <v>357</v>
      </c>
      <c r="C1861" t="s">
        <v>2001</v>
      </c>
      <c r="D1861">
        <v>1</v>
      </c>
      <c r="E1861" s="16">
        <v>300.08</v>
      </c>
      <c r="F1861" s="1">
        <v>44306</v>
      </c>
      <c r="G1861" t="s">
        <v>2027</v>
      </c>
      <c r="H1861">
        <v>3</v>
      </c>
      <c r="I1861" s="12">
        <f>Table16[[#This Row],[price]]*Table16[[#This Row],[quantity]]</f>
        <v>300.08</v>
      </c>
    </row>
    <row r="1862" spans="1:9" x14ac:dyDescent="0.3">
      <c r="A1862" t="s">
        <v>3880</v>
      </c>
      <c r="B1862" t="s">
        <v>357</v>
      </c>
      <c r="C1862" t="s">
        <v>2011</v>
      </c>
      <c r="D1862">
        <v>1</v>
      </c>
      <c r="E1862" s="16">
        <v>40.659999999999997</v>
      </c>
      <c r="F1862" s="1">
        <v>44417</v>
      </c>
      <c r="G1862" t="s">
        <v>2020</v>
      </c>
      <c r="H1862">
        <v>1</v>
      </c>
      <c r="I1862" s="12">
        <f>Table16[[#This Row],[price]]*Table16[[#This Row],[quantity]]</f>
        <v>40.659999999999997</v>
      </c>
    </row>
    <row r="1863" spans="1:9" x14ac:dyDescent="0.3">
      <c r="A1863" t="s">
        <v>3884</v>
      </c>
      <c r="B1863" t="s">
        <v>357</v>
      </c>
      <c r="C1863" t="s">
        <v>2008</v>
      </c>
      <c r="D1863">
        <v>3</v>
      </c>
      <c r="E1863" s="16">
        <v>15.69</v>
      </c>
      <c r="F1863" s="1">
        <v>44493</v>
      </c>
      <c r="G1863" t="s">
        <v>2041</v>
      </c>
      <c r="H1863">
        <v>2</v>
      </c>
      <c r="I1863" s="12">
        <f>Table16[[#This Row],[price]]*Table16[[#This Row],[quantity]]</f>
        <v>47.07</v>
      </c>
    </row>
    <row r="1864" spans="1:9" x14ac:dyDescent="0.3">
      <c r="A1864" t="s">
        <v>3879</v>
      </c>
      <c r="B1864" t="s">
        <v>357</v>
      </c>
      <c r="C1864" t="s">
        <v>2001</v>
      </c>
      <c r="D1864">
        <v>2</v>
      </c>
      <c r="E1864" s="16">
        <v>600.16</v>
      </c>
      <c r="F1864" s="1">
        <v>44523</v>
      </c>
      <c r="G1864" t="s">
        <v>2020</v>
      </c>
      <c r="H1864">
        <v>4</v>
      </c>
      <c r="I1864" s="12">
        <f>Table16[[#This Row],[price]]*Table16[[#This Row],[quantity]]</f>
        <v>1200.32</v>
      </c>
    </row>
    <row r="1865" spans="1:9" x14ac:dyDescent="0.3">
      <c r="A1865" t="s">
        <v>3877</v>
      </c>
      <c r="B1865" t="s">
        <v>357</v>
      </c>
      <c r="C1865" t="s">
        <v>2001</v>
      </c>
      <c r="D1865">
        <v>4</v>
      </c>
      <c r="E1865" s="16">
        <v>1200.32</v>
      </c>
      <c r="F1865" s="1">
        <v>44572</v>
      </c>
      <c r="G1865" t="s">
        <v>2027</v>
      </c>
      <c r="H1865">
        <v>4</v>
      </c>
      <c r="I1865" s="12">
        <f>Table16[[#This Row],[price]]*Table16[[#This Row],[quantity]]</f>
        <v>4801.28</v>
      </c>
    </row>
    <row r="1866" spans="1:9" x14ac:dyDescent="0.3">
      <c r="A1866" t="s">
        <v>3882</v>
      </c>
      <c r="B1866" t="s">
        <v>357</v>
      </c>
      <c r="C1866" t="s">
        <v>2001</v>
      </c>
      <c r="D1866">
        <v>5</v>
      </c>
      <c r="E1866" s="16">
        <v>1500.4</v>
      </c>
      <c r="F1866" s="1">
        <v>44675</v>
      </c>
      <c r="G1866" t="s">
        <v>2004</v>
      </c>
      <c r="H1866">
        <v>1</v>
      </c>
      <c r="I1866" s="12">
        <f>Table16[[#This Row],[price]]*Table16[[#This Row],[quantity]]</f>
        <v>7502</v>
      </c>
    </row>
    <row r="1867" spans="1:9" x14ac:dyDescent="0.3">
      <c r="A1867" t="s">
        <v>3881</v>
      </c>
      <c r="B1867" t="s">
        <v>357</v>
      </c>
      <c r="C1867" t="s">
        <v>2008</v>
      </c>
      <c r="D1867">
        <v>5</v>
      </c>
      <c r="E1867" s="16">
        <v>26.15</v>
      </c>
      <c r="F1867" s="1">
        <v>44714</v>
      </c>
      <c r="G1867" t="s">
        <v>2020</v>
      </c>
      <c r="H1867">
        <v>3</v>
      </c>
      <c r="I1867" s="12">
        <f>Table16[[#This Row],[price]]*Table16[[#This Row],[quantity]]</f>
        <v>130.75</v>
      </c>
    </row>
    <row r="1868" spans="1:9" x14ac:dyDescent="0.3">
      <c r="A1868" t="s">
        <v>3883</v>
      </c>
      <c r="B1868" t="s">
        <v>357</v>
      </c>
      <c r="C1868" t="s">
        <v>2057</v>
      </c>
      <c r="D1868">
        <v>1</v>
      </c>
      <c r="E1868" s="16">
        <v>11.73</v>
      </c>
      <c r="F1868" s="1">
        <v>44819</v>
      </c>
      <c r="G1868" t="s">
        <v>2004</v>
      </c>
      <c r="H1868">
        <v>2</v>
      </c>
      <c r="I1868" s="12">
        <f>Table16[[#This Row],[price]]*Table16[[#This Row],[quantity]]</f>
        <v>11.73</v>
      </c>
    </row>
    <row r="1869" spans="1:9" x14ac:dyDescent="0.3">
      <c r="A1869" t="s">
        <v>3886</v>
      </c>
      <c r="B1869" t="s">
        <v>358</v>
      </c>
      <c r="C1869" t="s">
        <v>2015</v>
      </c>
      <c r="D1869">
        <v>2</v>
      </c>
      <c r="E1869" s="16">
        <v>1200.3399999999999</v>
      </c>
      <c r="F1869" s="1">
        <v>44211</v>
      </c>
      <c r="G1869" t="s">
        <v>2018</v>
      </c>
      <c r="H1869">
        <v>5</v>
      </c>
      <c r="I1869" s="12">
        <f>Table16[[#This Row],[price]]*Table16[[#This Row],[quantity]]</f>
        <v>2400.6799999999998</v>
      </c>
    </row>
    <row r="1870" spans="1:9" x14ac:dyDescent="0.3">
      <c r="A1870" t="s">
        <v>3887</v>
      </c>
      <c r="B1870" t="s">
        <v>358</v>
      </c>
      <c r="C1870" t="s">
        <v>2011</v>
      </c>
      <c r="D1870">
        <v>5</v>
      </c>
      <c r="E1870" s="16">
        <v>203.3</v>
      </c>
      <c r="F1870" s="1">
        <v>44455</v>
      </c>
      <c r="G1870" t="s">
        <v>2020</v>
      </c>
      <c r="H1870">
        <v>4</v>
      </c>
      <c r="I1870" s="12">
        <f>Table16[[#This Row],[price]]*Table16[[#This Row],[quantity]]</f>
        <v>1016.5</v>
      </c>
    </row>
    <row r="1871" spans="1:9" x14ac:dyDescent="0.3">
      <c r="A1871" t="s">
        <v>3885</v>
      </c>
      <c r="B1871" t="s">
        <v>358</v>
      </c>
      <c r="C1871" t="s">
        <v>2011</v>
      </c>
      <c r="D1871">
        <v>1</v>
      </c>
      <c r="E1871" s="16">
        <v>40.659999999999997</v>
      </c>
      <c r="F1871" s="1">
        <v>44824</v>
      </c>
      <c r="G1871" t="s">
        <v>2002</v>
      </c>
      <c r="H1871">
        <v>4</v>
      </c>
      <c r="I1871" s="12">
        <f>Table16[[#This Row],[price]]*Table16[[#This Row],[quantity]]</f>
        <v>40.659999999999997</v>
      </c>
    </row>
    <row r="1872" spans="1:9" x14ac:dyDescent="0.3">
      <c r="A1872" t="s">
        <v>3888</v>
      </c>
      <c r="B1872" t="s">
        <v>359</v>
      </c>
      <c r="C1872" t="s">
        <v>2011</v>
      </c>
      <c r="D1872">
        <v>3</v>
      </c>
      <c r="E1872" s="16">
        <v>121.98</v>
      </c>
      <c r="F1872" s="1">
        <v>44211</v>
      </c>
      <c r="G1872" t="s">
        <v>2027</v>
      </c>
      <c r="H1872">
        <v>1</v>
      </c>
      <c r="I1872" s="12">
        <f>Table16[[#This Row],[price]]*Table16[[#This Row],[quantity]]</f>
        <v>365.94</v>
      </c>
    </row>
    <row r="1873" spans="1:9" x14ac:dyDescent="0.3">
      <c r="A1873" t="s">
        <v>3891</v>
      </c>
      <c r="B1873" t="s">
        <v>359</v>
      </c>
      <c r="C1873" t="s">
        <v>2008</v>
      </c>
      <c r="D1873">
        <v>3</v>
      </c>
      <c r="E1873" s="16">
        <v>15.69</v>
      </c>
      <c r="F1873" s="1">
        <v>44356</v>
      </c>
      <c r="G1873" t="s">
        <v>2058</v>
      </c>
      <c r="H1873">
        <v>2</v>
      </c>
      <c r="I1873" s="12">
        <f>Table16[[#This Row],[price]]*Table16[[#This Row],[quantity]]</f>
        <v>47.07</v>
      </c>
    </row>
    <row r="1874" spans="1:9" x14ac:dyDescent="0.3">
      <c r="A1874" t="s">
        <v>3890</v>
      </c>
      <c r="B1874" t="s">
        <v>359</v>
      </c>
      <c r="C1874" t="s">
        <v>2001</v>
      </c>
      <c r="D1874">
        <v>3</v>
      </c>
      <c r="E1874" s="16">
        <v>900.24</v>
      </c>
      <c r="F1874" s="1">
        <v>44582</v>
      </c>
      <c r="G1874" t="s">
        <v>2004</v>
      </c>
      <c r="H1874">
        <v>4</v>
      </c>
      <c r="I1874" s="12">
        <f>Table16[[#This Row],[price]]*Table16[[#This Row],[quantity]]</f>
        <v>2700.7200000000003</v>
      </c>
    </row>
    <row r="1875" spans="1:9" x14ac:dyDescent="0.3">
      <c r="A1875" t="s">
        <v>3889</v>
      </c>
      <c r="B1875" t="s">
        <v>359</v>
      </c>
      <c r="C1875" t="s">
        <v>2024</v>
      </c>
      <c r="D1875">
        <v>5</v>
      </c>
      <c r="E1875" s="16">
        <v>179.2</v>
      </c>
      <c r="F1875" s="1">
        <v>44631</v>
      </c>
      <c r="G1875" t="s">
        <v>2012</v>
      </c>
      <c r="H1875">
        <v>1</v>
      </c>
      <c r="I1875" s="12">
        <f>Table16[[#This Row],[price]]*Table16[[#This Row],[quantity]]</f>
        <v>896</v>
      </c>
    </row>
    <row r="1876" spans="1:9" x14ac:dyDescent="0.3">
      <c r="A1876" t="s">
        <v>3895</v>
      </c>
      <c r="B1876" t="s">
        <v>360</v>
      </c>
      <c r="C1876" t="s">
        <v>2011</v>
      </c>
      <c r="D1876">
        <v>5</v>
      </c>
      <c r="E1876" s="16">
        <v>203.3</v>
      </c>
      <c r="F1876" s="1">
        <v>44380</v>
      </c>
      <c r="G1876" t="s">
        <v>2004</v>
      </c>
      <c r="H1876">
        <v>1</v>
      </c>
      <c r="I1876" s="12">
        <f>Table16[[#This Row],[price]]*Table16[[#This Row],[quantity]]</f>
        <v>1016.5</v>
      </c>
    </row>
    <row r="1877" spans="1:9" x14ac:dyDescent="0.3">
      <c r="A1877" t="s">
        <v>3897</v>
      </c>
      <c r="B1877" t="s">
        <v>360</v>
      </c>
      <c r="C1877" t="s">
        <v>2001</v>
      </c>
      <c r="D1877">
        <v>5</v>
      </c>
      <c r="E1877" s="16">
        <v>1500.4</v>
      </c>
      <c r="F1877" s="1">
        <v>44570</v>
      </c>
      <c r="G1877" t="s">
        <v>2002</v>
      </c>
      <c r="H1877">
        <v>4</v>
      </c>
      <c r="I1877" s="12">
        <f>Table16[[#This Row],[price]]*Table16[[#This Row],[quantity]]</f>
        <v>7502</v>
      </c>
    </row>
    <row r="1878" spans="1:9" x14ac:dyDescent="0.3">
      <c r="A1878" t="s">
        <v>3893</v>
      </c>
      <c r="B1878" t="s">
        <v>360</v>
      </c>
      <c r="C1878" t="s">
        <v>2001</v>
      </c>
      <c r="D1878">
        <v>5</v>
      </c>
      <c r="E1878" s="16">
        <v>1500.4</v>
      </c>
      <c r="F1878" s="1">
        <v>44632</v>
      </c>
      <c r="G1878" t="s">
        <v>2020</v>
      </c>
      <c r="H1878">
        <v>2</v>
      </c>
      <c r="I1878" s="12">
        <f>Table16[[#This Row],[price]]*Table16[[#This Row],[quantity]]</f>
        <v>7502</v>
      </c>
    </row>
    <row r="1879" spans="1:9" x14ac:dyDescent="0.3">
      <c r="A1879" t="s">
        <v>3894</v>
      </c>
      <c r="B1879" t="s">
        <v>360</v>
      </c>
      <c r="C1879" t="s">
        <v>2057</v>
      </c>
      <c r="D1879">
        <v>1</v>
      </c>
      <c r="E1879" s="16">
        <v>11.73</v>
      </c>
      <c r="F1879" s="1">
        <v>44649</v>
      </c>
      <c r="G1879" t="s">
        <v>2018</v>
      </c>
      <c r="H1879">
        <v>1</v>
      </c>
      <c r="I1879" s="12">
        <f>Table16[[#This Row],[price]]*Table16[[#This Row],[quantity]]</f>
        <v>11.73</v>
      </c>
    </row>
    <row r="1880" spans="1:9" x14ac:dyDescent="0.3">
      <c r="A1880" t="s">
        <v>3896</v>
      </c>
      <c r="B1880" t="s">
        <v>360</v>
      </c>
      <c r="C1880" t="s">
        <v>2015</v>
      </c>
      <c r="D1880">
        <v>4</v>
      </c>
      <c r="E1880" s="16">
        <v>2400.6799999999998</v>
      </c>
      <c r="F1880" s="1">
        <v>44945</v>
      </c>
      <c r="G1880" t="s">
        <v>2002</v>
      </c>
      <c r="H1880">
        <v>5</v>
      </c>
      <c r="I1880" s="12">
        <f>Table16[[#This Row],[price]]*Table16[[#This Row],[quantity]]</f>
        <v>9602.7199999999993</v>
      </c>
    </row>
    <row r="1881" spans="1:9" x14ac:dyDescent="0.3">
      <c r="A1881" t="s">
        <v>3892</v>
      </c>
      <c r="B1881" t="s">
        <v>360</v>
      </c>
      <c r="C1881" t="s">
        <v>2008</v>
      </c>
      <c r="D1881">
        <v>1</v>
      </c>
      <c r="E1881" s="16">
        <v>5.23</v>
      </c>
      <c r="F1881" s="1">
        <v>44957</v>
      </c>
      <c r="G1881" t="s">
        <v>2004</v>
      </c>
      <c r="H1881">
        <v>1</v>
      </c>
      <c r="I1881" s="12">
        <f>Table16[[#This Row],[price]]*Table16[[#This Row],[quantity]]</f>
        <v>5.23</v>
      </c>
    </row>
    <row r="1882" spans="1:9" x14ac:dyDescent="0.3">
      <c r="A1882" t="s">
        <v>3907</v>
      </c>
      <c r="B1882" t="s">
        <v>361</v>
      </c>
      <c r="C1882" t="s">
        <v>2015</v>
      </c>
      <c r="D1882">
        <v>3</v>
      </c>
      <c r="E1882" s="16">
        <v>1800.51</v>
      </c>
      <c r="F1882" s="1">
        <v>44283</v>
      </c>
      <c r="G1882" t="s">
        <v>2020</v>
      </c>
      <c r="H1882">
        <v>2</v>
      </c>
      <c r="I1882" s="12">
        <f>Table16[[#This Row],[price]]*Table16[[#This Row],[quantity]]</f>
        <v>5401.53</v>
      </c>
    </row>
    <row r="1883" spans="1:9" x14ac:dyDescent="0.3">
      <c r="A1883" t="s">
        <v>3906</v>
      </c>
      <c r="B1883" t="s">
        <v>361</v>
      </c>
      <c r="C1883" t="s">
        <v>2024</v>
      </c>
      <c r="D1883">
        <v>1</v>
      </c>
      <c r="E1883" s="16">
        <v>35.840000000000003</v>
      </c>
      <c r="F1883" s="1">
        <v>44340</v>
      </c>
      <c r="G1883" t="s">
        <v>2027</v>
      </c>
      <c r="H1883">
        <v>3</v>
      </c>
      <c r="I1883" s="12">
        <f>Table16[[#This Row],[price]]*Table16[[#This Row],[quantity]]</f>
        <v>35.840000000000003</v>
      </c>
    </row>
    <row r="1884" spans="1:9" x14ac:dyDescent="0.3">
      <c r="A1884" t="s">
        <v>3902</v>
      </c>
      <c r="B1884" t="s">
        <v>361</v>
      </c>
      <c r="C1884" t="s">
        <v>2015</v>
      </c>
      <c r="D1884">
        <v>1</v>
      </c>
      <c r="E1884" s="16">
        <v>600.16999999999996</v>
      </c>
      <c r="F1884" s="1">
        <v>44489</v>
      </c>
      <c r="G1884" t="s">
        <v>2004</v>
      </c>
      <c r="H1884">
        <v>2</v>
      </c>
      <c r="I1884" s="12">
        <f>Table16[[#This Row],[price]]*Table16[[#This Row],[quantity]]</f>
        <v>600.16999999999996</v>
      </c>
    </row>
    <row r="1885" spans="1:9" x14ac:dyDescent="0.3">
      <c r="A1885" t="s">
        <v>3900</v>
      </c>
      <c r="B1885" t="s">
        <v>361</v>
      </c>
      <c r="C1885" t="s">
        <v>2024</v>
      </c>
      <c r="D1885">
        <v>3</v>
      </c>
      <c r="E1885" s="16">
        <v>107.52</v>
      </c>
      <c r="F1885" s="1">
        <v>44532</v>
      </c>
      <c r="G1885" t="s">
        <v>2058</v>
      </c>
      <c r="H1885">
        <v>4</v>
      </c>
      <c r="I1885" s="12">
        <f>Table16[[#This Row],[price]]*Table16[[#This Row],[quantity]]</f>
        <v>322.56</v>
      </c>
    </row>
    <row r="1886" spans="1:9" x14ac:dyDescent="0.3">
      <c r="A1886" t="s">
        <v>3904</v>
      </c>
      <c r="B1886" t="s">
        <v>361</v>
      </c>
      <c r="C1886" t="s">
        <v>2006</v>
      </c>
      <c r="D1886">
        <v>4</v>
      </c>
      <c r="E1886" s="16">
        <v>60.6</v>
      </c>
      <c r="F1886" s="1">
        <v>44544</v>
      </c>
      <c r="G1886" t="s">
        <v>2004</v>
      </c>
      <c r="H1886">
        <v>5</v>
      </c>
      <c r="I1886" s="12">
        <f>Table16[[#This Row],[price]]*Table16[[#This Row],[quantity]]</f>
        <v>242.4</v>
      </c>
    </row>
    <row r="1887" spans="1:9" x14ac:dyDescent="0.3">
      <c r="A1887" t="s">
        <v>3898</v>
      </c>
      <c r="B1887" t="s">
        <v>361</v>
      </c>
      <c r="C1887" t="s">
        <v>2011</v>
      </c>
      <c r="D1887">
        <v>4</v>
      </c>
      <c r="E1887" s="16">
        <v>162.63999999999999</v>
      </c>
      <c r="F1887" s="1">
        <v>44570</v>
      </c>
      <c r="G1887" t="s">
        <v>2009</v>
      </c>
      <c r="H1887">
        <v>5</v>
      </c>
      <c r="I1887" s="12">
        <f>Table16[[#This Row],[price]]*Table16[[#This Row],[quantity]]</f>
        <v>650.55999999999995</v>
      </c>
    </row>
    <row r="1888" spans="1:9" x14ac:dyDescent="0.3">
      <c r="A1888" t="s">
        <v>3903</v>
      </c>
      <c r="B1888" t="s">
        <v>361</v>
      </c>
      <c r="C1888" t="s">
        <v>2011</v>
      </c>
      <c r="D1888">
        <v>3</v>
      </c>
      <c r="E1888" s="16">
        <v>121.98</v>
      </c>
      <c r="F1888" s="1">
        <v>44635</v>
      </c>
      <c r="G1888" t="s">
        <v>2004</v>
      </c>
      <c r="H1888">
        <v>5</v>
      </c>
      <c r="I1888" s="12">
        <f>Table16[[#This Row],[price]]*Table16[[#This Row],[quantity]]</f>
        <v>365.94</v>
      </c>
    </row>
    <row r="1889" spans="1:9" x14ac:dyDescent="0.3">
      <c r="A1889" t="s">
        <v>3905</v>
      </c>
      <c r="B1889" t="s">
        <v>361</v>
      </c>
      <c r="C1889" t="s">
        <v>2001</v>
      </c>
      <c r="D1889">
        <v>5</v>
      </c>
      <c r="E1889" s="16">
        <v>1500.4</v>
      </c>
      <c r="F1889" s="1">
        <v>44643</v>
      </c>
      <c r="G1889" t="s">
        <v>2002</v>
      </c>
      <c r="H1889">
        <v>3</v>
      </c>
      <c r="I1889" s="12">
        <f>Table16[[#This Row],[price]]*Table16[[#This Row],[quantity]]</f>
        <v>7502</v>
      </c>
    </row>
    <row r="1890" spans="1:9" x14ac:dyDescent="0.3">
      <c r="A1890" t="s">
        <v>3899</v>
      </c>
      <c r="B1890" t="s">
        <v>361</v>
      </c>
      <c r="C1890" t="s">
        <v>2011</v>
      </c>
      <c r="D1890">
        <v>1</v>
      </c>
      <c r="E1890" s="16">
        <v>40.659999999999997</v>
      </c>
      <c r="F1890" s="1">
        <v>44786</v>
      </c>
      <c r="G1890" t="s">
        <v>2020</v>
      </c>
      <c r="H1890">
        <v>4</v>
      </c>
      <c r="I1890" s="12">
        <f>Table16[[#This Row],[price]]*Table16[[#This Row],[quantity]]</f>
        <v>40.659999999999997</v>
      </c>
    </row>
    <row r="1891" spans="1:9" x14ac:dyDescent="0.3">
      <c r="A1891" t="s">
        <v>3901</v>
      </c>
      <c r="B1891" t="s">
        <v>361</v>
      </c>
      <c r="C1891" t="s">
        <v>2001</v>
      </c>
      <c r="D1891">
        <v>3</v>
      </c>
      <c r="E1891" s="16">
        <v>900.24</v>
      </c>
      <c r="F1891" s="1">
        <v>44877</v>
      </c>
      <c r="G1891" t="s">
        <v>2004</v>
      </c>
      <c r="H1891">
        <v>2</v>
      </c>
      <c r="I1891" s="12">
        <f>Table16[[#This Row],[price]]*Table16[[#This Row],[quantity]]</f>
        <v>2700.7200000000003</v>
      </c>
    </row>
    <row r="1892" spans="1:9" x14ac:dyDescent="0.3">
      <c r="A1892" t="s">
        <v>3908</v>
      </c>
      <c r="B1892" t="s">
        <v>362</v>
      </c>
      <c r="C1892" t="s">
        <v>2011</v>
      </c>
      <c r="D1892">
        <v>2</v>
      </c>
      <c r="E1892" s="16">
        <v>81.319999999999993</v>
      </c>
      <c r="F1892" s="1">
        <v>44405</v>
      </c>
      <c r="G1892" t="s">
        <v>2027</v>
      </c>
      <c r="H1892">
        <v>1</v>
      </c>
      <c r="I1892" s="12">
        <f>Table16[[#This Row],[price]]*Table16[[#This Row],[quantity]]</f>
        <v>162.63999999999999</v>
      </c>
    </row>
    <row r="1893" spans="1:9" x14ac:dyDescent="0.3">
      <c r="A1893" t="s">
        <v>3909</v>
      </c>
      <c r="B1893" t="s">
        <v>362</v>
      </c>
      <c r="C1893" t="s">
        <v>2011</v>
      </c>
      <c r="D1893">
        <v>4</v>
      </c>
      <c r="E1893" s="16">
        <v>162.63999999999999</v>
      </c>
      <c r="F1893" s="1">
        <v>44596</v>
      </c>
      <c r="G1893" t="s">
        <v>2027</v>
      </c>
      <c r="H1893">
        <v>4</v>
      </c>
      <c r="I1893" s="12">
        <f>Table16[[#This Row],[price]]*Table16[[#This Row],[quantity]]</f>
        <v>650.55999999999995</v>
      </c>
    </row>
    <row r="1894" spans="1:9" x14ac:dyDescent="0.3">
      <c r="A1894" t="s">
        <v>3910</v>
      </c>
      <c r="B1894" t="s">
        <v>362</v>
      </c>
      <c r="C1894" t="s">
        <v>2024</v>
      </c>
      <c r="D1894">
        <v>1</v>
      </c>
      <c r="E1894" s="16">
        <v>35.840000000000003</v>
      </c>
      <c r="F1894" s="1">
        <v>44635</v>
      </c>
      <c r="G1894" t="s">
        <v>2027</v>
      </c>
      <c r="H1894">
        <v>3</v>
      </c>
      <c r="I1894" s="12">
        <f>Table16[[#This Row],[price]]*Table16[[#This Row],[quantity]]</f>
        <v>35.840000000000003</v>
      </c>
    </row>
    <row r="1895" spans="1:9" x14ac:dyDescent="0.3">
      <c r="A1895" t="s">
        <v>3912</v>
      </c>
      <c r="B1895" t="s">
        <v>362</v>
      </c>
      <c r="C1895" t="s">
        <v>2024</v>
      </c>
      <c r="D1895">
        <v>4</v>
      </c>
      <c r="E1895" s="16">
        <v>143.36000000000001</v>
      </c>
      <c r="F1895" s="1">
        <v>44679</v>
      </c>
      <c r="G1895" t="s">
        <v>2027</v>
      </c>
      <c r="H1895">
        <v>5</v>
      </c>
      <c r="I1895" s="12">
        <f>Table16[[#This Row],[price]]*Table16[[#This Row],[quantity]]</f>
        <v>573.44000000000005</v>
      </c>
    </row>
    <row r="1896" spans="1:9" x14ac:dyDescent="0.3">
      <c r="A1896" t="s">
        <v>3913</v>
      </c>
      <c r="B1896" t="s">
        <v>362</v>
      </c>
      <c r="C1896" t="s">
        <v>2017</v>
      </c>
      <c r="D1896">
        <v>2</v>
      </c>
      <c r="E1896" s="16">
        <v>2100</v>
      </c>
      <c r="F1896" s="1">
        <v>44731</v>
      </c>
      <c r="G1896" t="s">
        <v>2027</v>
      </c>
      <c r="H1896">
        <v>1</v>
      </c>
      <c r="I1896" s="12">
        <f>Table16[[#This Row],[price]]*Table16[[#This Row],[quantity]]</f>
        <v>4200</v>
      </c>
    </row>
    <row r="1897" spans="1:9" x14ac:dyDescent="0.3">
      <c r="A1897" t="s">
        <v>3911</v>
      </c>
      <c r="B1897" t="s">
        <v>362</v>
      </c>
      <c r="C1897" t="s">
        <v>2011</v>
      </c>
      <c r="D1897">
        <v>4</v>
      </c>
      <c r="E1897" s="16">
        <v>162.63999999999999</v>
      </c>
      <c r="F1897" s="1">
        <v>44990</v>
      </c>
      <c r="G1897" t="s">
        <v>2004</v>
      </c>
      <c r="H1897">
        <v>3</v>
      </c>
      <c r="I1897" s="12">
        <f>Table16[[#This Row],[price]]*Table16[[#This Row],[quantity]]</f>
        <v>650.55999999999995</v>
      </c>
    </row>
    <row r="1898" spans="1:9" x14ac:dyDescent="0.3">
      <c r="A1898" t="s">
        <v>3914</v>
      </c>
      <c r="B1898" t="s">
        <v>363</v>
      </c>
      <c r="C1898" t="s">
        <v>2011</v>
      </c>
      <c r="D1898">
        <v>3</v>
      </c>
      <c r="E1898" s="16">
        <v>121.98</v>
      </c>
      <c r="F1898" s="1">
        <v>44375</v>
      </c>
      <c r="G1898" t="s">
        <v>2027</v>
      </c>
      <c r="H1898">
        <v>2</v>
      </c>
      <c r="I1898" s="12">
        <f>Table16[[#This Row],[price]]*Table16[[#This Row],[quantity]]</f>
        <v>365.94</v>
      </c>
    </row>
    <row r="1899" spans="1:9" x14ac:dyDescent="0.3">
      <c r="A1899" t="s">
        <v>3919</v>
      </c>
      <c r="B1899" t="s">
        <v>363</v>
      </c>
      <c r="C1899" t="s">
        <v>2001</v>
      </c>
      <c r="D1899">
        <v>5</v>
      </c>
      <c r="E1899" s="16">
        <v>1500.4</v>
      </c>
      <c r="F1899" s="1">
        <v>44553</v>
      </c>
      <c r="G1899" t="s">
        <v>2002</v>
      </c>
      <c r="H1899">
        <v>2</v>
      </c>
      <c r="I1899" s="12">
        <f>Table16[[#This Row],[price]]*Table16[[#This Row],[quantity]]</f>
        <v>7502</v>
      </c>
    </row>
    <row r="1900" spans="1:9" x14ac:dyDescent="0.3">
      <c r="A1900" t="s">
        <v>3915</v>
      </c>
      <c r="B1900" t="s">
        <v>363</v>
      </c>
      <c r="C1900" t="s">
        <v>2001</v>
      </c>
      <c r="D1900">
        <v>3</v>
      </c>
      <c r="E1900" s="16">
        <v>900.24</v>
      </c>
      <c r="F1900" s="1">
        <v>44631</v>
      </c>
      <c r="G1900" t="s">
        <v>2058</v>
      </c>
      <c r="H1900">
        <v>3</v>
      </c>
      <c r="I1900" s="12">
        <f>Table16[[#This Row],[price]]*Table16[[#This Row],[quantity]]</f>
        <v>2700.7200000000003</v>
      </c>
    </row>
    <row r="1901" spans="1:9" x14ac:dyDescent="0.3">
      <c r="A1901" t="s">
        <v>3916</v>
      </c>
      <c r="B1901" t="s">
        <v>363</v>
      </c>
      <c r="C1901" t="s">
        <v>2024</v>
      </c>
      <c r="D1901">
        <v>3</v>
      </c>
      <c r="E1901" s="16">
        <v>107.52</v>
      </c>
      <c r="F1901" s="1">
        <v>44746</v>
      </c>
      <c r="G1901" t="s">
        <v>2027</v>
      </c>
      <c r="H1901">
        <v>4</v>
      </c>
      <c r="I1901" s="12">
        <f>Table16[[#This Row],[price]]*Table16[[#This Row],[quantity]]</f>
        <v>322.56</v>
      </c>
    </row>
    <row r="1902" spans="1:9" x14ac:dyDescent="0.3">
      <c r="A1902" t="s">
        <v>3917</v>
      </c>
      <c r="B1902" t="s">
        <v>363</v>
      </c>
      <c r="C1902" t="s">
        <v>2024</v>
      </c>
      <c r="D1902">
        <v>3</v>
      </c>
      <c r="E1902" s="16">
        <v>107.52</v>
      </c>
      <c r="F1902" s="1">
        <v>44779</v>
      </c>
      <c r="G1902" t="s">
        <v>2027</v>
      </c>
      <c r="H1902">
        <v>4</v>
      </c>
      <c r="I1902" s="12">
        <f>Table16[[#This Row],[price]]*Table16[[#This Row],[quantity]]</f>
        <v>322.56</v>
      </c>
    </row>
    <row r="1903" spans="1:9" x14ac:dyDescent="0.3">
      <c r="A1903" t="s">
        <v>3918</v>
      </c>
      <c r="B1903" t="s">
        <v>363</v>
      </c>
      <c r="C1903" t="s">
        <v>2011</v>
      </c>
      <c r="D1903">
        <v>3</v>
      </c>
      <c r="E1903" s="16">
        <v>121.98</v>
      </c>
      <c r="F1903" s="1">
        <v>44801</v>
      </c>
      <c r="G1903" t="s">
        <v>2041</v>
      </c>
      <c r="H1903">
        <v>1</v>
      </c>
      <c r="I1903" s="12">
        <f>Table16[[#This Row],[price]]*Table16[[#This Row],[quantity]]</f>
        <v>365.94</v>
      </c>
    </row>
    <row r="1904" spans="1:9" x14ac:dyDescent="0.3">
      <c r="A1904" t="s">
        <v>3924</v>
      </c>
      <c r="B1904" t="s">
        <v>364</v>
      </c>
      <c r="C1904" t="s">
        <v>2001</v>
      </c>
      <c r="D1904">
        <v>5</v>
      </c>
      <c r="E1904" s="16">
        <v>1500.4</v>
      </c>
      <c r="F1904" s="1">
        <v>44210</v>
      </c>
      <c r="G1904" t="s">
        <v>2018</v>
      </c>
      <c r="H1904">
        <v>1</v>
      </c>
      <c r="I1904" s="12">
        <f>Table16[[#This Row],[price]]*Table16[[#This Row],[quantity]]</f>
        <v>7502</v>
      </c>
    </row>
    <row r="1905" spans="1:9" x14ac:dyDescent="0.3">
      <c r="A1905" t="s">
        <v>3920</v>
      </c>
      <c r="B1905" t="s">
        <v>364</v>
      </c>
      <c r="C1905" t="s">
        <v>2024</v>
      </c>
      <c r="D1905">
        <v>1</v>
      </c>
      <c r="E1905" s="16">
        <v>35.840000000000003</v>
      </c>
      <c r="F1905" s="1">
        <v>44220</v>
      </c>
      <c r="G1905" t="s">
        <v>2041</v>
      </c>
      <c r="H1905">
        <v>4</v>
      </c>
      <c r="I1905" s="12">
        <f>Table16[[#This Row],[price]]*Table16[[#This Row],[quantity]]</f>
        <v>35.840000000000003</v>
      </c>
    </row>
    <row r="1906" spans="1:9" x14ac:dyDescent="0.3">
      <c r="A1906" t="s">
        <v>3921</v>
      </c>
      <c r="B1906" t="s">
        <v>364</v>
      </c>
      <c r="C1906" t="s">
        <v>2011</v>
      </c>
      <c r="D1906">
        <v>5</v>
      </c>
      <c r="E1906" s="16">
        <v>203.3</v>
      </c>
      <c r="F1906" s="1">
        <v>44522</v>
      </c>
      <c r="G1906" t="s">
        <v>2041</v>
      </c>
      <c r="H1906">
        <v>1</v>
      </c>
      <c r="I1906" s="12">
        <f>Table16[[#This Row],[price]]*Table16[[#This Row],[quantity]]</f>
        <v>1016.5</v>
      </c>
    </row>
    <row r="1907" spans="1:9" x14ac:dyDescent="0.3">
      <c r="A1907" t="s">
        <v>3922</v>
      </c>
      <c r="B1907" t="s">
        <v>364</v>
      </c>
      <c r="C1907" t="s">
        <v>2001</v>
      </c>
      <c r="D1907">
        <v>5</v>
      </c>
      <c r="E1907" s="16">
        <v>1500.4</v>
      </c>
      <c r="F1907" s="1">
        <v>44873</v>
      </c>
      <c r="G1907" t="s">
        <v>2027</v>
      </c>
      <c r="H1907">
        <v>4</v>
      </c>
      <c r="I1907" s="12">
        <f>Table16[[#This Row],[price]]*Table16[[#This Row],[quantity]]</f>
        <v>7502</v>
      </c>
    </row>
    <row r="1908" spans="1:9" x14ac:dyDescent="0.3">
      <c r="A1908" t="s">
        <v>3925</v>
      </c>
      <c r="B1908" t="s">
        <v>364</v>
      </c>
      <c r="C1908" t="s">
        <v>2011</v>
      </c>
      <c r="D1908">
        <v>3</v>
      </c>
      <c r="E1908" s="16">
        <v>121.98</v>
      </c>
      <c r="F1908" s="1">
        <v>44882</v>
      </c>
      <c r="G1908" t="s">
        <v>2041</v>
      </c>
      <c r="H1908">
        <v>5</v>
      </c>
      <c r="I1908" s="12">
        <f>Table16[[#This Row],[price]]*Table16[[#This Row],[quantity]]</f>
        <v>365.94</v>
      </c>
    </row>
    <row r="1909" spans="1:9" x14ac:dyDescent="0.3">
      <c r="A1909" t="s">
        <v>3926</v>
      </c>
      <c r="B1909" t="s">
        <v>364</v>
      </c>
      <c r="C1909" t="s">
        <v>2008</v>
      </c>
      <c r="D1909">
        <v>2</v>
      </c>
      <c r="E1909" s="16">
        <v>10.46</v>
      </c>
      <c r="F1909" s="1">
        <v>44909</v>
      </c>
      <c r="G1909" t="s">
        <v>2041</v>
      </c>
      <c r="H1909">
        <v>3</v>
      </c>
      <c r="I1909" s="12">
        <f>Table16[[#This Row],[price]]*Table16[[#This Row],[quantity]]</f>
        <v>20.92</v>
      </c>
    </row>
    <row r="1910" spans="1:9" x14ac:dyDescent="0.3">
      <c r="A1910" t="s">
        <v>3923</v>
      </c>
      <c r="B1910" t="s">
        <v>364</v>
      </c>
      <c r="C1910" t="s">
        <v>2024</v>
      </c>
      <c r="D1910">
        <v>3</v>
      </c>
      <c r="E1910" s="16">
        <v>107.52</v>
      </c>
      <c r="F1910" s="1">
        <v>44915</v>
      </c>
      <c r="G1910" t="s">
        <v>2027</v>
      </c>
      <c r="H1910">
        <v>1</v>
      </c>
      <c r="I1910" s="12">
        <f>Table16[[#This Row],[price]]*Table16[[#This Row],[quantity]]</f>
        <v>322.56</v>
      </c>
    </row>
    <row r="1911" spans="1:9" x14ac:dyDescent="0.3">
      <c r="A1911" t="s">
        <v>3931</v>
      </c>
      <c r="B1911" t="s">
        <v>365</v>
      </c>
      <c r="C1911" t="s">
        <v>2001</v>
      </c>
      <c r="D1911">
        <v>4</v>
      </c>
      <c r="E1911" s="16">
        <v>1200.32</v>
      </c>
      <c r="F1911" s="1">
        <v>44252</v>
      </c>
      <c r="G1911" t="s">
        <v>2004</v>
      </c>
      <c r="H1911">
        <v>4</v>
      </c>
      <c r="I1911" s="12">
        <f>Table16[[#This Row],[price]]*Table16[[#This Row],[quantity]]</f>
        <v>4801.28</v>
      </c>
    </row>
    <row r="1912" spans="1:9" x14ac:dyDescent="0.3">
      <c r="A1912" t="s">
        <v>3927</v>
      </c>
      <c r="B1912" t="s">
        <v>365</v>
      </c>
      <c r="C1912" t="s">
        <v>2008</v>
      </c>
      <c r="D1912">
        <v>2</v>
      </c>
      <c r="E1912" s="16">
        <v>10.46</v>
      </c>
      <c r="F1912" s="1">
        <v>44558</v>
      </c>
      <c r="G1912" t="s">
        <v>2004</v>
      </c>
      <c r="H1912">
        <v>1</v>
      </c>
      <c r="I1912" s="12">
        <f>Table16[[#This Row],[price]]*Table16[[#This Row],[quantity]]</f>
        <v>20.92</v>
      </c>
    </row>
    <row r="1913" spans="1:9" x14ac:dyDescent="0.3">
      <c r="A1913" t="s">
        <v>3930</v>
      </c>
      <c r="B1913" t="s">
        <v>365</v>
      </c>
      <c r="C1913" t="s">
        <v>2008</v>
      </c>
      <c r="D1913">
        <v>4</v>
      </c>
      <c r="E1913" s="16">
        <v>20.92</v>
      </c>
      <c r="F1913" s="1">
        <v>44599</v>
      </c>
      <c r="G1913" t="s">
        <v>2027</v>
      </c>
      <c r="H1913">
        <v>2</v>
      </c>
      <c r="I1913" s="12">
        <f>Table16[[#This Row],[price]]*Table16[[#This Row],[quantity]]</f>
        <v>83.68</v>
      </c>
    </row>
    <row r="1914" spans="1:9" x14ac:dyDescent="0.3">
      <c r="A1914" t="s">
        <v>3932</v>
      </c>
      <c r="B1914" t="s">
        <v>365</v>
      </c>
      <c r="C1914" t="s">
        <v>2057</v>
      </c>
      <c r="D1914">
        <v>4</v>
      </c>
      <c r="E1914" s="16">
        <v>46.92</v>
      </c>
      <c r="F1914" s="1">
        <v>44648</v>
      </c>
      <c r="G1914" t="s">
        <v>2041</v>
      </c>
      <c r="H1914">
        <v>2</v>
      </c>
      <c r="I1914" s="12">
        <f>Table16[[#This Row],[price]]*Table16[[#This Row],[quantity]]</f>
        <v>187.68</v>
      </c>
    </row>
    <row r="1915" spans="1:9" x14ac:dyDescent="0.3">
      <c r="A1915" t="s">
        <v>3933</v>
      </c>
      <c r="B1915" t="s">
        <v>365</v>
      </c>
      <c r="C1915" t="s">
        <v>2011</v>
      </c>
      <c r="D1915">
        <v>4</v>
      </c>
      <c r="E1915" s="16">
        <v>162.63999999999999</v>
      </c>
      <c r="F1915" s="1">
        <v>44874</v>
      </c>
      <c r="G1915" t="s">
        <v>2012</v>
      </c>
      <c r="H1915">
        <v>5</v>
      </c>
      <c r="I1915" s="12">
        <f>Table16[[#This Row],[price]]*Table16[[#This Row],[quantity]]</f>
        <v>650.55999999999995</v>
      </c>
    </row>
    <row r="1916" spans="1:9" x14ac:dyDescent="0.3">
      <c r="A1916" t="s">
        <v>3929</v>
      </c>
      <c r="B1916" t="s">
        <v>365</v>
      </c>
      <c r="C1916" t="s">
        <v>2024</v>
      </c>
      <c r="D1916">
        <v>5</v>
      </c>
      <c r="E1916" s="16">
        <v>179.2</v>
      </c>
      <c r="F1916" s="1">
        <v>44905</v>
      </c>
      <c r="G1916" t="s">
        <v>2002</v>
      </c>
      <c r="H1916">
        <v>4</v>
      </c>
      <c r="I1916" s="12">
        <f>Table16[[#This Row],[price]]*Table16[[#This Row],[quantity]]</f>
        <v>896</v>
      </c>
    </row>
    <row r="1917" spans="1:9" x14ac:dyDescent="0.3">
      <c r="A1917" t="s">
        <v>3928</v>
      </c>
      <c r="B1917" t="s">
        <v>365</v>
      </c>
      <c r="C1917" t="s">
        <v>2057</v>
      </c>
      <c r="D1917">
        <v>2</v>
      </c>
      <c r="E1917" s="16">
        <v>23.46</v>
      </c>
      <c r="F1917" s="1">
        <v>44979</v>
      </c>
      <c r="G1917" t="s">
        <v>2041</v>
      </c>
      <c r="H1917">
        <v>4</v>
      </c>
      <c r="I1917" s="12">
        <f>Table16[[#This Row],[price]]*Table16[[#This Row],[quantity]]</f>
        <v>46.92</v>
      </c>
    </row>
    <row r="1918" spans="1:9" x14ac:dyDescent="0.3">
      <c r="A1918" t="s">
        <v>3936</v>
      </c>
      <c r="B1918" t="s">
        <v>366</v>
      </c>
      <c r="C1918" t="s">
        <v>2001</v>
      </c>
      <c r="D1918">
        <v>2</v>
      </c>
      <c r="E1918" s="16">
        <v>600.16</v>
      </c>
      <c r="F1918" s="1">
        <v>44283</v>
      </c>
      <c r="G1918" t="s">
        <v>2027</v>
      </c>
      <c r="H1918">
        <v>2</v>
      </c>
      <c r="I1918" s="12">
        <f>Table16[[#This Row],[price]]*Table16[[#This Row],[quantity]]</f>
        <v>1200.32</v>
      </c>
    </row>
    <row r="1919" spans="1:9" x14ac:dyDescent="0.3">
      <c r="A1919" t="s">
        <v>3935</v>
      </c>
      <c r="B1919" t="s">
        <v>366</v>
      </c>
      <c r="C1919" t="s">
        <v>2001</v>
      </c>
      <c r="D1919">
        <v>4</v>
      </c>
      <c r="E1919" s="16">
        <v>1200.32</v>
      </c>
      <c r="F1919" s="1">
        <v>44386</v>
      </c>
      <c r="G1919" t="s">
        <v>2027</v>
      </c>
      <c r="H1919">
        <v>3</v>
      </c>
      <c r="I1919" s="12">
        <f>Table16[[#This Row],[price]]*Table16[[#This Row],[quantity]]</f>
        <v>4801.28</v>
      </c>
    </row>
    <row r="1920" spans="1:9" x14ac:dyDescent="0.3">
      <c r="A1920" t="s">
        <v>3934</v>
      </c>
      <c r="B1920" t="s">
        <v>366</v>
      </c>
      <c r="C1920" t="s">
        <v>2001</v>
      </c>
      <c r="D1920">
        <v>3</v>
      </c>
      <c r="E1920" s="16">
        <v>900.24</v>
      </c>
      <c r="F1920" s="1">
        <v>44508</v>
      </c>
      <c r="G1920" t="s">
        <v>2027</v>
      </c>
      <c r="H1920">
        <v>1</v>
      </c>
      <c r="I1920" s="12">
        <f>Table16[[#This Row],[price]]*Table16[[#This Row],[quantity]]</f>
        <v>2700.7200000000003</v>
      </c>
    </row>
    <row r="1921" spans="1:9" x14ac:dyDescent="0.3">
      <c r="A1921" t="s">
        <v>3938</v>
      </c>
      <c r="B1921" t="s">
        <v>366</v>
      </c>
      <c r="C1921" t="s">
        <v>2011</v>
      </c>
      <c r="D1921">
        <v>3</v>
      </c>
      <c r="E1921" s="16">
        <v>121.98</v>
      </c>
      <c r="F1921" s="1">
        <v>44690</v>
      </c>
      <c r="G1921" t="s">
        <v>2064</v>
      </c>
      <c r="H1921">
        <v>4</v>
      </c>
      <c r="I1921" s="12">
        <f>Table16[[#This Row],[price]]*Table16[[#This Row],[quantity]]</f>
        <v>365.94</v>
      </c>
    </row>
    <row r="1922" spans="1:9" x14ac:dyDescent="0.3">
      <c r="A1922" t="s">
        <v>3937</v>
      </c>
      <c r="B1922" t="s">
        <v>366</v>
      </c>
      <c r="C1922" t="s">
        <v>2024</v>
      </c>
      <c r="D1922">
        <v>1</v>
      </c>
      <c r="E1922" s="16">
        <v>35.840000000000003</v>
      </c>
      <c r="F1922" s="1">
        <v>44902</v>
      </c>
      <c r="G1922" t="s">
        <v>2020</v>
      </c>
      <c r="H1922">
        <v>4</v>
      </c>
      <c r="I1922" s="12">
        <f>Table16[[#This Row],[price]]*Table16[[#This Row],[quantity]]</f>
        <v>35.840000000000003</v>
      </c>
    </row>
    <row r="1923" spans="1:9" x14ac:dyDescent="0.3">
      <c r="A1923" t="s">
        <v>3940</v>
      </c>
      <c r="B1923" t="s">
        <v>367</v>
      </c>
      <c r="C1923" t="s">
        <v>2001</v>
      </c>
      <c r="D1923">
        <v>2</v>
      </c>
      <c r="E1923" s="16">
        <v>600.16</v>
      </c>
      <c r="F1923" s="1">
        <v>44205</v>
      </c>
      <c r="G1923" t="s">
        <v>2002</v>
      </c>
      <c r="H1923">
        <v>1</v>
      </c>
      <c r="I1923" s="12">
        <f>Table16[[#This Row],[price]]*Table16[[#This Row],[quantity]]</f>
        <v>1200.32</v>
      </c>
    </row>
    <row r="1924" spans="1:9" x14ac:dyDescent="0.3">
      <c r="A1924" t="s">
        <v>3943</v>
      </c>
      <c r="B1924" t="s">
        <v>367</v>
      </c>
      <c r="C1924" t="s">
        <v>2008</v>
      </c>
      <c r="D1924">
        <v>2</v>
      </c>
      <c r="E1924" s="16">
        <v>10.46</v>
      </c>
      <c r="F1924" s="1">
        <v>44534</v>
      </c>
      <c r="G1924" t="s">
        <v>2009</v>
      </c>
      <c r="H1924">
        <v>5</v>
      </c>
      <c r="I1924" s="12">
        <f>Table16[[#This Row],[price]]*Table16[[#This Row],[quantity]]</f>
        <v>20.92</v>
      </c>
    </row>
    <row r="1925" spans="1:9" x14ac:dyDescent="0.3">
      <c r="A1925" t="s">
        <v>3942</v>
      </c>
      <c r="B1925" t="s">
        <v>367</v>
      </c>
      <c r="C1925" t="s">
        <v>2011</v>
      </c>
      <c r="D1925">
        <v>3</v>
      </c>
      <c r="E1925" s="16">
        <v>121.98</v>
      </c>
      <c r="F1925" s="1">
        <v>44592</v>
      </c>
      <c r="G1925" t="s">
        <v>2002</v>
      </c>
      <c r="H1925">
        <v>2</v>
      </c>
      <c r="I1925" s="12">
        <f>Table16[[#This Row],[price]]*Table16[[#This Row],[quantity]]</f>
        <v>365.94</v>
      </c>
    </row>
    <row r="1926" spans="1:9" x14ac:dyDescent="0.3">
      <c r="A1926" t="s">
        <v>3941</v>
      </c>
      <c r="B1926" t="s">
        <v>367</v>
      </c>
      <c r="C1926" t="s">
        <v>2008</v>
      </c>
      <c r="D1926">
        <v>1</v>
      </c>
      <c r="E1926" s="16">
        <v>5.23</v>
      </c>
      <c r="F1926" s="1">
        <v>44603</v>
      </c>
      <c r="G1926" t="s">
        <v>2064</v>
      </c>
      <c r="H1926">
        <v>3</v>
      </c>
      <c r="I1926" s="12">
        <f>Table16[[#This Row],[price]]*Table16[[#This Row],[quantity]]</f>
        <v>5.23</v>
      </c>
    </row>
    <row r="1927" spans="1:9" x14ac:dyDescent="0.3">
      <c r="A1927" t="s">
        <v>3939</v>
      </c>
      <c r="B1927" t="s">
        <v>367</v>
      </c>
      <c r="C1927" t="s">
        <v>2024</v>
      </c>
      <c r="D1927">
        <v>1</v>
      </c>
      <c r="E1927" s="16">
        <v>35.840000000000003</v>
      </c>
      <c r="F1927" s="1">
        <v>44909</v>
      </c>
      <c r="G1927" t="s">
        <v>2064</v>
      </c>
      <c r="H1927">
        <v>3</v>
      </c>
      <c r="I1927" s="12">
        <f>Table16[[#This Row],[price]]*Table16[[#This Row],[quantity]]</f>
        <v>35.840000000000003</v>
      </c>
    </row>
    <row r="1928" spans="1:9" x14ac:dyDescent="0.3">
      <c r="A1928" t="s">
        <v>3948</v>
      </c>
      <c r="B1928" t="s">
        <v>368</v>
      </c>
      <c r="C1928" t="s">
        <v>2001</v>
      </c>
      <c r="D1928">
        <v>3</v>
      </c>
      <c r="E1928" s="16">
        <v>900.24</v>
      </c>
      <c r="F1928" s="1">
        <v>44504</v>
      </c>
      <c r="G1928" t="s">
        <v>2002</v>
      </c>
      <c r="H1928">
        <v>1</v>
      </c>
      <c r="I1928" s="12">
        <f>Table16[[#This Row],[price]]*Table16[[#This Row],[quantity]]</f>
        <v>2700.7200000000003</v>
      </c>
    </row>
    <row r="1929" spans="1:9" x14ac:dyDescent="0.3">
      <c r="A1929" t="s">
        <v>3945</v>
      </c>
      <c r="B1929" t="s">
        <v>368</v>
      </c>
      <c r="C1929" t="s">
        <v>2015</v>
      </c>
      <c r="D1929">
        <v>1</v>
      </c>
      <c r="E1929" s="16">
        <v>600.16999999999996</v>
      </c>
      <c r="F1929" s="1">
        <v>44850</v>
      </c>
      <c r="G1929" t="s">
        <v>2004</v>
      </c>
      <c r="H1929">
        <v>1</v>
      </c>
      <c r="I1929" s="12">
        <f>Table16[[#This Row],[price]]*Table16[[#This Row],[quantity]]</f>
        <v>600.16999999999996</v>
      </c>
    </row>
    <row r="1930" spans="1:9" x14ac:dyDescent="0.3">
      <c r="A1930" t="s">
        <v>3947</v>
      </c>
      <c r="B1930" t="s">
        <v>368</v>
      </c>
      <c r="C1930" t="s">
        <v>2006</v>
      </c>
      <c r="D1930">
        <v>1</v>
      </c>
      <c r="E1930" s="16">
        <v>15.15</v>
      </c>
      <c r="F1930" s="1">
        <v>44887</v>
      </c>
      <c r="G1930" t="s">
        <v>2027</v>
      </c>
      <c r="H1930">
        <v>4</v>
      </c>
      <c r="I1930" s="12">
        <f>Table16[[#This Row],[price]]*Table16[[#This Row],[quantity]]</f>
        <v>15.15</v>
      </c>
    </row>
    <row r="1931" spans="1:9" x14ac:dyDescent="0.3">
      <c r="A1931" t="s">
        <v>3946</v>
      </c>
      <c r="B1931" t="s">
        <v>368</v>
      </c>
      <c r="C1931" t="s">
        <v>2001</v>
      </c>
      <c r="D1931">
        <v>2</v>
      </c>
      <c r="E1931" s="16">
        <v>600.16</v>
      </c>
      <c r="F1931" s="1">
        <v>44890</v>
      </c>
      <c r="G1931" t="s">
        <v>2027</v>
      </c>
      <c r="H1931">
        <v>5</v>
      </c>
      <c r="I1931" s="12">
        <f>Table16[[#This Row],[price]]*Table16[[#This Row],[quantity]]</f>
        <v>1200.32</v>
      </c>
    </row>
    <row r="1932" spans="1:9" x14ac:dyDescent="0.3">
      <c r="A1932" t="s">
        <v>3949</v>
      </c>
      <c r="B1932" t="s">
        <v>368</v>
      </c>
      <c r="C1932" t="s">
        <v>2011</v>
      </c>
      <c r="D1932">
        <v>5</v>
      </c>
      <c r="E1932" s="16">
        <v>203.3</v>
      </c>
      <c r="F1932" s="1">
        <v>44950</v>
      </c>
      <c r="G1932" t="s">
        <v>2027</v>
      </c>
      <c r="H1932">
        <v>2</v>
      </c>
      <c r="I1932" s="12">
        <f>Table16[[#This Row],[price]]*Table16[[#This Row],[quantity]]</f>
        <v>1016.5</v>
      </c>
    </row>
    <row r="1933" spans="1:9" x14ac:dyDescent="0.3">
      <c r="A1933" t="s">
        <v>3944</v>
      </c>
      <c r="B1933" t="s">
        <v>368</v>
      </c>
      <c r="C1933" t="s">
        <v>2015</v>
      </c>
      <c r="D1933">
        <v>2</v>
      </c>
      <c r="E1933" s="16">
        <v>1200.3399999999999</v>
      </c>
      <c r="F1933" s="1">
        <v>44973</v>
      </c>
      <c r="G1933" t="s">
        <v>2004</v>
      </c>
      <c r="H1933">
        <v>2</v>
      </c>
      <c r="I1933" s="12">
        <f>Table16[[#This Row],[price]]*Table16[[#This Row],[quantity]]</f>
        <v>2400.6799999999998</v>
      </c>
    </row>
    <row r="1934" spans="1:9" x14ac:dyDescent="0.3">
      <c r="A1934" t="s">
        <v>3953</v>
      </c>
      <c r="B1934" t="s">
        <v>369</v>
      </c>
      <c r="C1934" t="s">
        <v>2001</v>
      </c>
      <c r="D1934">
        <v>2</v>
      </c>
      <c r="E1934" s="16">
        <v>600.16</v>
      </c>
      <c r="F1934" s="1">
        <v>44243</v>
      </c>
      <c r="G1934" t="s">
        <v>2020</v>
      </c>
      <c r="H1934">
        <v>4</v>
      </c>
      <c r="I1934" s="12">
        <f>Table16[[#This Row],[price]]*Table16[[#This Row],[quantity]]</f>
        <v>1200.32</v>
      </c>
    </row>
    <row r="1935" spans="1:9" x14ac:dyDescent="0.3">
      <c r="A1935" t="s">
        <v>3956</v>
      </c>
      <c r="B1935" t="s">
        <v>369</v>
      </c>
      <c r="C1935" t="s">
        <v>2001</v>
      </c>
      <c r="D1935">
        <v>1</v>
      </c>
      <c r="E1935" s="16">
        <v>300.08</v>
      </c>
      <c r="F1935" s="1">
        <v>44347</v>
      </c>
      <c r="G1935" t="s">
        <v>2027</v>
      </c>
      <c r="H1935">
        <v>5</v>
      </c>
      <c r="I1935" s="12">
        <f>Table16[[#This Row],[price]]*Table16[[#This Row],[quantity]]</f>
        <v>300.08</v>
      </c>
    </row>
    <row r="1936" spans="1:9" x14ac:dyDescent="0.3">
      <c r="A1936" t="s">
        <v>3950</v>
      </c>
      <c r="B1936" t="s">
        <v>369</v>
      </c>
      <c r="C1936" t="s">
        <v>2057</v>
      </c>
      <c r="D1936">
        <v>4</v>
      </c>
      <c r="E1936" s="16">
        <v>46.92</v>
      </c>
      <c r="F1936" s="1">
        <v>44357</v>
      </c>
      <c r="G1936" t="s">
        <v>2002</v>
      </c>
      <c r="H1936">
        <v>2</v>
      </c>
      <c r="I1936" s="12">
        <f>Table16[[#This Row],[price]]*Table16[[#This Row],[quantity]]</f>
        <v>187.68</v>
      </c>
    </row>
    <row r="1937" spans="1:9" x14ac:dyDescent="0.3">
      <c r="A1937" t="s">
        <v>3957</v>
      </c>
      <c r="B1937" t="s">
        <v>369</v>
      </c>
      <c r="C1937" t="s">
        <v>2024</v>
      </c>
      <c r="D1937">
        <v>2</v>
      </c>
      <c r="E1937" s="16">
        <v>71.680000000000007</v>
      </c>
      <c r="F1937" s="1">
        <v>44375</v>
      </c>
      <c r="G1937" t="s">
        <v>2027</v>
      </c>
      <c r="H1937">
        <v>1</v>
      </c>
      <c r="I1937" s="12">
        <f>Table16[[#This Row],[price]]*Table16[[#This Row],[quantity]]</f>
        <v>143.36000000000001</v>
      </c>
    </row>
    <row r="1938" spans="1:9" x14ac:dyDescent="0.3">
      <c r="A1938" t="s">
        <v>3955</v>
      </c>
      <c r="B1938" t="s">
        <v>369</v>
      </c>
      <c r="C1938" t="s">
        <v>2024</v>
      </c>
      <c r="D1938">
        <v>1</v>
      </c>
      <c r="E1938" s="16">
        <v>35.840000000000003</v>
      </c>
      <c r="F1938" s="1">
        <v>44422</v>
      </c>
      <c r="G1938" t="s">
        <v>2002</v>
      </c>
      <c r="H1938">
        <v>5</v>
      </c>
      <c r="I1938" s="12">
        <f>Table16[[#This Row],[price]]*Table16[[#This Row],[quantity]]</f>
        <v>35.840000000000003</v>
      </c>
    </row>
    <row r="1939" spans="1:9" x14ac:dyDescent="0.3">
      <c r="A1939" t="s">
        <v>3952</v>
      </c>
      <c r="B1939" t="s">
        <v>369</v>
      </c>
      <c r="C1939" t="s">
        <v>2008</v>
      </c>
      <c r="D1939">
        <v>5</v>
      </c>
      <c r="E1939" s="16">
        <v>26.15</v>
      </c>
      <c r="F1939" s="1">
        <v>44658</v>
      </c>
      <c r="G1939" t="s">
        <v>2027</v>
      </c>
      <c r="H1939">
        <v>1</v>
      </c>
      <c r="I1939" s="12">
        <f>Table16[[#This Row],[price]]*Table16[[#This Row],[quantity]]</f>
        <v>130.75</v>
      </c>
    </row>
    <row r="1940" spans="1:9" x14ac:dyDescent="0.3">
      <c r="A1940" t="s">
        <v>3954</v>
      </c>
      <c r="B1940" t="s">
        <v>369</v>
      </c>
      <c r="C1940" t="s">
        <v>2057</v>
      </c>
      <c r="D1940">
        <v>1</v>
      </c>
      <c r="E1940" s="16">
        <v>11.73</v>
      </c>
      <c r="F1940" s="1">
        <v>44793</v>
      </c>
      <c r="G1940" t="s">
        <v>2004</v>
      </c>
      <c r="H1940">
        <v>1</v>
      </c>
      <c r="I1940" s="12">
        <f>Table16[[#This Row],[price]]*Table16[[#This Row],[quantity]]</f>
        <v>11.73</v>
      </c>
    </row>
    <row r="1941" spans="1:9" x14ac:dyDescent="0.3">
      <c r="A1941" t="s">
        <v>3951</v>
      </c>
      <c r="B1941" t="s">
        <v>369</v>
      </c>
      <c r="C1941" t="s">
        <v>2001</v>
      </c>
      <c r="D1941">
        <v>1</v>
      </c>
      <c r="E1941" s="16">
        <v>300.08</v>
      </c>
      <c r="F1941" s="1">
        <v>44848</v>
      </c>
      <c r="G1941" t="s">
        <v>2004</v>
      </c>
      <c r="H1941">
        <v>3</v>
      </c>
      <c r="I1941" s="12">
        <f>Table16[[#This Row],[price]]*Table16[[#This Row],[quantity]]</f>
        <v>300.08</v>
      </c>
    </row>
    <row r="1942" spans="1:9" x14ac:dyDescent="0.3">
      <c r="A1942" t="s">
        <v>3963</v>
      </c>
      <c r="B1942" t="s">
        <v>370</v>
      </c>
      <c r="C1942" t="s">
        <v>2024</v>
      </c>
      <c r="D1942">
        <v>4</v>
      </c>
      <c r="E1942" s="16">
        <v>143.36000000000001</v>
      </c>
      <c r="F1942" s="1">
        <v>44269</v>
      </c>
      <c r="G1942" t="s">
        <v>2027</v>
      </c>
      <c r="H1942">
        <v>5</v>
      </c>
      <c r="I1942" s="12">
        <f>Table16[[#This Row],[price]]*Table16[[#This Row],[quantity]]</f>
        <v>573.44000000000005</v>
      </c>
    </row>
    <row r="1943" spans="1:9" x14ac:dyDescent="0.3">
      <c r="A1943" t="s">
        <v>3959</v>
      </c>
      <c r="B1943" t="s">
        <v>370</v>
      </c>
      <c r="C1943" t="s">
        <v>2015</v>
      </c>
      <c r="D1943">
        <v>3</v>
      </c>
      <c r="E1943" s="16">
        <v>1800.51</v>
      </c>
      <c r="F1943" s="1">
        <v>44336</v>
      </c>
      <c r="G1943" t="s">
        <v>2002</v>
      </c>
      <c r="H1943">
        <v>3</v>
      </c>
      <c r="I1943" s="12">
        <f>Table16[[#This Row],[price]]*Table16[[#This Row],[quantity]]</f>
        <v>5401.53</v>
      </c>
    </row>
    <row r="1944" spans="1:9" x14ac:dyDescent="0.3">
      <c r="A1944" t="s">
        <v>3962</v>
      </c>
      <c r="B1944" t="s">
        <v>370</v>
      </c>
      <c r="C1944" t="s">
        <v>2024</v>
      </c>
      <c r="D1944">
        <v>3</v>
      </c>
      <c r="E1944" s="16">
        <v>107.52</v>
      </c>
      <c r="F1944" s="1">
        <v>44421</v>
      </c>
      <c r="G1944" t="s">
        <v>2027</v>
      </c>
      <c r="H1944">
        <v>5</v>
      </c>
      <c r="I1944" s="12">
        <f>Table16[[#This Row],[price]]*Table16[[#This Row],[quantity]]</f>
        <v>322.56</v>
      </c>
    </row>
    <row r="1945" spans="1:9" x14ac:dyDescent="0.3">
      <c r="A1945" t="s">
        <v>3960</v>
      </c>
      <c r="B1945" t="s">
        <v>370</v>
      </c>
      <c r="C1945" t="s">
        <v>2008</v>
      </c>
      <c r="D1945">
        <v>5</v>
      </c>
      <c r="E1945" s="16">
        <v>26.15</v>
      </c>
      <c r="F1945" s="1">
        <v>44535</v>
      </c>
      <c r="G1945" t="s">
        <v>2027</v>
      </c>
      <c r="H1945">
        <v>2</v>
      </c>
      <c r="I1945" s="12">
        <f>Table16[[#This Row],[price]]*Table16[[#This Row],[quantity]]</f>
        <v>130.75</v>
      </c>
    </row>
    <row r="1946" spans="1:9" x14ac:dyDescent="0.3">
      <c r="A1946" t="s">
        <v>3961</v>
      </c>
      <c r="B1946" t="s">
        <v>370</v>
      </c>
      <c r="C1946" t="s">
        <v>2017</v>
      </c>
      <c r="D1946">
        <v>3</v>
      </c>
      <c r="E1946" s="16">
        <v>3150</v>
      </c>
      <c r="F1946" s="1">
        <v>44707</v>
      </c>
      <c r="G1946" t="s">
        <v>2058</v>
      </c>
      <c r="H1946">
        <v>5</v>
      </c>
      <c r="I1946" s="12">
        <f>Table16[[#This Row],[price]]*Table16[[#This Row],[quantity]]</f>
        <v>9450</v>
      </c>
    </row>
    <row r="1947" spans="1:9" x14ac:dyDescent="0.3">
      <c r="A1947" t="s">
        <v>3958</v>
      </c>
      <c r="B1947" t="s">
        <v>370</v>
      </c>
      <c r="C1947" t="s">
        <v>2008</v>
      </c>
      <c r="D1947">
        <v>5</v>
      </c>
      <c r="E1947" s="16">
        <v>26.15</v>
      </c>
      <c r="F1947" s="1">
        <v>44792</v>
      </c>
      <c r="G1947" t="s">
        <v>2018</v>
      </c>
      <c r="H1947">
        <v>3</v>
      </c>
      <c r="I1947" s="12">
        <f>Table16[[#This Row],[price]]*Table16[[#This Row],[quantity]]</f>
        <v>130.75</v>
      </c>
    </row>
    <row r="1948" spans="1:9" x14ac:dyDescent="0.3">
      <c r="A1948" t="s">
        <v>3966</v>
      </c>
      <c r="B1948" t="s">
        <v>371</v>
      </c>
      <c r="C1948" t="s">
        <v>2001</v>
      </c>
      <c r="D1948">
        <v>4</v>
      </c>
      <c r="E1948" s="16">
        <v>1200.32</v>
      </c>
      <c r="F1948" s="1">
        <v>44402</v>
      </c>
      <c r="G1948" t="s">
        <v>2004</v>
      </c>
      <c r="H1948">
        <v>5</v>
      </c>
      <c r="I1948" s="12">
        <f>Table16[[#This Row],[price]]*Table16[[#This Row],[quantity]]</f>
        <v>4801.28</v>
      </c>
    </row>
    <row r="1949" spans="1:9" x14ac:dyDescent="0.3">
      <c r="A1949" t="s">
        <v>3967</v>
      </c>
      <c r="B1949" t="s">
        <v>371</v>
      </c>
      <c r="C1949" t="s">
        <v>2011</v>
      </c>
      <c r="D1949">
        <v>2</v>
      </c>
      <c r="E1949" s="16">
        <v>81.319999999999993</v>
      </c>
      <c r="F1949" s="1">
        <v>44437</v>
      </c>
      <c r="G1949" t="s">
        <v>2041</v>
      </c>
      <c r="H1949">
        <v>4</v>
      </c>
      <c r="I1949" s="12">
        <f>Table16[[#This Row],[price]]*Table16[[#This Row],[quantity]]</f>
        <v>162.63999999999999</v>
      </c>
    </row>
    <row r="1950" spans="1:9" x14ac:dyDescent="0.3">
      <c r="A1950" t="s">
        <v>3965</v>
      </c>
      <c r="B1950" t="s">
        <v>371</v>
      </c>
      <c r="C1950" t="s">
        <v>2011</v>
      </c>
      <c r="D1950">
        <v>4</v>
      </c>
      <c r="E1950" s="16">
        <v>162.63999999999999</v>
      </c>
      <c r="F1950" s="1">
        <v>44490</v>
      </c>
      <c r="G1950" t="s">
        <v>2004</v>
      </c>
      <c r="H1950">
        <v>4</v>
      </c>
      <c r="I1950" s="12">
        <f>Table16[[#This Row],[price]]*Table16[[#This Row],[quantity]]</f>
        <v>650.55999999999995</v>
      </c>
    </row>
    <row r="1951" spans="1:9" x14ac:dyDescent="0.3">
      <c r="A1951" t="s">
        <v>3968</v>
      </c>
      <c r="B1951" t="s">
        <v>371</v>
      </c>
      <c r="C1951" t="s">
        <v>2011</v>
      </c>
      <c r="D1951">
        <v>3</v>
      </c>
      <c r="E1951" s="16">
        <v>121.98</v>
      </c>
      <c r="F1951" s="1">
        <v>44498</v>
      </c>
      <c r="G1951" t="s">
        <v>2041</v>
      </c>
      <c r="H1951">
        <v>3</v>
      </c>
      <c r="I1951" s="12">
        <f>Table16[[#This Row],[price]]*Table16[[#This Row],[quantity]]</f>
        <v>365.94</v>
      </c>
    </row>
    <row r="1952" spans="1:9" x14ac:dyDescent="0.3">
      <c r="A1952" t="s">
        <v>3964</v>
      </c>
      <c r="B1952" t="s">
        <v>371</v>
      </c>
      <c r="C1952" t="s">
        <v>2015</v>
      </c>
      <c r="D1952">
        <v>3</v>
      </c>
      <c r="E1952" s="16">
        <v>1800.51</v>
      </c>
      <c r="F1952" s="1">
        <v>44562</v>
      </c>
      <c r="G1952" t="s">
        <v>2027</v>
      </c>
      <c r="H1952">
        <v>2</v>
      </c>
      <c r="I1952" s="12">
        <f>Table16[[#This Row],[price]]*Table16[[#This Row],[quantity]]</f>
        <v>5401.53</v>
      </c>
    </row>
    <row r="1953" spans="1:9" x14ac:dyDescent="0.3">
      <c r="A1953" t="s">
        <v>3971</v>
      </c>
      <c r="B1953" t="s">
        <v>372</v>
      </c>
      <c r="C1953" t="s">
        <v>2008</v>
      </c>
      <c r="D1953">
        <v>1</v>
      </c>
      <c r="E1953" s="16">
        <v>5.23</v>
      </c>
      <c r="F1953" s="1">
        <v>44348</v>
      </c>
      <c r="G1953" t="s">
        <v>2041</v>
      </c>
      <c r="H1953">
        <v>2</v>
      </c>
      <c r="I1953" s="12">
        <f>Table16[[#This Row],[price]]*Table16[[#This Row],[quantity]]</f>
        <v>5.23</v>
      </c>
    </row>
    <row r="1954" spans="1:9" x14ac:dyDescent="0.3">
      <c r="A1954" t="s">
        <v>3969</v>
      </c>
      <c r="B1954" t="s">
        <v>372</v>
      </c>
      <c r="C1954" t="s">
        <v>2024</v>
      </c>
      <c r="D1954">
        <v>4</v>
      </c>
      <c r="E1954" s="16">
        <v>143.36000000000001</v>
      </c>
      <c r="F1954" s="1">
        <v>44549</v>
      </c>
      <c r="G1954" t="s">
        <v>2004</v>
      </c>
      <c r="H1954">
        <v>3</v>
      </c>
      <c r="I1954" s="12">
        <f>Table16[[#This Row],[price]]*Table16[[#This Row],[quantity]]</f>
        <v>573.44000000000005</v>
      </c>
    </row>
    <row r="1955" spans="1:9" x14ac:dyDescent="0.3">
      <c r="A1955" t="s">
        <v>3970</v>
      </c>
      <c r="B1955" t="s">
        <v>372</v>
      </c>
      <c r="C1955" t="s">
        <v>2008</v>
      </c>
      <c r="D1955">
        <v>3</v>
      </c>
      <c r="E1955" s="16">
        <v>15.69</v>
      </c>
      <c r="F1955" s="1">
        <v>44631</v>
      </c>
      <c r="G1955" t="s">
        <v>2041</v>
      </c>
      <c r="H1955">
        <v>2</v>
      </c>
      <c r="I1955" s="12">
        <f>Table16[[#This Row],[price]]*Table16[[#This Row],[quantity]]</f>
        <v>47.07</v>
      </c>
    </row>
    <row r="1956" spans="1:9" x14ac:dyDescent="0.3">
      <c r="A1956" t="s">
        <v>3972</v>
      </c>
      <c r="B1956" t="s">
        <v>372</v>
      </c>
      <c r="C1956" t="s">
        <v>2001</v>
      </c>
      <c r="D1956">
        <v>4</v>
      </c>
      <c r="E1956" s="16">
        <v>1200.32</v>
      </c>
      <c r="F1956" s="1">
        <v>44829</v>
      </c>
      <c r="G1956" t="s">
        <v>2004</v>
      </c>
      <c r="H1956">
        <v>3</v>
      </c>
      <c r="I1956" s="12">
        <f>Table16[[#This Row],[price]]*Table16[[#This Row],[quantity]]</f>
        <v>4801.28</v>
      </c>
    </row>
    <row r="1957" spans="1:9" x14ac:dyDescent="0.3">
      <c r="A1957" t="s">
        <v>3973</v>
      </c>
      <c r="B1957" t="s">
        <v>372</v>
      </c>
      <c r="C1957" t="s">
        <v>2001</v>
      </c>
      <c r="D1957">
        <v>3</v>
      </c>
      <c r="E1957" s="16">
        <v>900.24</v>
      </c>
      <c r="F1957" s="1">
        <v>44872</v>
      </c>
      <c r="G1957" t="s">
        <v>2064</v>
      </c>
      <c r="H1957">
        <v>5</v>
      </c>
      <c r="I1957" s="12">
        <f>Table16[[#This Row],[price]]*Table16[[#This Row],[quantity]]</f>
        <v>2700.7200000000003</v>
      </c>
    </row>
    <row r="1958" spans="1:9" x14ac:dyDescent="0.3">
      <c r="A1958" t="s">
        <v>3974</v>
      </c>
      <c r="B1958" t="s">
        <v>373</v>
      </c>
      <c r="C1958" t="s">
        <v>2001</v>
      </c>
      <c r="D1958">
        <v>1</v>
      </c>
      <c r="E1958" s="16">
        <v>300.08</v>
      </c>
      <c r="F1958" s="1">
        <v>44255</v>
      </c>
      <c r="G1958" t="s">
        <v>2018</v>
      </c>
      <c r="H1958">
        <v>1</v>
      </c>
      <c r="I1958" s="12">
        <f>Table16[[#This Row],[price]]*Table16[[#This Row],[quantity]]</f>
        <v>300.08</v>
      </c>
    </row>
    <row r="1959" spans="1:9" x14ac:dyDescent="0.3">
      <c r="A1959" t="s">
        <v>3975</v>
      </c>
      <c r="B1959" t="s">
        <v>373</v>
      </c>
      <c r="C1959" t="s">
        <v>2024</v>
      </c>
      <c r="D1959">
        <v>2</v>
      </c>
      <c r="E1959" s="16">
        <v>71.680000000000007</v>
      </c>
      <c r="F1959" s="1">
        <v>44654</v>
      </c>
      <c r="G1959" t="s">
        <v>2064</v>
      </c>
      <c r="H1959">
        <v>1</v>
      </c>
      <c r="I1959" s="12">
        <f>Table16[[#This Row],[price]]*Table16[[#This Row],[quantity]]</f>
        <v>143.36000000000001</v>
      </c>
    </row>
    <row r="1960" spans="1:9" x14ac:dyDescent="0.3">
      <c r="A1960" t="s">
        <v>3977</v>
      </c>
      <c r="B1960" t="s">
        <v>373</v>
      </c>
      <c r="C1960" t="s">
        <v>2008</v>
      </c>
      <c r="D1960">
        <v>3</v>
      </c>
      <c r="E1960" s="16">
        <v>15.69</v>
      </c>
      <c r="F1960" s="1">
        <v>44726</v>
      </c>
      <c r="G1960" t="s">
        <v>2012</v>
      </c>
      <c r="H1960">
        <v>1</v>
      </c>
      <c r="I1960" s="12">
        <f>Table16[[#This Row],[price]]*Table16[[#This Row],[quantity]]</f>
        <v>47.07</v>
      </c>
    </row>
    <row r="1961" spans="1:9" x14ac:dyDescent="0.3">
      <c r="A1961" t="s">
        <v>3976</v>
      </c>
      <c r="B1961" t="s">
        <v>373</v>
      </c>
      <c r="C1961" t="s">
        <v>2001</v>
      </c>
      <c r="D1961">
        <v>5</v>
      </c>
      <c r="E1961" s="16">
        <v>1500.4</v>
      </c>
      <c r="F1961" s="1">
        <v>44923</v>
      </c>
      <c r="G1961" t="s">
        <v>2002</v>
      </c>
      <c r="H1961">
        <v>4</v>
      </c>
      <c r="I1961" s="12">
        <f>Table16[[#This Row],[price]]*Table16[[#This Row],[quantity]]</f>
        <v>7502</v>
      </c>
    </row>
    <row r="1962" spans="1:9" x14ac:dyDescent="0.3">
      <c r="A1962" t="s">
        <v>3978</v>
      </c>
      <c r="B1962" t="s">
        <v>374</v>
      </c>
      <c r="C1962" t="s">
        <v>2001</v>
      </c>
      <c r="D1962">
        <v>5</v>
      </c>
      <c r="E1962" s="16">
        <v>1500.4</v>
      </c>
      <c r="F1962" s="1">
        <v>44314</v>
      </c>
      <c r="G1962" t="s">
        <v>2020</v>
      </c>
      <c r="H1962">
        <v>3</v>
      </c>
      <c r="I1962" s="12">
        <f>Table16[[#This Row],[price]]*Table16[[#This Row],[quantity]]</f>
        <v>7502</v>
      </c>
    </row>
    <row r="1963" spans="1:9" x14ac:dyDescent="0.3">
      <c r="A1963" t="s">
        <v>3979</v>
      </c>
      <c r="B1963" t="s">
        <v>374</v>
      </c>
      <c r="C1963" t="s">
        <v>2024</v>
      </c>
      <c r="D1963">
        <v>5</v>
      </c>
      <c r="E1963" s="16">
        <v>179.2</v>
      </c>
      <c r="F1963" s="1">
        <v>44461</v>
      </c>
      <c r="G1963" t="s">
        <v>2064</v>
      </c>
      <c r="H1963">
        <v>3</v>
      </c>
      <c r="I1963" s="12">
        <f>Table16[[#This Row],[price]]*Table16[[#This Row],[quantity]]</f>
        <v>896</v>
      </c>
    </row>
    <row r="1964" spans="1:9" x14ac:dyDescent="0.3">
      <c r="A1964" t="s">
        <v>3980</v>
      </c>
      <c r="B1964" t="s">
        <v>374</v>
      </c>
      <c r="C1964" t="s">
        <v>2001</v>
      </c>
      <c r="D1964">
        <v>4</v>
      </c>
      <c r="E1964" s="16">
        <v>1200.32</v>
      </c>
      <c r="F1964" s="1">
        <v>44726</v>
      </c>
      <c r="G1964" t="s">
        <v>2012</v>
      </c>
      <c r="H1964">
        <v>2</v>
      </c>
      <c r="I1964" s="12">
        <f>Table16[[#This Row],[price]]*Table16[[#This Row],[quantity]]</f>
        <v>4801.28</v>
      </c>
    </row>
    <row r="1965" spans="1:9" x14ac:dyDescent="0.3">
      <c r="A1965" t="s">
        <v>3981</v>
      </c>
      <c r="B1965" t="s">
        <v>374</v>
      </c>
      <c r="C1965" t="s">
        <v>2011</v>
      </c>
      <c r="D1965">
        <v>5</v>
      </c>
      <c r="E1965" s="16">
        <v>203.3</v>
      </c>
      <c r="F1965" s="1">
        <v>44781</v>
      </c>
      <c r="G1965" t="s">
        <v>2027</v>
      </c>
      <c r="H1965">
        <v>2</v>
      </c>
      <c r="I1965" s="12">
        <f>Table16[[#This Row],[price]]*Table16[[#This Row],[quantity]]</f>
        <v>1016.5</v>
      </c>
    </row>
    <row r="1966" spans="1:9" x14ac:dyDescent="0.3">
      <c r="A1966" t="s">
        <v>3989</v>
      </c>
      <c r="B1966" t="s">
        <v>375</v>
      </c>
      <c r="C1966" t="s">
        <v>2001</v>
      </c>
      <c r="D1966">
        <v>2</v>
      </c>
      <c r="E1966" s="16">
        <v>600.16</v>
      </c>
      <c r="F1966" s="1">
        <v>44254</v>
      </c>
      <c r="G1966" t="s">
        <v>2020</v>
      </c>
      <c r="H1966">
        <v>2</v>
      </c>
      <c r="I1966" s="12">
        <f>Table16[[#This Row],[price]]*Table16[[#This Row],[quantity]]</f>
        <v>1200.32</v>
      </c>
    </row>
    <row r="1967" spans="1:9" x14ac:dyDescent="0.3">
      <c r="A1967" t="s">
        <v>3986</v>
      </c>
      <c r="B1967" t="s">
        <v>375</v>
      </c>
      <c r="C1967" t="s">
        <v>2024</v>
      </c>
      <c r="D1967">
        <v>5</v>
      </c>
      <c r="E1967" s="16">
        <v>179.2</v>
      </c>
      <c r="F1967" s="1">
        <v>44276</v>
      </c>
      <c r="G1967" t="s">
        <v>2002</v>
      </c>
      <c r="H1967">
        <v>2</v>
      </c>
      <c r="I1967" s="12">
        <f>Table16[[#This Row],[price]]*Table16[[#This Row],[quantity]]</f>
        <v>896</v>
      </c>
    </row>
    <row r="1968" spans="1:9" x14ac:dyDescent="0.3">
      <c r="A1968" t="s">
        <v>3985</v>
      </c>
      <c r="B1968" t="s">
        <v>375</v>
      </c>
      <c r="C1968" t="s">
        <v>2001</v>
      </c>
      <c r="D1968">
        <v>5</v>
      </c>
      <c r="E1968" s="16">
        <v>1500.4</v>
      </c>
      <c r="F1968" s="1">
        <v>44315</v>
      </c>
      <c r="G1968" t="s">
        <v>2058</v>
      </c>
      <c r="H1968">
        <v>4</v>
      </c>
      <c r="I1968" s="12">
        <f>Table16[[#This Row],[price]]*Table16[[#This Row],[quantity]]</f>
        <v>7502</v>
      </c>
    </row>
    <row r="1969" spans="1:9" x14ac:dyDescent="0.3">
      <c r="A1969" t="s">
        <v>3988</v>
      </c>
      <c r="B1969" t="s">
        <v>375</v>
      </c>
      <c r="C1969" t="s">
        <v>2008</v>
      </c>
      <c r="D1969">
        <v>3</v>
      </c>
      <c r="E1969" s="16">
        <v>15.69</v>
      </c>
      <c r="F1969" s="1">
        <v>44354</v>
      </c>
      <c r="G1969" t="s">
        <v>2004</v>
      </c>
      <c r="H1969">
        <v>3</v>
      </c>
      <c r="I1969" s="12">
        <f>Table16[[#This Row],[price]]*Table16[[#This Row],[quantity]]</f>
        <v>47.07</v>
      </c>
    </row>
    <row r="1970" spans="1:9" x14ac:dyDescent="0.3">
      <c r="A1970" t="s">
        <v>3987</v>
      </c>
      <c r="B1970" t="s">
        <v>375</v>
      </c>
      <c r="C1970" t="s">
        <v>2008</v>
      </c>
      <c r="D1970">
        <v>2</v>
      </c>
      <c r="E1970" s="16">
        <v>10.46</v>
      </c>
      <c r="F1970" s="1">
        <v>44575</v>
      </c>
      <c r="G1970" t="s">
        <v>2004</v>
      </c>
      <c r="H1970">
        <v>3</v>
      </c>
      <c r="I1970" s="12">
        <f>Table16[[#This Row],[price]]*Table16[[#This Row],[quantity]]</f>
        <v>20.92</v>
      </c>
    </row>
    <row r="1971" spans="1:9" x14ac:dyDescent="0.3">
      <c r="A1971" t="s">
        <v>3984</v>
      </c>
      <c r="B1971" t="s">
        <v>375</v>
      </c>
      <c r="C1971" t="s">
        <v>2008</v>
      </c>
      <c r="D1971">
        <v>3</v>
      </c>
      <c r="E1971" s="16">
        <v>15.69</v>
      </c>
      <c r="F1971" s="1">
        <v>44597</v>
      </c>
      <c r="G1971" t="s">
        <v>2002</v>
      </c>
      <c r="H1971">
        <v>5</v>
      </c>
      <c r="I1971" s="12">
        <f>Table16[[#This Row],[price]]*Table16[[#This Row],[quantity]]</f>
        <v>47.07</v>
      </c>
    </row>
    <row r="1972" spans="1:9" x14ac:dyDescent="0.3">
      <c r="A1972" t="s">
        <v>3983</v>
      </c>
      <c r="B1972" t="s">
        <v>375</v>
      </c>
      <c r="C1972" t="s">
        <v>2001</v>
      </c>
      <c r="D1972">
        <v>2</v>
      </c>
      <c r="E1972" s="16">
        <v>600.16</v>
      </c>
      <c r="F1972" s="1">
        <v>44876</v>
      </c>
      <c r="G1972" t="s">
        <v>2064</v>
      </c>
      <c r="H1972">
        <v>5</v>
      </c>
      <c r="I1972" s="12">
        <f>Table16[[#This Row],[price]]*Table16[[#This Row],[quantity]]</f>
        <v>1200.32</v>
      </c>
    </row>
    <row r="1973" spans="1:9" x14ac:dyDescent="0.3">
      <c r="A1973" t="s">
        <v>3982</v>
      </c>
      <c r="B1973" t="s">
        <v>375</v>
      </c>
      <c r="C1973" t="s">
        <v>2008</v>
      </c>
      <c r="D1973">
        <v>2</v>
      </c>
      <c r="E1973" s="16">
        <v>10.46</v>
      </c>
      <c r="F1973" s="1">
        <v>44942</v>
      </c>
      <c r="G1973" t="s">
        <v>2009</v>
      </c>
      <c r="H1973">
        <v>4</v>
      </c>
      <c r="I1973" s="12">
        <f>Table16[[#This Row],[price]]*Table16[[#This Row],[quantity]]</f>
        <v>20.92</v>
      </c>
    </row>
    <row r="1974" spans="1:9" x14ac:dyDescent="0.3">
      <c r="A1974" t="s">
        <v>3990</v>
      </c>
      <c r="B1974" t="s">
        <v>376</v>
      </c>
      <c r="C1974" t="s">
        <v>2024</v>
      </c>
      <c r="D1974">
        <v>1</v>
      </c>
      <c r="E1974" s="16">
        <v>35.840000000000003</v>
      </c>
      <c r="F1974" s="1">
        <v>44422</v>
      </c>
      <c r="G1974" t="s">
        <v>2002</v>
      </c>
      <c r="H1974">
        <v>4</v>
      </c>
      <c r="I1974" s="12">
        <f>Table16[[#This Row],[price]]*Table16[[#This Row],[quantity]]</f>
        <v>35.840000000000003</v>
      </c>
    </row>
    <row r="1975" spans="1:9" x14ac:dyDescent="0.3">
      <c r="A1975" t="s">
        <v>3994</v>
      </c>
      <c r="B1975" t="s">
        <v>376</v>
      </c>
      <c r="C1975" t="s">
        <v>2008</v>
      </c>
      <c r="D1975">
        <v>1</v>
      </c>
      <c r="E1975" s="16">
        <v>5.23</v>
      </c>
      <c r="F1975" s="1">
        <v>44491</v>
      </c>
      <c r="G1975" t="s">
        <v>2027</v>
      </c>
      <c r="H1975">
        <v>2</v>
      </c>
      <c r="I1975" s="12">
        <f>Table16[[#This Row],[price]]*Table16[[#This Row],[quantity]]</f>
        <v>5.23</v>
      </c>
    </row>
    <row r="1976" spans="1:9" x14ac:dyDescent="0.3">
      <c r="A1976" t="s">
        <v>3998</v>
      </c>
      <c r="B1976" t="s">
        <v>376</v>
      </c>
      <c r="C1976" t="s">
        <v>2015</v>
      </c>
      <c r="D1976">
        <v>3</v>
      </c>
      <c r="E1976" s="16">
        <v>1800.51</v>
      </c>
      <c r="F1976" s="1">
        <v>44496</v>
      </c>
      <c r="G1976" t="s">
        <v>2064</v>
      </c>
      <c r="H1976">
        <v>1</v>
      </c>
      <c r="I1976" s="12">
        <f>Table16[[#This Row],[price]]*Table16[[#This Row],[quantity]]</f>
        <v>5401.53</v>
      </c>
    </row>
    <row r="1977" spans="1:9" x14ac:dyDescent="0.3">
      <c r="A1977" t="s">
        <v>3999</v>
      </c>
      <c r="B1977" t="s">
        <v>376</v>
      </c>
      <c r="C1977" t="s">
        <v>2001</v>
      </c>
      <c r="D1977">
        <v>4</v>
      </c>
      <c r="E1977" s="16">
        <v>1200.32</v>
      </c>
      <c r="F1977" s="1">
        <v>44499</v>
      </c>
      <c r="G1977" t="s">
        <v>2002</v>
      </c>
      <c r="H1977">
        <v>4</v>
      </c>
      <c r="I1977" s="12">
        <f>Table16[[#This Row],[price]]*Table16[[#This Row],[quantity]]</f>
        <v>4801.28</v>
      </c>
    </row>
    <row r="1978" spans="1:9" x14ac:dyDescent="0.3">
      <c r="A1978" t="s">
        <v>3991</v>
      </c>
      <c r="B1978" t="s">
        <v>376</v>
      </c>
      <c r="C1978" t="s">
        <v>2001</v>
      </c>
      <c r="D1978">
        <v>2</v>
      </c>
      <c r="E1978" s="16">
        <v>600.16</v>
      </c>
      <c r="F1978" s="1">
        <v>44544</v>
      </c>
      <c r="G1978" t="s">
        <v>2058</v>
      </c>
      <c r="H1978">
        <v>2</v>
      </c>
      <c r="I1978" s="12">
        <f>Table16[[#This Row],[price]]*Table16[[#This Row],[quantity]]</f>
        <v>1200.32</v>
      </c>
    </row>
    <row r="1979" spans="1:9" x14ac:dyDescent="0.3">
      <c r="A1979" t="s">
        <v>3992</v>
      </c>
      <c r="B1979" t="s">
        <v>376</v>
      </c>
      <c r="C1979" t="s">
        <v>2011</v>
      </c>
      <c r="D1979">
        <v>1</v>
      </c>
      <c r="E1979" s="16">
        <v>40.659999999999997</v>
      </c>
      <c r="F1979" s="1">
        <v>44592</v>
      </c>
      <c r="G1979" t="s">
        <v>2002</v>
      </c>
      <c r="H1979">
        <v>2</v>
      </c>
      <c r="I1979" s="12">
        <f>Table16[[#This Row],[price]]*Table16[[#This Row],[quantity]]</f>
        <v>40.659999999999997</v>
      </c>
    </row>
    <row r="1980" spans="1:9" x14ac:dyDescent="0.3">
      <c r="A1980" t="s">
        <v>3995</v>
      </c>
      <c r="B1980" t="s">
        <v>376</v>
      </c>
      <c r="C1980" t="s">
        <v>2024</v>
      </c>
      <c r="D1980">
        <v>1</v>
      </c>
      <c r="E1980" s="16">
        <v>35.840000000000003</v>
      </c>
      <c r="F1980" s="1">
        <v>44677</v>
      </c>
      <c r="G1980" t="s">
        <v>2058</v>
      </c>
      <c r="H1980">
        <v>4</v>
      </c>
      <c r="I1980" s="12">
        <f>Table16[[#This Row],[price]]*Table16[[#This Row],[quantity]]</f>
        <v>35.840000000000003</v>
      </c>
    </row>
    <row r="1981" spans="1:9" x14ac:dyDescent="0.3">
      <c r="A1981" t="s">
        <v>3996</v>
      </c>
      <c r="B1981" t="s">
        <v>376</v>
      </c>
      <c r="C1981" t="s">
        <v>2057</v>
      </c>
      <c r="D1981">
        <v>2</v>
      </c>
      <c r="E1981" s="16">
        <v>23.46</v>
      </c>
      <c r="F1981" s="1">
        <v>44767</v>
      </c>
      <c r="G1981" t="s">
        <v>2004</v>
      </c>
      <c r="H1981">
        <v>4</v>
      </c>
      <c r="I1981" s="12">
        <f>Table16[[#This Row],[price]]*Table16[[#This Row],[quantity]]</f>
        <v>46.92</v>
      </c>
    </row>
    <row r="1982" spans="1:9" x14ac:dyDescent="0.3">
      <c r="A1982" t="s">
        <v>3997</v>
      </c>
      <c r="B1982" t="s">
        <v>376</v>
      </c>
      <c r="C1982" t="s">
        <v>2011</v>
      </c>
      <c r="D1982">
        <v>3</v>
      </c>
      <c r="E1982" s="16">
        <v>121.98</v>
      </c>
      <c r="F1982" s="1">
        <v>44883</v>
      </c>
      <c r="G1982" t="s">
        <v>2002</v>
      </c>
      <c r="H1982">
        <v>2</v>
      </c>
      <c r="I1982" s="12">
        <f>Table16[[#This Row],[price]]*Table16[[#This Row],[quantity]]</f>
        <v>365.94</v>
      </c>
    </row>
    <row r="1983" spans="1:9" x14ac:dyDescent="0.3">
      <c r="A1983" t="s">
        <v>3993</v>
      </c>
      <c r="B1983" t="s">
        <v>376</v>
      </c>
      <c r="C1983" t="s">
        <v>2001</v>
      </c>
      <c r="D1983">
        <v>1</v>
      </c>
      <c r="E1983" s="16">
        <v>300.08</v>
      </c>
      <c r="F1983" s="1">
        <v>44966</v>
      </c>
      <c r="G1983" t="s">
        <v>2027</v>
      </c>
      <c r="H1983">
        <v>4</v>
      </c>
      <c r="I1983" s="12">
        <f>Table16[[#This Row],[price]]*Table16[[#This Row],[quantity]]</f>
        <v>300.08</v>
      </c>
    </row>
    <row r="1984" spans="1:9" x14ac:dyDescent="0.3">
      <c r="A1984" t="s">
        <v>4000</v>
      </c>
      <c r="B1984" t="s">
        <v>377</v>
      </c>
      <c r="C1984" t="s">
        <v>2008</v>
      </c>
      <c r="D1984">
        <v>4</v>
      </c>
      <c r="E1984" s="16">
        <v>20.92</v>
      </c>
      <c r="F1984" s="1">
        <v>44429</v>
      </c>
      <c r="G1984" t="s">
        <v>2027</v>
      </c>
      <c r="H1984">
        <v>5</v>
      </c>
      <c r="I1984" s="12">
        <f>Table16[[#This Row],[price]]*Table16[[#This Row],[quantity]]</f>
        <v>83.68</v>
      </c>
    </row>
    <row r="1985" spans="1:9" x14ac:dyDescent="0.3">
      <c r="A1985" t="s">
        <v>4004</v>
      </c>
      <c r="B1985" t="s">
        <v>377</v>
      </c>
      <c r="C1985" t="s">
        <v>2001</v>
      </c>
      <c r="D1985">
        <v>2</v>
      </c>
      <c r="E1985" s="16">
        <v>600.16</v>
      </c>
      <c r="F1985" s="1">
        <v>44739</v>
      </c>
      <c r="G1985" t="s">
        <v>2004</v>
      </c>
      <c r="H1985">
        <v>4</v>
      </c>
      <c r="I1985" s="12">
        <f>Table16[[#This Row],[price]]*Table16[[#This Row],[quantity]]</f>
        <v>1200.32</v>
      </c>
    </row>
    <row r="1986" spans="1:9" x14ac:dyDescent="0.3">
      <c r="A1986" t="s">
        <v>4002</v>
      </c>
      <c r="B1986" t="s">
        <v>377</v>
      </c>
      <c r="C1986" t="s">
        <v>2008</v>
      </c>
      <c r="D1986">
        <v>1</v>
      </c>
      <c r="E1986" s="16">
        <v>5.23</v>
      </c>
      <c r="F1986" s="1">
        <v>44743</v>
      </c>
      <c r="G1986" t="s">
        <v>2004</v>
      </c>
      <c r="H1986">
        <v>5</v>
      </c>
      <c r="I1986" s="12">
        <f>Table16[[#This Row],[price]]*Table16[[#This Row],[quantity]]</f>
        <v>5.23</v>
      </c>
    </row>
    <row r="1987" spans="1:9" x14ac:dyDescent="0.3">
      <c r="A1987" t="s">
        <v>4003</v>
      </c>
      <c r="B1987" t="s">
        <v>377</v>
      </c>
      <c r="C1987" t="s">
        <v>2011</v>
      </c>
      <c r="D1987">
        <v>5</v>
      </c>
      <c r="E1987" s="16">
        <v>203.3</v>
      </c>
      <c r="F1987" s="1">
        <v>44773</v>
      </c>
      <c r="G1987" t="s">
        <v>2058</v>
      </c>
      <c r="H1987">
        <v>1</v>
      </c>
      <c r="I1987" s="12">
        <f>Table16[[#This Row],[price]]*Table16[[#This Row],[quantity]]</f>
        <v>1016.5</v>
      </c>
    </row>
    <row r="1988" spans="1:9" x14ac:dyDescent="0.3">
      <c r="A1988" t="s">
        <v>4001</v>
      </c>
      <c r="B1988" t="s">
        <v>377</v>
      </c>
      <c r="C1988" t="s">
        <v>2008</v>
      </c>
      <c r="D1988">
        <v>3</v>
      </c>
      <c r="E1988" s="16">
        <v>15.69</v>
      </c>
      <c r="F1988" s="1">
        <v>44944</v>
      </c>
      <c r="G1988" t="s">
        <v>2041</v>
      </c>
      <c r="H1988">
        <v>4</v>
      </c>
      <c r="I1988" s="12">
        <f>Table16[[#This Row],[price]]*Table16[[#This Row],[quantity]]</f>
        <v>47.07</v>
      </c>
    </row>
    <row r="1989" spans="1:9" x14ac:dyDescent="0.3">
      <c r="A1989" t="s">
        <v>4006</v>
      </c>
      <c r="B1989" t="s">
        <v>378</v>
      </c>
      <c r="C1989" t="s">
        <v>2001</v>
      </c>
      <c r="D1989">
        <v>3</v>
      </c>
      <c r="E1989" s="16">
        <v>900.24</v>
      </c>
      <c r="F1989" s="1">
        <v>44264</v>
      </c>
      <c r="G1989" t="s">
        <v>2027</v>
      </c>
      <c r="H1989">
        <v>2</v>
      </c>
      <c r="I1989" s="12">
        <f>Table16[[#This Row],[price]]*Table16[[#This Row],[quantity]]</f>
        <v>2700.7200000000003</v>
      </c>
    </row>
    <row r="1990" spans="1:9" x14ac:dyDescent="0.3">
      <c r="A1990" t="s">
        <v>4005</v>
      </c>
      <c r="B1990" t="s">
        <v>378</v>
      </c>
      <c r="C1990" t="s">
        <v>2008</v>
      </c>
      <c r="D1990">
        <v>1</v>
      </c>
      <c r="E1990" s="16">
        <v>5.23</v>
      </c>
      <c r="F1990" s="1">
        <v>44639</v>
      </c>
      <c r="G1990" t="s">
        <v>2004</v>
      </c>
      <c r="H1990">
        <v>5</v>
      </c>
      <c r="I1990" s="12">
        <f>Table16[[#This Row],[price]]*Table16[[#This Row],[quantity]]</f>
        <v>5.23</v>
      </c>
    </row>
    <row r="1991" spans="1:9" x14ac:dyDescent="0.3">
      <c r="A1991" t="s">
        <v>4007</v>
      </c>
      <c r="B1991" t="s">
        <v>378</v>
      </c>
      <c r="C1991" t="s">
        <v>2008</v>
      </c>
      <c r="D1991">
        <v>2</v>
      </c>
      <c r="E1991" s="16">
        <v>10.46</v>
      </c>
      <c r="F1991" s="1">
        <v>44651</v>
      </c>
      <c r="G1991" t="s">
        <v>2020</v>
      </c>
      <c r="H1991">
        <v>1</v>
      </c>
      <c r="I1991" s="12">
        <f>Table16[[#This Row],[price]]*Table16[[#This Row],[quantity]]</f>
        <v>20.92</v>
      </c>
    </row>
    <row r="1992" spans="1:9" x14ac:dyDescent="0.3">
      <c r="A1992" t="s">
        <v>4008</v>
      </c>
      <c r="B1992" t="s">
        <v>378</v>
      </c>
      <c r="C1992" t="s">
        <v>2015</v>
      </c>
      <c r="D1992">
        <v>5</v>
      </c>
      <c r="E1992" s="16">
        <v>3000.85</v>
      </c>
      <c r="F1992" s="1">
        <v>44657</v>
      </c>
      <c r="G1992" t="s">
        <v>2027</v>
      </c>
      <c r="H1992">
        <v>4</v>
      </c>
      <c r="I1992" s="12">
        <f>Table16[[#This Row],[price]]*Table16[[#This Row],[quantity]]</f>
        <v>15004.25</v>
      </c>
    </row>
    <row r="1993" spans="1:9" x14ac:dyDescent="0.3">
      <c r="A1993" t="s">
        <v>4011</v>
      </c>
      <c r="B1993" t="s">
        <v>379</v>
      </c>
      <c r="C1993" t="s">
        <v>2057</v>
      </c>
      <c r="D1993">
        <v>3</v>
      </c>
      <c r="E1993" s="16">
        <v>35.19</v>
      </c>
      <c r="F1993" s="1">
        <v>44410</v>
      </c>
      <c r="G1993" t="s">
        <v>2004</v>
      </c>
      <c r="H1993">
        <v>4</v>
      </c>
      <c r="I1993" s="12">
        <f>Table16[[#This Row],[price]]*Table16[[#This Row],[quantity]]</f>
        <v>105.57</v>
      </c>
    </row>
    <row r="1994" spans="1:9" x14ac:dyDescent="0.3">
      <c r="A1994" t="s">
        <v>4009</v>
      </c>
      <c r="B1994" t="s">
        <v>379</v>
      </c>
      <c r="C1994" t="s">
        <v>2015</v>
      </c>
      <c r="D1994">
        <v>2</v>
      </c>
      <c r="E1994" s="16">
        <v>1200.3399999999999</v>
      </c>
      <c r="F1994" s="1">
        <v>44682</v>
      </c>
      <c r="G1994" t="s">
        <v>2002</v>
      </c>
      <c r="H1994">
        <v>4</v>
      </c>
      <c r="I1994" s="12">
        <f>Table16[[#This Row],[price]]*Table16[[#This Row],[quantity]]</f>
        <v>2400.6799999999998</v>
      </c>
    </row>
    <row r="1995" spans="1:9" x14ac:dyDescent="0.3">
      <c r="A1995" t="s">
        <v>4012</v>
      </c>
      <c r="B1995" t="s">
        <v>379</v>
      </c>
      <c r="C1995" t="s">
        <v>2001</v>
      </c>
      <c r="D1995">
        <v>5</v>
      </c>
      <c r="E1995" s="16">
        <v>1500.4</v>
      </c>
      <c r="F1995" s="1">
        <v>44738</v>
      </c>
      <c r="G1995" t="s">
        <v>2002</v>
      </c>
      <c r="H1995">
        <v>5</v>
      </c>
      <c r="I1995" s="12">
        <f>Table16[[#This Row],[price]]*Table16[[#This Row],[quantity]]</f>
        <v>7502</v>
      </c>
    </row>
    <row r="1996" spans="1:9" x14ac:dyDescent="0.3">
      <c r="A1996" t="s">
        <v>4010</v>
      </c>
      <c r="B1996" t="s">
        <v>379</v>
      </c>
      <c r="C1996" t="s">
        <v>2006</v>
      </c>
      <c r="D1996">
        <v>5</v>
      </c>
      <c r="E1996" s="16">
        <v>75.75</v>
      </c>
      <c r="F1996" s="1">
        <v>44817</v>
      </c>
      <c r="G1996" t="s">
        <v>2020</v>
      </c>
      <c r="H1996">
        <v>4</v>
      </c>
      <c r="I1996" s="12">
        <f>Table16[[#This Row],[price]]*Table16[[#This Row],[quantity]]</f>
        <v>378.75</v>
      </c>
    </row>
    <row r="1997" spans="1:9" x14ac:dyDescent="0.3">
      <c r="A1997" t="s">
        <v>4013</v>
      </c>
      <c r="B1997" t="s">
        <v>380</v>
      </c>
      <c r="C1997" t="s">
        <v>2057</v>
      </c>
      <c r="D1997">
        <v>3</v>
      </c>
      <c r="E1997" s="16">
        <v>35.19</v>
      </c>
      <c r="F1997" s="1">
        <v>44519</v>
      </c>
      <c r="G1997" t="s">
        <v>2004</v>
      </c>
      <c r="H1997">
        <v>2</v>
      </c>
      <c r="I1997" s="12">
        <f>Table16[[#This Row],[price]]*Table16[[#This Row],[quantity]]</f>
        <v>105.57</v>
      </c>
    </row>
    <row r="1998" spans="1:9" x14ac:dyDescent="0.3">
      <c r="A1998" t="s">
        <v>4014</v>
      </c>
      <c r="B1998" t="s">
        <v>380</v>
      </c>
      <c r="C1998" t="s">
        <v>2024</v>
      </c>
      <c r="D1998">
        <v>1</v>
      </c>
      <c r="E1998" s="16">
        <v>35.840000000000003</v>
      </c>
      <c r="F1998" s="1">
        <v>44551</v>
      </c>
      <c r="G1998" t="s">
        <v>2058</v>
      </c>
      <c r="H1998">
        <v>4</v>
      </c>
      <c r="I1998" s="12">
        <f>Table16[[#This Row],[price]]*Table16[[#This Row],[quantity]]</f>
        <v>35.840000000000003</v>
      </c>
    </row>
    <row r="1999" spans="1:9" x14ac:dyDescent="0.3">
      <c r="A1999" t="s">
        <v>4015</v>
      </c>
      <c r="B1999" t="s">
        <v>380</v>
      </c>
      <c r="C1999" t="s">
        <v>2008</v>
      </c>
      <c r="D1999">
        <v>1</v>
      </c>
      <c r="E1999" s="16">
        <v>5.23</v>
      </c>
      <c r="F1999" s="1">
        <v>44614</v>
      </c>
      <c r="G1999" t="s">
        <v>2004</v>
      </c>
      <c r="H1999">
        <v>5</v>
      </c>
      <c r="I1999" s="12">
        <f>Table16[[#This Row],[price]]*Table16[[#This Row],[quantity]]</f>
        <v>5.23</v>
      </c>
    </row>
    <row r="2000" spans="1:9" x14ac:dyDescent="0.3">
      <c r="A2000" t="s">
        <v>4016</v>
      </c>
      <c r="B2000" t="s">
        <v>380</v>
      </c>
      <c r="C2000" t="s">
        <v>2001</v>
      </c>
      <c r="D2000">
        <v>3</v>
      </c>
      <c r="E2000" s="16">
        <v>900.24</v>
      </c>
      <c r="F2000" s="1">
        <v>44820</v>
      </c>
      <c r="G2000" t="s">
        <v>2058</v>
      </c>
      <c r="H2000">
        <v>2</v>
      </c>
      <c r="I2000" s="12">
        <f>Table16[[#This Row],[price]]*Table16[[#This Row],[quantity]]</f>
        <v>2700.7200000000003</v>
      </c>
    </row>
    <row r="2001" spans="1:9" x14ac:dyDescent="0.3">
      <c r="A2001" t="s">
        <v>4018</v>
      </c>
      <c r="B2001" t="s">
        <v>381</v>
      </c>
      <c r="C2001" t="s">
        <v>2001</v>
      </c>
      <c r="D2001">
        <v>1</v>
      </c>
      <c r="E2001" s="16">
        <v>300.08</v>
      </c>
      <c r="F2001" s="1">
        <v>44937</v>
      </c>
      <c r="G2001" t="s">
        <v>2027</v>
      </c>
      <c r="H2001">
        <v>1</v>
      </c>
      <c r="I2001" s="12">
        <f>Table16[[#This Row],[price]]*Table16[[#This Row],[quantity]]</f>
        <v>300.08</v>
      </c>
    </row>
    <row r="2002" spans="1:9" x14ac:dyDescent="0.3">
      <c r="A2002" t="s">
        <v>4019</v>
      </c>
      <c r="B2002" t="s">
        <v>381</v>
      </c>
      <c r="C2002" t="s">
        <v>2057</v>
      </c>
      <c r="D2002">
        <v>2</v>
      </c>
      <c r="E2002" s="16">
        <v>23.46</v>
      </c>
      <c r="F2002" s="1">
        <v>44981</v>
      </c>
      <c r="G2002" t="s">
        <v>2009</v>
      </c>
      <c r="H2002">
        <v>5</v>
      </c>
      <c r="I2002" s="12">
        <f>Table16[[#This Row],[price]]*Table16[[#This Row],[quantity]]</f>
        <v>46.92</v>
      </c>
    </row>
    <row r="2003" spans="1:9" x14ac:dyDescent="0.3">
      <c r="A2003" t="s">
        <v>4017</v>
      </c>
      <c r="B2003" t="s">
        <v>381</v>
      </c>
      <c r="C2003" t="s">
        <v>2015</v>
      </c>
      <c r="D2003">
        <v>4</v>
      </c>
      <c r="E2003" s="16">
        <v>2400.6799999999998</v>
      </c>
      <c r="F2003" s="1">
        <v>44986</v>
      </c>
      <c r="G2003" t="s">
        <v>2027</v>
      </c>
      <c r="H2003">
        <v>1</v>
      </c>
      <c r="I2003" s="12">
        <f>Table16[[#This Row],[price]]*Table16[[#This Row],[quantity]]</f>
        <v>9602.7199999999993</v>
      </c>
    </row>
    <row r="2004" spans="1:9" x14ac:dyDescent="0.3">
      <c r="A2004" t="s">
        <v>4022</v>
      </c>
      <c r="B2004" t="s">
        <v>382</v>
      </c>
      <c r="C2004" t="s">
        <v>2001</v>
      </c>
      <c r="D2004">
        <v>2</v>
      </c>
      <c r="E2004" s="16">
        <v>600.16</v>
      </c>
      <c r="F2004" s="1">
        <v>44380</v>
      </c>
      <c r="G2004" t="s">
        <v>2009</v>
      </c>
      <c r="H2004">
        <v>2</v>
      </c>
      <c r="I2004" s="12">
        <f>Table16[[#This Row],[price]]*Table16[[#This Row],[quantity]]</f>
        <v>1200.32</v>
      </c>
    </row>
    <row r="2005" spans="1:9" x14ac:dyDescent="0.3">
      <c r="A2005" t="s">
        <v>4021</v>
      </c>
      <c r="B2005" t="s">
        <v>382</v>
      </c>
      <c r="C2005" t="s">
        <v>2008</v>
      </c>
      <c r="D2005">
        <v>4</v>
      </c>
      <c r="E2005" s="16">
        <v>20.92</v>
      </c>
      <c r="F2005" s="1">
        <v>44871</v>
      </c>
      <c r="G2005" t="s">
        <v>2002</v>
      </c>
      <c r="H2005">
        <v>2</v>
      </c>
      <c r="I2005" s="12">
        <f>Table16[[#This Row],[price]]*Table16[[#This Row],[quantity]]</f>
        <v>83.68</v>
      </c>
    </row>
    <row r="2006" spans="1:9" x14ac:dyDescent="0.3">
      <c r="A2006" t="s">
        <v>4020</v>
      </c>
      <c r="B2006" t="s">
        <v>382</v>
      </c>
      <c r="C2006" t="s">
        <v>2001</v>
      </c>
      <c r="D2006">
        <v>1</v>
      </c>
      <c r="E2006" s="16">
        <v>300.08</v>
      </c>
      <c r="F2006" s="1">
        <v>44949</v>
      </c>
      <c r="G2006" t="s">
        <v>2020</v>
      </c>
      <c r="H2006">
        <v>1</v>
      </c>
      <c r="I2006" s="12">
        <f>Table16[[#This Row],[price]]*Table16[[#This Row],[quantity]]</f>
        <v>300.08</v>
      </c>
    </row>
    <row r="2007" spans="1:9" x14ac:dyDescent="0.3">
      <c r="A2007" t="s">
        <v>4023</v>
      </c>
      <c r="B2007" t="s">
        <v>382</v>
      </c>
      <c r="C2007" t="s">
        <v>2001</v>
      </c>
      <c r="D2007">
        <v>4</v>
      </c>
      <c r="E2007" s="16">
        <v>1200.32</v>
      </c>
      <c r="F2007" s="1">
        <v>44955</v>
      </c>
      <c r="G2007" t="s">
        <v>2004</v>
      </c>
      <c r="H2007">
        <v>2</v>
      </c>
      <c r="I2007" s="12">
        <f>Table16[[#This Row],[price]]*Table16[[#This Row],[quantity]]</f>
        <v>4801.28</v>
      </c>
    </row>
    <row r="2008" spans="1:9" x14ac:dyDescent="0.3">
      <c r="A2008" t="s">
        <v>4027</v>
      </c>
      <c r="B2008" t="s">
        <v>383</v>
      </c>
      <c r="C2008" t="s">
        <v>2057</v>
      </c>
      <c r="D2008">
        <v>1</v>
      </c>
      <c r="E2008" s="16">
        <v>11.73</v>
      </c>
      <c r="F2008" s="1">
        <v>44356</v>
      </c>
      <c r="G2008" t="s">
        <v>2002</v>
      </c>
      <c r="H2008">
        <v>1</v>
      </c>
      <c r="I2008" s="12">
        <f>Table16[[#This Row],[price]]*Table16[[#This Row],[quantity]]</f>
        <v>11.73</v>
      </c>
    </row>
    <row r="2009" spans="1:9" x14ac:dyDescent="0.3">
      <c r="A2009" t="s">
        <v>4026</v>
      </c>
      <c r="B2009" t="s">
        <v>383</v>
      </c>
      <c r="C2009" t="s">
        <v>2008</v>
      </c>
      <c r="D2009">
        <v>4</v>
      </c>
      <c r="E2009" s="16">
        <v>20.92</v>
      </c>
      <c r="F2009" s="1">
        <v>44512</v>
      </c>
      <c r="G2009" t="s">
        <v>2064</v>
      </c>
      <c r="H2009">
        <v>3</v>
      </c>
      <c r="I2009" s="12">
        <f>Table16[[#This Row],[price]]*Table16[[#This Row],[quantity]]</f>
        <v>83.68</v>
      </c>
    </row>
    <row r="2010" spans="1:9" x14ac:dyDescent="0.3">
      <c r="A2010" t="s">
        <v>4024</v>
      </c>
      <c r="B2010" t="s">
        <v>383</v>
      </c>
      <c r="C2010" t="s">
        <v>2008</v>
      </c>
      <c r="D2010">
        <v>1</v>
      </c>
      <c r="E2010" s="16">
        <v>5.23</v>
      </c>
      <c r="F2010" s="1">
        <v>44695</v>
      </c>
      <c r="G2010" t="s">
        <v>2027</v>
      </c>
      <c r="H2010">
        <v>3</v>
      </c>
      <c r="I2010" s="12">
        <f>Table16[[#This Row],[price]]*Table16[[#This Row],[quantity]]</f>
        <v>5.23</v>
      </c>
    </row>
    <row r="2011" spans="1:9" x14ac:dyDescent="0.3">
      <c r="A2011" t="s">
        <v>4025</v>
      </c>
      <c r="B2011" t="s">
        <v>383</v>
      </c>
      <c r="C2011" t="s">
        <v>2015</v>
      </c>
      <c r="D2011">
        <v>2</v>
      </c>
      <c r="E2011" s="16">
        <v>1200.3399999999999</v>
      </c>
      <c r="F2011" s="1">
        <v>44950</v>
      </c>
      <c r="G2011" t="s">
        <v>2064</v>
      </c>
      <c r="H2011">
        <v>1</v>
      </c>
      <c r="I2011" s="12">
        <f>Table16[[#This Row],[price]]*Table16[[#This Row],[quantity]]</f>
        <v>2400.6799999999998</v>
      </c>
    </row>
    <row r="2012" spans="1:9" x14ac:dyDescent="0.3">
      <c r="A2012" t="s">
        <v>4032</v>
      </c>
      <c r="B2012" t="s">
        <v>384</v>
      </c>
      <c r="C2012" t="s">
        <v>2015</v>
      </c>
      <c r="D2012">
        <v>2</v>
      </c>
      <c r="E2012" s="16">
        <v>1200.3399999999999</v>
      </c>
      <c r="F2012" s="1">
        <v>44291</v>
      </c>
      <c r="G2012" t="s">
        <v>2027</v>
      </c>
      <c r="H2012">
        <v>3</v>
      </c>
      <c r="I2012" s="12">
        <f>Table16[[#This Row],[price]]*Table16[[#This Row],[quantity]]</f>
        <v>2400.6799999999998</v>
      </c>
    </row>
    <row r="2013" spans="1:9" x14ac:dyDescent="0.3">
      <c r="A2013" t="s">
        <v>4029</v>
      </c>
      <c r="B2013" t="s">
        <v>384</v>
      </c>
      <c r="C2013" t="s">
        <v>2001</v>
      </c>
      <c r="D2013">
        <v>2</v>
      </c>
      <c r="E2013" s="16">
        <v>600.16</v>
      </c>
      <c r="F2013" s="1">
        <v>44372</v>
      </c>
      <c r="G2013" t="s">
        <v>2002</v>
      </c>
      <c r="H2013">
        <v>5</v>
      </c>
      <c r="I2013" s="12">
        <f>Table16[[#This Row],[price]]*Table16[[#This Row],[quantity]]</f>
        <v>1200.32</v>
      </c>
    </row>
    <row r="2014" spans="1:9" x14ac:dyDescent="0.3">
      <c r="A2014" t="s">
        <v>4033</v>
      </c>
      <c r="B2014" t="s">
        <v>384</v>
      </c>
      <c r="C2014" t="s">
        <v>2008</v>
      </c>
      <c r="D2014">
        <v>2</v>
      </c>
      <c r="E2014" s="16">
        <v>10.46</v>
      </c>
      <c r="F2014" s="1">
        <v>44673</v>
      </c>
      <c r="G2014" t="s">
        <v>2058</v>
      </c>
      <c r="H2014">
        <v>4</v>
      </c>
      <c r="I2014" s="12">
        <f>Table16[[#This Row],[price]]*Table16[[#This Row],[quantity]]</f>
        <v>20.92</v>
      </c>
    </row>
    <row r="2015" spans="1:9" x14ac:dyDescent="0.3">
      <c r="A2015" t="s">
        <v>4035</v>
      </c>
      <c r="B2015" t="s">
        <v>384</v>
      </c>
      <c r="C2015" t="s">
        <v>2001</v>
      </c>
      <c r="D2015">
        <v>3</v>
      </c>
      <c r="E2015" s="16">
        <v>900.24</v>
      </c>
      <c r="F2015" s="1">
        <v>44794</v>
      </c>
      <c r="G2015" t="s">
        <v>2012</v>
      </c>
      <c r="H2015">
        <v>4</v>
      </c>
      <c r="I2015" s="12">
        <f>Table16[[#This Row],[price]]*Table16[[#This Row],[quantity]]</f>
        <v>2700.7200000000003</v>
      </c>
    </row>
    <row r="2016" spans="1:9" x14ac:dyDescent="0.3">
      <c r="A2016" t="s">
        <v>4030</v>
      </c>
      <c r="B2016" t="s">
        <v>384</v>
      </c>
      <c r="C2016" t="s">
        <v>2008</v>
      </c>
      <c r="D2016">
        <v>1</v>
      </c>
      <c r="E2016" s="16">
        <v>5.23</v>
      </c>
      <c r="F2016" s="1">
        <v>44797</v>
      </c>
      <c r="G2016" t="s">
        <v>2002</v>
      </c>
      <c r="H2016">
        <v>2</v>
      </c>
      <c r="I2016" s="12">
        <f>Table16[[#This Row],[price]]*Table16[[#This Row],[quantity]]</f>
        <v>5.23</v>
      </c>
    </row>
    <row r="2017" spans="1:9" x14ac:dyDescent="0.3">
      <c r="A2017" t="s">
        <v>4034</v>
      </c>
      <c r="B2017" t="s">
        <v>384</v>
      </c>
      <c r="C2017" t="s">
        <v>2001</v>
      </c>
      <c r="D2017">
        <v>4</v>
      </c>
      <c r="E2017" s="16">
        <v>1200.32</v>
      </c>
      <c r="F2017" s="1">
        <v>44800</v>
      </c>
      <c r="G2017" t="s">
        <v>2002</v>
      </c>
      <c r="H2017">
        <v>4</v>
      </c>
      <c r="I2017" s="12">
        <f>Table16[[#This Row],[price]]*Table16[[#This Row],[quantity]]</f>
        <v>4801.28</v>
      </c>
    </row>
    <row r="2018" spans="1:9" x14ac:dyDescent="0.3">
      <c r="A2018" t="s">
        <v>4028</v>
      </c>
      <c r="B2018" t="s">
        <v>384</v>
      </c>
      <c r="C2018" t="s">
        <v>2015</v>
      </c>
      <c r="D2018">
        <v>5</v>
      </c>
      <c r="E2018" s="16">
        <v>3000.85</v>
      </c>
      <c r="F2018" s="1">
        <v>44888</v>
      </c>
      <c r="G2018" t="s">
        <v>2012</v>
      </c>
      <c r="H2018">
        <v>3</v>
      </c>
      <c r="I2018" s="12">
        <f>Table16[[#This Row],[price]]*Table16[[#This Row],[quantity]]</f>
        <v>15004.25</v>
      </c>
    </row>
    <row r="2019" spans="1:9" x14ac:dyDescent="0.3">
      <c r="A2019" t="s">
        <v>4031</v>
      </c>
      <c r="B2019" t="s">
        <v>384</v>
      </c>
      <c r="C2019" t="s">
        <v>2024</v>
      </c>
      <c r="D2019">
        <v>1</v>
      </c>
      <c r="E2019" s="16">
        <v>35.840000000000003</v>
      </c>
      <c r="F2019" s="1">
        <v>44957</v>
      </c>
      <c r="G2019" t="s">
        <v>2027</v>
      </c>
      <c r="H2019">
        <v>3</v>
      </c>
      <c r="I2019" s="12">
        <f>Table16[[#This Row],[price]]*Table16[[#This Row],[quantity]]</f>
        <v>35.840000000000003</v>
      </c>
    </row>
    <row r="2020" spans="1:9" x14ac:dyDescent="0.3">
      <c r="A2020" t="s">
        <v>4037</v>
      </c>
      <c r="B2020" t="s">
        <v>385</v>
      </c>
      <c r="C2020" t="s">
        <v>2015</v>
      </c>
      <c r="D2020">
        <v>3</v>
      </c>
      <c r="E2020" s="16">
        <v>1800.51</v>
      </c>
      <c r="F2020" s="1">
        <v>44251</v>
      </c>
      <c r="G2020" t="s">
        <v>2020</v>
      </c>
      <c r="H2020">
        <v>3</v>
      </c>
      <c r="I2020" s="12">
        <f>Table16[[#This Row],[price]]*Table16[[#This Row],[quantity]]</f>
        <v>5401.53</v>
      </c>
    </row>
    <row r="2021" spans="1:9" x14ac:dyDescent="0.3">
      <c r="A2021" t="s">
        <v>4038</v>
      </c>
      <c r="B2021" t="s">
        <v>385</v>
      </c>
      <c r="C2021" t="s">
        <v>2017</v>
      </c>
      <c r="D2021">
        <v>2</v>
      </c>
      <c r="E2021" s="16">
        <v>2100</v>
      </c>
      <c r="F2021" s="1">
        <v>44356</v>
      </c>
      <c r="G2021" t="s">
        <v>2058</v>
      </c>
      <c r="H2021">
        <v>2</v>
      </c>
      <c r="I2021" s="12">
        <f>Table16[[#This Row],[price]]*Table16[[#This Row],[quantity]]</f>
        <v>4200</v>
      </c>
    </row>
    <row r="2022" spans="1:9" x14ac:dyDescent="0.3">
      <c r="A2022" t="s">
        <v>4036</v>
      </c>
      <c r="B2022" t="s">
        <v>385</v>
      </c>
      <c r="C2022" t="s">
        <v>2011</v>
      </c>
      <c r="D2022">
        <v>5</v>
      </c>
      <c r="E2022" s="16">
        <v>203.3</v>
      </c>
      <c r="F2022" s="1">
        <v>44388</v>
      </c>
      <c r="G2022" t="s">
        <v>2027</v>
      </c>
      <c r="H2022">
        <v>5</v>
      </c>
      <c r="I2022" s="12">
        <f>Table16[[#This Row],[price]]*Table16[[#This Row],[quantity]]</f>
        <v>1016.5</v>
      </c>
    </row>
    <row r="2023" spans="1:9" x14ac:dyDescent="0.3">
      <c r="A2023" t="s">
        <v>4039</v>
      </c>
      <c r="B2023" t="s">
        <v>385</v>
      </c>
      <c r="C2023" t="s">
        <v>2057</v>
      </c>
      <c r="D2023">
        <v>3</v>
      </c>
      <c r="E2023" s="16">
        <v>35.19</v>
      </c>
      <c r="F2023" s="1">
        <v>44644</v>
      </c>
      <c r="G2023" t="s">
        <v>2004</v>
      </c>
      <c r="H2023">
        <v>2</v>
      </c>
      <c r="I2023" s="12">
        <f>Table16[[#This Row],[price]]*Table16[[#This Row],[quantity]]</f>
        <v>105.57</v>
      </c>
    </row>
    <row r="2024" spans="1:9" x14ac:dyDescent="0.3">
      <c r="A2024" t="s">
        <v>4040</v>
      </c>
      <c r="B2024" t="s">
        <v>385</v>
      </c>
      <c r="C2024" t="s">
        <v>2015</v>
      </c>
      <c r="D2024">
        <v>3</v>
      </c>
      <c r="E2024" s="16">
        <v>1800.51</v>
      </c>
      <c r="F2024" s="1">
        <v>44778</v>
      </c>
      <c r="G2024" t="s">
        <v>2058</v>
      </c>
      <c r="H2024">
        <v>3</v>
      </c>
      <c r="I2024" s="12">
        <f>Table16[[#This Row],[price]]*Table16[[#This Row],[quantity]]</f>
        <v>5401.53</v>
      </c>
    </row>
    <row r="2025" spans="1:9" x14ac:dyDescent="0.3">
      <c r="A2025" t="s">
        <v>4045</v>
      </c>
      <c r="B2025" t="s">
        <v>386</v>
      </c>
      <c r="C2025" t="s">
        <v>2001</v>
      </c>
      <c r="D2025">
        <v>4</v>
      </c>
      <c r="E2025" s="16">
        <v>1200.32</v>
      </c>
      <c r="F2025" s="1">
        <v>44246</v>
      </c>
      <c r="G2025" t="s">
        <v>2027</v>
      </c>
      <c r="H2025">
        <v>2</v>
      </c>
      <c r="I2025" s="12">
        <f>Table16[[#This Row],[price]]*Table16[[#This Row],[quantity]]</f>
        <v>4801.28</v>
      </c>
    </row>
    <row r="2026" spans="1:9" x14ac:dyDescent="0.3">
      <c r="A2026" t="s">
        <v>4042</v>
      </c>
      <c r="B2026" t="s">
        <v>386</v>
      </c>
      <c r="C2026" t="s">
        <v>2008</v>
      </c>
      <c r="D2026">
        <v>5</v>
      </c>
      <c r="E2026" s="16">
        <v>26.15</v>
      </c>
      <c r="F2026" s="1">
        <v>44288</v>
      </c>
      <c r="G2026" t="s">
        <v>2027</v>
      </c>
      <c r="H2026">
        <v>2</v>
      </c>
      <c r="I2026" s="12">
        <f>Table16[[#This Row],[price]]*Table16[[#This Row],[quantity]]</f>
        <v>130.75</v>
      </c>
    </row>
    <row r="2027" spans="1:9" x14ac:dyDescent="0.3">
      <c r="A2027" t="s">
        <v>4041</v>
      </c>
      <c r="B2027" t="s">
        <v>386</v>
      </c>
      <c r="C2027" t="s">
        <v>2008</v>
      </c>
      <c r="D2027">
        <v>4</v>
      </c>
      <c r="E2027" s="16">
        <v>20.92</v>
      </c>
      <c r="F2027" s="1">
        <v>44527</v>
      </c>
      <c r="G2027" t="s">
        <v>2020</v>
      </c>
      <c r="H2027">
        <v>3</v>
      </c>
      <c r="I2027" s="12">
        <f>Table16[[#This Row],[price]]*Table16[[#This Row],[quantity]]</f>
        <v>83.68</v>
      </c>
    </row>
    <row r="2028" spans="1:9" x14ac:dyDescent="0.3">
      <c r="A2028" t="s">
        <v>4043</v>
      </c>
      <c r="B2028" t="s">
        <v>386</v>
      </c>
      <c r="C2028" t="s">
        <v>2008</v>
      </c>
      <c r="D2028">
        <v>2</v>
      </c>
      <c r="E2028" s="16">
        <v>10.46</v>
      </c>
      <c r="F2028" s="1">
        <v>44697</v>
      </c>
      <c r="G2028" t="s">
        <v>2004</v>
      </c>
      <c r="H2028">
        <v>5</v>
      </c>
      <c r="I2028" s="12">
        <f>Table16[[#This Row],[price]]*Table16[[#This Row],[quantity]]</f>
        <v>20.92</v>
      </c>
    </row>
    <row r="2029" spans="1:9" x14ac:dyDescent="0.3">
      <c r="A2029" t="s">
        <v>4044</v>
      </c>
      <c r="B2029" t="s">
        <v>386</v>
      </c>
      <c r="C2029" t="s">
        <v>2008</v>
      </c>
      <c r="D2029">
        <v>2</v>
      </c>
      <c r="E2029" s="16">
        <v>10.46</v>
      </c>
      <c r="F2029" s="1">
        <v>44928</v>
      </c>
      <c r="G2029" t="s">
        <v>2020</v>
      </c>
      <c r="H2029">
        <v>4</v>
      </c>
      <c r="I2029" s="12">
        <f>Table16[[#This Row],[price]]*Table16[[#This Row],[quantity]]</f>
        <v>20.92</v>
      </c>
    </row>
    <row r="2030" spans="1:9" x14ac:dyDescent="0.3">
      <c r="A2030" t="s">
        <v>4046</v>
      </c>
      <c r="B2030" t="s">
        <v>387</v>
      </c>
      <c r="C2030" t="s">
        <v>2001</v>
      </c>
      <c r="D2030">
        <v>5</v>
      </c>
      <c r="E2030" s="16">
        <v>1500.4</v>
      </c>
      <c r="F2030" s="1">
        <v>44291</v>
      </c>
      <c r="G2030" t="s">
        <v>2027</v>
      </c>
      <c r="H2030">
        <v>5</v>
      </c>
      <c r="I2030" s="12">
        <f>Table16[[#This Row],[price]]*Table16[[#This Row],[quantity]]</f>
        <v>7502</v>
      </c>
    </row>
    <row r="2031" spans="1:9" x14ac:dyDescent="0.3">
      <c r="A2031" t="s">
        <v>4050</v>
      </c>
      <c r="B2031" t="s">
        <v>387</v>
      </c>
      <c r="C2031" t="s">
        <v>2011</v>
      </c>
      <c r="D2031">
        <v>4</v>
      </c>
      <c r="E2031" s="16">
        <v>162.63999999999999</v>
      </c>
      <c r="F2031" s="1">
        <v>44370</v>
      </c>
      <c r="G2031" t="s">
        <v>2004</v>
      </c>
      <c r="H2031">
        <v>1</v>
      </c>
      <c r="I2031" s="12">
        <f>Table16[[#This Row],[price]]*Table16[[#This Row],[quantity]]</f>
        <v>650.55999999999995</v>
      </c>
    </row>
    <row r="2032" spans="1:9" x14ac:dyDescent="0.3">
      <c r="A2032" t="s">
        <v>4052</v>
      </c>
      <c r="B2032" t="s">
        <v>387</v>
      </c>
      <c r="C2032" t="s">
        <v>2015</v>
      </c>
      <c r="D2032">
        <v>3</v>
      </c>
      <c r="E2032" s="16">
        <v>1800.51</v>
      </c>
      <c r="F2032" s="1">
        <v>44410</v>
      </c>
      <c r="G2032" t="s">
        <v>2004</v>
      </c>
      <c r="H2032">
        <v>3</v>
      </c>
      <c r="I2032" s="12">
        <f>Table16[[#This Row],[price]]*Table16[[#This Row],[quantity]]</f>
        <v>5401.53</v>
      </c>
    </row>
    <row r="2033" spans="1:9" x14ac:dyDescent="0.3">
      <c r="A2033" t="s">
        <v>4051</v>
      </c>
      <c r="B2033" t="s">
        <v>387</v>
      </c>
      <c r="C2033" t="s">
        <v>2057</v>
      </c>
      <c r="D2033">
        <v>5</v>
      </c>
      <c r="E2033" s="16">
        <v>58.65</v>
      </c>
      <c r="F2033" s="1">
        <v>44463</v>
      </c>
      <c r="G2033" t="s">
        <v>2041</v>
      </c>
      <c r="H2033">
        <v>1</v>
      </c>
      <c r="I2033" s="12">
        <f>Table16[[#This Row],[price]]*Table16[[#This Row],[quantity]]</f>
        <v>293.25</v>
      </c>
    </row>
    <row r="2034" spans="1:9" x14ac:dyDescent="0.3">
      <c r="A2034" t="s">
        <v>4054</v>
      </c>
      <c r="B2034" t="s">
        <v>387</v>
      </c>
      <c r="C2034" t="s">
        <v>2057</v>
      </c>
      <c r="D2034">
        <v>4</v>
      </c>
      <c r="E2034" s="16">
        <v>46.92</v>
      </c>
      <c r="F2034" s="1">
        <v>44483</v>
      </c>
      <c r="G2034" t="s">
        <v>2002</v>
      </c>
      <c r="H2034">
        <v>3</v>
      </c>
      <c r="I2034" s="12">
        <f>Table16[[#This Row],[price]]*Table16[[#This Row],[quantity]]</f>
        <v>187.68</v>
      </c>
    </row>
    <row r="2035" spans="1:9" x14ac:dyDescent="0.3">
      <c r="A2035" t="s">
        <v>4048</v>
      </c>
      <c r="B2035" t="s">
        <v>387</v>
      </c>
      <c r="C2035" t="s">
        <v>2011</v>
      </c>
      <c r="D2035">
        <v>4</v>
      </c>
      <c r="E2035" s="16">
        <v>162.63999999999999</v>
      </c>
      <c r="F2035" s="1">
        <v>44526</v>
      </c>
      <c r="G2035" t="s">
        <v>2064</v>
      </c>
      <c r="H2035">
        <v>4</v>
      </c>
      <c r="I2035" s="12">
        <f>Table16[[#This Row],[price]]*Table16[[#This Row],[quantity]]</f>
        <v>650.55999999999995</v>
      </c>
    </row>
    <row r="2036" spans="1:9" x14ac:dyDescent="0.3">
      <c r="A2036" t="s">
        <v>4053</v>
      </c>
      <c r="B2036" t="s">
        <v>387</v>
      </c>
      <c r="C2036" t="s">
        <v>2001</v>
      </c>
      <c r="D2036">
        <v>2</v>
      </c>
      <c r="E2036" s="16">
        <v>600.16</v>
      </c>
      <c r="F2036" s="1">
        <v>44606</v>
      </c>
      <c r="G2036" t="s">
        <v>2004</v>
      </c>
      <c r="H2036">
        <v>2</v>
      </c>
      <c r="I2036" s="12">
        <f>Table16[[#This Row],[price]]*Table16[[#This Row],[quantity]]</f>
        <v>1200.32</v>
      </c>
    </row>
    <row r="2037" spans="1:9" x14ac:dyDescent="0.3">
      <c r="A2037" t="s">
        <v>4049</v>
      </c>
      <c r="B2037" t="s">
        <v>387</v>
      </c>
      <c r="C2037" t="s">
        <v>2001</v>
      </c>
      <c r="D2037">
        <v>2</v>
      </c>
      <c r="E2037" s="16">
        <v>600.16</v>
      </c>
      <c r="F2037" s="1">
        <v>44928</v>
      </c>
      <c r="G2037" t="s">
        <v>2027</v>
      </c>
      <c r="H2037">
        <v>5</v>
      </c>
      <c r="I2037" s="12">
        <f>Table16[[#This Row],[price]]*Table16[[#This Row],[quantity]]</f>
        <v>1200.32</v>
      </c>
    </row>
    <row r="2038" spans="1:9" x14ac:dyDescent="0.3">
      <c r="A2038" t="s">
        <v>4047</v>
      </c>
      <c r="B2038" t="s">
        <v>387</v>
      </c>
      <c r="C2038" t="s">
        <v>2015</v>
      </c>
      <c r="D2038">
        <v>3</v>
      </c>
      <c r="E2038" s="16">
        <v>1800.51</v>
      </c>
      <c r="F2038" s="1">
        <v>44968</v>
      </c>
      <c r="G2038" t="s">
        <v>2002</v>
      </c>
      <c r="H2038">
        <v>2</v>
      </c>
      <c r="I2038" s="12">
        <f>Table16[[#This Row],[price]]*Table16[[#This Row],[quantity]]</f>
        <v>5401.53</v>
      </c>
    </row>
    <row r="2039" spans="1:9" x14ac:dyDescent="0.3">
      <c r="A2039" t="s">
        <v>4055</v>
      </c>
      <c r="B2039" t="s">
        <v>388</v>
      </c>
      <c r="C2039" t="s">
        <v>2001</v>
      </c>
      <c r="D2039">
        <v>1</v>
      </c>
      <c r="E2039" s="16">
        <v>300.08</v>
      </c>
      <c r="F2039" s="1">
        <v>44320</v>
      </c>
      <c r="G2039" t="s">
        <v>2020</v>
      </c>
      <c r="H2039">
        <v>4</v>
      </c>
      <c r="I2039" s="12">
        <f>Table16[[#This Row],[price]]*Table16[[#This Row],[quantity]]</f>
        <v>300.08</v>
      </c>
    </row>
    <row r="2040" spans="1:9" x14ac:dyDescent="0.3">
      <c r="A2040" t="s">
        <v>4058</v>
      </c>
      <c r="B2040" t="s">
        <v>388</v>
      </c>
      <c r="C2040" t="s">
        <v>2001</v>
      </c>
      <c r="D2040">
        <v>1</v>
      </c>
      <c r="E2040" s="16">
        <v>300.08</v>
      </c>
      <c r="F2040" s="1">
        <v>44677</v>
      </c>
      <c r="G2040" t="s">
        <v>2004</v>
      </c>
      <c r="H2040">
        <v>1</v>
      </c>
      <c r="I2040" s="12">
        <f>Table16[[#This Row],[price]]*Table16[[#This Row],[quantity]]</f>
        <v>300.08</v>
      </c>
    </row>
    <row r="2041" spans="1:9" x14ac:dyDescent="0.3">
      <c r="A2041" t="s">
        <v>4057</v>
      </c>
      <c r="B2041" t="s">
        <v>388</v>
      </c>
      <c r="C2041" t="s">
        <v>2024</v>
      </c>
      <c r="D2041">
        <v>4</v>
      </c>
      <c r="E2041" s="16">
        <v>143.36000000000001</v>
      </c>
      <c r="F2041" s="1">
        <v>44685</v>
      </c>
      <c r="G2041" t="s">
        <v>2009</v>
      </c>
      <c r="H2041">
        <v>1</v>
      </c>
      <c r="I2041" s="12">
        <f>Table16[[#This Row],[price]]*Table16[[#This Row],[quantity]]</f>
        <v>573.44000000000005</v>
      </c>
    </row>
    <row r="2042" spans="1:9" x14ac:dyDescent="0.3">
      <c r="A2042" t="s">
        <v>4056</v>
      </c>
      <c r="B2042" t="s">
        <v>388</v>
      </c>
      <c r="C2042" t="s">
        <v>2008</v>
      </c>
      <c r="D2042">
        <v>3</v>
      </c>
      <c r="E2042" s="16">
        <v>15.69</v>
      </c>
      <c r="F2042" s="1">
        <v>44964</v>
      </c>
      <c r="G2042" t="s">
        <v>2018</v>
      </c>
      <c r="H2042">
        <v>5</v>
      </c>
      <c r="I2042" s="12">
        <f>Table16[[#This Row],[price]]*Table16[[#This Row],[quantity]]</f>
        <v>47.07</v>
      </c>
    </row>
    <row r="2043" spans="1:9" x14ac:dyDescent="0.3">
      <c r="A2043" t="s">
        <v>4062</v>
      </c>
      <c r="B2043" t="s">
        <v>389</v>
      </c>
      <c r="C2043" t="s">
        <v>2011</v>
      </c>
      <c r="D2043">
        <v>5</v>
      </c>
      <c r="E2043" s="16">
        <v>203.3</v>
      </c>
      <c r="F2043" s="1">
        <v>44309</v>
      </c>
      <c r="G2043" t="s">
        <v>2027</v>
      </c>
      <c r="H2043">
        <v>2</v>
      </c>
      <c r="I2043" s="12">
        <f>Table16[[#This Row],[price]]*Table16[[#This Row],[quantity]]</f>
        <v>1016.5</v>
      </c>
    </row>
    <row r="2044" spans="1:9" x14ac:dyDescent="0.3">
      <c r="A2044" t="s">
        <v>4059</v>
      </c>
      <c r="B2044" t="s">
        <v>389</v>
      </c>
      <c r="C2044" t="s">
        <v>2008</v>
      </c>
      <c r="D2044">
        <v>4</v>
      </c>
      <c r="E2044" s="16">
        <v>20.92</v>
      </c>
      <c r="F2044" s="1">
        <v>44654</v>
      </c>
      <c r="G2044" t="s">
        <v>2027</v>
      </c>
      <c r="H2044">
        <v>5</v>
      </c>
      <c r="I2044" s="12">
        <f>Table16[[#This Row],[price]]*Table16[[#This Row],[quantity]]</f>
        <v>83.68</v>
      </c>
    </row>
    <row r="2045" spans="1:9" x14ac:dyDescent="0.3">
      <c r="A2045" t="s">
        <v>4061</v>
      </c>
      <c r="B2045" t="s">
        <v>389</v>
      </c>
      <c r="C2045" t="s">
        <v>2001</v>
      </c>
      <c r="D2045">
        <v>5</v>
      </c>
      <c r="E2045" s="16">
        <v>1500.4</v>
      </c>
      <c r="F2045" s="1">
        <v>44721</v>
      </c>
      <c r="G2045" t="s">
        <v>2002</v>
      </c>
      <c r="H2045">
        <v>1</v>
      </c>
      <c r="I2045" s="12">
        <f>Table16[[#This Row],[price]]*Table16[[#This Row],[quantity]]</f>
        <v>7502</v>
      </c>
    </row>
    <row r="2046" spans="1:9" x14ac:dyDescent="0.3">
      <c r="A2046" t="s">
        <v>4060</v>
      </c>
      <c r="B2046" t="s">
        <v>389</v>
      </c>
      <c r="C2046" t="s">
        <v>2011</v>
      </c>
      <c r="D2046">
        <v>3</v>
      </c>
      <c r="E2046" s="16">
        <v>121.98</v>
      </c>
      <c r="F2046" s="1">
        <v>44807</v>
      </c>
      <c r="G2046" t="s">
        <v>2012</v>
      </c>
      <c r="H2046">
        <v>5</v>
      </c>
      <c r="I2046" s="12">
        <f>Table16[[#This Row],[price]]*Table16[[#This Row],[quantity]]</f>
        <v>365.94</v>
      </c>
    </row>
    <row r="2047" spans="1:9" x14ac:dyDescent="0.3">
      <c r="A2047" t="s">
        <v>4063</v>
      </c>
      <c r="B2047" t="s">
        <v>389</v>
      </c>
      <c r="C2047" t="s">
        <v>2011</v>
      </c>
      <c r="D2047">
        <v>3</v>
      </c>
      <c r="E2047" s="16">
        <v>121.98</v>
      </c>
      <c r="F2047" s="1">
        <v>44817</v>
      </c>
      <c r="G2047" t="s">
        <v>2012</v>
      </c>
      <c r="H2047">
        <v>3</v>
      </c>
      <c r="I2047" s="12">
        <f>Table16[[#This Row],[price]]*Table16[[#This Row],[quantity]]</f>
        <v>365.94</v>
      </c>
    </row>
    <row r="2048" spans="1:9" x14ac:dyDescent="0.3">
      <c r="A2048" t="s">
        <v>4066</v>
      </c>
      <c r="B2048" t="s">
        <v>390</v>
      </c>
      <c r="C2048" t="s">
        <v>2008</v>
      </c>
      <c r="D2048">
        <v>1</v>
      </c>
      <c r="E2048" s="16">
        <v>5.23</v>
      </c>
      <c r="F2048" s="1">
        <v>44203</v>
      </c>
      <c r="G2048" t="s">
        <v>2004</v>
      </c>
      <c r="H2048">
        <v>1</v>
      </c>
      <c r="I2048" s="12">
        <f>Table16[[#This Row],[price]]*Table16[[#This Row],[quantity]]</f>
        <v>5.23</v>
      </c>
    </row>
    <row r="2049" spans="1:9" x14ac:dyDescent="0.3">
      <c r="A2049" t="s">
        <v>4065</v>
      </c>
      <c r="B2049" t="s">
        <v>390</v>
      </c>
      <c r="C2049" t="s">
        <v>2001</v>
      </c>
      <c r="D2049">
        <v>1</v>
      </c>
      <c r="E2049" s="16">
        <v>300.08</v>
      </c>
      <c r="F2049" s="1">
        <v>44440</v>
      </c>
      <c r="G2049" t="s">
        <v>2058</v>
      </c>
      <c r="H2049">
        <v>4</v>
      </c>
      <c r="I2049" s="12">
        <f>Table16[[#This Row],[price]]*Table16[[#This Row],[quantity]]</f>
        <v>300.08</v>
      </c>
    </row>
    <row r="2050" spans="1:9" x14ac:dyDescent="0.3">
      <c r="A2050" t="s">
        <v>4064</v>
      </c>
      <c r="B2050" t="s">
        <v>390</v>
      </c>
      <c r="C2050" t="s">
        <v>2008</v>
      </c>
      <c r="D2050">
        <v>4</v>
      </c>
      <c r="E2050" s="16">
        <v>20.92</v>
      </c>
      <c r="F2050" s="1">
        <v>44682</v>
      </c>
      <c r="G2050" t="s">
        <v>2004</v>
      </c>
      <c r="H2050">
        <v>4</v>
      </c>
      <c r="I2050" s="12">
        <f>Table16[[#This Row],[price]]*Table16[[#This Row],[quantity]]</f>
        <v>83.68</v>
      </c>
    </row>
    <row r="2051" spans="1:9" x14ac:dyDescent="0.3">
      <c r="A2051" t="s">
        <v>4070</v>
      </c>
      <c r="B2051" t="s">
        <v>391</v>
      </c>
      <c r="C2051" t="s">
        <v>2001</v>
      </c>
      <c r="D2051">
        <v>1</v>
      </c>
      <c r="E2051" s="16">
        <v>300.08</v>
      </c>
      <c r="F2051" s="1">
        <v>44596</v>
      </c>
      <c r="G2051" t="s">
        <v>2004</v>
      </c>
      <c r="H2051">
        <v>4</v>
      </c>
      <c r="I2051" s="12">
        <f>Table16[[#This Row],[price]]*Table16[[#This Row],[quantity]]</f>
        <v>300.08</v>
      </c>
    </row>
    <row r="2052" spans="1:9" x14ac:dyDescent="0.3">
      <c r="A2052" t="s">
        <v>4072</v>
      </c>
      <c r="B2052" t="s">
        <v>391</v>
      </c>
      <c r="C2052" t="s">
        <v>2001</v>
      </c>
      <c r="D2052">
        <v>1</v>
      </c>
      <c r="E2052" s="16">
        <v>300.08</v>
      </c>
      <c r="F2052" s="1">
        <v>44830</v>
      </c>
      <c r="G2052" t="s">
        <v>2004</v>
      </c>
      <c r="H2052">
        <v>4</v>
      </c>
      <c r="I2052" s="12">
        <f>Table16[[#This Row],[price]]*Table16[[#This Row],[quantity]]</f>
        <v>300.08</v>
      </c>
    </row>
    <row r="2053" spans="1:9" x14ac:dyDescent="0.3">
      <c r="A2053" t="s">
        <v>4069</v>
      </c>
      <c r="B2053" t="s">
        <v>391</v>
      </c>
      <c r="C2053" t="s">
        <v>2001</v>
      </c>
      <c r="D2053">
        <v>3</v>
      </c>
      <c r="E2053" s="16">
        <v>900.24</v>
      </c>
      <c r="F2053" s="1">
        <v>44845</v>
      </c>
      <c r="G2053" t="s">
        <v>2027</v>
      </c>
      <c r="H2053">
        <v>2</v>
      </c>
      <c r="I2053" s="12">
        <f>Table16[[#This Row],[price]]*Table16[[#This Row],[quantity]]</f>
        <v>2700.7200000000003</v>
      </c>
    </row>
    <row r="2054" spans="1:9" x14ac:dyDescent="0.3">
      <c r="A2054" t="s">
        <v>4071</v>
      </c>
      <c r="B2054" t="s">
        <v>391</v>
      </c>
      <c r="C2054" t="s">
        <v>2001</v>
      </c>
      <c r="D2054">
        <v>5</v>
      </c>
      <c r="E2054" s="16">
        <v>1500.4</v>
      </c>
      <c r="F2054" s="1">
        <v>44867</v>
      </c>
      <c r="G2054" t="s">
        <v>2009</v>
      </c>
      <c r="H2054">
        <v>3</v>
      </c>
      <c r="I2054" s="12">
        <f>Table16[[#This Row],[price]]*Table16[[#This Row],[quantity]]</f>
        <v>7502</v>
      </c>
    </row>
    <row r="2055" spans="1:9" x14ac:dyDescent="0.3">
      <c r="A2055" t="s">
        <v>4068</v>
      </c>
      <c r="B2055" t="s">
        <v>391</v>
      </c>
      <c r="C2055" t="s">
        <v>2017</v>
      </c>
      <c r="D2055">
        <v>2</v>
      </c>
      <c r="E2055" s="16">
        <v>2100</v>
      </c>
      <c r="F2055" s="1">
        <v>44978</v>
      </c>
      <c r="G2055" t="s">
        <v>2020</v>
      </c>
      <c r="H2055">
        <v>3</v>
      </c>
      <c r="I2055" s="12">
        <f>Table16[[#This Row],[price]]*Table16[[#This Row],[quantity]]</f>
        <v>4200</v>
      </c>
    </row>
    <row r="2056" spans="1:9" x14ac:dyDescent="0.3">
      <c r="A2056" t="s">
        <v>4067</v>
      </c>
      <c r="B2056" t="s">
        <v>391</v>
      </c>
      <c r="C2056" t="s">
        <v>2006</v>
      </c>
      <c r="D2056">
        <v>1</v>
      </c>
      <c r="E2056" s="16">
        <v>15.15</v>
      </c>
      <c r="F2056" s="1">
        <v>44979</v>
      </c>
      <c r="G2056" t="s">
        <v>2004</v>
      </c>
      <c r="H2056">
        <v>3</v>
      </c>
      <c r="I2056" s="12">
        <f>Table16[[#This Row],[price]]*Table16[[#This Row],[quantity]]</f>
        <v>15.15</v>
      </c>
    </row>
    <row r="2057" spans="1:9" x14ac:dyDescent="0.3">
      <c r="A2057" t="s">
        <v>4073</v>
      </c>
      <c r="B2057" t="s">
        <v>392</v>
      </c>
      <c r="C2057" t="s">
        <v>2008</v>
      </c>
      <c r="D2057">
        <v>2</v>
      </c>
      <c r="E2057" s="16">
        <v>10.46</v>
      </c>
      <c r="F2057" s="1">
        <v>44352</v>
      </c>
      <c r="G2057" t="s">
        <v>2004</v>
      </c>
      <c r="H2057">
        <v>3</v>
      </c>
      <c r="I2057" s="12">
        <f>Table16[[#This Row],[price]]*Table16[[#This Row],[quantity]]</f>
        <v>20.92</v>
      </c>
    </row>
    <row r="2058" spans="1:9" x14ac:dyDescent="0.3">
      <c r="A2058" t="s">
        <v>4075</v>
      </c>
      <c r="B2058" t="s">
        <v>392</v>
      </c>
      <c r="C2058" t="s">
        <v>2006</v>
      </c>
      <c r="D2058">
        <v>2</v>
      </c>
      <c r="E2058" s="16">
        <v>30.3</v>
      </c>
      <c r="F2058" s="1">
        <v>44369</v>
      </c>
      <c r="G2058" t="s">
        <v>2020</v>
      </c>
      <c r="H2058">
        <v>2</v>
      </c>
      <c r="I2058" s="12">
        <f>Table16[[#This Row],[price]]*Table16[[#This Row],[quantity]]</f>
        <v>60.6</v>
      </c>
    </row>
    <row r="2059" spans="1:9" x14ac:dyDescent="0.3">
      <c r="A2059" t="s">
        <v>4077</v>
      </c>
      <c r="B2059" t="s">
        <v>392</v>
      </c>
      <c r="C2059" t="s">
        <v>2024</v>
      </c>
      <c r="D2059">
        <v>2</v>
      </c>
      <c r="E2059" s="16">
        <v>71.680000000000007</v>
      </c>
      <c r="F2059" s="1">
        <v>44787</v>
      </c>
      <c r="G2059" t="s">
        <v>2002</v>
      </c>
      <c r="H2059">
        <v>3</v>
      </c>
      <c r="I2059" s="12">
        <f>Table16[[#This Row],[price]]*Table16[[#This Row],[quantity]]</f>
        <v>143.36000000000001</v>
      </c>
    </row>
    <row r="2060" spans="1:9" x14ac:dyDescent="0.3">
      <c r="A2060" t="s">
        <v>4074</v>
      </c>
      <c r="B2060" t="s">
        <v>392</v>
      </c>
      <c r="C2060" t="s">
        <v>2001</v>
      </c>
      <c r="D2060">
        <v>5</v>
      </c>
      <c r="E2060" s="16">
        <v>1500.4</v>
      </c>
      <c r="F2060" s="1">
        <v>44926</v>
      </c>
      <c r="G2060" t="s">
        <v>2004</v>
      </c>
      <c r="H2060">
        <v>3</v>
      </c>
      <c r="I2060" s="12">
        <f>Table16[[#This Row],[price]]*Table16[[#This Row],[quantity]]</f>
        <v>7502</v>
      </c>
    </row>
    <row r="2061" spans="1:9" x14ac:dyDescent="0.3">
      <c r="A2061" t="s">
        <v>4076</v>
      </c>
      <c r="B2061" t="s">
        <v>392</v>
      </c>
      <c r="C2061" t="s">
        <v>2017</v>
      </c>
      <c r="D2061">
        <v>4</v>
      </c>
      <c r="E2061" s="16">
        <v>4200</v>
      </c>
      <c r="F2061" s="1">
        <v>44956</v>
      </c>
      <c r="G2061" t="s">
        <v>2002</v>
      </c>
      <c r="H2061">
        <v>2</v>
      </c>
      <c r="I2061" s="12">
        <f>Table16[[#This Row],[price]]*Table16[[#This Row],[quantity]]</f>
        <v>16800</v>
      </c>
    </row>
    <row r="2062" spans="1:9" x14ac:dyDescent="0.3">
      <c r="A2062" t="s">
        <v>4080</v>
      </c>
      <c r="B2062" t="s">
        <v>393</v>
      </c>
      <c r="C2062" t="s">
        <v>2001</v>
      </c>
      <c r="D2062">
        <v>2</v>
      </c>
      <c r="E2062" s="16">
        <v>600.16</v>
      </c>
      <c r="F2062" s="1">
        <v>44371</v>
      </c>
      <c r="G2062" t="s">
        <v>2027</v>
      </c>
      <c r="H2062">
        <v>2</v>
      </c>
      <c r="I2062" s="12">
        <f>Table16[[#This Row],[price]]*Table16[[#This Row],[quantity]]</f>
        <v>1200.32</v>
      </c>
    </row>
    <row r="2063" spans="1:9" x14ac:dyDescent="0.3">
      <c r="A2063" t="s">
        <v>4079</v>
      </c>
      <c r="B2063" t="s">
        <v>393</v>
      </c>
      <c r="C2063" t="s">
        <v>2011</v>
      </c>
      <c r="D2063">
        <v>1</v>
      </c>
      <c r="E2063" s="16">
        <v>40.659999999999997</v>
      </c>
      <c r="F2063" s="1">
        <v>44766</v>
      </c>
      <c r="G2063" t="s">
        <v>2004</v>
      </c>
      <c r="H2063">
        <v>2</v>
      </c>
      <c r="I2063" s="12">
        <f>Table16[[#This Row],[price]]*Table16[[#This Row],[quantity]]</f>
        <v>40.659999999999997</v>
      </c>
    </row>
    <row r="2064" spans="1:9" x14ac:dyDescent="0.3">
      <c r="A2064" t="s">
        <v>4078</v>
      </c>
      <c r="B2064" t="s">
        <v>393</v>
      </c>
      <c r="C2064" t="s">
        <v>2008</v>
      </c>
      <c r="D2064">
        <v>5</v>
      </c>
      <c r="E2064" s="16">
        <v>26.15</v>
      </c>
      <c r="F2064" s="1">
        <v>44822</v>
      </c>
      <c r="G2064" t="s">
        <v>2041</v>
      </c>
      <c r="H2064">
        <v>3</v>
      </c>
      <c r="I2064" s="12">
        <f>Table16[[#This Row],[price]]*Table16[[#This Row],[quantity]]</f>
        <v>130.75</v>
      </c>
    </row>
    <row r="2065" spans="1:9" x14ac:dyDescent="0.3">
      <c r="A2065" t="s">
        <v>4081</v>
      </c>
      <c r="B2065" t="s">
        <v>394</v>
      </c>
      <c r="C2065" t="s">
        <v>2006</v>
      </c>
      <c r="D2065">
        <v>1</v>
      </c>
      <c r="E2065" s="16">
        <v>15.15</v>
      </c>
      <c r="F2065" s="1">
        <v>44668</v>
      </c>
      <c r="G2065" t="s">
        <v>2004</v>
      </c>
      <c r="H2065">
        <v>3</v>
      </c>
      <c r="I2065" s="12">
        <f>Table16[[#This Row],[price]]*Table16[[#This Row],[quantity]]</f>
        <v>15.15</v>
      </c>
    </row>
    <row r="2066" spans="1:9" x14ac:dyDescent="0.3">
      <c r="A2066" t="s">
        <v>4083</v>
      </c>
      <c r="B2066" t="s">
        <v>395</v>
      </c>
      <c r="C2066" t="s">
        <v>2024</v>
      </c>
      <c r="D2066">
        <v>3</v>
      </c>
      <c r="E2066" s="16">
        <v>107.52</v>
      </c>
      <c r="F2066" s="1">
        <v>44315</v>
      </c>
      <c r="G2066" t="s">
        <v>2004</v>
      </c>
      <c r="H2066">
        <v>3</v>
      </c>
      <c r="I2066" s="12">
        <f>Table16[[#This Row],[price]]*Table16[[#This Row],[quantity]]</f>
        <v>322.56</v>
      </c>
    </row>
    <row r="2067" spans="1:9" x14ac:dyDescent="0.3">
      <c r="A2067" t="s">
        <v>4085</v>
      </c>
      <c r="B2067" t="s">
        <v>395</v>
      </c>
      <c r="C2067" t="s">
        <v>2015</v>
      </c>
      <c r="D2067">
        <v>1</v>
      </c>
      <c r="E2067" s="16">
        <v>600.16999999999996</v>
      </c>
      <c r="F2067" s="1">
        <v>44343</v>
      </c>
      <c r="G2067" t="s">
        <v>2027</v>
      </c>
      <c r="H2067">
        <v>5</v>
      </c>
      <c r="I2067" s="12">
        <f>Table16[[#This Row],[price]]*Table16[[#This Row],[quantity]]</f>
        <v>600.16999999999996</v>
      </c>
    </row>
    <row r="2068" spans="1:9" x14ac:dyDescent="0.3">
      <c r="A2068" t="s">
        <v>4086</v>
      </c>
      <c r="B2068" t="s">
        <v>395</v>
      </c>
      <c r="C2068" t="s">
        <v>2015</v>
      </c>
      <c r="D2068">
        <v>4</v>
      </c>
      <c r="E2068" s="16">
        <v>2400.6799999999998</v>
      </c>
      <c r="F2068" s="1">
        <v>44368</v>
      </c>
      <c r="G2068" t="s">
        <v>2064</v>
      </c>
      <c r="H2068">
        <v>3</v>
      </c>
      <c r="I2068" s="12">
        <f>Table16[[#This Row],[price]]*Table16[[#This Row],[quantity]]</f>
        <v>9602.7199999999993</v>
      </c>
    </row>
    <row r="2069" spans="1:9" x14ac:dyDescent="0.3">
      <c r="A2069" t="s">
        <v>4084</v>
      </c>
      <c r="B2069" t="s">
        <v>395</v>
      </c>
      <c r="C2069" t="s">
        <v>2001</v>
      </c>
      <c r="D2069">
        <v>4</v>
      </c>
      <c r="E2069" s="16">
        <v>1200.32</v>
      </c>
      <c r="F2069" s="1">
        <v>44568</v>
      </c>
      <c r="G2069" t="s">
        <v>2027</v>
      </c>
      <c r="H2069">
        <v>3</v>
      </c>
      <c r="I2069" s="12">
        <f>Table16[[#This Row],[price]]*Table16[[#This Row],[quantity]]</f>
        <v>4801.28</v>
      </c>
    </row>
    <row r="2070" spans="1:9" x14ac:dyDescent="0.3">
      <c r="A2070" t="s">
        <v>4082</v>
      </c>
      <c r="B2070" t="s">
        <v>395</v>
      </c>
      <c r="C2070" t="s">
        <v>2057</v>
      </c>
      <c r="D2070">
        <v>3</v>
      </c>
      <c r="E2070" s="16">
        <v>35.19</v>
      </c>
      <c r="F2070" s="1">
        <v>44804</v>
      </c>
      <c r="G2070" t="s">
        <v>2004</v>
      </c>
      <c r="H2070">
        <v>1</v>
      </c>
      <c r="I2070" s="12">
        <f>Table16[[#This Row],[price]]*Table16[[#This Row],[quantity]]</f>
        <v>105.57</v>
      </c>
    </row>
    <row r="2071" spans="1:9" x14ac:dyDescent="0.3">
      <c r="A2071" t="s">
        <v>4089</v>
      </c>
      <c r="B2071" t="s">
        <v>396</v>
      </c>
      <c r="C2071" t="s">
        <v>2008</v>
      </c>
      <c r="D2071">
        <v>4</v>
      </c>
      <c r="E2071" s="16">
        <v>20.92</v>
      </c>
      <c r="F2071" s="1">
        <v>44273</v>
      </c>
      <c r="G2071" t="s">
        <v>2064</v>
      </c>
      <c r="H2071">
        <v>2</v>
      </c>
      <c r="I2071" s="12">
        <f>Table16[[#This Row],[price]]*Table16[[#This Row],[quantity]]</f>
        <v>83.68</v>
      </c>
    </row>
    <row r="2072" spans="1:9" x14ac:dyDescent="0.3">
      <c r="A2072" t="s">
        <v>4092</v>
      </c>
      <c r="B2072" t="s">
        <v>396</v>
      </c>
      <c r="C2072" t="s">
        <v>2057</v>
      </c>
      <c r="D2072">
        <v>2</v>
      </c>
      <c r="E2072" s="16">
        <v>23.46</v>
      </c>
      <c r="F2072" s="1">
        <v>44505</v>
      </c>
      <c r="G2072" t="s">
        <v>2018</v>
      </c>
      <c r="H2072">
        <v>5</v>
      </c>
      <c r="I2072" s="12">
        <f>Table16[[#This Row],[price]]*Table16[[#This Row],[quantity]]</f>
        <v>46.92</v>
      </c>
    </row>
    <row r="2073" spans="1:9" x14ac:dyDescent="0.3">
      <c r="A2073" t="s">
        <v>4087</v>
      </c>
      <c r="B2073" t="s">
        <v>396</v>
      </c>
      <c r="C2073" t="s">
        <v>2001</v>
      </c>
      <c r="D2073">
        <v>3</v>
      </c>
      <c r="E2073" s="16">
        <v>900.24</v>
      </c>
      <c r="F2073" s="1">
        <v>44527</v>
      </c>
      <c r="G2073" t="s">
        <v>2064</v>
      </c>
      <c r="H2073">
        <v>1</v>
      </c>
      <c r="I2073" s="12">
        <f>Table16[[#This Row],[price]]*Table16[[#This Row],[quantity]]</f>
        <v>2700.7200000000003</v>
      </c>
    </row>
    <row r="2074" spans="1:9" x14ac:dyDescent="0.3">
      <c r="A2074" t="s">
        <v>4088</v>
      </c>
      <c r="B2074" t="s">
        <v>396</v>
      </c>
      <c r="C2074" t="s">
        <v>2001</v>
      </c>
      <c r="D2074">
        <v>2</v>
      </c>
      <c r="E2074" s="16">
        <v>600.16</v>
      </c>
      <c r="F2074" s="1">
        <v>44709</v>
      </c>
      <c r="G2074" t="s">
        <v>2002</v>
      </c>
      <c r="H2074">
        <v>2</v>
      </c>
      <c r="I2074" s="12">
        <f>Table16[[#This Row],[price]]*Table16[[#This Row],[quantity]]</f>
        <v>1200.32</v>
      </c>
    </row>
    <row r="2075" spans="1:9" x14ac:dyDescent="0.3">
      <c r="A2075" t="s">
        <v>4090</v>
      </c>
      <c r="B2075" t="s">
        <v>396</v>
      </c>
      <c r="C2075" t="s">
        <v>2001</v>
      </c>
      <c r="D2075">
        <v>4</v>
      </c>
      <c r="E2075" s="16">
        <v>1200.32</v>
      </c>
      <c r="F2075" s="1">
        <v>44715</v>
      </c>
      <c r="G2075" t="s">
        <v>2020</v>
      </c>
      <c r="H2075">
        <v>4</v>
      </c>
      <c r="I2075" s="12">
        <f>Table16[[#This Row],[price]]*Table16[[#This Row],[quantity]]</f>
        <v>4801.28</v>
      </c>
    </row>
    <row r="2076" spans="1:9" x14ac:dyDescent="0.3">
      <c r="A2076" t="s">
        <v>4091</v>
      </c>
      <c r="B2076" t="s">
        <v>396</v>
      </c>
      <c r="C2076" t="s">
        <v>2001</v>
      </c>
      <c r="D2076">
        <v>4</v>
      </c>
      <c r="E2076" s="16">
        <v>1200.32</v>
      </c>
      <c r="F2076" s="1">
        <v>44897</v>
      </c>
      <c r="G2076" t="s">
        <v>2004</v>
      </c>
      <c r="H2076">
        <v>5</v>
      </c>
      <c r="I2076" s="12">
        <f>Table16[[#This Row],[price]]*Table16[[#This Row],[quantity]]</f>
        <v>4801.28</v>
      </c>
    </row>
    <row r="2077" spans="1:9" x14ac:dyDescent="0.3">
      <c r="A2077" t="s">
        <v>4093</v>
      </c>
      <c r="B2077" t="s">
        <v>397</v>
      </c>
      <c r="C2077" t="s">
        <v>2001</v>
      </c>
      <c r="D2077">
        <v>2</v>
      </c>
      <c r="E2077" s="16">
        <v>600.16</v>
      </c>
      <c r="F2077" s="1">
        <v>44351</v>
      </c>
      <c r="G2077" t="s">
        <v>2020</v>
      </c>
      <c r="H2077">
        <v>3</v>
      </c>
      <c r="I2077" s="12">
        <f>Table16[[#This Row],[price]]*Table16[[#This Row],[quantity]]</f>
        <v>1200.32</v>
      </c>
    </row>
    <row r="2078" spans="1:9" x14ac:dyDescent="0.3">
      <c r="A2078" t="s">
        <v>4096</v>
      </c>
      <c r="B2078" t="s">
        <v>398</v>
      </c>
      <c r="C2078" t="s">
        <v>2001</v>
      </c>
      <c r="D2078">
        <v>5</v>
      </c>
      <c r="E2078" s="16">
        <v>1500.4</v>
      </c>
      <c r="F2078" s="1">
        <v>44247</v>
      </c>
      <c r="G2078" t="s">
        <v>2018</v>
      </c>
      <c r="H2078">
        <v>4</v>
      </c>
      <c r="I2078" s="12">
        <f>Table16[[#This Row],[price]]*Table16[[#This Row],[quantity]]</f>
        <v>7502</v>
      </c>
    </row>
    <row r="2079" spans="1:9" x14ac:dyDescent="0.3">
      <c r="A2079" t="s">
        <v>4099</v>
      </c>
      <c r="B2079" t="s">
        <v>398</v>
      </c>
      <c r="C2079" t="s">
        <v>2001</v>
      </c>
      <c r="D2079">
        <v>3</v>
      </c>
      <c r="E2079" s="16">
        <v>900.24</v>
      </c>
      <c r="F2079" s="1">
        <v>44301</v>
      </c>
      <c r="G2079" t="s">
        <v>2018</v>
      </c>
      <c r="H2079">
        <v>3</v>
      </c>
      <c r="I2079" s="12">
        <f>Table16[[#This Row],[price]]*Table16[[#This Row],[quantity]]</f>
        <v>2700.7200000000003</v>
      </c>
    </row>
    <row r="2080" spans="1:9" x14ac:dyDescent="0.3">
      <c r="A2080" t="s">
        <v>4097</v>
      </c>
      <c r="B2080" t="s">
        <v>398</v>
      </c>
      <c r="C2080" t="s">
        <v>2017</v>
      </c>
      <c r="D2080">
        <v>4</v>
      </c>
      <c r="E2080" s="16">
        <v>4200</v>
      </c>
      <c r="F2080" s="1">
        <v>44513</v>
      </c>
      <c r="G2080" t="s">
        <v>2064</v>
      </c>
      <c r="H2080">
        <v>1</v>
      </c>
      <c r="I2080" s="12">
        <f>Table16[[#This Row],[price]]*Table16[[#This Row],[quantity]]</f>
        <v>16800</v>
      </c>
    </row>
    <row r="2081" spans="1:9" x14ac:dyDescent="0.3">
      <c r="A2081" t="s">
        <v>4098</v>
      </c>
      <c r="B2081" t="s">
        <v>398</v>
      </c>
      <c r="C2081" t="s">
        <v>2008</v>
      </c>
      <c r="D2081">
        <v>1</v>
      </c>
      <c r="E2081" s="16">
        <v>5.23</v>
      </c>
      <c r="F2081" s="1">
        <v>44694</v>
      </c>
      <c r="G2081" t="s">
        <v>2027</v>
      </c>
      <c r="H2081">
        <v>4</v>
      </c>
      <c r="I2081" s="12">
        <f>Table16[[#This Row],[price]]*Table16[[#This Row],[quantity]]</f>
        <v>5.23</v>
      </c>
    </row>
    <row r="2082" spans="1:9" x14ac:dyDescent="0.3">
      <c r="A2082" t="s">
        <v>4094</v>
      </c>
      <c r="B2082" t="s">
        <v>398</v>
      </c>
      <c r="C2082" t="s">
        <v>2008</v>
      </c>
      <c r="D2082">
        <v>1</v>
      </c>
      <c r="E2082" s="16">
        <v>5.23</v>
      </c>
      <c r="F2082" s="1">
        <v>44782</v>
      </c>
      <c r="G2082" t="s">
        <v>2064</v>
      </c>
      <c r="H2082">
        <v>3</v>
      </c>
      <c r="I2082" s="12">
        <f>Table16[[#This Row],[price]]*Table16[[#This Row],[quantity]]</f>
        <v>5.23</v>
      </c>
    </row>
    <row r="2083" spans="1:9" x14ac:dyDescent="0.3">
      <c r="A2083" t="s">
        <v>4095</v>
      </c>
      <c r="B2083" t="s">
        <v>398</v>
      </c>
      <c r="C2083" t="s">
        <v>2001</v>
      </c>
      <c r="D2083">
        <v>5</v>
      </c>
      <c r="E2083" s="16">
        <v>1500.4</v>
      </c>
      <c r="F2083" s="1">
        <v>44991</v>
      </c>
      <c r="G2083" t="s">
        <v>2002</v>
      </c>
      <c r="H2083">
        <v>1</v>
      </c>
      <c r="I2083" s="12">
        <f>Table16[[#This Row],[price]]*Table16[[#This Row],[quantity]]</f>
        <v>7502</v>
      </c>
    </row>
    <row r="2084" spans="1:9" x14ac:dyDescent="0.3">
      <c r="A2084" t="s">
        <v>4101</v>
      </c>
      <c r="B2084" t="s">
        <v>399</v>
      </c>
      <c r="C2084" t="s">
        <v>2024</v>
      </c>
      <c r="D2084">
        <v>1</v>
      </c>
      <c r="E2084" s="16">
        <v>35.840000000000003</v>
      </c>
      <c r="F2084" s="1">
        <v>44427</v>
      </c>
      <c r="G2084" t="s">
        <v>2018</v>
      </c>
      <c r="H2084">
        <v>2</v>
      </c>
      <c r="I2084" s="12">
        <f>Table16[[#This Row],[price]]*Table16[[#This Row],[quantity]]</f>
        <v>35.840000000000003</v>
      </c>
    </row>
    <row r="2085" spans="1:9" x14ac:dyDescent="0.3">
      <c r="A2085" t="s">
        <v>4102</v>
      </c>
      <c r="B2085" t="s">
        <v>399</v>
      </c>
      <c r="C2085" t="s">
        <v>2001</v>
      </c>
      <c r="D2085">
        <v>2</v>
      </c>
      <c r="E2085" s="16">
        <v>600.16</v>
      </c>
      <c r="F2085" s="1">
        <v>44543</v>
      </c>
      <c r="G2085" t="s">
        <v>2002</v>
      </c>
      <c r="H2085">
        <v>1</v>
      </c>
      <c r="I2085" s="12">
        <f>Table16[[#This Row],[price]]*Table16[[#This Row],[quantity]]</f>
        <v>1200.32</v>
      </c>
    </row>
    <row r="2086" spans="1:9" x14ac:dyDescent="0.3">
      <c r="A2086" t="s">
        <v>4100</v>
      </c>
      <c r="B2086" t="s">
        <v>399</v>
      </c>
      <c r="C2086" t="s">
        <v>2001</v>
      </c>
      <c r="D2086">
        <v>1</v>
      </c>
      <c r="E2086" s="16">
        <v>300.08</v>
      </c>
      <c r="F2086" s="1">
        <v>44565</v>
      </c>
      <c r="G2086" t="s">
        <v>2002</v>
      </c>
      <c r="H2086">
        <v>2</v>
      </c>
      <c r="I2086" s="12">
        <f>Table16[[#This Row],[price]]*Table16[[#This Row],[quantity]]</f>
        <v>300.08</v>
      </c>
    </row>
    <row r="2087" spans="1:9" x14ac:dyDescent="0.3">
      <c r="A2087" t="s">
        <v>4106</v>
      </c>
      <c r="B2087" t="s">
        <v>400</v>
      </c>
      <c r="C2087" t="s">
        <v>2011</v>
      </c>
      <c r="D2087">
        <v>5</v>
      </c>
      <c r="E2087" s="16">
        <v>203.3</v>
      </c>
      <c r="F2087" s="1">
        <v>44745</v>
      </c>
      <c r="G2087" t="s">
        <v>2004</v>
      </c>
      <c r="H2087">
        <v>1</v>
      </c>
      <c r="I2087" s="12">
        <f>Table16[[#This Row],[price]]*Table16[[#This Row],[quantity]]</f>
        <v>1016.5</v>
      </c>
    </row>
    <row r="2088" spans="1:9" x14ac:dyDescent="0.3">
      <c r="A2088" t="s">
        <v>4107</v>
      </c>
      <c r="B2088" t="s">
        <v>400</v>
      </c>
      <c r="C2088" t="s">
        <v>2006</v>
      </c>
      <c r="D2088">
        <v>4</v>
      </c>
      <c r="E2088" s="16">
        <v>60.6</v>
      </c>
      <c r="F2088" s="1">
        <v>44777</v>
      </c>
      <c r="G2088" t="s">
        <v>2041</v>
      </c>
      <c r="H2088">
        <v>4</v>
      </c>
      <c r="I2088" s="12">
        <f>Table16[[#This Row],[price]]*Table16[[#This Row],[quantity]]</f>
        <v>242.4</v>
      </c>
    </row>
    <row r="2089" spans="1:9" x14ac:dyDescent="0.3">
      <c r="A2089" t="s">
        <v>4104</v>
      </c>
      <c r="B2089" t="s">
        <v>400</v>
      </c>
      <c r="C2089" t="s">
        <v>2015</v>
      </c>
      <c r="D2089">
        <v>4</v>
      </c>
      <c r="E2089" s="16">
        <v>2400.6799999999998</v>
      </c>
      <c r="F2089" s="1">
        <v>44803</v>
      </c>
      <c r="G2089" t="s">
        <v>2012</v>
      </c>
      <c r="H2089">
        <v>4</v>
      </c>
      <c r="I2089" s="12">
        <f>Table16[[#This Row],[price]]*Table16[[#This Row],[quantity]]</f>
        <v>9602.7199999999993</v>
      </c>
    </row>
    <row r="2090" spans="1:9" x14ac:dyDescent="0.3">
      <c r="A2090" t="s">
        <v>4103</v>
      </c>
      <c r="B2090" t="s">
        <v>400</v>
      </c>
      <c r="C2090" t="s">
        <v>2001</v>
      </c>
      <c r="D2090">
        <v>3</v>
      </c>
      <c r="E2090" s="16">
        <v>900.24</v>
      </c>
      <c r="F2090" s="1">
        <v>44823</v>
      </c>
      <c r="G2090" t="s">
        <v>2020</v>
      </c>
      <c r="H2090">
        <v>5</v>
      </c>
      <c r="I2090" s="12">
        <f>Table16[[#This Row],[price]]*Table16[[#This Row],[quantity]]</f>
        <v>2700.7200000000003</v>
      </c>
    </row>
    <row r="2091" spans="1:9" x14ac:dyDescent="0.3">
      <c r="A2091" t="s">
        <v>4105</v>
      </c>
      <c r="B2091" t="s">
        <v>400</v>
      </c>
      <c r="C2091" t="s">
        <v>2001</v>
      </c>
      <c r="D2091">
        <v>4</v>
      </c>
      <c r="E2091" s="16">
        <v>1200.32</v>
      </c>
      <c r="F2091" s="1">
        <v>44958</v>
      </c>
      <c r="G2091" t="s">
        <v>2041</v>
      </c>
      <c r="H2091">
        <v>3</v>
      </c>
      <c r="I2091" s="12">
        <f>Table16[[#This Row],[price]]*Table16[[#This Row],[quantity]]</f>
        <v>4801.28</v>
      </c>
    </row>
    <row r="2092" spans="1:9" x14ac:dyDescent="0.3">
      <c r="A2092" t="s">
        <v>4108</v>
      </c>
      <c r="B2092" t="s">
        <v>401</v>
      </c>
      <c r="C2092" t="s">
        <v>2008</v>
      </c>
      <c r="D2092">
        <v>3</v>
      </c>
      <c r="E2092" s="16">
        <v>15.69</v>
      </c>
      <c r="F2092" s="1">
        <v>44761</v>
      </c>
      <c r="G2092" t="s">
        <v>2020</v>
      </c>
      <c r="H2092">
        <v>1</v>
      </c>
      <c r="I2092" s="12">
        <f>Table16[[#This Row],[price]]*Table16[[#This Row],[quantity]]</f>
        <v>47.07</v>
      </c>
    </row>
    <row r="2093" spans="1:9" x14ac:dyDescent="0.3">
      <c r="A2093" t="s">
        <v>4109</v>
      </c>
      <c r="B2093" t="s">
        <v>402</v>
      </c>
      <c r="C2093" t="s">
        <v>2011</v>
      </c>
      <c r="D2093">
        <v>1</v>
      </c>
      <c r="E2093" s="16">
        <v>40.659999999999997</v>
      </c>
      <c r="F2093" s="1">
        <v>44552</v>
      </c>
      <c r="G2093" t="s">
        <v>2002</v>
      </c>
      <c r="H2093">
        <v>2</v>
      </c>
      <c r="I2093" s="12">
        <f>Table16[[#This Row],[price]]*Table16[[#This Row],[quantity]]</f>
        <v>40.659999999999997</v>
      </c>
    </row>
    <row r="2094" spans="1:9" x14ac:dyDescent="0.3">
      <c r="A2094" t="s">
        <v>4111</v>
      </c>
      <c r="B2094" t="s">
        <v>403</v>
      </c>
      <c r="C2094" t="s">
        <v>2011</v>
      </c>
      <c r="D2094">
        <v>1</v>
      </c>
      <c r="E2094" s="16">
        <v>40.659999999999997</v>
      </c>
      <c r="F2094" s="1">
        <v>44391</v>
      </c>
      <c r="G2094" t="s">
        <v>2064</v>
      </c>
      <c r="H2094">
        <v>2</v>
      </c>
      <c r="I2094" s="12">
        <f>Table16[[#This Row],[price]]*Table16[[#This Row],[quantity]]</f>
        <v>40.659999999999997</v>
      </c>
    </row>
    <row r="2095" spans="1:9" x14ac:dyDescent="0.3">
      <c r="A2095" t="s">
        <v>4110</v>
      </c>
      <c r="B2095" t="s">
        <v>403</v>
      </c>
      <c r="C2095" t="s">
        <v>2011</v>
      </c>
      <c r="D2095">
        <v>4</v>
      </c>
      <c r="E2095" s="16">
        <v>162.63999999999999</v>
      </c>
      <c r="F2095" s="1">
        <v>44469</v>
      </c>
      <c r="G2095" t="s">
        <v>2002</v>
      </c>
      <c r="H2095">
        <v>2</v>
      </c>
      <c r="I2095" s="12">
        <f>Table16[[#This Row],[price]]*Table16[[#This Row],[quantity]]</f>
        <v>650.55999999999995</v>
      </c>
    </row>
    <row r="2096" spans="1:9" x14ac:dyDescent="0.3">
      <c r="A2096" t="s">
        <v>4113</v>
      </c>
      <c r="B2096" t="s">
        <v>403</v>
      </c>
      <c r="C2096" t="s">
        <v>2001</v>
      </c>
      <c r="D2096">
        <v>4</v>
      </c>
      <c r="E2096" s="16">
        <v>1200.32</v>
      </c>
      <c r="F2096" s="1">
        <v>44477</v>
      </c>
      <c r="G2096" t="s">
        <v>2004</v>
      </c>
      <c r="H2096">
        <v>1</v>
      </c>
      <c r="I2096" s="12">
        <f>Table16[[#This Row],[price]]*Table16[[#This Row],[quantity]]</f>
        <v>4801.28</v>
      </c>
    </row>
    <row r="2097" spans="1:9" x14ac:dyDescent="0.3">
      <c r="A2097" t="s">
        <v>4112</v>
      </c>
      <c r="B2097" t="s">
        <v>403</v>
      </c>
      <c r="C2097" t="s">
        <v>2001</v>
      </c>
      <c r="D2097">
        <v>3</v>
      </c>
      <c r="E2097" s="16">
        <v>900.24</v>
      </c>
      <c r="F2097" s="1">
        <v>44827</v>
      </c>
      <c r="G2097" t="s">
        <v>2002</v>
      </c>
      <c r="H2097">
        <v>5</v>
      </c>
      <c r="I2097" s="12">
        <f>Table16[[#This Row],[price]]*Table16[[#This Row],[quantity]]</f>
        <v>2700.7200000000003</v>
      </c>
    </row>
    <row r="2098" spans="1:9" x14ac:dyDescent="0.3">
      <c r="A2098" t="s">
        <v>4114</v>
      </c>
      <c r="B2098" t="s">
        <v>404</v>
      </c>
      <c r="C2098" t="s">
        <v>2008</v>
      </c>
      <c r="D2098">
        <v>5</v>
      </c>
      <c r="E2098" s="16">
        <v>26.15</v>
      </c>
      <c r="F2098" s="1">
        <v>44218</v>
      </c>
      <c r="G2098" t="s">
        <v>2064</v>
      </c>
      <c r="H2098">
        <v>5</v>
      </c>
      <c r="I2098" s="12">
        <f>Table16[[#This Row],[price]]*Table16[[#This Row],[quantity]]</f>
        <v>130.75</v>
      </c>
    </row>
    <row r="2099" spans="1:9" x14ac:dyDescent="0.3">
      <c r="A2099" t="s">
        <v>4117</v>
      </c>
      <c r="B2099" t="s">
        <v>404</v>
      </c>
      <c r="C2099" t="s">
        <v>2057</v>
      </c>
      <c r="D2099">
        <v>3</v>
      </c>
      <c r="E2099" s="16">
        <v>35.19</v>
      </c>
      <c r="F2099" s="1">
        <v>44392</v>
      </c>
      <c r="G2099" t="s">
        <v>2027</v>
      </c>
      <c r="H2099">
        <v>4</v>
      </c>
      <c r="I2099" s="12">
        <f>Table16[[#This Row],[price]]*Table16[[#This Row],[quantity]]</f>
        <v>105.57</v>
      </c>
    </row>
    <row r="2100" spans="1:9" x14ac:dyDescent="0.3">
      <c r="A2100" t="s">
        <v>4115</v>
      </c>
      <c r="B2100" t="s">
        <v>404</v>
      </c>
      <c r="C2100" t="s">
        <v>2011</v>
      </c>
      <c r="D2100">
        <v>2</v>
      </c>
      <c r="E2100" s="16">
        <v>81.319999999999993</v>
      </c>
      <c r="F2100" s="1">
        <v>44633</v>
      </c>
      <c r="G2100" t="s">
        <v>2020</v>
      </c>
      <c r="H2100">
        <v>4</v>
      </c>
      <c r="I2100" s="12">
        <f>Table16[[#This Row],[price]]*Table16[[#This Row],[quantity]]</f>
        <v>162.63999999999999</v>
      </c>
    </row>
    <row r="2101" spans="1:9" x14ac:dyDescent="0.3">
      <c r="A2101" t="s">
        <v>4116</v>
      </c>
      <c r="B2101" t="s">
        <v>404</v>
      </c>
      <c r="C2101" t="s">
        <v>2001</v>
      </c>
      <c r="D2101">
        <v>5</v>
      </c>
      <c r="E2101" s="16">
        <v>1500.4</v>
      </c>
      <c r="F2101" s="1">
        <v>44948</v>
      </c>
      <c r="G2101" t="s">
        <v>2012</v>
      </c>
      <c r="H2101">
        <v>4</v>
      </c>
      <c r="I2101" s="12">
        <f>Table16[[#This Row],[price]]*Table16[[#This Row],[quantity]]</f>
        <v>7502</v>
      </c>
    </row>
    <row r="2102" spans="1:9" x14ac:dyDescent="0.3">
      <c r="A2102" t="s">
        <v>4119</v>
      </c>
      <c r="B2102" t="s">
        <v>405</v>
      </c>
      <c r="C2102" t="s">
        <v>2011</v>
      </c>
      <c r="D2102">
        <v>5</v>
      </c>
      <c r="E2102" s="16">
        <v>203.3</v>
      </c>
      <c r="F2102" s="1">
        <v>44627</v>
      </c>
      <c r="G2102" t="s">
        <v>2004</v>
      </c>
      <c r="H2102">
        <v>4</v>
      </c>
      <c r="I2102" s="12">
        <f>Table16[[#This Row],[price]]*Table16[[#This Row],[quantity]]</f>
        <v>1016.5</v>
      </c>
    </row>
    <row r="2103" spans="1:9" x14ac:dyDescent="0.3">
      <c r="A2103" t="s">
        <v>4120</v>
      </c>
      <c r="B2103" t="s">
        <v>405</v>
      </c>
      <c r="C2103" t="s">
        <v>2011</v>
      </c>
      <c r="D2103">
        <v>4</v>
      </c>
      <c r="E2103" s="16">
        <v>162.63999999999999</v>
      </c>
      <c r="F2103" s="1">
        <v>44712</v>
      </c>
      <c r="G2103" t="s">
        <v>2020</v>
      </c>
      <c r="H2103">
        <v>4</v>
      </c>
      <c r="I2103" s="12">
        <f>Table16[[#This Row],[price]]*Table16[[#This Row],[quantity]]</f>
        <v>650.55999999999995</v>
      </c>
    </row>
    <row r="2104" spans="1:9" x14ac:dyDescent="0.3">
      <c r="A2104" t="s">
        <v>4118</v>
      </c>
      <c r="B2104" t="s">
        <v>405</v>
      </c>
      <c r="C2104" t="s">
        <v>2008</v>
      </c>
      <c r="D2104">
        <v>1</v>
      </c>
      <c r="E2104" s="16">
        <v>5.23</v>
      </c>
      <c r="F2104" s="1">
        <v>44741</v>
      </c>
      <c r="G2104" t="s">
        <v>2002</v>
      </c>
      <c r="H2104">
        <v>4</v>
      </c>
      <c r="I2104" s="12">
        <f>Table16[[#This Row],[price]]*Table16[[#This Row],[quantity]]</f>
        <v>5.23</v>
      </c>
    </row>
    <row r="2105" spans="1:9" x14ac:dyDescent="0.3">
      <c r="A2105" t="s">
        <v>4122</v>
      </c>
      <c r="B2105" t="s">
        <v>406</v>
      </c>
      <c r="C2105" t="s">
        <v>2001</v>
      </c>
      <c r="D2105">
        <v>4</v>
      </c>
      <c r="E2105" s="16">
        <v>1200.32</v>
      </c>
      <c r="F2105" s="1">
        <v>44355</v>
      </c>
      <c r="G2105" t="s">
        <v>2027</v>
      </c>
      <c r="H2105">
        <v>3</v>
      </c>
      <c r="I2105" s="12">
        <f>Table16[[#This Row],[price]]*Table16[[#This Row],[quantity]]</f>
        <v>4801.28</v>
      </c>
    </row>
    <row r="2106" spans="1:9" x14ac:dyDescent="0.3">
      <c r="A2106" t="s">
        <v>4121</v>
      </c>
      <c r="B2106" t="s">
        <v>406</v>
      </c>
      <c r="C2106" t="s">
        <v>2001</v>
      </c>
      <c r="D2106">
        <v>3</v>
      </c>
      <c r="E2106" s="16">
        <v>900.24</v>
      </c>
      <c r="F2106" s="1">
        <v>44542</v>
      </c>
      <c r="G2106" t="s">
        <v>2004</v>
      </c>
      <c r="H2106">
        <v>5</v>
      </c>
      <c r="I2106" s="12">
        <f>Table16[[#This Row],[price]]*Table16[[#This Row],[quantity]]</f>
        <v>2700.7200000000003</v>
      </c>
    </row>
    <row r="2107" spans="1:9" x14ac:dyDescent="0.3">
      <c r="A2107" t="s">
        <v>4126</v>
      </c>
      <c r="B2107" t="s">
        <v>407</v>
      </c>
      <c r="C2107" t="s">
        <v>2001</v>
      </c>
      <c r="D2107">
        <v>3</v>
      </c>
      <c r="E2107" s="16">
        <v>900.24</v>
      </c>
      <c r="F2107" s="1">
        <v>44246</v>
      </c>
      <c r="G2107" t="s">
        <v>2027</v>
      </c>
      <c r="H2107">
        <v>5</v>
      </c>
      <c r="I2107" s="12">
        <f>Table16[[#This Row],[price]]*Table16[[#This Row],[quantity]]</f>
        <v>2700.7200000000003</v>
      </c>
    </row>
    <row r="2108" spans="1:9" x14ac:dyDescent="0.3">
      <c r="A2108" t="s">
        <v>4123</v>
      </c>
      <c r="B2108" t="s">
        <v>407</v>
      </c>
      <c r="C2108" t="s">
        <v>2001</v>
      </c>
      <c r="D2108">
        <v>4</v>
      </c>
      <c r="E2108" s="16">
        <v>1200.32</v>
      </c>
      <c r="F2108" s="1">
        <v>44258</v>
      </c>
      <c r="G2108" t="s">
        <v>2064</v>
      </c>
      <c r="H2108">
        <v>2</v>
      </c>
      <c r="I2108" s="12">
        <f>Table16[[#This Row],[price]]*Table16[[#This Row],[quantity]]</f>
        <v>4801.28</v>
      </c>
    </row>
    <row r="2109" spans="1:9" x14ac:dyDescent="0.3">
      <c r="A2109" t="s">
        <v>4124</v>
      </c>
      <c r="B2109" t="s">
        <v>407</v>
      </c>
      <c r="C2109" t="s">
        <v>2001</v>
      </c>
      <c r="D2109">
        <v>2</v>
      </c>
      <c r="E2109" s="16">
        <v>600.16</v>
      </c>
      <c r="F2109" s="1">
        <v>44378</v>
      </c>
      <c r="G2109" t="s">
        <v>2064</v>
      </c>
      <c r="H2109">
        <v>5</v>
      </c>
      <c r="I2109" s="12">
        <f>Table16[[#This Row],[price]]*Table16[[#This Row],[quantity]]</f>
        <v>1200.32</v>
      </c>
    </row>
    <row r="2110" spans="1:9" x14ac:dyDescent="0.3">
      <c r="A2110" t="s">
        <v>4125</v>
      </c>
      <c r="B2110" t="s">
        <v>407</v>
      </c>
      <c r="C2110" t="s">
        <v>2057</v>
      </c>
      <c r="D2110">
        <v>5</v>
      </c>
      <c r="E2110" s="16">
        <v>58.65</v>
      </c>
      <c r="F2110" s="1">
        <v>44413</v>
      </c>
      <c r="G2110" t="s">
        <v>2009</v>
      </c>
      <c r="H2110">
        <v>4</v>
      </c>
      <c r="I2110" s="12">
        <f>Table16[[#This Row],[price]]*Table16[[#This Row],[quantity]]</f>
        <v>293.25</v>
      </c>
    </row>
    <row r="2111" spans="1:9" x14ac:dyDescent="0.3">
      <c r="A2111" t="s">
        <v>4127</v>
      </c>
      <c r="B2111" t="s">
        <v>407</v>
      </c>
      <c r="C2111" t="s">
        <v>2011</v>
      </c>
      <c r="D2111">
        <v>1</v>
      </c>
      <c r="E2111" s="16">
        <v>40.659999999999997</v>
      </c>
      <c r="F2111" s="1">
        <v>44489</v>
      </c>
      <c r="G2111" t="s">
        <v>2020</v>
      </c>
      <c r="H2111">
        <v>1</v>
      </c>
      <c r="I2111" s="12">
        <f>Table16[[#This Row],[price]]*Table16[[#This Row],[quantity]]</f>
        <v>40.659999999999997</v>
      </c>
    </row>
    <row r="2112" spans="1:9" x14ac:dyDescent="0.3">
      <c r="A2112" t="s">
        <v>4128</v>
      </c>
      <c r="B2112" t="s">
        <v>408</v>
      </c>
      <c r="C2112" t="s">
        <v>2011</v>
      </c>
      <c r="D2112">
        <v>3</v>
      </c>
      <c r="E2112" s="16">
        <v>121.98</v>
      </c>
      <c r="F2112" s="1">
        <v>44534</v>
      </c>
      <c r="G2112" t="s">
        <v>2004</v>
      </c>
      <c r="H2112">
        <v>2</v>
      </c>
      <c r="I2112" s="12">
        <f>Table16[[#This Row],[price]]*Table16[[#This Row],[quantity]]</f>
        <v>365.94</v>
      </c>
    </row>
    <row r="2113" spans="1:9" x14ac:dyDescent="0.3">
      <c r="A2113" t="s">
        <v>4129</v>
      </c>
      <c r="B2113" t="s">
        <v>408</v>
      </c>
      <c r="C2113" t="s">
        <v>2008</v>
      </c>
      <c r="D2113">
        <v>2</v>
      </c>
      <c r="E2113" s="16">
        <v>10.46</v>
      </c>
      <c r="F2113" s="1">
        <v>44665</v>
      </c>
      <c r="G2113" t="s">
        <v>2012</v>
      </c>
      <c r="H2113">
        <v>2</v>
      </c>
      <c r="I2113" s="12">
        <f>Table16[[#This Row],[price]]*Table16[[#This Row],[quantity]]</f>
        <v>20.92</v>
      </c>
    </row>
    <row r="2114" spans="1:9" x14ac:dyDescent="0.3">
      <c r="A2114" t="s">
        <v>4130</v>
      </c>
      <c r="B2114" t="s">
        <v>408</v>
      </c>
      <c r="C2114" t="s">
        <v>2008</v>
      </c>
      <c r="D2114">
        <v>4</v>
      </c>
      <c r="E2114" s="16">
        <v>20.92</v>
      </c>
      <c r="F2114" s="1">
        <v>44686</v>
      </c>
      <c r="G2114" t="s">
        <v>2020</v>
      </c>
      <c r="H2114">
        <v>2</v>
      </c>
      <c r="I2114" s="12">
        <f>Table16[[#This Row],[price]]*Table16[[#This Row],[quantity]]</f>
        <v>83.68</v>
      </c>
    </row>
    <row r="2115" spans="1:9" x14ac:dyDescent="0.3">
      <c r="A2115" t="s">
        <v>4132</v>
      </c>
      <c r="B2115" t="s">
        <v>408</v>
      </c>
      <c r="C2115" t="s">
        <v>2011</v>
      </c>
      <c r="D2115">
        <v>4</v>
      </c>
      <c r="E2115" s="16">
        <v>162.63999999999999</v>
      </c>
      <c r="F2115" s="1">
        <v>44705</v>
      </c>
      <c r="G2115" t="s">
        <v>2027</v>
      </c>
      <c r="H2115">
        <v>2</v>
      </c>
      <c r="I2115" s="12">
        <f>Table16[[#This Row],[price]]*Table16[[#This Row],[quantity]]</f>
        <v>650.55999999999995</v>
      </c>
    </row>
    <row r="2116" spans="1:9" x14ac:dyDescent="0.3">
      <c r="A2116" t="s">
        <v>4131</v>
      </c>
      <c r="B2116" t="s">
        <v>408</v>
      </c>
      <c r="C2116" t="s">
        <v>2015</v>
      </c>
      <c r="D2116">
        <v>2</v>
      </c>
      <c r="E2116" s="16">
        <v>1200.3399999999999</v>
      </c>
      <c r="F2116" s="1">
        <v>44747</v>
      </c>
      <c r="G2116" t="s">
        <v>2027</v>
      </c>
      <c r="H2116">
        <v>1</v>
      </c>
      <c r="I2116" s="12">
        <f>Table16[[#This Row],[price]]*Table16[[#This Row],[quantity]]</f>
        <v>2400.6799999999998</v>
      </c>
    </row>
    <row r="2117" spans="1:9" x14ac:dyDescent="0.3">
      <c r="A2117" t="s">
        <v>4134</v>
      </c>
      <c r="B2117" t="s">
        <v>409</v>
      </c>
      <c r="C2117" t="s">
        <v>2011</v>
      </c>
      <c r="D2117">
        <v>2</v>
      </c>
      <c r="E2117" s="16">
        <v>81.319999999999993</v>
      </c>
      <c r="F2117" s="1">
        <v>44210</v>
      </c>
      <c r="G2117" t="s">
        <v>2041</v>
      </c>
      <c r="H2117">
        <v>2</v>
      </c>
      <c r="I2117" s="12">
        <f>Table16[[#This Row],[price]]*Table16[[#This Row],[quantity]]</f>
        <v>162.63999999999999</v>
      </c>
    </row>
    <row r="2118" spans="1:9" x14ac:dyDescent="0.3">
      <c r="A2118" t="s">
        <v>4133</v>
      </c>
      <c r="B2118" t="s">
        <v>409</v>
      </c>
      <c r="C2118" t="s">
        <v>2057</v>
      </c>
      <c r="D2118">
        <v>5</v>
      </c>
      <c r="E2118" s="16">
        <v>58.65</v>
      </c>
      <c r="F2118" s="1">
        <v>44469</v>
      </c>
      <c r="G2118" t="s">
        <v>2018</v>
      </c>
      <c r="H2118">
        <v>1</v>
      </c>
      <c r="I2118" s="12">
        <f>Table16[[#This Row],[price]]*Table16[[#This Row],[quantity]]</f>
        <v>293.25</v>
      </c>
    </row>
    <row r="2119" spans="1:9" x14ac:dyDescent="0.3">
      <c r="A2119" t="s">
        <v>4138</v>
      </c>
      <c r="B2119" t="s">
        <v>409</v>
      </c>
      <c r="C2119" t="s">
        <v>2015</v>
      </c>
      <c r="D2119">
        <v>4</v>
      </c>
      <c r="E2119" s="16">
        <v>2400.6799999999998</v>
      </c>
      <c r="F2119" s="1">
        <v>44470</v>
      </c>
      <c r="G2119" t="s">
        <v>2064</v>
      </c>
      <c r="H2119">
        <v>5</v>
      </c>
      <c r="I2119" s="12">
        <f>Table16[[#This Row],[price]]*Table16[[#This Row],[quantity]]</f>
        <v>9602.7199999999993</v>
      </c>
    </row>
    <row r="2120" spans="1:9" x14ac:dyDescent="0.3">
      <c r="A2120" t="s">
        <v>4135</v>
      </c>
      <c r="B2120" t="s">
        <v>409</v>
      </c>
      <c r="C2120" t="s">
        <v>2001</v>
      </c>
      <c r="D2120">
        <v>2</v>
      </c>
      <c r="E2120" s="16">
        <v>600.16</v>
      </c>
      <c r="F2120" s="1">
        <v>44617</v>
      </c>
      <c r="G2120" t="s">
        <v>2004</v>
      </c>
      <c r="H2120">
        <v>5</v>
      </c>
      <c r="I2120" s="12">
        <f>Table16[[#This Row],[price]]*Table16[[#This Row],[quantity]]</f>
        <v>1200.32</v>
      </c>
    </row>
    <row r="2121" spans="1:9" x14ac:dyDescent="0.3">
      <c r="A2121" t="s">
        <v>4137</v>
      </c>
      <c r="B2121" t="s">
        <v>409</v>
      </c>
      <c r="C2121" t="s">
        <v>2001</v>
      </c>
      <c r="D2121">
        <v>1</v>
      </c>
      <c r="E2121" s="16">
        <v>300.08</v>
      </c>
      <c r="F2121" s="1">
        <v>44676</v>
      </c>
      <c r="G2121" t="s">
        <v>2002</v>
      </c>
      <c r="H2121">
        <v>1</v>
      </c>
      <c r="I2121" s="12">
        <f>Table16[[#This Row],[price]]*Table16[[#This Row],[quantity]]</f>
        <v>300.08</v>
      </c>
    </row>
    <row r="2122" spans="1:9" x14ac:dyDescent="0.3">
      <c r="A2122" t="s">
        <v>4136</v>
      </c>
      <c r="B2122" t="s">
        <v>409</v>
      </c>
      <c r="C2122" t="s">
        <v>2001</v>
      </c>
      <c r="D2122">
        <v>4</v>
      </c>
      <c r="E2122" s="16">
        <v>1200.32</v>
      </c>
      <c r="F2122" s="1">
        <v>44732</v>
      </c>
      <c r="G2122" t="s">
        <v>2004</v>
      </c>
      <c r="H2122">
        <v>1</v>
      </c>
      <c r="I2122" s="12">
        <f>Table16[[#This Row],[price]]*Table16[[#This Row],[quantity]]</f>
        <v>4801.28</v>
      </c>
    </row>
    <row r="2123" spans="1:9" x14ac:dyDescent="0.3">
      <c r="A2123" t="s">
        <v>4143</v>
      </c>
      <c r="B2123" t="s">
        <v>410</v>
      </c>
      <c r="C2123" t="s">
        <v>2024</v>
      </c>
      <c r="D2123">
        <v>3</v>
      </c>
      <c r="E2123" s="16">
        <v>107.52</v>
      </c>
      <c r="F2123" s="1">
        <v>44239</v>
      </c>
      <c r="G2123" t="s">
        <v>2027</v>
      </c>
      <c r="H2123">
        <v>1</v>
      </c>
      <c r="I2123" s="12">
        <f>Table16[[#This Row],[price]]*Table16[[#This Row],[quantity]]</f>
        <v>322.56</v>
      </c>
    </row>
    <row r="2124" spans="1:9" x14ac:dyDescent="0.3">
      <c r="A2124" t="s">
        <v>4139</v>
      </c>
      <c r="B2124" t="s">
        <v>410</v>
      </c>
      <c r="C2124" t="s">
        <v>2001</v>
      </c>
      <c r="D2124">
        <v>3</v>
      </c>
      <c r="E2124" s="16">
        <v>900.24</v>
      </c>
      <c r="F2124" s="1">
        <v>44254</v>
      </c>
      <c r="G2124" t="s">
        <v>2012</v>
      </c>
      <c r="H2124">
        <v>2</v>
      </c>
      <c r="I2124" s="12">
        <f>Table16[[#This Row],[price]]*Table16[[#This Row],[quantity]]</f>
        <v>2700.7200000000003</v>
      </c>
    </row>
    <row r="2125" spans="1:9" x14ac:dyDescent="0.3">
      <c r="A2125" t="s">
        <v>4141</v>
      </c>
      <c r="B2125" t="s">
        <v>410</v>
      </c>
      <c r="C2125" t="s">
        <v>2017</v>
      </c>
      <c r="D2125">
        <v>5</v>
      </c>
      <c r="E2125" s="16">
        <v>5250</v>
      </c>
      <c r="F2125" s="1">
        <v>44378</v>
      </c>
      <c r="G2125" t="s">
        <v>2027</v>
      </c>
      <c r="H2125">
        <v>4</v>
      </c>
      <c r="I2125" s="12">
        <f>Table16[[#This Row],[price]]*Table16[[#This Row],[quantity]]</f>
        <v>26250</v>
      </c>
    </row>
    <row r="2126" spans="1:9" x14ac:dyDescent="0.3">
      <c r="A2126" t="s">
        <v>4140</v>
      </c>
      <c r="B2126" t="s">
        <v>410</v>
      </c>
      <c r="C2126" t="s">
        <v>2008</v>
      </c>
      <c r="D2126">
        <v>4</v>
      </c>
      <c r="E2126" s="16">
        <v>20.92</v>
      </c>
      <c r="F2126" s="1">
        <v>44644</v>
      </c>
      <c r="G2126" t="s">
        <v>2020</v>
      </c>
      <c r="H2126">
        <v>4</v>
      </c>
      <c r="I2126" s="12">
        <f>Table16[[#This Row],[price]]*Table16[[#This Row],[quantity]]</f>
        <v>83.68</v>
      </c>
    </row>
    <row r="2127" spans="1:9" x14ac:dyDescent="0.3">
      <c r="A2127" t="s">
        <v>4142</v>
      </c>
      <c r="B2127" t="s">
        <v>410</v>
      </c>
      <c r="C2127" t="s">
        <v>2011</v>
      </c>
      <c r="D2127">
        <v>3</v>
      </c>
      <c r="E2127" s="16">
        <v>121.98</v>
      </c>
      <c r="F2127" s="1">
        <v>44720</v>
      </c>
      <c r="G2127" t="s">
        <v>2041</v>
      </c>
      <c r="H2127">
        <v>1</v>
      </c>
      <c r="I2127" s="12">
        <f>Table16[[#This Row],[price]]*Table16[[#This Row],[quantity]]</f>
        <v>365.94</v>
      </c>
    </row>
    <row r="2128" spans="1:9" x14ac:dyDescent="0.3">
      <c r="A2128" t="s">
        <v>4145</v>
      </c>
      <c r="B2128" t="s">
        <v>411</v>
      </c>
      <c r="C2128" t="s">
        <v>2006</v>
      </c>
      <c r="D2128">
        <v>4</v>
      </c>
      <c r="E2128" s="16">
        <v>60.6</v>
      </c>
      <c r="F2128" s="1">
        <v>44315</v>
      </c>
      <c r="G2128" t="s">
        <v>2027</v>
      </c>
      <c r="H2128">
        <v>3</v>
      </c>
      <c r="I2128" s="12">
        <f>Table16[[#This Row],[price]]*Table16[[#This Row],[quantity]]</f>
        <v>242.4</v>
      </c>
    </row>
    <row r="2129" spans="1:9" x14ac:dyDescent="0.3">
      <c r="A2129" t="s">
        <v>4148</v>
      </c>
      <c r="B2129" t="s">
        <v>411</v>
      </c>
      <c r="C2129" t="s">
        <v>2011</v>
      </c>
      <c r="D2129">
        <v>4</v>
      </c>
      <c r="E2129" s="16">
        <v>162.63999999999999</v>
      </c>
      <c r="F2129" s="1">
        <v>44542</v>
      </c>
      <c r="G2129" t="s">
        <v>2064</v>
      </c>
      <c r="H2129">
        <v>2</v>
      </c>
      <c r="I2129" s="12">
        <f>Table16[[#This Row],[price]]*Table16[[#This Row],[quantity]]</f>
        <v>650.55999999999995</v>
      </c>
    </row>
    <row r="2130" spans="1:9" x14ac:dyDescent="0.3">
      <c r="A2130" t="s">
        <v>4149</v>
      </c>
      <c r="B2130" t="s">
        <v>411</v>
      </c>
      <c r="C2130" t="s">
        <v>2001</v>
      </c>
      <c r="D2130">
        <v>3</v>
      </c>
      <c r="E2130" s="16">
        <v>900.24</v>
      </c>
      <c r="F2130" s="1">
        <v>44605</v>
      </c>
      <c r="G2130" t="s">
        <v>2064</v>
      </c>
      <c r="H2130">
        <v>5</v>
      </c>
      <c r="I2130" s="12">
        <f>Table16[[#This Row],[price]]*Table16[[#This Row],[quantity]]</f>
        <v>2700.7200000000003</v>
      </c>
    </row>
    <row r="2131" spans="1:9" x14ac:dyDescent="0.3">
      <c r="A2131" t="s">
        <v>4146</v>
      </c>
      <c r="B2131" t="s">
        <v>411</v>
      </c>
      <c r="C2131" t="s">
        <v>2001</v>
      </c>
      <c r="D2131">
        <v>2</v>
      </c>
      <c r="E2131" s="16">
        <v>600.16</v>
      </c>
      <c r="F2131" s="1">
        <v>44707</v>
      </c>
      <c r="G2131" t="s">
        <v>2027</v>
      </c>
      <c r="H2131">
        <v>1</v>
      </c>
      <c r="I2131" s="12">
        <f>Table16[[#This Row],[price]]*Table16[[#This Row],[quantity]]</f>
        <v>1200.32</v>
      </c>
    </row>
    <row r="2132" spans="1:9" x14ac:dyDescent="0.3">
      <c r="A2132" t="s">
        <v>4144</v>
      </c>
      <c r="B2132" t="s">
        <v>411</v>
      </c>
      <c r="C2132" t="s">
        <v>2001</v>
      </c>
      <c r="D2132">
        <v>5</v>
      </c>
      <c r="E2132" s="16">
        <v>1500.4</v>
      </c>
      <c r="F2132" s="1">
        <v>44722</v>
      </c>
      <c r="G2132" t="s">
        <v>2020</v>
      </c>
      <c r="H2132">
        <v>1</v>
      </c>
      <c r="I2132" s="12">
        <f>Table16[[#This Row],[price]]*Table16[[#This Row],[quantity]]</f>
        <v>7502</v>
      </c>
    </row>
    <row r="2133" spans="1:9" x14ac:dyDescent="0.3">
      <c r="A2133" t="s">
        <v>4147</v>
      </c>
      <c r="B2133" t="s">
        <v>411</v>
      </c>
      <c r="C2133" t="s">
        <v>2015</v>
      </c>
      <c r="D2133">
        <v>5</v>
      </c>
      <c r="E2133" s="16">
        <v>3000.85</v>
      </c>
      <c r="F2133" s="1">
        <v>44886</v>
      </c>
      <c r="G2133" t="s">
        <v>2004</v>
      </c>
      <c r="H2133">
        <v>1</v>
      </c>
      <c r="I2133" s="12">
        <f>Table16[[#This Row],[price]]*Table16[[#This Row],[quantity]]</f>
        <v>15004.25</v>
      </c>
    </row>
    <row r="2134" spans="1:9" x14ac:dyDescent="0.3">
      <c r="A2134" t="s">
        <v>4153</v>
      </c>
      <c r="B2134" t="s">
        <v>412</v>
      </c>
      <c r="C2134" t="s">
        <v>2001</v>
      </c>
      <c r="D2134">
        <v>2</v>
      </c>
      <c r="E2134" s="16">
        <v>600.16</v>
      </c>
      <c r="F2134" s="1">
        <v>44207</v>
      </c>
      <c r="G2134" t="s">
        <v>2020</v>
      </c>
      <c r="H2134">
        <v>5</v>
      </c>
      <c r="I2134" s="12">
        <f>Table16[[#This Row],[price]]*Table16[[#This Row],[quantity]]</f>
        <v>1200.32</v>
      </c>
    </row>
    <row r="2135" spans="1:9" x14ac:dyDescent="0.3">
      <c r="A2135" t="s">
        <v>4157</v>
      </c>
      <c r="B2135" t="s">
        <v>412</v>
      </c>
      <c r="C2135" t="s">
        <v>2001</v>
      </c>
      <c r="D2135">
        <v>2</v>
      </c>
      <c r="E2135" s="16">
        <v>600.16</v>
      </c>
      <c r="F2135" s="1">
        <v>44209</v>
      </c>
      <c r="G2135" t="s">
        <v>2027</v>
      </c>
      <c r="H2135">
        <v>2</v>
      </c>
      <c r="I2135" s="12">
        <f>Table16[[#This Row],[price]]*Table16[[#This Row],[quantity]]</f>
        <v>1200.32</v>
      </c>
    </row>
    <row r="2136" spans="1:9" x14ac:dyDescent="0.3">
      <c r="A2136" t="s">
        <v>4154</v>
      </c>
      <c r="B2136" t="s">
        <v>412</v>
      </c>
      <c r="C2136" t="s">
        <v>2057</v>
      </c>
      <c r="D2136">
        <v>5</v>
      </c>
      <c r="E2136" s="16">
        <v>58.65</v>
      </c>
      <c r="F2136" s="1">
        <v>44251</v>
      </c>
      <c r="G2136" t="s">
        <v>2002</v>
      </c>
      <c r="H2136">
        <v>5</v>
      </c>
      <c r="I2136" s="12">
        <f>Table16[[#This Row],[price]]*Table16[[#This Row],[quantity]]</f>
        <v>293.25</v>
      </c>
    </row>
    <row r="2137" spans="1:9" x14ac:dyDescent="0.3">
      <c r="A2137" t="s">
        <v>4156</v>
      </c>
      <c r="B2137" t="s">
        <v>412</v>
      </c>
      <c r="C2137" t="s">
        <v>2011</v>
      </c>
      <c r="D2137">
        <v>5</v>
      </c>
      <c r="E2137" s="16">
        <v>203.3</v>
      </c>
      <c r="F2137" s="1">
        <v>44367</v>
      </c>
      <c r="G2137" t="s">
        <v>2002</v>
      </c>
      <c r="H2137">
        <v>4</v>
      </c>
      <c r="I2137" s="12">
        <f>Table16[[#This Row],[price]]*Table16[[#This Row],[quantity]]</f>
        <v>1016.5</v>
      </c>
    </row>
    <row r="2138" spans="1:9" x14ac:dyDescent="0.3">
      <c r="A2138" t="s">
        <v>4150</v>
      </c>
      <c r="B2138" t="s">
        <v>412</v>
      </c>
      <c r="C2138" t="s">
        <v>2001</v>
      </c>
      <c r="D2138">
        <v>3</v>
      </c>
      <c r="E2138" s="16">
        <v>900.24</v>
      </c>
      <c r="F2138" s="1">
        <v>44513</v>
      </c>
      <c r="G2138" t="s">
        <v>2064</v>
      </c>
      <c r="H2138">
        <v>2</v>
      </c>
      <c r="I2138" s="12">
        <f>Table16[[#This Row],[price]]*Table16[[#This Row],[quantity]]</f>
        <v>2700.7200000000003</v>
      </c>
    </row>
    <row r="2139" spans="1:9" x14ac:dyDescent="0.3">
      <c r="A2139" t="s">
        <v>4151</v>
      </c>
      <c r="B2139" t="s">
        <v>412</v>
      </c>
      <c r="C2139" t="s">
        <v>2001</v>
      </c>
      <c r="D2139">
        <v>2</v>
      </c>
      <c r="E2139" s="16">
        <v>600.16</v>
      </c>
      <c r="F2139" s="1">
        <v>44530</v>
      </c>
      <c r="G2139" t="s">
        <v>2020</v>
      </c>
      <c r="H2139">
        <v>1</v>
      </c>
      <c r="I2139" s="12">
        <f>Table16[[#This Row],[price]]*Table16[[#This Row],[quantity]]</f>
        <v>1200.32</v>
      </c>
    </row>
    <row r="2140" spans="1:9" x14ac:dyDescent="0.3">
      <c r="A2140" t="s">
        <v>4155</v>
      </c>
      <c r="B2140" t="s">
        <v>412</v>
      </c>
      <c r="C2140" t="s">
        <v>2024</v>
      </c>
      <c r="D2140">
        <v>4</v>
      </c>
      <c r="E2140" s="16">
        <v>143.36000000000001</v>
      </c>
      <c r="F2140" s="1">
        <v>44791</v>
      </c>
      <c r="G2140" t="s">
        <v>2004</v>
      </c>
      <c r="H2140">
        <v>4</v>
      </c>
      <c r="I2140" s="12">
        <f>Table16[[#This Row],[price]]*Table16[[#This Row],[quantity]]</f>
        <v>573.44000000000005</v>
      </c>
    </row>
    <row r="2141" spans="1:9" x14ac:dyDescent="0.3">
      <c r="A2141" t="s">
        <v>4152</v>
      </c>
      <c r="B2141" t="s">
        <v>412</v>
      </c>
      <c r="C2141" t="s">
        <v>2011</v>
      </c>
      <c r="D2141">
        <v>5</v>
      </c>
      <c r="E2141" s="16">
        <v>203.3</v>
      </c>
      <c r="F2141" s="1">
        <v>44813</v>
      </c>
      <c r="G2141" t="s">
        <v>2004</v>
      </c>
      <c r="H2141">
        <v>5</v>
      </c>
      <c r="I2141" s="12">
        <f>Table16[[#This Row],[price]]*Table16[[#This Row],[quantity]]</f>
        <v>1016.5</v>
      </c>
    </row>
    <row r="2142" spans="1:9" x14ac:dyDescent="0.3">
      <c r="A2142" t="s">
        <v>4158</v>
      </c>
      <c r="B2142" t="s">
        <v>413</v>
      </c>
      <c r="C2142" t="s">
        <v>2001</v>
      </c>
      <c r="D2142">
        <v>1</v>
      </c>
      <c r="E2142" s="16">
        <v>300.08</v>
      </c>
      <c r="F2142" s="1">
        <v>44625</v>
      </c>
      <c r="G2142" t="s">
        <v>2004</v>
      </c>
      <c r="H2142">
        <v>2</v>
      </c>
      <c r="I2142" s="12">
        <f>Table16[[#This Row],[price]]*Table16[[#This Row],[quantity]]</f>
        <v>300.08</v>
      </c>
    </row>
    <row r="2143" spans="1:9" x14ac:dyDescent="0.3">
      <c r="A2143" t="s">
        <v>4159</v>
      </c>
      <c r="B2143" t="s">
        <v>413</v>
      </c>
      <c r="C2143" t="s">
        <v>2015</v>
      </c>
      <c r="D2143">
        <v>2</v>
      </c>
      <c r="E2143" s="16">
        <v>1200.3399999999999</v>
      </c>
      <c r="F2143" s="1">
        <v>44904</v>
      </c>
      <c r="G2143" t="s">
        <v>2002</v>
      </c>
      <c r="H2143">
        <v>3</v>
      </c>
      <c r="I2143" s="12">
        <f>Table16[[#This Row],[price]]*Table16[[#This Row],[quantity]]</f>
        <v>2400.6799999999998</v>
      </c>
    </row>
    <row r="2144" spans="1:9" x14ac:dyDescent="0.3">
      <c r="A2144" t="s">
        <v>4161</v>
      </c>
      <c r="B2144" t="s">
        <v>414</v>
      </c>
      <c r="C2144" t="s">
        <v>2008</v>
      </c>
      <c r="D2144">
        <v>1</v>
      </c>
      <c r="E2144" s="16">
        <v>5.23</v>
      </c>
      <c r="F2144" s="1">
        <v>44468</v>
      </c>
      <c r="G2144" t="s">
        <v>2002</v>
      </c>
      <c r="H2144">
        <v>5</v>
      </c>
      <c r="I2144" s="12">
        <f>Table16[[#This Row],[price]]*Table16[[#This Row],[quantity]]</f>
        <v>5.23</v>
      </c>
    </row>
    <row r="2145" spans="1:9" x14ac:dyDescent="0.3">
      <c r="A2145" t="s">
        <v>4160</v>
      </c>
      <c r="B2145" t="s">
        <v>414</v>
      </c>
      <c r="C2145" t="s">
        <v>2001</v>
      </c>
      <c r="D2145">
        <v>1</v>
      </c>
      <c r="E2145" s="16">
        <v>300.08</v>
      </c>
      <c r="F2145" s="1">
        <v>44960</v>
      </c>
      <c r="G2145" t="s">
        <v>2058</v>
      </c>
      <c r="H2145">
        <v>2</v>
      </c>
      <c r="I2145" s="12">
        <f>Table16[[#This Row],[price]]*Table16[[#This Row],[quantity]]</f>
        <v>300.08</v>
      </c>
    </row>
    <row r="2146" spans="1:9" x14ac:dyDescent="0.3">
      <c r="A2146" t="s">
        <v>4163</v>
      </c>
      <c r="B2146" t="s">
        <v>415</v>
      </c>
      <c r="C2146" t="s">
        <v>2008</v>
      </c>
      <c r="D2146">
        <v>3</v>
      </c>
      <c r="E2146" s="16">
        <v>15.69</v>
      </c>
      <c r="F2146" s="1">
        <v>44413</v>
      </c>
      <c r="G2146" t="s">
        <v>2002</v>
      </c>
      <c r="H2146">
        <v>4</v>
      </c>
      <c r="I2146" s="12">
        <f>Table16[[#This Row],[price]]*Table16[[#This Row],[quantity]]</f>
        <v>47.07</v>
      </c>
    </row>
    <row r="2147" spans="1:9" x14ac:dyDescent="0.3">
      <c r="A2147" t="s">
        <v>4164</v>
      </c>
      <c r="B2147" t="s">
        <v>415</v>
      </c>
      <c r="C2147" t="s">
        <v>2057</v>
      </c>
      <c r="D2147">
        <v>3</v>
      </c>
      <c r="E2147" s="16">
        <v>35.19</v>
      </c>
      <c r="F2147" s="1">
        <v>44727</v>
      </c>
      <c r="G2147" t="s">
        <v>2002</v>
      </c>
      <c r="H2147">
        <v>2</v>
      </c>
      <c r="I2147" s="12">
        <f>Table16[[#This Row],[price]]*Table16[[#This Row],[quantity]]</f>
        <v>105.57</v>
      </c>
    </row>
    <row r="2148" spans="1:9" x14ac:dyDescent="0.3">
      <c r="A2148" t="s">
        <v>4162</v>
      </c>
      <c r="B2148" t="s">
        <v>415</v>
      </c>
      <c r="C2148" t="s">
        <v>2001</v>
      </c>
      <c r="D2148">
        <v>3</v>
      </c>
      <c r="E2148" s="16">
        <v>900.24</v>
      </c>
      <c r="F2148" s="1">
        <v>44842</v>
      </c>
      <c r="G2148" t="s">
        <v>2002</v>
      </c>
      <c r="H2148">
        <v>4</v>
      </c>
      <c r="I2148" s="12">
        <f>Table16[[#This Row],[price]]*Table16[[#This Row],[quantity]]</f>
        <v>2700.7200000000003</v>
      </c>
    </row>
    <row r="2149" spans="1:9" x14ac:dyDescent="0.3">
      <c r="A2149" t="s">
        <v>4168</v>
      </c>
      <c r="B2149" t="s">
        <v>416</v>
      </c>
      <c r="C2149" t="s">
        <v>2001</v>
      </c>
      <c r="D2149">
        <v>5</v>
      </c>
      <c r="E2149" s="16">
        <v>1500.4</v>
      </c>
      <c r="F2149" s="1">
        <v>44481</v>
      </c>
      <c r="G2149" t="s">
        <v>2027</v>
      </c>
      <c r="H2149">
        <v>1</v>
      </c>
      <c r="I2149" s="12">
        <f>Table16[[#This Row],[price]]*Table16[[#This Row],[quantity]]</f>
        <v>7502</v>
      </c>
    </row>
    <row r="2150" spans="1:9" x14ac:dyDescent="0.3">
      <c r="A2150" t="s">
        <v>4166</v>
      </c>
      <c r="B2150" t="s">
        <v>416</v>
      </c>
      <c r="C2150" t="s">
        <v>2001</v>
      </c>
      <c r="D2150">
        <v>2</v>
      </c>
      <c r="E2150" s="16">
        <v>600.16</v>
      </c>
      <c r="F2150" s="1">
        <v>44504</v>
      </c>
      <c r="G2150" t="s">
        <v>2004</v>
      </c>
      <c r="H2150">
        <v>4</v>
      </c>
      <c r="I2150" s="12">
        <f>Table16[[#This Row],[price]]*Table16[[#This Row],[quantity]]</f>
        <v>1200.32</v>
      </c>
    </row>
    <row r="2151" spans="1:9" x14ac:dyDescent="0.3">
      <c r="A2151" t="s">
        <v>4167</v>
      </c>
      <c r="B2151" t="s">
        <v>416</v>
      </c>
      <c r="C2151" t="s">
        <v>2011</v>
      </c>
      <c r="D2151">
        <v>1</v>
      </c>
      <c r="E2151" s="16">
        <v>40.659999999999997</v>
      </c>
      <c r="F2151" s="1">
        <v>44917</v>
      </c>
      <c r="G2151" t="s">
        <v>2027</v>
      </c>
      <c r="H2151">
        <v>1</v>
      </c>
      <c r="I2151" s="12">
        <f>Table16[[#This Row],[price]]*Table16[[#This Row],[quantity]]</f>
        <v>40.659999999999997</v>
      </c>
    </row>
    <row r="2152" spans="1:9" x14ac:dyDescent="0.3">
      <c r="A2152" t="s">
        <v>4165</v>
      </c>
      <c r="B2152" t="s">
        <v>416</v>
      </c>
      <c r="C2152" t="s">
        <v>2011</v>
      </c>
      <c r="D2152">
        <v>1</v>
      </c>
      <c r="E2152" s="16">
        <v>40.659999999999997</v>
      </c>
      <c r="F2152" s="1">
        <v>44939</v>
      </c>
      <c r="G2152" t="s">
        <v>2027</v>
      </c>
      <c r="H2152">
        <v>4</v>
      </c>
      <c r="I2152" s="12">
        <f>Table16[[#This Row],[price]]*Table16[[#This Row],[quantity]]</f>
        <v>40.659999999999997</v>
      </c>
    </row>
    <row r="2153" spans="1:9" x14ac:dyDescent="0.3">
      <c r="A2153" t="s">
        <v>4169</v>
      </c>
      <c r="B2153" t="s">
        <v>417</v>
      </c>
      <c r="C2153" t="s">
        <v>2057</v>
      </c>
      <c r="D2153">
        <v>2</v>
      </c>
      <c r="E2153" s="16">
        <v>23.46</v>
      </c>
      <c r="F2153" s="1">
        <v>44280</v>
      </c>
      <c r="G2153" t="s">
        <v>2004</v>
      </c>
      <c r="H2153">
        <v>1</v>
      </c>
      <c r="I2153" s="12">
        <f>Table16[[#This Row],[price]]*Table16[[#This Row],[quantity]]</f>
        <v>46.92</v>
      </c>
    </row>
    <row r="2154" spans="1:9" x14ac:dyDescent="0.3">
      <c r="A2154" t="s">
        <v>4172</v>
      </c>
      <c r="B2154" t="s">
        <v>417</v>
      </c>
      <c r="C2154" t="s">
        <v>2001</v>
      </c>
      <c r="D2154">
        <v>4</v>
      </c>
      <c r="E2154" s="16">
        <v>1200.32</v>
      </c>
      <c r="F2154" s="1">
        <v>44341</v>
      </c>
      <c r="G2154" t="s">
        <v>2041</v>
      </c>
      <c r="H2154">
        <v>1</v>
      </c>
      <c r="I2154" s="12">
        <f>Table16[[#This Row],[price]]*Table16[[#This Row],[quantity]]</f>
        <v>4801.28</v>
      </c>
    </row>
    <row r="2155" spans="1:9" x14ac:dyDescent="0.3">
      <c r="A2155" t="s">
        <v>4170</v>
      </c>
      <c r="B2155" t="s">
        <v>417</v>
      </c>
      <c r="C2155" t="s">
        <v>2001</v>
      </c>
      <c r="D2155">
        <v>1</v>
      </c>
      <c r="E2155" s="16">
        <v>300.08</v>
      </c>
      <c r="F2155" s="1">
        <v>44466</v>
      </c>
      <c r="G2155" t="s">
        <v>2058</v>
      </c>
      <c r="H2155">
        <v>4</v>
      </c>
      <c r="I2155" s="12">
        <f>Table16[[#This Row],[price]]*Table16[[#This Row],[quantity]]</f>
        <v>300.08</v>
      </c>
    </row>
    <row r="2156" spans="1:9" x14ac:dyDescent="0.3">
      <c r="A2156" t="s">
        <v>4171</v>
      </c>
      <c r="B2156" t="s">
        <v>417</v>
      </c>
      <c r="C2156" t="s">
        <v>2008</v>
      </c>
      <c r="D2156">
        <v>2</v>
      </c>
      <c r="E2156" s="16">
        <v>10.46</v>
      </c>
      <c r="F2156" s="1">
        <v>44830</v>
      </c>
      <c r="G2156" t="s">
        <v>2064</v>
      </c>
      <c r="H2156">
        <v>3</v>
      </c>
      <c r="I2156" s="12">
        <f>Table16[[#This Row],[price]]*Table16[[#This Row],[quantity]]</f>
        <v>20.92</v>
      </c>
    </row>
    <row r="2157" spans="1:9" x14ac:dyDescent="0.3">
      <c r="A2157" t="s">
        <v>4174</v>
      </c>
      <c r="B2157" t="s">
        <v>418</v>
      </c>
      <c r="C2157" t="s">
        <v>2015</v>
      </c>
      <c r="D2157">
        <v>5</v>
      </c>
      <c r="E2157" s="16">
        <v>3000.85</v>
      </c>
      <c r="F2157" s="1">
        <v>44313</v>
      </c>
      <c r="G2157" t="s">
        <v>2018</v>
      </c>
      <c r="H2157">
        <v>2</v>
      </c>
      <c r="I2157" s="12">
        <f>Table16[[#This Row],[price]]*Table16[[#This Row],[quantity]]</f>
        <v>15004.25</v>
      </c>
    </row>
    <row r="2158" spans="1:9" x14ac:dyDescent="0.3">
      <c r="A2158" t="s">
        <v>4175</v>
      </c>
      <c r="B2158" t="s">
        <v>418</v>
      </c>
      <c r="C2158" t="s">
        <v>2001</v>
      </c>
      <c r="D2158">
        <v>1</v>
      </c>
      <c r="E2158" s="16">
        <v>300.08</v>
      </c>
      <c r="F2158" s="1">
        <v>44449</v>
      </c>
      <c r="G2158" t="s">
        <v>2064</v>
      </c>
      <c r="H2158">
        <v>4</v>
      </c>
      <c r="I2158" s="12">
        <f>Table16[[#This Row],[price]]*Table16[[#This Row],[quantity]]</f>
        <v>300.08</v>
      </c>
    </row>
    <row r="2159" spans="1:9" x14ac:dyDescent="0.3">
      <c r="A2159" t="s">
        <v>4177</v>
      </c>
      <c r="B2159" t="s">
        <v>418</v>
      </c>
      <c r="C2159" t="s">
        <v>2015</v>
      </c>
      <c r="D2159">
        <v>2</v>
      </c>
      <c r="E2159" s="16">
        <v>1200.3399999999999</v>
      </c>
      <c r="F2159" s="1">
        <v>44596</v>
      </c>
      <c r="G2159" t="s">
        <v>2002</v>
      </c>
      <c r="H2159">
        <v>2</v>
      </c>
      <c r="I2159" s="12">
        <f>Table16[[#This Row],[price]]*Table16[[#This Row],[quantity]]</f>
        <v>2400.6799999999998</v>
      </c>
    </row>
    <row r="2160" spans="1:9" x14ac:dyDescent="0.3">
      <c r="A2160" t="s">
        <v>4173</v>
      </c>
      <c r="B2160" t="s">
        <v>418</v>
      </c>
      <c r="C2160" t="s">
        <v>2024</v>
      </c>
      <c r="D2160">
        <v>4</v>
      </c>
      <c r="E2160" s="16">
        <v>143.36000000000001</v>
      </c>
      <c r="F2160" s="1">
        <v>44708</v>
      </c>
      <c r="G2160" t="s">
        <v>2064</v>
      </c>
      <c r="H2160">
        <v>1</v>
      </c>
      <c r="I2160" s="12">
        <f>Table16[[#This Row],[price]]*Table16[[#This Row],[quantity]]</f>
        <v>573.44000000000005</v>
      </c>
    </row>
    <row r="2161" spans="1:9" x14ac:dyDescent="0.3">
      <c r="A2161" t="s">
        <v>4176</v>
      </c>
      <c r="B2161" t="s">
        <v>418</v>
      </c>
      <c r="C2161" t="s">
        <v>2017</v>
      </c>
      <c r="D2161">
        <v>1</v>
      </c>
      <c r="E2161" s="16">
        <v>1050</v>
      </c>
      <c r="F2161" s="1">
        <v>44876</v>
      </c>
      <c r="G2161" t="s">
        <v>2012</v>
      </c>
      <c r="H2161">
        <v>5</v>
      </c>
      <c r="I2161" s="12">
        <f>Table16[[#This Row],[price]]*Table16[[#This Row],[quantity]]</f>
        <v>1050</v>
      </c>
    </row>
    <row r="2162" spans="1:9" x14ac:dyDescent="0.3">
      <c r="A2162" t="s">
        <v>4178</v>
      </c>
      <c r="B2162" t="s">
        <v>419</v>
      </c>
      <c r="C2162" t="s">
        <v>2008</v>
      </c>
      <c r="D2162">
        <v>3</v>
      </c>
      <c r="E2162" s="16">
        <v>15.69</v>
      </c>
      <c r="F2162" s="1">
        <v>44376</v>
      </c>
      <c r="G2162" t="s">
        <v>2027</v>
      </c>
      <c r="H2162">
        <v>3</v>
      </c>
      <c r="I2162" s="12">
        <f>Table16[[#This Row],[price]]*Table16[[#This Row],[quantity]]</f>
        <v>47.07</v>
      </c>
    </row>
    <row r="2163" spans="1:9" x14ac:dyDescent="0.3">
      <c r="A2163" t="s">
        <v>4181</v>
      </c>
      <c r="B2163" t="s">
        <v>420</v>
      </c>
      <c r="C2163" t="s">
        <v>2001</v>
      </c>
      <c r="D2163">
        <v>1</v>
      </c>
      <c r="E2163" s="16">
        <v>300.08</v>
      </c>
      <c r="F2163" s="1">
        <v>44429</v>
      </c>
      <c r="G2163" t="s">
        <v>2027</v>
      </c>
      <c r="H2163">
        <v>2</v>
      </c>
      <c r="I2163" s="12">
        <f>Table16[[#This Row],[price]]*Table16[[#This Row],[quantity]]</f>
        <v>300.08</v>
      </c>
    </row>
    <row r="2164" spans="1:9" x14ac:dyDescent="0.3">
      <c r="A2164" t="s">
        <v>4182</v>
      </c>
      <c r="B2164" t="s">
        <v>420</v>
      </c>
      <c r="C2164" t="s">
        <v>2011</v>
      </c>
      <c r="D2164">
        <v>2</v>
      </c>
      <c r="E2164" s="16">
        <v>81.319999999999993</v>
      </c>
      <c r="F2164" s="1">
        <v>44573</v>
      </c>
      <c r="G2164" t="s">
        <v>2020</v>
      </c>
      <c r="H2164">
        <v>5</v>
      </c>
      <c r="I2164" s="12">
        <f>Table16[[#This Row],[price]]*Table16[[#This Row],[quantity]]</f>
        <v>162.63999999999999</v>
      </c>
    </row>
    <row r="2165" spans="1:9" x14ac:dyDescent="0.3">
      <c r="A2165" t="s">
        <v>4183</v>
      </c>
      <c r="B2165" t="s">
        <v>420</v>
      </c>
      <c r="C2165" t="s">
        <v>2024</v>
      </c>
      <c r="D2165">
        <v>3</v>
      </c>
      <c r="E2165" s="16">
        <v>107.52</v>
      </c>
      <c r="F2165" s="1">
        <v>44719</v>
      </c>
      <c r="G2165" t="s">
        <v>2004</v>
      </c>
      <c r="H2165">
        <v>3</v>
      </c>
      <c r="I2165" s="12">
        <f>Table16[[#This Row],[price]]*Table16[[#This Row],[quantity]]</f>
        <v>322.56</v>
      </c>
    </row>
    <row r="2166" spans="1:9" x14ac:dyDescent="0.3">
      <c r="A2166" t="s">
        <v>4180</v>
      </c>
      <c r="B2166" t="s">
        <v>420</v>
      </c>
      <c r="C2166" t="s">
        <v>2008</v>
      </c>
      <c r="D2166">
        <v>3</v>
      </c>
      <c r="E2166" s="16">
        <v>15.69</v>
      </c>
      <c r="F2166" s="1">
        <v>44798</v>
      </c>
      <c r="G2166" t="s">
        <v>2004</v>
      </c>
      <c r="H2166">
        <v>3</v>
      </c>
      <c r="I2166" s="12">
        <f>Table16[[#This Row],[price]]*Table16[[#This Row],[quantity]]</f>
        <v>47.07</v>
      </c>
    </row>
    <row r="2167" spans="1:9" x14ac:dyDescent="0.3">
      <c r="A2167" t="s">
        <v>4179</v>
      </c>
      <c r="B2167" t="s">
        <v>420</v>
      </c>
      <c r="C2167" t="s">
        <v>2001</v>
      </c>
      <c r="D2167">
        <v>2</v>
      </c>
      <c r="E2167" s="16">
        <v>600.16</v>
      </c>
      <c r="F2167" s="1">
        <v>44981</v>
      </c>
      <c r="G2167" t="s">
        <v>2020</v>
      </c>
      <c r="H2167">
        <v>3</v>
      </c>
      <c r="I2167" s="12">
        <f>Table16[[#This Row],[price]]*Table16[[#This Row],[quantity]]</f>
        <v>1200.32</v>
      </c>
    </row>
    <row r="2168" spans="1:9" x14ac:dyDescent="0.3">
      <c r="A2168" t="s">
        <v>4184</v>
      </c>
      <c r="B2168" t="s">
        <v>421</v>
      </c>
      <c r="C2168" t="s">
        <v>2001</v>
      </c>
      <c r="D2168">
        <v>1</v>
      </c>
      <c r="E2168" s="16">
        <v>300.08</v>
      </c>
      <c r="F2168" s="1">
        <v>44202</v>
      </c>
      <c r="G2168" t="s">
        <v>2002</v>
      </c>
      <c r="H2168">
        <v>3</v>
      </c>
      <c r="I2168" s="12">
        <f>Table16[[#This Row],[price]]*Table16[[#This Row],[quantity]]</f>
        <v>300.08</v>
      </c>
    </row>
    <row r="2169" spans="1:9" x14ac:dyDescent="0.3">
      <c r="A2169" t="s">
        <v>4188</v>
      </c>
      <c r="B2169" t="s">
        <v>421</v>
      </c>
      <c r="C2169" t="s">
        <v>2001</v>
      </c>
      <c r="D2169">
        <v>5</v>
      </c>
      <c r="E2169" s="16">
        <v>1500.4</v>
      </c>
      <c r="F2169" s="1">
        <v>44370</v>
      </c>
      <c r="G2169" t="s">
        <v>2027</v>
      </c>
      <c r="H2169">
        <v>4</v>
      </c>
      <c r="I2169" s="12">
        <f>Table16[[#This Row],[price]]*Table16[[#This Row],[quantity]]</f>
        <v>7502</v>
      </c>
    </row>
    <row r="2170" spans="1:9" x14ac:dyDescent="0.3">
      <c r="A2170" t="s">
        <v>4186</v>
      </c>
      <c r="B2170" t="s">
        <v>421</v>
      </c>
      <c r="C2170" t="s">
        <v>2015</v>
      </c>
      <c r="D2170">
        <v>4</v>
      </c>
      <c r="E2170" s="16">
        <v>2400.6799999999998</v>
      </c>
      <c r="F2170" s="1">
        <v>44477</v>
      </c>
      <c r="G2170" t="s">
        <v>2004</v>
      </c>
      <c r="H2170">
        <v>2</v>
      </c>
      <c r="I2170" s="12">
        <f>Table16[[#This Row],[price]]*Table16[[#This Row],[quantity]]</f>
        <v>9602.7199999999993</v>
      </c>
    </row>
    <row r="2171" spans="1:9" x14ac:dyDescent="0.3">
      <c r="A2171" t="s">
        <v>4185</v>
      </c>
      <c r="B2171" t="s">
        <v>421</v>
      </c>
      <c r="C2171" t="s">
        <v>2001</v>
      </c>
      <c r="D2171">
        <v>3</v>
      </c>
      <c r="E2171" s="16">
        <v>900.24</v>
      </c>
      <c r="F2171" s="1">
        <v>44483</v>
      </c>
      <c r="G2171" t="s">
        <v>2041</v>
      </c>
      <c r="H2171">
        <v>1</v>
      </c>
      <c r="I2171" s="12">
        <f>Table16[[#This Row],[price]]*Table16[[#This Row],[quantity]]</f>
        <v>2700.7200000000003</v>
      </c>
    </row>
    <row r="2172" spans="1:9" x14ac:dyDescent="0.3">
      <c r="A2172" t="s">
        <v>4187</v>
      </c>
      <c r="B2172" t="s">
        <v>421</v>
      </c>
      <c r="C2172" t="s">
        <v>2001</v>
      </c>
      <c r="D2172">
        <v>4</v>
      </c>
      <c r="E2172" s="16">
        <v>1200.32</v>
      </c>
      <c r="F2172" s="1">
        <v>44819</v>
      </c>
      <c r="G2172" t="s">
        <v>2004</v>
      </c>
      <c r="H2172">
        <v>5</v>
      </c>
      <c r="I2172" s="12">
        <f>Table16[[#This Row],[price]]*Table16[[#This Row],[quantity]]</f>
        <v>4801.28</v>
      </c>
    </row>
    <row r="2173" spans="1:9" x14ac:dyDescent="0.3">
      <c r="A2173" t="s">
        <v>4190</v>
      </c>
      <c r="B2173" t="s">
        <v>422</v>
      </c>
      <c r="C2173" t="s">
        <v>2001</v>
      </c>
      <c r="D2173">
        <v>1</v>
      </c>
      <c r="E2173" s="16">
        <v>300.08</v>
      </c>
      <c r="F2173" s="1">
        <v>44269</v>
      </c>
      <c r="G2173" t="s">
        <v>2058</v>
      </c>
      <c r="H2173">
        <v>3</v>
      </c>
      <c r="I2173" s="12">
        <f>Table16[[#This Row],[price]]*Table16[[#This Row],[quantity]]</f>
        <v>300.08</v>
      </c>
    </row>
    <row r="2174" spans="1:9" x14ac:dyDescent="0.3">
      <c r="A2174" t="s">
        <v>4193</v>
      </c>
      <c r="B2174" t="s">
        <v>422</v>
      </c>
      <c r="C2174" t="s">
        <v>2001</v>
      </c>
      <c r="D2174">
        <v>1</v>
      </c>
      <c r="E2174" s="16">
        <v>300.08</v>
      </c>
      <c r="F2174" s="1">
        <v>44702</v>
      </c>
      <c r="G2174" t="s">
        <v>2027</v>
      </c>
      <c r="H2174">
        <v>4</v>
      </c>
      <c r="I2174" s="12">
        <f>Table16[[#This Row],[price]]*Table16[[#This Row],[quantity]]</f>
        <v>300.08</v>
      </c>
    </row>
    <row r="2175" spans="1:9" x14ac:dyDescent="0.3">
      <c r="A2175" t="s">
        <v>4192</v>
      </c>
      <c r="B2175" t="s">
        <v>422</v>
      </c>
      <c r="C2175" t="s">
        <v>2011</v>
      </c>
      <c r="D2175">
        <v>1</v>
      </c>
      <c r="E2175" s="16">
        <v>40.659999999999997</v>
      </c>
      <c r="F2175" s="1">
        <v>44708</v>
      </c>
      <c r="G2175" t="s">
        <v>2004</v>
      </c>
      <c r="H2175">
        <v>4</v>
      </c>
      <c r="I2175" s="12">
        <f>Table16[[#This Row],[price]]*Table16[[#This Row],[quantity]]</f>
        <v>40.659999999999997</v>
      </c>
    </row>
    <row r="2176" spans="1:9" x14ac:dyDescent="0.3">
      <c r="A2176" t="s">
        <v>4189</v>
      </c>
      <c r="B2176" t="s">
        <v>422</v>
      </c>
      <c r="C2176" t="s">
        <v>2001</v>
      </c>
      <c r="D2176">
        <v>3</v>
      </c>
      <c r="E2176" s="16">
        <v>900.24</v>
      </c>
      <c r="F2176" s="1">
        <v>44732</v>
      </c>
      <c r="G2176" t="s">
        <v>2058</v>
      </c>
      <c r="H2176">
        <v>1</v>
      </c>
      <c r="I2176" s="12">
        <f>Table16[[#This Row],[price]]*Table16[[#This Row],[quantity]]</f>
        <v>2700.7200000000003</v>
      </c>
    </row>
    <row r="2177" spans="1:9" x14ac:dyDescent="0.3">
      <c r="A2177" t="s">
        <v>4191</v>
      </c>
      <c r="B2177" t="s">
        <v>422</v>
      </c>
      <c r="C2177" t="s">
        <v>2011</v>
      </c>
      <c r="D2177">
        <v>1</v>
      </c>
      <c r="E2177" s="16">
        <v>40.659999999999997</v>
      </c>
      <c r="F2177" s="1">
        <v>44824</v>
      </c>
      <c r="G2177" t="s">
        <v>2020</v>
      </c>
      <c r="H2177">
        <v>4</v>
      </c>
      <c r="I2177" s="12">
        <f>Table16[[#This Row],[price]]*Table16[[#This Row],[quantity]]</f>
        <v>40.659999999999997</v>
      </c>
    </row>
    <row r="2178" spans="1:9" x14ac:dyDescent="0.3">
      <c r="A2178" t="s">
        <v>4196</v>
      </c>
      <c r="B2178" t="s">
        <v>423</v>
      </c>
      <c r="C2178" t="s">
        <v>2001</v>
      </c>
      <c r="D2178">
        <v>4</v>
      </c>
      <c r="E2178" s="16">
        <v>1200.32</v>
      </c>
      <c r="F2178" s="1">
        <v>44238</v>
      </c>
      <c r="G2178" t="s">
        <v>2027</v>
      </c>
      <c r="H2178">
        <v>5</v>
      </c>
      <c r="I2178" s="12">
        <f>Table16[[#This Row],[price]]*Table16[[#This Row],[quantity]]</f>
        <v>4801.28</v>
      </c>
    </row>
    <row r="2179" spans="1:9" x14ac:dyDescent="0.3">
      <c r="A2179" t="s">
        <v>4195</v>
      </c>
      <c r="B2179" t="s">
        <v>423</v>
      </c>
      <c r="C2179" t="s">
        <v>2015</v>
      </c>
      <c r="D2179">
        <v>1</v>
      </c>
      <c r="E2179" s="16">
        <v>600.16999999999996</v>
      </c>
      <c r="F2179" s="1">
        <v>44261</v>
      </c>
      <c r="G2179" t="s">
        <v>2027</v>
      </c>
      <c r="H2179">
        <v>5</v>
      </c>
      <c r="I2179" s="12">
        <f>Table16[[#This Row],[price]]*Table16[[#This Row],[quantity]]</f>
        <v>600.16999999999996</v>
      </c>
    </row>
    <row r="2180" spans="1:9" x14ac:dyDescent="0.3">
      <c r="A2180" t="s">
        <v>4194</v>
      </c>
      <c r="B2180" t="s">
        <v>423</v>
      </c>
      <c r="C2180" t="s">
        <v>2011</v>
      </c>
      <c r="D2180">
        <v>3</v>
      </c>
      <c r="E2180" s="16">
        <v>121.98</v>
      </c>
      <c r="F2180" s="1">
        <v>44433</v>
      </c>
      <c r="G2180" t="s">
        <v>2027</v>
      </c>
      <c r="H2180">
        <v>2</v>
      </c>
      <c r="I2180" s="12">
        <f>Table16[[#This Row],[price]]*Table16[[#This Row],[quantity]]</f>
        <v>365.94</v>
      </c>
    </row>
    <row r="2181" spans="1:9" x14ac:dyDescent="0.3">
      <c r="A2181" t="s">
        <v>4198</v>
      </c>
      <c r="B2181" t="s">
        <v>423</v>
      </c>
      <c r="C2181" t="s">
        <v>2011</v>
      </c>
      <c r="D2181">
        <v>2</v>
      </c>
      <c r="E2181" s="16">
        <v>81.319999999999993</v>
      </c>
      <c r="F2181" s="1">
        <v>44686</v>
      </c>
      <c r="G2181" t="s">
        <v>2041</v>
      </c>
      <c r="H2181">
        <v>1</v>
      </c>
      <c r="I2181" s="12">
        <f>Table16[[#This Row],[price]]*Table16[[#This Row],[quantity]]</f>
        <v>162.63999999999999</v>
      </c>
    </row>
    <row r="2182" spans="1:9" x14ac:dyDescent="0.3">
      <c r="A2182" t="s">
        <v>4197</v>
      </c>
      <c r="B2182" t="s">
        <v>423</v>
      </c>
      <c r="C2182" t="s">
        <v>2001</v>
      </c>
      <c r="D2182">
        <v>2</v>
      </c>
      <c r="E2182" s="16">
        <v>600.16</v>
      </c>
      <c r="F2182" s="1">
        <v>44812</v>
      </c>
      <c r="G2182" t="s">
        <v>2064</v>
      </c>
      <c r="H2182">
        <v>4</v>
      </c>
      <c r="I2182" s="12">
        <f>Table16[[#This Row],[price]]*Table16[[#This Row],[quantity]]</f>
        <v>1200.32</v>
      </c>
    </row>
    <row r="2183" spans="1:9" x14ac:dyDescent="0.3">
      <c r="A2183" t="s">
        <v>4199</v>
      </c>
      <c r="B2183" t="s">
        <v>424</v>
      </c>
      <c r="C2183" t="s">
        <v>2001</v>
      </c>
      <c r="D2183">
        <v>4</v>
      </c>
      <c r="E2183" s="16">
        <v>1200.32</v>
      </c>
      <c r="F2183" s="1">
        <v>44377</v>
      </c>
      <c r="G2183" t="s">
        <v>2012</v>
      </c>
      <c r="H2183">
        <v>1</v>
      </c>
      <c r="I2183" s="12">
        <f>Table16[[#This Row],[price]]*Table16[[#This Row],[quantity]]</f>
        <v>4801.28</v>
      </c>
    </row>
    <row r="2184" spans="1:9" x14ac:dyDescent="0.3">
      <c r="A2184" t="s">
        <v>4204</v>
      </c>
      <c r="B2184" t="s">
        <v>424</v>
      </c>
      <c r="C2184" t="s">
        <v>2015</v>
      </c>
      <c r="D2184">
        <v>1</v>
      </c>
      <c r="E2184" s="16">
        <v>600.16999999999996</v>
      </c>
      <c r="F2184" s="1">
        <v>44469</v>
      </c>
      <c r="G2184" t="s">
        <v>2020</v>
      </c>
      <c r="H2184">
        <v>3</v>
      </c>
      <c r="I2184" s="12">
        <f>Table16[[#This Row],[price]]*Table16[[#This Row],[quantity]]</f>
        <v>600.16999999999996</v>
      </c>
    </row>
    <row r="2185" spans="1:9" x14ac:dyDescent="0.3">
      <c r="A2185" t="s">
        <v>4201</v>
      </c>
      <c r="B2185" t="s">
        <v>424</v>
      </c>
      <c r="C2185" t="s">
        <v>2057</v>
      </c>
      <c r="D2185">
        <v>2</v>
      </c>
      <c r="E2185" s="16">
        <v>23.46</v>
      </c>
      <c r="F2185" s="1">
        <v>44555</v>
      </c>
      <c r="G2185" t="s">
        <v>2002</v>
      </c>
      <c r="H2185">
        <v>3</v>
      </c>
      <c r="I2185" s="12">
        <f>Table16[[#This Row],[price]]*Table16[[#This Row],[quantity]]</f>
        <v>46.92</v>
      </c>
    </row>
    <row r="2186" spans="1:9" x14ac:dyDescent="0.3">
      <c r="A2186" t="s">
        <v>4200</v>
      </c>
      <c r="B2186" t="s">
        <v>424</v>
      </c>
      <c r="C2186" t="s">
        <v>2001</v>
      </c>
      <c r="D2186">
        <v>5</v>
      </c>
      <c r="E2186" s="16">
        <v>1500.4</v>
      </c>
      <c r="F2186" s="1">
        <v>44697</v>
      </c>
      <c r="G2186" t="s">
        <v>2002</v>
      </c>
      <c r="H2186">
        <v>2</v>
      </c>
      <c r="I2186" s="12">
        <f>Table16[[#This Row],[price]]*Table16[[#This Row],[quantity]]</f>
        <v>7502</v>
      </c>
    </row>
    <row r="2187" spans="1:9" x14ac:dyDescent="0.3">
      <c r="A2187" t="s">
        <v>4203</v>
      </c>
      <c r="B2187" t="s">
        <v>424</v>
      </c>
      <c r="C2187" t="s">
        <v>2017</v>
      </c>
      <c r="D2187">
        <v>5</v>
      </c>
      <c r="E2187" s="16">
        <v>5250</v>
      </c>
      <c r="F2187" s="1">
        <v>44848</v>
      </c>
      <c r="G2187" t="s">
        <v>2058</v>
      </c>
      <c r="H2187">
        <v>1</v>
      </c>
      <c r="I2187" s="12">
        <f>Table16[[#This Row],[price]]*Table16[[#This Row],[quantity]]</f>
        <v>26250</v>
      </c>
    </row>
    <row r="2188" spans="1:9" x14ac:dyDescent="0.3">
      <c r="A2188" t="s">
        <v>4202</v>
      </c>
      <c r="B2188" t="s">
        <v>424</v>
      </c>
      <c r="C2188" t="s">
        <v>2024</v>
      </c>
      <c r="D2188">
        <v>1</v>
      </c>
      <c r="E2188" s="16">
        <v>35.840000000000003</v>
      </c>
      <c r="F2188" s="1">
        <v>44977</v>
      </c>
      <c r="G2188" t="s">
        <v>2027</v>
      </c>
      <c r="H2188">
        <v>3</v>
      </c>
      <c r="I2188" s="12">
        <f>Table16[[#This Row],[price]]*Table16[[#This Row],[quantity]]</f>
        <v>35.840000000000003</v>
      </c>
    </row>
    <row r="2189" spans="1:9" x14ac:dyDescent="0.3">
      <c r="A2189" t="s">
        <v>4206</v>
      </c>
      <c r="B2189" t="s">
        <v>425</v>
      </c>
      <c r="C2189" t="s">
        <v>2057</v>
      </c>
      <c r="D2189">
        <v>3</v>
      </c>
      <c r="E2189" s="16">
        <v>35.19</v>
      </c>
      <c r="F2189" s="1">
        <v>44355</v>
      </c>
      <c r="G2189" t="s">
        <v>2009</v>
      </c>
      <c r="H2189">
        <v>4</v>
      </c>
      <c r="I2189" s="12">
        <f>Table16[[#This Row],[price]]*Table16[[#This Row],[quantity]]</f>
        <v>105.57</v>
      </c>
    </row>
    <row r="2190" spans="1:9" x14ac:dyDescent="0.3">
      <c r="A2190" t="s">
        <v>4205</v>
      </c>
      <c r="B2190" t="s">
        <v>425</v>
      </c>
      <c r="C2190" t="s">
        <v>2011</v>
      </c>
      <c r="D2190">
        <v>1</v>
      </c>
      <c r="E2190" s="16">
        <v>40.659999999999997</v>
      </c>
      <c r="F2190" s="1">
        <v>44869</v>
      </c>
      <c r="G2190" t="s">
        <v>2002</v>
      </c>
      <c r="H2190">
        <v>3</v>
      </c>
      <c r="I2190" s="12">
        <f>Table16[[#This Row],[price]]*Table16[[#This Row],[quantity]]</f>
        <v>40.659999999999997</v>
      </c>
    </row>
    <row r="2191" spans="1:9" x14ac:dyDescent="0.3">
      <c r="A2191" t="s">
        <v>4207</v>
      </c>
      <c r="B2191" t="s">
        <v>426</v>
      </c>
      <c r="C2191" t="s">
        <v>2011</v>
      </c>
      <c r="D2191">
        <v>4</v>
      </c>
      <c r="E2191" s="16">
        <v>162.63999999999999</v>
      </c>
      <c r="F2191" s="1">
        <v>44403</v>
      </c>
      <c r="G2191" t="s">
        <v>2004</v>
      </c>
      <c r="H2191">
        <v>4</v>
      </c>
      <c r="I2191" s="12">
        <f>Table16[[#This Row],[price]]*Table16[[#This Row],[quantity]]</f>
        <v>650.55999999999995</v>
      </c>
    </row>
    <row r="2192" spans="1:9" x14ac:dyDescent="0.3">
      <c r="A2192" t="s">
        <v>4208</v>
      </c>
      <c r="B2192" t="s">
        <v>426</v>
      </c>
      <c r="C2192" t="s">
        <v>2001</v>
      </c>
      <c r="D2192">
        <v>5</v>
      </c>
      <c r="E2192" s="16">
        <v>1500.4</v>
      </c>
      <c r="F2192" s="1">
        <v>44451</v>
      </c>
      <c r="G2192" t="s">
        <v>2058</v>
      </c>
      <c r="H2192">
        <v>4</v>
      </c>
      <c r="I2192" s="12">
        <f>Table16[[#This Row],[price]]*Table16[[#This Row],[quantity]]</f>
        <v>7502</v>
      </c>
    </row>
    <row r="2193" spans="1:9" x14ac:dyDescent="0.3">
      <c r="A2193" t="s">
        <v>4210</v>
      </c>
      <c r="B2193" t="s">
        <v>426</v>
      </c>
      <c r="C2193" t="s">
        <v>2024</v>
      </c>
      <c r="D2193">
        <v>2</v>
      </c>
      <c r="E2193" s="16">
        <v>71.680000000000007</v>
      </c>
      <c r="F2193" s="1">
        <v>44459</v>
      </c>
      <c r="G2193" t="s">
        <v>2027</v>
      </c>
      <c r="H2193">
        <v>5</v>
      </c>
      <c r="I2193" s="12">
        <f>Table16[[#This Row],[price]]*Table16[[#This Row],[quantity]]</f>
        <v>143.36000000000001</v>
      </c>
    </row>
    <row r="2194" spans="1:9" x14ac:dyDescent="0.3">
      <c r="A2194" t="s">
        <v>4209</v>
      </c>
      <c r="B2194" t="s">
        <v>426</v>
      </c>
      <c r="C2194" t="s">
        <v>2057</v>
      </c>
      <c r="D2194">
        <v>5</v>
      </c>
      <c r="E2194" s="16">
        <v>58.65</v>
      </c>
      <c r="F2194" s="1">
        <v>44617</v>
      </c>
      <c r="G2194" t="s">
        <v>2027</v>
      </c>
      <c r="H2194">
        <v>1</v>
      </c>
      <c r="I2194" s="12">
        <f>Table16[[#This Row],[price]]*Table16[[#This Row],[quantity]]</f>
        <v>293.25</v>
      </c>
    </row>
    <row r="2195" spans="1:9" x14ac:dyDescent="0.3">
      <c r="A2195" t="s">
        <v>4213</v>
      </c>
      <c r="B2195" t="s">
        <v>427</v>
      </c>
      <c r="C2195" t="s">
        <v>2011</v>
      </c>
      <c r="D2195">
        <v>2</v>
      </c>
      <c r="E2195" s="16">
        <v>81.319999999999993</v>
      </c>
      <c r="F2195" s="1">
        <v>44506</v>
      </c>
      <c r="G2195" t="s">
        <v>2018</v>
      </c>
      <c r="H2195">
        <v>4</v>
      </c>
      <c r="I2195" s="12">
        <f>Table16[[#This Row],[price]]*Table16[[#This Row],[quantity]]</f>
        <v>162.63999999999999</v>
      </c>
    </row>
    <row r="2196" spans="1:9" x14ac:dyDescent="0.3">
      <c r="A2196" t="s">
        <v>4214</v>
      </c>
      <c r="B2196" t="s">
        <v>427</v>
      </c>
      <c r="C2196" t="s">
        <v>2017</v>
      </c>
      <c r="D2196">
        <v>5</v>
      </c>
      <c r="E2196" s="16">
        <v>5250</v>
      </c>
      <c r="F2196" s="1">
        <v>44532</v>
      </c>
      <c r="G2196" t="s">
        <v>2027</v>
      </c>
      <c r="H2196">
        <v>5</v>
      </c>
      <c r="I2196" s="12">
        <f>Table16[[#This Row],[price]]*Table16[[#This Row],[quantity]]</f>
        <v>26250</v>
      </c>
    </row>
    <row r="2197" spans="1:9" x14ac:dyDescent="0.3">
      <c r="A2197" t="s">
        <v>4211</v>
      </c>
      <c r="B2197" t="s">
        <v>427</v>
      </c>
      <c r="C2197" t="s">
        <v>2024</v>
      </c>
      <c r="D2197">
        <v>2</v>
      </c>
      <c r="E2197" s="16">
        <v>71.680000000000007</v>
      </c>
      <c r="F2197" s="1">
        <v>44976</v>
      </c>
      <c r="G2197" t="s">
        <v>2020</v>
      </c>
      <c r="H2197">
        <v>5</v>
      </c>
      <c r="I2197" s="12">
        <f>Table16[[#This Row],[price]]*Table16[[#This Row],[quantity]]</f>
        <v>143.36000000000001</v>
      </c>
    </row>
    <row r="2198" spans="1:9" x14ac:dyDescent="0.3">
      <c r="A2198" t="s">
        <v>4212</v>
      </c>
      <c r="B2198" t="s">
        <v>427</v>
      </c>
      <c r="C2198" t="s">
        <v>2011</v>
      </c>
      <c r="D2198">
        <v>2</v>
      </c>
      <c r="E2198" s="16">
        <v>81.319999999999993</v>
      </c>
      <c r="F2198" s="1">
        <v>44988</v>
      </c>
      <c r="G2198" t="s">
        <v>2004</v>
      </c>
      <c r="H2198">
        <v>3</v>
      </c>
      <c r="I2198" s="12">
        <f>Table16[[#This Row],[price]]*Table16[[#This Row],[quantity]]</f>
        <v>162.63999999999999</v>
      </c>
    </row>
    <row r="2199" spans="1:9" x14ac:dyDescent="0.3">
      <c r="A2199" t="s">
        <v>4220</v>
      </c>
      <c r="B2199" t="s">
        <v>428</v>
      </c>
      <c r="C2199" t="s">
        <v>2015</v>
      </c>
      <c r="D2199">
        <v>4</v>
      </c>
      <c r="E2199" s="16">
        <v>2400.6799999999998</v>
      </c>
      <c r="F2199" s="1">
        <v>44318</v>
      </c>
      <c r="G2199" t="s">
        <v>2002</v>
      </c>
      <c r="H2199">
        <v>5</v>
      </c>
      <c r="I2199" s="12">
        <f>Table16[[#This Row],[price]]*Table16[[#This Row],[quantity]]</f>
        <v>9602.7199999999993</v>
      </c>
    </row>
    <row r="2200" spans="1:9" x14ac:dyDescent="0.3">
      <c r="A2200" t="s">
        <v>4219</v>
      </c>
      <c r="B2200" t="s">
        <v>428</v>
      </c>
      <c r="C2200" t="s">
        <v>2011</v>
      </c>
      <c r="D2200">
        <v>4</v>
      </c>
      <c r="E2200" s="16">
        <v>162.63999999999999</v>
      </c>
      <c r="F2200" s="1">
        <v>44597</v>
      </c>
      <c r="G2200" t="s">
        <v>2058</v>
      </c>
      <c r="H2200">
        <v>4</v>
      </c>
      <c r="I2200" s="12">
        <f>Table16[[#This Row],[price]]*Table16[[#This Row],[quantity]]</f>
        <v>650.55999999999995</v>
      </c>
    </row>
    <row r="2201" spans="1:9" x14ac:dyDescent="0.3">
      <c r="A2201" t="s">
        <v>4215</v>
      </c>
      <c r="B2201" t="s">
        <v>428</v>
      </c>
      <c r="C2201" t="s">
        <v>2011</v>
      </c>
      <c r="D2201">
        <v>2</v>
      </c>
      <c r="E2201" s="16">
        <v>81.319999999999993</v>
      </c>
      <c r="F2201" s="1">
        <v>44640</v>
      </c>
      <c r="G2201" t="s">
        <v>2002</v>
      </c>
      <c r="H2201">
        <v>3</v>
      </c>
      <c r="I2201" s="12">
        <f>Table16[[#This Row],[price]]*Table16[[#This Row],[quantity]]</f>
        <v>162.63999999999999</v>
      </c>
    </row>
    <row r="2202" spans="1:9" x14ac:dyDescent="0.3">
      <c r="A2202" t="s">
        <v>4217</v>
      </c>
      <c r="B2202" t="s">
        <v>428</v>
      </c>
      <c r="C2202" t="s">
        <v>2011</v>
      </c>
      <c r="D2202">
        <v>3</v>
      </c>
      <c r="E2202" s="16">
        <v>121.98</v>
      </c>
      <c r="F2202" s="1">
        <v>44647</v>
      </c>
      <c r="G2202" t="s">
        <v>2027</v>
      </c>
      <c r="H2202">
        <v>4</v>
      </c>
      <c r="I2202" s="12">
        <f>Table16[[#This Row],[price]]*Table16[[#This Row],[quantity]]</f>
        <v>365.94</v>
      </c>
    </row>
    <row r="2203" spans="1:9" x14ac:dyDescent="0.3">
      <c r="A2203" t="s">
        <v>4218</v>
      </c>
      <c r="B2203" t="s">
        <v>428</v>
      </c>
      <c r="C2203" t="s">
        <v>2024</v>
      </c>
      <c r="D2203">
        <v>1</v>
      </c>
      <c r="E2203" s="16">
        <v>35.840000000000003</v>
      </c>
      <c r="F2203" s="1">
        <v>44736</v>
      </c>
      <c r="G2203" t="s">
        <v>2020</v>
      </c>
      <c r="H2203">
        <v>3</v>
      </c>
      <c r="I2203" s="12">
        <f>Table16[[#This Row],[price]]*Table16[[#This Row],[quantity]]</f>
        <v>35.840000000000003</v>
      </c>
    </row>
    <row r="2204" spans="1:9" x14ac:dyDescent="0.3">
      <c r="A2204" t="s">
        <v>4216</v>
      </c>
      <c r="B2204" t="s">
        <v>428</v>
      </c>
      <c r="C2204" t="s">
        <v>2015</v>
      </c>
      <c r="D2204">
        <v>5</v>
      </c>
      <c r="E2204" s="16">
        <v>3000.85</v>
      </c>
      <c r="F2204" s="1">
        <v>44803</v>
      </c>
      <c r="G2204" t="s">
        <v>2064</v>
      </c>
      <c r="H2204">
        <v>4</v>
      </c>
      <c r="I2204" s="12">
        <f>Table16[[#This Row],[price]]*Table16[[#This Row],[quantity]]</f>
        <v>15004.25</v>
      </c>
    </row>
    <row r="2205" spans="1:9" x14ac:dyDescent="0.3">
      <c r="A2205" t="s">
        <v>4221</v>
      </c>
      <c r="B2205" t="s">
        <v>429</v>
      </c>
      <c r="C2205" t="s">
        <v>2057</v>
      </c>
      <c r="D2205">
        <v>5</v>
      </c>
      <c r="E2205" s="16">
        <v>58.65</v>
      </c>
      <c r="F2205" s="1">
        <v>44260</v>
      </c>
      <c r="G2205" t="s">
        <v>2002</v>
      </c>
      <c r="H2205">
        <v>1</v>
      </c>
      <c r="I2205" s="12">
        <f>Table16[[#This Row],[price]]*Table16[[#This Row],[quantity]]</f>
        <v>293.25</v>
      </c>
    </row>
    <row r="2206" spans="1:9" x14ac:dyDescent="0.3">
      <c r="A2206" t="s">
        <v>4223</v>
      </c>
      <c r="B2206" t="s">
        <v>429</v>
      </c>
      <c r="C2206" t="s">
        <v>2011</v>
      </c>
      <c r="D2206">
        <v>1</v>
      </c>
      <c r="E2206" s="16">
        <v>40.659999999999997</v>
      </c>
      <c r="F2206" s="1">
        <v>44679</v>
      </c>
      <c r="G2206" t="s">
        <v>2027</v>
      </c>
      <c r="H2206">
        <v>5</v>
      </c>
      <c r="I2206" s="12">
        <f>Table16[[#This Row],[price]]*Table16[[#This Row],[quantity]]</f>
        <v>40.659999999999997</v>
      </c>
    </row>
    <row r="2207" spans="1:9" x14ac:dyDescent="0.3">
      <c r="A2207" t="s">
        <v>4222</v>
      </c>
      <c r="B2207" t="s">
        <v>429</v>
      </c>
      <c r="C2207" t="s">
        <v>2015</v>
      </c>
      <c r="D2207">
        <v>5</v>
      </c>
      <c r="E2207" s="16">
        <v>3000.85</v>
      </c>
      <c r="F2207" s="1">
        <v>44717</v>
      </c>
      <c r="G2207" t="s">
        <v>2009</v>
      </c>
      <c r="H2207">
        <v>1</v>
      </c>
      <c r="I2207" s="12">
        <f>Table16[[#This Row],[price]]*Table16[[#This Row],[quantity]]</f>
        <v>15004.25</v>
      </c>
    </row>
    <row r="2208" spans="1:9" x14ac:dyDescent="0.3">
      <c r="A2208" t="s">
        <v>4225</v>
      </c>
      <c r="B2208" t="s">
        <v>430</v>
      </c>
      <c r="C2208" t="s">
        <v>2001</v>
      </c>
      <c r="D2208">
        <v>3</v>
      </c>
      <c r="E2208" s="16">
        <v>900.24</v>
      </c>
      <c r="F2208" s="1">
        <v>44363</v>
      </c>
      <c r="G2208" t="s">
        <v>2027</v>
      </c>
      <c r="H2208">
        <v>5</v>
      </c>
      <c r="I2208" s="12">
        <f>Table16[[#This Row],[price]]*Table16[[#This Row],[quantity]]</f>
        <v>2700.7200000000003</v>
      </c>
    </row>
    <row r="2209" spans="1:9" x14ac:dyDescent="0.3">
      <c r="A2209" t="s">
        <v>4226</v>
      </c>
      <c r="B2209" t="s">
        <v>430</v>
      </c>
      <c r="C2209" t="s">
        <v>2011</v>
      </c>
      <c r="D2209">
        <v>4</v>
      </c>
      <c r="E2209" s="16">
        <v>162.63999999999999</v>
      </c>
      <c r="F2209" s="1">
        <v>44393</v>
      </c>
      <c r="G2209" t="s">
        <v>2064</v>
      </c>
      <c r="H2209">
        <v>3</v>
      </c>
      <c r="I2209" s="12">
        <f>Table16[[#This Row],[price]]*Table16[[#This Row],[quantity]]</f>
        <v>650.55999999999995</v>
      </c>
    </row>
    <row r="2210" spans="1:9" x14ac:dyDescent="0.3">
      <c r="A2210" t="s">
        <v>4227</v>
      </c>
      <c r="B2210" t="s">
        <v>430</v>
      </c>
      <c r="C2210" t="s">
        <v>2001</v>
      </c>
      <c r="D2210">
        <v>5</v>
      </c>
      <c r="E2210" s="16">
        <v>1500.4</v>
      </c>
      <c r="F2210" s="1">
        <v>44431</v>
      </c>
      <c r="G2210" t="s">
        <v>2064</v>
      </c>
      <c r="H2210">
        <v>4</v>
      </c>
      <c r="I2210" s="12">
        <f>Table16[[#This Row],[price]]*Table16[[#This Row],[quantity]]</f>
        <v>7502</v>
      </c>
    </row>
    <row r="2211" spans="1:9" x14ac:dyDescent="0.3">
      <c r="A2211" t="s">
        <v>4224</v>
      </c>
      <c r="B2211" t="s">
        <v>430</v>
      </c>
      <c r="C2211" t="s">
        <v>2015</v>
      </c>
      <c r="D2211">
        <v>4</v>
      </c>
      <c r="E2211" s="16">
        <v>2400.6799999999998</v>
      </c>
      <c r="F2211" s="1">
        <v>44458</v>
      </c>
      <c r="G2211" t="s">
        <v>2020</v>
      </c>
      <c r="H2211">
        <v>5</v>
      </c>
      <c r="I2211" s="12">
        <f>Table16[[#This Row],[price]]*Table16[[#This Row],[quantity]]</f>
        <v>9602.7199999999993</v>
      </c>
    </row>
    <row r="2212" spans="1:9" x14ac:dyDescent="0.3">
      <c r="A2212" t="s">
        <v>4230</v>
      </c>
      <c r="B2212" t="s">
        <v>431</v>
      </c>
      <c r="C2212" t="s">
        <v>2008</v>
      </c>
      <c r="D2212">
        <v>3</v>
      </c>
      <c r="E2212" s="16">
        <v>15.69</v>
      </c>
      <c r="F2212" s="1">
        <v>44291</v>
      </c>
      <c r="G2212" t="s">
        <v>2058</v>
      </c>
      <c r="H2212">
        <v>5</v>
      </c>
      <c r="I2212" s="12">
        <f>Table16[[#This Row],[price]]*Table16[[#This Row],[quantity]]</f>
        <v>47.07</v>
      </c>
    </row>
    <row r="2213" spans="1:9" x14ac:dyDescent="0.3">
      <c r="A2213" t="s">
        <v>4229</v>
      </c>
      <c r="B2213" t="s">
        <v>431</v>
      </c>
      <c r="C2213" t="s">
        <v>2001</v>
      </c>
      <c r="D2213">
        <v>5</v>
      </c>
      <c r="E2213" s="16">
        <v>1500.4</v>
      </c>
      <c r="F2213" s="1">
        <v>44384</v>
      </c>
      <c r="G2213" t="s">
        <v>2018</v>
      </c>
      <c r="H2213">
        <v>4</v>
      </c>
      <c r="I2213" s="12">
        <f>Table16[[#This Row],[price]]*Table16[[#This Row],[quantity]]</f>
        <v>7502</v>
      </c>
    </row>
    <row r="2214" spans="1:9" x14ac:dyDescent="0.3">
      <c r="A2214" t="s">
        <v>4232</v>
      </c>
      <c r="B2214" t="s">
        <v>431</v>
      </c>
      <c r="C2214" t="s">
        <v>2011</v>
      </c>
      <c r="D2214">
        <v>1</v>
      </c>
      <c r="E2214" s="16">
        <v>40.659999999999997</v>
      </c>
      <c r="F2214" s="1">
        <v>44536</v>
      </c>
      <c r="G2214" t="s">
        <v>2027</v>
      </c>
      <c r="H2214">
        <v>4</v>
      </c>
      <c r="I2214" s="12">
        <f>Table16[[#This Row],[price]]*Table16[[#This Row],[quantity]]</f>
        <v>40.659999999999997</v>
      </c>
    </row>
    <row r="2215" spans="1:9" x14ac:dyDescent="0.3">
      <c r="A2215" t="s">
        <v>4231</v>
      </c>
      <c r="B2215" t="s">
        <v>431</v>
      </c>
      <c r="C2215" t="s">
        <v>2001</v>
      </c>
      <c r="D2215">
        <v>2</v>
      </c>
      <c r="E2215" s="16">
        <v>600.16</v>
      </c>
      <c r="F2215" s="1">
        <v>44697</v>
      </c>
      <c r="G2215" t="s">
        <v>2004</v>
      </c>
      <c r="H2215">
        <v>2</v>
      </c>
      <c r="I2215" s="12">
        <f>Table16[[#This Row],[price]]*Table16[[#This Row],[quantity]]</f>
        <v>1200.32</v>
      </c>
    </row>
    <row r="2216" spans="1:9" x14ac:dyDescent="0.3">
      <c r="A2216" t="s">
        <v>4228</v>
      </c>
      <c r="B2216" t="s">
        <v>431</v>
      </c>
      <c r="C2216" t="s">
        <v>2015</v>
      </c>
      <c r="D2216">
        <v>5</v>
      </c>
      <c r="E2216" s="16">
        <v>3000.85</v>
      </c>
      <c r="F2216" s="1">
        <v>44755</v>
      </c>
      <c r="G2216" t="s">
        <v>2012</v>
      </c>
      <c r="H2216">
        <v>5</v>
      </c>
      <c r="I2216" s="12">
        <f>Table16[[#This Row],[price]]*Table16[[#This Row],[quantity]]</f>
        <v>15004.25</v>
      </c>
    </row>
    <row r="2217" spans="1:9" x14ac:dyDescent="0.3">
      <c r="A2217" t="s">
        <v>4236</v>
      </c>
      <c r="B2217" t="s">
        <v>432</v>
      </c>
      <c r="C2217" t="s">
        <v>2008</v>
      </c>
      <c r="D2217">
        <v>3</v>
      </c>
      <c r="E2217" s="16">
        <v>15.69</v>
      </c>
      <c r="F2217" s="1">
        <v>44492</v>
      </c>
      <c r="G2217" t="s">
        <v>2004</v>
      </c>
      <c r="H2217">
        <v>2</v>
      </c>
      <c r="I2217" s="12">
        <f>Table16[[#This Row],[price]]*Table16[[#This Row],[quantity]]</f>
        <v>47.07</v>
      </c>
    </row>
    <row r="2218" spans="1:9" x14ac:dyDescent="0.3">
      <c r="A2218" t="s">
        <v>4233</v>
      </c>
      <c r="B2218" t="s">
        <v>432</v>
      </c>
      <c r="C2218" t="s">
        <v>2011</v>
      </c>
      <c r="D2218">
        <v>4</v>
      </c>
      <c r="E2218" s="16">
        <v>162.63999999999999</v>
      </c>
      <c r="F2218" s="1">
        <v>44655</v>
      </c>
      <c r="G2218" t="s">
        <v>2041</v>
      </c>
      <c r="H2218">
        <v>4</v>
      </c>
      <c r="I2218" s="12">
        <f>Table16[[#This Row],[price]]*Table16[[#This Row],[quantity]]</f>
        <v>650.55999999999995</v>
      </c>
    </row>
    <row r="2219" spans="1:9" x14ac:dyDescent="0.3">
      <c r="A2219" t="s">
        <v>4234</v>
      </c>
      <c r="B2219" t="s">
        <v>432</v>
      </c>
      <c r="C2219" t="s">
        <v>2001</v>
      </c>
      <c r="D2219">
        <v>5</v>
      </c>
      <c r="E2219" s="16">
        <v>1500.4</v>
      </c>
      <c r="F2219" s="1">
        <v>44686</v>
      </c>
      <c r="G2219" t="s">
        <v>2064</v>
      </c>
      <c r="H2219">
        <v>2</v>
      </c>
      <c r="I2219" s="12">
        <f>Table16[[#This Row],[price]]*Table16[[#This Row],[quantity]]</f>
        <v>7502</v>
      </c>
    </row>
    <row r="2220" spans="1:9" x14ac:dyDescent="0.3">
      <c r="A2220" t="s">
        <v>4235</v>
      </c>
      <c r="B2220" t="s">
        <v>432</v>
      </c>
      <c r="C2220" t="s">
        <v>2017</v>
      </c>
      <c r="D2220">
        <v>2</v>
      </c>
      <c r="E2220" s="16">
        <v>2100</v>
      </c>
      <c r="F2220" s="1">
        <v>44722</v>
      </c>
      <c r="G2220" t="s">
        <v>2020</v>
      </c>
      <c r="H2220">
        <v>5</v>
      </c>
      <c r="I2220" s="12">
        <f>Table16[[#This Row],[price]]*Table16[[#This Row],[quantity]]</f>
        <v>4200</v>
      </c>
    </row>
    <row r="2221" spans="1:9" x14ac:dyDescent="0.3">
      <c r="A2221" t="s">
        <v>4237</v>
      </c>
      <c r="B2221" t="s">
        <v>432</v>
      </c>
      <c r="C2221" t="s">
        <v>2008</v>
      </c>
      <c r="D2221">
        <v>2</v>
      </c>
      <c r="E2221" s="16">
        <v>10.46</v>
      </c>
      <c r="F2221" s="1">
        <v>44940</v>
      </c>
      <c r="G2221" t="s">
        <v>2041</v>
      </c>
      <c r="H2221">
        <v>4</v>
      </c>
      <c r="I2221" s="12">
        <f>Table16[[#This Row],[price]]*Table16[[#This Row],[quantity]]</f>
        <v>20.92</v>
      </c>
    </row>
    <row r="2222" spans="1:9" x14ac:dyDescent="0.3">
      <c r="A2222" t="s">
        <v>4240</v>
      </c>
      <c r="B2222" t="s">
        <v>433</v>
      </c>
      <c r="C2222" t="s">
        <v>2001</v>
      </c>
      <c r="D2222">
        <v>5</v>
      </c>
      <c r="E2222" s="16">
        <v>1500.4</v>
      </c>
      <c r="F2222" s="1">
        <v>44311</v>
      </c>
      <c r="G2222" t="s">
        <v>2018</v>
      </c>
      <c r="H2222">
        <v>4</v>
      </c>
      <c r="I2222" s="12">
        <f>Table16[[#This Row],[price]]*Table16[[#This Row],[quantity]]</f>
        <v>7502</v>
      </c>
    </row>
    <row r="2223" spans="1:9" x14ac:dyDescent="0.3">
      <c r="A2223" t="s">
        <v>4238</v>
      </c>
      <c r="B2223" t="s">
        <v>433</v>
      </c>
      <c r="C2223" t="s">
        <v>2001</v>
      </c>
      <c r="D2223">
        <v>5</v>
      </c>
      <c r="E2223" s="16">
        <v>1500.4</v>
      </c>
      <c r="F2223" s="1">
        <v>44538</v>
      </c>
      <c r="G2223" t="s">
        <v>2002</v>
      </c>
      <c r="H2223">
        <v>1</v>
      </c>
      <c r="I2223" s="12">
        <f>Table16[[#This Row],[price]]*Table16[[#This Row],[quantity]]</f>
        <v>7502</v>
      </c>
    </row>
    <row r="2224" spans="1:9" x14ac:dyDescent="0.3">
      <c r="A2224" t="s">
        <v>4239</v>
      </c>
      <c r="B2224" t="s">
        <v>433</v>
      </c>
      <c r="C2224" t="s">
        <v>2011</v>
      </c>
      <c r="D2224">
        <v>1</v>
      </c>
      <c r="E2224" s="16">
        <v>40.659999999999997</v>
      </c>
      <c r="F2224" s="1">
        <v>44807</v>
      </c>
      <c r="G2224" t="s">
        <v>2002</v>
      </c>
      <c r="H2224">
        <v>5</v>
      </c>
      <c r="I2224" s="12">
        <f>Table16[[#This Row],[price]]*Table16[[#This Row],[quantity]]</f>
        <v>40.659999999999997</v>
      </c>
    </row>
    <row r="2225" spans="1:9" x14ac:dyDescent="0.3">
      <c r="A2225" t="s">
        <v>4241</v>
      </c>
      <c r="B2225" t="s">
        <v>433</v>
      </c>
      <c r="C2225" t="s">
        <v>2001</v>
      </c>
      <c r="D2225">
        <v>1</v>
      </c>
      <c r="E2225" s="16">
        <v>300.08</v>
      </c>
      <c r="F2225" s="1">
        <v>44916</v>
      </c>
      <c r="G2225" t="s">
        <v>2058</v>
      </c>
      <c r="H2225">
        <v>1</v>
      </c>
      <c r="I2225" s="12">
        <f>Table16[[#This Row],[price]]*Table16[[#This Row],[quantity]]</f>
        <v>300.08</v>
      </c>
    </row>
    <row r="2226" spans="1:9" x14ac:dyDescent="0.3">
      <c r="A2226" t="s">
        <v>4242</v>
      </c>
      <c r="B2226" t="s">
        <v>434</v>
      </c>
      <c r="C2226" t="s">
        <v>2006</v>
      </c>
      <c r="D2226">
        <v>4</v>
      </c>
      <c r="E2226" s="16">
        <v>60.6</v>
      </c>
      <c r="F2226" s="1">
        <v>44212</v>
      </c>
      <c r="G2226" t="s">
        <v>2027</v>
      </c>
      <c r="H2226">
        <v>4</v>
      </c>
      <c r="I2226" s="12">
        <f>Table16[[#This Row],[price]]*Table16[[#This Row],[quantity]]</f>
        <v>242.4</v>
      </c>
    </row>
    <row r="2227" spans="1:9" x14ac:dyDescent="0.3">
      <c r="A2227" t="s">
        <v>4244</v>
      </c>
      <c r="B2227" t="s">
        <v>434</v>
      </c>
      <c r="C2227" t="s">
        <v>2001</v>
      </c>
      <c r="D2227">
        <v>5</v>
      </c>
      <c r="E2227" s="16">
        <v>1500.4</v>
      </c>
      <c r="F2227" s="1">
        <v>44461</v>
      </c>
      <c r="G2227" t="s">
        <v>2020</v>
      </c>
      <c r="H2227">
        <v>3</v>
      </c>
      <c r="I2227" s="12">
        <f>Table16[[#This Row],[price]]*Table16[[#This Row],[quantity]]</f>
        <v>7502</v>
      </c>
    </row>
    <row r="2228" spans="1:9" x14ac:dyDescent="0.3">
      <c r="A2228" t="s">
        <v>4245</v>
      </c>
      <c r="B2228" t="s">
        <v>434</v>
      </c>
      <c r="C2228" t="s">
        <v>2011</v>
      </c>
      <c r="D2228">
        <v>1</v>
      </c>
      <c r="E2228" s="16">
        <v>40.659999999999997</v>
      </c>
      <c r="F2228" s="1">
        <v>44572</v>
      </c>
      <c r="G2228" t="s">
        <v>2004</v>
      </c>
      <c r="H2228">
        <v>2</v>
      </c>
      <c r="I2228" s="12">
        <f>Table16[[#This Row],[price]]*Table16[[#This Row],[quantity]]</f>
        <v>40.659999999999997</v>
      </c>
    </row>
    <row r="2229" spans="1:9" x14ac:dyDescent="0.3">
      <c r="A2229" t="s">
        <v>4247</v>
      </c>
      <c r="B2229" t="s">
        <v>434</v>
      </c>
      <c r="C2229" t="s">
        <v>2017</v>
      </c>
      <c r="D2229">
        <v>1</v>
      </c>
      <c r="E2229" s="16">
        <v>1050</v>
      </c>
      <c r="F2229" s="1">
        <v>44574</v>
      </c>
      <c r="G2229" t="s">
        <v>2064</v>
      </c>
      <c r="H2229">
        <v>4</v>
      </c>
      <c r="I2229" s="12">
        <f>Table16[[#This Row],[price]]*Table16[[#This Row],[quantity]]</f>
        <v>1050</v>
      </c>
    </row>
    <row r="2230" spans="1:9" x14ac:dyDescent="0.3">
      <c r="A2230" t="s">
        <v>4243</v>
      </c>
      <c r="B2230" t="s">
        <v>434</v>
      </c>
      <c r="C2230" t="s">
        <v>2011</v>
      </c>
      <c r="D2230">
        <v>3</v>
      </c>
      <c r="E2230" s="16">
        <v>121.98</v>
      </c>
      <c r="F2230" s="1">
        <v>44721</v>
      </c>
      <c r="G2230" t="s">
        <v>2004</v>
      </c>
      <c r="H2230">
        <v>4</v>
      </c>
      <c r="I2230" s="12">
        <f>Table16[[#This Row],[price]]*Table16[[#This Row],[quantity]]</f>
        <v>365.94</v>
      </c>
    </row>
    <row r="2231" spans="1:9" x14ac:dyDescent="0.3">
      <c r="A2231" t="s">
        <v>4246</v>
      </c>
      <c r="B2231" t="s">
        <v>434</v>
      </c>
      <c r="C2231" t="s">
        <v>2008</v>
      </c>
      <c r="D2231">
        <v>5</v>
      </c>
      <c r="E2231" s="16">
        <v>26.15</v>
      </c>
      <c r="F2231" s="1">
        <v>44856</v>
      </c>
      <c r="G2231" t="s">
        <v>2004</v>
      </c>
      <c r="H2231">
        <v>5</v>
      </c>
      <c r="I2231" s="12">
        <f>Table16[[#This Row],[price]]*Table16[[#This Row],[quantity]]</f>
        <v>130.75</v>
      </c>
    </row>
    <row r="2232" spans="1:9" x14ac:dyDescent="0.3">
      <c r="A2232" t="s">
        <v>4248</v>
      </c>
      <c r="B2232" t="s">
        <v>434</v>
      </c>
      <c r="C2232" t="s">
        <v>2008</v>
      </c>
      <c r="D2232">
        <v>2</v>
      </c>
      <c r="E2232" s="16">
        <v>10.46</v>
      </c>
      <c r="F2232" s="1">
        <v>44895</v>
      </c>
      <c r="G2232" t="s">
        <v>2009</v>
      </c>
      <c r="H2232">
        <v>2</v>
      </c>
      <c r="I2232" s="12">
        <f>Table16[[#This Row],[price]]*Table16[[#This Row],[quantity]]</f>
        <v>20.92</v>
      </c>
    </row>
    <row r="2233" spans="1:9" x14ac:dyDescent="0.3">
      <c r="A2233" t="s">
        <v>4251</v>
      </c>
      <c r="B2233" t="s">
        <v>435</v>
      </c>
      <c r="C2233" t="s">
        <v>2015</v>
      </c>
      <c r="D2233">
        <v>3</v>
      </c>
      <c r="E2233" s="16">
        <v>1800.51</v>
      </c>
      <c r="F2233" s="1">
        <v>44294</v>
      </c>
      <c r="G2233" t="s">
        <v>2041</v>
      </c>
      <c r="H2233">
        <v>1</v>
      </c>
      <c r="I2233" s="12">
        <f>Table16[[#This Row],[price]]*Table16[[#This Row],[quantity]]</f>
        <v>5401.53</v>
      </c>
    </row>
    <row r="2234" spans="1:9" x14ac:dyDescent="0.3">
      <c r="A2234" t="s">
        <v>4250</v>
      </c>
      <c r="B2234" t="s">
        <v>435</v>
      </c>
      <c r="C2234" t="s">
        <v>2015</v>
      </c>
      <c r="D2234">
        <v>3</v>
      </c>
      <c r="E2234" s="16">
        <v>1800.51</v>
      </c>
      <c r="F2234" s="1">
        <v>44348</v>
      </c>
      <c r="G2234" t="s">
        <v>2064</v>
      </c>
      <c r="H2234">
        <v>2</v>
      </c>
      <c r="I2234" s="12">
        <f>Table16[[#This Row],[price]]*Table16[[#This Row],[quantity]]</f>
        <v>5401.53</v>
      </c>
    </row>
    <row r="2235" spans="1:9" x14ac:dyDescent="0.3">
      <c r="A2235" t="s">
        <v>4252</v>
      </c>
      <c r="B2235" t="s">
        <v>435</v>
      </c>
      <c r="C2235" t="s">
        <v>2015</v>
      </c>
      <c r="D2235">
        <v>1</v>
      </c>
      <c r="E2235" s="16">
        <v>600.16999999999996</v>
      </c>
      <c r="F2235" s="1">
        <v>44401</v>
      </c>
      <c r="G2235" t="s">
        <v>2004</v>
      </c>
      <c r="H2235">
        <v>1</v>
      </c>
      <c r="I2235" s="12">
        <f>Table16[[#This Row],[price]]*Table16[[#This Row],[quantity]]</f>
        <v>600.16999999999996</v>
      </c>
    </row>
    <row r="2236" spans="1:9" x14ac:dyDescent="0.3">
      <c r="A2236" t="s">
        <v>4253</v>
      </c>
      <c r="B2236" t="s">
        <v>435</v>
      </c>
      <c r="C2236" t="s">
        <v>2001</v>
      </c>
      <c r="D2236">
        <v>2</v>
      </c>
      <c r="E2236" s="16">
        <v>600.16</v>
      </c>
      <c r="F2236" s="1">
        <v>44463</v>
      </c>
      <c r="G2236" t="s">
        <v>2027</v>
      </c>
      <c r="H2236">
        <v>2</v>
      </c>
      <c r="I2236" s="12">
        <f>Table16[[#This Row],[price]]*Table16[[#This Row],[quantity]]</f>
        <v>1200.32</v>
      </c>
    </row>
    <row r="2237" spans="1:9" x14ac:dyDescent="0.3">
      <c r="A2237" t="s">
        <v>4254</v>
      </c>
      <c r="B2237" t="s">
        <v>435</v>
      </c>
      <c r="C2237" t="s">
        <v>2015</v>
      </c>
      <c r="D2237">
        <v>4</v>
      </c>
      <c r="E2237" s="16">
        <v>2400.6799999999998</v>
      </c>
      <c r="F2237" s="1">
        <v>44556</v>
      </c>
      <c r="G2237" t="s">
        <v>2004</v>
      </c>
      <c r="H2237">
        <v>4</v>
      </c>
      <c r="I2237" s="12">
        <f>Table16[[#This Row],[price]]*Table16[[#This Row],[quantity]]</f>
        <v>9602.7199999999993</v>
      </c>
    </row>
    <row r="2238" spans="1:9" x14ac:dyDescent="0.3">
      <c r="A2238" t="s">
        <v>4249</v>
      </c>
      <c r="B2238" t="s">
        <v>435</v>
      </c>
      <c r="C2238" t="s">
        <v>2001</v>
      </c>
      <c r="D2238">
        <v>1</v>
      </c>
      <c r="E2238" s="16">
        <v>300.08</v>
      </c>
      <c r="F2238" s="1">
        <v>44898</v>
      </c>
      <c r="G2238" t="s">
        <v>2018</v>
      </c>
      <c r="H2238">
        <v>4</v>
      </c>
      <c r="I2238" s="12">
        <f>Table16[[#This Row],[price]]*Table16[[#This Row],[quantity]]</f>
        <v>300.08</v>
      </c>
    </row>
    <row r="2239" spans="1:9" x14ac:dyDescent="0.3">
      <c r="A2239" t="s">
        <v>4255</v>
      </c>
      <c r="B2239" t="s">
        <v>436</v>
      </c>
      <c r="C2239" t="s">
        <v>2001</v>
      </c>
      <c r="D2239">
        <v>2</v>
      </c>
      <c r="E2239" s="16">
        <v>600.16</v>
      </c>
      <c r="F2239" s="1">
        <v>44367</v>
      </c>
      <c r="G2239" t="s">
        <v>2009</v>
      </c>
      <c r="H2239">
        <v>2</v>
      </c>
      <c r="I2239" s="12">
        <f>Table16[[#This Row],[price]]*Table16[[#This Row],[quantity]]</f>
        <v>1200.32</v>
      </c>
    </row>
    <row r="2240" spans="1:9" x14ac:dyDescent="0.3">
      <c r="A2240" t="s">
        <v>4261</v>
      </c>
      <c r="B2240" t="s">
        <v>437</v>
      </c>
      <c r="C2240" t="s">
        <v>2015</v>
      </c>
      <c r="D2240">
        <v>4</v>
      </c>
      <c r="E2240" s="16">
        <v>2400.6799999999998</v>
      </c>
      <c r="F2240" s="1">
        <v>44312</v>
      </c>
      <c r="G2240" t="s">
        <v>2002</v>
      </c>
      <c r="H2240">
        <v>3</v>
      </c>
      <c r="I2240" s="12">
        <f>Table16[[#This Row],[price]]*Table16[[#This Row],[quantity]]</f>
        <v>9602.7199999999993</v>
      </c>
    </row>
    <row r="2241" spans="1:9" x14ac:dyDescent="0.3">
      <c r="A2241" t="s">
        <v>4259</v>
      </c>
      <c r="B2241" t="s">
        <v>437</v>
      </c>
      <c r="C2241" t="s">
        <v>2015</v>
      </c>
      <c r="D2241">
        <v>2</v>
      </c>
      <c r="E2241" s="16">
        <v>1200.3399999999999</v>
      </c>
      <c r="F2241" s="1">
        <v>44449</v>
      </c>
      <c r="G2241" t="s">
        <v>2020</v>
      </c>
      <c r="H2241">
        <v>1</v>
      </c>
      <c r="I2241" s="12">
        <f>Table16[[#This Row],[price]]*Table16[[#This Row],[quantity]]</f>
        <v>2400.6799999999998</v>
      </c>
    </row>
    <row r="2242" spans="1:9" x14ac:dyDescent="0.3">
      <c r="A2242" t="s">
        <v>4257</v>
      </c>
      <c r="B2242" t="s">
        <v>437</v>
      </c>
      <c r="C2242" t="s">
        <v>2024</v>
      </c>
      <c r="D2242">
        <v>1</v>
      </c>
      <c r="E2242" s="16">
        <v>35.840000000000003</v>
      </c>
      <c r="F2242" s="1">
        <v>44466</v>
      </c>
      <c r="G2242" t="s">
        <v>2004</v>
      </c>
      <c r="H2242">
        <v>1</v>
      </c>
      <c r="I2242" s="12">
        <f>Table16[[#This Row],[price]]*Table16[[#This Row],[quantity]]</f>
        <v>35.840000000000003</v>
      </c>
    </row>
    <row r="2243" spans="1:9" x14ac:dyDescent="0.3">
      <c r="A2243" t="s">
        <v>4260</v>
      </c>
      <c r="B2243" t="s">
        <v>437</v>
      </c>
      <c r="C2243" t="s">
        <v>2008</v>
      </c>
      <c r="D2243">
        <v>3</v>
      </c>
      <c r="E2243" s="16">
        <v>15.69</v>
      </c>
      <c r="F2243" s="1">
        <v>44602</v>
      </c>
      <c r="G2243" t="s">
        <v>2002</v>
      </c>
      <c r="H2243">
        <v>5</v>
      </c>
      <c r="I2243" s="12">
        <f>Table16[[#This Row],[price]]*Table16[[#This Row],[quantity]]</f>
        <v>47.07</v>
      </c>
    </row>
    <row r="2244" spans="1:9" x14ac:dyDescent="0.3">
      <c r="A2244" t="s">
        <v>4262</v>
      </c>
      <c r="B2244" t="s">
        <v>437</v>
      </c>
      <c r="C2244" t="s">
        <v>2008</v>
      </c>
      <c r="D2244">
        <v>5</v>
      </c>
      <c r="E2244" s="16">
        <v>26.15</v>
      </c>
      <c r="F2244" s="1">
        <v>44834</v>
      </c>
      <c r="G2244" t="s">
        <v>2027</v>
      </c>
      <c r="H2244">
        <v>2</v>
      </c>
      <c r="I2244" s="12">
        <f>Table16[[#This Row],[price]]*Table16[[#This Row],[quantity]]</f>
        <v>130.75</v>
      </c>
    </row>
    <row r="2245" spans="1:9" x14ac:dyDescent="0.3">
      <c r="A2245" t="s">
        <v>4258</v>
      </c>
      <c r="B2245" t="s">
        <v>437</v>
      </c>
      <c r="C2245" t="s">
        <v>2011</v>
      </c>
      <c r="D2245">
        <v>5</v>
      </c>
      <c r="E2245" s="16">
        <v>203.3</v>
      </c>
      <c r="F2245" s="1">
        <v>44913</v>
      </c>
      <c r="G2245" t="s">
        <v>2027</v>
      </c>
      <c r="H2245">
        <v>2</v>
      </c>
      <c r="I2245" s="12">
        <f>Table16[[#This Row],[price]]*Table16[[#This Row],[quantity]]</f>
        <v>1016.5</v>
      </c>
    </row>
    <row r="2246" spans="1:9" x14ac:dyDescent="0.3">
      <c r="A2246" t="s">
        <v>4256</v>
      </c>
      <c r="B2246" t="s">
        <v>437</v>
      </c>
      <c r="C2246" t="s">
        <v>2011</v>
      </c>
      <c r="D2246">
        <v>1</v>
      </c>
      <c r="E2246" s="16">
        <v>40.659999999999997</v>
      </c>
      <c r="F2246" s="1">
        <v>44913</v>
      </c>
      <c r="G2246" t="s">
        <v>2064</v>
      </c>
      <c r="H2246">
        <v>4</v>
      </c>
      <c r="I2246" s="12">
        <f>Table16[[#This Row],[price]]*Table16[[#This Row],[quantity]]</f>
        <v>40.659999999999997</v>
      </c>
    </row>
    <row r="2247" spans="1:9" x14ac:dyDescent="0.3">
      <c r="A2247" t="s">
        <v>4264</v>
      </c>
      <c r="B2247" t="s">
        <v>438</v>
      </c>
      <c r="C2247" t="s">
        <v>2008</v>
      </c>
      <c r="D2247">
        <v>1</v>
      </c>
      <c r="E2247" s="16">
        <v>5.23</v>
      </c>
      <c r="F2247" s="1">
        <v>44265</v>
      </c>
      <c r="G2247" t="s">
        <v>2002</v>
      </c>
      <c r="H2247">
        <v>2</v>
      </c>
      <c r="I2247" s="12">
        <f>Table16[[#This Row],[price]]*Table16[[#This Row],[quantity]]</f>
        <v>5.23</v>
      </c>
    </row>
    <row r="2248" spans="1:9" x14ac:dyDescent="0.3">
      <c r="A2248" t="s">
        <v>4266</v>
      </c>
      <c r="B2248" t="s">
        <v>438</v>
      </c>
      <c r="C2248" t="s">
        <v>2015</v>
      </c>
      <c r="D2248">
        <v>4</v>
      </c>
      <c r="E2248" s="16">
        <v>2400.6799999999998</v>
      </c>
      <c r="F2248" s="1">
        <v>44613</v>
      </c>
      <c r="G2248" t="s">
        <v>2002</v>
      </c>
      <c r="H2248">
        <v>3</v>
      </c>
      <c r="I2248" s="12">
        <f>Table16[[#This Row],[price]]*Table16[[#This Row],[quantity]]</f>
        <v>9602.7199999999993</v>
      </c>
    </row>
    <row r="2249" spans="1:9" x14ac:dyDescent="0.3">
      <c r="A2249" t="s">
        <v>4265</v>
      </c>
      <c r="B2249" t="s">
        <v>438</v>
      </c>
      <c r="C2249" t="s">
        <v>2006</v>
      </c>
      <c r="D2249">
        <v>5</v>
      </c>
      <c r="E2249" s="16">
        <v>75.75</v>
      </c>
      <c r="F2249" s="1">
        <v>44890</v>
      </c>
      <c r="G2249" t="s">
        <v>2027</v>
      </c>
      <c r="H2249">
        <v>1</v>
      </c>
      <c r="I2249" s="12">
        <f>Table16[[#This Row],[price]]*Table16[[#This Row],[quantity]]</f>
        <v>378.75</v>
      </c>
    </row>
    <row r="2250" spans="1:9" x14ac:dyDescent="0.3">
      <c r="A2250" t="s">
        <v>4263</v>
      </c>
      <c r="B2250" t="s">
        <v>438</v>
      </c>
      <c r="C2250" t="s">
        <v>2011</v>
      </c>
      <c r="D2250">
        <v>3</v>
      </c>
      <c r="E2250" s="16">
        <v>121.98</v>
      </c>
      <c r="F2250" s="1">
        <v>44987</v>
      </c>
      <c r="G2250" t="s">
        <v>2018</v>
      </c>
      <c r="H2250">
        <v>5</v>
      </c>
      <c r="I2250" s="12">
        <f>Table16[[#This Row],[price]]*Table16[[#This Row],[quantity]]</f>
        <v>365.94</v>
      </c>
    </row>
    <row r="2251" spans="1:9" x14ac:dyDescent="0.3">
      <c r="A2251" t="s">
        <v>4267</v>
      </c>
      <c r="B2251" t="s">
        <v>439</v>
      </c>
      <c r="C2251" t="s">
        <v>2008</v>
      </c>
      <c r="D2251">
        <v>3</v>
      </c>
      <c r="E2251" s="16">
        <v>15.69</v>
      </c>
      <c r="F2251" s="1">
        <v>44268</v>
      </c>
      <c r="G2251" t="s">
        <v>2027</v>
      </c>
      <c r="H2251">
        <v>4</v>
      </c>
      <c r="I2251" s="12">
        <f>Table16[[#This Row],[price]]*Table16[[#This Row],[quantity]]</f>
        <v>47.07</v>
      </c>
    </row>
    <row r="2252" spans="1:9" x14ac:dyDescent="0.3">
      <c r="A2252" t="s">
        <v>4268</v>
      </c>
      <c r="B2252" t="s">
        <v>439</v>
      </c>
      <c r="C2252" t="s">
        <v>2011</v>
      </c>
      <c r="D2252">
        <v>2</v>
      </c>
      <c r="E2252" s="16">
        <v>81.319999999999993</v>
      </c>
      <c r="F2252" s="1">
        <v>44610</v>
      </c>
      <c r="G2252" t="s">
        <v>2064</v>
      </c>
      <c r="H2252">
        <v>4</v>
      </c>
      <c r="I2252" s="12">
        <f>Table16[[#This Row],[price]]*Table16[[#This Row],[quantity]]</f>
        <v>162.63999999999999</v>
      </c>
    </row>
    <row r="2253" spans="1:9" x14ac:dyDescent="0.3">
      <c r="A2253" t="s">
        <v>4269</v>
      </c>
      <c r="B2253" t="s">
        <v>440</v>
      </c>
      <c r="C2253" t="s">
        <v>2001</v>
      </c>
      <c r="D2253">
        <v>4</v>
      </c>
      <c r="E2253" s="16">
        <v>1200.32</v>
      </c>
      <c r="F2253" s="1">
        <v>44364</v>
      </c>
      <c r="G2253" t="s">
        <v>2004</v>
      </c>
      <c r="H2253">
        <v>2</v>
      </c>
      <c r="I2253" s="12">
        <f>Table16[[#This Row],[price]]*Table16[[#This Row],[quantity]]</f>
        <v>4801.28</v>
      </c>
    </row>
    <row r="2254" spans="1:9" x14ac:dyDescent="0.3">
      <c r="A2254" t="s">
        <v>4271</v>
      </c>
      <c r="B2254" t="s">
        <v>440</v>
      </c>
      <c r="C2254" t="s">
        <v>2011</v>
      </c>
      <c r="D2254">
        <v>3</v>
      </c>
      <c r="E2254" s="16">
        <v>121.98</v>
      </c>
      <c r="F2254" s="1">
        <v>44466</v>
      </c>
      <c r="G2254" t="s">
        <v>2064</v>
      </c>
      <c r="H2254">
        <v>2</v>
      </c>
      <c r="I2254" s="12">
        <f>Table16[[#This Row],[price]]*Table16[[#This Row],[quantity]]</f>
        <v>365.94</v>
      </c>
    </row>
    <row r="2255" spans="1:9" x14ac:dyDescent="0.3">
      <c r="A2255" t="s">
        <v>4272</v>
      </c>
      <c r="B2255" t="s">
        <v>440</v>
      </c>
      <c r="C2255" t="s">
        <v>2001</v>
      </c>
      <c r="D2255">
        <v>2</v>
      </c>
      <c r="E2255" s="16">
        <v>600.16</v>
      </c>
      <c r="F2255" s="1">
        <v>44611</v>
      </c>
      <c r="G2255" t="s">
        <v>2004</v>
      </c>
      <c r="H2255">
        <v>3</v>
      </c>
      <c r="I2255" s="12">
        <f>Table16[[#This Row],[price]]*Table16[[#This Row],[quantity]]</f>
        <v>1200.32</v>
      </c>
    </row>
    <row r="2256" spans="1:9" x14ac:dyDescent="0.3">
      <c r="A2256" t="s">
        <v>4270</v>
      </c>
      <c r="B2256" t="s">
        <v>440</v>
      </c>
      <c r="C2256" t="s">
        <v>2008</v>
      </c>
      <c r="D2256">
        <v>2</v>
      </c>
      <c r="E2256" s="16">
        <v>10.46</v>
      </c>
      <c r="F2256" s="1">
        <v>44812</v>
      </c>
      <c r="G2256" t="s">
        <v>2002</v>
      </c>
      <c r="H2256">
        <v>5</v>
      </c>
      <c r="I2256" s="12">
        <f>Table16[[#This Row],[price]]*Table16[[#This Row],[quantity]]</f>
        <v>20.92</v>
      </c>
    </row>
    <row r="2257" spans="1:9" x14ac:dyDescent="0.3">
      <c r="A2257" t="s">
        <v>4277</v>
      </c>
      <c r="B2257" t="s">
        <v>441</v>
      </c>
      <c r="C2257" t="s">
        <v>2001</v>
      </c>
      <c r="D2257">
        <v>4</v>
      </c>
      <c r="E2257" s="16">
        <v>1200.32</v>
      </c>
      <c r="F2257" s="1">
        <v>44253</v>
      </c>
      <c r="G2257" t="s">
        <v>2020</v>
      </c>
      <c r="H2257">
        <v>5</v>
      </c>
      <c r="I2257" s="12">
        <f>Table16[[#This Row],[price]]*Table16[[#This Row],[quantity]]</f>
        <v>4801.28</v>
      </c>
    </row>
    <row r="2258" spans="1:9" x14ac:dyDescent="0.3">
      <c r="A2258" t="s">
        <v>4273</v>
      </c>
      <c r="B2258" t="s">
        <v>441</v>
      </c>
      <c r="C2258" t="s">
        <v>2011</v>
      </c>
      <c r="D2258">
        <v>4</v>
      </c>
      <c r="E2258" s="16">
        <v>162.63999999999999</v>
      </c>
      <c r="F2258" s="1">
        <v>44309</v>
      </c>
      <c r="G2258" t="s">
        <v>2027</v>
      </c>
      <c r="H2258">
        <v>4</v>
      </c>
      <c r="I2258" s="12">
        <f>Table16[[#This Row],[price]]*Table16[[#This Row],[quantity]]</f>
        <v>650.55999999999995</v>
      </c>
    </row>
    <row r="2259" spans="1:9" x14ac:dyDescent="0.3">
      <c r="A2259" t="s">
        <v>4275</v>
      </c>
      <c r="B2259" t="s">
        <v>441</v>
      </c>
      <c r="C2259" t="s">
        <v>2008</v>
      </c>
      <c r="D2259">
        <v>2</v>
      </c>
      <c r="E2259" s="16">
        <v>10.46</v>
      </c>
      <c r="F2259" s="1">
        <v>44337</v>
      </c>
      <c r="G2259" t="s">
        <v>2041</v>
      </c>
      <c r="H2259">
        <v>3</v>
      </c>
      <c r="I2259" s="12">
        <f>Table16[[#This Row],[price]]*Table16[[#This Row],[quantity]]</f>
        <v>20.92</v>
      </c>
    </row>
    <row r="2260" spans="1:9" x14ac:dyDescent="0.3">
      <c r="A2260" t="s">
        <v>4274</v>
      </c>
      <c r="B2260" t="s">
        <v>441</v>
      </c>
      <c r="C2260" t="s">
        <v>2006</v>
      </c>
      <c r="D2260">
        <v>2</v>
      </c>
      <c r="E2260" s="16">
        <v>30.3</v>
      </c>
      <c r="F2260" s="1">
        <v>44423</v>
      </c>
      <c r="G2260" t="s">
        <v>2004</v>
      </c>
      <c r="H2260">
        <v>2</v>
      </c>
      <c r="I2260" s="12">
        <f>Table16[[#This Row],[price]]*Table16[[#This Row],[quantity]]</f>
        <v>60.6</v>
      </c>
    </row>
    <row r="2261" spans="1:9" x14ac:dyDescent="0.3">
      <c r="A2261" t="s">
        <v>4276</v>
      </c>
      <c r="B2261" t="s">
        <v>441</v>
      </c>
      <c r="C2261" t="s">
        <v>2001</v>
      </c>
      <c r="D2261">
        <v>2</v>
      </c>
      <c r="E2261" s="16">
        <v>600.16</v>
      </c>
      <c r="F2261" s="1">
        <v>44722</v>
      </c>
      <c r="G2261" t="s">
        <v>2002</v>
      </c>
      <c r="H2261">
        <v>5</v>
      </c>
      <c r="I2261" s="12">
        <f>Table16[[#This Row],[price]]*Table16[[#This Row],[quantity]]</f>
        <v>1200.32</v>
      </c>
    </row>
    <row r="2262" spans="1:9" x14ac:dyDescent="0.3">
      <c r="A2262" t="s">
        <v>4281</v>
      </c>
      <c r="B2262" t="s">
        <v>442</v>
      </c>
      <c r="C2262" t="s">
        <v>2001</v>
      </c>
      <c r="D2262">
        <v>2</v>
      </c>
      <c r="E2262" s="16">
        <v>600.16</v>
      </c>
      <c r="F2262" s="1">
        <v>44452</v>
      </c>
      <c r="G2262" t="s">
        <v>2002</v>
      </c>
      <c r="H2262">
        <v>5</v>
      </c>
      <c r="I2262" s="12">
        <f>Table16[[#This Row],[price]]*Table16[[#This Row],[quantity]]</f>
        <v>1200.32</v>
      </c>
    </row>
    <row r="2263" spans="1:9" x14ac:dyDescent="0.3">
      <c r="A2263" t="s">
        <v>4280</v>
      </c>
      <c r="B2263" t="s">
        <v>442</v>
      </c>
      <c r="C2263" t="s">
        <v>2001</v>
      </c>
      <c r="D2263">
        <v>5</v>
      </c>
      <c r="E2263" s="16">
        <v>1500.4</v>
      </c>
      <c r="F2263" s="1">
        <v>44464</v>
      </c>
      <c r="G2263" t="s">
        <v>2041</v>
      </c>
      <c r="H2263">
        <v>2</v>
      </c>
      <c r="I2263" s="12">
        <f>Table16[[#This Row],[price]]*Table16[[#This Row],[quantity]]</f>
        <v>7502</v>
      </c>
    </row>
    <row r="2264" spans="1:9" x14ac:dyDescent="0.3">
      <c r="A2264" t="s">
        <v>4279</v>
      </c>
      <c r="B2264" t="s">
        <v>442</v>
      </c>
      <c r="C2264" t="s">
        <v>2001</v>
      </c>
      <c r="D2264">
        <v>5</v>
      </c>
      <c r="E2264" s="16">
        <v>1500.4</v>
      </c>
      <c r="F2264" s="1">
        <v>44688</v>
      </c>
      <c r="G2264" t="s">
        <v>2004</v>
      </c>
      <c r="H2264">
        <v>1</v>
      </c>
      <c r="I2264" s="12">
        <f>Table16[[#This Row],[price]]*Table16[[#This Row],[quantity]]</f>
        <v>7502</v>
      </c>
    </row>
    <row r="2265" spans="1:9" x14ac:dyDescent="0.3">
      <c r="A2265" t="s">
        <v>4278</v>
      </c>
      <c r="B2265" t="s">
        <v>442</v>
      </c>
      <c r="C2265" t="s">
        <v>2011</v>
      </c>
      <c r="D2265">
        <v>2</v>
      </c>
      <c r="E2265" s="16">
        <v>81.319999999999993</v>
      </c>
      <c r="F2265" s="1">
        <v>44754</v>
      </c>
      <c r="G2265" t="s">
        <v>2058</v>
      </c>
      <c r="H2265">
        <v>2</v>
      </c>
      <c r="I2265" s="12">
        <f>Table16[[#This Row],[price]]*Table16[[#This Row],[quantity]]</f>
        <v>162.63999999999999</v>
      </c>
    </row>
    <row r="2266" spans="1:9" x14ac:dyDescent="0.3">
      <c r="A2266" t="s">
        <v>4284</v>
      </c>
      <c r="B2266" t="s">
        <v>443</v>
      </c>
      <c r="C2266" t="s">
        <v>2008</v>
      </c>
      <c r="D2266">
        <v>3</v>
      </c>
      <c r="E2266" s="16">
        <v>15.69</v>
      </c>
      <c r="F2266" s="1">
        <v>44366</v>
      </c>
      <c r="G2266" t="s">
        <v>2004</v>
      </c>
      <c r="H2266">
        <v>1</v>
      </c>
      <c r="I2266" s="12">
        <f>Table16[[#This Row],[price]]*Table16[[#This Row],[quantity]]</f>
        <v>47.07</v>
      </c>
    </row>
    <row r="2267" spans="1:9" x14ac:dyDescent="0.3">
      <c r="A2267" t="s">
        <v>4283</v>
      </c>
      <c r="B2267" t="s">
        <v>443</v>
      </c>
      <c r="C2267" t="s">
        <v>2001</v>
      </c>
      <c r="D2267">
        <v>3</v>
      </c>
      <c r="E2267" s="16">
        <v>900.24</v>
      </c>
      <c r="F2267" s="1">
        <v>44422</v>
      </c>
      <c r="G2267" t="s">
        <v>2002</v>
      </c>
      <c r="H2267">
        <v>1</v>
      </c>
      <c r="I2267" s="12">
        <f>Table16[[#This Row],[price]]*Table16[[#This Row],[quantity]]</f>
        <v>2700.7200000000003</v>
      </c>
    </row>
    <row r="2268" spans="1:9" x14ac:dyDescent="0.3">
      <c r="A2268" t="s">
        <v>4286</v>
      </c>
      <c r="B2268" t="s">
        <v>443</v>
      </c>
      <c r="C2268" t="s">
        <v>2011</v>
      </c>
      <c r="D2268">
        <v>5</v>
      </c>
      <c r="E2268" s="16">
        <v>203.3</v>
      </c>
      <c r="F2268" s="1">
        <v>44433</v>
      </c>
      <c r="G2268" t="s">
        <v>2020</v>
      </c>
      <c r="H2268">
        <v>4</v>
      </c>
      <c r="I2268" s="12">
        <f>Table16[[#This Row],[price]]*Table16[[#This Row],[quantity]]</f>
        <v>1016.5</v>
      </c>
    </row>
    <row r="2269" spans="1:9" x14ac:dyDescent="0.3">
      <c r="A2269" t="s">
        <v>4285</v>
      </c>
      <c r="B2269" t="s">
        <v>443</v>
      </c>
      <c r="C2269" t="s">
        <v>2001</v>
      </c>
      <c r="D2269">
        <v>2</v>
      </c>
      <c r="E2269" s="16">
        <v>600.16</v>
      </c>
      <c r="F2269" s="1">
        <v>44776</v>
      </c>
      <c r="G2269" t="s">
        <v>2002</v>
      </c>
      <c r="H2269">
        <v>2</v>
      </c>
      <c r="I2269" s="12">
        <f>Table16[[#This Row],[price]]*Table16[[#This Row],[quantity]]</f>
        <v>1200.32</v>
      </c>
    </row>
    <row r="2270" spans="1:9" x14ac:dyDescent="0.3">
      <c r="A2270" t="s">
        <v>4282</v>
      </c>
      <c r="B2270" t="s">
        <v>443</v>
      </c>
      <c r="C2270" t="s">
        <v>2015</v>
      </c>
      <c r="D2270">
        <v>1</v>
      </c>
      <c r="E2270" s="16">
        <v>600.16999999999996</v>
      </c>
      <c r="F2270" s="1">
        <v>44795</v>
      </c>
      <c r="G2270" t="s">
        <v>2027</v>
      </c>
      <c r="H2270">
        <v>1</v>
      </c>
      <c r="I2270" s="12">
        <f>Table16[[#This Row],[price]]*Table16[[#This Row],[quantity]]</f>
        <v>600.16999999999996</v>
      </c>
    </row>
    <row r="2271" spans="1:9" x14ac:dyDescent="0.3">
      <c r="A2271" t="s">
        <v>4288</v>
      </c>
      <c r="B2271" t="s">
        <v>444</v>
      </c>
      <c r="C2271" t="s">
        <v>2001</v>
      </c>
      <c r="D2271">
        <v>2</v>
      </c>
      <c r="E2271" s="16">
        <v>600.16</v>
      </c>
      <c r="F2271" s="1">
        <v>44390</v>
      </c>
      <c r="G2271" t="s">
        <v>2041</v>
      </c>
      <c r="H2271">
        <v>4</v>
      </c>
      <c r="I2271" s="12">
        <f>Table16[[#This Row],[price]]*Table16[[#This Row],[quantity]]</f>
        <v>1200.32</v>
      </c>
    </row>
    <row r="2272" spans="1:9" x14ac:dyDescent="0.3">
      <c r="A2272" t="s">
        <v>4289</v>
      </c>
      <c r="B2272" t="s">
        <v>444</v>
      </c>
      <c r="C2272" t="s">
        <v>2011</v>
      </c>
      <c r="D2272">
        <v>3</v>
      </c>
      <c r="E2272" s="16">
        <v>121.98</v>
      </c>
      <c r="F2272" s="1">
        <v>44520</v>
      </c>
      <c r="G2272" t="s">
        <v>2027</v>
      </c>
      <c r="H2272">
        <v>5</v>
      </c>
      <c r="I2272" s="12">
        <f>Table16[[#This Row],[price]]*Table16[[#This Row],[quantity]]</f>
        <v>365.94</v>
      </c>
    </row>
    <row r="2273" spans="1:9" x14ac:dyDescent="0.3">
      <c r="A2273" t="s">
        <v>4290</v>
      </c>
      <c r="B2273" t="s">
        <v>444</v>
      </c>
      <c r="C2273" t="s">
        <v>2001</v>
      </c>
      <c r="D2273">
        <v>1</v>
      </c>
      <c r="E2273" s="16">
        <v>300.08</v>
      </c>
      <c r="F2273" s="1">
        <v>44578</v>
      </c>
      <c r="G2273" t="s">
        <v>2020</v>
      </c>
      <c r="H2273">
        <v>5</v>
      </c>
      <c r="I2273" s="12">
        <f>Table16[[#This Row],[price]]*Table16[[#This Row],[quantity]]</f>
        <v>300.08</v>
      </c>
    </row>
    <row r="2274" spans="1:9" x14ac:dyDescent="0.3">
      <c r="A2274" t="s">
        <v>4291</v>
      </c>
      <c r="B2274" t="s">
        <v>444</v>
      </c>
      <c r="C2274" t="s">
        <v>2015</v>
      </c>
      <c r="D2274">
        <v>1</v>
      </c>
      <c r="E2274" s="16">
        <v>600.16999999999996</v>
      </c>
      <c r="F2274" s="1">
        <v>44734</v>
      </c>
      <c r="G2274" t="s">
        <v>2020</v>
      </c>
      <c r="H2274">
        <v>4</v>
      </c>
      <c r="I2274" s="12">
        <f>Table16[[#This Row],[price]]*Table16[[#This Row],[quantity]]</f>
        <v>600.16999999999996</v>
      </c>
    </row>
    <row r="2275" spans="1:9" x14ac:dyDescent="0.3">
      <c r="A2275" t="s">
        <v>4287</v>
      </c>
      <c r="B2275" t="s">
        <v>444</v>
      </c>
      <c r="C2275" t="s">
        <v>2001</v>
      </c>
      <c r="D2275">
        <v>3</v>
      </c>
      <c r="E2275" s="16">
        <v>900.24</v>
      </c>
      <c r="F2275" s="1">
        <v>44869</v>
      </c>
      <c r="G2275" t="s">
        <v>2018</v>
      </c>
      <c r="H2275">
        <v>5</v>
      </c>
      <c r="I2275" s="12">
        <f>Table16[[#This Row],[price]]*Table16[[#This Row],[quantity]]</f>
        <v>2700.7200000000003</v>
      </c>
    </row>
    <row r="2276" spans="1:9" x14ac:dyDescent="0.3">
      <c r="A2276" t="s">
        <v>4293</v>
      </c>
      <c r="B2276" t="s">
        <v>445</v>
      </c>
      <c r="C2276" t="s">
        <v>2001</v>
      </c>
      <c r="D2276">
        <v>4</v>
      </c>
      <c r="E2276" s="16">
        <v>1200.32</v>
      </c>
      <c r="F2276" s="1">
        <v>44340</v>
      </c>
      <c r="G2276" t="s">
        <v>2002</v>
      </c>
      <c r="H2276">
        <v>5</v>
      </c>
      <c r="I2276" s="12">
        <f>Table16[[#This Row],[price]]*Table16[[#This Row],[quantity]]</f>
        <v>4801.28</v>
      </c>
    </row>
    <row r="2277" spans="1:9" x14ac:dyDescent="0.3">
      <c r="A2277" t="s">
        <v>4292</v>
      </c>
      <c r="B2277" t="s">
        <v>445</v>
      </c>
      <c r="C2277" t="s">
        <v>2015</v>
      </c>
      <c r="D2277">
        <v>4</v>
      </c>
      <c r="E2277" s="16">
        <v>2400.6799999999998</v>
      </c>
      <c r="F2277" s="1">
        <v>44350</v>
      </c>
      <c r="G2277" t="s">
        <v>2020</v>
      </c>
      <c r="H2277">
        <v>3</v>
      </c>
      <c r="I2277" s="12">
        <f>Table16[[#This Row],[price]]*Table16[[#This Row],[quantity]]</f>
        <v>9602.7199999999993</v>
      </c>
    </row>
    <row r="2278" spans="1:9" x14ac:dyDescent="0.3">
      <c r="A2278" t="s">
        <v>4294</v>
      </c>
      <c r="B2278" t="s">
        <v>445</v>
      </c>
      <c r="C2278" t="s">
        <v>2057</v>
      </c>
      <c r="D2278">
        <v>5</v>
      </c>
      <c r="E2278" s="16">
        <v>58.65</v>
      </c>
      <c r="F2278" s="1">
        <v>44727</v>
      </c>
      <c r="G2278" t="s">
        <v>2004</v>
      </c>
      <c r="H2278">
        <v>2</v>
      </c>
      <c r="I2278" s="12">
        <f>Table16[[#This Row],[price]]*Table16[[#This Row],[quantity]]</f>
        <v>293.25</v>
      </c>
    </row>
    <row r="2279" spans="1:9" x14ac:dyDescent="0.3">
      <c r="A2279" t="s">
        <v>4296</v>
      </c>
      <c r="B2279" t="s">
        <v>446</v>
      </c>
      <c r="C2279" t="s">
        <v>2057</v>
      </c>
      <c r="D2279">
        <v>5</v>
      </c>
      <c r="E2279" s="16">
        <v>58.65</v>
      </c>
      <c r="F2279" s="1">
        <v>44269</v>
      </c>
      <c r="G2279" t="s">
        <v>2064</v>
      </c>
      <c r="H2279">
        <v>4</v>
      </c>
      <c r="I2279" s="12">
        <f>Table16[[#This Row],[price]]*Table16[[#This Row],[quantity]]</f>
        <v>293.25</v>
      </c>
    </row>
    <row r="2280" spans="1:9" x14ac:dyDescent="0.3">
      <c r="A2280" t="s">
        <v>4295</v>
      </c>
      <c r="B2280" t="s">
        <v>446</v>
      </c>
      <c r="C2280" t="s">
        <v>2015</v>
      </c>
      <c r="D2280">
        <v>1</v>
      </c>
      <c r="E2280" s="16">
        <v>600.16999999999996</v>
      </c>
      <c r="F2280" s="1">
        <v>44304</v>
      </c>
      <c r="G2280" t="s">
        <v>2027</v>
      </c>
      <c r="H2280">
        <v>5</v>
      </c>
      <c r="I2280" s="12">
        <f>Table16[[#This Row],[price]]*Table16[[#This Row],[quantity]]</f>
        <v>600.16999999999996</v>
      </c>
    </row>
    <row r="2281" spans="1:9" x14ac:dyDescent="0.3">
      <c r="A2281" t="s">
        <v>4297</v>
      </c>
      <c r="B2281" t="s">
        <v>446</v>
      </c>
      <c r="C2281" t="s">
        <v>2011</v>
      </c>
      <c r="D2281">
        <v>5</v>
      </c>
      <c r="E2281" s="16">
        <v>203.3</v>
      </c>
      <c r="F2281" s="1">
        <v>44509</v>
      </c>
      <c r="G2281" t="s">
        <v>2064</v>
      </c>
      <c r="H2281">
        <v>3</v>
      </c>
      <c r="I2281" s="12">
        <f>Table16[[#This Row],[price]]*Table16[[#This Row],[quantity]]</f>
        <v>1016.5</v>
      </c>
    </row>
    <row r="2282" spans="1:9" x14ac:dyDescent="0.3">
      <c r="A2282" t="s">
        <v>4298</v>
      </c>
      <c r="B2282" t="s">
        <v>447</v>
      </c>
      <c r="C2282" t="s">
        <v>2001</v>
      </c>
      <c r="D2282">
        <v>5</v>
      </c>
      <c r="E2282" s="16">
        <v>1500.4</v>
      </c>
      <c r="F2282" s="1">
        <v>44612</v>
      </c>
      <c r="G2282" t="s">
        <v>2027</v>
      </c>
      <c r="H2282">
        <v>2</v>
      </c>
      <c r="I2282" s="12">
        <f>Table16[[#This Row],[price]]*Table16[[#This Row],[quantity]]</f>
        <v>7502</v>
      </c>
    </row>
    <row r="2283" spans="1:9" x14ac:dyDescent="0.3">
      <c r="A2283" t="s">
        <v>4299</v>
      </c>
      <c r="B2283" t="s">
        <v>447</v>
      </c>
      <c r="C2283" t="s">
        <v>2011</v>
      </c>
      <c r="D2283">
        <v>2</v>
      </c>
      <c r="E2283" s="16">
        <v>81.319999999999993</v>
      </c>
      <c r="F2283" s="1">
        <v>44923</v>
      </c>
      <c r="G2283" t="s">
        <v>2064</v>
      </c>
      <c r="H2283">
        <v>4</v>
      </c>
      <c r="I2283" s="12">
        <f>Table16[[#This Row],[price]]*Table16[[#This Row],[quantity]]</f>
        <v>162.63999999999999</v>
      </c>
    </row>
    <row r="2284" spans="1:9" x14ac:dyDescent="0.3">
      <c r="A2284" t="s">
        <v>4303</v>
      </c>
      <c r="B2284" t="s">
        <v>448</v>
      </c>
      <c r="C2284" t="s">
        <v>2011</v>
      </c>
      <c r="D2284">
        <v>5</v>
      </c>
      <c r="E2284" s="16">
        <v>203.3</v>
      </c>
      <c r="F2284" s="1">
        <v>44269</v>
      </c>
      <c r="G2284" t="s">
        <v>2002</v>
      </c>
      <c r="H2284">
        <v>4</v>
      </c>
      <c r="I2284" s="12">
        <f>Table16[[#This Row],[price]]*Table16[[#This Row],[quantity]]</f>
        <v>1016.5</v>
      </c>
    </row>
    <row r="2285" spans="1:9" x14ac:dyDescent="0.3">
      <c r="A2285" t="s">
        <v>4300</v>
      </c>
      <c r="B2285" t="s">
        <v>448</v>
      </c>
      <c r="C2285" t="s">
        <v>2006</v>
      </c>
      <c r="D2285">
        <v>3</v>
      </c>
      <c r="E2285" s="16">
        <v>45.45</v>
      </c>
      <c r="F2285" s="1">
        <v>44273</v>
      </c>
      <c r="G2285" t="s">
        <v>2004</v>
      </c>
      <c r="H2285">
        <v>2</v>
      </c>
      <c r="I2285" s="12">
        <f>Table16[[#This Row],[price]]*Table16[[#This Row],[quantity]]</f>
        <v>136.35000000000002</v>
      </c>
    </row>
    <row r="2286" spans="1:9" x14ac:dyDescent="0.3">
      <c r="A2286" t="s">
        <v>4306</v>
      </c>
      <c r="B2286" t="s">
        <v>448</v>
      </c>
      <c r="C2286" t="s">
        <v>2001</v>
      </c>
      <c r="D2286">
        <v>3</v>
      </c>
      <c r="E2286" s="16">
        <v>900.24</v>
      </c>
      <c r="F2286" s="1">
        <v>44280</v>
      </c>
      <c r="G2286" t="s">
        <v>2027</v>
      </c>
      <c r="H2286">
        <v>2</v>
      </c>
      <c r="I2286" s="12">
        <f>Table16[[#This Row],[price]]*Table16[[#This Row],[quantity]]</f>
        <v>2700.7200000000003</v>
      </c>
    </row>
    <row r="2287" spans="1:9" x14ac:dyDescent="0.3">
      <c r="A2287" t="s">
        <v>4305</v>
      </c>
      <c r="B2287" t="s">
        <v>448</v>
      </c>
      <c r="C2287" t="s">
        <v>2001</v>
      </c>
      <c r="D2287">
        <v>1</v>
      </c>
      <c r="E2287" s="16">
        <v>300.08</v>
      </c>
      <c r="F2287" s="1">
        <v>44284</v>
      </c>
      <c r="G2287" t="s">
        <v>2027</v>
      </c>
      <c r="H2287">
        <v>5</v>
      </c>
      <c r="I2287" s="12">
        <f>Table16[[#This Row],[price]]*Table16[[#This Row],[quantity]]</f>
        <v>300.08</v>
      </c>
    </row>
    <row r="2288" spans="1:9" x14ac:dyDescent="0.3">
      <c r="A2288" t="s">
        <v>4301</v>
      </c>
      <c r="B2288" t="s">
        <v>448</v>
      </c>
      <c r="C2288" t="s">
        <v>2001</v>
      </c>
      <c r="D2288">
        <v>1</v>
      </c>
      <c r="E2288" s="16">
        <v>300.08</v>
      </c>
      <c r="F2288" s="1">
        <v>44361</v>
      </c>
      <c r="G2288" t="s">
        <v>2041</v>
      </c>
      <c r="H2288">
        <v>2</v>
      </c>
      <c r="I2288" s="12">
        <f>Table16[[#This Row],[price]]*Table16[[#This Row],[quantity]]</f>
        <v>300.08</v>
      </c>
    </row>
    <row r="2289" spans="1:9" x14ac:dyDescent="0.3">
      <c r="A2289" t="s">
        <v>4302</v>
      </c>
      <c r="B2289" t="s">
        <v>448</v>
      </c>
      <c r="C2289" t="s">
        <v>2001</v>
      </c>
      <c r="D2289">
        <v>2</v>
      </c>
      <c r="E2289" s="16">
        <v>600.16</v>
      </c>
      <c r="F2289" s="1">
        <v>44529</v>
      </c>
      <c r="G2289" t="s">
        <v>2004</v>
      </c>
      <c r="H2289">
        <v>2</v>
      </c>
      <c r="I2289" s="12">
        <f>Table16[[#This Row],[price]]*Table16[[#This Row],[quantity]]</f>
        <v>1200.32</v>
      </c>
    </row>
    <row r="2290" spans="1:9" x14ac:dyDescent="0.3">
      <c r="A2290" t="s">
        <v>4304</v>
      </c>
      <c r="B2290" t="s">
        <v>448</v>
      </c>
      <c r="C2290" t="s">
        <v>2024</v>
      </c>
      <c r="D2290">
        <v>4</v>
      </c>
      <c r="E2290" s="16">
        <v>143.36000000000001</v>
      </c>
      <c r="F2290" s="1">
        <v>44746</v>
      </c>
      <c r="G2290" t="s">
        <v>2064</v>
      </c>
      <c r="H2290">
        <v>4</v>
      </c>
      <c r="I2290" s="12">
        <f>Table16[[#This Row],[price]]*Table16[[#This Row],[quantity]]</f>
        <v>573.44000000000005</v>
      </c>
    </row>
    <row r="2291" spans="1:9" x14ac:dyDescent="0.3">
      <c r="A2291" t="s">
        <v>4308</v>
      </c>
      <c r="B2291" t="s">
        <v>449</v>
      </c>
      <c r="C2291" t="s">
        <v>2024</v>
      </c>
      <c r="D2291">
        <v>1</v>
      </c>
      <c r="E2291" s="16">
        <v>35.840000000000003</v>
      </c>
      <c r="F2291" s="1">
        <v>44273</v>
      </c>
      <c r="G2291" t="s">
        <v>2018</v>
      </c>
      <c r="H2291">
        <v>2</v>
      </c>
      <c r="I2291" s="12">
        <f>Table16[[#This Row],[price]]*Table16[[#This Row],[quantity]]</f>
        <v>35.840000000000003</v>
      </c>
    </row>
    <row r="2292" spans="1:9" x14ac:dyDescent="0.3">
      <c r="A2292" t="s">
        <v>4309</v>
      </c>
      <c r="B2292" t="s">
        <v>449</v>
      </c>
      <c r="C2292" t="s">
        <v>2011</v>
      </c>
      <c r="D2292">
        <v>2</v>
      </c>
      <c r="E2292" s="16">
        <v>81.319999999999993</v>
      </c>
      <c r="F2292" s="1">
        <v>44570</v>
      </c>
      <c r="G2292" t="s">
        <v>2004</v>
      </c>
      <c r="H2292">
        <v>1</v>
      </c>
      <c r="I2292" s="12">
        <f>Table16[[#This Row],[price]]*Table16[[#This Row],[quantity]]</f>
        <v>162.63999999999999</v>
      </c>
    </row>
    <row r="2293" spans="1:9" x14ac:dyDescent="0.3">
      <c r="A2293" t="s">
        <v>4307</v>
      </c>
      <c r="B2293" t="s">
        <v>449</v>
      </c>
      <c r="C2293" t="s">
        <v>2017</v>
      </c>
      <c r="D2293">
        <v>1</v>
      </c>
      <c r="E2293" s="16">
        <v>1050</v>
      </c>
      <c r="F2293" s="1">
        <v>44796</v>
      </c>
      <c r="G2293" t="s">
        <v>2064</v>
      </c>
      <c r="H2293">
        <v>4</v>
      </c>
      <c r="I2293" s="12">
        <f>Table16[[#This Row],[price]]*Table16[[#This Row],[quantity]]</f>
        <v>1050</v>
      </c>
    </row>
    <row r="2294" spans="1:9" x14ac:dyDescent="0.3">
      <c r="A2294" t="s">
        <v>4310</v>
      </c>
      <c r="B2294" t="s">
        <v>449</v>
      </c>
      <c r="C2294" t="s">
        <v>2017</v>
      </c>
      <c r="D2294">
        <v>4</v>
      </c>
      <c r="E2294" s="16">
        <v>4200</v>
      </c>
      <c r="F2294" s="1">
        <v>44992</v>
      </c>
      <c r="G2294" t="s">
        <v>2064</v>
      </c>
      <c r="H2294">
        <v>2</v>
      </c>
      <c r="I2294" s="12">
        <f>Table16[[#This Row],[price]]*Table16[[#This Row],[quantity]]</f>
        <v>16800</v>
      </c>
    </row>
    <row r="2295" spans="1:9" x14ac:dyDescent="0.3">
      <c r="A2295" t="s">
        <v>4314</v>
      </c>
      <c r="B2295" t="s">
        <v>450</v>
      </c>
      <c r="C2295" t="s">
        <v>2011</v>
      </c>
      <c r="D2295">
        <v>2</v>
      </c>
      <c r="E2295" s="16">
        <v>81.319999999999993</v>
      </c>
      <c r="F2295" s="1">
        <v>44280</v>
      </c>
      <c r="G2295" t="s">
        <v>2064</v>
      </c>
      <c r="H2295">
        <v>5</v>
      </c>
      <c r="I2295" s="12">
        <f>Table16[[#This Row],[price]]*Table16[[#This Row],[quantity]]</f>
        <v>162.63999999999999</v>
      </c>
    </row>
    <row r="2296" spans="1:9" x14ac:dyDescent="0.3">
      <c r="A2296" t="s">
        <v>4313</v>
      </c>
      <c r="B2296" t="s">
        <v>450</v>
      </c>
      <c r="C2296" t="s">
        <v>2008</v>
      </c>
      <c r="D2296">
        <v>3</v>
      </c>
      <c r="E2296" s="16">
        <v>15.69</v>
      </c>
      <c r="F2296" s="1">
        <v>44340</v>
      </c>
      <c r="G2296" t="s">
        <v>2004</v>
      </c>
      <c r="H2296">
        <v>5</v>
      </c>
      <c r="I2296" s="12">
        <f>Table16[[#This Row],[price]]*Table16[[#This Row],[quantity]]</f>
        <v>47.07</v>
      </c>
    </row>
    <row r="2297" spans="1:9" x14ac:dyDescent="0.3">
      <c r="A2297" t="s">
        <v>4315</v>
      </c>
      <c r="B2297" t="s">
        <v>450</v>
      </c>
      <c r="C2297" t="s">
        <v>2008</v>
      </c>
      <c r="D2297">
        <v>3</v>
      </c>
      <c r="E2297" s="16">
        <v>15.69</v>
      </c>
      <c r="F2297" s="1">
        <v>44487</v>
      </c>
      <c r="G2297" t="s">
        <v>2002</v>
      </c>
      <c r="H2297">
        <v>4</v>
      </c>
      <c r="I2297" s="12">
        <f>Table16[[#This Row],[price]]*Table16[[#This Row],[quantity]]</f>
        <v>47.07</v>
      </c>
    </row>
    <row r="2298" spans="1:9" x14ac:dyDescent="0.3">
      <c r="A2298" t="s">
        <v>4311</v>
      </c>
      <c r="B2298" t="s">
        <v>450</v>
      </c>
      <c r="C2298" t="s">
        <v>2017</v>
      </c>
      <c r="D2298">
        <v>5</v>
      </c>
      <c r="E2298" s="16">
        <v>5250</v>
      </c>
      <c r="F2298" s="1">
        <v>44713</v>
      </c>
      <c r="G2298" t="s">
        <v>2004</v>
      </c>
      <c r="H2298">
        <v>5</v>
      </c>
      <c r="I2298" s="12">
        <f>Table16[[#This Row],[price]]*Table16[[#This Row],[quantity]]</f>
        <v>26250</v>
      </c>
    </row>
    <row r="2299" spans="1:9" x14ac:dyDescent="0.3">
      <c r="A2299" t="s">
        <v>4312</v>
      </c>
      <c r="B2299" t="s">
        <v>450</v>
      </c>
      <c r="C2299" t="s">
        <v>2001</v>
      </c>
      <c r="D2299">
        <v>4</v>
      </c>
      <c r="E2299" s="16">
        <v>1200.32</v>
      </c>
      <c r="F2299" s="1">
        <v>44887</v>
      </c>
      <c r="G2299" t="s">
        <v>2020</v>
      </c>
      <c r="H2299">
        <v>4</v>
      </c>
      <c r="I2299" s="12">
        <f>Table16[[#This Row],[price]]*Table16[[#This Row],[quantity]]</f>
        <v>4801.28</v>
      </c>
    </row>
    <row r="2300" spans="1:9" x14ac:dyDescent="0.3">
      <c r="A2300" t="s">
        <v>4318</v>
      </c>
      <c r="B2300" t="s">
        <v>451</v>
      </c>
      <c r="C2300" t="s">
        <v>2001</v>
      </c>
      <c r="D2300">
        <v>4</v>
      </c>
      <c r="E2300" s="16">
        <v>1200.32</v>
      </c>
      <c r="F2300" s="1">
        <v>44212</v>
      </c>
      <c r="G2300" t="s">
        <v>2064</v>
      </c>
      <c r="H2300">
        <v>3</v>
      </c>
      <c r="I2300" s="12">
        <f>Table16[[#This Row],[price]]*Table16[[#This Row],[quantity]]</f>
        <v>4801.28</v>
      </c>
    </row>
    <row r="2301" spans="1:9" x14ac:dyDescent="0.3">
      <c r="A2301" t="s">
        <v>4316</v>
      </c>
      <c r="B2301" t="s">
        <v>451</v>
      </c>
      <c r="C2301" t="s">
        <v>2008</v>
      </c>
      <c r="D2301">
        <v>3</v>
      </c>
      <c r="E2301" s="16">
        <v>15.69</v>
      </c>
      <c r="F2301" s="1">
        <v>44328</v>
      </c>
      <c r="G2301" t="s">
        <v>2009</v>
      </c>
      <c r="H2301">
        <v>1</v>
      </c>
      <c r="I2301" s="12">
        <f>Table16[[#This Row],[price]]*Table16[[#This Row],[quantity]]</f>
        <v>47.07</v>
      </c>
    </row>
    <row r="2302" spans="1:9" x14ac:dyDescent="0.3">
      <c r="A2302" t="s">
        <v>4321</v>
      </c>
      <c r="B2302" t="s">
        <v>451</v>
      </c>
      <c r="C2302" t="s">
        <v>2017</v>
      </c>
      <c r="D2302">
        <v>4</v>
      </c>
      <c r="E2302" s="16">
        <v>4200</v>
      </c>
      <c r="F2302" s="1">
        <v>44363</v>
      </c>
      <c r="G2302" t="s">
        <v>2002</v>
      </c>
      <c r="H2302">
        <v>3</v>
      </c>
      <c r="I2302" s="12">
        <f>Table16[[#This Row],[price]]*Table16[[#This Row],[quantity]]</f>
        <v>16800</v>
      </c>
    </row>
    <row r="2303" spans="1:9" x14ac:dyDescent="0.3">
      <c r="A2303" t="s">
        <v>4320</v>
      </c>
      <c r="B2303" t="s">
        <v>451</v>
      </c>
      <c r="C2303" t="s">
        <v>2015</v>
      </c>
      <c r="D2303">
        <v>4</v>
      </c>
      <c r="E2303" s="16">
        <v>2400.6799999999998</v>
      </c>
      <c r="F2303" s="1">
        <v>44527</v>
      </c>
      <c r="G2303" t="s">
        <v>2064</v>
      </c>
      <c r="H2303">
        <v>5</v>
      </c>
      <c r="I2303" s="12">
        <f>Table16[[#This Row],[price]]*Table16[[#This Row],[quantity]]</f>
        <v>9602.7199999999993</v>
      </c>
    </row>
    <row r="2304" spans="1:9" x14ac:dyDescent="0.3">
      <c r="A2304" t="s">
        <v>4317</v>
      </c>
      <c r="B2304" t="s">
        <v>451</v>
      </c>
      <c r="C2304" t="s">
        <v>2011</v>
      </c>
      <c r="D2304">
        <v>2</v>
      </c>
      <c r="E2304" s="16">
        <v>81.319999999999993</v>
      </c>
      <c r="F2304" s="1">
        <v>44616</v>
      </c>
      <c r="G2304" t="s">
        <v>2018</v>
      </c>
      <c r="H2304">
        <v>3</v>
      </c>
      <c r="I2304" s="12">
        <f>Table16[[#This Row],[price]]*Table16[[#This Row],[quantity]]</f>
        <v>162.63999999999999</v>
      </c>
    </row>
    <row r="2305" spans="1:9" x14ac:dyDescent="0.3">
      <c r="A2305" t="s">
        <v>4319</v>
      </c>
      <c r="B2305" t="s">
        <v>451</v>
      </c>
      <c r="C2305" t="s">
        <v>2024</v>
      </c>
      <c r="D2305">
        <v>3</v>
      </c>
      <c r="E2305" s="16">
        <v>107.52</v>
      </c>
      <c r="F2305" s="1">
        <v>44668</v>
      </c>
      <c r="G2305" t="s">
        <v>2064</v>
      </c>
      <c r="H2305">
        <v>1</v>
      </c>
      <c r="I2305" s="12">
        <f>Table16[[#This Row],[price]]*Table16[[#This Row],[quantity]]</f>
        <v>322.56</v>
      </c>
    </row>
    <row r="2306" spans="1:9" x14ac:dyDescent="0.3">
      <c r="A2306" t="s">
        <v>4323</v>
      </c>
      <c r="B2306" t="s">
        <v>452</v>
      </c>
      <c r="C2306" t="s">
        <v>2001</v>
      </c>
      <c r="D2306">
        <v>4</v>
      </c>
      <c r="E2306" s="16">
        <v>1200.32</v>
      </c>
      <c r="F2306" s="1">
        <v>44407</v>
      </c>
      <c r="G2306" t="s">
        <v>2004</v>
      </c>
      <c r="H2306">
        <v>3</v>
      </c>
      <c r="I2306" s="12">
        <f>Table16[[#This Row],[price]]*Table16[[#This Row],[quantity]]</f>
        <v>4801.28</v>
      </c>
    </row>
    <row r="2307" spans="1:9" x14ac:dyDescent="0.3">
      <c r="A2307" t="s">
        <v>4327</v>
      </c>
      <c r="B2307" t="s">
        <v>452</v>
      </c>
      <c r="C2307" t="s">
        <v>2001</v>
      </c>
      <c r="D2307">
        <v>4</v>
      </c>
      <c r="E2307" s="16">
        <v>1200.32</v>
      </c>
      <c r="F2307" s="1">
        <v>44542</v>
      </c>
      <c r="G2307" t="s">
        <v>2064</v>
      </c>
      <c r="H2307">
        <v>3</v>
      </c>
      <c r="I2307" s="12">
        <f>Table16[[#This Row],[price]]*Table16[[#This Row],[quantity]]</f>
        <v>4801.28</v>
      </c>
    </row>
    <row r="2308" spans="1:9" x14ac:dyDescent="0.3">
      <c r="A2308" t="s">
        <v>4324</v>
      </c>
      <c r="B2308" t="s">
        <v>452</v>
      </c>
      <c r="C2308" t="s">
        <v>2001</v>
      </c>
      <c r="D2308">
        <v>1</v>
      </c>
      <c r="E2308" s="16">
        <v>300.08</v>
      </c>
      <c r="F2308" s="1">
        <v>44695</v>
      </c>
      <c r="G2308" t="s">
        <v>2027</v>
      </c>
      <c r="H2308">
        <v>1</v>
      </c>
      <c r="I2308" s="12">
        <f>Table16[[#This Row],[price]]*Table16[[#This Row],[quantity]]</f>
        <v>300.08</v>
      </c>
    </row>
    <row r="2309" spans="1:9" x14ac:dyDescent="0.3">
      <c r="A2309" t="s">
        <v>4326</v>
      </c>
      <c r="B2309" t="s">
        <v>452</v>
      </c>
      <c r="C2309" t="s">
        <v>2011</v>
      </c>
      <c r="D2309">
        <v>2</v>
      </c>
      <c r="E2309" s="16">
        <v>81.319999999999993</v>
      </c>
      <c r="F2309" s="1">
        <v>44743</v>
      </c>
      <c r="G2309" t="s">
        <v>2002</v>
      </c>
      <c r="H2309">
        <v>2</v>
      </c>
      <c r="I2309" s="12">
        <f>Table16[[#This Row],[price]]*Table16[[#This Row],[quantity]]</f>
        <v>162.63999999999999</v>
      </c>
    </row>
    <row r="2310" spans="1:9" x14ac:dyDescent="0.3">
      <c r="A2310" t="s">
        <v>4328</v>
      </c>
      <c r="B2310" t="s">
        <v>452</v>
      </c>
      <c r="C2310" t="s">
        <v>2006</v>
      </c>
      <c r="D2310">
        <v>2</v>
      </c>
      <c r="E2310" s="16">
        <v>30.3</v>
      </c>
      <c r="F2310" s="1">
        <v>44770</v>
      </c>
      <c r="G2310" t="s">
        <v>2004</v>
      </c>
      <c r="H2310">
        <v>5</v>
      </c>
      <c r="I2310" s="12">
        <f>Table16[[#This Row],[price]]*Table16[[#This Row],[quantity]]</f>
        <v>60.6</v>
      </c>
    </row>
    <row r="2311" spans="1:9" x14ac:dyDescent="0.3">
      <c r="A2311" t="s">
        <v>4329</v>
      </c>
      <c r="B2311" t="s">
        <v>452</v>
      </c>
      <c r="C2311" t="s">
        <v>2015</v>
      </c>
      <c r="D2311">
        <v>1</v>
      </c>
      <c r="E2311" s="16">
        <v>600.16999999999996</v>
      </c>
      <c r="F2311" s="1">
        <v>44800</v>
      </c>
      <c r="G2311" t="s">
        <v>2002</v>
      </c>
      <c r="H2311">
        <v>5</v>
      </c>
      <c r="I2311" s="12">
        <f>Table16[[#This Row],[price]]*Table16[[#This Row],[quantity]]</f>
        <v>600.16999999999996</v>
      </c>
    </row>
    <row r="2312" spans="1:9" x14ac:dyDescent="0.3">
      <c r="A2312" t="s">
        <v>4325</v>
      </c>
      <c r="B2312" t="s">
        <v>452</v>
      </c>
      <c r="C2312" t="s">
        <v>2011</v>
      </c>
      <c r="D2312">
        <v>5</v>
      </c>
      <c r="E2312" s="16">
        <v>203.3</v>
      </c>
      <c r="F2312" s="1">
        <v>44909</v>
      </c>
      <c r="G2312" t="s">
        <v>2020</v>
      </c>
      <c r="H2312">
        <v>4</v>
      </c>
      <c r="I2312" s="12">
        <f>Table16[[#This Row],[price]]*Table16[[#This Row],[quantity]]</f>
        <v>1016.5</v>
      </c>
    </row>
    <row r="2313" spans="1:9" x14ac:dyDescent="0.3">
      <c r="A2313" t="s">
        <v>4322</v>
      </c>
      <c r="B2313" t="s">
        <v>452</v>
      </c>
      <c r="C2313" t="s">
        <v>2001</v>
      </c>
      <c r="D2313">
        <v>5</v>
      </c>
      <c r="E2313" s="16">
        <v>1500.4</v>
      </c>
      <c r="F2313" s="1">
        <v>44927</v>
      </c>
      <c r="G2313" t="s">
        <v>2064</v>
      </c>
      <c r="H2313">
        <v>1</v>
      </c>
      <c r="I2313" s="12">
        <f>Table16[[#This Row],[price]]*Table16[[#This Row],[quantity]]</f>
        <v>7502</v>
      </c>
    </row>
    <row r="2314" spans="1:9" x14ac:dyDescent="0.3">
      <c r="A2314" t="s">
        <v>4330</v>
      </c>
      <c r="B2314" t="s">
        <v>453</v>
      </c>
      <c r="C2314" t="s">
        <v>2001</v>
      </c>
      <c r="D2314">
        <v>3</v>
      </c>
      <c r="E2314" s="16">
        <v>900.24</v>
      </c>
      <c r="F2314" s="1">
        <v>44905</v>
      </c>
      <c r="G2314" t="s">
        <v>2004</v>
      </c>
      <c r="H2314">
        <v>3</v>
      </c>
      <c r="I2314" s="12">
        <f>Table16[[#This Row],[price]]*Table16[[#This Row],[quantity]]</f>
        <v>2700.7200000000003</v>
      </c>
    </row>
    <row r="2315" spans="1:9" x14ac:dyDescent="0.3">
      <c r="A2315" t="s">
        <v>4331</v>
      </c>
      <c r="B2315" t="s">
        <v>453</v>
      </c>
      <c r="C2315" t="s">
        <v>2001</v>
      </c>
      <c r="D2315">
        <v>2</v>
      </c>
      <c r="E2315" s="16">
        <v>600.16</v>
      </c>
      <c r="F2315" s="1">
        <v>44981</v>
      </c>
      <c r="G2315" t="s">
        <v>2020</v>
      </c>
      <c r="H2315">
        <v>1</v>
      </c>
      <c r="I2315" s="12">
        <f>Table16[[#This Row],[price]]*Table16[[#This Row],[quantity]]</f>
        <v>1200.32</v>
      </c>
    </row>
    <row r="2316" spans="1:9" x14ac:dyDescent="0.3">
      <c r="A2316" t="s">
        <v>4332</v>
      </c>
      <c r="B2316" t="s">
        <v>453</v>
      </c>
      <c r="C2316" t="s">
        <v>2008</v>
      </c>
      <c r="D2316">
        <v>2</v>
      </c>
      <c r="E2316" s="16">
        <v>10.46</v>
      </c>
      <c r="F2316" s="1">
        <v>44988</v>
      </c>
      <c r="G2316" t="s">
        <v>2004</v>
      </c>
      <c r="H2316">
        <v>2</v>
      </c>
      <c r="I2316" s="12">
        <f>Table16[[#This Row],[price]]*Table16[[#This Row],[quantity]]</f>
        <v>20.92</v>
      </c>
    </row>
    <row r="2317" spans="1:9" x14ac:dyDescent="0.3">
      <c r="A2317" t="s">
        <v>4334</v>
      </c>
      <c r="B2317" t="s">
        <v>454</v>
      </c>
      <c r="C2317" t="s">
        <v>2001</v>
      </c>
      <c r="D2317">
        <v>2</v>
      </c>
      <c r="E2317" s="16">
        <v>600.16</v>
      </c>
      <c r="F2317" s="1">
        <v>44216</v>
      </c>
      <c r="G2317" t="s">
        <v>2004</v>
      </c>
      <c r="H2317">
        <v>2</v>
      </c>
      <c r="I2317" s="12">
        <f>Table16[[#This Row],[price]]*Table16[[#This Row],[quantity]]</f>
        <v>1200.32</v>
      </c>
    </row>
    <row r="2318" spans="1:9" x14ac:dyDescent="0.3">
      <c r="A2318" t="s">
        <v>4339</v>
      </c>
      <c r="B2318" t="s">
        <v>454</v>
      </c>
      <c r="C2318" t="s">
        <v>2011</v>
      </c>
      <c r="D2318">
        <v>2</v>
      </c>
      <c r="E2318" s="16">
        <v>81.319999999999993</v>
      </c>
      <c r="F2318" s="1">
        <v>44270</v>
      </c>
      <c r="G2318" t="s">
        <v>2002</v>
      </c>
      <c r="H2318">
        <v>5</v>
      </c>
      <c r="I2318" s="12">
        <f>Table16[[#This Row],[price]]*Table16[[#This Row],[quantity]]</f>
        <v>162.63999999999999</v>
      </c>
    </row>
    <row r="2319" spans="1:9" x14ac:dyDescent="0.3">
      <c r="A2319" t="s">
        <v>4335</v>
      </c>
      <c r="B2319" t="s">
        <v>454</v>
      </c>
      <c r="C2319" t="s">
        <v>2001</v>
      </c>
      <c r="D2319">
        <v>1</v>
      </c>
      <c r="E2319" s="16">
        <v>300.08</v>
      </c>
      <c r="F2319" s="1">
        <v>44809</v>
      </c>
      <c r="G2319" t="s">
        <v>2012</v>
      </c>
      <c r="H2319">
        <v>5</v>
      </c>
      <c r="I2319" s="12">
        <f>Table16[[#This Row],[price]]*Table16[[#This Row],[quantity]]</f>
        <v>300.08</v>
      </c>
    </row>
    <row r="2320" spans="1:9" x14ac:dyDescent="0.3">
      <c r="A2320" t="s">
        <v>4333</v>
      </c>
      <c r="B2320" t="s">
        <v>454</v>
      </c>
      <c r="C2320" t="s">
        <v>2001</v>
      </c>
      <c r="D2320">
        <v>5</v>
      </c>
      <c r="E2320" s="16">
        <v>1500.4</v>
      </c>
      <c r="F2320" s="1">
        <v>44817</v>
      </c>
      <c r="G2320" t="s">
        <v>2020</v>
      </c>
      <c r="H2320">
        <v>3</v>
      </c>
      <c r="I2320" s="12">
        <f>Table16[[#This Row],[price]]*Table16[[#This Row],[quantity]]</f>
        <v>7502</v>
      </c>
    </row>
    <row r="2321" spans="1:9" x14ac:dyDescent="0.3">
      <c r="A2321" t="s">
        <v>4336</v>
      </c>
      <c r="B2321" t="s">
        <v>454</v>
      </c>
      <c r="C2321" t="s">
        <v>2057</v>
      </c>
      <c r="D2321">
        <v>2</v>
      </c>
      <c r="E2321" s="16">
        <v>23.46</v>
      </c>
      <c r="F2321" s="1">
        <v>44856</v>
      </c>
      <c r="G2321" t="s">
        <v>2018</v>
      </c>
      <c r="H2321">
        <v>5</v>
      </c>
      <c r="I2321" s="12">
        <f>Table16[[#This Row],[price]]*Table16[[#This Row],[quantity]]</f>
        <v>46.92</v>
      </c>
    </row>
    <row r="2322" spans="1:9" x14ac:dyDescent="0.3">
      <c r="A2322" t="s">
        <v>4337</v>
      </c>
      <c r="B2322" t="s">
        <v>454</v>
      </c>
      <c r="C2322" t="s">
        <v>2011</v>
      </c>
      <c r="D2322">
        <v>1</v>
      </c>
      <c r="E2322" s="16">
        <v>40.659999999999997</v>
      </c>
      <c r="F2322" s="1">
        <v>44928</v>
      </c>
      <c r="G2322" t="s">
        <v>2009</v>
      </c>
      <c r="H2322">
        <v>3</v>
      </c>
      <c r="I2322" s="12">
        <f>Table16[[#This Row],[price]]*Table16[[#This Row],[quantity]]</f>
        <v>40.659999999999997</v>
      </c>
    </row>
    <row r="2323" spans="1:9" x14ac:dyDescent="0.3">
      <c r="A2323" t="s">
        <v>4338</v>
      </c>
      <c r="B2323" t="s">
        <v>454</v>
      </c>
      <c r="C2323" t="s">
        <v>2011</v>
      </c>
      <c r="D2323">
        <v>3</v>
      </c>
      <c r="E2323" s="16">
        <v>121.98</v>
      </c>
      <c r="F2323" s="1">
        <v>44991</v>
      </c>
      <c r="G2323" t="s">
        <v>2020</v>
      </c>
      <c r="H2323">
        <v>5</v>
      </c>
      <c r="I2323" s="12">
        <f>Table16[[#This Row],[price]]*Table16[[#This Row],[quantity]]</f>
        <v>365.94</v>
      </c>
    </row>
    <row r="2324" spans="1:9" x14ac:dyDescent="0.3">
      <c r="A2324" t="s">
        <v>4340</v>
      </c>
      <c r="B2324" t="s">
        <v>455</v>
      </c>
      <c r="C2324" t="s">
        <v>2017</v>
      </c>
      <c r="D2324">
        <v>4</v>
      </c>
      <c r="E2324" s="16">
        <v>4200</v>
      </c>
      <c r="F2324" s="1">
        <v>44231</v>
      </c>
      <c r="G2324" t="s">
        <v>2002</v>
      </c>
      <c r="H2324">
        <v>2</v>
      </c>
      <c r="I2324" s="12">
        <f>Table16[[#This Row],[price]]*Table16[[#This Row],[quantity]]</f>
        <v>16800</v>
      </c>
    </row>
    <row r="2325" spans="1:9" x14ac:dyDescent="0.3">
      <c r="A2325" t="s">
        <v>4341</v>
      </c>
      <c r="B2325" t="s">
        <v>455</v>
      </c>
      <c r="C2325" t="s">
        <v>2024</v>
      </c>
      <c r="D2325">
        <v>1</v>
      </c>
      <c r="E2325" s="16">
        <v>35.840000000000003</v>
      </c>
      <c r="F2325" s="1">
        <v>44313</v>
      </c>
      <c r="G2325" t="s">
        <v>2064</v>
      </c>
      <c r="H2325">
        <v>1</v>
      </c>
      <c r="I2325" s="12">
        <f>Table16[[#This Row],[price]]*Table16[[#This Row],[quantity]]</f>
        <v>35.840000000000003</v>
      </c>
    </row>
    <row r="2326" spans="1:9" x14ac:dyDescent="0.3">
      <c r="A2326" t="s">
        <v>4342</v>
      </c>
      <c r="B2326" t="s">
        <v>455</v>
      </c>
      <c r="C2326" t="s">
        <v>2024</v>
      </c>
      <c r="D2326">
        <v>5</v>
      </c>
      <c r="E2326" s="16">
        <v>179.2</v>
      </c>
      <c r="F2326" s="1">
        <v>44374</v>
      </c>
      <c r="G2326" t="s">
        <v>2004</v>
      </c>
      <c r="H2326">
        <v>5</v>
      </c>
      <c r="I2326" s="12">
        <f>Table16[[#This Row],[price]]*Table16[[#This Row],[quantity]]</f>
        <v>896</v>
      </c>
    </row>
    <row r="2327" spans="1:9" x14ac:dyDescent="0.3">
      <c r="A2327" t="s">
        <v>4345</v>
      </c>
      <c r="B2327" t="s">
        <v>455</v>
      </c>
      <c r="C2327" t="s">
        <v>2008</v>
      </c>
      <c r="D2327">
        <v>2</v>
      </c>
      <c r="E2327" s="16">
        <v>10.46</v>
      </c>
      <c r="F2327" s="1">
        <v>44397</v>
      </c>
      <c r="G2327" t="s">
        <v>2020</v>
      </c>
      <c r="H2327">
        <v>5</v>
      </c>
      <c r="I2327" s="12">
        <f>Table16[[#This Row],[price]]*Table16[[#This Row],[quantity]]</f>
        <v>20.92</v>
      </c>
    </row>
    <row r="2328" spans="1:9" x14ac:dyDescent="0.3">
      <c r="A2328" t="s">
        <v>4344</v>
      </c>
      <c r="B2328" t="s">
        <v>455</v>
      </c>
      <c r="C2328" t="s">
        <v>2001</v>
      </c>
      <c r="D2328">
        <v>4</v>
      </c>
      <c r="E2328" s="16">
        <v>1200.32</v>
      </c>
      <c r="F2328" s="1">
        <v>44746</v>
      </c>
      <c r="G2328" t="s">
        <v>2004</v>
      </c>
      <c r="H2328">
        <v>5</v>
      </c>
      <c r="I2328" s="12">
        <f>Table16[[#This Row],[price]]*Table16[[#This Row],[quantity]]</f>
        <v>4801.28</v>
      </c>
    </row>
    <row r="2329" spans="1:9" x14ac:dyDescent="0.3">
      <c r="A2329" t="s">
        <v>4343</v>
      </c>
      <c r="B2329" t="s">
        <v>455</v>
      </c>
      <c r="C2329" t="s">
        <v>2001</v>
      </c>
      <c r="D2329">
        <v>4</v>
      </c>
      <c r="E2329" s="16">
        <v>1200.32</v>
      </c>
      <c r="F2329" s="1">
        <v>44898</v>
      </c>
      <c r="G2329" t="s">
        <v>2009</v>
      </c>
      <c r="H2329">
        <v>1</v>
      </c>
      <c r="I2329" s="12">
        <f>Table16[[#This Row],[price]]*Table16[[#This Row],[quantity]]</f>
        <v>4801.28</v>
      </c>
    </row>
    <row r="2330" spans="1:9" x14ac:dyDescent="0.3">
      <c r="A2330" t="s">
        <v>4349</v>
      </c>
      <c r="B2330" t="s">
        <v>456</v>
      </c>
      <c r="C2330" t="s">
        <v>2008</v>
      </c>
      <c r="D2330">
        <v>2</v>
      </c>
      <c r="E2330" s="16">
        <v>10.46</v>
      </c>
      <c r="F2330" s="1">
        <v>44457</v>
      </c>
      <c r="G2330" t="s">
        <v>2064</v>
      </c>
      <c r="H2330">
        <v>5</v>
      </c>
      <c r="I2330" s="12">
        <f>Table16[[#This Row],[price]]*Table16[[#This Row],[quantity]]</f>
        <v>20.92</v>
      </c>
    </row>
    <row r="2331" spans="1:9" x14ac:dyDescent="0.3">
      <c r="A2331" t="s">
        <v>4351</v>
      </c>
      <c r="B2331" t="s">
        <v>456</v>
      </c>
      <c r="C2331" t="s">
        <v>2001</v>
      </c>
      <c r="D2331">
        <v>2</v>
      </c>
      <c r="E2331" s="16">
        <v>600.16</v>
      </c>
      <c r="F2331" s="1">
        <v>44557</v>
      </c>
      <c r="G2331" t="s">
        <v>2004</v>
      </c>
      <c r="H2331">
        <v>3</v>
      </c>
      <c r="I2331" s="12">
        <f>Table16[[#This Row],[price]]*Table16[[#This Row],[quantity]]</f>
        <v>1200.32</v>
      </c>
    </row>
    <row r="2332" spans="1:9" x14ac:dyDescent="0.3">
      <c r="A2332" t="s">
        <v>4348</v>
      </c>
      <c r="B2332" t="s">
        <v>456</v>
      </c>
      <c r="C2332" t="s">
        <v>2006</v>
      </c>
      <c r="D2332">
        <v>4</v>
      </c>
      <c r="E2332" s="16">
        <v>60.6</v>
      </c>
      <c r="F2332" s="1">
        <v>44617</v>
      </c>
      <c r="G2332" t="s">
        <v>2027</v>
      </c>
      <c r="H2332">
        <v>4</v>
      </c>
      <c r="I2332" s="12">
        <f>Table16[[#This Row],[price]]*Table16[[#This Row],[quantity]]</f>
        <v>242.4</v>
      </c>
    </row>
    <row r="2333" spans="1:9" x14ac:dyDescent="0.3">
      <c r="A2333" t="s">
        <v>4350</v>
      </c>
      <c r="B2333" t="s">
        <v>456</v>
      </c>
      <c r="C2333" t="s">
        <v>2001</v>
      </c>
      <c r="D2333">
        <v>1</v>
      </c>
      <c r="E2333" s="16">
        <v>300.08</v>
      </c>
      <c r="F2333" s="1">
        <v>44763</v>
      </c>
      <c r="G2333" t="s">
        <v>2002</v>
      </c>
      <c r="H2333">
        <v>4</v>
      </c>
      <c r="I2333" s="12">
        <f>Table16[[#This Row],[price]]*Table16[[#This Row],[quantity]]</f>
        <v>300.08</v>
      </c>
    </row>
    <row r="2334" spans="1:9" x14ac:dyDescent="0.3">
      <c r="A2334" t="s">
        <v>4346</v>
      </c>
      <c r="B2334" t="s">
        <v>456</v>
      </c>
      <c r="C2334" t="s">
        <v>2001</v>
      </c>
      <c r="D2334">
        <v>3</v>
      </c>
      <c r="E2334" s="16">
        <v>900.24</v>
      </c>
      <c r="F2334" s="1">
        <v>44900</v>
      </c>
      <c r="G2334" t="s">
        <v>2004</v>
      </c>
      <c r="H2334">
        <v>3</v>
      </c>
      <c r="I2334" s="12">
        <f>Table16[[#This Row],[price]]*Table16[[#This Row],[quantity]]</f>
        <v>2700.7200000000003</v>
      </c>
    </row>
    <row r="2335" spans="1:9" x14ac:dyDescent="0.3">
      <c r="A2335" t="s">
        <v>4347</v>
      </c>
      <c r="B2335" t="s">
        <v>456</v>
      </c>
      <c r="C2335" t="s">
        <v>2001</v>
      </c>
      <c r="D2335">
        <v>5</v>
      </c>
      <c r="E2335" s="16">
        <v>1500.4</v>
      </c>
      <c r="F2335" s="1">
        <v>44955</v>
      </c>
      <c r="G2335" t="s">
        <v>2002</v>
      </c>
      <c r="H2335">
        <v>5</v>
      </c>
      <c r="I2335" s="12">
        <f>Table16[[#This Row],[price]]*Table16[[#This Row],[quantity]]</f>
        <v>7502</v>
      </c>
    </row>
    <row r="2336" spans="1:9" x14ac:dyDescent="0.3">
      <c r="A2336" t="s">
        <v>4356</v>
      </c>
      <c r="B2336" t="s">
        <v>457</v>
      </c>
      <c r="C2336" t="s">
        <v>2057</v>
      </c>
      <c r="D2336">
        <v>4</v>
      </c>
      <c r="E2336" s="16">
        <v>46.92</v>
      </c>
      <c r="F2336" s="1">
        <v>44417</v>
      </c>
      <c r="G2336" t="s">
        <v>2020</v>
      </c>
      <c r="H2336">
        <v>3</v>
      </c>
      <c r="I2336" s="12">
        <f>Table16[[#This Row],[price]]*Table16[[#This Row],[quantity]]</f>
        <v>187.68</v>
      </c>
    </row>
    <row r="2337" spans="1:9" x14ac:dyDescent="0.3">
      <c r="A2337" t="s">
        <v>4353</v>
      </c>
      <c r="B2337" t="s">
        <v>457</v>
      </c>
      <c r="C2337" t="s">
        <v>2001</v>
      </c>
      <c r="D2337">
        <v>2</v>
      </c>
      <c r="E2337" s="16">
        <v>600.16</v>
      </c>
      <c r="F2337" s="1">
        <v>44514</v>
      </c>
      <c r="G2337" t="s">
        <v>2020</v>
      </c>
      <c r="H2337">
        <v>4</v>
      </c>
      <c r="I2337" s="12">
        <f>Table16[[#This Row],[price]]*Table16[[#This Row],[quantity]]</f>
        <v>1200.32</v>
      </c>
    </row>
    <row r="2338" spans="1:9" x14ac:dyDescent="0.3">
      <c r="A2338" t="s">
        <v>4358</v>
      </c>
      <c r="B2338" t="s">
        <v>457</v>
      </c>
      <c r="C2338" t="s">
        <v>2024</v>
      </c>
      <c r="D2338">
        <v>2</v>
      </c>
      <c r="E2338" s="16">
        <v>71.680000000000007</v>
      </c>
      <c r="F2338" s="1">
        <v>44589</v>
      </c>
      <c r="G2338" t="s">
        <v>2018</v>
      </c>
      <c r="H2338">
        <v>5</v>
      </c>
      <c r="I2338" s="12">
        <f>Table16[[#This Row],[price]]*Table16[[#This Row],[quantity]]</f>
        <v>143.36000000000001</v>
      </c>
    </row>
    <row r="2339" spans="1:9" x14ac:dyDescent="0.3">
      <c r="A2339" t="s">
        <v>4352</v>
      </c>
      <c r="B2339" t="s">
        <v>457</v>
      </c>
      <c r="C2339" t="s">
        <v>2008</v>
      </c>
      <c r="D2339">
        <v>3</v>
      </c>
      <c r="E2339" s="16">
        <v>15.69</v>
      </c>
      <c r="F2339" s="1">
        <v>44626</v>
      </c>
      <c r="G2339" t="s">
        <v>2027</v>
      </c>
      <c r="H2339">
        <v>2</v>
      </c>
      <c r="I2339" s="12">
        <f>Table16[[#This Row],[price]]*Table16[[#This Row],[quantity]]</f>
        <v>47.07</v>
      </c>
    </row>
    <row r="2340" spans="1:9" x14ac:dyDescent="0.3">
      <c r="A2340" t="s">
        <v>4361</v>
      </c>
      <c r="B2340" t="s">
        <v>457</v>
      </c>
      <c r="C2340" t="s">
        <v>2001</v>
      </c>
      <c r="D2340">
        <v>1</v>
      </c>
      <c r="E2340" s="16">
        <v>300.08</v>
      </c>
      <c r="F2340" s="1">
        <v>44789</v>
      </c>
      <c r="G2340" t="s">
        <v>2018</v>
      </c>
      <c r="H2340">
        <v>3</v>
      </c>
      <c r="I2340" s="12">
        <f>Table16[[#This Row],[price]]*Table16[[#This Row],[quantity]]</f>
        <v>300.08</v>
      </c>
    </row>
    <row r="2341" spans="1:9" x14ac:dyDescent="0.3">
      <c r="A2341" t="s">
        <v>4354</v>
      </c>
      <c r="B2341" t="s">
        <v>457</v>
      </c>
      <c r="C2341" t="s">
        <v>2008</v>
      </c>
      <c r="D2341">
        <v>1</v>
      </c>
      <c r="E2341" s="16">
        <v>5.23</v>
      </c>
      <c r="F2341" s="1">
        <v>44798</v>
      </c>
      <c r="G2341" t="s">
        <v>2004</v>
      </c>
      <c r="H2341">
        <v>5</v>
      </c>
      <c r="I2341" s="12">
        <f>Table16[[#This Row],[price]]*Table16[[#This Row],[quantity]]</f>
        <v>5.23</v>
      </c>
    </row>
    <row r="2342" spans="1:9" x14ac:dyDescent="0.3">
      <c r="A2342" t="s">
        <v>4360</v>
      </c>
      <c r="B2342" t="s">
        <v>457</v>
      </c>
      <c r="C2342" t="s">
        <v>2001</v>
      </c>
      <c r="D2342">
        <v>5</v>
      </c>
      <c r="E2342" s="16">
        <v>1500.4</v>
      </c>
      <c r="F2342" s="1">
        <v>44851</v>
      </c>
      <c r="G2342" t="s">
        <v>2004</v>
      </c>
      <c r="H2342">
        <v>4</v>
      </c>
      <c r="I2342" s="12">
        <f>Table16[[#This Row],[price]]*Table16[[#This Row],[quantity]]</f>
        <v>7502</v>
      </c>
    </row>
    <row r="2343" spans="1:9" x14ac:dyDescent="0.3">
      <c r="A2343" t="s">
        <v>4355</v>
      </c>
      <c r="B2343" t="s">
        <v>457</v>
      </c>
      <c r="C2343" t="s">
        <v>2008</v>
      </c>
      <c r="D2343">
        <v>3</v>
      </c>
      <c r="E2343" s="16">
        <v>15.69</v>
      </c>
      <c r="F2343" s="1">
        <v>44934</v>
      </c>
      <c r="G2343" t="s">
        <v>2020</v>
      </c>
      <c r="H2343">
        <v>5</v>
      </c>
      <c r="I2343" s="12">
        <f>Table16[[#This Row],[price]]*Table16[[#This Row],[quantity]]</f>
        <v>47.07</v>
      </c>
    </row>
    <row r="2344" spans="1:9" x14ac:dyDescent="0.3">
      <c r="A2344" t="s">
        <v>4359</v>
      </c>
      <c r="B2344" t="s">
        <v>457</v>
      </c>
      <c r="C2344" t="s">
        <v>2011</v>
      </c>
      <c r="D2344">
        <v>1</v>
      </c>
      <c r="E2344" s="16">
        <v>40.659999999999997</v>
      </c>
      <c r="F2344" s="1">
        <v>44973</v>
      </c>
      <c r="G2344" t="s">
        <v>2004</v>
      </c>
      <c r="H2344">
        <v>1</v>
      </c>
      <c r="I2344" s="12">
        <f>Table16[[#This Row],[price]]*Table16[[#This Row],[quantity]]</f>
        <v>40.659999999999997</v>
      </c>
    </row>
    <row r="2345" spans="1:9" x14ac:dyDescent="0.3">
      <c r="A2345" t="s">
        <v>4357</v>
      </c>
      <c r="B2345" t="s">
        <v>457</v>
      </c>
      <c r="C2345" t="s">
        <v>2017</v>
      </c>
      <c r="D2345">
        <v>4</v>
      </c>
      <c r="E2345" s="16">
        <v>4200</v>
      </c>
      <c r="F2345" s="1">
        <v>44984</v>
      </c>
      <c r="G2345" t="s">
        <v>2027</v>
      </c>
      <c r="H2345">
        <v>2</v>
      </c>
      <c r="I2345" s="12">
        <f>Table16[[#This Row],[price]]*Table16[[#This Row],[quantity]]</f>
        <v>16800</v>
      </c>
    </row>
    <row r="2346" spans="1:9" x14ac:dyDescent="0.3">
      <c r="A2346" t="s">
        <v>4364</v>
      </c>
      <c r="B2346" t="s">
        <v>458</v>
      </c>
      <c r="C2346" t="s">
        <v>2015</v>
      </c>
      <c r="D2346">
        <v>5</v>
      </c>
      <c r="E2346" s="16">
        <v>3000.85</v>
      </c>
      <c r="F2346" s="1">
        <v>44409</v>
      </c>
      <c r="G2346" t="s">
        <v>2004</v>
      </c>
      <c r="H2346">
        <v>3</v>
      </c>
      <c r="I2346" s="12">
        <f>Table16[[#This Row],[price]]*Table16[[#This Row],[quantity]]</f>
        <v>15004.25</v>
      </c>
    </row>
    <row r="2347" spans="1:9" x14ac:dyDescent="0.3">
      <c r="A2347" t="s">
        <v>4363</v>
      </c>
      <c r="B2347" t="s">
        <v>458</v>
      </c>
      <c r="C2347" t="s">
        <v>2001</v>
      </c>
      <c r="D2347">
        <v>1</v>
      </c>
      <c r="E2347" s="16">
        <v>300.08</v>
      </c>
      <c r="F2347" s="1">
        <v>44409</v>
      </c>
      <c r="G2347" t="s">
        <v>2002</v>
      </c>
      <c r="H2347">
        <v>3</v>
      </c>
      <c r="I2347" s="12">
        <f>Table16[[#This Row],[price]]*Table16[[#This Row],[quantity]]</f>
        <v>300.08</v>
      </c>
    </row>
    <row r="2348" spans="1:9" x14ac:dyDescent="0.3">
      <c r="A2348" t="s">
        <v>4362</v>
      </c>
      <c r="B2348" t="s">
        <v>458</v>
      </c>
      <c r="C2348" t="s">
        <v>2006</v>
      </c>
      <c r="D2348">
        <v>3</v>
      </c>
      <c r="E2348" s="16">
        <v>45.45</v>
      </c>
      <c r="F2348" s="1">
        <v>44646</v>
      </c>
      <c r="G2348" t="s">
        <v>2064</v>
      </c>
      <c r="H2348">
        <v>5</v>
      </c>
      <c r="I2348" s="12">
        <f>Table16[[#This Row],[price]]*Table16[[#This Row],[quantity]]</f>
        <v>136.35000000000002</v>
      </c>
    </row>
    <row r="2349" spans="1:9" x14ac:dyDescent="0.3">
      <c r="A2349" t="s">
        <v>4366</v>
      </c>
      <c r="B2349" t="s">
        <v>459</v>
      </c>
      <c r="C2349" t="s">
        <v>2001</v>
      </c>
      <c r="D2349">
        <v>2</v>
      </c>
      <c r="E2349" s="16">
        <v>600.16</v>
      </c>
      <c r="F2349" s="1">
        <v>44209</v>
      </c>
      <c r="G2349" t="s">
        <v>2027</v>
      </c>
      <c r="H2349">
        <v>3</v>
      </c>
      <c r="I2349" s="12">
        <f>Table16[[#This Row],[price]]*Table16[[#This Row],[quantity]]</f>
        <v>1200.32</v>
      </c>
    </row>
    <row r="2350" spans="1:9" x14ac:dyDescent="0.3">
      <c r="A2350" t="s">
        <v>4368</v>
      </c>
      <c r="B2350" t="s">
        <v>459</v>
      </c>
      <c r="C2350" t="s">
        <v>2011</v>
      </c>
      <c r="D2350">
        <v>2</v>
      </c>
      <c r="E2350" s="16">
        <v>81.319999999999993</v>
      </c>
      <c r="F2350" s="1">
        <v>44520</v>
      </c>
      <c r="G2350" t="s">
        <v>2020</v>
      </c>
      <c r="H2350">
        <v>4</v>
      </c>
      <c r="I2350" s="12">
        <f>Table16[[#This Row],[price]]*Table16[[#This Row],[quantity]]</f>
        <v>162.63999999999999</v>
      </c>
    </row>
    <row r="2351" spans="1:9" x14ac:dyDescent="0.3">
      <c r="A2351" t="s">
        <v>4365</v>
      </c>
      <c r="B2351" t="s">
        <v>459</v>
      </c>
      <c r="C2351" t="s">
        <v>2001</v>
      </c>
      <c r="D2351">
        <v>4</v>
      </c>
      <c r="E2351" s="16">
        <v>1200.32</v>
      </c>
      <c r="F2351" s="1">
        <v>44612</v>
      </c>
      <c r="G2351" t="s">
        <v>2027</v>
      </c>
      <c r="H2351">
        <v>4</v>
      </c>
      <c r="I2351" s="12">
        <f>Table16[[#This Row],[price]]*Table16[[#This Row],[quantity]]</f>
        <v>4801.28</v>
      </c>
    </row>
    <row r="2352" spans="1:9" x14ac:dyDescent="0.3">
      <c r="A2352" t="s">
        <v>4367</v>
      </c>
      <c r="B2352" t="s">
        <v>459</v>
      </c>
      <c r="C2352" t="s">
        <v>2011</v>
      </c>
      <c r="D2352">
        <v>4</v>
      </c>
      <c r="E2352" s="16">
        <v>162.63999999999999</v>
      </c>
      <c r="F2352" s="1">
        <v>44978</v>
      </c>
      <c r="G2352" t="s">
        <v>2041</v>
      </c>
      <c r="H2352">
        <v>5</v>
      </c>
      <c r="I2352" s="12">
        <f>Table16[[#This Row],[price]]*Table16[[#This Row],[quantity]]</f>
        <v>650.55999999999995</v>
      </c>
    </row>
    <row r="2353" spans="1:9" x14ac:dyDescent="0.3">
      <c r="A2353" t="s">
        <v>4376</v>
      </c>
      <c r="B2353" t="s">
        <v>460</v>
      </c>
      <c r="C2353" t="s">
        <v>2011</v>
      </c>
      <c r="D2353">
        <v>3</v>
      </c>
      <c r="E2353" s="16">
        <v>121.98</v>
      </c>
      <c r="F2353" s="1">
        <v>44342</v>
      </c>
      <c r="G2353" t="s">
        <v>2041</v>
      </c>
      <c r="H2353">
        <v>5</v>
      </c>
      <c r="I2353" s="12">
        <f>Table16[[#This Row],[price]]*Table16[[#This Row],[quantity]]</f>
        <v>365.94</v>
      </c>
    </row>
    <row r="2354" spans="1:9" x14ac:dyDescent="0.3">
      <c r="A2354" t="s">
        <v>4370</v>
      </c>
      <c r="B2354" t="s">
        <v>460</v>
      </c>
      <c r="C2354" t="s">
        <v>2057</v>
      </c>
      <c r="D2354">
        <v>3</v>
      </c>
      <c r="E2354" s="16">
        <v>35.19</v>
      </c>
      <c r="F2354" s="1">
        <v>44425</v>
      </c>
      <c r="G2354" t="s">
        <v>2020</v>
      </c>
      <c r="H2354">
        <v>4</v>
      </c>
      <c r="I2354" s="12">
        <f>Table16[[#This Row],[price]]*Table16[[#This Row],[quantity]]</f>
        <v>105.57</v>
      </c>
    </row>
    <row r="2355" spans="1:9" x14ac:dyDescent="0.3">
      <c r="A2355" t="s">
        <v>4369</v>
      </c>
      <c r="B2355" t="s">
        <v>460</v>
      </c>
      <c r="C2355" t="s">
        <v>2001</v>
      </c>
      <c r="D2355">
        <v>1</v>
      </c>
      <c r="E2355" s="16">
        <v>300.08</v>
      </c>
      <c r="F2355" s="1">
        <v>44440</v>
      </c>
      <c r="G2355" t="s">
        <v>2009</v>
      </c>
      <c r="H2355">
        <v>3</v>
      </c>
      <c r="I2355" s="12">
        <f>Table16[[#This Row],[price]]*Table16[[#This Row],[quantity]]</f>
        <v>300.08</v>
      </c>
    </row>
    <row r="2356" spans="1:9" x14ac:dyDescent="0.3">
      <c r="A2356" t="s">
        <v>4375</v>
      </c>
      <c r="B2356" t="s">
        <v>460</v>
      </c>
      <c r="C2356" t="s">
        <v>2011</v>
      </c>
      <c r="D2356">
        <v>5</v>
      </c>
      <c r="E2356" s="16">
        <v>203.3</v>
      </c>
      <c r="F2356" s="1">
        <v>44500</v>
      </c>
      <c r="G2356" t="s">
        <v>2064</v>
      </c>
      <c r="H2356">
        <v>5</v>
      </c>
      <c r="I2356" s="12">
        <f>Table16[[#This Row],[price]]*Table16[[#This Row],[quantity]]</f>
        <v>1016.5</v>
      </c>
    </row>
    <row r="2357" spans="1:9" x14ac:dyDescent="0.3">
      <c r="A2357" t="s">
        <v>4371</v>
      </c>
      <c r="B2357" t="s">
        <v>460</v>
      </c>
      <c r="C2357" t="s">
        <v>2015</v>
      </c>
      <c r="D2357">
        <v>4</v>
      </c>
      <c r="E2357" s="16">
        <v>2400.6799999999998</v>
      </c>
      <c r="F2357" s="1">
        <v>44516</v>
      </c>
      <c r="G2357" t="s">
        <v>2027</v>
      </c>
      <c r="H2357">
        <v>5</v>
      </c>
      <c r="I2357" s="12">
        <f>Table16[[#This Row],[price]]*Table16[[#This Row],[quantity]]</f>
        <v>9602.7199999999993</v>
      </c>
    </row>
    <row r="2358" spans="1:9" x14ac:dyDescent="0.3">
      <c r="A2358" t="s">
        <v>4373</v>
      </c>
      <c r="B2358" t="s">
        <v>460</v>
      </c>
      <c r="C2358" t="s">
        <v>2057</v>
      </c>
      <c r="D2358">
        <v>5</v>
      </c>
      <c r="E2358" s="16">
        <v>58.65</v>
      </c>
      <c r="F2358" s="1">
        <v>44547</v>
      </c>
      <c r="G2358" t="s">
        <v>2027</v>
      </c>
      <c r="H2358">
        <v>5</v>
      </c>
      <c r="I2358" s="12">
        <f>Table16[[#This Row],[price]]*Table16[[#This Row],[quantity]]</f>
        <v>293.25</v>
      </c>
    </row>
    <row r="2359" spans="1:9" x14ac:dyDescent="0.3">
      <c r="A2359" t="s">
        <v>4377</v>
      </c>
      <c r="B2359" t="s">
        <v>460</v>
      </c>
      <c r="C2359" t="s">
        <v>2008</v>
      </c>
      <c r="D2359">
        <v>1</v>
      </c>
      <c r="E2359" s="16">
        <v>5.23</v>
      </c>
      <c r="F2359" s="1">
        <v>44684</v>
      </c>
      <c r="G2359" t="s">
        <v>2004</v>
      </c>
      <c r="H2359">
        <v>3</v>
      </c>
      <c r="I2359" s="12">
        <f>Table16[[#This Row],[price]]*Table16[[#This Row],[quantity]]</f>
        <v>5.23</v>
      </c>
    </row>
    <row r="2360" spans="1:9" x14ac:dyDescent="0.3">
      <c r="A2360" t="s">
        <v>4374</v>
      </c>
      <c r="B2360" t="s">
        <v>460</v>
      </c>
      <c r="C2360" t="s">
        <v>2001</v>
      </c>
      <c r="D2360">
        <v>4</v>
      </c>
      <c r="E2360" s="16">
        <v>1200.32</v>
      </c>
      <c r="F2360" s="1">
        <v>44785</v>
      </c>
      <c r="G2360" t="s">
        <v>2004</v>
      </c>
      <c r="H2360">
        <v>3</v>
      </c>
      <c r="I2360" s="12">
        <f>Table16[[#This Row],[price]]*Table16[[#This Row],[quantity]]</f>
        <v>4801.28</v>
      </c>
    </row>
    <row r="2361" spans="1:9" x14ac:dyDescent="0.3">
      <c r="A2361" t="s">
        <v>4372</v>
      </c>
      <c r="B2361" t="s">
        <v>460</v>
      </c>
      <c r="C2361" t="s">
        <v>2001</v>
      </c>
      <c r="D2361">
        <v>3</v>
      </c>
      <c r="E2361" s="16">
        <v>900.24</v>
      </c>
      <c r="F2361" s="1">
        <v>44944</v>
      </c>
      <c r="G2361" t="s">
        <v>2002</v>
      </c>
      <c r="H2361">
        <v>5</v>
      </c>
      <c r="I2361" s="12">
        <f>Table16[[#This Row],[price]]*Table16[[#This Row],[quantity]]</f>
        <v>2700.7200000000003</v>
      </c>
    </row>
    <row r="2362" spans="1:9" x14ac:dyDescent="0.3">
      <c r="A2362" t="s">
        <v>4380</v>
      </c>
      <c r="B2362" t="s">
        <v>461</v>
      </c>
      <c r="C2362" t="s">
        <v>2001</v>
      </c>
      <c r="D2362">
        <v>3</v>
      </c>
      <c r="E2362" s="16">
        <v>900.24</v>
      </c>
      <c r="F2362" s="1">
        <v>44311</v>
      </c>
      <c r="G2362" t="s">
        <v>2041</v>
      </c>
      <c r="H2362">
        <v>2</v>
      </c>
      <c r="I2362" s="12">
        <f>Table16[[#This Row],[price]]*Table16[[#This Row],[quantity]]</f>
        <v>2700.7200000000003</v>
      </c>
    </row>
    <row r="2363" spans="1:9" x14ac:dyDescent="0.3">
      <c r="A2363" t="s">
        <v>4382</v>
      </c>
      <c r="B2363" t="s">
        <v>461</v>
      </c>
      <c r="C2363" t="s">
        <v>2011</v>
      </c>
      <c r="D2363">
        <v>5</v>
      </c>
      <c r="E2363" s="16">
        <v>203.3</v>
      </c>
      <c r="F2363" s="1">
        <v>44422</v>
      </c>
      <c r="G2363" t="s">
        <v>2058</v>
      </c>
      <c r="H2363">
        <v>2</v>
      </c>
      <c r="I2363" s="12">
        <f>Table16[[#This Row],[price]]*Table16[[#This Row],[quantity]]</f>
        <v>1016.5</v>
      </c>
    </row>
    <row r="2364" spans="1:9" x14ac:dyDescent="0.3">
      <c r="A2364" t="s">
        <v>4381</v>
      </c>
      <c r="B2364" t="s">
        <v>461</v>
      </c>
      <c r="C2364" t="s">
        <v>2001</v>
      </c>
      <c r="D2364">
        <v>2</v>
      </c>
      <c r="E2364" s="16">
        <v>600.16</v>
      </c>
      <c r="F2364" s="1">
        <v>44507</v>
      </c>
      <c r="G2364" t="s">
        <v>2020</v>
      </c>
      <c r="H2364">
        <v>4</v>
      </c>
      <c r="I2364" s="12">
        <f>Table16[[#This Row],[price]]*Table16[[#This Row],[quantity]]</f>
        <v>1200.32</v>
      </c>
    </row>
    <row r="2365" spans="1:9" x14ac:dyDescent="0.3">
      <c r="A2365" t="s">
        <v>4379</v>
      </c>
      <c r="B2365" t="s">
        <v>461</v>
      </c>
      <c r="C2365" t="s">
        <v>2001</v>
      </c>
      <c r="D2365">
        <v>4</v>
      </c>
      <c r="E2365" s="16">
        <v>1200.32</v>
      </c>
      <c r="F2365" s="1">
        <v>44612</v>
      </c>
      <c r="G2365" t="s">
        <v>2002</v>
      </c>
      <c r="H2365">
        <v>4</v>
      </c>
      <c r="I2365" s="12">
        <f>Table16[[#This Row],[price]]*Table16[[#This Row],[quantity]]</f>
        <v>4801.28</v>
      </c>
    </row>
    <row r="2366" spans="1:9" x14ac:dyDescent="0.3">
      <c r="A2366" t="s">
        <v>4378</v>
      </c>
      <c r="B2366" t="s">
        <v>461</v>
      </c>
      <c r="C2366" t="s">
        <v>2008</v>
      </c>
      <c r="D2366">
        <v>4</v>
      </c>
      <c r="E2366" s="16">
        <v>20.92</v>
      </c>
      <c r="F2366" s="1">
        <v>44912</v>
      </c>
      <c r="G2366" t="s">
        <v>2064</v>
      </c>
      <c r="H2366">
        <v>4</v>
      </c>
      <c r="I2366" s="12">
        <f>Table16[[#This Row],[price]]*Table16[[#This Row],[quantity]]</f>
        <v>83.68</v>
      </c>
    </row>
    <row r="2367" spans="1:9" x14ac:dyDescent="0.3">
      <c r="A2367" t="s">
        <v>4384</v>
      </c>
      <c r="B2367" t="s">
        <v>462</v>
      </c>
      <c r="C2367" t="s">
        <v>2011</v>
      </c>
      <c r="D2367">
        <v>3</v>
      </c>
      <c r="E2367" s="16">
        <v>121.98</v>
      </c>
      <c r="F2367" s="1">
        <v>44456</v>
      </c>
      <c r="G2367" t="s">
        <v>2012</v>
      </c>
      <c r="H2367">
        <v>5</v>
      </c>
      <c r="I2367" s="12">
        <f>Table16[[#This Row],[price]]*Table16[[#This Row],[quantity]]</f>
        <v>365.94</v>
      </c>
    </row>
    <row r="2368" spans="1:9" x14ac:dyDescent="0.3">
      <c r="A2368" t="s">
        <v>4383</v>
      </c>
      <c r="B2368" t="s">
        <v>462</v>
      </c>
      <c r="C2368" t="s">
        <v>2011</v>
      </c>
      <c r="D2368">
        <v>3</v>
      </c>
      <c r="E2368" s="16">
        <v>121.98</v>
      </c>
      <c r="F2368" s="1">
        <v>44677</v>
      </c>
      <c r="G2368" t="s">
        <v>2009</v>
      </c>
      <c r="H2368">
        <v>3</v>
      </c>
      <c r="I2368" s="12">
        <f>Table16[[#This Row],[price]]*Table16[[#This Row],[quantity]]</f>
        <v>365.94</v>
      </c>
    </row>
    <row r="2369" spans="1:9" x14ac:dyDescent="0.3">
      <c r="A2369" t="s">
        <v>4385</v>
      </c>
      <c r="B2369" t="s">
        <v>462</v>
      </c>
      <c r="C2369" t="s">
        <v>2008</v>
      </c>
      <c r="D2369">
        <v>5</v>
      </c>
      <c r="E2369" s="16">
        <v>26.15</v>
      </c>
      <c r="F2369" s="1">
        <v>44958</v>
      </c>
      <c r="G2369" t="s">
        <v>2027</v>
      </c>
      <c r="H2369">
        <v>5</v>
      </c>
      <c r="I2369" s="12">
        <f>Table16[[#This Row],[price]]*Table16[[#This Row],[quantity]]</f>
        <v>130.75</v>
      </c>
    </row>
    <row r="2370" spans="1:9" x14ac:dyDescent="0.3">
      <c r="A2370" t="s">
        <v>4386</v>
      </c>
      <c r="B2370" t="s">
        <v>463</v>
      </c>
      <c r="C2370" t="s">
        <v>2011</v>
      </c>
      <c r="D2370">
        <v>4</v>
      </c>
      <c r="E2370" s="16">
        <v>162.63999999999999</v>
      </c>
      <c r="F2370" s="1">
        <v>44288</v>
      </c>
      <c r="G2370" t="s">
        <v>2064</v>
      </c>
      <c r="H2370">
        <v>3</v>
      </c>
      <c r="I2370" s="12">
        <f>Table16[[#This Row],[price]]*Table16[[#This Row],[quantity]]</f>
        <v>650.55999999999995</v>
      </c>
    </row>
    <row r="2371" spans="1:9" x14ac:dyDescent="0.3">
      <c r="A2371" t="s">
        <v>4387</v>
      </c>
      <c r="B2371" t="s">
        <v>463</v>
      </c>
      <c r="C2371" t="s">
        <v>2017</v>
      </c>
      <c r="D2371">
        <v>3</v>
      </c>
      <c r="E2371" s="16">
        <v>3150</v>
      </c>
      <c r="F2371" s="1">
        <v>44290</v>
      </c>
      <c r="G2371" t="s">
        <v>2018</v>
      </c>
      <c r="H2371">
        <v>1</v>
      </c>
      <c r="I2371" s="12">
        <f>Table16[[#This Row],[price]]*Table16[[#This Row],[quantity]]</f>
        <v>9450</v>
      </c>
    </row>
    <row r="2372" spans="1:9" x14ac:dyDescent="0.3">
      <c r="A2372" t="s">
        <v>4389</v>
      </c>
      <c r="B2372" t="s">
        <v>463</v>
      </c>
      <c r="C2372" t="s">
        <v>2008</v>
      </c>
      <c r="D2372">
        <v>3</v>
      </c>
      <c r="E2372" s="16">
        <v>15.69</v>
      </c>
      <c r="F2372" s="1">
        <v>44843</v>
      </c>
      <c r="G2372" t="s">
        <v>2058</v>
      </c>
      <c r="H2372">
        <v>4</v>
      </c>
      <c r="I2372" s="12">
        <f>Table16[[#This Row],[price]]*Table16[[#This Row],[quantity]]</f>
        <v>47.07</v>
      </c>
    </row>
    <row r="2373" spans="1:9" x14ac:dyDescent="0.3">
      <c r="A2373" t="s">
        <v>4388</v>
      </c>
      <c r="B2373" t="s">
        <v>463</v>
      </c>
      <c r="C2373" t="s">
        <v>2001</v>
      </c>
      <c r="D2373">
        <v>4</v>
      </c>
      <c r="E2373" s="16">
        <v>1200.32</v>
      </c>
      <c r="F2373" s="1">
        <v>44887</v>
      </c>
      <c r="G2373" t="s">
        <v>2009</v>
      </c>
      <c r="H2373">
        <v>1</v>
      </c>
      <c r="I2373" s="12">
        <f>Table16[[#This Row],[price]]*Table16[[#This Row],[quantity]]</f>
        <v>4801.28</v>
      </c>
    </row>
    <row r="2374" spans="1:9" x14ac:dyDescent="0.3">
      <c r="A2374" t="s">
        <v>4392</v>
      </c>
      <c r="B2374" t="s">
        <v>464</v>
      </c>
      <c r="C2374" t="s">
        <v>2015</v>
      </c>
      <c r="D2374">
        <v>3</v>
      </c>
      <c r="E2374" s="16">
        <v>1800.51</v>
      </c>
      <c r="F2374" s="1">
        <v>44615</v>
      </c>
      <c r="G2374" t="s">
        <v>2004</v>
      </c>
      <c r="H2374">
        <v>2</v>
      </c>
      <c r="I2374" s="12">
        <f>Table16[[#This Row],[price]]*Table16[[#This Row],[quantity]]</f>
        <v>5401.53</v>
      </c>
    </row>
    <row r="2375" spans="1:9" x14ac:dyDescent="0.3">
      <c r="A2375" t="s">
        <v>4391</v>
      </c>
      <c r="B2375" t="s">
        <v>464</v>
      </c>
      <c r="C2375" t="s">
        <v>2015</v>
      </c>
      <c r="D2375">
        <v>5</v>
      </c>
      <c r="E2375" s="16">
        <v>3000.85</v>
      </c>
      <c r="F2375" s="1">
        <v>44687</v>
      </c>
      <c r="G2375" t="s">
        <v>2002</v>
      </c>
      <c r="H2375">
        <v>3</v>
      </c>
      <c r="I2375" s="12">
        <f>Table16[[#This Row],[price]]*Table16[[#This Row],[quantity]]</f>
        <v>15004.25</v>
      </c>
    </row>
    <row r="2376" spans="1:9" x14ac:dyDescent="0.3">
      <c r="A2376" t="s">
        <v>4390</v>
      </c>
      <c r="B2376" t="s">
        <v>464</v>
      </c>
      <c r="C2376" t="s">
        <v>2017</v>
      </c>
      <c r="D2376">
        <v>5</v>
      </c>
      <c r="E2376" s="16">
        <v>5250</v>
      </c>
      <c r="F2376" s="1">
        <v>44742</v>
      </c>
      <c r="G2376" t="s">
        <v>2004</v>
      </c>
      <c r="H2376">
        <v>4</v>
      </c>
      <c r="I2376" s="12">
        <f>Table16[[#This Row],[price]]*Table16[[#This Row],[quantity]]</f>
        <v>26250</v>
      </c>
    </row>
    <row r="2377" spans="1:9" x14ac:dyDescent="0.3">
      <c r="A2377" t="s">
        <v>4398</v>
      </c>
      <c r="B2377" t="s">
        <v>465</v>
      </c>
      <c r="C2377" t="s">
        <v>2001</v>
      </c>
      <c r="D2377">
        <v>1</v>
      </c>
      <c r="E2377" s="16">
        <v>300.08</v>
      </c>
      <c r="F2377" s="1">
        <v>44371</v>
      </c>
      <c r="G2377" t="s">
        <v>2004</v>
      </c>
      <c r="H2377">
        <v>4</v>
      </c>
      <c r="I2377" s="12">
        <f>Table16[[#This Row],[price]]*Table16[[#This Row],[quantity]]</f>
        <v>300.08</v>
      </c>
    </row>
    <row r="2378" spans="1:9" x14ac:dyDescent="0.3">
      <c r="A2378" t="s">
        <v>4395</v>
      </c>
      <c r="B2378" t="s">
        <v>465</v>
      </c>
      <c r="C2378" t="s">
        <v>2015</v>
      </c>
      <c r="D2378">
        <v>2</v>
      </c>
      <c r="E2378" s="16">
        <v>1200.3399999999999</v>
      </c>
      <c r="F2378" s="1">
        <v>44381</v>
      </c>
      <c r="G2378" t="s">
        <v>2058</v>
      </c>
      <c r="H2378">
        <v>5</v>
      </c>
      <c r="I2378" s="12">
        <f>Table16[[#This Row],[price]]*Table16[[#This Row],[quantity]]</f>
        <v>2400.6799999999998</v>
      </c>
    </row>
    <row r="2379" spans="1:9" x14ac:dyDescent="0.3">
      <c r="A2379" t="s">
        <v>4396</v>
      </c>
      <c r="B2379" t="s">
        <v>465</v>
      </c>
      <c r="C2379" t="s">
        <v>2001</v>
      </c>
      <c r="D2379">
        <v>5</v>
      </c>
      <c r="E2379" s="16">
        <v>1500.4</v>
      </c>
      <c r="F2379" s="1">
        <v>44404</v>
      </c>
      <c r="G2379" t="s">
        <v>2004</v>
      </c>
      <c r="H2379">
        <v>5</v>
      </c>
      <c r="I2379" s="12">
        <f>Table16[[#This Row],[price]]*Table16[[#This Row],[quantity]]</f>
        <v>7502</v>
      </c>
    </row>
    <row r="2380" spans="1:9" x14ac:dyDescent="0.3">
      <c r="A2380" t="s">
        <v>4394</v>
      </c>
      <c r="B2380" t="s">
        <v>465</v>
      </c>
      <c r="C2380" t="s">
        <v>2015</v>
      </c>
      <c r="D2380">
        <v>3</v>
      </c>
      <c r="E2380" s="16">
        <v>1800.51</v>
      </c>
      <c r="F2380" s="1">
        <v>44406</v>
      </c>
      <c r="G2380" t="s">
        <v>2009</v>
      </c>
      <c r="H2380">
        <v>4</v>
      </c>
      <c r="I2380" s="12">
        <f>Table16[[#This Row],[price]]*Table16[[#This Row],[quantity]]</f>
        <v>5401.53</v>
      </c>
    </row>
    <row r="2381" spans="1:9" x14ac:dyDescent="0.3">
      <c r="A2381" t="s">
        <v>4397</v>
      </c>
      <c r="B2381" t="s">
        <v>465</v>
      </c>
      <c r="C2381" t="s">
        <v>2001</v>
      </c>
      <c r="D2381">
        <v>3</v>
      </c>
      <c r="E2381" s="16">
        <v>900.24</v>
      </c>
      <c r="F2381" s="1">
        <v>44858</v>
      </c>
      <c r="G2381" t="s">
        <v>2041</v>
      </c>
      <c r="H2381">
        <v>4</v>
      </c>
      <c r="I2381" s="12">
        <f>Table16[[#This Row],[price]]*Table16[[#This Row],[quantity]]</f>
        <v>2700.7200000000003</v>
      </c>
    </row>
    <row r="2382" spans="1:9" x14ac:dyDescent="0.3">
      <c r="A2382" t="s">
        <v>4393</v>
      </c>
      <c r="B2382" t="s">
        <v>465</v>
      </c>
      <c r="C2382" t="s">
        <v>2001</v>
      </c>
      <c r="D2382">
        <v>4</v>
      </c>
      <c r="E2382" s="16">
        <v>1200.32</v>
      </c>
      <c r="F2382" s="1">
        <v>44934</v>
      </c>
      <c r="G2382" t="s">
        <v>2002</v>
      </c>
      <c r="H2382">
        <v>4</v>
      </c>
      <c r="I2382" s="12">
        <f>Table16[[#This Row],[price]]*Table16[[#This Row],[quantity]]</f>
        <v>4801.28</v>
      </c>
    </row>
    <row r="2383" spans="1:9" x14ac:dyDescent="0.3">
      <c r="A2383" t="s">
        <v>4400</v>
      </c>
      <c r="B2383" t="s">
        <v>466</v>
      </c>
      <c r="C2383" t="s">
        <v>2011</v>
      </c>
      <c r="D2383">
        <v>3</v>
      </c>
      <c r="E2383" s="16">
        <v>121.98</v>
      </c>
      <c r="F2383" s="1">
        <v>44247</v>
      </c>
      <c r="G2383" t="s">
        <v>2058</v>
      </c>
      <c r="H2383">
        <v>1</v>
      </c>
      <c r="I2383" s="12">
        <f>Table16[[#This Row],[price]]*Table16[[#This Row],[quantity]]</f>
        <v>365.94</v>
      </c>
    </row>
    <row r="2384" spans="1:9" x14ac:dyDescent="0.3">
      <c r="A2384" t="s">
        <v>4402</v>
      </c>
      <c r="B2384" t="s">
        <v>466</v>
      </c>
      <c r="C2384" t="s">
        <v>2011</v>
      </c>
      <c r="D2384">
        <v>4</v>
      </c>
      <c r="E2384" s="16">
        <v>162.63999999999999</v>
      </c>
      <c r="F2384" s="1">
        <v>44367</v>
      </c>
      <c r="G2384" t="s">
        <v>2004</v>
      </c>
      <c r="H2384">
        <v>3</v>
      </c>
      <c r="I2384" s="12">
        <f>Table16[[#This Row],[price]]*Table16[[#This Row],[quantity]]</f>
        <v>650.55999999999995</v>
      </c>
    </row>
    <row r="2385" spans="1:9" x14ac:dyDescent="0.3">
      <c r="A2385" t="s">
        <v>4403</v>
      </c>
      <c r="B2385" t="s">
        <v>466</v>
      </c>
      <c r="C2385" t="s">
        <v>2024</v>
      </c>
      <c r="D2385">
        <v>1</v>
      </c>
      <c r="E2385" s="16">
        <v>35.840000000000003</v>
      </c>
      <c r="F2385" s="1">
        <v>44506</v>
      </c>
      <c r="G2385" t="s">
        <v>2012</v>
      </c>
      <c r="H2385">
        <v>5</v>
      </c>
      <c r="I2385" s="12">
        <f>Table16[[#This Row],[price]]*Table16[[#This Row],[quantity]]</f>
        <v>35.840000000000003</v>
      </c>
    </row>
    <row r="2386" spans="1:9" x14ac:dyDescent="0.3">
      <c r="A2386" t="s">
        <v>4404</v>
      </c>
      <c r="B2386" t="s">
        <v>466</v>
      </c>
      <c r="C2386" t="s">
        <v>2017</v>
      </c>
      <c r="D2386">
        <v>5</v>
      </c>
      <c r="E2386" s="16">
        <v>5250</v>
      </c>
      <c r="F2386" s="1">
        <v>44580</v>
      </c>
      <c r="G2386" t="s">
        <v>2012</v>
      </c>
      <c r="H2386">
        <v>2</v>
      </c>
      <c r="I2386" s="12">
        <f>Table16[[#This Row],[price]]*Table16[[#This Row],[quantity]]</f>
        <v>26250</v>
      </c>
    </row>
    <row r="2387" spans="1:9" x14ac:dyDescent="0.3">
      <c r="A2387" t="s">
        <v>4401</v>
      </c>
      <c r="B2387" t="s">
        <v>466</v>
      </c>
      <c r="C2387" t="s">
        <v>2001</v>
      </c>
      <c r="D2387">
        <v>2</v>
      </c>
      <c r="E2387" s="16">
        <v>600.16</v>
      </c>
      <c r="F2387" s="1">
        <v>44782</v>
      </c>
      <c r="G2387" t="s">
        <v>2020</v>
      </c>
      <c r="H2387">
        <v>3</v>
      </c>
      <c r="I2387" s="12">
        <f>Table16[[#This Row],[price]]*Table16[[#This Row],[quantity]]</f>
        <v>1200.32</v>
      </c>
    </row>
    <row r="2388" spans="1:9" x14ac:dyDescent="0.3">
      <c r="A2388" t="s">
        <v>4399</v>
      </c>
      <c r="B2388" t="s">
        <v>466</v>
      </c>
      <c r="C2388" t="s">
        <v>2011</v>
      </c>
      <c r="D2388">
        <v>2</v>
      </c>
      <c r="E2388" s="16">
        <v>81.319999999999993</v>
      </c>
      <c r="F2388" s="1">
        <v>44914</v>
      </c>
      <c r="G2388" t="s">
        <v>2020</v>
      </c>
      <c r="H2388">
        <v>1</v>
      </c>
      <c r="I2388" s="12">
        <f>Table16[[#This Row],[price]]*Table16[[#This Row],[quantity]]</f>
        <v>162.63999999999999</v>
      </c>
    </row>
    <row r="2389" spans="1:9" x14ac:dyDescent="0.3">
      <c r="A2389" t="s">
        <v>4405</v>
      </c>
      <c r="B2389" t="s">
        <v>467</v>
      </c>
      <c r="C2389" t="s">
        <v>2011</v>
      </c>
      <c r="D2389">
        <v>2</v>
      </c>
      <c r="E2389" s="16">
        <v>81.319999999999993</v>
      </c>
      <c r="F2389" s="1">
        <v>44200</v>
      </c>
      <c r="G2389" t="s">
        <v>2020</v>
      </c>
      <c r="H2389">
        <v>1</v>
      </c>
      <c r="I2389" s="12">
        <f>Table16[[#This Row],[price]]*Table16[[#This Row],[quantity]]</f>
        <v>162.63999999999999</v>
      </c>
    </row>
    <row r="2390" spans="1:9" x14ac:dyDescent="0.3">
      <c r="A2390" t="s">
        <v>4407</v>
      </c>
      <c r="B2390" t="s">
        <v>467</v>
      </c>
      <c r="C2390" t="s">
        <v>2001</v>
      </c>
      <c r="D2390">
        <v>1</v>
      </c>
      <c r="E2390" s="16">
        <v>300.08</v>
      </c>
      <c r="F2390" s="1">
        <v>44236</v>
      </c>
      <c r="G2390" t="s">
        <v>2018</v>
      </c>
      <c r="H2390">
        <v>2</v>
      </c>
      <c r="I2390" s="12">
        <f>Table16[[#This Row],[price]]*Table16[[#This Row],[quantity]]</f>
        <v>300.08</v>
      </c>
    </row>
    <row r="2391" spans="1:9" x14ac:dyDescent="0.3">
      <c r="A2391" t="s">
        <v>4408</v>
      </c>
      <c r="B2391" t="s">
        <v>467</v>
      </c>
      <c r="C2391" t="s">
        <v>2024</v>
      </c>
      <c r="D2391">
        <v>4</v>
      </c>
      <c r="E2391" s="16">
        <v>143.36000000000001</v>
      </c>
      <c r="F2391" s="1">
        <v>44435</v>
      </c>
      <c r="G2391" t="s">
        <v>2002</v>
      </c>
      <c r="H2391">
        <v>2</v>
      </c>
      <c r="I2391" s="12">
        <f>Table16[[#This Row],[price]]*Table16[[#This Row],[quantity]]</f>
        <v>573.44000000000005</v>
      </c>
    </row>
    <row r="2392" spans="1:9" x14ac:dyDescent="0.3">
      <c r="A2392" t="s">
        <v>4410</v>
      </c>
      <c r="B2392" t="s">
        <v>467</v>
      </c>
      <c r="C2392" t="s">
        <v>2006</v>
      </c>
      <c r="D2392">
        <v>4</v>
      </c>
      <c r="E2392" s="16">
        <v>60.6</v>
      </c>
      <c r="F2392" s="1">
        <v>44627</v>
      </c>
      <c r="G2392" t="s">
        <v>2064</v>
      </c>
      <c r="H2392">
        <v>1</v>
      </c>
      <c r="I2392" s="12">
        <f>Table16[[#This Row],[price]]*Table16[[#This Row],[quantity]]</f>
        <v>242.4</v>
      </c>
    </row>
    <row r="2393" spans="1:9" x14ac:dyDescent="0.3">
      <c r="A2393" t="s">
        <v>4409</v>
      </c>
      <c r="B2393" t="s">
        <v>467</v>
      </c>
      <c r="C2393" t="s">
        <v>2015</v>
      </c>
      <c r="D2393">
        <v>3</v>
      </c>
      <c r="E2393" s="16">
        <v>1800.51</v>
      </c>
      <c r="F2393" s="1">
        <v>44847</v>
      </c>
      <c r="G2393" t="s">
        <v>2002</v>
      </c>
      <c r="H2393">
        <v>3</v>
      </c>
      <c r="I2393" s="12">
        <f>Table16[[#This Row],[price]]*Table16[[#This Row],[quantity]]</f>
        <v>5401.53</v>
      </c>
    </row>
    <row r="2394" spans="1:9" x14ac:dyDescent="0.3">
      <c r="A2394" t="s">
        <v>4406</v>
      </c>
      <c r="B2394" t="s">
        <v>467</v>
      </c>
      <c r="C2394" t="s">
        <v>2006</v>
      </c>
      <c r="D2394">
        <v>2</v>
      </c>
      <c r="E2394" s="16">
        <v>30.3</v>
      </c>
      <c r="F2394" s="1">
        <v>44887</v>
      </c>
      <c r="G2394" t="s">
        <v>2004</v>
      </c>
      <c r="H2394">
        <v>5</v>
      </c>
      <c r="I2394" s="12">
        <f>Table16[[#This Row],[price]]*Table16[[#This Row],[quantity]]</f>
        <v>60.6</v>
      </c>
    </row>
    <row r="2395" spans="1:9" x14ac:dyDescent="0.3">
      <c r="A2395" t="s">
        <v>4412</v>
      </c>
      <c r="B2395" t="s">
        <v>468</v>
      </c>
      <c r="C2395" t="s">
        <v>2001</v>
      </c>
      <c r="D2395">
        <v>4</v>
      </c>
      <c r="E2395" s="16">
        <v>1200.32</v>
      </c>
      <c r="F2395" s="1">
        <v>44266</v>
      </c>
      <c r="G2395" t="s">
        <v>2058</v>
      </c>
      <c r="H2395">
        <v>1</v>
      </c>
      <c r="I2395" s="12">
        <f>Table16[[#This Row],[price]]*Table16[[#This Row],[quantity]]</f>
        <v>4801.28</v>
      </c>
    </row>
    <row r="2396" spans="1:9" x14ac:dyDescent="0.3">
      <c r="A2396" t="s">
        <v>4411</v>
      </c>
      <c r="B2396" t="s">
        <v>468</v>
      </c>
      <c r="C2396" t="s">
        <v>2001</v>
      </c>
      <c r="D2396">
        <v>1</v>
      </c>
      <c r="E2396" s="16">
        <v>300.08</v>
      </c>
      <c r="F2396" s="1">
        <v>44601</v>
      </c>
      <c r="G2396" t="s">
        <v>2064</v>
      </c>
      <c r="H2396">
        <v>4</v>
      </c>
      <c r="I2396" s="12">
        <f>Table16[[#This Row],[price]]*Table16[[#This Row],[quantity]]</f>
        <v>300.08</v>
      </c>
    </row>
    <row r="2397" spans="1:9" x14ac:dyDescent="0.3">
      <c r="A2397" t="s">
        <v>4415</v>
      </c>
      <c r="B2397" t="s">
        <v>468</v>
      </c>
      <c r="C2397" t="s">
        <v>2011</v>
      </c>
      <c r="D2397">
        <v>2</v>
      </c>
      <c r="E2397" s="16">
        <v>81.319999999999993</v>
      </c>
      <c r="F2397" s="1">
        <v>44605</v>
      </c>
      <c r="G2397" t="s">
        <v>2004</v>
      </c>
      <c r="H2397">
        <v>5</v>
      </c>
      <c r="I2397" s="12">
        <f>Table16[[#This Row],[price]]*Table16[[#This Row],[quantity]]</f>
        <v>162.63999999999999</v>
      </c>
    </row>
    <row r="2398" spans="1:9" x14ac:dyDescent="0.3">
      <c r="A2398" t="s">
        <v>4413</v>
      </c>
      <c r="B2398" t="s">
        <v>468</v>
      </c>
      <c r="C2398" t="s">
        <v>2011</v>
      </c>
      <c r="D2398">
        <v>4</v>
      </c>
      <c r="E2398" s="16">
        <v>162.63999999999999</v>
      </c>
      <c r="F2398" s="1">
        <v>44622</v>
      </c>
      <c r="G2398" t="s">
        <v>2064</v>
      </c>
      <c r="H2398">
        <v>1</v>
      </c>
      <c r="I2398" s="12">
        <f>Table16[[#This Row],[price]]*Table16[[#This Row],[quantity]]</f>
        <v>650.55999999999995</v>
      </c>
    </row>
    <row r="2399" spans="1:9" x14ac:dyDescent="0.3">
      <c r="A2399" t="s">
        <v>4414</v>
      </c>
      <c r="B2399" t="s">
        <v>468</v>
      </c>
      <c r="C2399" t="s">
        <v>2001</v>
      </c>
      <c r="D2399">
        <v>5</v>
      </c>
      <c r="E2399" s="16">
        <v>1500.4</v>
      </c>
      <c r="F2399" s="1">
        <v>44701</v>
      </c>
      <c r="G2399" t="s">
        <v>2004</v>
      </c>
      <c r="H2399">
        <v>1</v>
      </c>
      <c r="I2399" s="12">
        <f>Table16[[#This Row],[price]]*Table16[[#This Row],[quantity]]</f>
        <v>7502</v>
      </c>
    </row>
    <row r="2400" spans="1:9" x14ac:dyDescent="0.3">
      <c r="A2400" t="s">
        <v>4418</v>
      </c>
      <c r="B2400" t="s">
        <v>468</v>
      </c>
      <c r="C2400" t="s">
        <v>2017</v>
      </c>
      <c r="D2400">
        <v>2</v>
      </c>
      <c r="E2400" s="16">
        <v>2100</v>
      </c>
      <c r="F2400" s="1">
        <v>44800</v>
      </c>
      <c r="G2400" t="s">
        <v>2041</v>
      </c>
      <c r="H2400">
        <v>5</v>
      </c>
      <c r="I2400" s="12">
        <f>Table16[[#This Row],[price]]*Table16[[#This Row],[quantity]]</f>
        <v>4200</v>
      </c>
    </row>
    <row r="2401" spans="1:9" x14ac:dyDescent="0.3">
      <c r="A2401" t="s">
        <v>4417</v>
      </c>
      <c r="B2401" t="s">
        <v>468</v>
      </c>
      <c r="C2401" t="s">
        <v>2011</v>
      </c>
      <c r="D2401">
        <v>1</v>
      </c>
      <c r="E2401" s="16">
        <v>40.659999999999997</v>
      </c>
      <c r="F2401" s="1">
        <v>44856</v>
      </c>
      <c r="G2401" t="s">
        <v>2004</v>
      </c>
      <c r="H2401">
        <v>1</v>
      </c>
      <c r="I2401" s="12">
        <f>Table16[[#This Row],[price]]*Table16[[#This Row],[quantity]]</f>
        <v>40.659999999999997</v>
      </c>
    </row>
    <row r="2402" spans="1:9" x14ac:dyDescent="0.3">
      <c r="A2402" t="s">
        <v>4416</v>
      </c>
      <c r="B2402" t="s">
        <v>468</v>
      </c>
      <c r="C2402" t="s">
        <v>2011</v>
      </c>
      <c r="D2402">
        <v>3</v>
      </c>
      <c r="E2402" s="16">
        <v>121.98</v>
      </c>
      <c r="F2402" s="1">
        <v>44877</v>
      </c>
      <c r="G2402" t="s">
        <v>2002</v>
      </c>
      <c r="H2402">
        <v>5</v>
      </c>
      <c r="I2402" s="12">
        <f>Table16[[#This Row],[price]]*Table16[[#This Row],[quantity]]</f>
        <v>365.94</v>
      </c>
    </row>
    <row r="2403" spans="1:9" x14ac:dyDescent="0.3">
      <c r="A2403" t="s">
        <v>4420</v>
      </c>
      <c r="B2403" t="s">
        <v>469</v>
      </c>
      <c r="C2403" t="s">
        <v>2017</v>
      </c>
      <c r="D2403">
        <v>5</v>
      </c>
      <c r="E2403" s="16">
        <v>5250</v>
      </c>
      <c r="F2403" s="1">
        <v>44206</v>
      </c>
      <c r="G2403" t="s">
        <v>2004</v>
      </c>
      <c r="H2403">
        <v>5</v>
      </c>
      <c r="I2403" s="12">
        <f>Table16[[#This Row],[price]]*Table16[[#This Row],[quantity]]</f>
        <v>26250</v>
      </c>
    </row>
    <row r="2404" spans="1:9" x14ac:dyDescent="0.3">
      <c r="A2404" t="s">
        <v>4421</v>
      </c>
      <c r="B2404" t="s">
        <v>469</v>
      </c>
      <c r="C2404" t="s">
        <v>2001</v>
      </c>
      <c r="D2404">
        <v>1</v>
      </c>
      <c r="E2404" s="16">
        <v>300.08</v>
      </c>
      <c r="F2404" s="1">
        <v>44547</v>
      </c>
      <c r="G2404" t="s">
        <v>2012</v>
      </c>
      <c r="H2404">
        <v>1</v>
      </c>
      <c r="I2404" s="12">
        <f>Table16[[#This Row],[price]]*Table16[[#This Row],[quantity]]</f>
        <v>300.08</v>
      </c>
    </row>
    <row r="2405" spans="1:9" x14ac:dyDescent="0.3">
      <c r="A2405" t="s">
        <v>4419</v>
      </c>
      <c r="B2405" t="s">
        <v>469</v>
      </c>
      <c r="C2405" t="s">
        <v>2011</v>
      </c>
      <c r="D2405">
        <v>5</v>
      </c>
      <c r="E2405" s="16">
        <v>203.3</v>
      </c>
      <c r="F2405" s="1">
        <v>44886</v>
      </c>
      <c r="G2405" t="s">
        <v>2004</v>
      </c>
      <c r="H2405">
        <v>3</v>
      </c>
      <c r="I2405" s="12">
        <f>Table16[[#This Row],[price]]*Table16[[#This Row],[quantity]]</f>
        <v>1016.5</v>
      </c>
    </row>
    <row r="2406" spans="1:9" x14ac:dyDescent="0.3">
      <c r="A2406" t="s">
        <v>4423</v>
      </c>
      <c r="B2406" t="s">
        <v>470</v>
      </c>
      <c r="C2406" t="s">
        <v>2017</v>
      </c>
      <c r="D2406">
        <v>5</v>
      </c>
      <c r="E2406" s="16">
        <v>5250</v>
      </c>
      <c r="F2406" s="1">
        <v>44208</v>
      </c>
      <c r="G2406" t="s">
        <v>2027</v>
      </c>
      <c r="H2406">
        <v>2</v>
      </c>
      <c r="I2406" s="12">
        <f>Table16[[#This Row],[price]]*Table16[[#This Row],[quantity]]</f>
        <v>26250</v>
      </c>
    </row>
    <row r="2407" spans="1:9" x14ac:dyDescent="0.3">
      <c r="A2407" t="s">
        <v>4426</v>
      </c>
      <c r="B2407" t="s">
        <v>470</v>
      </c>
      <c r="C2407" t="s">
        <v>2001</v>
      </c>
      <c r="D2407">
        <v>3</v>
      </c>
      <c r="E2407" s="16">
        <v>900.24</v>
      </c>
      <c r="F2407" s="1">
        <v>44324</v>
      </c>
      <c r="G2407" t="s">
        <v>2004</v>
      </c>
      <c r="H2407">
        <v>3</v>
      </c>
      <c r="I2407" s="12">
        <f>Table16[[#This Row],[price]]*Table16[[#This Row],[quantity]]</f>
        <v>2700.7200000000003</v>
      </c>
    </row>
    <row r="2408" spans="1:9" x14ac:dyDescent="0.3">
      <c r="A2408" t="s">
        <v>4427</v>
      </c>
      <c r="B2408" t="s">
        <v>470</v>
      </c>
      <c r="C2408" t="s">
        <v>2001</v>
      </c>
      <c r="D2408">
        <v>5</v>
      </c>
      <c r="E2408" s="16">
        <v>1500.4</v>
      </c>
      <c r="F2408" s="1">
        <v>44373</v>
      </c>
      <c r="G2408" t="s">
        <v>2018</v>
      </c>
      <c r="H2408">
        <v>2</v>
      </c>
      <c r="I2408" s="12">
        <f>Table16[[#This Row],[price]]*Table16[[#This Row],[quantity]]</f>
        <v>7502</v>
      </c>
    </row>
    <row r="2409" spans="1:9" x14ac:dyDescent="0.3">
      <c r="A2409" t="s">
        <v>4425</v>
      </c>
      <c r="B2409" t="s">
        <v>470</v>
      </c>
      <c r="C2409" t="s">
        <v>2015</v>
      </c>
      <c r="D2409">
        <v>4</v>
      </c>
      <c r="E2409" s="16">
        <v>2400.6799999999998</v>
      </c>
      <c r="F2409" s="1">
        <v>44655</v>
      </c>
      <c r="G2409" t="s">
        <v>2064</v>
      </c>
      <c r="H2409">
        <v>2</v>
      </c>
      <c r="I2409" s="12">
        <f>Table16[[#This Row],[price]]*Table16[[#This Row],[quantity]]</f>
        <v>9602.7199999999993</v>
      </c>
    </row>
    <row r="2410" spans="1:9" x14ac:dyDescent="0.3">
      <c r="A2410" t="s">
        <v>4424</v>
      </c>
      <c r="B2410" t="s">
        <v>470</v>
      </c>
      <c r="C2410" t="s">
        <v>2011</v>
      </c>
      <c r="D2410">
        <v>4</v>
      </c>
      <c r="E2410" s="16">
        <v>162.63999999999999</v>
      </c>
      <c r="F2410" s="1">
        <v>44797</v>
      </c>
      <c r="G2410" t="s">
        <v>2027</v>
      </c>
      <c r="H2410">
        <v>2</v>
      </c>
      <c r="I2410" s="12">
        <f>Table16[[#This Row],[price]]*Table16[[#This Row],[quantity]]</f>
        <v>650.55999999999995</v>
      </c>
    </row>
    <row r="2411" spans="1:9" x14ac:dyDescent="0.3">
      <c r="A2411" t="s">
        <v>4428</v>
      </c>
      <c r="B2411" t="s">
        <v>470</v>
      </c>
      <c r="C2411" t="s">
        <v>2024</v>
      </c>
      <c r="D2411">
        <v>1</v>
      </c>
      <c r="E2411" s="16">
        <v>35.840000000000003</v>
      </c>
      <c r="F2411" s="1">
        <v>44843</v>
      </c>
      <c r="G2411" t="s">
        <v>2064</v>
      </c>
      <c r="H2411">
        <v>1</v>
      </c>
      <c r="I2411" s="12">
        <f>Table16[[#This Row],[price]]*Table16[[#This Row],[quantity]]</f>
        <v>35.840000000000003</v>
      </c>
    </row>
    <row r="2412" spans="1:9" x14ac:dyDescent="0.3">
      <c r="A2412" t="s">
        <v>4422</v>
      </c>
      <c r="B2412" t="s">
        <v>470</v>
      </c>
      <c r="C2412" t="s">
        <v>2011</v>
      </c>
      <c r="D2412">
        <v>3</v>
      </c>
      <c r="E2412" s="16">
        <v>121.98</v>
      </c>
      <c r="F2412" s="1">
        <v>44857</v>
      </c>
      <c r="G2412" t="s">
        <v>2004</v>
      </c>
      <c r="H2412">
        <v>1</v>
      </c>
      <c r="I2412" s="12">
        <f>Table16[[#This Row],[price]]*Table16[[#This Row],[quantity]]</f>
        <v>365.94</v>
      </c>
    </row>
    <row r="2413" spans="1:9" x14ac:dyDescent="0.3">
      <c r="A2413" t="s">
        <v>4429</v>
      </c>
      <c r="B2413" t="s">
        <v>471</v>
      </c>
      <c r="C2413" t="s">
        <v>2011</v>
      </c>
      <c r="D2413">
        <v>3</v>
      </c>
      <c r="E2413" s="16">
        <v>121.98</v>
      </c>
      <c r="F2413" s="1">
        <v>44308</v>
      </c>
      <c r="G2413" t="s">
        <v>2027</v>
      </c>
      <c r="H2413">
        <v>5</v>
      </c>
      <c r="I2413" s="12">
        <f>Table16[[#This Row],[price]]*Table16[[#This Row],[quantity]]</f>
        <v>365.94</v>
      </c>
    </row>
    <row r="2414" spans="1:9" x14ac:dyDescent="0.3">
      <c r="A2414" t="s">
        <v>4430</v>
      </c>
      <c r="B2414" t="s">
        <v>471</v>
      </c>
      <c r="C2414" t="s">
        <v>2057</v>
      </c>
      <c r="D2414">
        <v>5</v>
      </c>
      <c r="E2414" s="16">
        <v>58.65</v>
      </c>
      <c r="F2414" s="1">
        <v>44406</v>
      </c>
      <c r="G2414" t="s">
        <v>2004</v>
      </c>
      <c r="H2414">
        <v>1</v>
      </c>
      <c r="I2414" s="12">
        <f>Table16[[#This Row],[price]]*Table16[[#This Row],[quantity]]</f>
        <v>293.25</v>
      </c>
    </row>
    <row r="2415" spans="1:9" x14ac:dyDescent="0.3">
      <c r="A2415" t="s">
        <v>4432</v>
      </c>
      <c r="B2415" t="s">
        <v>471</v>
      </c>
      <c r="C2415" t="s">
        <v>2006</v>
      </c>
      <c r="D2415">
        <v>3</v>
      </c>
      <c r="E2415" s="16">
        <v>45.45</v>
      </c>
      <c r="F2415" s="1">
        <v>44591</v>
      </c>
      <c r="G2415" t="s">
        <v>2004</v>
      </c>
      <c r="H2415">
        <v>2</v>
      </c>
      <c r="I2415" s="12">
        <f>Table16[[#This Row],[price]]*Table16[[#This Row],[quantity]]</f>
        <v>136.35000000000002</v>
      </c>
    </row>
    <row r="2416" spans="1:9" x14ac:dyDescent="0.3">
      <c r="A2416" t="s">
        <v>4431</v>
      </c>
      <c r="B2416" t="s">
        <v>471</v>
      </c>
      <c r="C2416" t="s">
        <v>2008</v>
      </c>
      <c r="D2416">
        <v>4</v>
      </c>
      <c r="E2416" s="16">
        <v>20.92</v>
      </c>
      <c r="F2416" s="1">
        <v>44665</v>
      </c>
      <c r="G2416" t="s">
        <v>2027</v>
      </c>
      <c r="H2416">
        <v>5</v>
      </c>
      <c r="I2416" s="12">
        <f>Table16[[#This Row],[price]]*Table16[[#This Row],[quantity]]</f>
        <v>83.68</v>
      </c>
    </row>
    <row r="2417" spans="1:9" x14ac:dyDescent="0.3">
      <c r="A2417" t="s">
        <v>4435</v>
      </c>
      <c r="B2417" t="s">
        <v>472</v>
      </c>
      <c r="C2417" t="s">
        <v>2001</v>
      </c>
      <c r="D2417">
        <v>1</v>
      </c>
      <c r="E2417" s="16">
        <v>300.08</v>
      </c>
      <c r="F2417" s="1">
        <v>44556</v>
      </c>
      <c r="G2417" t="s">
        <v>2020</v>
      </c>
      <c r="H2417">
        <v>3</v>
      </c>
      <c r="I2417" s="12">
        <f>Table16[[#This Row],[price]]*Table16[[#This Row],[quantity]]</f>
        <v>300.08</v>
      </c>
    </row>
    <row r="2418" spans="1:9" x14ac:dyDescent="0.3">
      <c r="A2418" t="s">
        <v>4433</v>
      </c>
      <c r="B2418" t="s">
        <v>472</v>
      </c>
      <c r="C2418" t="s">
        <v>2011</v>
      </c>
      <c r="D2418">
        <v>1</v>
      </c>
      <c r="E2418" s="16">
        <v>40.659999999999997</v>
      </c>
      <c r="F2418" s="1">
        <v>44918</v>
      </c>
      <c r="G2418" t="s">
        <v>2004</v>
      </c>
      <c r="H2418">
        <v>2</v>
      </c>
      <c r="I2418" s="12">
        <f>Table16[[#This Row],[price]]*Table16[[#This Row],[quantity]]</f>
        <v>40.659999999999997</v>
      </c>
    </row>
    <row r="2419" spans="1:9" x14ac:dyDescent="0.3">
      <c r="A2419" t="s">
        <v>4434</v>
      </c>
      <c r="B2419" t="s">
        <v>472</v>
      </c>
      <c r="C2419" t="s">
        <v>2001</v>
      </c>
      <c r="D2419">
        <v>1</v>
      </c>
      <c r="E2419" s="16">
        <v>300.08</v>
      </c>
      <c r="F2419" s="1">
        <v>44942</v>
      </c>
      <c r="G2419" t="s">
        <v>2018</v>
      </c>
      <c r="H2419">
        <v>5</v>
      </c>
      <c r="I2419" s="12">
        <f>Table16[[#This Row],[price]]*Table16[[#This Row],[quantity]]</f>
        <v>300.08</v>
      </c>
    </row>
    <row r="2420" spans="1:9" x14ac:dyDescent="0.3">
      <c r="A2420" t="s">
        <v>4438</v>
      </c>
      <c r="B2420" t="s">
        <v>473</v>
      </c>
      <c r="C2420" t="s">
        <v>2017</v>
      </c>
      <c r="D2420">
        <v>5</v>
      </c>
      <c r="E2420" s="16">
        <v>5250</v>
      </c>
      <c r="F2420" s="1">
        <v>44307</v>
      </c>
      <c r="G2420" t="s">
        <v>2009</v>
      </c>
      <c r="H2420">
        <v>3</v>
      </c>
      <c r="I2420" s="12">
        <f>Table16[[#This Row],[price]]*Table16[[#This Row],[quantity]]</f>
        <v>26250</v>
      </c>
    </row>
    <row r="2421" spans="1:9" x14ac:dyDescent="0.3">
      <c r="A2421" t="s">
        <v>4437</v>
      </c>
      <c r="B2421" t="s">
        <v>473</v>
      </c>
      <c r="C2421" t="s">
        <v>2015</v>
      </c>
      <c r="D2421">
        <v>3</v>
      </c>
      <c r="E2421" s="16">
        <v>1800.51</v>
      </c>
      <c r="F2421" s="1">
        <v>44364</v>
      </c>
      <c r="G2421" t="s">
        <v>2064</v>
      </c>
      <c r="H2421">
        <v>2</v>
      </c>
      <c r="I2421" s="12">
        <f>Table16[[#This Row],[price]]*Table16[[#This Row],[quantity]]</f>
        <v>5401.53</v>
      </c>
    </row>
    <row r="2422" spans="1:9" x14ac:dyDescent="0.3">
      <c r="A2422" t="s">
        <v>4440</v>
      </c>
      <c r="B2422" t="s">
        <v>473</v>
      </c>
      <c r="C2422" t="s">
        <v>2001</v>
      </c>
      <c r="D2422">
        <v>3</v>
      </c>
      <c r="E2422" s="16">
        <v>900.24</v>
      </c>
      <c r="F2422" s="1">
        <v>44600</v>
      </c>
      <c r="G2422" t="s">
        <v>2004</v>
      </c>
      <c r="H2422">
        <v>5</v>
      </c>
      <c r="I2422" s="12">
        <f>Table16[[#This Row],[price]]*Table16[[#This Row],[quantity]]</f>
        <v>2700.7200000000003</v>
      </c>
    </row>
    <row r="2423" spans="1:9" x14ac:dyDescent="0.3">
      <c r="A2423" t="s">
        <v>4436</v>
      </c>
      <c r="B2423" t="s">
        <v>473</v>
      </c>
      <c r="C2423" t="s">
        <v>2057</v>
      </c>
      <c r="D2423">
        <v>2</v>
      </c>
      <c r="E2423" s="16">
        <v>23.46</v>
      </c>
      <c r="F2423" s="1">
        <v>44612</v>
      </c>
      <c r="G2423" t="s">
        <v>2002</v>
      </c>
      <c r="H2423">
        <v>2</v>
      </c>
      <c r="I2423" s="12">
        <f>Table16[[#This Row],[price]]*Table16[[#This Row],[quantity]]</f>
        <v>46.92</v>
      </c>
    </row>
    <row r="2424" spans="1:9" x14ac:dyDescent="0.3">
      <c r="A2424" t="s">
        <v>4439</v>
      </c>
      <c r="B2424" t="s">
        <v>473</v>
      </c>
      <c r="C2424" t="s">
        <v>2011</v>
      </c>
      <c r="D2424">
        <v>1</v>
      </c>
      <c r="E2424" s="16">
        <v>40.659999999999997</v>
      </c>
      <c r="F2424" s="1">
        <v>44765</v>
      </c>
      <c r="G2424" t="s">
        <v>2020</v>
      </c>
      <c r="H2424">
        <v>3</v>
      </c>
      <c r="I2424" s="12">
        <f>Table16[[#This Row],[price]]*Table16[[#This Row],[quantity]]</f>
        <v>40.659999999999997</v>
      </c>
    </row>
    <row r="2425" spans="1:9" x14ac:dyDescent="0.3">
      <c r="A2425" t="s">
        <v>4441</v>
      </c>
      <c r="B2425" t="s">
        <v>474</v>
      </c>
      <c r="C2425" t="s">
        <v>2015</v>
      </c>
      <c r="D2425">
        <v>5</v>
      </c>
      <c r="E2425" s="16">
        <v>3000.85</v>
      </c>
      <c r="F2425" s="1">
        <v>44411</v>
      </c>
      <c r="G2425" t="s">
        <v>2004</v>
      </c>
      <c r="H2425">
        <v>1</v>
      </c>
      <c r="I2425" s="12">
        <f>Table16[[#This Row],[price]]*Table16[[#This Row],[quantity]]</f>
        <v>15004.25</v>
      </c>
    </row>
    <row r="2426" spans="1:9" x14ac:dyDescent="0.3">
      <c r="A2426" t="s">
        <v>4443</v>
      </c>
      <c r="B2426" t="s">
        <v>474</v>
      </c>
      <c r="C2426" t="s">
        <v>2015</v>
      </c>
      <c r="D2426">
        <v>4</v>
      </c>
      <c r="E2426" s="16">
        <v>2400.6799999999998</v>
      </c>
      <c r="F2426" s="1">
        <v>44646</v>
      </c>
      <c r="G2426" t="s">
        <v>2027</v>
      </c>
      <c r="H2426">
        <v>3</v>
      </c>
      <c r="I2426" s="12">
        <f>Table16[[#This Row],[price]]*Table16[[#This Row],[quantity]]</f>
        <v>9602.7199999999993</v>
      </c>
    </row>
    <row r="2427" spans="1:9" x14ac:dyDescent="0.3">
      <c r="A2427" t="s">
        <v>4442</v>
      </c>
      <c r="B2427" t="s">
        <v>474</v>
      </c>
      <c r="C2427" t="s">
        <v>2001</v>
      </c>
      <c r="D2427">
        <v>3</v>
      </c>
      <c r="E2427" s="16">
        <v>900.24</v>
      </c>
      <c r="F2427" s="1">
        <v>44902</v>
      </c>
      <c r="G2427" t="s">
        <v>2027</v>
      </c>
      <c r="H2427">
        <v>2</v>
      </c>
      <c r="I2427" s="12">
        <f>Table16[[#This Row],[price]]*Table16[[#This Row],[quantity]]</f>
        <v>2700.7200000000003</v>
      </c>
    </row>
    <row r="2428" spans="1:9" x14ac:dyDescent="0.3">
      <c r="A2428" t="s">
        <v>4444</v>
      </c>
      <c r="B2428" t="s">
        <v>474</v>
      </c>
      <c r="C2428" t="s">
        <v>2001</v>
      </c>
      <c r="D2428">
        <v>1</v>
      </c>
      <c r="E2428" s="16">
        <v>300.08</v>
      </c>
      <c r="F2428" s="1">
        <v>44942</v>
      </c>
      <c r="G2428" t="s">
        <v>2012</v>
      </c>
      <c r="H2428">
        <v>5</v>
      </c>
      <c r="I2428" s="12">
        <f>Table16[[#This Row],[price]]*Table16[[#This Row],[quantity]]</f>
        <v>300.08</v>
      </c>
    </row>
    <row r="2429" spans="1:9" x14ac:dyDescent="0.3">
      <c r="A2429" t="s">
        <v>4450</v>
      </c>
      <c r="B2429" t="s">
        <v>475</v>
      </c>
      <c r="C2429" t="s">
        <v>2057</v>
      </c>
      <c r="D2429">
        <v>3</v>
      </c>
      <c r="E2429" s="16">
        <v>35.19</v>
      </c>
      <c r="F2429" s="1">
        <v>44218</v>
      </c>
      <c r="G2429" t="s">
        <v>2020</v>
      </c>
      <c r="H2429">
        <v>5</v>
      </c>
      <c r="I2429" s="12">
        <f>Table16[[#This Row],[price]]*Table16[[#This Row],[quantity]]</f>
        <v>105.57</v>
      </c>
    </row>
    <row r="2430" spans="1:9" x14ac:dyDescent="0.3">
      <c r="A2430" t="s">
        <v>4445</v>
      </c>
      <c r="B2430" t="s">
        <v>475</v>
      </c>
      <c r="C2430" t="s">
        <v>2015</v>
      </c>
      <c r="D2430">
        <v>1</v>
      </c>
      <c r="E2430" s="16">
        <v>600.16999999999996</v>
      </c>
      <c r="F2430" s="1">
        <v>44303</v>
      </c>
      <c r="G2430" t="s">
        <v>2027</v>
      </c>
      <c r="H2430">
        <v>1</v>
      </c>
      <c r="I2430" s="12">
        <f>Table16[[#This Row],[price]]*Table16[[#This Row],[quantity]]</f>
        <v>600.16999999999996</v>
      </c>
    </row>
    <row r="2431" spans="1:9" x14ac:dyDescent="0.3">
      <c r="A2431" t="s">
        <v>4449</v>
      </c>
      <c r="B2431" t="s">
        <v>475</v>
      </c>
      <c r="C2431" t="s">
        <v>2024</v>
      </c>
      <c r="D2431">
        <v>3</v>
      </c>
      <c r="E2431" s="16">
        <v>107.52</v>
      </c>
      <c r="F2431" s="1">
        <v>44454</v>
      </c>
      <c r="G2431" t="s">
        <v>2020</v>
      </c>
      <c r="H2431">
        <v>2</v>
      </c>
      <c r="I2431" s="12">
        <f>Table16[[#This Row],[price]]*Table16[[#This Row],[quantity]]</f>
        <v>322.56</v>
      </c>
    </row>
    <row r="2432" spans="1:9" x14ac:dyDescent="0.3">
      <c r="A2432" t="s">
        <v>4448</v>
      </c>
      <c r="B2432" t="s">
        <v>475</v>
      </c>
      <c r="C2432" t="s">
        <v>2011</v>
      </c>
      <c r="D2432">
        <v>5</v>
      </c>
      <c r="E2432" s="16">
        <v>203.3</v>
      </c>
      <c r="F2432" s="1">
        <v>44464</v>
      </c>
      <c r="G2432" t="s">
        <v>2002</v>
      </c>
      <c r="H2432">
        <v>2</v>
      </c>
      <c r="I2432" s="12">
        <f>Table16[[#This Row],[price]]*Table16[[#This Row],[quantity]]</f>
        <v>1016.5</v>
      </c>
    </row>
    <row r="2433" spans="1:9" x14ac:dyDescent="0.3">
      <c r="A2433" t="s">
        <v>4446</v>
      </c>
      <c r="B2433" t="s">
        <v>475</v>
      </c>
      <c r="C2433" t="s">
        <v>2001</v>
      </c>
      <c r="D2433">
        <v>3</v>
      </c>
      <c r="E2433" s="16">
        <v>900.24</v>
      </c>
      <c r="F2433" s="1">
        <v>44644</v>
      </c>
      <c r="G2433" t="s">
        <v>2018</v>
      </c>
      <c r="H2433">
        <v>4</v>
      </c>
      <c r="I2433" s="12">
        <f>Table16[[#This Row],[price]]*Table16[[#This Row],[quantity]]</f>
        <v>2700.7200000000003</v>
      </c>
    </row>
    <row r="2434" spans="1:9" x14ac:dyDescent="0.3">
      <c r="A2434" t="s">
        <v>4447</v>
      </c>
      <c r="B2434" t="s">
        <v>475</v>
      </c>
      <c r="C2434" t="s">
        <v>2011</v>
      </c>
      <c r="D2434">
        <v>4</v>
      </c>
      <c r="E2434" s="16">
        <v>162.63999999999999</v>
      </c>
      <c r="F2434" s="1">
        <v>44665</v>
      </c>
      <c r="G2434" t="s">
        <v>2004</v>
      </c>
      <c r="H2434">
        <v>3</v>
      </c>
      <c r="I2434" s="12">
        <f>Table16[[#This Row],[price]]*Table16[[#This Row],[quantity]]</f>
        <v>650.55999999999995</v>
      </c>
    </row>
    <row r="2435" spans="1:9" x14ac:dyDescent="0.3">
      <c r="A2435" t="s">
        <v>4453</v>
      </c>
      <c r="B2435" t="s">
        <v>476</v>
      </c>
      <c r="C2435" t="s">
        <v>2001</v>
      </c>
      <c r="D2435">
        <v>4</v>
      </c>
      <c r="E2435" s="16">
        <v>1200.32</v>
      </c>
      <c r="F2435" s="1">
        <v>44198</v>
      </c>
      <c r="G2435" t="s">
        <v>2002</v>
      </c>
      <c r="H2435">
        <v>5</v>
      </c>
      <c r="I2435" s="12">
        <f>Table16[[#This Row],[price]]*Table16[[#This Row],[quantity]]</f>
        <v>4801.28</v>
      </c>
    </row>
    <row r="2436" spans="1:9" x14ac:dyDescent="0.3">
      <c r="A2436" t="s">
        <v>4451</v>
      </c>
      <c r="B2436" t="s">
        <v>476</v>
      </c>
      <c r="C2436" t="s">
        <v>2008</v>
      </c>
      <c r="D2436">
        <v>3</v>
      </c>
      <c r="E2436" s="16">
        <v>15.69</v>
      </c>
      <c r="F2436" s="1">
        <v>44222</v>
      </c>
      <c r="G2436" t="s">
        <v>2027</v>
      </c>
      <c r="H2436">
        <v>5</v>
      </c>
      <c r="I2436" s="12">
        <f>Table16[[#This Row],[price]]*Table16[[#This Row],[quantity]]</f>
        <v>47.07</v>
      </c>
    </row>
    <row r="2437" spans="1:9" x14ac:dyDescent="0.3">
      <c r="A2437" t="s">
        <v>4452</v>
      </c>
      <c r="B2437" t="s">
        <v>476</v>
      </c>
      <c r="C2437" t="s">
        <v>2024</v>
      </c>
      <c r="D2437">
        <v>2</v>
      </c>
      <c r="E2437" s="16">
        <v>71.680000000000007</v>
      </c>
      <c r="F2437" s="1">
        <v>44800</v>
      </c>
      <c r="G2437" t="s">
        <v>2027</v>
      </c>
      <c r="H2437">
        <v>1</v>
      </c>
      <c r="I2437" s="12">
        <f>Table16[[#This Row],[price]]*Table16[[#This Row],[quantity]]</f>
        <v>143.36000000000001</v>
      </c>
    </row>
    <row r="2438" spans="1:9" x14ac:dyDescent="0.3">
      <c r="A2438" t="s">
        <v>4456</v>
      </c>
      <c r="B2438" t="s">
        <v>477</v>
      </c>
      <c r="C2438" t="s">
        <v>2024</v>
      </c>
      <c r="D2438">
        <v>3</v>
      </c>
      <c r="E2438" s="16">
        <v>107.52</v>
      </c>
      <c r="F2438" s="1">
        <v>44207</v>
      </c>
      <c r="G2438" t="s">
        <v>2027</v>
      </c>
      <c r="H2438">
        <v>2</v>
      </c>
      <c r="I2438" s="12">
        <f>Table16[[#This Row],[price]]*Table16[[#This Row],[quantity]]</f>
        <v>322.56</v>
      </c>
    </row>
    <row r="2439" spans="1:9" x14ac:dyDescent="0.3">
      <c r="A2439" t="s">
        <v>4457</v>
      </c>
      <c r="B2439" t="s">
        <v>477</v>
      </c>
      <c r="C2439" t="s">
        <v>2017</v>
      </c>
      <c r="D2439">
        <v>3</v>
      </c>
      <c r="E2439" s="16">
        <v>3150</v>
      </c>
      <c r="F2439" s="1">
        <v>44286</v>
      </c>
      <c r="G2439" t="s">
        <v>2027</v>
      </c>
      <c r="H2439">
        <v>5</v>
      </c>
      <c r="I2439" s="12">
        <f>Table16[[#This Row],[price]]*Table16[[#This Row],[quantity]]</f>
        <v>9450</v>
      </c>
    </row>
    <row r="2440" spans="1:9" x14ac:dyDescent="0.3">
      <c r="A2440" t="s">
        <v>4454</v>
      </c>
      <c r="B2440" t="s">
        <v>477</v>
      </c>
      <c r="C2440" t="s">
        <v>2001</v>
      </c>
      <c r="D2440">
        <v>3</v>
      </c>
      <c r="E2440" s="16">
        <v>900.24</v>
      </c>
      <c r="F2440" s="1">
        <v>44438</v>
      </c>
      <c r="G2440" t="s">
        <v>2058</v>
      </c>
      <c r="H2440">
        <v>4</v>
      </c>
      <c r="I2440" s="12">
        <f>Table16[[#This Row],[price]]*Table16[[#This Row],[quantity]]</f>
        <v>2700.7200000000003</v>
      </c>
    </row>
    <row r="2441" spans="1:9" x14ac:dyDescent="0.3">
      <c r="A2441" t="s">
        <v>4458</v>
      </c>
      <c r="B2441" t="s">
        <v>477</v>
      </c>
      <c r="C2441" t="s">
        <v>2008</v>
      </c>
      <c r="D2441">
        <v>2</v>
      </c>
      <c r="E2441" s="16">
        <v>10.46</v>
      </c>
      <c r="F2441" s="1">
        <v>44440</v>
      </c>
      <c r="G2441" t="s">
        <v>2027</v>
      </c>
      <c r="H2441">
        <v>4</v>
      </c>
      <c r="I2441" s="12">
        <f>Table16[[#This Row],[price]]*Table16[[#This Row],[quantity]]</f>
        <v>20.92</v>
      </c>
    </row>
    <row r="2442" spans="1:9" x14ac:dyDescent="0.3">
      <c r="A2442" t="s">
        <v>4455</v>
      </c>
      <c r="B2442" t="s">
        <v>477</v>
      </c>
      <c r="C2442" t="s">
        <v>2001</v>
      </c>
      <c r="D2442">
        <v>5</v>
      </c>
      <c r="E2442" s="16">
        <v>1500.4</v>
      </c>
      <c r="F2442" s="1">
        <v>44769</v>
      </c>
      <c r="G2442" t="s">
        <v>2027</v>
      </c>
      <c r="H2442">
        <v>5</v>
      </c>
      <c r="I2442" s="12">
        <f>Table16[[#This Row],[price]]*Table16[[#This Row],[quantity]]</f>
        <v>7502</v>
      </c>
    </row>
    <row r="2443" spans="1:9" x14ac:dyDescent="0.3">
      <c r="A2443" t="s">
        <v>4459</v>
      </c>
      <c r="B2443" t="s">
        <v>477</v>
      </c>
      <c r="C2443" t="s">
        <v>2001</v>
      </c>
      <c r="D2443">
        <v>3</v>
      </c>
      <c r="E2443" s="16">
        <v>900.24</v>
      </c>
      <c r="F2443" s="1">
        <v>44820</v>
      </c>
      <c r="G2443" t="s">
        <v>2002</v>
      </c>
      <c r="H2443">
        <v>2</v>
      </c>
      <c r="I2443" s="12">
        <f>Table16[[#This Row],[price]]*Table16[[#This Row],[quantity]]</f>
        <v>2700.7200000000003</v>
      </c>
    </row>
    <row r="2444" spans="1:9" x14ac:dyDescent="0.3">
      <c r="A2444" t="s">
        <v>4460</v>
      </c>
      <c r="B2444" t="s">
        <v>478</v>
      </c>
      <c r="C2444" t="s">
        <v>2008</v>
      </c>
      <c r="D2444">
        <v>4</v>
      </c>
      <c r="E2444" s="16">
        <v>20.92</v>
      </c>
      <c r="F2444" s="1">
        <v>44257</v>
      </c>
      <c r="G2444" t="s">
        <v>2002</v>
      </c>
      <c r="H2444">
        <v>2</v>
      </c>
      <c r="I2444" s="12">
        <f>Table16[[#This Row],[price]]*Table16[[#This Row],[quantity]]</f>
        <v>83.68</v>
      </c>
    </row>
    <row r="2445" spans="1:9" x14ac:dyDescent="0.3">
      <c r="A2445" t="s">
        <v>4461</v>
      </c>
      <c r="B2445" t="s">
        <v>478</v>
      </c>
      <c r="C2445" t="s">
        <v>2024</v>
      </c>
      <c r="D2445">
        <v>4</v>
      </c>
      <c r="E2445" s="16">
        <v>143.36000000000001</v>
      </c>
      <c r="F2445" s="1">
        <v>44327</v>
      </c>
      <c r="G2445" t="s">
        <v>2041</v>
      </c>
      <c r="H2445">
        <v>3</v>
      </c>
      <c r="I2445" s="12">
        <f>Table16[[#This Row],[price]]*Table16[[#This Row],[quantity]]</f>
        <v>573.44000000000005</v>
      </c>
    </row>
    <row r="2446" spans="1:9" x14ac:dyDescent="0.3">
      <c r="A2446" t="s">
        <v>4464</v>
      </c>
      <c r="B2446" t="s">
        <v>478</v>
      </c>
      <c r="C2446" t="s">
        <v>2017</v>
      </c>
      <c r="D2446">
        <v>4</v>
      </c>
      <c r="E2446" s="16">
        <v>4200</v>
      </c>
      <c r="F2446" s="1">
        <v>44508</v>
      </c>
      <c r="G2446" t="s">
        <v>2002</v>
      </c>
      <c r="H2446">
        <v>2</v>
      </c>
      <c r="I2446" s="12">
        <f>Table16[[#This Row],[price]]*Table16[[#This Row],[quantity]]</f>
        <v>16800</v>
      </c>
    </row>
    <row r="2447" spans="1:9" x14ac:dyDescent="0.3">
      <c r="A2447" t="s">
        <v>4465</v>
      </c>
      <c r="B2447" t="s">
        <v>478</v>
      </c>
      <c r="C2447" t="s">
        <v>2001</v>
      </c>
      <c r="D2447">
        <v>4</v>
      </c>
      <c r="E2447" s="16">
        <v>1200.32</v>
      </c>
      <c r="F2447" s="1">
        <v>44569</v>
      </c>
      <c r="G2447" t="s">
        <v>2002</v>
      </c>
      <c r="H2447">
        <v>1</v>
      </c>
      <c r="I2447" s="12">
        <f>Table16[[#This Row],[price]]*Table16[[#This Row],[quantity]]</f>
        <v>4801.28</v>
      </c>
    </row>
    <row r="2448" spans="1:9" x14ac:dyDescent="0.3">
      <c r="A2448" t="s">
        <v>4463</v>
      </c>
      <c r="B2448" t="s">
        <v>478</v>
      </c>
      <c r="C2448" t="s">
        <v>2011</v>
      </c>
      <c r="D2448">
        <v>5</v>
      </c>
      <c r="E2448" s="16">
        <v>203.3</v>
      </c>
      <c r="F2448" s="1">
        <v>44628</v>
      </c>
      <c r="G2448" t="s">
        <v>2004</v>
      </c>
      <c r="H2448">
        <v>1</v>
      </c>
      <c r="I2448" s="12">
        <f>Table16[[#This Row],[price]]*Table16[[#This Row],[quantity]]</f>
        <v>1016.5</v>
      </c>
    </row>
    <row r="2449" spans="1:9" x14ac:dyDescent="0.3">
      <c r="A2449" t="s">
        <v>4462</v>
      </c>
      <c r="B2449" t="s">
        <v>478</v>
      </c>
      <c r="C2449" t="s">
        <v>2017</v>
      </c>
      <c r="D2449">
        <v>1</v>
      </c>
      <c r="E2449" s="16">
        <v>1050</v>
      </c>
      <c r="F2449" s="1">
        <v>44897</v>
      </c>
      <c r="G2449" t="s">
        <v>2020</v>
      </c>
      <c r="H2449">
        <v>5</v>
      </c>
      <c r="I2449" s="12">
        <f>Table16[[#This Row],[price]]*Table16[[#This Row],[quantity]]</f>
        <v>1050</v>
      </c>
    </row>
    <row r="2450" spans="1:9" x14ac:dyDescent="0.3">
      <c r="A2450" t="s">
        <v>4466</v>
      </c>
      <c r="B2450" t="s">
        <v>479</v>
      </c>
      <c r="C2450" t="s">
        <v>2024</v>
      </c>
      <c r="D2450">
        <v>4</v>
      </c>
      <c r="E2450" s="16">
        <v>143.36000000000001</v>
      </c>
      <c r="F2450" s="1">
        <v>44299</v>
      </c>
      <c r="G2450" t="s">
        <v>2004</v>
      </c>
      <c r="H2450">
        <v>1</v>
      </c>
      <c r="I2450" s="12">
        <f>Table16[[#This Row],[price]]*Table16[[#This Row],[quantity]]</f>
        <v>573.44000000000005</v>
      </c>
    </row>
    <row r="2451" spans="1:9" x14ac:dyDescent="0.3">
      <c r="A2451" t="s">
        <v>4469</v>
      </c>
      <c r="B2451" t="s">
        <v>479</v>
      </c>
      <c r="C2451" t="s">
        <v>2001</v>
      </c>
      <c r="D2451">
        <v>2</v>
      </c>
      <c r="E2451" s="16">
        <v>600.16</v>
      </c>
      <c r="F2451" s="1">
        <v>44390</v>
      </c>
      <c r="G2451" t="s">
        <v>2004</v>
      </c>
      <c r="H2451">
        <v>2</v>
      </c>
      <c r="I2451" s="12">
        <f>Table16[[#This Row],[price]]*Table16[[#This Row],[quantity]]</f>
        <v>1200.32</v>
      </c>
    </row>
    <row r="2452" spans="1:9" x14ac:dyDescent="0.3">
      <c r="A2452" t="s">
        <v>4468</v>
      </c>
      <c r="B2452" t="s">
        <v>479</v>
      </c>
      <c r="C2452" t="s">
        <v>2008</v>
      </c>
      <c r="D2452">
        <v>4</v>
      </c>
      <c r="E2452" s="16">
        <v>20.92</v>
      </c>
      <c r="F2452" s="1">
        <v>44521</v>
      </c>
      <c r="G2452" t="s">
        <v>2002</v>
      </c>
      <c r="H2452">
        <v>4</v>
      </c>
      <c r="I2452" s="12">
        <f>Table16[[#This Row],[price]]*Table16[[#This Row],[quantity]]</f>
        <v>83.68</v>
      </c>
    </row>
    <row r="2453" spans="1:9" x14ac:dyDescent="0.3">
      <c r="A2453" t="s">
        <v>4467</v>
      </c>
      <c r="B2453" t="s">
        <v>479</v>
      </c>
      <c r="C2453" t="s">
        <v>2008</v>
      </c>
      <c r="D2453">
        <v>3</v>
      </c>
      <c r="E2453" s="16">
        <v>15.69</v>
      </c>
      <c r="F2453" s="1">
        <v>44818</v>
      </c>
      <c r="G2453" t="s">
        <v>2002</v>
      </c>
      <c r="H2453">
        <v>4</v>
      </c>
      <c r="I2453" s="12">
        <f>Table16[[#This Row],[price]]*Table16[[#This Row],[quantity]]</f>
        <v>47.07</v>
      </c>
    </row>
    <row r="2454" spans="1:9" x14ac:dyDescent="0.3">
      <c r="A2454" t="s">
        <v>4475</v>
      </c>
      <c r="B2454" t="s">
        <v>480</v>
      </c>
      <c r="C2454" t="s">
        <v>2015</v>
      </c>
      <c r="D2454">
        <v>2</v>
      </c>
      <c r="E2454" s="16">
        <v>1200.3399999999999</v>
      </c>
      <c r="F2454" s="1">
        <v>44269</v>
      </c>
      <c r="G2454" t="s">
        <v>2002</v>
      </c>
      <c r="H2454">
        <v>3</v>
      </c>
      <c r="I2454" s="12">
        <f>Table16[[#This Row],[price]]*Table16[[#This Row],[quantity]]</f>
        <v>2400.6799999999998</v>
      </c>
    </row>
    <row r="2455" spans="1:9" x14ac:dyDescent="0.3">
      <c r="A2455" t="s">
        <v>4472</v>
      </c>
      <c r="B2455" t="s">
        <v>480</v>
      </c>
      <c r="C2455" t="s">
        <v>2008</v>
      </c>
      <c r="D2455">
        <v>3</v>
      </c>
      <c r="E2455" s="16">
        <v>15.69</v>
      </c>
      <c r="F2455" s="1">
        <v>44458</v>
      </c>
      <c r="G2455" t="s">
        <v>2002</v>
      </c>
      <c r="H2455">
        <v>2</v>
      </c>
      <c r="I2455" s="12">
        <f>Table16[[#This Row],[price]]*Table16[[#This Row],[quantity]]</f>
        <v>47.07</v>
      </c>
    </row>
    <row r="2456" spans="1:9" x14ac:dyDescent="0.3">
      <c r="A2456" t="s">
        <v>4471</v>
      </c>
      <c r="B2456" t="s">
        <v>480</v>
      </c>
      <c r="C2456" t="s">
        <v>2006</v>
      </c>
      <c r="D2456">
        <v>5</v>
      </c>
      <c r="E2456" s="16">
        <v>75.75</v>
      </c>
      <c r="F2456" s="1">
        <v>44542</v>
      </c>
      <c r="G2456" t="s">
        <v>2004</v>
      </c>
      <c r="H2456">
        <v>1</v>
      </c>
      <c r="I2456" s="12">
        <f>Table16[[#This Row],[price]]*Table16[[#This Row],[quantity]]</f>
        <v>378.75</v>
      </c>
    </row>
    <row r="2457" spans="1:9" x14ac:dyDescent="0.3">
      <c r="A2457" t="s">
        <v>4473</v>
      </c>
      <c r="B2457" t="s">
        <v>480</v>
      </c>
      <c r="C2457" t="s">
        <v>2001</v>
      </c>
      <c r="D2457">
        <v>2</v>
      </c>
      <c r="E2457" s="16">
        <v>600.16</v>
      </c>
      <c r="F2457" s="1">
        <v>44570</v>
      </c>
      <c r="G2457" t="s">
        <v>2009</v>
      </c>
      <c r="H2457">
        <v>4</v>
      </c>
      <c r="I2457" s="12">
        <f>Table16[[#This Row],[price]]*Table16[[#This Row],[quantity]]</f>
        <v>1200.32</v>
      </c>
    </row>
    <row r="2458" spans="1:9" x14ac:dyDescent="0.3">
      <c r="A2458" t="s">
        <v>4474</v>
      </c>
      <c r="B2458" t="s">
        <v>480</v>
      </c>
      <c r="C2458" t="s">
        <v>2008</v>
      </c>
      <c r="D2458">
        <v>5</v>
      </c>
      <c r="E2458" s="16">
        <v>26.15</v>
      </c>
      <c r="F2458" s="1">
        <v>44631</v>
      </c>
      <c r="G2458" t="s">
        <v>2012</v>
      </c>
      <c r="H2458">
        <v>2</v>
      </c>
      <c r="I2458" s="12">
        <f>Table16[[#This Row],[price]]*Table16[[#This Row],[quantity]]</f>
        <v>130.75</v>
      </c>
    </row>
    <row r="2459" spans="1:9" x14ac:dyDescent="0.3">
      <c r="A2459" t="s">
        <v>4470</v>
      </c>
      <c r="B2459" t="s">
        <v>480</v>
      </c>
      <c r="C2459" t="s">
        <v>2008</v>
      </c>
      <c r="D2459">
        <v>2</v>
      </c>
      <c r="E2459" s="16">
        <v>10.46</v>
      </c>
      <c r="F2459" s="1">
        <v>44766</v>
      </c>
      <c r="G2459" t="s">
        <v>2020</v>
      </c>
      <c r="H2459">
        <v>3</v>
      </c>
      <c r="I2459" s="12">
        <f>Table16[[#This Row],[price]]*Table16[[#This Row],[quantity]]</f>
        <v>20.92</v>
      </c>
    </row>
    <row r="2460" spans="1:9" x14ac:dyDescent="0.3">
      <c r="A2460" t="s">
        <v>4476</v>
      </c>
      <c r="B2460" t="s">
        <v>480</v>
      </c>
      <c r="C2460" t="s">
        <v>2011</v>
      </c>
      <c r="D2460">
        <v>3</v>
      </c>
      <c r="E2460" s="16">
        <v>121.98</v>
      </c>
      <c r="F2460" s="1">
        <v>44809</v>
      </c>
      <c r="G2460" t="s">
        <v>2002</v>
      </c>
      <c r="H2460">
        <v>4</v>
      </c>
      <c r="I2460" s="12">
        <f>Table16[[#This Row],[price]]*Table16[[#This Row],[quantity]]</f>
        <v>365.94</v>
      </c>
    </row>
    <row r="2461" spans="1:9" x14ac:dyDescent="0.3">
      <c r="A2461" t="s">
        <v>4477</v>
      </c>
      <c r="B2461" t="s">
        <v>481</v>
      </c>
      <c r="C2461" t="s">
        <v>2008</v>
      </c>
      <c r="D2461">
        <v>3</v>
      </c>
      <c r="E2461" s="16">
        <v>15.69</v>
      </c>
      <c r="F2461" s="1">
        <v>44242</v>
      </c>
      <c r="G2461" t="s">
        <v>2027</v>
      </c>
      <c r="H2461">
        <v>1</v>
      </c>
      <c r="I2461" s="12">
        <f>Table16[[#This Row],[price]]*Table16[[#This Row],[quantity]]</f>
        <v>47.07</v>
      </c>
    </row>
    <row r="2462" spans="1:9" x14ac:dyDescent="0.3">
      <c r="A2462" t="s">
        <v>4481</v>
      </c>
      <c r="B2462" t="s">
        <v>481</v>
      </c>
      <c r="C2462" t="s">
        <v>2008</v>
      </c>
      <c r="D2462">
        <v>1</v>
      </c>
      <c r="E2462" s="16">
        <v>5.23</v>
      </c>
      <c r="F2462" s="1">
        <v>44406</v>
      </c>
      <c r="G2462" t="s">
        <v>2004</v>
      </c>
      <c r="H2462">
        <v>5</v>
      </c>
      <c r="I2462" s="12">
        <f>Table16[[#This Row],[price]]*Table16[[#This Row],[quantity]]</f>
        <v>5.23</v>
      </c>
    </row>
    <row r="2463" spans="1:9" x14ac:dyDescent="0.3">
      <c r="A2463" t="s">
        <v>4480</v>
      </c>
      <c r="B2463" t="s">
        <v>481</v>
      </c>
      <c r="C2463" t="s">
        <v>2008</v>
      </c>
      <c r="D2463">
        <v>4</v>
      </c>
      <c r="E2463" s="16">
        <v>20.92</v>
      </c>
      <c r="F2463" s="1">
        <v>44482</v>
      </c>
      <c r="G2463" t="s">
        <v>2027</v>
      </c>
      <c r="H2463">
        <v>4</v>
      </c>
      <c r="I2463" s="12">
        <f>Table16[[#This Row],[price]]*Table16[[#This Row],[quantity]]</f>
        <v>83.68</v>
      </c>
    </row>
    <row r="2464" spans="1:9" x14ac:dyDescent="0.3">
      <c r="A2464" t="s">
        <v>4479</v>
      </c>
      <c r="B2464" t="s">
        <v>481</v>
      </c>
      <c r="C2464" t="s">
        <v>2017</v>
      </c>
      <c r="D2464">
        <v>1</v>
      </c>
      <c r="E2464" s="16">
        <v>1050</v>
      </c>
      <c r="F2464" s="1">
        <v>44830</v>
      </c>
      <c r="G2464" t="s">
        <v>2041</v>
      </c>
      <c r="H2464">
        <v>3</v>
      </c>
      <c r="I2464" s="12">
        <f>Table16[[#This Row],[price]]*Table16[[#This Row],[quantity]]</f>
        <v>1050</v>
      </c>
    </row>
    <row r="2465" spans="1:9" x14ac:dyDescent="0.3">
      <c r="A2465" t="s">
        <v>4478</v>
      </c>
      <c r="B2465" t="s">
        <v>481</v>
      </c>
      <c r="C2465" t="s">
        <v>2001</v>
      </c>
      <c r="D2465">
        <v>3</v>
      </c>
      <c r="E2465" s="16">
        <v>900.24</v>
      </c>
      <c r="F2465" s="1">
        <v>44935</v>
      </c>
      <c r="G2465" t="s">
        <v>2058</v>
      </c>
      <c r="H2465">
        <v>1</v>
      </c>
      <c r="I2465" s="12">
        <f>Table16[[#This Row],[price]]*Table16[[#This Row],[quantity]]</f>
        <v>2700.7200000000003</v>
      </c>
    </row>
    <row r="2466" spans="1:9" x14ac:dyDescent="0.3">
      <c r="A2466" t="s">
        <v>4489</v>
      </c>
      <c r="B2466" t="s">
        <v>482</v>
      </c>
      <c r="C2466" t="s">
        <v>2008</v>
      </c>
      <c r="D2466">
        <v>4</v>
      </c>
      <c r="E2466" s="16">
        <v>20.92</v>
      </c>
      <c r="F2466" s="1">
        <v>44301</v>
      </c>
      <c r="G2466" t="s">
        <v>2064</v>
      </c>
      <c r="H2466">
        <v>1</v>
      </c>
      <c r="I2466" s="12">
        <f>Table16[[#This Row],[price]]*Table16[[#This Row],[quantity]]</f>
        <v>83.68</v>
      </c>
    </row>
    <row r="2467" spans="1:9" x14ac:dyDescent="0.3">
      <c r="A2467" t="s">
        <v>4482</v>
      </c>
      <c r="B2467" t="s">
        <v>482</v>
      </c>
      <c r="C2467" t="s">
        <v>2001</v>
      </c>
      <c r="D2467">
        <v>3</v>
      </c>
      <c r="E2467" s="16">
        <v>900.24</v>
      </c>
      <c r="F2467" s="1">
        <v>44350</v>
      </c>
      <c r="G2467" t="s">
        <v>2009</v>
      </c>
      <c r="H2467">
        <v>2</v>
      </c>
      <c r="I2467" s="12">
        <f>Table16[[#This Row],[price]]*Table16[[#This Row],[quantity]]</f>
        <v>2700.7200000000003</v>
      </c>
    </row>
    <row r="2468" spans="1:9" x14ac:dyDescent="0.3">
      <c r="A2468" t="s">
        <v>4484</v>
      </c>
      <c r="B2468" t="s">
        <v>482</v>
      </c>
      <c r="C2468" t="s">
        <v>2001</v>
      </c>
      <c r="D2468">
        <v>3</v>
      </c>
      <c r="E2468" s="16">
        <v>900.24</v>
      </c>
      <c r="F2468" s="1">
        <v>44404</v>
      </c>
      <c r="G2468" t="s">
        <v>2041</v>
      </c>
      <c r="H2468">
        <v>2</v>
      </c>
      <c r="I2468" s="12">
        <f>Table16[[#This Row],[price]]*Table16[[#This Row],[quantity]]</f>
        <v>2700.7200000000003</v>
      </c>
    </row>
    <row r="2469" spans="1:9" x14ac:dyDescent="0.3">
      <c r="A2469" t="s">
        <v>4483</v>
      </c>
      <c r="B2469" t="s">
        <v>482</v>
      </c>
      <c r="C2469" t="s">
        <v>2011</v>
      </c>
      <c r="D2469">
        <v>4</v>
      </c>
      <c r="E2469" s="16">
        <v>162.63999999999999</v>
      </c>
      <c r="F2469" s="1">
        <v>44450</v>
      </c>
      <c r="G2469" t="s">
        <v>2064</v>
      </c>
      <c r="H2469">
        <v>5</v>
      </c>
      <c r="I2469" s="12">
        <f>Table16[[#This Row],[price]]*Table16[[#This Row],[quantity]]</f>
        <v>650.55999999999995</v>
      </c>
    </row>
    <row r="2470" spans="1:9" x14ac:dyDescent="0.3">
      <c r="A2470" t="s">
        <v>4486</v>
      </c>
      <c r="B2470" t="s">
        <v>482</v>
      </c>
      <c r="C2470" t="s">
        <v>2001</v>
      </c>
      <c r="D2470">
        <v>4</v>
      </c>
      <c r="E2470" s="16">
        <v>1200.32</v>
      </c>
      <c r="F2470" s="1">
        <v>44521</v>
      </c>
      <c r="G2470" t="s">
        <v>2027</v>
      </c>
      <c r="H2470">
        <v>1</v>
      </c>
      <c r="I2470" s="12">
        <f>Table16[[#This Row],[price]]*Table16[[#This Row],[quantity]]</f>
        <v>4801.28</v>
      </c>
    </row>
    <row r="2471" spans="1:9" x14ac:dyDescent="0.3">
      <c r="A2471" t="s">
        <v>4488</v>
      </c>
      <c r="B2471" t="s">
        <v>482</v>
      </c>
      <c r="C2471" t="s">
        <v>2015</v>
      </c>
      <c r="D2471">
        <v>5</v>
      </c>
      <c r="E2471" s="16">
        <v>3000.85</v>
      </c>
      <c r="F2471" s="1">
        <v>44524</v>
      </c>
      <c r="G2471" t="s">
        <v>2020</v>
      </c>
      <c r="H2471">
        <v>5</v>
      </c>
      <c r="I2471" s="12">
        <f>Table16[[#This Row],[price]]*Table16[[#This Row],[quantity]]</f>
        <v>15004.25</v>
      </c>
    </row>
    <row r="2472" spans="1:9" x14ac:dyDescent="0.3">
      <c r="A2472" t="s">
        <v>4487</v>
      </c>
      <c r="B2472" t="s">
        <v>482</v>
      </c>
      <c r="C2472" t="s">
        <v>2008</v>
      </c>
      <c r="D2472">
        <v>3</v>
      </c>
      <c r="E2472" s="16">
        <v>15.69</v>
      </c>
      <c r="F2472" s="1">
        <v>44689</v>
      </c>
      <c r="G2472" t="s">
        <v>2002</v>
      </c>
      <c r="H2472">
        <v>1</v>
      </c>
      <c r="I2472" s="12">
        <f>Table16[[#This Row],[price]]*Table16[[#This Row],[quantity]]</f>
        <v>47.07</v>
      </c>
    </row>
    <row r="2473" spans="1:9" x14ac:dyDescent="0.3">
      <c r="A2473" t="s">
        <v>4485</v>
      </c>
      <c r="B2473" t="s">
        <v>482</v>
      </c>
      <c r="C2473" t="s">
        <v>2017</v>
      </c>
      <c r="D2473">
        <v>3</v>
      </c>
      <c r="E2473" s="16">
        <v>3150</v>
      </c>
      <c r="F2473" s="1">
        <v>44736</v>
      </c>
      <c r="G2473" t="s">
        <v>2012</v>
      </c>
      <c r="H2473">
        <v>1</v>
      </c>
      <c r="I2473" s="12">
        <f>Table16[[#This Row],[price]]*Table16[[#This Row],[quantity]]</f>
        <v>9450</v>
      </c>
    </row>
    <row r="2474" spans="1:9" x14ac:dyDescent="0.3">
      <c r="A2474" t="s">
        <v>4494</v>
      </c>
      <c r="B2474" t="s">
        <v>483</v>
      </c>
      <c r="C2474" t="s">
        <v>2001</v>
      </c>
      <c r="D2474">
        <v>1</v>
      </c>
      <c r="E2474" s="16">
        <v>300.08</v>
      </c>
      <c r="F2474" s="1">
        <v>44246</v>
      </c>
      <c r="G2474" t="s">
        <v>2064</v>
      </c>
      <c r="H2474">
        <v>4</v>
      </c>
      <c r="I2474" s="12">
        <f>Table16[[#This Row],[price]]*Table16[[#This Row],[quantity]]</f>
        <v>300.08</v>
      </c>
    </row>
    <row r="2475" spans="1:9" x14ac:dyDescent="0.3">
      <c r="A2475" t="s">
        <v>4493</v>
      </c>
      <c r="B2475" t="s">
        <v>483</v>
      </c>
      <c r="C2475" t="s">
        <v>2001</v>
      </c>
      <c r="D2475">
        <v>3</v>
      </c>
      <c r="E2475" s="16">
        <v>900.24</v>
      </c>
      <c r="F2475" s="1">
        <v>44344</v>
      </c>
      <c r="G2475" t="s">
        <v>2002</v>
      </c>
      <c r="H2475">
        <v>3</v>
      </c>
      <c r="I2475" s="12">
        <f>Table16[[#This Row],[price]]*Table16[[#This Row],[quantity]]</f>
        <v>2700.7200000000003</v>
      </c>
    </row>
    <row r="2476" spans="1:9" x14ac:dyDescent="0.3">
      <c r="A2476" t="s">
        <v>4490</v>
      </c>
      <c r="B2476" t="s">
        <v>483</v>
      </c>
      <c r="C2476" t="s">
        <v>2001</v>
      </c>
      <c r="D2476">
        <v>3</v>
      </c>
      <c r="E2476" s="16">
        <v>900.24</v>
      </c>
      <c r="F2476" s="1">
        <v>44509</v>
      </c>
      <c r="G2476" t="s">
        <v>2020</v>
      </c>
      <c r="H2476">
        <v>1</v>
      </c>
      <c r="I2476" s="12">
        <f>Table16[[#This Row],[price]]*Table16[[#This Row],[quantity]]</f>
        <v>2700.7200000000003</v>
      </c>
    </row>
    <row r="2477" spans="1:9" x14ac:dyDescent="0.3">
      <c r="A2477" t="s">
        <v>4491</v>
      </c>
      <c r="B2477" t="s">
        <v>483</v>
      </c>
      <c r="C2477" t="s">
        <v>2008</v>
      </c>
      <c r="D2477">
        <v>4</v>
      </c>
      <c r="E2477" s="16">
        <v>20.92</v>
      </c>
      <c r="F2477" s="1">
        <v>44685</v>
      </c>
      <c r="G2477" t="s">
        <v>2020</v>
      </c>
      <c r="H2477">
        <v>4</v>
      </c>
      <c r="I2477" s="12">
        <f>Table16[[#This Row],[price]]*Table16[[#This Row],[quantity]]</f>
        <v>83.68</v>
      </c>
    </row>
    <row r="2478" spans="1:9" x14ac:dyDescent="0.3">
      <c r="A2478" t="s">
        <v>4495</v>
      </c>
      <c r="B2478" t="s">
        <v>483</v>
      </c>
      <c r="C2478" t="s">
        <v>2057</v>
      </c>
      <c r="D2478">
        <v>4</v>
      </c>
      <c r="E2478" s="16">
        <v>46.92</v>
      </c>
      <c r="F2478" s="1">
        <v>44834</v>
      </c>
      <c r="G2478" t="s">
        <v>2064</v>
      </c>
      <c r="H2478">
        <v>4</v>
      </c>
      <c r="I2478" s="12">
        <f>Table16[[#This Row],[price]]*Table16[[#This Row],[quantity]]</f>
        <v>187.68</v>
      </c>
    </row>
    <row r="2479" spans="1:9" x14ac:dyDescent="0.3">
      <c r="A2479" t="s">
        <v>4492</v>
      </c>
      <c r="B2479" t="s">
        <v>483</v>
      </c>
      <c r="C2479" t="s">
        <v>2008</v>
      </c>
      <c r="D2479">
        <v>5</v>
      </c>
      <c r="E2479" s="16">
        <v>26.15</v>
      </c>
      <c r="F2479" s="1">
        <v>44931</v>
      </c>
      <c r="G2479" t="s">
        <v>2004</v>
      </c>
      <c r="H2479">
        <v>1</v>
      </c>
      <c r="I2479" s="12">
        <f>Table16[[#This Row],[price]]*Table16[[#This Row],[quantity]]</f>
        <v>130.75</v>
      </c>
    </row>
    <row r="2480" spans="1:9" x14ac:dyDescent="0.3">
      <c r="A2480" t="s">
        <v>4498</v>
      </c>
      <c r="B2480" t="s">
        <v>484</v>
      </c>
      <c r="C2480" t="s">
        <v>2008</v>
      </c>
      <c r="D2480">
        <v>2</v>
      </c>
      <c r="E2480" s="16">
        <v>10.46</v>
      </c>
      <c r="F2480" s="1">
        <v>44236</v>
      </c>
      <c r="G2480" t="s">
        <v>2027</v>
      </c>
      <c r="H2480">
        <v>2</v>
      </c>
      <c r="I2480" s="12">
        <f>Table16[[#This Row],[price]]*Table16[[#This Row],[quantity]]</f>
        <v>20.92</v>
      </c>
    </row>
    <row r="2481" spans="1:9" x14ac:dyDescent="0.3">
      <c r="A2481" t="s">
        <v>4499</v>
      </c>
      <c r="B2481" t="s">
        <v>484</v>
      </c>
      <c r="C2481" t="s">
        <v>2015</v>
      </c>
      <c r="D2481">
        <v>2</v>
      </c>
      <c r="E2481" s="16">
        <v>1200.3399999999999</v>
      </c>
      <c r="F2481" s="1">
        <v>44432</v>
      </c>
      <c r="G2481" t="s">
        <v>2012</v>
      </c>
      <c r="H2481">
        <v>4</v>
      </c>
      <c r="I2481" s="12">
        <f>Table16[[#This Row],[price]]*Table16[[#This Row],[quantity]]</f>
        <v>2400.6799999999998</v>
      </c>
    </row>
    <row r="2482" spans="1:9" x14ac:dyDescent="0.3">
      <c r="A2482" t="s">
        <v>4497</v>
      </c>
      <c r="B2482" t="s">
        <v>484</v>
      </c>
      <c r="C2482" t="s">
        <v>2015</v>
      </c>
      <c r="D2482">
        <v>4</v>
      </c>
      <c r="E2482" s="16">
        <v>2400.6799999999998</v>
      </c>
      <c r="F2482" s="1">
        <v>44695</v>
      </c>
      <c r="G2482" t="s">
        <v>2027</v>
      </c>
      <c r="H2482">
        <v>3</v>
      </c>
      <c r="I2482" s="12">
        <f>Table16[[#This Row],[price]]*Table16[[#This Row],[quantity]]</f>
        <v>9602.7199999999993</v>
      </c>
    </row>
    <row r="2483" spans="1:9" x14ac:dyDescent="0.3">
      <c r="A2483" t="s">
        <v>4500</v>
      </c>
      <c r="B2483" t="s">
        <v>484</v>
      </c>
      <c r="C2483" t="s">
        <v>2015</v>
      </c>
      <c r="D2483">
        <v>1</v>
      </c>
      <c r="E2483" s="16">
        <v>600.16999999999996</v>
      </c>
      <c r="F2483" s="1">
        <v>44715</v>
      </c>
      <c r="G2483" t="s">
        <v>2004</v>
      </c>
      <c r="H2483">
        <v>5</v>
      </c>
      <c r="I2483" s="12">
        <f>Table16[[#This Row],[price]]*Table16[[#This Row],[quantity]]</f>
        <v>600.16999999999996</v>
      </c>
    </row>
    <row r="2484" spans="1:9" x14ac:dyDescent="0.3">
      <c r="A2484" t="s">
        <v>4496</v>
      </c>
      <c r="B2484" t="s">
        <v>484</v>
      </c>
      <c r="C2484" t="s">
        <v>2008</v>
      </c>
      <c r="D2484">
        <v>4</v>
      </c>
      <c r="E2484" s="16">
        <v>20.92</v>
      </c>
      <c r="F2484" s="1">
        <v>44847</v>
      </c>
      <c r="G2484" t="s">
        <v>2004</v>
      </c>
      <c r="H2484">
        <v>4</v>
      </c>
      <c r="I2484" s="12">
        <f>Table16[[#This Row],[price]]*Table16[[#This Row],[quantity]]</f>
        <v>83.68</v>
      </c>
    </row>
    <row r="2485" spans="1:9" x14ac:dyDescent="0.3">
      <c r="A2485" t="s">
        <v>4504</v>
      </c>
      <c r="B2485" t="s">
        <v>485</v>
      </c>
      <c r="C2485" t="s">
        <v>2008</v>
      </c>
      <c r="D2485">
        <v>4</v>
      </c>
      <c r="E2485" s="16">
        <v>20.92</v>
      </c>
      <c r="F2485" s="1">
        <v>44259</v>
      </c>
      <c r="G2485" t="s">
        <v>2027</v>
      </c>
      <c r="H2485">
        <v>2</v>
      </c>
      <c r="I2485" s="12">
        <f>Table16[[#This Row],[price]]*Table16[[#This Row],[quantity]]</f>
        <v>83.68</v>
      </c>
    </row>
    <row r="2486" spans="1:9" x14ac:dyDescent="0.3">
      <c r="A2486" t="s">
        <v>4508</v>
      </c>
      <c r="B2486" t="s">
        <v>485</v>
      </c>
      <c r="C2486" t="s">
        <v>2001</v>
      </c>
      <c r="D2486">
        <v>5</v>
      </c>
      <c r="E2486" s="16">
        <v>1500.4</v>
      </c>
      <c r="F2486" s="1">
        <v>44279</v>
      </c>
      <c r="G2486" t="s">
        <v>2002</v>
      </c>
      <c r="H2486">
        <v>2</v>
      </c>
      <c r="I2486" s="12">
        <f>Table16[[#This Row],[price]]*Table16[[#This Row],[quantity]]</f>
        <v>7502</v>
      </c>
    </row>
    <row r="2487" spans="1:9" x14ac:dyDescent="0.3">
      <c r="A2487" t="s">
        <v>4505</v>
      </c>
      <c r="B2487" t="s">
        <v>485</v>
      </c>
      <c r="C2487" t="s">
        <v>2001</v>
      </c>
      <c r="D2487">
        <v>2</v>
      </c>
      <c r="E2487" s="16">
        <v>600.16</v>
      </c>
      <c r="F2487" s="1">
        <v>44413</v>
      </c>
      <c r="G2487" t="s">
        <v>2027</v>
      </c>
      <c r="H2487">
        <v>2</v>
      </c>
      <c r="I2487" s="12">
        <f>Table16[[#This Row],[price]]*Table16[[#This Row],[quantity]]</f>
        <v>1200.32</v>
      </c>
    </row>
    <row r="2488" spans="1:9" x14ac:dyDescent="0.3">
      <c r="A2488" t="s">
        <v>4502</v>
      </c>
      <c r="B2488" t="s">
        <v>485</v>
      </c>
      <c r="C2488" t="s">
        <v>2011</v>
      </c>
      <c r="D2488">
        <v>4</v>
      </c>
      <c r="E2488" s="16">
        <v>162.63999999999999</v>
      </c>
      <c r="F2488" s="1">
        <v>44418</v>
      </c>
      <c r="G2488" t="s">
        <v>2004</v>
      </c>
      <c r="H2488">
        <v>3</v>
      </c>
      <c r="I2488" s="12">
        <f>Table16[[#This Row],[price]]*Table16[[#This Row],[quantity]]</f>
        <v>650.55999999999995</v>
      </c>
    </row>
    <row r="2489" spans="1:9" x14ac:dyDescent="0.3">
      <c r="A2489" t="s">
        <v>4501</v>
      </c>
      <c r="B2489" t="s">
        <v>485</v>
      </c>
      <c r="C2489" t="s">
        <v>2001</v>
      </c>
      <c r="D2489">
        <v>5</v>
      </c>
      <c r="E2489" s="16">
        <v>1500.4</v>
      </c>
      <c r="F2489" s="1">
        <v>44451</v>
      </c>
      <c r="G2489" t="s">
        <v>2009</v>
      </c>
      <c r="H2489">
        <v>3</v>
      </c>
      <c r="I2489" s="12">
        <f>Table16[[#This Row],[price]]*Table16[[#This Row],[quantity]]</f>
        <v>7502</v>
      </c>
    </row>
    <row r="2490" spans="1:9" x14ac:dyDescent="0.3">
      <c r="A2490" t="s">
        <v>4506</v>
      </c>
      <c r="B2490" t="s">
        <v>485</v>
      </c>
      <c r="C2490" t="s">
        <v>2008</v>
      </c>
      <c r="D2490">
        <v>4</v>
      </c>
      <c r="E2490" s="16">
        <v>20.92</v>
      </c>
      <c r="F2490" s="1">
        <v>44748</v>
      </c>
      <c r="G2490" t="s">
        <v>2002</v>
      </c>
      <c r="H2490">
        <v>3</v>
      </c>
      <c r="I2490" s="12">
        <f>Table16[[#This Row],[price]]*Table16[[#This Row],[quantity]]</f>
        <v>83.68</v>
      </c>
    </row>
    <row r="2491" spans="1:9" x14ac:dyDescent="0.3">
      <c r="A2491" t="s">
        <v>4503</v>
      </c>
      <c r="B2491" t="s">
        <v>485</v>
      </c>
      <c r="C2491" t="s">
        <v>2001</v>
      </c>
      <c r="D2491">
        <v>4</v>
      </c>
      <c r="E2491" s="16">
        <v>1200.32</v>
      </c>
      <c r="F2491" s="1">
        <v>44909</v>
      </c>
      <c r="G2491" t="s">
        <v>2020</v>
      </c>
      <c r="H2491">
        <v>5</v>
      </c>
      <c r="I2491" s="12">
        <f>Table16[[#This Row],[price]]*Table16[[#This Row],[quantity]]</f>
        <v>4801.28</v>
      </c>
    </row>
    <row r="2492" spans="1:9" x14ac:dyDescent="0.3">
      <c r="A2492" t="s">
        <v>4507</v>
      </c>
      <c r="B2492" t="s">
        <v>485</v>
      </c>
      <c r="C2492" t="s">
        <v>2017</v>
      </c>
      <c r="D2492">
        <v>5</v>
      </c>
      <c r="E2492" s="16">
        <v>5250</v>
      </c>
      <c r="F2492" s="1">
        <v>44913</v>
      </c>
      <c r="G2492" t="s">
        <v>2004</v>
      </c>
      <c r="H2492">
        <v>4</v>
      </c>
      <c r="I2492" s="12">
        <f>Table16[[#This Row],[price]]*Table16[[#This Row],[quantity]]</f>
        <v>26250</v>
      </c>
    </row>
    <row r="2493" spans="1:9" x14ac:dyDescent="0.3">
      <c r="A2493" t="s">
        <v>4510</v>
      </c>
      <c r="B2493" t="s">
        <v>486</v>
      </c>
      <c r="C2493" t="s">
        <v>2001</v>
      </c>
      <c r="D2493">
        <v>5</v>
      </c>
      <c r="E2493" s="16">
        <v>1500.4</v>
      </c>
      <c r="F2493" s="1">
        <v>44329</v>
      </c>
      <c r="G2493" t="s">
        <v>2002</v>
      </c>
      <c r="H2493">
        <v>2</v>
      </c>
      <c r="I2493" s="12">
        <f>Table16[[#This Row],[price]]*Table16[[#This Row],[quantity]]</f>
        <v>7502</v>
      </c>
    </row>
    <row r="2494" spans="1:9" x14ac:dyDescent="0.3">
      <c r="A2494" t="s">
        <v>4509</v>
      </c>
      <c r="B2494" t="s">
        <v>486</v>
      </c>
      <c r="C2494" t="s">
        <v>2011</v>
      </c>
      <c r="D2494">
        <v>4</v>
      </c>
      <c r="E2494" s="16">
        <v>162.63999999999999</v>
      </c>
      <c r="F2494" s="1">
        <v>44357</v>
      </c>
      <c r="G2494" t="s">
        <v>2020</v>
      </c>
      <c r="H2494">
        <v>3</v>
      </c>
      <c r="I2494" s="12">
        <f>Table16[[#This Row],[price]]*Table16[[#This Row],[quantity]]</f>
        <v>650.55999999999995</v>
      </c>
    </row>
    <row r="2495" spans="1:9" x14ac:dyDescent="0.3">
      <c r="A2495" t="s">
        <v>4512</v>
      </c>
      <c r="B2495" t="s">
        <v>486</v>
      </c>
      <c r="C2495" t="s">
        <v>2006</v>
      </c>
      <c r="D2495">
        <v>1</v>
      </c>
      <c r="E2495" s="16">
        <v>15.15</v>
      </c>
      <c r="F2495" s="1">
        <v>44402</v>
      </c>
      <c r="G2495" t="s">
        <v>2064</v>
      </c>
      <c r="H2495">
        <v>2</v>
      </c>
      <c r="I2495" s="12">
        <f>Table16[[#This Row],[price]]*Table16[[#This Row],[quantity]]</f>
        <v>15.15</v>
      </c>
    </row>
    <row r="2496" spans="1:9" x14ac:dyDescent="0.3">
      <c r="A2496" t="s">
        <v>4511</v>
      </c>
      <c r="B2496" t="s">
        <v>486</v>
      </c>
      <c r="C2496" t="s">
        <v>2015</v>
      </c>
      <c r="D2496">
        <v>2</v>
      </c>
      <c r="E2496" s="16">
        <v>1200.3399999999999</v>
      </c>
      <c r="F2496" s="1">
        <v>44925</v>
      </c>
      <c r="G2496" t="s">
        <v>2004</v>
      </c>
      <c r="H2496">
        <v>3</v>
      </c>
      <c r="I2496" s="12">
        <f>Table16[[#This Row],[price]]*Table16[[#This Row],[quantity]]</f>
        <v>2400.6799999999998</v>
      </c>
    </row>
    <row r="2497" spans="1:9" x14ac:dyDescent="0.3">
      <c r="A2497" t="s">
        <v>4516</v>
      </c>
      <c r="B2497" t="s">
        <v>487</v>
      </c>
      <c r="C2497" t="s">
        <v>2024</v>
      </c>
      <c r="D2497">
        <v>5</v>
      </c>
      <c r="E2497" s="16">
        <v>179.2</v>
      </c>
      <c r="F2497" s="1">
        <v>44323</v>
      </c>
      <c r="G2497" t="s">
        <v>2058</v>
      </c>
      <c r="H2497">
        <v>5</v>
      </c>
      <c r="I2497" s="12">
        <f>Table16[[#This Row],[price]]*Table16[[#This Row],[quantity]]</f>
        <v>896</v>
      </c>
    </row>
    <row r="2498" spans="1:9" x14ac:dyDescent="0.3">
      <c r="A2498" t="s">
        <v>4517</v>
      </c>
      <c r="B2498" t="s">
        <v>487</v>
      </c>
      <c r="C2498" t="s">
        <v>2017</v>
      </c>
      <c r="D2498">
        <v>1</v>
      </c>
      <c r="E2498" s="16">
        <v>1050</v>
      </c>
      <c r="F2498" s="1">
        <v>44379</v>
      </c>
      <c r="G2498" t="s">
        <v>2027</v>
      </c>
      <c r="H2498">
        <v>5</v>
      </c>
      <c r="I2498" s="12">
        <f>Table16[[#This Row],[price]]*Table16[[#This Row],[quantity]]</f>
        <v>1050</v>
      </c>
    </row>
    <row r="2499" spans="1:9" x14ac:dyDescent="0.3">
      <c r="A2499" t="s">
        <v>4519</v>
      </c>
      <c r="B2499" t="s">
        <v>487</v>
      </c>
      <c r="C2499" t="s">
        <v>2024</v>
      </c>
      <c r="D2499">
        <v>2</v>
      </c>
      <c r="E2499" s="16">
        <v>71.680000000000007</v>
      </c>
      <c r="F2499" s="1">
        <v>44418</v>
      </c>
      <c r="G2499" t="s">
        <v>2027</v>
      </c>
      <c r="H2499">
        <v>3</v>
      </c>
      <c r="I2499" s="12">
        <f>Table16[[#This Row],[price]]*Table16[[#This Row],[quantity]]</f>
        <v>143.36000000000001</v>
      </c>
    </row>
    <row r="2500" spans="1:9" x14ac:dyDescent="0.3">
      <c r="A2500" t="s">
        <v>4513</v>
      </c>
      <c r="B2500" t="s">
        <v>487</v>
      </c>
      <c r="C2500" t="s">
        <v>2024</v>
      </c>
      <c r="D2500">
        <v>2</v>
      </c>
      <c r="E2500" s="16">
        <v>71.680000000000007</v>
      </c>
      <c r="F2500" s="1">
        <v>44630</v>
      </c>
      <c r="G2500" t="s">
        <v>2012</v>
      </c>
      <c r="H2500">
        <v>3</v>
      </c>
      <c r="I2500" s="12">
        <f>Table16[[#This Row],[price]]*Table16[[#This Row],[quantity]]</f>
        <v>143.36000000000001</v>
      </c>
    </row>
    <row r="2501" spans="1:9" x14ac:dyDescent="0.3">
      <c r="A2501" t="s">
        <v>4514</v>
      </c>
      <c r="B2501" t="s">
        <v>487</v>
      </c>
      <c r="C2501" t="s">
        <v>2001</v>
      </c>
      <c r="D2501">
        <v>1</v>
      </c>
      <c r="E2501" s="16">
        <v>300.08</v>
      </c>
      <c r="F2501" s="1">
        <v>44662</v>
      </c>
      <c r="G2501" t="s">
        <v>2064</v>
      </c>
      <c r="H2501">
        <v>3</v>
      </c>
      <c r="I2501" s="12">
        <f>Table16[[#This Row],[price]]*Table16[[#This Row],[quantity]]</f>
        <v>300.08</v>
      </c>
    </row>
    <row r="2502" spans="1:9" x14ac:dyDescent="0.3">
      <c r="A2502" t="s">
        <v>4518</v>
      </c>
      <c r="B2502" t="s">
        <v>487</v>
      </c>
      <c r="C2502" t="s">
        <v>2008</v>
      </c>
      <c r="D2502">
        <v>1</v>
      </c>
      <c r="E2502" s="16">
        <v>5.23</v>
      </c>
      <c r="F2502" s="1">
        <v>44684</v>
      </c>
      <c r="G2502" t="s">
        <v>2020</v>
      </c>
      <c r="H2502">
        <v>3</v>
      </c>
      <c r="I2502" s="12">
        <f>Table16[[#This Row],[price]]*Table16[[#This Row],[quantity]]</f>
        <v>5.23</v>
      </c>
    </row>
    <row r="2503" spans="1:9" x14ac:dyDescent="0.3">
      <c r="A2503" t="s">
        <v>4520</v>
      </c>
      <c r="B2503" t="s">
        <v>487</v>
      </c>
      <c r="C2503" t="s">
        <v>2057</v>
      </c>
      <c r="D2503">
        <v>1</v>
      </c>
      <c r="E2503" s="16">
        <v>11.73</v>
      </c>
      <c r="F2503" s="1">
        <v>44778</v>
      </c>
      <c r="G2503" t="s">
        <v>2027</v>
      </c>
      <c r="H2503">
        <v>5</v>
      </c>
      <c r="I2503" s="12">
        <f>Table16[[#This Row],[price]]*Table16[[#This Row],[quantity]]</f>
        <v>11.73</v>
      </c>
    </row>
    <row r="2504" spans="1:9" x14ac:dyDescent="0.3">
      <c r="A2504" t="s">
        <v>4515</v>
      </c>
      <c r="B2504" t="s">
        <v>487</v>
      </c>
      <c r="C2504" t="s">
        <v>2008</v>
      </c>
      <c r="D2504">
        <v>2</v>
      </c>
      <c r="E2504" s="16">
        <v>10.46</v>
      </c>
      <c r="F2504" s="1">
        <v>44875</v>
      </c>
      <c r="G2504" t="s">
        <v>2002</v>
      </c>
      <c r="H2504">
        <v>5</v>
      </c>
      <c r="I2504" s="12">
        <f>Table16[[#This Row],[price]]*Table16[[#This Row],[quantity]]</f>
        <v>20.92</v>
      </c>
    </row>
    <row r="2505" spans="1:9" x14ac:dyDescent="0.3">
      <c r="A2505" t="s">
        <v>4522</v>
      </c>
      <c r="B2505" t="s">
        <v>488</v>
      </c>
      <c r="C2505" t="s">
        <v>2001</v>
      </c>
      <c r="D2505">
        <v>1</v>
      </c>
      <c r="E2505" s="16">
        <v>300.08</v>
      </c>
      <c r="F2505" s="1">
        <v>44798</v>
      </c>
      <c r="G2505" t="s">
        <v>2064</v>
      </c>
      <c r="H2505">
        <v>1</v>
      </c>
      <c r="I2505" s="12">
        <f>Table16[[#This Row],[price]]*Table16[[#This Row],[quantity]]</f>
        <v>300.08</v>
      </c>
    </row>
    <row r="2506" spans="1:9" x14ac:dyDescent="0.3">
      <c r="A2506" t="s">
        <v>4524</v>
      </c>
      <c r="B2506" t="s">
        <v>488</v>
      </c>
      <c r="C2506" t="s">
        <v>2001</v>
      </c>
      <c r="D2506">
        <v>2</v>
      </c>
      <c r="E2506" s="16">
        <v>600.16</v>
      </c>
      <c r="F2506" s="1">
        <v>44803</v>
      </c>
      <c r="G2506" t="s">
        <v>2002</v>
      </c>
      <c r="H2506">
        <v>1</v>
      </c>
      <c r="I2506" s="12">
        <f>Table16[[#This Row],[price]]*Table16[[#This Row],[quantity]]</f>
        <v>1200.32</v>
      </c>
    </row>
    <row r="2507" spans="1:9" x14ac:dyDescent="0.3">
      <c r="A2507" t="s">
        <v>4521</v>
      </c>
      <c r="B2507" t="s">
        <v>488</v>
      </c>
      <c r="C2507" t="s">
        <v>2001</v>
      </c>
      <c r="D2507">
        <v>1</v>
      </c>
      <c r="E2507" s="16">
        <v>300.08</v>
      </c>
      <c r="F2507" s="1">
        <v>44903</v>
      </c>
      <c r="G2507" t="s">
        <v>2004</v>
      </c>
      <c r="H2507">
        <v>2</v>
      </c>
      <c r="I2507" s="12">
        <f>Table16[[#This Row],[price]]*Table16[[#This Row],[quantity]]</f>
        <v>300.08</v>
      </c>
    </row>
    <row r="2508" spans="1:9" x14ac:dyDescent="0.3">
      <c r="A2508" t="s">
        <v>4523</v>
      </c>
      <c r="B2508" t="s">
        <v>488</v>
      </c>
      <c r="C2508" t="s">
        <v>2001</v>
      </c>
      <c r="D2508">
        <v>1</v>
      </c>
      <c r="E2508" s="16">
        <v>300.08</v>
      </c>
      <c r="F2508" s="1">
        <v>44915</v>
      </c>
      <c r="G2508" t="s">
        <v>2064</v>
      </c>
      <c r="H2508">
        <v>4</v>
      </c>
      <c r="I2508" s="12">
        <f>Table16[[#This Row],[price]]*Table16[[#This Row],[quantity]]</f>
        <v>300.08</v>
      </c>
    </row>
    <row r="2509" spans="1:9" x14ac:dyDescent="0.3">
      <c r="A2509" t="s">
        <v>4528</v>
      </c>
      <c r="B2509" t="s">
        <v>489</v>
      </c>
      <c r="C2509" t="s">
        <v>2015</v>
      </c>
      <c r="D2509">
        <v>3</v>
      </c>
      <c r="E2509" s="16">
        <v>1800.51</v>
      </c>
      <c r="F2509" s="1">
        <v>44585</v>
      </c>
      <c r="G2509" t="s">
        <v>2027</v>
      </c>
      <c r="H2509">
        <v>5</v>
      </c>
      <c r="I2509" s="12">
        <f>Table16[[#This Row],[price]]*Table16[[#This Row],[quantity]]</f>
        <v>5401.53</v>
      </c>
    </row>
    <row r="2510" spans="1:9" x14ac:dyDescent="0.3">
      <c r="A2510" t="s">
        <v>4526</v>
      </c>
      <c r="B2510" t="s">
        <v>489</v>
      </c>
      <c r="C2510" t="s">
        <v>2001</v>
      </c>
      <c r="D2510">
        <v>3</v>
      </c>
      <c r="E2510" s="16">
        <v>900.24</v>
      </c>
      <c r="F2510" s="1">
        <v>44652</v>
      </c>
      <c r="G2510" t="s">
        <v>2004</v>
      </c>
      <c r="H2510">
        <v>2</v>
      </c>
      <c r="I2510" s="12">
        <f>Table16[[#This Row],[price]]*Table16[[#This Row],[quantity]]</f>
        <v>2700.7200000000003</v>
      </c>
    </row>
    <row r="2511" spans="1:9" x14ac:dyDescent="0.3">
      <c r="A2511" t="s">
        <v>4527</v>
      </c>
      <c r="B2511" t="s">
        <v>489</v>
      </c>
      <c r="C2511" t="s">
        <v>2001</v>
      </c>
      <c r="D2511">
        <v>4</v>
      </c>
      <c r="E2511" s="16">
        <v>1200.32</v>
      </c>
      <c r="F2511" s="1">
        <v>44858</v>
      </c>
      <c r="G2511" t="s">
        <v>2041</v>
      </c>
      <c r="H2511">
        <v>2</v>
      </c>
      <c r="I2511" s="12">
        <f>Table16[[#This Row],[price]]*Table16[[#This Row],[quantity]]</f>
        <v>4801.28</v>
      </c>
    </row>
    <row r="2512" spans="1:9" x14ac:dyDescent="0.3">
      <c r="A2512" t="s">
        <v>4525</v>
      </c>
      <c r="B2512" t="s">
        <v>489</v>
      </c>
      <c r="C2512" t="s">
        <v>2011</v>
      </c>
      <c r="D2512">
        <v>5</v>
      </c>
      <c r="E2512" s="16">
        <v>203.3</v>
      </c>
      <c r="F2512" s="1">
        <v>44885</v>
      </c>
      <c r="G2512" t="s">
        <v>2002</v>
      </c>
      <c r="H2512">
        <v>1</v>
      </c>
      <c r="I2512" s="12">
        <f>Table16[[#This Row],[price]]*Table16[[#This Row],[quantity]]</f>
        <v>1016.5</v>
      </c>
    </row>
    <row r="2513" spans="1:9" x14ac:dyDescent="0.3">
      <c r="A2513" t="s">
        <v>4535</v>
      </c>
      <c r="B2513" t="s">
        <v>490</v>
      </c>
      <c r="C2513" t="s">
        <v>2001</v>
      </c>
      <c r="D2513">
        <v>2</v>
      </c>
      <c r="E2513" s="16">
        <v>600.16</v>
      </c>
      <c r="F2513" s="1">
        <v>44257</v>
      </c>
      <c r="G2513" t="s">
        <v>2004</v>
      </c>
      <c r="H2513">
        <v>4</v>
      </c>
      <c r="I2513" s="12">
        <f>Table16[[#This Row],[price]]*Table16[[#This Row],[quantity]]</f>
        <v>1200.32</v>
      </c>
    </row>
    <row r="2514" spans="1:9" x14ac:dyDescent="0.3">
      <c r="A2514" t="s">
        <v>4530</v>
      </c>
      <c r="B2514" t="s">
        <v>490</v>
      </c>
      <c r="C2514" t="s">
        <v>2001</v>
      </c>
      <c r="D2514">
        <v>3</v>
      </c>
      <c r="E2514" s="16">
        <v>900.24</v>
      </c>
      <c r="F2514" s="1">
        <v>44479</v>
      </c>
      <c r="G2514" t="s">
        <v>2018</v>
      </c>
      <c r="H2514">
        <v>3</v>
      </c>
      <c r="I2514" s="12">
        <f>Table16[[#This Row],[price]]*Table16[[#This Row],[quantity]]</f>
        <v>2700.7200000000003</v>
      </c>
    </row>
    <row r="2515" spans="1:9" x14ac:dyDescent="0.3">
      <c r="A2515" t="s">
        <v>4531</v>
      </c>
      <c r="B2515" t="s">
        <v>490</v>
      </c>
      <c r="C2515" t="s">
        <v>2001</v>
      </c>
      <c r="D2515">
        <v>4</v>
      </c>
      <c r="E2515" s="16">
        <v>1200.32</v>
      </c>
      <c r="F2515" s="1">
        <v>44488</v>
      </c>
      <c r="G2515" t="s">
        <v>2002</v>
      </c>
      <c r="H2515">
        <v>1</v>
      </c>
      <c r="I2515" s="12">
        <f>Table16[[#This Row],[price]]*Table16[[#This Row],[quantity]]</f>
        <v>4801.28</v>
      </c>
    </row>
    <row r="2516" spans="1:9" x14ac:dyDescent="0.3">
      <c r="A2516" t="s">
        <v>4532</v>
      </c>
      <c r="B2516" t="s">
        <v>490</v>
      </c>
      <c r="C2516" t="s">
        <v>2001</v>
      </c>
      <c r="D2516">
        <v>2</v>
      </c>
      <c r="E2516" s="16">
        <v>600.16</v>
      </c>
      <c r="F2516" s="1">
        <v>44531</v>
      </c>
      <c r="G2516" t="s">
        <v>2064</v>
      </c>
      <c r="H2516">
        <v>1</v>
      </c>
      <c r="I2516" s="12">
        <f>Table16[[#This Row],[price]]*Table16[[#This Row],[quantity]]</f>
        <v>1200.32</v>
      </c>
    </row>
    <row r="2517" spans="1:9" x14ac:dyDescent="0.3">
      <c r="A2517" t="s">
        <v>4534</v>
      </c>
      <c r="B2517" t="s">
        <v>490</v>
      </c>
      <c r="C2517" t="s">
        <v>2006</v>
      </c>
      <c r="D2517">
        <v>3</v>
      </c>
      <c r="E2517" s="16">
        <v>45.45</v>
      </c>
      <c r="F2517" s="1">
        <v>44757</v>
      </c>
      <c r="G2517" t="s">
        <v>2018</v>
      </c>
      <c r="H2517">
        <v>2</v>
      </c>
      <c r="I2517" s="12">
        <f>Table16[[#This Row],[price]]*Table16[[#This Row],[quantity]]</f>
        <v>136.35000000000002</v>
      </c>
    </row>
    <row r="2518" spans="1:9" x14ac:dyDescent="0.3">
      <c r="A2518" t="s">
        <v>4536</v>
      </c>
      <c r="B2518" t="s">
        <v>490</v>
      </c>
      <c r="C2518" t="s">
        <v>2011</v>
      </c>
      <c r="D2518">
        <v>5</v>
      </c>
      <c r="E2518" s="16">
        <v>203.3</v>
      </c>
      <c r="F2518" s="1">
        <v>44878</v>
      </c>
      <c r="G2518" t="s">
        <v>2004</v>
      </c>
      <c r="H2518">
        <v>4</v>
      </c>
      <c r="I2518" s="12">
        <f>Table16[[#This Row],[price]]*Table16[[#This Row],[quantity]]</f>
        <v>1016.5</v>
      </c>
    </row>
    <row r="2519" spans="1:9" x14ac:dyDescent="0.3">
      <c r="A2519" t="s">
        <v>4529</v>
      </c>
      <c r="B2519" t="s">
        <v>490</v>
      </c>
      <c r="C2519" t="s">
        <v>2024</v>
      </c>
      <c r="D2519">
        <v>1</v>
      </c>
      <c r="E2519" s="16">
        <v>35.840000000000003</v>
      </c>
      <c r="F2519" s="1">
        <v>44880</v>
      </c>
      <c r="G2519" t="s">
        <v>2004</v>
      </c>
      <c r="H2519">
        <v>1</v>
      </c>
      <c r="I2519" s="12">
        <f>Table16[[#This Row],[price]]*Table16[[#This Row],[quantity]]</f>
        <v>35.840000000000003</v>
      </c>
    </row>
    <row r="2520" spans="1:9" x14ac:dyDescent="0.3">
      <c r="A2520" t="s">
        <v>4533</v>
      </c>
      <c r="B2520" t="s">
        <v>490</v>
      </c>
      <c r="C2520" t="s">
        <v>2017</v>
      </c>
      <c r="D2520">
        <v>1</v>
      </c>
      <c r="E2520" s="16">
        <v>1050</v>
      </c>
      <c r="F2520" s="1">
        <v>44964</v>
      </c>
      <c r="G2520" t="s">
        <v>2020</v>
      </c>
      <c r="H2520">
        <v>5</v>
      </c>
      <c r="I2520" s="12">
        <f>Table16[[#This Row],[price]]*Table16[[#This Row],[quantity]]</f>
        <v>1050</v>
      </c>
    </row>
    <row r="2521" spans="1:9" x14ac:dyDescent="0.3">
      <c r="A2521" t="s">
        <v>4538</v>
      </c>
      <c r="B2521" t="s">
        <v>491</v>
      </c>
      <c r="C2521" t="s">
        <v>2024</v>
      </c>
      <c r="D2521">
        <v>5</v>
      </c>
      <c r="E2521" s="16">
        <v>179.2</v>
      </c>
      <c r="F2521" s="1">
        <v>44289</v>
      </c>
      <c r="G2521" t="s">
        <v>2004</v>
      </c>
      <c r="H2521">
        <v>2</v>
      </c>
      <c r="I2521" s="12">
        <f>Table16[[#This Row],[price]]*Table16[[#This Row],[quantity]]</f>
        <v>896</v>
      </c>
    </row>
    <row r="2522" spans="1:9" x14ac:dyDescent="0.3">
      <c r="A2522" t="s">
        <v>4537</v>
      </c>
      <c r="B2522" t="s">
        <v>491</v>
      </c>
      <c r="C2522" t="s">
        <v>2008</v>
      </c>
      <c r="D2522">
        <v>4</v>
      </c>
      <c r="E2522" s="16">
        <v>20.92</v>
      </c>
      <c r="F2522" s="1">
        <v>44921</v>
      </c>
      <c r="G2522" t="s">
        <v>2018</v>
      </c>
      <c r="H2522">
        <v>2</v>
      </c>
      <c r="I2522" s="12">
        <f>Table16[[#This Row],[price]]*Table16[[#This Row],[quantity]]</f>
        <v>83.68</v>
      </c>
    </row>
    <row r="2523" spans="1:9" x14ac:dyDescent="0.3">
      <c r="A2523" t="s">
        <v>4539</v>
      </c>
      <c r="B2523" t="s">
        <v>492</v>
      </c>
      <c r="C2523" t="s">
        <v>2001</v>
      </c>
      <c r="D2523">
        <v>4</v>
      </c>
      <c r="E2523" s="16">
        <v>1200.32</v>
      </c>
      <c r="F2523" s="1">
        <v>44244</v>
      </c>
      <c r="G2523" t="s">
        <v>2064</v>
      </c>
      <c r="H2523">
        <v>3</v>
      </c>
      <c r="I2523" s="12">
        <f>Table16[[#This Row],[price]]*Table16[[#This Row],[quantity]]</f>
        <v>4801.28</v>
      </c>
    </row>
    <row r="2524" spans="1:9" x14ac:dyDescent="0.3">
      <c r="A2524" t="s">
        <v>4542</v>
      </c>
      <c r="B2524" t="s">
        <v>492</v>
      </c>
      <c r="C2524" t="s">
        <v>2011</v>
      </c>
      <c r="D2524">
        <v>2</v>
      </c>
      <c r="E2524" s="16">
        <v>81.319999999999993</v>
      </c>
      <c r="F2524" s="1">
        <v>44713</v>
      </c>
      <c r="G2524" t="s">
        <v>2004</v>
      </c>
      <c r="H2524">
        <v>2</v>
      </c>
      <c r="I2524" s="12">
        <f>Table16[[#This Row],[price]]*Table16[[#This Row],[quantity]]</f>
        <v>162.63999999999999</v>
      </c>
    </row>
    <row r="2525" spans="1:9" x14ac:dyDescent="0.3">
      <c r="A2525" t="s">
        <v>4540</v>
      </c>
      <c r="B2525" t="s">
        <v>492</v>
      </c>
      <c r="C2525" t="s">
        <v>2008</v>
      </c>
      <c r="D2525">
        <v>2</v>
      </c>
      <c r="E2525" s="16">
        <v>10.46</v>
      </c>
      <c r="F2525" s="1">
        <v>44737</v>
      </c>
      <c r="G2525" t="s">
        <v>2027</v>
      </c>
      <c r="H2525">
        <v>1</v>
      </c>
      <c r="I2525" s="12">
        <f>Table16[[#This Row],[price]]*Table16[[#This Row],[quantity]]</f>
        <v>20.92</v>
      </c>
    </row>
    <row r="2526" spans="1:9" x14ac:dyDescent="0.3">
      <c r="A2526" t="s">
        <v>4541</v>
      </c>
      <c r="B2526" t="s">
        <v>492</v>
      </c>
      <c r="C2526" t="s">
        <v>2011</v>
      </c>
      <c r="D2526">
        <v>1</v>
      </c>
      <c r="E2526" s="16">
        <v>40.659999999999997</v>
      </c>
      <c r="F2526" s="1">
        <v>44844</v>
      </c>
      <c r="G2526" t="s">
        <v>2002</v>
      </c>
      <c r="H2526">
        <v>2</v>
      </c>
      <c r="I2526" s="12">
        <f>Table16[[#This Row],[price]]*Table16[[#This Row],[quantity]]</f>
        <v>40.659999999999997</v>
      </c>
    </row>
    <row r="2527" spans="1:9" x14ac:dyDescent="0.3">
      <c r="A2527" t="s">
        <v>4544</v>
      </c>
      <c r="B2527" t="s">
        <v>493</v>
      </c>
      <c r="C2527" t="s">
        <v>2057</v>
      </c>
      <c r="D2527">
        <v>2</v>
      </c>
      <c r="E2527" s="16">
        <v>23.46</v>
      </c>
      <c r="F2527" s="1">
        <v>44211</v>
      </c>
      <c r="G2527" t="s">
        <v>2027</v>
      </c>
      <c r="H2527">
        <v>1</v>
      </c>
      <c r="I2527" s="12">
        <f>Table16[[#This Row],[price]]*Table16[[#This Row],[quantity]]</f>
        <v>46.92</v>
      </c>
    </row>
    <row r="2528" spans="1:9" x14ac:dyDescent="0.3">
      <c r="A2528" t="s">
        <v>4546</v>
      </c>
      <c r="B2528" t="s">
        <v>493</v>
      </c>
      <c r="C2528" t="s">
        <v>2001</v>
      </c>
      <c r="D2528">
        <v>3</v>
      </c>
      <c r="E2528" s="16">
        <v>900.24</v>
      </c>
      <c r="F2528" s="1">
        <v>44219</v>
      </c>
      <c r="G2528" t="s">
        <v>2004</v>
      </c>
      <c r="H2528">
        <v>1</v>
      </c>
      <c r="I2528" s="12">
        <f>Table16[[#This Row],[price]]*Table16[[#This Row],[quantity]]</f>
        <v>2700.7200000000003</v>
      </c>
    </row>
    <row r="2529" spans="1:9" x14ac:dyDescent="0.3">
      <c r="A2529" t="s">
        <v>4547</v>
      </c>
      <c r="B2529" t="s">
        <v>493</v>
      </c>
      <c r="C2529" t="s">
        <v>2008</v>
      </c>
      <c r="D2529">
        <v>1</v>
      </c>
      <c r="E2529" s="16">
        <v>5.23</v>
      </c>
      <c r="F2529" s="1">
        <v>44231</v>
      </c>
      <c r="G2529" t="s">
        <v>2004</v>
      </c>
      <c r="H2529">
        <v>1</v>
      </c>
      <c r="I2529" s="12">
        <f>Table16[[#This Row],[price]]*Table16[[#This Row],[quantity]]</f>
        <v>5.23</v>
      </c>
    </row>
    <row r="2530" spans="1:9" x14ac:dyDescent="0.3">
      <c r="A2530" t="s">
        <v>4543</v>
      </c>
      <c r="B2530" t="s">
        <v>493</v>
      </c>
      <c r="C2530" t="s">
        <v>2006</v>
      </c>
      <c r="D2530">
        <v>4</v>
      </c>
      <c r="E2530" s="16">
        <v>60.6</v>
      </c>
      <c r="F2530" s="1">
        <v>44302</v>
      </c>
      <c r="G2530" t="s">
        <v>2004</v>
      </c>
      <c r="H2530">
        <v>5</v>
      </c>
      <c r="I2530" s="12">
        <f>Table16[[#This Row],[price]]*Table16[[#This Row],[quantity]]</f>
        <v>242.4</v>
      </c>
    </row>
    <row r="2531" spans="1:9" x14ac:dyDescent="0.3">
      <c r="A2531" t="s">
        <v>4549</v>
      </c>
      <c r="B2531" t="s">
        <v>493</v>
      </c>
      <c r="C2531" t="s">
        <v>2008</v>
      </c>
      <c r="D2531">
        <v>4</v>
      </c>
      <c r="E2531" s="16">
        <v>20.92</v>
      </c>
      <c r="F2531" s="1">
        <v>44320</v>
      </c>
      <c r="G2531" t="s">
        <v>2027</v>
      </c>
      <c r="H2531">
        <v>2</v>
      </c>
      <c r="I2531" s="12">
        <f>Table16[[#This Row],[price]]*Table16[[#This Row],[quantity]]</f>
        <v>83.68</v>
      </c>
    </row>
    <row r="2532" spans="1:9" x14ac:dyDescent="0.3">
      <c r="A2532" t="s">
        <v>4548</v>
      </c>
      <c r="B2532" t="s">
        <v>493</v>
      </c>
      <c r="C2532" t="s">
        <v>2008</v>
      </c>
      <c r="D2532">
        <v>2</v>
      </c>
      <c r="E2532" s="16">
        <v>10.46</v>
      </c>
      <c r="F2532" s="1">
        <v>44351</v>
      </c>
      <c r="G2532" t="s">
        <v>2002</v>
      </c>
      <c r="H2532">
        <v>2</v>
      </c>
      <c r="I2532" s="12">
        <f>Table16[[#This Row],[price]]*Table16[[#This Row],[quantity]]</f>
        <v>20.92</v>
      </c>
    </row>
    <row r="2533" spans="1:9" x14ac:dyDescent="0.3">
      <c r="A2533" t="s">
        <v>4545</v>
      </c>
      <c r="B2533" t="s">
        <v>493</v>
      </c>
      <c r="C2533" t="s">
        <v>2008</v>
      </c>
      <c r="D2533">
        <v>1</v>
      </c>
      <c r="E2533" s="16">
        <v>5.23</v>
      </c>
      <c r="F2533" s="1">
        <v>44598</v>
      </c>
      <c r="G2533" t="s">
        <v>2004</v>
      </c>
      <c r="H2533">
        <v>4</v>
      </c>
      <c r="I2533" s="12">
        <f>Table16[[#This Row],[price]]*Table16[[#This Row],[quantity]]</f>
        <v>5.23</v>
      </c>
    </row>
    <row r="2534" spans="1:9" x14ac:dyDescent="0.3">
      <c r="A2534" t="s">
        <v>4550</v>
      </c>
      <c r="B2534" t="s">
        <v>494</v>
      </c>
      <c r="C2534" t="s">
        <v>2015</v>
      </c>
      <c r="D2534">
        <v>1</v>
      </c>
      <c r="E2534" s="16">
        <v>600.16999999999996</v>
      </c>
      <c r="F2534" s="1">
        <v>44557</v>
      </c>
      <c r="G2534" t="s">
        <v>2027</v>
      </c>
      <c r="H2534">
        <v>2</v>
      </c>
      <c r="I2534" s="12">
        <f>Table16[[#This Row],[price]]*Table16[[#This Row],[quantity]]</f>
        <v>600.16999999999996</v>
      </c>
    </row>
    <row r="2535" spans="1:9" x14ac:dyDescent="0.3">
      <c r="A2535" t="s">
        <v>4551</v>
      </c>
      <c r="B2535" t="s">
        <v>494</v>
      </c>
      <c r="C2535" t="s">
        <v>2001</v>
      </c>
      <c r="D2535">
        <v>3</v>
      </c>
      <c r="E2535" s="16">
        <v>900.24</v>
      </c>
      <c r="F2535" s="1">
        <v>44561</v>
      </c>
      <c r="G2535" t="s">
        <v>2002</v>
      </c>
      <c r="H2535">
        <v>3</v>
      </c>
      <c r="I2535" s="12">
        <f>Table16[[#This Row],[price]]*Table16[[#This Row],[quantity]]</f>
        <v>2700.7200000000003</v>
      </c>
    </row>
    <row r="2536" spans="1:9" x14ac:dyDescent="0.3">
      <c r="A2536" t="s">
        <v>4552</v>
      </c>
      <c r="B2536" t="s">
        <v>494</v>
      </c>
      <c r="C2536" t="s">
        <v>2024</v>
      </c>
      <c r="D2536">
        <v>4</v>
      </c>
      <c r="E2536" s="16">
        <v>143.36000000000001</v>
      </c>
      <c r="F2536" s="1">
        <v>44823</v>
      </c>
      <c r="G2536" t="s">
        <v>2020</v>
      </c>
      <c r="H2536">
        <v>4</v>
      </c>
      <c r="I2536" s="12">
        <f>Table16[[#This Row],[price]]*Table16[[#This Row],[quantity]]</f>
        <v>573.44000000000005</v>
      </c>
    </row>
    <row r="2537" spans="1:9" x14ac:dyDescent="0.3">
      <c r="A2537" t="s">
        <v>4553</v>
      </c>
      <c r="B2537" t="s">
        <v>495</v>
      </c>
      <c r="C2537" t="s">
        <v>2008</v>
      </c>
      <c r="D2537">
        <v>3</v>
      </c>
      <c r="E2537" s="16">
        <v>15.69</v>
      </c>
      <c r="F2537" s="1">
        <v>44413</v>
      </c>
      <c r="G2537" t="s">
        <v>2041</v>
      </c>
      <c r="H2537">
        <v>2</v>
      </c>
      <c r="I2537" s="12">
        <f>Table16[[#This Row],[price]]*Table16[[#This Row],[quantity]]</f>
        <v>47.07</v>
      </c>
    </row>
    <row r="2538" spans="1:9" x14ac:dyDescent="0.3">
      <c r="A2538" t="s">
        <v>4554</v>
      </c>
      <c r="B2538" t="s">
        <v>495</v>
      </c>
      <c r="C2538" t="s">
        <v>2008</v>
      </c>
      <c r="D2538">
        <v>5</v>
      </c>
      <c r="E2538" s="16">
        <v>26.15</v>
      </c>
      <c r="F2538" s="1">
        <v>44891</v>
      </c>
      <c r="G2538" t="s">
        <v>2064</v>
      </c>
      <c r="H2538">
        <v>5</v>
      </c>
      <c r="I2538" s="12">
        <f>Table16[[#This Row],[price]]*Table16[[#This Row],[quantity]]</f>
        <v>130.75</v>
      </c>
    </row>
    <row r="2539" spans="1:9" x14ac:dyDescent="0.3">
      <c r="A2539" t="s">
        <v>4556</v>
      </c>
      <c r="B2539" t="s">
        <v>496</v>
      </c>
      <c r="C2539" t="s">
        <v>2001</v>
      </c>
      <c r="D2539">
        <v>3</v>
      </c>
      <c r="E2539" s="16">
        <v>900.24</v>
      </c>
      <c r="F2539" s="1">
        <v>44402</v>
      </c>
      <c r="G2539" t="s">
        <v>2012</v>
      </c>
      <c r="H2539">
        <v>1</v>
      </c>
      <c r="I2539" s="12">
        <f>Table16[[#This Row],[price]]*Table16[[#This Row],[quantity]]</f>
        <v>2700.7200000000003</v>
      </c>
    </row>
    <row r="2540" spans="1:9" x14ac:dyDescent="0.3">
      <c r="A2540" t="s">
        <v>4555</v>
      </c>
      <c r="B2540" t="s">
        <v>496</v>
      </c>
      <c r="C2540" t="s">
        <v>2001</v>
      </c>
      <c r="D2540">
        <v>1</v>
      </c>
      <c r="E2540" s="16">
        <v>300.08</v>
      </c>
      <c r="F2540" s="1">
        <v>44511</v>
      </c>
      <c r="G2540" t="s">
        <v>2002</v>
      </c>
      <c r="H2540">
        <v>4</v>
      </c>
      <c r="I2540" s="12">
        <f>Table16[[#This Row],[price]]*Table16[[#This Row],[quantity]]</f>
        <v>300.08</v>
      </c>
    </row>
    <row r="2541" spans="1:9" x14ac:dyDescent="0.3">
      <c r="A2541" t="s">
        <v>4557</v>
      </c>
      <c r="B2541" t="s">
        <v>496</v>
      </c>
      <c r="C2541" t="s">
        <v>2001</v>
      </c>
      <c r="D2541">
        <v>3</v>
      </c>
      <c r="E2541" s="16">
        <v>900.24</v>
      </c>
      <c r="F2541" s="1">
        <v>44647</v>
      </c>
      <c r="G2541" t="s">
        <v>2058</v>
      </c>
      <c r="H2541">
        <v>2</v>
      </c>
      <c r="I2541" s="12">
        <f>Table16[[#This Row],[price]]*Table16[[#This Row],[quantity]]</f>
        <v>2700.7200000000003</v>
      </c>
    </row>
    <row r="2542" spans="1:9" x14ac:dyDescent="0.3">
      <c r="A2542" t="s">
        <v>4558</v>
      </c>
      <c r="B2542" t="s">
        <v>496</v>
      </c>
      <c r="C2542" t="s">
        <v>2001</v>
      </c>
      <c r="D2542">
        <v>1</v>
      </c>
      <c r="E2542" s="16">
        <v>300.08</v>
      </c>
      <c r="F2542" s="1">
        <v>44770</v>
      </c>
      <c r="G2542" t="s">
        <v>2002</v>
      </c>
      <c r="H2542">
        <v>5</v>
      </c>
      <c r="I2542" s="12">
        <f>Table16[[#This Row],[price]]*Table16[[#This Row],[quantity]]</f>
        <v>300.08</v>
      </c>
    </row>
    <row r="2543" spans="1:9" x14ac:dyDescent="0.3">
      <c r="A2543" t="s">
        <v>4559</v>
      </c>
      <c r="B2543" t="s">
        <v>496</v>
      </c>
      <c r="C2543" t="s">
        <v>2057</v>
      </c>
      <c r="D2543">
        <v>4</v>
      </c>
      <c r="E2543" s="16">
        <v>46.92</v>
      </c>
      <c r="F2543" s="1">
        <v>44850</v>
      </c>
      <c r="G2543" t="s">
        <v>2004</v>
      </c>
      <c r="H2543">
        <v>1</v>
      </c>
      <c r="I2543" s="12">
        <f>Table16[[#This Row],[price]]*Table16[[#This Row],[quantity]]</f>
        <v>187.68</v>
      </c>
    </row>
    <row r="2544" spans="1:9" x14ac:dyDescent="0.3">
      <c r="A2544" t="s">
        <v>4560</v>
      </c>
      <c r="B2544" t="s">
        <v>497</v>
      </c>
      <c r="C2544" t="s">
        <v>2011</v>
      </c>
      <c r="D2544">
        <v>3</v>
      </c>
      <c r="E2544" s="16">
        <v>121.98</v>
      </c>
      <c r="F2544" s="1">
        <v>44200</v>
      </c>
      <c r="G2544" t="s">
        <v>2018</v>
      </c>
      <c r="H2544">
        <v>5</v>
      </c>
      <c r="I2544" s="12">
        <f>Table16[[#This Row],[price]]*Table16[[#This Row],[quantity]]</f>
        <v>365.94</v>
      </c>
    </row>
    <row r="2545" spans="1:9" x14ac:dyDescent="0.3">
      <c r="A2545" t="s">
        <v>4562</v>
      </c>
      <c r="B2545" t="s">
        <v>497</v>
      </c>
      <c r="C2545" t="s">
        <v>2008</v>
      </c>
      <c r="D2545">
        <v>4</v>
      </c>
      <c r="E2545" s="16">
        <v>20.92</v>
      </c>
      <c r="F2545" s="1">
        <v>44786</v>
      </c>
      <c r="G2545" t="s">
        <v>2004</v>
      </c>
      <c r="H2545">
        <v>2</v>
      </c>
      <c r="I2545" s="12">
        <f>Table16[[#This Row],[price]]*Table16[[#This Row],[quantity]]</f>
        <v>83.68</v>
      </c>
    </row>
    <row r="2546" spans="1:9" x14ac:dyDescent="0.3">
      <c r="A2546" t="s">
        <v>4561</v>
      </c>
      <c r="B2546" t="s">
        <v>497</v>
      </c>
      <c r="C2546" t="s">
        <v>2024</v>
      </c>
      <c r="D2546">
        <v>5</v>
      </c>
      <c r="E2546" s="16">
        <v>179.2</v>
      </c>
      <c r="F2546" s="1">
        <v>44980</v>
      </c>
      <c r="G2546" t="s">
        <v>2020</v>
      </c>
      <c r="H2546">
        <v>3</v>
      </c>
      <c r="I2546" s="12">
        <f>Table16[[#This Row],[price]]*Table16[[#This Row],[quantity]]</f>
        <v>896</v>
      </c>
    </row>
    <row r="2547" spans="1:9" x14ac:dyDescent="0.3">
      <c r="A2547" t="s">
        <v>4563</v>
      </c>
      <c r="B2547" t="s">
        <v>498</v>
      </c>
      <c r="C2547" t="s">
        <v>2015</v>
      </c>
      <c r="D2547">
        <v>3</v>
      </c>
      <c r="E2547" s="16">
        <v>1800.51</v>
      </c>
      <c r="F2547" s="1">
        <v>44363</v>
      </c>
      <c r="G2547" t="s">
        <v>2027</v>
      </c>
      <c r="H2547">
        <v>2</v>
      </c>
      <c r="I2547" s="12">
        <f>Table16[[#This Row],[price]]*Table16[[#This Row],[quantity]]</f>
        <v>5401.53</v>
      </c>
    </row>
    <row r="2548" spans="1:9" x14ac:dyDescent="0.3">
      <c r="A2548" t="s">
        <v>4565</v>
      </c>
      <c r="B2548" t="s">
        <v>498</v>
      </c>
      <c r="C2548" t="s">
        <v>2001</v>
      </c>
      <c r="D2548">
        <v>2</v>
      </c>
      <c r="E2548" s="16">
        <v>600.16</v>
      </c>
      <c r="F2548" s="1">
        <v>44714</v>
      </c>
      <c r="G2548" t="s">
        <v>2004</v>
      </c>
      <c r="H2548">
        <v>2</v>
      </c>
      <c r="I2548" s="12">
        <f>Table16[[#This Row],[price]]*Table16[[#This Row],[quantity]]</f>
        <v>1200.32</v>
      </c>
    </row>
    <row r="2549" spans="1:9" x14ac:dyDescent="0.3">
      <c r="A2549" t="s">
        <v>4566</v>
      </c>
      <c r="B2549" t="s">
        <v>498</v>
      </c>
      <c r="C2549" t="s">
        <v>2001</v>
      </c>
      <c r="D2549">
        <v>5</v>
      </c>
      <c r="E2549" s="16">
        <v>1500.4</v>
      </c>
      <c r="F2549" s="1">
        <v>44821</v>
      </c>
      <c r="G2549" t="s">
        <v>2027</v>
      </c>
      <c r="H2549">
        <v>1</v>
      </c>
      <c r="I2549" s="12">
        <f>Table16[[#This Row],[price]]*Table16[[#This Row],[quantity]]</f>
        <v>7502</v>
      </c>
    </row>
    <row r="2550" spans="1:9" x14ac:dyDescent="0.3">
      <c r="A2550" t="s">
        <v>4564</v>
      </c>
      <c r="B2550" t="s">
        <v>498</v>
      </c>
      <c r="C2550" t="s">
        <v>2001</v>
      </c>
      <c r="D2550">
        <v>3</v>
      </c>
      <c r="E2550" s="16">
        <v>900.24</v>
      </c>
      <c r="F2550" s="1">
        <v>44963</v>
      </c>
      <c r="G2550" t="s">
        <v>2027</v>
      </c>
      <c r="H2550">
        <v>3</v>
      </c>
      <c r="I2550" s="12">
        <f>Table16[[#This Row],[price]]*Table16[[#This Row],[quantity]]</f>
        <v>2700.7200000000003</v>
      </c>
    </row>
    <row r="2551" spans="1:9" x14ac:dyDescent="0.3">
      <c r="A2551" t="s">
        <v>4568</v>
      </c>
      <c r="B2551" t="s">
        <v>499</v>
      </c>
      <c r="C2551" t="s">
        <v>2008</v>
      </c>
      <c r="D2551">
        <v>2</v>
      </c>
      <c r="E2551" s="16">
        <v>10.46</v>
      </c>
      <c r="F2551" s="1">
        <v>44292</v>
      </c>
      <c r="G2551" t="s">
        <v>2002</v>
      </c>
      <c r="H2551">
        <v>1</v>
      </c>
      <c r="I2551" s="12">
        <f>Table16[[#This Row],[price]]*Table16[[#This Row],[quantity]]</f>
        <v>20.92</v>
      </c>
    </row>
    <row r="2552" spans="1:9" x14ac:dyDescent="0.3">
      <c r="A2552" t="s">
        <v>4567</v>
      </c>
      <c r="B2552" t="s">
        <v>499</v>
      </c>
      <c r="C2552" t="s">
        <v>2015</v>
      </c>
      <c r="D2552">
        <v>5</v>
      </c>
      <c r="E2552" s="16">
        <v>3000.85</v>
      </c>
      <c r="F2552" s="1">
        <v>44385</v>
      </c>
      <c r="G2552" t="s">
        <v>2064</v>
      </c>
      <c r="H2552">
        <v>1</v>
      </c>
      <c r="I2552" s="12">
        <f>Table16[[#This Row],[price]]*Table16[[#This Row],[quantity]]</f>
        <v>15004.25</v>
      </c>
    </row>
    <row r="2553" spans="1:9" x14ac:dyDescent="0.3">
      <c r="A2553" t="s">
        <v>4569</v>
      </c>
      <c r="B2553" t="s">
        <v>499</v>
      </c>
      <c r="C2553" t="s">
        <v>2024</v>
      </c>
      <c r="D2553">
        <v>2</v>
      </c>
      <c r="E2553" s="16">
        <v>71.680000000000007</v>
      </c>
      <c r="F2553" s="1">
        <v>44443</v>
      </c>
      <c r="G2553" t="s">
        <v>2041</v>
      </c>
      <c r="H2553">
        <v>1</v>
      </c>
      <c r="I2553" s="12">
        <f>Table16[[#This Row],[price]]*Table16[[#This Row],[quantity]]</f>
        <v>143.36000000000001</v>
      </c>
    </row>
    <row r="2554" spans="1:9" x14ac:dyDescent="0.3">
      <c r="A2554" t="s">
        <v>4570</v>
      </c>
      <c r="B2554" t="s">
        <v>499</v>
      </c>
      <c r="C2554" t="s">
        <v>2001</v>
      </c>
      <c r="D2554">
        <v>3</v>
      </c>
      <c r="E2554" s="16">
        <v>900.24</v>
      </c>
      <c r="F2554" s="1">
        <v>44960</v>
      </c>
      <c r="G2554" t="s">
        <v>2004</v>
      </c>
      <c r="H2554">
        <v>5</v>
      </c>
      <c r="I2554" s="12">
        <f>Table16[[#This Row],[price]]*Table16[[#This Row],[quantity]]</f>
        <v>2700.7200000000003</v>
      </c>
    </row>
    <row r="2555" spans="1:9" x14ac:dyDescent="0.3">
      <c r="A2555" t="s">
        <v>4573</v>
      </c>
      <c r="B2555" t="s">
        <v>500</v>
      </c>
      <c r="C2555" t="s">
        <v>2008</v>
      </c>
      <c r="D2555">
        <v>1</v>
      </c>
      <c r="E2555" s="16">
        <v>5.23</v>
      </c>
      <c r="F2555" s="1">
        <v>44323</v>
      </c>
      <c r="G2555" t="s">
        <v>2027</v>
      </c>
      <c r="H2555">
        <v>5</v>
      </c>
      <c r="I2555" s="12">
        <f>Table16[[#This Row],[price]]*Table16[[#This Row],[quantity]]</f>
        <v>5.23</v>
      </c>
    </row>
    <row r="2556" spans="1:9" x14ac:dyDescent="0.3">
      <c r="A2556" t="s">
        <v>4574</v>
      </c>
      <c r="B2556" t="s">
        <v>500</v>
      </c>
      <c r="C2556" t="s">
        <v>2015</v>
      </c>
      <c r="D2556">
        <v>5</v>
      </c>
      <c r="E2556" s="16">
        <v>3000.85</v>
      </c>
      <c r="F2556" s="1">
        <v>44386</v>
      </c>
      <c r="G2556" t="s">
        <v>2002</v>
      </c>
      <c r="H2556">
        <v>5</v>
      </c>
      <c r="I2556" s="12">
        <f>Table16[[#This Row],[price]]*Table16[[#This Row],[quantity]]</f>
        <v>15004.25</v>
      </c>
    </row>
    <row r="2557" spans="1:9" x14ac:dyDescent="0.3">
      <c r="A2557" t="s">
        <v>4572</v>
      </c>
      <c r="B2557" t="s">
        <v>500</v>
      </c>
      <c r="C2557" t="s">
        <v>2015</v>
      </c>
      <c r="D2557">
        <v>5</v>
      </c>
      <c r="E2557" s="16">
        <v>3000.85</v>
      </c>
      <c r="F2557" s="1">
        <v>44465</v>
      </c>
      <c r="G2557" t="s">
        <v>2004</v>
      </c>
      <c r="H2557">
        <v>4</v>
      </c>
      <c r="I2557" s="12">
        <f>Table16[[#This Row],[price]]*Table16[[#This Row],[quantity]]</f>
        <v>15004.25</v>
      </c>
    </row>
    <row r="2558" spans="1:9" x14ac:dyDescent="0.3">
      <c r="A2558" t="s">
        <v>4571</v>
      </c>
      <c r="B2558" t="s">
        <v>500</v>
      </c>
      <c r="C2558" t="s">
        <v>2001</v>
      </c>
      <c r="D2558">
        <v>4</v>
      </c>
      <c r="E2558" s="16">
        <v>1200.32</v>
      </c>
      <c r="F2558" s="1">
        <v>44589</v>
      </c>
      <c r="G2558" t="s">
        <v>2002</v>
      </c>
      <c r="H2558">
        <v>5</v>
      </c>
      <c r="I2558" s="12">
        <f>Table16[[#This Row],[price]]*Table16[[#This Row],[quantity]]</f>
        <v>4801.28</v>
      </c>
    </row>
    <row r="2559" spans="1:9" x14ac:dyDescent="0.3">
      <c r="A2559" t="s">
        <v>4575</v>
      </c>
      <c r="B2559" t="s">
        <v>500</v>
      </c>
      <c r="C2559" t="s">
        <v>2015</v>
      </c>
      <c r="D2559">
        <v>1</v>
      </c>
      <c r="E2559" s="16">
        <v>600.16999999999996</v>
      </c>
      <c r="F2559" s="1">
        <v>44616</v>
      </c>
      <c r="G2559" t="s">
        <v>2002</v>
      </c>
      <c r="H2559">
        <v>5</v>
      </c>
      <c r="I2559" s="12">
        <f>Table16[[#This Row],[price]]*Table16[[#This Row],[quantity]]</f>
        <v>600.16999999999996</v>
      </c>
    </row>
    <row r="2560" spans="1:9" x14ac:dyDescent="0.3">
      <c r="A2560" t="s">
        <v>4581</v>
      </c>
      <c r="B2560" t="s">
        <v>501</v>
      </c>
      <c r="C2560" t="s">
        <v>2011</v>
      </c>
      <c r="D2560">
        <v>1</v>
      </c>
      <c r="E2560" s="16">
        <v>40.659999999999997</v>
      </c>
      <c r="F2560" s="1">
        <v>44236</v>
      </c>
      <c r="G2560" t="s">
        <v>2018</v>
      </c>
      <c r="H2560">
        <v>5</v>
      </c>
      <c r="I2560" s="12">
        <f>Table16[[#This Row],[price]]*Table16[[#This Row],[quantity]]</f>
        <v>40.659999999999997</v>
      </c>
    </row>
    <row r="2561" spans="1:9" x14ac:dyDescent="0.3">
      <c r="A2561" t="s">
        <v>4578</v>
      </c>
      <c r="B2561" t="s">
        <v>501</v>
      </c>
      <c r="C2561" t="s">
        <v>2057</v>
      </c>
      <c r="D2561">
        <v>5</v>
      </c>
      <c r="E2561" s="16">
        <v>58.65</v>
      </c>
      <c r="F2561" s="1">
        <v>44454</v>
      </c>
      <c r="G2561" t="s">
        <v>2027</v>
      </c>
      <c r="H2561">
        <v>2</v>
      </c>
      <c r="I2561" s="12">
        <f>Table16[[#This Row],[price]]*Table16[[#This Row],[quantity]]</f>
        <v>293.25</v>
      </c>
    </row>
    <row r="2562" spans="1:9" x14ac:dyDescent="0.3">
      <c r="A2562" t="s">
        <v>4583</v>
      </c>
      <c r="B2562" t="s">
        <v>501</v>
      </c>
      <c r="C2562" t="s">
        <v>2011</v>
      </c>
      <c r="D2562">
        <v>2</v>
      </c>
      <c r="E2562" s="16">
        <v>81.319999999999993</v>
      </c>
      <c r="F2562" s="1">
        <v>44464</v>
      </c>
      <c r="G2562" t="s">
        <v>2004</v>
      </c>
      <c r="H2562">
        <v>4</v>
      </c>
      <c r="I2562" s="12">
        <f>Table16[[#This Row],[price]]*Table16[[#This Row],[quantity]]</f>
        <v>162.63999999999999</v>
      </c>
    </row>
    <row r="2563" spans="1:9" x14ac:dyDescent="0.3">
      <c r="A2563" t="s">
        <v>4577</v>
      </c>
      <c r="B2563" t="s">
        <v>501</v>
      </c>
      <c r="C2563" t="s">
        <v>2008</v>
      </c>
      <c r="D2563">
        <v>3</v>
      </c>
      <c r="E2563" s="16">
        <v>15.69</v>
      </c>
      <c r="F2563" s="1">
        <v>44626</v>
      </c>
      <c r="G2563" t="s">
        <v>2004</v>
      </c>
      <c r="H2563">
        <v>2</v>
      </c>
      <c r="I2563" s="12">
        <f>Table16[[#This Row],[price]]*Table16[[#This Row],[quantity]]</f>
        <v>47.07</v>
      </c>
    </row>
    <row r="2564" spans="1:9" x14ac:dyDescent="0.3">
      <c r="A2564" t="s">
        <v>4576</v>
      </c>
      <c r="B2564" t="s">
        <v>501</v>
      </c>
      <c r="C2564" t="s">
        <v>2008</v>
      </c>
      <c r="D2564">
        <v>4</v>
      </c>
      <c r="E2564" s="16">
        <v>20.92</v>
      </c>
      <c r="F2564" s="1">
        <v>44637</v>
      </c>
      <c r="G2564" t="s">
        <v>2002</v>
      </c>
      <c r="H2564">
        <v>2</v>
      </c>
      <c r="I2564" s="12">
        <f>Table16[[#This Row],[price]]*Table16[[#This Row],[quantity]]</f>
        <v>83.68</v>
      </c>
    </row>
    <row r="2565" spans="1:9" x14ac:dyDescent="0.3">
      <c r="A2565" t="s">
        <v>4582</v>
      </c>
      <c r="B2565" t="s">
        <v>501</v>
      </c>
      <c r="C2565" t="s">
        <v>2015</v>
      </c>
      <c r="D2565">
        <v>4</v>
      </c>
      <c r="E2565" s="16">
        <v>2400.6799999999998</v>
      </c>
      <c r="F2565" s="1">
        <v>44657</v>
      </c>
      <c r="G2565" t="s">
        <v>2020</v>
      </c>
      <c r="H2565">
        <v>1</v>
      </c>
      <c r="I2565" s="12">
        <f>Table16[[#This Row],[price]]*Table16[[#This Row],[quantity]]</f>
        <v>9602.7199999999993</v>
      </c>
    </row>
    <row r="2566" spans="1:9" x14ac:dyDescent="0.3">
      <c r="A2566" t="s">
        <v>4579</v>
      </c>
      <c r="B2566" t="s">
        <v>501</v>
      </c>
      <c r="C2566" t="s">
        <v>2015</v>
      </c>
      <c r="D2566">
        <v>5</v>
      </c>
      <c r="E2566" s="16">
        <v>3000.85</v>
      </c>
      <c r="F2566" s="1">
        <v>44758</v>
      </c>
      <c r="G2566" t="s">
        <v>2027</v>
      </c>
      <c r="H2566">
        <v>5</v>
      </c>
      <c r="I2566" s="12">
        <f>Table16[[#This Row],[price]]*Table16[[#This Row],[quantity]]</f>
        <v>15004.25</v>
      </c>
    </row>
    <row r="2567" spans="1:9" x14ac:dyDescent="0.3">
      <c r="A2567" t="s">
        <v>4580</v>
      </c>
      <c r="B2567" t="s">
        <v>501</v>
      </c>
      <c r="C2567" t="s">
        <v>2011</v>
      </c>
      <c r="D2567">
        <v>4</v>
      </c>
      <c r="E2567" s="16">
        <v>162.63999999999999</v>
      </c>
      <c r="F2567" s="1">
        <v>44988</v>
      </c>
      <c r="G2567" t="s">
        <v>2027</v>
      </c>
      <c r="H2567">
        <v>1</v>
      </c>
      <c r="I2567" s="12">
        <f>Table16[[#This Row],[price]]*Table16[[#This Row],[quantity]]</f>
        <v>650.55999999999995</v>
      </c>
    </row>
    <row r="2568" spans="1:9" x14ac:dyDescent="0.3">
      <c r="A2568" t="s">
        <v>4589</v>
      </c>
      <c r="B2568" t="s">
        <v>502</v>
      </c>
      <c r="C2568" t="s">
        <v>2001</v>
      </c>
      <c r="D2568">
        <v>4</v>
      </c>
      <c r="E2568" s="16">
        <v>1200.32</v>
      </c>
      <c r="F2568" s="1">
        <v>44392</v>
      </c>
      <c r="G2568" t="s">
        <v>2004</v>
      </c>
      <c r="H2568">
        <v>1</v>
      </c>
      <c r="I2568" s="12">
        <f>Table16[[#This Row],[price]]*Table16[[#This Row],[quantity]]</f>
        <v>4801.28</v>
      </c>
    </row>
    <row r="2569" spans="1:9" x14ac:dyDescent="0.3">
      <c r="A2569" t="s">
        <v>4584</v>
      </c>
      <c r="B2569" t="s">
        <v>502</v>
      </c>
      <c r="C2569" t="s">
        <v>2008</v>
      </c>
      <c r="D2569">
        <v>2</v>
      </c>
      <c r="E2569" s="16">
        <v>10.46</v>
      </c>
      <c r="F2569" s="1">
        <v>44406</v>
      </c>
      <c r="G2569" t="s">
        <v>2018</v>
      </c>
      <c r="H2569">
        <v>4</v>
      </c>
      <c r="I2569" s="12">
        <f>Table16[[#This Row],[price]]*Table16[[#This Row],[quantity]]</f>
        <v>20.92</v>
      </c>
    </row>
    <row r="2570" spans="1:9" x14ac:dyDescent="0.3">
      <c r="A2570" t="s">
        <v>4585</v>
      </c>
      <c r="B2570" t="s">
        <v>502</v>
      </c>
      <c r="C2570" t="s">
        <v>2006</v>
      </c>
      <c r="D2570">
        <v>5</v>
      </c>
      <c r="E2570" s="16">
        <v>75.75</v>
      </c>
      <c r="F2570" s="1">
        <v>44549</v>
      </c>
      <c r="G2570" t="s">
        <v>2027</v>
      </c>
      <c r="H2570">
        <v>4</v>
      </c>
      <c r="I2570" s="12">
        <f>Table16[[#This Row],[price]]*Table16[[#This Row],[quantity]]</f>
        <v>378.75</v>
      </c>
    </row>
    <row r="2571" spans="1:9" x14ac:dyDescent="0.3">
      <c r="A2571" t="s">
        <v>4587</v>
      </c>
      <c r="B2571" t="s">
        <v>502</v>
      </c>
      <c r="C2571" t="s">
        <v>2001</v>
      </c>
      <c r="D2571">
        <v>1</v>
      </c>
      <c r="E2571" s="16">
        <v>300.08</v>
      </c>
      <c r="F2571" s="1">
        <v>44561</v>
      </c>
      <c r="G2571" t="s">
        <v>2027</v>
      </c>
      <c r="H2571">
        <v>2</v>
      </c>
      <c r="I2571" s="12">
        <f>Table16[[#This Row],[price]]*Table16[[#This Row],[quantity]]</f>
        <v>300.08</v>
      </c>
    </row>
    <row r="2572" spans="1:9" x14ac:dyDescent="0.3">
      <c r="A2572" t="s">
        <v>4586</v>
      </c>
      <c r="B2572" t="s">
        <v>502</v>
      </c>
      <c r="C2572" t="s">
        <v>2011</v>
      </c>
      <c r="D2572">
        <v>4</v>
      </c>
      <c r="E2572" s="16">
        <v>162.63999999999999</v>
      </c>
      <c r="F2572" s="1">
        <v>44595</v>
      </c>
      <c r="G2572" t="s">
        <v>2002</v>
      </c>
      <c r="H2572">
        <v>5</v>
      </c>
      <c r="I2572" s="12">
        <f>Table16[[#This Row],[price]]*Table16[[#This Row],[quantity]]</f>
        <v>650.55999999999995</v>
      </c>
    </row>
    <row r="2573" spans="1:9" x14ac:dyDescent="0.3">
      <c r="A2573" t="s">
        <v>4588</v>
      </c>
      <c r="B2573" t="s">
        <v>502</v>
      </c>
      <c r="C2573" t="s">
        <v>2024</v>
      </c>
      <c r="D2573">
        <v>4</v>
      </c>
      <c r="E2573" s="16">
        <v>143.36000000000001</v>
      </c>
      <c r="F2573" s="1">
        <v>44969</v>
      </c>
      <c r="G2573" t="s">
        <v>2018</v>
      </c>
      <c r="H2573">
        <v>3</v>
      </c>
      <c r="I2573" s="12">
        <f>Table16[[#This Row],[price]]*Table16[[#This Row],[quantity]]</f>
        <v>573.44000000000005</v>
      </c>
    </row>
    <row r="2574" spans="1:9" x14ac:dyDescent="0.3">
      <c r="A2574" t="s">
        <v>4591</v>
      </c>
      <c r="B2574" t="s">
        <v>503</v>
      </c>
      <c r="C2574" t="s">
        <v>2017</v>
      </c>
      <c r="D2574">
        <v>3</v>
      </c>
      <c r="E2574" s="16">
        <v>3150</v>
      </c>
      <c r="F2574" s="1">
        <v>44354</v>
      </c>
      <c r="G2574" t="s">
        <v>2004</v>
      </c>
      <c r="H2574">
        <v>3</v>
      </c>
      <c r="I2574" s="12">
        <f>Table16[[#This Row],[price]]*Table16[[#This Row],[quantity]]</f>
        <v>9450</v>
      </c>
    </row>
    <row r="2575" spans="1:9" x14ac:dyDescent="0.3">
      <c r="A2575" t="s">
        <v>4590</v>
      </c>
      <c r="B2575" t="s">
        <v>503</v>
      </c>
      <c r="C2575" t="s">
        <v>2008</v>
      </c>
      <c r="D2575">
        <v>5</v>
      </c>
      <c r="E2575" s="16">
        <v>26.15</v>
      </c>
      <c r="F2575" s="1">
        <v>44468</v>
      </c>
      <c r="G2575" t="s">
        <v>2027</v>
      </c>
      <c r="H2575">
        <v>3</v>
      </c>
      <c r="I2575" s="12">
        <f>Table16[[#This Row],[price]]*Table16[[#This Row],[quantity]]</f>
        <v>130.75</v>
      </c>
    </row>
    <row r="2576" spans="1:9" x14ac:dyDescent="0.3">
      <c r="A2576" t="s">
        <v>4595</v>
      </c>
      <c r="B2576" t="s">
        <v>503</v>
      </c>
      <c r="C2576" t="s">
        <v>2057</v>
      </c>
      <c r="D2576">
        <v>3</v>
      </c>
      <c r="E2576" s="16">
        <v>35.19</v>
      </c>
      <c r="F2576" s="1">
        <v>44623</v>
      </c>
      <c r="G2576" t="s">
        <v>2002</v>
      </c>
      <c r="H2576">
        <v>2</v>
      </c>
      <c r="I2576" s="12">
        <f>Table16[[#This Row],[price]]*Table16[[#This Row],[quantity]]</f>
        <v>105.57</v>
      </c>
    </row>
    <row r="2577" spans="1:9" x14ac:dyDescent="0.3">
      <c r="A2577" t="s">
        <v>4593</v>
      </c>
      <c r="B2577" t="s">
        <v>503</v>
      </c>
      <c r="C2577" t="s">
        <v>2024</v>
      </c>
      <c r="D2577">
        <v>5</v>
      </c>
      <c r="E2577" s="16">
        <v>179.2</v>
      </c>
      <c r="F2577" s="1">
        <v>44636</v>
      </c>
      <c r="G2577" t="s">
        <v>2041</v>
      </c>
      <c r="H2577">
        <v>2</v>
      </c>
      <c r="I2577" s="12">
        <f>Table16[[#This Row],[price]]*Table16[[#This Row],[quantity]]</f>
        <v>896</v>
      </c>
    </row>
    <row r="2578" spans="1:9" x14ac:dyDescent="0.3">
      <c r="A2578" t="s">
        <v>4594</v>
      </c>
      <c r="B2578" t="s">
        <v>503</v>
      </c>
      <c r="C2578" t="s">
        <v>2001</v>
      </c>
      <c r="D2578">
        <v>5</v>
      </c>
      <c r="E2578" s="16">
        <v>1500.4</v>
      </c>
      <c r="F2578" s="1">
        <v>44926</v>
      </c>
      <c r="G2578" t="s">
        <v>2020</v>
      </c>
      <c r="H2578">
        <v>5</v>
      </c>
      <c r="I2578" s="12">
        <f>Table16[[#This Row],[price]]*Table16[[#This Row],[quantity]]</f>
        <v>7502</v>
      </c>
    </row>
    <row r="2579" spans="1:9" x14ac:dyDescent="0.3">
      <c r="A2579" t="s">
        <v>4592</v>
      </c>
      <c r="B2579" t="s">
        <v>503</v>
      </c>
      <c r="C2579" t="s">
        <v>2057</v>
      </c>
      <c r="D2579">
        <v>1</v>
      </c>
      <c r="E2579" s="16">
        <v>11.73</v>
      </c>
      <c r="F2579" s="1">
        <v>44934</v>
      </c>
      <c r="G2579" t="s">
        <v>2018</v>
      </c>
      <c r="H2579">
        <v>3</v>
      </c>
      <c r="I2579" s="12">
        <f>Table16[[#This Row],[price]]*Table16[[#This Row],[quantity]]</f>
        <v>11.73</v>
      </c>
    </row>
    <row r="2580" spans="1:9" x14ac:dyDescent="0.3">
      <c r="A2580" t="s">
        <v>4596</v>
      </c>
      <c r="B2580" t="s">
        <v>504</v>
      </c>
      <c r="C2580" t="s">
        <v>2001</v>
      </c>
      <c r="D2580">
        <v>3</v>
      </c>
      <c r="E2580" s="16">
        <v>900.24</v>
      </c>
      <c r="F2580" s="1">
        <v>44289</v>
      </c>
      <c r="G2580" t="s">
        <v>2027</v>
      </c>
      <c r="H2580">
        <v>4</v>
      </c>
      <c r="I2580" s="12">
        <f>Table16[[#This Row],[price]]*Table16[[#This Row],[quantity]]</f>
        <v>2700.7200000000003</v>
      </c>
    </row>
    <row r="2581" spans="1:9" x14ac:dyDescent="0.3">
      <c r="A2581" t="s">
        <v>4598</v>
      </c>
      <c r="B2581" t="s">
        <v>504</v>
      </c>
      <c r="C2581" t="s">
        <v>2008</v>
      </c>
      <c r="D2581">
        <v>1</v>
      </c>
      <c r="E2581" s="16">
        <v>5.23</v>
      </c>
      <c r="F2581" s="1">
        <v>44424</v>
      </c>
      <c r="G2581" t="s">
        <v>2004</v>
      </c>
      <c r="H2581">
        <v>3</v>
      </c>
      <c r="I2581" s="12">
        <f>Table16[[#This Row],[price]]*Table16[[#This Row],[quantity]]</f>
        <v>5.23</v>
      </c>
    </row>
    <row r="2582" spans="1:9" x14ac:dyDescent="0.3">
      <c r="A2582" t="s">
        <v>4597</v>
      </c>
      <c r="B2582" t="s">
        <v>504</v>
      </c>
      <c r="C2582" t="s">
        <v>2001</v>
      </c>
      <c r="D2582">
        <v>2</v>
      </c>
      <c r="E2582" s="16">
        <v>600.16</v>
      </c>
      <c r="F2582" s="1">
        <v>44740</v>
      </c>
      <c r="G2582" t="s">
        <v>2020</v>
      </c>
      <c r="H2582">
        <v>2</v>
      </c>
      <c r="I2582" s="12">
        <f>Table16[[#This Row],[price]]*Table16[[#This Row],[quantity]]</f>
        <v>1200.32</v>
      </c>
    </row>
    <row r="2583" spans="1:9" x14ac:dyDescent="0.3">
      <c r="A2583" t="s">
        <v>4599</v>
      </c>
      <c r="B2583" t="s">
        <v>505</v>
      </c>
      <c r="C2583" t="s">
        <v>2001</v>
      </c>
      <c r="D2583">
        <v>4</v>
      </c>
      <c r="E2583" s="16">
        <v>1200.32</v>
      </c>
      <c r="F2583" s="1">
        <v>44318</v>
      </c>
      <c r="G2583" t="s">
        <v>2018</v>
      </c>
      <c r="H2583">
        <v>3</v>
      </c>
      <c r="I2583" s="12">
        <f>Table16[[#This Row],[price]]*Table16[[#This Row],[quantity]]</f>
        <v>4801.28</v>
      </c>
    </row>
    <row r="2584" spans="1:9" x14ac:dyDescent="0.3">
      <c r="A2584" t="s">
        <v>4600</v>
      </c>
      <c r="B2584" t="s">
        <v>505</v>
      </c>
      <c r="C2584" t="s">
        <v>2024</v>
      </c>
      <c r="D2584">
        <v>1</v>
      </c>
      <c r="E2584" s="16">
        <v>35.840000000000003</v>
      </c>
      <c r="F2584" s="1">
        <v>44470</v>
      </c>
      <c r="G2584" t="s">
        <v>2018</v>
      </c>
      <c r="H2584">
        <v>5</v>
      </c>
      <c r="I2584" s="12">
        <f>Table16[[#This Row],[price]]*Table16[[#This Row],[quantity]]</f>
        <v>35.840000000000003</v>
      </c>
    </row>
    <row r="2585" spans="1:9" x14ac:dyDescent="0.3">
      <c r="A2585" t="s">
        <v>4601</v>
      </c>
      <c r="B2585" t="s">
        <v>505</v>
      </c>
      <c r="C2585" t="s">
        <v>2008</v>
      </c>
      <c r="D2585">
        <v>3</v>
      </c>
      <c r="E2585" s="16">
        <v>15.69</v>
      </c>
      <c r="F2585" s="1">
        <v>44904</v>
      </c>
      <c r="G2585" t="s">
        <v>2041</v>
      </c>
      <c r="H2585">
        <v>1</v>
      </c>
      <c r="I2585" s="12">
        <f>Table16[[#This Row],[price]]*Table16[[#This Row],[quantity]]</f>
        <v>47.07</v>
      </c>
    </row>
    <row r="2586" spans="1:9" x14ac:dyDescent="0.3">
      <c r="A2586" t="s">
        <v>4604</v>
      </c>
      <c r="B2586" t="s">
        <v>506</v>
      </c>
      <c r="C2586" t="s">
        <v>2008</v>
      </c>
      <c r="D2586">
        <v>1</v>
      </c>
      <c r="E2586" s="16">
        <v>5.23</v>
      </c>
      <c r="F2586" s="1">
        <v>44373</v>
      </c>
      <c r="G2586" t="s">
        <v>2041</v>
      </c>
      <c r="H2586">
        <v>3</v>
      </c>
      <c r="I2586" s="12">
        <f>Table16[[#This Row],[price]]*Table16[[#This Row],[quantity]]</f>
        <v>5.23</v>
      </c>
    </row>
    <row r="2587" spans="1:9" x14ac:dyDescent="0.3">
      <c r="A2587" t="s">
        <v>4606</v>
      </c>
      <c r="B2587" t="s">
        <v>506</v>
      </c>
      <c r="C2587" t="s">
        <v>2057</v>
      </c>
      <c r="D2587">
        <v>2</v>
      </c>
      <c r="E2587" s="16">
        <v>23.46</v>
      </c>
      <c r="F2587" s="1">
        <v>44430</v>
      </c>
      <c r="G2587" t="s">
        <v>2002</v>
      </c>
      <c r="H2587">
        <v>2</v>
      </c>
      <c r="I2587" s="12">
        <f>Table16[[#This Row],[price]]*Table16[[#This Row],[quantity]]</f>
        <v>46.92</v>
      </c>
    </row>
    <row r="2588" spans="1:9" x14ac:dyDescent="0.3">
      <c r="A2588" t="s">
        <v>4608</v>
      </c>
      <c r="B2588" t="s">
        <v>506</v>
      </c>
      <c r="C2588" t="s">
        <v>2024</v>
      </c>
      <c r="D2588">
        <v>5</v>
      </c>
      <c r="E2588" s="16">
        <v>179.2</v>
      </c>
      <c r="F2588" s="1">
        <v>44518</v>
      </c>
      <c r="G2588" t="s">
        <v>2058</v>
      </c>
      <c r="H2588">
        <v>5</v>
      </c>
      <c r="I2588" s="12">
        <f>Table16[[#This Row],[price]]*Table16[[#This Row],[quantity]]</f>
        <v>896</v>
      </c>
    </row>
    <row r="2589" spans="1:9" x14ac:dyDescent="0.3">
      <c r="A2589" t="s">
        <v>4602</v>
      </c>
      <c r="B2589" t="s">
        <v>506</v>
      </c>
      <c r="C2589" t="s">
        <v>2001</v>
      </c>
      <c r="D2589">
        <v>2</v>
      </c>
      <c r="E2589" s="16">
        <v>600.16</v>
      </c>
      <c r="F2589" s="1">
        <v>44560</v>
      </c>
      <c r="G2589" t="s">
        <v>2002</v>
      </c>
      <c r="H2589">
        <v>3</v>
      </c>
      <c r="I2589" s="12">
        <f>Table16[[#This Row],[price]]*Table16[[#This Row],[quantity]]</f>
        <v>1200.32</v>
      </c>
    </row>
    <row r="2590" spans="1:9" x14ac:dyDescent="0.3">
      <c r="A2590" t="s">
        <v>4603</v>
      </c>
      <c r="B2590" t="s">
        <v>506</v>
      </c>
      <c r="C2590" t="s">
        <v>2006</v>
      </c>
      <c r="D2590">
        <v>3</v>
      </c>
      <c r="E2590" s="16">
        <v>45.45</v>
      </c>
      <c r="F2590" s="1">
        <v>44806</v>
      </c>
      <c r="G2590" t="s">
        <v>2002</v>
      </c>
      <c r="H2590">
        <v>5</v>
      </c>
      <c r="I2590" s="12">
        <f>Table16[[#This Row],[price]]*Table16[[#This Row],[quantity]]</f>
        <v>136.35000000000002</v>
      </c>
    </row>
    <row r="2591" spans="1:9" x14ac:dyDescent="0.3">
      <c r="A2591" t="s">
        <v>4605</v>
      </c>
      <c r="B2591" t="s">
        <v>506</v>
      </c>
      <c r="C2591" t="s">
        <v>2011</v>
      </c>
      <c r="D2591">
        <v>2</v>
      </c>
      <c r="E2591" s="16">
        <v>81.319999999999993</v>
      </c>
      <c r="F2591" s="1">
        <v>44838</v>
      </c>
      <c r="G2591" t="s">
        <v>2009</v>
      </c>
      <c r="H2591">
        <v>1</v>
      </c>
      <c r="I2591" s="12">
        <f>Table16[[#This Row],[price]]*Table16[[#This Row],[quantity]]</f>
        <v>162.63999999999999</v>
      </c>
    </row>
    <row r="2592" spans="1:9" x14ac:dyDescent="0.3">
      <c r="A2592" t="s">
        <v>4607</v>
      </c>
      <c r="B2592" t="s">
        <v>506</v>
      </c>
      <c r="C2592" t="s">
        <v>2001</v>
      </c>
      <c r="D2592">
        <v>2</v>
      </c>
      <c r="E2592" s="16">
        <v>600.16</v>
      </c>
      <c r="F2592" s="1">
        <v>44868</v>
      </c>
      <c r="G2592" t="s">
        <v>2020</v>
      </c>
      <c r="H2592">
        <v>5</v>
      </c>
      <c r="I2592" s="12">
        <f>Table16[[#This Row],[price]]*Table16[[#This Row],[quantity]]</f>
        <v>1200.32</v>
      </c>
    </row>
    <row r="2593" spans="1:9" x14ac:dyDescent="0.3">
      <c r="A2593" t="s">
        <v>4609</v>
      </c>
      <c r="B2593" t="s">
        <v>507</v>
      </c>
      <c r="C2593" t="s">
        <v>2001</v>
      </c>
      <c r="D2593">
        <v>1</v>
      </c>
      <c r="E2593" s="16">
        <v>300.08</v>
      </c>
      <c r="F2593" s="1">
        <v>44459</v>
      </c>
      <c r="G2593" t="s">
        <v>2027</v>
      </c>
      <c r="H2593">
        <v>2</v>
      </c>
      <c r="I2593" s="12">
        <f>Table16[[#This Row],[price]]*Table16[[#This Row],[quantity]]</f>
        <v>300.08</v>
      </c>
    </row>
    <row r="2594" spans="1:9" x14ac:dyDescent="0.3">
      <c r="A2594" t="s">
        <v>4610</v>
      </c>
      <c r="B2594" t="s">
        <v>508</v>
      </c>
      <c r="C2594" t="s">
        <v>2001</v>
      </c>
      <c r="D2594">
        <v>2</v>
      </c>
      <c r="E2594" s="16">
        <v>600.16</v>
      </c>
      <c r="F2594" s="1">
        <v>44211</v>
      </c>
      <c r="G2594" t="s">
        <v>2004</v>
      </c>
      <c r="H2594">
        <v>3</v>
      </c>
      <c r="I2594" s="12">
        <f>Table16[[#This Row],[price]]*Table16[[#This Row],[quantity]]</f>
        <v>1200.32</v>
      </c>
    </row>
    <row r="2595" spans="1:9" x14ac:dyDescent="0.3">
      <c r="A2595" t="s">
        <v>4616</v>
      </c>
      <c r="B2595" t="s">
        <v>508</v>
      </c>
      <c r="C2595" t="s">
        <v>2011</v>
      </c>
      <c r="D2595">
        <v>5</v>
      </c>
      <c r="E2595" s="16">
        <v>203.3</v>
      </c>
      <c r="F2595" s="1">
        <v>44218</v>
      </c>
      <c r="G2595" t="s">
        <v>2041</v>
      </c>
      <c r="H2595">
        <v>4</v>
      </c>
      <c r="I2595" s="12">
        <f>Table16[[#This Row],[price]]*Table16[[#This Row],[quantity]]</f>
        <v>1016.5</v>
      </c>
    </row>
    <row r="2596" spans="1:9" x14ac:dyDescent="0.3">
      <c r="A2596" t="s">
        <v>4612</v>
      </c>
      <c r="B2596" t="s">
        <v>508</v>
      </c>
      <c r="C2596" t="s">
        <v>2008</v>
      </c>
      <c r="D2596">
        <v>5</v>
      </c>
      <c r="E2596" s="16">
        <v>26.15</v>
      </c>
      <c r="F2596" s="1">
        <v>44485</v>
      </c>
      <c r="G2596" t="s">
        <v>2004</v>
      </c>
      <c r="H2596">
        <v>4</v>
      </c>
      <c r="I2596" s="12">
        <f>Table16[[#This Row],[price]]*Table16[[#This Row],[quantity]]</f>
        <v>130.75</v>
      </c>
    </row>
    <row r="2597" spans="1:9" x14ac:dyDescent="0.3">
      <c r="A2597" t="s">
        <v>4614</v>
      </c>
      <c r="B2597" t="s">
        <v>508</v>
      </c>
      <c r="C2597" t="s">
        <v>2008</v>
      </c>
      <c r="D2597">
        <v>4</v>
      </c>
      <c r="E2597" s="16">
        <v>20.92</v>
      </c>
      <c r="F2597" s="1">
        <v>44537</v>
      </c>
      <c r="G2597" t="s">
        <v>2027</v>
      </c>
      <c r="H2597">
        <v>2</v>
      </c>
      <c r="I2597" s="12">
        <f>Table16[[#This Row],[price]]*Table16[[#This Row],[quantity]]</f>
        <v>83.68</v>
      </c>
    </row>
    <row r="2598" spans="1:9" x14ac:dyDescent="0.3">
      <c r="A2598" t="s">
        <v>4611</v>
      </c>
      <c r="B2598" t="s">
        <v>508</v>
      </c>
      <c r="C2598" t="s">
        <v>2001</v>
      </c>
      <c r="D2598">
        <v>4</v>
      </c>
      <c r="E2598" s="16">
        <v>1200.32</v>
      </c>
      <c r="F2598" s="1">
        <v>44623</v>
      </c>
      <c r="G2598" t="s">
        <v>2004</v>
      </c>
      <c r="H2598">
        <v>5</v>
      </c>
      <c r="I2598" s="12">
        <f>Table16[[#This Row],[price]]*Table16[[#This Row],[quantity]]</f>
        <v>4801.28</v>
      </c>
    </row>
    <row r="2599" spans="1:9" x14ac:dyDescent="0.3">
      <c r="A2599" t="s">
        <v>4613</v>
      </c>
      <c r="B2599" t="s">
        <v>508</v>
      </c>
      <c r="C2599" t="s">
        <v>2011</v>
      </c>
      <c r="D2599">
        <v>5</v>
      </c>
      <c r="E2599" s="16">
        <v>203.3</v>
      </c>
      <c r="F2599" s="1">
        <v>44639</v>
      </c>
      <c r="G2599" t="s">
        <v>2004</v>
      </c>
      <c r="H2599">
        <v>1</v>
      </c>
      <c r="I2599" s="12">
        <f>Table16[[#This Row],[price]]*Table16[[#This Row],[quantity]]</f>
        <v>1016.5</v>
      </c>
    </row>
    <row r="2600" spans="1:9" x14ac:dyDescent="0.3">
      <c r="A2600" t="s">
        <v>4618</v>
      </c>
      <c r="B2600" t="s">
        <v>508</v>
      </c>
      <c r="C2600" t="s">
        <v>2001</v>
      </c>
      <c r="D2600">
        <v>4</v>
      </c>
      <c r="E2600" s="16">
        <v>1200.32</v>
      </c>
      <c r="F2600" s="1">
        <v>44646</v>
      </c>
      <c r="G2600" t="s">
        <v>2064</v>
      </c>
      <c r="H2600">
        <v>1</v>
      </c>
      <c r="I2600" s="12">
        <f>Table16[[#This Row],[price]]*Table16[[#This Row],[quantity]]</f>
        <v>4801.28</v>
      </c>
    </row>
    <row r="2601" spans="1:9" x14ac:dyDescent="0.3">
      <c r="A2601" t="s">
        <v>4619</v>
      </c>
      <c r="B2601" t="s">
        <v>508</v>
      </c>
      <c r="C2601" t="s">
        <v>2024</v>
      </c>
      <c r="D2601">
        <v>2</v>
      </c>
      <c r="E2601" s="16">
        <v>71.680000000000007</v>
      </c>
      <c r="F2601" s="1">
        <v>44695</v>
      </c>
      <c r="G2601" t="s">
        <v>2004</v>
      </c>
      <c r="H2601">
        <v>1</v>
      </c>
      <c r="I2601" s="12">
        <f>Table16[[#This Row],[price]]*Table16[[#This Row],[quantity]]</f>
        <v>143.36000000000001</v>
      </c>
    </row>
    <row r="2602" spans="1:9" x14ac:dyDescent="0.3">
      <c r="A2602" t="s">
        <v>4617</v>
      </c>
      <c r="B2602" t="s">
        <v>508</v>
      </c>
      <c r="C2602" t="s">
        <v>2001</v>
      </c>
      <c r="D2602">
        <v>2</v>
      </c>
      <c r="E2602" s="16">
        <v>600.16</v>
      </c>
      <c r="F2602" s="1">
        <v>44717</v>
      </c>
      <c r="G2602" t="s">
        <v>2064</v>
      </c>
      <c r="H2602">
        <v>3</v>
      </c>
      <c r="I2602" s="12">
        <f>Table16[[#This Row],[price]]*Table16[[#This Row],[quantity]]</f>
        <v>1200.32</v>
      </c>
    </row>
    <row r="2603" spans="1:9" x14ac:dyDescent="0.3">
      <c r="A2603" t="s">
        <v>4615</v>
      </c>
      <c r="B2603" t="s">
        <v>508</v>
      </c>
      <c r="C2603" t="s">
        <v>2001</v>
      </c>
      <c r="D2603">
        <v>1</v>
      </c>
      <c r="E2603" s="16">
        <v>300.08</v>
      </c>
      <c r="F2603" s="1">
        <v>44727</v>
      </c>
      <c r="G2603" t="s">
        <v>2002</v>
      </c>
      <c r="H2603">
        <v>5</v>
      </c>
      <c r="I2603" s="12">
        <f>Table16[[#This Row],[price]]*Table16[[#This Row],[quantity]]</f>
        <v>300.08</v>
      </c>
    </row>
    <row r="2604" spans="1:9" x14ac:dyDescent="0.3">
      <c r="A2604" t="s">
        <v>4620</v>
      </c>
      <c r="B2604" t="s">
        <v>509</v>
      </c>
      <c r="C2604" t="s">
        <v>2008</v>
      </c>
      <c r="D2604">
        <v>3</v>
      </c>
      <c r="E2604" s="16">
        <v>15.69</v>
      </c>
      <c r="F2604" s="1">
        <v>44634</v>
      </c>
      <c r="G2604" t="s">
        <v>2020</v>
      </c>
      <c r="H2604">
        <v>5</v>
      </c>
      <c r="I2604" s="12">
        <f>Table16[[#This Row],[price]]*Table16[[#This Row],[quantity]]</f>
        <v>47.07</v>
      </c>
    </row>
    <row r="2605" spans="1:9" x14ac:dyDescent="0.3">
      <c r="A2605" t="s">
        <v>4622</v>
      </c>
      <c r="B2605" t="s">
        <v>509</v>
      </c>
      <c r="C2605" t="s">
        <v>2001</v>
      </c>
      <c r="D2605">
        <v>4</v>
      </c>
      <c r="E2605" s="16">
        <v>1200.32</v>
      </c>
      <c r="F2605" s="1">
        <v>44672</v>
      </c>
      <c r="G2605" t="s">
        <v>2064</v>
      </c>
      <c r="H2605">
        <v>2</v>
      </c>
      <c r="I2605" s="12">
        <f>Table16[[#This Row],[price]]*Table16[[#This Row],[quantity]]</f>
        <v>4801.28</v>
      </c>
    </row>
    <row r="2606" spans="1:9" x14ac:dyDescent="0.3">
      <c r="A2606" t="s">
        <v>4621</v>
      </c>
      <c r="B2606" t="s">
        <v>509</v>
      </c>
      <c r="C2606" t="s">
        <v>2006</v>
      </c>
      <c r="D2606">
        <v>5</v>
      </c>
      <c r="E2606" s="16">
        <v>75.75</v>
      </c>
      <c r="F2606" s="1">
        <v>44742</v>
      </c>
      <c r="G2606" t="s">
        <v>2027</v>
      </c>
      <c r="H2606">
        <v>1</v>
      </c>
      <c r="I2606" s="12">
        <f>Table16[[#This Row],[price]]*Table16[[#This Row],[quantity]]</f>
        <v>378.75</v>
      </c>
    </row>
    <row r="2607" spans="1:9" x14ac:dyDescent="0.3">
      <c r="A2607" t="s">
        <v>4623</v>
      </c>
      <c r="B2607" t="s">
        <v>510</v>
      </c>
      <c r="C2607" t="s">
        <v>2011</v>
      </c>
      <c r="D2607">
        <v>2</v>
      </c>
      <c r="E2607" s="16">
        <v>81.319999999999993</v>
      </c>
      <c r="F2607" s="1">
        <v>44277</v>
      </c>
      <c r="G2607" t="s">
        <v>2002</v>
      </c>
      <c r="H2607">
        <v>3</v>
      </c>
      <c r="I2607" s="12">
        <f>Table16[[#This Row],[price]]*Table16[[#This Row],[quantity]]</f>
        <v>162.63999999999999</v>
      </c>
    </row>
    <row r="2608" spans="1:9" x14ac:dyDescent="0.3">
      <c r="A2608" t="s">
        <v>4625</v>
      </c>
      <c r="B2608" t="s">
        <v>510</v>
      </c>
      <c r="C2608" t="s">
        <v>2011</v>
      </c>
      <c r="D2608">
        <v>4</v>
      </c>
      <c r="E2608" s="16">
        <v>162.63999999999999</v>
      </c>
      <c r="F2608" s="1">
        <v>44411</v>
      </c>
      <c r="G2608" t="s">
        <v>2012</v>
      </c>
      <c r="H2608">
        <v>3</v>
      </c>
      <c r="I2608" s="12">
        <f>Table16[[#This Row],[price]]*Table16[[#This Row],[quantity]]</f>
        <v>650.55999999999995</v>
      </c>
    </row>
    <row r="2609" spans="1:9" x14ac:dyDescent="0.3">
      <c r="A2609" t="s">
        <v>4627</v>
      </c>
      <c r="B2609" t="s">
        <v>510</v>
      </c>
      <c r="C2609" t="s">
        <v>2001</v>
      </c>
      <c r="D2609">
        <v>4</v>
      </c>
      <c r="E2609" s="16">
        <v>1200.32</v>
      </c>
      <c r="F2609" s="1">
        <v>44539</v>
      </c>
      <c r="G2609" t="s">
        <v>2018</v>
      </c>
      <c r="H2609">
        <v>3</v>
      </c>
      <c r="I2609" s="12">
        <f>Table16[[#This Row],[price]]*Table16[[#This Row],[quantity]]</f>
        <v>4801.28</v>
      </c>
    </row>
    <row r="2610" spans="1:9" x14ac:dyDescent="0.3">
      <c r="A2610" t="s">
        <v>4624</v>
      </c>
      <c r="B2610" t="s">
        <v>510</v>
      </c>
      <c r="C2610" t="s">
        <v>2057</v>
      </c>
      <c r="D2610">
        <v>2</v>
      </c>
      <c r="E2610" s="16">
        <v>23.46</v>
      </c>
      <c r="F2610" s="1">
        <v>44583</v>
      </c>
      <c r="G2610" t="s">
        <v>2020</v>
      </c>
      <c r="H2610">
        <v>3</v>
      </c>
      <c r="I2610" s="12">
        <f>Table16[[#This Row],[price]]*Table16[[#This Row],[quantity]]</f>
        <v>46.92</v>
      </c>
    </row>
    <row r="2611" spans="1:9" x14ac:dyDescent="0.3">
      <c r="A2611" t="s">
        <v>4626</v>
      </c>
      <c r="B2611" t="s">
        <v>510</v>
      </c>
      <c r="C2611" t="s">
        <v>2001</v>
      </c>
      <c r="D2611">
        <v>3</v>
      </c>
      <c r="E2611" s="16">
        <v>900.24</v>
      </c>
      <c r="F2611" s="1">
        <v>44776</v>
      </c>
      <c r="G2611" t="s">
        <v>2020</v>
      </c>
      <c r="H2611">
        <v>1</v>
      </c>
      <c r="I2611" s="12">
        <f>Table16[[#This Row],[price]]*Table16[[#This Row],[quantity]]</f>
        <v>2700.7200000000003</v>
      </c>
    </row>
    <row r="2612" spans="1:9" x14ac:dyDescent="0.3">
      <c r="A2612" t="s">
        <v>4629</v>
      </c>
      <c r="B2612" t="s">
        <v>511</v>
      </c>
      <c r="C2612" t="s">
        <v>2024</v>
      </c>
      <c r="D2612">
        <v>5</v>
      </c>
      <c r="E2612" s="16">
        <v>179.2</v>
      </c>
      <c r="F2612" s="1">
        <v>44362</v>
      </c>
      <c r="G2612" t="s">
        <v>2027</v>
      </c>
      <c r="H2612">
        <v>3</v>
      </c>
      <c r="I2612" s="12">
        <f>Table16[[#This Row],[price]]*Table16[[#This Row],[quantity]]</f>
        <v>896</v>
      </c>
    </row>
    <row r="2613" spans="1:9" x14ac:dyDescent="0.3">
      <c r="A2613" t="s">
        <v>4630</v>
      </c>
      <c r="B2613" t="s">
        <v>511</v>
      </c>
      <c r="C2613" t="s">
        <v>2001</v>
      </c>
      <c r="D2613">
        <v>1</v>
      </c>
      <c r="E2613" s="16">
        <v>300.08</v>
      </c>
      <c r="F2613" s="1">
        <v>44510</v>
      </c>
      <c r="G2613" t="s">
        <v>2064</v>
      </c>
      <c r="H2613">
        <v>1</v>
      </c>
      <c r="I2613" s="12">
        <f>Table16[[#This Row],[price]]*Table16[[#This Row],[quantity]]</f>
        <v>300.08</v>
      </c>
    </row>
    <row r="2614" spans="1:9" x14ac:dyDescent="0.3">
      <c r="A2614" t="s">
        <v>4628</v>
      </c>
      <c r="B2614" t="s">
        <v>511</v>
      </c>
      <c r="C2614" t="s">
        <v>2001</v>
      </c>
      <c r="D2614">
        <v>2</v>
      </c>
      <c r="E2614" s="16">
        <v>600.16</v>
      </c>
      <c r="F2614" s="1">
        <v>44899</v>
      </c>
      <c r="G2614" t="s">
        <v>2027</v>
      </c>
      <c r="H2614">
        <v>4</v>
      </c>
      <c r="I2614" s="12">
        <f>Table16[[#This Row],[price]]*Table16[[#This Row],[quantity]]</f>
        <v>1200.32</v>
      </c>
    </row>
    <row r="2615" spans="1:9" x14ac:dyDescent="0.3">
      <c r="A2615" t="s">
        <v>4631</v>
      </c>
      <c r="B2615" t="s">
        <v>511</v>
      </c>
      <c r="C2615" t="s">
        <v>2024</v>
      </c>
      <c r="D2615">
        <v>3</v>
      </c>
      <c r="E2615" s="16">
        <v>107.52</v>
      </c>
      <c r="F2615" s="1">
        <v>44951</v>
      </c>
      <c r="G2615" t="s">
        <v>2027</v>
      </c>
      <c r="H2615">
        <v>5</v>
      </c>
      <c r="I2615" s="12">
        <f>Table16[[#This Row],[price]]*Table16[[#This Row],[quantity]]</f>
        <v>322.56</v>
      </c>
    </row>
    <row r="2616" spans="1:9" x14ac:dyDescent="0.3">
      <c r="A2616" t="s">
        <v>4632</v>
      </c>
      <c r="B2616" t="s">
        <v>512</v>
      </c>
      <c r="C2616" t="s">
        <v>2001</v>
      </c>
      <c r="D2616">
        <v>5</v>
      </c>
      <c r="E2616" s="16">
        <v>1500.4</v>
      </c>
      <c r="F2616" s="1">
        <v>44325</v>
      </c>
      <c r="G2616" t="s">
        <v>2002</v>
      </c>
      <c r="H2616">
        <v>5</v>
      </c>
      <c r="I2616" s="12">
        <f>Table16[[#This Row],[price]]*Table16[[#This Row],[quantity]]</f>
        <v>7502</v>
      </c>
    </row>
    <row r="2617" spans="1:9" x14ac:dyDescent="0.3">
      <c r="A2617" t="s">
        <v>4636</v>
      </c>
      <c r="B2617" t="s">
        <v>512</v>
      </c>
      <c r="C2617" t="s">
        <v>2001</v>
      </c>
      <c r="D2617">
        <v>3</v>
      </c>
      <c r="E2617" s="16">
        <v>900.24</v>
      </c>
      <c r="F2617" s="1">
        <v>44558</v>
      </c>
      <c r="G2617" t="s">
        <v>2027</v>
      </c>
      <c r="H2617">
        <v>5</v>
      </c>
      <c r="I2617" s="12">
        <f>Table16[[#This Row],[price]]*Table16[[#This Row],[quantity]]</f>
        <v>2700.7200000000003</v>
      </c>
    </row>
    <row r="2618" spans="1:9" x14ac:dyDescent="0.3">
      <c r="A2618" t="s">
        <v>4635</v>
      </c>
      <c r="B2618" t="s">
        <v>512</v>
      </c>
      <c r="C2618" t="s">
        <v>2001</v>
      </c>
      <c r="D2618">
        <v>1</v>
      </c>
      <c r="E2618" s="16">
        <v>300.08</v>
      </c>
      <c r="F2618" s="1">
        <v>44687</v>
      </c>
      <c r="G2618" t="s">
        <v>2002</v>
      </c>
      <c r="H2618">
        <v>5</v>
      </c>
      <c r="I2618" s="12">
        <f>Table16[[#This Row],[price]]*Table16[[#This Row],[quantity]]</f>
        <v>300.08</v>
      </c>
    </row>
    <row r="2619" spans="1:9" x14ac:dyDescent="0.3">
      <c r="A2619" t="s">
        <v>4634</v>
      </c>
      <c r="B2619" t="s">
        <v>512</v>
      </c>
      <c r="C2619" t="s">
        <v>2057</v>
      </c>
      <c r="D2619">
        <v>4</v>
      </c>
      <c r="E2619" s="16">
        <v>46.92</v>
      </c>
      <c r="F2619" s="1">
        <v>44771</v>
      </c>
      <c r="G2619" t="s">
        <v>2064</v>
      </c>
      <c r="H2619">
        <v>3</v>
      </c>
      <c r="I2619" s="12">
        <f>Table16[[#This Row],[price]]*Table16[[#This Row],[quantity]]</f>
        <v>187.68</v>
      </c>
    </row>
    <row r="2620" spans="1:9" x14ac:dyDescent="0.3">
      <c r="A2620" t="s">
        <v>4637</v>
      </c>
      <c r="B2620" t="s">
        <v>512</v>
      </c>
      <c r="C2620" t="s">
        <v>2008</v>
      </c>
      <c r="D2620">
        <v>4</v>
      </c>
      <c r="E2620" s="16">
        <v>20.92</v>
      </c>
      <c r="F2620" s="1">
        <v>44775</v>
      </c>
      <c r="G2620" t="s">
        <v>2027</v>
      </c>
      <c r="H2620">
        <v>5</v>
      </c>
      <c r="I2620" s="12">
        <f>Table16[[#This Row],[price]]*Table16[[#This Row],[quantity]]</f>
        <v>83.68</v>
      </c>
    </row>
    <row r="2621" spans="1:9" x14ac:dyDescent="0.3">
      <c r="A2621" t="s">
        <v>4633</v>
      </c>
      <c r="B2621" t="s">
        <v>512</v>
      </c>
      <c r="C2621" t="s">
        <v>2057</v>
      </c>
      <c r="D2621">
        <v>4</v>
      </c>
      <c r="E2621" s="16">
        <v>46.92</v>
      </c>
      <c r="F2621" s="1">
        <v>44799</v>
      </c>
      <c r="G2621" t="s">
        <v>2002</v>
      </c>
      <c r="H2621">
        <v>3</v>
      </c>
      <c r="I2621" s="12">
        <f>Table16[[#This Row],[price]]*Table16[[#This Row],[quantity]]</f>
        <v>187.68</v>
      </c>
    </row>
    <row r="2622" spans="1:9" x14ac:dyDescent="0.3">
      <c r="A2622" t="s">
        <v>4638</v>
      </c>
      <c r="B2622" t="s">
        <v>512</v>
      </c>
      <c r="C2622" t="s">
        <v>2001</v>
      </c>
      <c r="D2622">
        <v>3</v>
      </c>
      <c r="E2622" s="16">
        <v>900.24</v>
      </c>
      <c r="F2622" s="1">
        <v>44910</v>
      </c>
      <c r="G2622" t="s">
        <v>2058</v>
      </c>
      <c r="H2622">
        <v>2</v>
      </c>
      <c r="I2622" s="12">
        <f>Table16[[#This Row],[price]]*Table16[[#This Row],[quantity]]</f>
        <v>2700.7200000000003</v>
      </c>
    </row>
    <row r="2623" spans="1:9" x14ac:dyDescent="0.3">
      <c r="A2623" t="s">
        <v>4639</v>
      </c>
      <c r="B2623" t="s">
        <v>513</v>
      </c>
      <c r="C2623" t="s">
        <v>2011</v>
      </c>
      <c r="D2623">
        <v>5</v>
      </c>
      <c r="E2623" s="16">
        <v>203.3</v>
      </c>
      <c r="F2623" s="1">
        <v>44358</v>
      </c>
      <c r="G2623" t="s">
        <v>2004</v>
      </c>
      <c r="H2623">
        <v>2</v>
      </c>
      <c r="I2623" s="12">
        <f>Table16[[#This Row],[price]]*Table16[[#This Row],[quantity]]</f>
        <v>1016.5</v>
      </c>
    </row>
    <row r="2624" spans="1:9" x14ac:dyDescent="0.3">
      <c r="A2624" t="s">
        <v>4640</v>
      </c>
      <c r="B2624" t="s">
        <v>513</v>
      </c>
      <c r="C2624" t="s">
        <v>2001</v>
      </c>
      <c r="D2624">
        <v>5</v>
      </c>
      <c r="E2624" s="16">
        <v>1500.4</v>
      </c>
      <c r="F2624" s="1">
        <v>44607</v>
      </c>
      <c r="G2624" t="s">
        <v>2020</v>
      </c>
      <c r="H2624">
        <v>1</v>
      </c>
      <c r="I2624" s="12">
        <f>Table16[[#This Row],[price]]*Table16[[#This Row],[quantity]]</f>
        <v>7502</v>
      </c>
    </row>
    <row r="2625" spans="1:9" x14ac:dyDescent="0.3">
      <c r="A2625" t="s">
        <v>4642</v>
      </c>
      <c r="B2625" t="s">
        <v>513</v>
      </c>
      <c r="C2625" t="s">
        <v>2011</v>
      </c>
      <c r="D2625">
        <v>5</v>
      </c>
      <c r="E2625" s="16">
        <v>203.3</v>
      </c>
      <c r="F2625" s="1">
        <v>44625</v>
      </c>
      <c r="G2625" t="s">
        <v>2064</v>
      </c>
      <c r="H2625">
        <v>2</v>
      </c>
      <c r="I2625" s="12">
        <f>Table16[[#This Row],[price]]*Table16[[#This Row],[quantity]]</f>
        <v>1016.5</v>
      </c>
    </row>
    <row r="2626" spans="1:9" x14ac:dyDescent="0.3">
      <c r="A2626" t="s">
        <v>4641</v>
      </c>
      <c r="B2626" t="s">
        <v>513</v>
      </c>
      <c r="C2626" t="s">
        <v>2011</v>
      </c>
      <c r="D2626">
        <v>4</v>
      </c>
      <c r="E2626" s="16">
        <v>162.63999999999999</v>
      </c>
      <c r="F2626" s="1">
        <v>44632</v>
      </c>
      <c r="G2626" t="s">
        <v>2064</v>
      </c>
      <c r="H2626">
        <v>3</v>
      </c>
      <c r="I2626" s="12">
        <f>Table16[[#This Row],[price]]*Table16[[#This Row],[quantity]]</f>
        <v>650.55999999999995</v>
      </c>
    </row>
    <row r="2627" spans="1:9" x14ac:dyDescent="0.3">
      <c r="A2627" t="s">
        <v>4643</v>
      </c>
      <c r="B2627" t="s">
        <v>514</v>
      </c>
      <c r="C2627" t="s">
        <v>2024</v>
      </c>
      <c r="D2627">
        <v>5</v>
      </c>
      <c r="E2627" s="16">
        <v>179.2</v>
      </c>
      <c r="F2627" s="1">
        <v>44244</v>
      </c>
      <c r="G2627" t="s">
        <v>2027</v>
      </c>
      <c r="H2627">
        <v>2</v>
      </c>
      <c r="I2627" s="12">
        <f>Table16[[#This Row],[price]]*Table16[[#This Row],[quantity]]</f>
        <v>896</v>
      </c>
    </row>
    <row r="2628" spans="1:9" x14ac:dyDescent="0.3">
      <c r="A2628" t="s">
        <v>4645</v>
      </c>
      <c r="B2628" t="s">
        <v>514</v>
      </c>
      <c r="C2628" t="s">
        <v>2015</v>
      </c>
      <c r="D2628">
        <v>4</v>
      </c>
      <c r="E2628" s="16">
        <v>2400.6799999999998</v>
      </c>
      <c r="F2628" s="1">
        <v>44289</v>
      </c>
      <c r="G2628" t="s">
        <v>2027</v>
      </c>
      <c r="H2628">
        <v>5</v>
      </c>
      <c r="I2628" s="12">
        <f>Table16[[#This Row],[price]]*Table16[[#This Row],[quantity]]</f>
        <v>9602.7199999999993</v>
      </c>
    </row>
    <row r="2629" spans="1:9" x14ac:dyDescent="0.3">
      <c r="A2629" t="s">
        <v>4647</v>
      </c>
      <c r="B2629" t="s">
        <v>514</v>
      </c>
      <c r="C2629" t="s">
        <v>2001</v>
      </c>
      <c r="D2629">
        <v>5</v>
      </c>
      <c r="E2629" s="16">
        <v>1500.4</v>
      </c>
      <c r="F2629" s="1">
        <v>44698</v>
      </c>
      <c r="G2629" t="s">
        <v>2027</v>
      </c>
      <c r="H2629">
        <v>2</v>
      </c>
      <c r="I2629" s="12">
        <f>Table16[[#This Row],[price]]*Table16[[#This Row],[quantity]]</f>
        <v>7502</v>
      </c>
    </row>
    <row r="2630" spans="1:9" x14ac:dyDescent="0.3">
      <c r="A2630" t="s">
        <v>4646</v>
      </c>
      <c r="B2630" t="s">
        <v>514</v>
      </c>
      <c r="C2630" t="s">
        <v>2011</v>
      </c>
      <c r="D2630">
        <v>3</v>
      </c>
      <c r="E2630" s="16">
        <v>121.98</v>
      </c>
      <c r="F2630" s="1">
        <v>44741</v>
      </c>
      <c r="G2630" t="s">
        <v>2027</v>
      </c>
      <c r="H2630">
        <v>2</v>
      </c>
      <c r="I2630" s="12">
        <f>Table16[[#This Row],[price]]*Table16[[#This Row],[quantity]]</f>
        <v>365.94</v>
      </c>
    </row>
    <row r="2631" spans="1:9" x14ac:dyDescent="0.3">
      <c r="A2631" t="s">
        <v>4644</v>
      </c>
      <c r="B2631" t="s">
        <v>514</v>
      </c>
      <c r="C2631" t="s">
        <v>2011</v>
      </c>
      <c r="D2631">
        <v>1</v>
      </c>
      <c r="E2631" s="16">
        <v>40.659999999999997</v>
      </c>
      <c r="F2631" s="1">
        <v>44945</v>
      </c>
      <c r="G2631" t="s">
        <v>2041</v>
      </c>
      <c r="H2631">
        <v>3</v>
      </c>
      <c r="I2631" s="12">
        <f>Table16[[#This Row],[price]]*Table16[[#This Row],[quantity]]</f>
        <v>40.659999999999997</v>
      </c>
    </row>
    <row r="2632" spans="1:9" x14ac:dyDescent="0.3">
      <c r="A2632" t="s">
        <v>4651</v>
      </c>
      <c r="B2632" t="s">
        <v>515</v>
      </c>
      <c r="C2632" t="s">
        <v>2011</v>
      </c>
      <c r="D2632">
        <v>2</v>
      </c>
      <c r="E2632" s="16">
        <v>81.319999999999993</v>
      </c>
      <c r="F2632" s="1">
        <v>44289</v>
      </c>
      <c r="G2632" t="s">
        <v>2004</v>
      </c>
      <c r="H2632">
        <v>2</v>
      </c>
      <c r="I2632" s="12">
        <f>Table16[[#This Row],[price]]*Table16[[#This Row],[quantity]]</f>
        <v>162.63999999999999</v>
      </c>
    </row>
    <row r="2633" spans="1:9" x14ac:dyDescent="0.3">
      <c r="A2633" t="s">
        <v>4649</v>
      </c>
      <c r="B2633" t="s">
        <v>515</v>
      </c>
      <c r="C2633" t="s">
        <v>2001</v>
      </c>
      <c r="D2633">
        <v>4</v>
      </c>
      <c r="E2633" s="16">
        <v>1200.32</v>
      </c>
      <c r="F2633" s="1">
        <v>44613</v>
      </c>
      <c r="G2633" t="s">
        <v>2020</v>
      </c>
      <c r="H2633">
        <v>3</v>
      </c>
      <c r="I2633" s="12">
        <f>Table16[[#This Row],[price]]*Table16[[#This Row],[quantity]]</f>
        <v>4801.28</v>
      </c>
    </row>
    <row r="2634" spans="1:9" x14ac:dyDescent="0.3">
      <c r="A2634" t="s">
        <v>4650</v>
      </c>
      <c r="B2634" t="s">
        <v>515</v>
      </c>
      <c r="C2634" t="s">
        <v>2001</v>
      </c>
      <c r="D2634">
        <v>1</v>
      </c>
      <c r="E2634" s="16">
        <v>300.08</v>
      </c>
      <c r="F2634" s="1">
        <v>44737</v>
      </c>
      <c r="G2634" t="s">
        <v>2027</v>
      </c>
      <c r="H2634">
        <v>3</v>
      </c>
      <c r="I2634" s="12">
        <f>Table16[[#This Row],[price]]*Table16[[#This Row],[quantity]]</f>
        <v>300.08</v>
      </c>
    </row>
    <row r="2635" spans="1:9" x14ac:dyDescent="0.3">
      <c r="A2635" t="s">
        <v>4648</v>
      </c>
      <c r="B2635" t="s">
        <v>515</v>
      </c>
      <c r="C2635" t="s">
        <v>2057</v>
      </c>
      <c r="D2635">
        <v>5</v>
      </c>
      <c r="E2635" s="16">
        <v>58.65</v>
      </c>
      <c r="F2635" s="1">
        <v>44807</v>
      </c>
      <c r="G2635" t="s">
        <v>2004</v>
      </c>
      <c r="H2635">
        <v>2</v>
      </c>
      <c r="I2635" s="12">
        <f>Table16[[#This Row],[price]]*Table16[[#This Row],[quantity]]</f>
        <v>293.25</v>
      </c>
    </row>
    <row r="2636" spans="1:9" x14ac:dyDescent="0.3">
      <c r="A2636" t="s">
        <v>4654</v>
      </c>
      <c r="B2636" t="s">
        <v>516</v>
      </c>
      <c r="C2636" t="s">
        <v>2024</v>
      </c>
      <c r="D2636">
        <v>5</v>
      </c>
      <c r="E2636" s="16">
        <v>179.2</v>
      </c>
      <c r="F2636" s="1">
        <v>44296</v>
      </c>
      <c r="G2636" t="s">
        <v>2064</v>
      </c>
      <c r="H2636">
        <v>3</v>
      </c>
      <c r="I2636" s="12">
        <f>Table16[[#This Row],[price]]*Table16[[#This Row],[quantity]]</f>
        <v>896</v>
      </c>
    </row>
    <row r="2637" spans="1:9" x14ac:dyDescent="0.3">
      <c r="A2637" t="s">
        <v>4655</v>
      </c>
      <c r="B2637" t="s">
        <v>516</v>
      </c>
      <c r="C2637" t="s">
        <v>2011</v>
      </c>
      <c r="D2637">
        <v>5</v>
      </c>
      <c r="E2637" s="16">
        <v>203.3</v>
      </c>
      <c r="F2637" s="1">
        <v>44318</v>
      </c>
      <c r="G2637" t="s">
        <v>2004</v>
      </c>
      <c r="H2637">
        <v>3</v>
      </c>
      <c r="I2637" s="12">
        <f>Table16[[#This Row],[price]]*Table16[[#This Row],[quantity]]</f>
        <v>1016.5</v>
      </c>
    </row>
    <row r="2638" spans="1:9" x14ac:dyDescent="0.3">
      <c r="A2638" t="s">
        <v>4653</v>
      </c>
      <c r="B2638" t="s">
        <v>516</v>
      </c>
      <c r="C2638" t="s">
        <v>2001</v>
      </c>
      <c r="D2638">
        <v>2</v>
      </c>
      <c r="E2638" s="16">
        <v>600.16</v>
      </c>
      <c r="F2638" s="1">
        <v>44391</v>
      </c>
      <c r="G2638" t="s">
        <v>2002</v>
      </c>
      <c r="H2638">
        <v>3</v>
      </c>
      <c r="I2638" s="12">
        <f>Table16[[#This Row],[price]]*Table16[[#This Row],[quantity]]</f>
        <v>1200.32</v>
      </c>
    </row>
    <row r="2639" spans="1:9" x14ac:dyDescent="0.3">
      <c r="A2639" t="s">
        <v>4652</v>
      </c>
      <c r="B2639" t="s">
        <v>516</v>
      </c>
      <c r="C2639" t="s">
        <v>2024</v>
      </c>
      <c r="D2639">
        <v>5</v>
      </c>
      <c r="E2639" s="16">
        <v>179.2</v>
      </c>
      <c r="F2639" s="1">
        <v>44735</v>
      </c>
      <c r="G2639" t="s">
        <v>2027</v>
      </c>
      <c r="H2639">
        <v>5</v>
      </c>
      <c r="I2639" s="12">
        <f>Table16[[#This Row],[price]]*Table16[[#This Row],[quantity]]</f>
        <v>896</v>
      </c>
    </row>
    <row r="2640" spans="1:9" x14ac:dyDescent="0.3">
      <c r="A2640" t="s">
        <v>4656</v>
      </c>
      <c r="B2640" t="s">
        <v>517</v>
      </c>
      <c r="C2640" t="s">
        <v>2011</v>
      </c>
      <c r="D2640">
        <v>4</v>
      </c>
      <c r="E2640" s="16">
        <v>162.63999999999999</v>
      </c>
      <c r="F2640" s="1">
        <v>44254</v>
      </c>
      <c r="G2640" t="s">
        <v>2012</v>
      </c>
      <c r="H2640">
        <v>4</v>
      </c>
      <c r="I2640" s="12">
        <f>Table16[[#This Row],[price]]*Table16[[#This Row],[quantity]]</f>
        <v>650.55999999999995</v>
      </c>
    </row>
    <row r="2641" spans="1:9" x14ac:dyDescent="0.3">
      <c r="A2641" t="s">
        <v>4657</v>
      </c>
      <c r="B2641" t="s">
        <v>517</v>
      </c>
      <c r="C2641" t="s">
        <v>2001</v>
      </c>
      <c r="D2641">
        <v>2</v>
      </c>
      <c r="E2641" s="16">
        <v>600.16</v>
      </c>
      <c r="F2641" s="1">
        <v>44490</v>
      </c>
      <c r="G2641" t="s">
        <v>2018</v>
      </c>
      <c r="H2641">
        <v>3</v>
      </c>
      <c r="I2641" s="12">
        <f>Table16[[#This Row],[price]]*Table16[[#This Row],[quantity]]</f>
        <v>1200.32</v>
      </c>
    </row>
    <row r="2642" spans="1:9" x14ac:dyDescent="0.3">
      <c r="A2642" t="s">
        <v>4658</v>
      </c>
      <c r="B2642" t="s">
        <v>517</v>
      </c>
      <c r="C2642" t="s">
        <v>2006</v>
      </c>
      <c r="D2642">
        <v>1</v>
      </c>
      <c r="E2642" s="16">
        <v>15.15</v>
      </c>
      <c r="F2642" s="1">
        <v>44871</v>
      </c>
      <c r="G2642" t="s">
        <v>2027</v>
      </c>
      <c r="H2642">
        <v>2</v>
      </c>
      <c r="I2642" s="12">
        <f>Table16[[#This Row],[price]]*Table16[[#This Row],[quantity]]</f>
        <v>15.15</v>
      </c>
    </row>
    <row r="2643" spans="1:9" x14ac:dyDescent="0.3">
      <c r="A2643" t="s">
        <v>4663</v>
      </c>
      <c r="B2643" t="s">
        <v>518</v>
      </c>
      <c r="C2643" t="s">
        <v>2001</v>
      </c>
      <c r="D2643">
        <v>3</v>
      </c>
      <c r="E2643" s="16">
        <v>900.24</v>
      </c>
      <c r="F2643" s="1">
        <v>44516</v>
      </c>
      <c r="G2643" t="s">
        <v>2064</v>
      </c>
      <c r="H2643">
        <v>3</v>
      </c>
      <c r="I2643" s="12">
        <f>Table16[[#This Row],[price]]*Table16[[#This Row],[quantity]]</f>
        <v>2700.7200000000003</v>
      </c>
    </row>
    <row r="2644" spans="1:9" x14ac:dyDescent="0.3">
      <c r="A2644" t="s">
        <v>4660</v>
      </c>
      <c r="B2644" t="s">
        <v>518</v>
      </c>
      <c r="C2644" t="s">
        <v>2015</v>
      </c>
      <c r="D2644">
        <v>1</v>
      </c>
      <c r="E2644" s="16">
        <v>600.16999999999996</v>
      </c>
      <c r="F2644" s="1">
        <v>44544</v>
      </c>
      <c r="G2644" t="s">
        <v>2058</v>
      </c>
      <c r="H2644">
        <v>4</v>
      </c>
      <c r="I2644" s="12">
        <f>Table16[[#This Row],[price]]*Table16[[#This Row],[quantity]]</f>
        <v>600.16999999999996</v>
      </c>
    </row>
    <row r="2645" spans="1:9" x14ac:dyDescent="0.3">
      <c r="A2645" t="s">
        <v>4659</v>
      </c>
      <c r="B2645" t="s">
        <v>518</v>
      </c>
      <c r="C2645" t="s">
        <v>2024</v>
      </c>
      <c r="D2645">
        <v>3</v>
      </c>
      <c r="E2645" s="16">
        <v>107.52</v>
      </c>
      <c r="F2645" s="1">
        <v>44637</v>
      </c>
      <c r="G2645" t="s">
        <v>2027</v>
      </c>
      <c r="H2645">
        <v>5</v>
      </c>
      <c r="I2645" s="12">
        <f>Table16[[#This Row],[price]]*Table16[[#This Row],[quantity]]</f>
        <v>322.56</v>
      </c>
    </row>
    <row r="2646" spans="1:9" x14ac:dyDescent="0.3">
      <c r="A2646" t="s">
        <v>4661</v>
      </c>
      <c r="B2646" t="s">
        <v>518</v>
      </c>
      <c r="C2646" t="s">
        <v>2017</v>
      </c>
      <c r="D2646">
        <v>1</v>
      </c>
      <c r="E2646" s="16">
        <v>1050</v>
      </c>
      <c r="F2646" s="1">
        <v>44684</v>
      </c>
      <c r="G2646" t="s">
        <v>2004</v>
      </c>
      <c r="H2646">
        <v>3</v>
      </c>
      <c r="I2646" s="12">
        <f>Table16[[#This Row],[price]]*Table16[[#This Row],[quantity]]</f>
        <v>1050</v>
      </c>
    </row>
    <row r="2647" spans="1:9" x14ac:dyDescent="0.3">
      <c r="A2647" t="s">
        <v>4664</v>
      </c>
      <c r="B2647" t="s">
        <v>518</v>
      </c>
      <c r="C2647" t="s">
        <v>2001</v>
      </c>
      <c r="D2647">
        <v>4</v>
      </c>
      <c r="E2647" s="16">
        <v>1200.32</v>
      </c>
      <c r="F2647" s="1">
        <v>44750</v>
      </c>
      <c r="G2647" t="s">
        <v>2002</v>
      </c>
      <c r="H2647">
        <v>4</v>
      </c>
      <c r="I2647" s="12">
        <f>Table16[[#This Row],[price]]*Table16[[#This Row],[quantity]]</f>
        <v>4801.28</v>
      </c>
    </row>
    <row r="2648" spans="1:9" x14ac:dyDescent="0.3">
      <c r="A2648" t="s">
        <v>4665</v>
      </c>
      <c r="B2648" t="s">
        <v>518</v>
      </c>
      <c r="C2648" t="s">
        <v>2015</v>
      </c>
      <c r="D2648">
        <v>2</v>
      </c>
      <c r="E2648" s="16">
        <v>1200.3399999999999</v>
      </c>
      <c r="F2648" s="1">
        <v>44807</v>
      </c>
      <c r="G2648" t="s">
        <v>2058</v>
      </c>
      <c r="H2648">
        <v>1</v>
      </c>
      <c r="I2648" s="12">
        <f>Table16[[#This Row],[price]]*Table16[[#This Row],[quantity]]</f>
        <v>2400.6799999999998</v>
      </c>
    </row>
    <row r="2649" spans="1:9" x14ac:dyDescent="0.3">
      <c r="A2649" t="s">
        <v>4662</v>
      </c>
      <c r="B2649" t="s">
        <v>518</v>
      </c>
      <c r="C2649" t="s">
        <v>2001</v>
      </c>
      <c r="D2649">
        <v>3</v>
      </c>
      <c r="E2649" s="16">
        <v>900.24</v>
      </c>
      <c r="F2649" s="1">
        <v>44988</v>
      </c>
      <c r="G2649" t="s">
        <v>2041</v>
      </c>
      <c r="H2649">
        <v>4</v>
      </c>
      <c r="I2649" s="12">
        <f>Table16[[#This Row],[price]]*Table16[[#This Row],[quantity]]</f>
        <v>2700.7200000000003</v>
      </c>
    </row>
    <row r="2650" spans="1:9" x14ac:dyDescent="0.3">
      <c r="A2650" t="s">
        <v>4670</v>
      </c>
      <c r="B2650" t="s">
        <v>519</v>
      </c>
      <c r="C2650" t="s">
        <v>2011</v>
      </c>
      <c r="D2650">
        <v>2</v>
      </c>
      <c r="E2650" s="16">
        <v>81.319999999999993</v>
      </c>
      <c r="F2650" s="1">
        <v>44381</v>
      </c>
      <c r="G2650" t="s">
        <v>2027</v>
      </c>
      <c r="H2650">
        <v>1</v>
      </c>
      <c r="I2650" s="12">
        <f>Table16[[#This Row],[price]]*Table16[[#This Row],[quantity]]</f>
        <v>162.63999999999999</v>
      </c>
    </row>
    <row r="2651" spans="1:9" x14ac:dyDescent="0.3">
      <c r="A2651" t="s">
        <v>4667</v>
      </c>
      <c r="B2651" t="s">
        <v>519</v>
      </c>
      <c r="C2651" t="s">
        <v>2015</v>
      </c>
      <c r="D2651">
        <v>4</v>
      </c>
      <c r="E2651" s="16">
        <v>2400.6799999999998</v>
      </c>
      <c r="F2651" s="1">
        <v>44647</v>
      </c>
      <c r="G2651" t="s">
        <v>2004</v>
      </c>
      <c r="H2651">
        <v>3</v>
      </c>
      <c r="I2651" s="12">
        <f>Table16[[#This Row],[price]]*Table16[[#This Row],[quantity]]</f>
        <v>9602.7199999999993</v>
      </c>
    </row>
    <row r="2652" spans="1:9" x14ac:dyDescent="0.3">
      <c r="A2652" t="s">
        <v>4666</v>
      </c>
      <c r="B2652" t="s">
        <v>519</v>
      </c>
      <c r="C2652" t="s">
        <v>2015</v>
      </c>
      <c r="D2652">
        <v>4</v>
      </c>
      <c r="E2652" s="16">
        <v>2400.6799999999998</v>
      </c>
      <c r="F2652" s="1">
        <v>44747</v>
      </c>
      <c r="G2652" t="s">
        <v>2004</v>
      </c>
      <c r="H2652">
        <v>4</v>
      </c>
      <c r="I2652" s="12">
        <f>Table16[[#This Row],[price]]*Table16[[#This Row],[quantity]]</f>
        <v>9602.7199999999993</v>
      </c>
    </row>
    <row r="2653" spans="1:9" x14ac:dyDescent="0.3">
      <c r="A2653" t="s">
        <v>4668</v>
      </c>
      <c r="B2653" t="s">
        <v>519</v>
      </c>
      <c r="C2653" t="s">
        <v>2001</v>
      </c>
      <c r="D2653">
        <v>5</v>
      </c>
      <c r="E2653" s="16">
        <v>1500.4</v>
      </c>
      <c r="F2653" s="1">
        <v>44839</v>
      </c>
      <c r="G2653" t="s">
        <v>2064</v>
      </c>
      <c r="H2653">
        <v>2</v>
      </c>
      <c r="I2653" s="12">
        <f>Table16[[#This Row],[price]]*Table16[[#This Row],[quantity]]</f>
        <v>7502</v>
      </c>
    </row>
    <row r="2654" spans="1:9" x14ac:dyDescent="0.3">
      <c r="A2654" t="s">
        <v>4669</v>
      </c>
      <c r="B2654" t="s">
        <v>519</v>
      </c>
      <c r="C2654" t="s">
        <v>2008</v>
      </c>
      <c r="D2654">
        <v>1</v>
      </c>
      <c r="E2654" s="16">
        <v>5.23</v>
      </c>
      <c r="F2654" s="1">
        <v>44961</v>
      </c>
      <c r="G2654" t="s">
        <v>2064</v>
      </c>
      <c r="H2654">
        <v>1</v>
      </c>
      <c r="I2654" s="12">
        <f>Table16[[#This Row],[price]]*Table16[[#This Row],[quantity]]</f>
        <v>5.23</v>
      </c>
    </row>
    <row r="2655" spans="1:9" x14ac:dyDescent="0.3">
      <c r="A2655" t="s">
        <v>4674</v>
      </c>
      <c r="B2655" t="s">
        <v>520</v>
      </c>
      <c r="C2655" t="s">
        <v>2001</v>
      </c>
      <c r="D2655">
        <v>3</v>
      </c>
      <c r="E2655" s="16">
        <v>900.24</v>
      </c>
      <c r="F2655" s="1">
        <v>44341</v>
      </c>
      <c r="G2655" t="s">
        <v>2004</v>
      </c>
      <c r="H2655">
        <v>3</v>
      </c>
      <c r="I2655" s="12">
        <f>Table16[[#This Row],[price]]*Table16[[#This Row],[quantity]]</f>
        <v>2700.7200000000003</v>
      </c>
    </row>
    <row r="2656" spans="1:9" x14ac:dyDescent="0.3">
      <c r="A2656" t="s">
        <v>4678</v>
      </c>
      <c r="B2656" t="s">
        <v>520</v>
      </c>
      <c r="C2656" t="s">
        <v>2008</v>
      </c>
      <c r="D2656">
        <v>4</v>
      </c>
      <c r="E2656" s="16">
        <v>20.92</v>
      </c>
      <c r="F2656" s="1">
        <v>44342</v>
      </c>
      <c r="G2656" t="s">
        <v>2012</v>
      </c>
      <c r="H2656">
        <v>1</v>
      </c>
      <c r="I2656" s="12">
        <f>Table16[[#This Row],[price]]*Table16[[#This Row],[quantity]]</f>
        <v>83.68</v>
      </c>
    </row>
    <row r="2657" spans="1:9" x14ac:dyDescent="0.3">
      <c r="A2657" t="s">
        <v>4671</v>
      </c>
      <c r="B2657" t="s">
        <v>520</v>
      </c>
      <c r="C2657" t="s">
        <v>2024</v>
      </c>
      <c r="D2657">
        <v>3</v>
      </c>
      <c r="E2657" s="16">
        <v>107.52</v>
      </c>
      <c r="F2657" s="1">
        <v>44638</v>
      </c>
      <c r="G2657" t="s">
        <v>2020</v>
      </c>
      <c r="H2657">
        <v>5</v>
      </c>
      <c r="I2657" s="12">
        <f>Table16[[#This Row],[price]]*Table16[[#This Row],[quantity]]</f>
        <v>322.56</v>
      </c>
    </row>
    <row r="2658" spans="1:9" x14ac:dyDescent="0.3">
      <c r="A2658" t="s">
        <v>4673</v>
      </c>
      <c r="B2658" t="s">
        <v>520</v>
      </c>
      <c r="C2658" t="s">
        <v>2006</v>
      </c>
      <c r="D2658">
        <v>5</v>
      </c>
      <c r="E2658" s="16">
        <v>75.75</v>
      </c>
      <c r="F2658" s="1">
        <v>44702</v>
      </c>
      <c r="G2658" t="s">
        <v>2002</v>
      </c>
      <c r="H2658">
        <v>3</v>
      </c>
      <c r="I2658" s="12">
        <f>Table16[[#This Row],[price]]*Table16[[#This Row],[quantity]]</f>
        <v>378.75</v>
      </c>
    </row>
    <row r="2659" spans="1:9" x14ac:dyDescent="0.3">
      <c r="A2659" t="s">
        <v>4672</v>
      </c>
      <c r="B2659" t="s">
        <v>520</v>
      </c>
      <c r="C2659" t="s">
        <v>2057</v>
      </c>
      <c r="D2659">
        <v>3</v>
      </c>
      <c r="E2659" s="16">
        <v>35.19</v>
      </c>
      <c r="F2659" s="1">
        <v>44755</v>
      </c>
      <c r="G2659" t="s">
        <v>2027</v>
      </c>
      <c r="H2659">
        <v>3</v>
      </c>
      <c r="I2659" s="12">
        <f>Table16[[#This Row],[price]]*Table16[[#This Row],[quantity]]</f>
        <v>105.57</v>
      </c>
    </row>
    <row r="2660" spans="1:9" x14ac:dyDescent="0.3">
      <c r="A2660" t="s">
        <v>4677</v>
      </c>
      <c r="B2660" t="s">
        <v>520</v>
      </c>
      <c r="C2660" t="s">
        <v>2008</v>
      </c>
      <c r="D2660">
        <v>3</v>
      </c>
      <c r="E2660" s="16">
        <v>15.69</v>
      </c>
      <c r="F2660" s="1">
        <v>44888</v>
      </c>
      <c r="G2660" t="s">
        <v>2012</v>
      </c>
      <c r="H2660">
        <v>2</v>
      </c>
      <c r="I2660" s="12">
        <f>Table16[[#This Row],[price]]*Table16[[#This Row],[quantity]]</f>
        <v>47.07</v>
      </c>
    </row>
    <row r="2661" spans="1:9" x14ac:dyDescent="0.3">
      <c r="A2661" t="s">
        <v>4676</v>
      </c>
      <c r="B2661" t="s">
        <v>520</v>
      </c>
      <c r="C2661" t="s">
        <v>2017</v>
      </c>
      <c r="D2661">
        <v>1</v>
      </c>
      <c r="E2661" s="16">
        <v>1050</v>
      </c>
      <c r="F2661" s="1">
        <v>44966</v>
      </c>
      <c r="G2661" t="s">
        <v>2009</v>
      </c>
      <c r="H2661">
        <v>3</v>
      </c>
      <c r="I2661" s="12">
        <f>Table16[[#This Row],[price]]*Table16[[#This Row],[quantity]]</f>
        <v>1050</v>
      </c>
    </row>
    <row r="2662" spans="1:9" x14ac:dyDescent="0.3">
      <c r="A2662" t="s">
        <v>4675</v>
      </c>
      <c r="B2662" t="s">
        <v>520</v>
      </c>
      <c r="C2662" t="s">
        <v>2015</v>
      </c>
      <c r="D2662">
        <v>2</v>
      </c>
      <c r="E2662" s="16">
        <v>1200.3399999999999</v>
      </c>
      <c r="F2662" s="1">
        <v>44993</v>
      </c>
      <c r="G2662" t="s">
        <v>2020</v>
      </c>
      <c r="H2662">
        <v>3</v>
      </c>
      <c r="I2662" s="12">
        <f>Table16[[#This Row],[price]]*Table16[[#This Row],[quantity]]</f>
        <v>2400.6799999999998</v>
      </c>
    </row>
    <row r="2663" spans="1:9" x14ac:dyDescent="0.3">
      <c r="A2663" t="s">
        <v>4680</v>
      </c>
      <c r="B2663" t="s">
        <v>521</v>
      </c>
      <c r="C2663" t="s">
        <v>2006</v>
      </c>
      <c r="D2663">
        <v>4</v>
      </c>
      <c r="E2663" s="16">
        <v>60.6</v>
      </c>
      <c r="F2663" s="1">
        <v>44392</v>
      </c>
      <c r="G2663" t="s">
        <v>2027</v>
      </c>
      <c r="H2663">
        <v>4</v>
      </c>
      <c r="I2663" s="12">
        <f>Table16[[#This Row],[price]]*Table16[[#This Row],[quantity]]</f>
        <v>242.4</v>
      </c>
    </row>
    <row r="2664" spans="1:9" x14ac:dyDescent="0.3">
      <c r="A2664" t="s">
        <v>4681</v>
      </c>
      <c r="B2664" t="s">
        <v>521</v>
      </c>
      <c r="C2664" t="s">
        <v>2001</v>
      </c>
      <c r="D2664">
        <v>3</v>
      </c>
      <c r="E2664" s="16">
        <v>900.24</v>
      </c>
      <c r="F2664" s="1">
        <v>44562</v>
      </c>
      <c r="G2664" t="s">
        <v>2027</v>
      </c>
      <c r="H2664">
        <v>5</v>
      </c>
      <c r="I2664" s="12">
        <f>Table16[[#This Row],[price]]*Table16[[#This Row],[quantity]]</f>
        <v>2700.7200000000003</v>
      </c>
    </row>
    <row r="2665" spans="1:9" x14ac:dyDescent="0.3">
      <c r="A2665" t="s">
        <v>4683</v>
      </c>
      <c r="B2665" t="s">
        <v>521</v>
      </c>
      <c r="C2665" t="s">
        <v>2001</v>
      </c>
      <c r="D2665">
        <v>2</v>
      </c>
      <c r="E2665" s="16">
        <v>600.16</v>
      </c>
      <c r="F2665" s="1">
        <v>44622</v>
      </c>
      <c r="G2665" t="s">
        <v>2002</v>
      </c>
      <c r="H2665">
        <v>3</v>
      </c>
      <c r="I2665" s="12">
        <f>Table16[[#This Row],[price]]*Table16[[#This Row],[quantity]]</f>
        <v>1200.32</v>
      </c>
    </row>
    <row r="2666" spans="1:9" x14ac:dyDescent="0.3">
      <c r="A2666" t="s">
        <v>4682</v>
      </c>
      <c r="B2666" t="s">
        <v>521</v>
      </c>
      <c r="C2666" t="s">
        <v>2001</v>
      </c>
      <c r="D2666">
        <v>3</v>
      </c>
      <c r="E2666" s="16">
        <v>900.24</v>
      </c>
      <c r="F2666" s="1">
        <v>44970</v>
      </c>
      <c r="G2666" t="s">
        <v>2018</v>
      </c>
      <c r="H2666">
        <v>1</v>
      </c>
      <c r="I2666" s="12">
        <f>Table16[[#This Row],[price]]*Table16[[#This Row],[quantity]]</f>
        <v>2700.7200000000003</v>
      </c>
    </row>
    <row r="2667" spans="1:9" x14ac:dyDescent="0.3">
      <c r="A2667" t="s">
        <v>4679</v>
      </c>
      <c r="B2667" t="s">
        <v>521</v>
      </c>
      <c r="C2667" t="s">
        <v>2001</v>
      </c>
      <c r="D2667">
        <v>2</v>
      </c>
      <c r="E2667" s="16">
        <v>600.16</v>
      </c>
      <c r="F2667" s="1">
        <v>44973</v>
      </c>
      <c r="G2667" t="s">
        <v>2009</v>
      </c>
      <c r="H2667">
        <v>5</v>
      </c>
      <c r="I2667" s="12">
        <f>Table16[[#This Row],[price]]*Table16[[#This Row],[quantity]]</f>
        <v>1200.32</v>
      </c>
    </row>
    <row r="2668" spans="1:9" x14ac:dyDescent="0.3">
      <c r="A2668" t="s">
        <v>4685</v>
      </c>
      <c r="B2668" t="s">
        <v>522</v>
      </c>
      <c r="C2668" t="s">
        <v>2001</v>
      </c>
      <c r="D2668">
        <v>5</v>
      </c>
      <c r="E2668" s="16">
        <v>1500.4</v>
      </c>
      <c r="F2668" s="1">
        <v>44334</v>
      </c>
      <c r="G2668" t="s">
        <v>2027</v>
      </c>
      <c r="H2668">
        <v>1</v>
      </c>
      <c r="I2668" s="12">
        <f>Table16[[#This Row],[price]]*Table16[[#This Row],[quantity]]</f>
        <v>7502</v>
      </c>
    </row>
    <row r="2669" spans="1:9" x14ac:dyDescent="0.3">
      <c r="A2669" t="s">
        <v>4684</v>
      </c>
      <c r="B2669" t="s">
        <v>522</v>
      </c>
      <c r="C2669" t="s">
        <v>2006</v>
      </c>
      <c r="D2669">
        <v>2</v>
      </c>
      <c r="E2669" s="16">
        <v>30.3</v>
      </c>
      <c r="F2669" s="1">
        <v>44897</v>
      </c>
      <c r="G2669" t="s">
        <v>2027</v>
      </c>
      <c r="H2669">
        <v>2</v>
      </c>
      <c r="I2669" s="12">
        <f>Table16[[#This Row],[price]]*Table16[[#This Row],[quantity]]</f>
        <v>60.6</v>
      </c>
    </row>
    <row r="2670" spans="1:9" x14ac:dyDescent="0.3">
      <c r="A2670" t="s">
        <v>4690</v>
      </c>
      <c r="B2670" t="s">
        <v>523</v>
      </c>
      <c r="C2670" t="s">
        <v>2001</v>
      </c>
      <c r="D2670">
        <v>3</v>
      </c>
      <c r="E2670" s="16">
        <v>900.24</v>
      </c>
      <c r="F2670" s="1">
        <v>44352</v>
      </c>
      <c r="G2670" t="s">
        <v>2041</v>
      </c>
      <c r="H2670">
        <v>5</v>
      </c>
      <c r="I2670" s="12">
        <f>Table16[[#This Row],[price]]*Table16[[#This Row],[quantity]]</f>
        <v>2700.7200000000003</v>
      </c>
    </row>
    <row r="2671" spans="1:9" x14ac:dyDescent="0.3">
      <c r="A2671" t="s">
        <v>4687</v>
      </c>
      <c r="B2671" t="s">
        <v>523</v>
      </c>
      <c r="C2671" t="s">
        <v>2008</v>
      </c>
      <c r="D2671">
        <v>1</v>
      </c>
      <c r="E2671" s="16">
        <v>5.23</v>
      </c>
      <c r="F2671" s="1">
        <v>44412</v>
      </c>
      <c r="G2671" t="s">
        <v>2020</v>
      </c>
      <c r="H2671">
        <v>3</v>
      </c>
      <c r="I2671" s="12">
        <f>Table16[[#This Row],[price]]*Table16[[#This Row],[quantity]]</f>
        <v>5.23</v>
      </c>
    </row>
    <row r="2672" spans="1:9" x14ac:dyDescent="0.3">
      <c r="A2672" t="s">
        <v>4689</v>
      </c>
      <c r="B2672" t="s">
        <v>523</v>
      </c>
      <c r="C2672" t="s">
        <v>2001</v>
      </c>
      <c r="D2672">
        <v>5</v>
      </c>
      <c r="E2672" s="16">
        <v>1500.4</v>
      </c>
      <c r="F2672" s="1">
        <v>44430</v>
      </c>
      <c r="G2672" t="s">
        <v>2064</v>
      </c>
      <c r="H2672">
        <v>4</v>
      </c>
      <c r="I2672" s="12">
        <f>Table16[[#This Row],[price]]*Table16[[#This Row],[quantity]]</f>
        <v>7502</v>
      </c>
    </row>
    <row r="2673" spans="1:9" x14ac:dyDescent="0.3">
      <c r="A2673" t="s">
        <v>4686</v>
      </c>
      <c r="B2673" t="s">
        <v>523</v>
      </c>
      <c r="C2673" t="s">
        <v>2011</v>
      </c>
      <c r="D2673">
        <v>1</v>
      </c>
      <c r="E2673" s="16">
        <v>40.659999999999997</v>
      </c>
      <c r="F2673" s="1">
        <v>44533</v>
      </c>
      <c r="G2673" t="s">
        <v>2041</v>
      </c>
      <c r="H2673">
        <v>2</v>
      </c>
      <c r="I2673" s="12">
        <f>Table16[[#This Row],[price]]*Table16[[#This Row],[quantity]]</f>
        <v>40.659999999999997</v>
      </c>
    </row>
    <row r="2674" spans="1:9" x14ac:dyDescent="0.3">
      <c r="A2674" t="s">
        <v>4688</v>
      </c>
      <c r="B2674" t="s">
        <v>523</v>
      </c>
      <c r="C2674" t="s">
        <v>2001</v>
      </c>
      <c r="D2674">
        <v>1</v>
      </c>
      <c r="E2674" s="16">
        <v>300.08</v>
      </c>
      <c r="F2674" s="1">
        <v>44568</v>
      </c>
      <c r="G2674" t="s">
        <v>2064</v>
      </c>
      <c r="H2674">
        <v>3</v>
      </c>
      <c r="I2674" s="12">
        <f>Table16[[#This Row],[price]]*Table16[[#This Row],[quantity]]</f>
        <v>300.08</v>
      </c>
    </row>
    <row r="2675" spans="1:9" x14ac:dyDescent="0.3">
      <c r="A2675" t="s">
        <v>4692</v>
      </c>
      <c r="B2675" t="s">
        <v>524</v>
      </c>
      <c r="C2675" t="s">
        <v>2001</v>
      </c>
      <c r="D2675">
        <v>3</v>
      </c>
      <c r="E2675" s="16">
        <v>900.24</v>
      </c>
      <c r="F2675" s="1">
        <v>44271</v>
      </c>
      <c r="G2675" t="s">
        <v>2004</v>
      </c>
      <c r="H2675">
        <v>2</v>
      </c>
      <c r="I2675" s="12">
        <f>Table16[[#This Row],[price]]*Table16[[#This Row],[quantity]]</f>
        <v>2700.7200000000003</v>
      </c>
    </row>
    <row r="2676" spans="1:9" x14ac:dyDescent="0.3">
      <c r="A2676" t="s">
        <v>4691</v>
      </c>
      <c r="B2676" t="s">
        <v>524</v>
      </c>
      <c r="C2676" t="s">
        <v>2011</v>
      </c>
      <c r="D2676">
        <v>2</v>
      </c>
      <c r="E2676" s="16">
        <v>81.319999999999993</v>
      </c>
      <c r="F2676" s="1">
        <v>44351</v>
      </c>
      <c r="G2676" t="s">
        <v>2002</v>
      </c>
      <c r="H2676">
        <v>2</v>
      </c>
      <c r="I2676" s="12">
        <f>Table16[[#This Row],[price]]*Table16[[#This Row],[quantity]]</f>
        <v>162.63999999999999</v>
      </c>
    </row>
    <row r="2677" spans="1:9" x14ac:dyDescent="0.3">
      <c r="A2677" t="s">
        <v>4693</v>
      </c>
      <c r="B2677" t="s">
        <v>524</v>
      </c>
      <c r="C2677" t="s">
        <v>2015</v>
      </c>
      <c r="D2677">
        <v>1</v>
      </c>
      <c r="E2677" s="16">
        <v>600.16999999999996</v>
      </c>
      <c r="F2677" s="1">
        <v>44699</v>
      </c>
      <c r="G2677" t="s">
        <v>2009</v>
      </c>
      <c r="H2677">
        <v>4</v>
      </c>
      <c r="I2677" s="12">
        <f>Table16[[#This Row],[price]]*Table16[[#This Row],[quantity]]</f>
        <v>600.16999999999996</v>
      </c>
    </row>
    <row r="2678" spans="1:9" x14ac:dyDescent="0.3">
      <c r="A2678" t="s">
        <v>4696</v>
      </c>
      <c r="B2678" t="s">
        <v>525</v>
      </c>
      <c r="C2678" t="s">
        <v>2006</v>
      </c>
      <c r="D2678">
        <v>3</v>
      </c>
      <c r="E2678" s="16">
        <v>45.45</v>
      </c>
      <c r="F2678" s="1">
        <v>44403</v>
      </c>
      <c r="G2678" t="s">
        <v>2012</v>
      </c>
      <c r="H2678">
        <v>5</v>
      </c>
      <c r="I2678" s="12">
        <f>Table16[[#This Row],[price]]*Table16[[#This Row],[quantity]]</f>
        <v>136.35000000000002</v>
      </c>
    </row>
    <row r="2679" spans="1:9" x14ac:dyDescent="0.3">
      <c r="A2679" t="s">
        <v>4694</v>
      </c>
      <c r="B2679" t="s">
        <v>525</v>
      </c>
      <c r="C2679" t="s">
        <v>2024</v>
      </c>
      <c r="D2679">
        <v>2</v>
      </c>
      <c r="E2679" s="16">
        <v>71.680000000000007</v>
      </c>
      <c r="F2679" s="1">
        <v>44481</v>
      </c>
      <c r="G2679" t="s">
        <v>2018</v>
      </c>
      <c r="H2679">
        <v>1</v>
      </c>
      <c r="I2679" s="12">
        <f>Table16[[#This Row],[price]]*Table16[[#This Row],[quantity]]</f>
        <v>143.36000000000001</v>
      </c>
    </row>
    <row r="2680" spans="1:9" x14ac:dyDescent="0.3">
      <c r="A2680" t="s">
        <v>4695</v>
      </c>
      <c r="B2680" t="s">
        <v>525</v>
      </c>
      <c r="C2680" t="s">
        <v>2017</v>
      </c>
      <c r="D2680">
        <v>5</v>
      </c>
      <c r="E2680" s="16">
        <v>5250</v>
      </c>
      <c r="F2680" s="1">
        <v>44962</v>
      </c>
      <c r="G2680" t="s">
        <v>2018</v>
      </c>
      <c r="H2680">
        <v>1</v>
      </c>
      <c r="I2680" s="12">
        <f>Table16[[#This Row],[price]]*Table16[[#This Row],[quantity]]</f>
        <v>26250</v>
      </c>
    </row>
    <row r="2681" spans="1:9" x14ac:dyDescent="0.3">
      <c r="A2681" t="s">
        <v>4697</v>
      </c>
      <c r="B2681" t="s">
        <v>526</v>
      </c>
      <c r="C2681" t="s">
        <v>2011</v>
      </c>
      <c r="D2681">
        <v>3</v>
      </c>
      <c r="E2681" s="16">
        <v>121.98</v>
      </c>
      <c r="F2681" s="1">
        <v>44270</v>
      </c>
      <c r="G2681" t="s">
        <v>2064</v>
      </c>
      <c r="H2681">
        <v>4</v>
      </c>
      <c r="I2681" s="12">
        <f>Table16[[#This Row],[price]]*Table16[[#This Row],[quantity]]</f>
        <v>365.94</v>
      </c>
    </row>
    <row r="2682" spans="1:9" x14ac:dyDescent="0.3">
      <c r="A2682" t="s">
        <v>4700</v>
      </c>
      <c r="B2682" t="s">
        <v>526</v>
      </c>
      <c r="C2682" t="s">
        <v>2001</v>
      </c>
      <c r="D2682">
        <v>1</v>
      </c>
      <c r="E2682" s="16">
        <v>300.08</v>
      </c>
      <c r="F2682" s="1">
        <v>44461</v>
      </c>
      <c r="G2682" t="s">
        <v>2020</v>
      </c>
      <c r="H2682">
        <v>2</v>
      </c>
      <c r="I2682" s="12">
        <f>Table16[[#This Row],[price]]*Table16[[#This Row],[quantity]]</f>
        <v>300.08</v>
      </c>
    </row>
    <row r="2683" spans="1:9" x14ac:dyDescent="0.3">
      <c r="A2683" t="s">
        <v>4702</v>
      </c>
      <c r="B2683" t="s">
        <v>526</v>
      </c>
      <c r="C2683" t="s">
        <v>2001</v>
      </c>
      <c r="D2683">
        <v>5</v>
      </c>
      <c r="E2683" s="16">
        <v>1500.4</v>
      </c>
      <c r="F2683" s="1">
        <v>44494</v>
      </c>
      <c r="G2683" t="s">
        <v>2020</v>
      </c>
      <c r="H2683">
        <v>3</v>
      </c>
      <c r="I2683" s="12">
        <f>Table16[[#This Row],[price]]*Table16[[#This Row],[quantity]]</f>
        <v>7502</v>
      </c>
    </row>
    <row r="2684" spans="1:9" x14ac:dyDescent="0.3">
      <c r="A2684" t="s">
        <v>4701</v>
      </c>
      <c r="B2684" t="s">
        <v>526</v>
      </c>
      <c r="C2684" t="s">
        <v>2001</v>
      </c>
      <c r="D2684">
        <v>3</v>
      </c>
      <c r="E2684" s="16">
        <v>900.24</v>
      </c>
      <c r="F2684" s="1">
        <v>44550</v>
      </c>
      <c r="G2684" t="s">
        <v>2064</v>
      </c>
      <c r="H2684">
        <v>3</v>
      </c>
      <c r="I2684" s="12">
        <f>Table16[[#This Row],[price]]*Table16[[#This Row],[quantity]]</f>
        <v>2700.7200000000003</v>
      </c>
    </row>
    <row r="2685" spans="1:9" x14ac:dyDescent="0.3">
      <c r="A2685" t="s">
        <v>4698</v>
      </c>
      <c r="B2685" t="s">
        <v>526</v>
      </c>
      <c r="C2685" t="s">
        <v>2001</v>
      </c>
      <c r="D2685">
        <v>5</v>
      </c>
      <c r="E2685" s="16">
        <v>1500.4</v>
      </c>
      <c r="F2685" s="1">
        <v>44883</v>
      </c>
      <c r="G2685" t="s">
        <v>2027</v>
      </c>
      <c r="H2685">
        <v>3</v>
      </c>
      <c r="I2685" s="12">
        <f>Table16[[#This Row],[price]]*Table16[[#This Row],[quantity]]</f>
        <v>7502</v>
      </c>
    </row>
    <row r="2686" spans="1:9" x14ac:dyDescent="0.3">
      <c r="A2686" t="s">
        <v>4699</v>
      </c>
      <c r="B2686" t="s">
        <v>526</v>
      </c>
      <c r="C2686" t="s">
        <v>2024</v>
      </c>
      <c r="D2686">
        <v>3</v>
      </c>
      <c r="E2686" s="16">
        <v>107.52</v>
      </c>
      <c r="F2686" s="1">
        <v>44907</v>
      </c>
      <c r="G2686" t="s">
        <v>2064</v>
      </c>
      <c r="H2686">
        <v>3</v>
      </c>
      <c r="I2686" s="12">
        <f>Table16[[#This Row],[price]]*Table16[[#This Row],[quantity]]</f>
        <v>322.56</v>
      </c>
    </row>
    <row r="2687" spans="1:9" x14ac:dyDescent="0.3">
      <c r="A2687" t="s">
        <v>4703</v>
      </c>
      <c r="B2687" t="s">
        <v>526</v>
      </c>
      <c r="C2687" t="s">
        <v>2008</v>
      </c>
      <c r="D2687">
        <v>3</v>
      </c>
      <c r="E2687" s="16">
        <v>15.69</v>
      </c>
      <c r="F2687" s="1">
        <v>44907</v>
      </c>
      <c r="G2687" t="s">
        <v>2064</v>
      </c>
      <c r="H2687">
        <v>5</v>
      </c>
      <c r="I2687" s="12">
        <f>Table16[[#This Row],[price]]*Table16[[#This Row],[quantity]]</f>
        <v>47.07</v>
      </c>
    </row>
    <row r="2688" spans="1:9" x14ac:dyDescent="0.3">
      <c r="A2688" t="s">
        <v>4705</v>
      </c>
      <c r="B2688" t="s">
        <v>527</v>
      </c>
      <c r="C2688" t="s">
        <v>2001</v>
      </c>
      <c r="D2688">
        <v>5</v>
      </c>
      <c r="E2688" s="16">
        <v>1500.4</v>
      </c>
      <c r="F2688" s="1">
        <v>44348</v>
      </c>
      <c r="G2688" t="s">
        <v>2009</v>
      </c>
      <c r="H2688">
        <v>4</v>
      </c>
      <c r="I2688" s="12">
        <f>Table16[[#This Row],[price]]*Table16[[#This Row],[quantity]]</f>
        <v>7502</v>
      </c>
    </row>
    <row r="2689" spans="1:9" x14ac:dyDescent="0.3">
      <c r="A2689" t="s">
        <v>4704</v>
      </c>
      <c r="B2689" t="s">
        <v>527</v>
      </c>
      <c r="C2689" t="s">
        <v>2057</v>
      </c>
      <c r="D2689">
        <v>3</v>
      </c>
      <c r="E2689" s="16">
        <v>35.19</v>
      </c>
      <c r="F2689" s="1">
        <v>44677</v>
      </c>
      <c r="G2689" t="s">
        <v>2041</v>
      </c>
      <c r="H2689">
        <v>5</v>
      </c>
      <c r="I2689" s="12">
        <f>Table16[[#This Row],[price]]*Table16[[#This Row],[quantity]]</f>
        <v>105.57</v>
      </c>
    </row>
    <row r="2690" spans="1:9" x14ac:dyDescent="0.3">
      <c r="A2690" t="s">
        <v>4706</v>
      </c>
      <c r="B2690" t="s">
        <v>527</v>
      </c>
      <c r="C2690" t="s">
        <v>2024</v>
      </c>
      <c r="D2690">
        <v>4</v>
      </c>
      <c r="E2690" s="16">
        <v>143.36000000000001</v>
      </c>
      <c r="F2690" s="1">
        <v>44761</v>
      </c>
      <c r="G2690" t="s">
        <v>2002</v>
      </c>
      <c r="H2690">
        <v>1</v>
      </c>
      <c r="I2690" s="12">
        <f>Table16[[#This Row],[price]]*Table16[[#This Row],[quantity]]</f>
        <v>573.44000000000005</v>
      </c>
    </row>
    <row r="2691" spans="1:9" x14ac:dyDescent="0.3">
      <c r="A2691" t="s">
        <v>4709</v>
      </c>
      <c r="B2691" t="s">
        <v>528</v>
      </c>
      <c r="C2691" t="s">
        <v>2057</v>
      </c>
      <c r="D2691">
        <v>2</v>
      </c>
      <c r="E2691" s="16">
        <v>23.46</v>
      </c>
      <c r="F2691" s="1">
        <v>44232</v>
      </c>
      <c r="G2691" t="s">
        <v>2018</v>
      </c>
      <c r="H2691">
        <v>1</v>
      </c>
      <c r="I2691" s="12">
        <f>Table16[[#This Row],[price]]*Table16[[#This Row],[quantity]]</f>
        <v>46.92</v>
      </c>
    </row>
    <row r="2692" spans="1:9" x14ac:dyDescent="0.3">
      <c r="A2692" t="s">
        <v>4707</v>
      </c>
      <c r="B2692" t="s">
        <v>528</v>
      </c>
      <c r="C2692" t="s">
        <v>2011</v>
      </c>
      <c r="D2692">
        <v>3</v>
      </c>
      <c r="E2692" s="16">
        <v>121.98</v>
      </c>
      <c r="F2692" s="1">
        <v>44266</v>
      </c>
      <c r="G2692" t="s">
        <v>2012</v>
      </c>
      <c r="H2692">
        <v>3</v>
      </c>
      <c r="I2692" s="12">
        <f>Table16[[#This Row],[price]]*Table16[[#This Row],[quantity]]</f>
        <v>365.94</v>
      </c>
    </row>
    <row r="2693" spans="1:9" x14ac:dyDescent="0.3">
      <c r="A2693" t="s">
        <v>4708</v>
      </c>
      <c r="B2693" t="s">
        <v>528</v>
      </c>
      <c r="C2693" t="s">
        <v>2001</v>
      </c>
      <c r="D2693">
        <v>1</v>
      </c>
      <c r="E2693" s="16">
        <v>300.08</v>
      </c>
      <c r="F2693" s="1">
        <v>44556</v>
      </c>
      <c r="G2693" t="s">
        <v>2027</v>
      </c>
      <c r="H2693">
        <v>2</v>
      </c>
      <c r="I2693" s="12">
        <f>Table16[[#This Row],[price]]*Table16[[#This Row],[quantity]]</f>
        <v>300.08</v>
      </c>
    </row>
    <row r="2694" spans="1:9" x14ac:dyDescent="0.3">
      <c r="A2694" t="s">
        <v>4710</v>
      </c>
      <c r="B2694" t="s">
        <v>528</v>
      </c>
      <c r="C2694" t="s">
        <v>2001</v>
      </c>
      <c r="D2694">
        <v>4</v>
      </c>
      <c r="E2694" s="16">
        <v>1200.32</v>
      </c>
      <c r="F2694" s="1">
        <v>44900</v>
      </c>
      <c r="G2694" t="s">
        <v>2012</v>
      </c>
      <c r="H2694">
        <v>4</v>
      </c>
      <c r="I2694" s="12">
        <f>Table16[[#This Row],[price]]*Table16[[#This Row],[quantity]]</f>
        <v>4801.28</v>
      </c>
    </row>
    <row r="2695" spans="1:9" x14ac:dyDescent="0.3">
      <c r="A2695" t="s">
        <v>4713</v>
      </c>
      <c r="B2695" t="s">
        <v>529</v>
      </c>
      <c r="C2695" t="s">
        <v>2024</v>
      </c>
      <c r="D2695">
        <v>4</v>
      </c>
      <c r="E2695" s="16">
        <v>143.36000000000001</v>
      </c>
      <c r="F2695" s="1">
        <v>44449</v>
      </c>
      <c r="G2695" t="s">
        <v>2012</v>
      </c>
      <c r="H2695">
        <v>4</v>
      </c>
      <c r="I2695" s="12">
        <f>Table16[[#This Row],[price]]*Table16[[#This Row],[quantity]]</f>
        <v>573.44000000000005</v>
      </c>
    </row>
    <row r="2696" spans="1:9" x14ac:dyDescent="0.3">
      <c r="A2696" t="s">
        <v>4716</v>
      </c>
      <c r="B2696" t="s">
        <v>529</v>
      </c>
      <c r="C2696" t="s">
        <v>2001</v>
      </c>
      <c r="D2696">
        <v>5</v>
      </c>
      <c r="E2696" s="16">
        <v>1500.4</v>
      </c>
      <c r="F2696" s="1">
        <v>44477</v>
      </c>
      <c r="G2696" t="s">
        <v>2027</v>
      </c>
      <c r="H2696">
        <v>4</v>
      </c>
      <c r="I2696" s="12">
        <f>Table16[[#This Row],[price]]*Table16[[#This Row],[quantity]]</f>
        <v>7502</v>
      </c>
    </row>
    <row r="2697" spans="1:9" x14ac:dyDescent="0.3">
      <c r="A2697" t="s">
        <v>4718</v>
      </c>
      <c r="B2697" t="s">
        <v>529</v>
      </c>
      <c r="C2697" t="s">
        <v>2011</v>
      </c>
      <c r="D2697">
        <v>1</v>
      </c>
      <c r="E2697" s="16">
        <v>40.659999999999997</v>
      </c>
      <c r="F2697" s="1">
        <v>44482</v>
      </c>
      <c r="G2697" t="s">
        <v>2004</v>
      </c>
      <c r="H2697">
        <v>2</v>
      </c>
      <c r="I2697" s="12">
        <f>Table16[[#This Row],[price]]*Table16[[#This Row],[quantity]]</f>
        <v>40.659999999999997</v>
      </c>
    </row>
    <row r="2698" spans="1:9" x14ac:dyDescent="0.3">
      <c r="A2698" t="s">
        <v>4717</v>
      </c>
      <c r="B2698" t="s">
        <v>529</v>
      </c>
      <c r="C2698" t="s">
        <v>2008</v>
      </c>
      <c r="D2698">
        <v>1</v>
      </c>
      <c r="E2698" s="16">
        <v>5.23</v>
      </c>
      <c r="F2698" s="1">
        <v>44545</v>
      </c>
      <c r="G2698" t="s">
        <v>2002</v>
      </c>
      <c r="H2698">
        <v>2</v>
      </c>
      <c r="I2698" s="12">
        <f>Table16[[#This Row],[price]]*Table16[[#This Row],[quantity]]</f>
        <v>5.23</v>
      </c>
    </row>
    <row r="2699" spans="1:9" x14ac:dyDescent="0.3">
      <c r="A2699" t="s">
        <v>4711</v>
      </c>
      <c r="B2699" t="s">
        <v>529</v>
      </c>
      <c r="C2699" t="s">
        <v>2001</v>
      </c>
      <c r="D2699">
        <v>3</v>
      </c>
      <c r="E2699" s="16">
        <v>900.24</v>
      </c>
      <c r="F2699" s="1">
        <v>44637</v>
      </c>
      <c r="G2699" t="s">
        <v>2012</v>
      </c>
      <c r="H2699">
        <v>3</v>
      </c>
      <c r="I2699" s="12">
        <f>Table16[[#This Row],[price]]*Table16[[#This Row],[quantity]]</f>
        <v>2700.7200000000003</v>
      </c>
    </row>
    <row r="2700" spans="1:9" x14ac:dyDescent="0.3">
      <c r="A2700" t="s">
        <v>4714</v>
      </c>
      <c r="B2700" t="s">
        <v>529</v>
      </c>
      <c r="C2700" t="s">
        <v>2017</v>
      </c>
      <c r="D2700">
        <v>5</v>
      </c>
      <c r="E2700" s="16">
        <v>5250</v>
      </c>
      <c r="F2700" s="1">
        <v>44893</v>
      </c>
      <c r="G2700" t="s">
        <v>2027</v>
      </c>
      <c r="H2700">
        <v>1</v>
      </c>
      <c r="I2700" s="12">
        <f>Table16[[#This Row],[price]]*Table16[[#This Row],[quantity]]</f>
        <v>26250</v>
      </c>
    </row>
    <row r="2701" spans="1:9" x14ac:dyDescent="0.3">
      <c r="A2701" t="s">
        <v>4712</v>
      </c>
      <c r="B2701" t="s">
        <v>529</v>
      </c>
      <c r="C2701" t="s">
        <v>2024</v>
      </c>
      <c r="D2701">
        <v>4</v>
      </c>
      <c r="E2701" s="16">
        <v>143.36000000000001</v>
      </c>
      <c r="F2701" s="1">
        <v>44927</v>
      </c>
      <c r="G2701" t="s">
        <v>2004</v>
      </c>
      <c r="H2701">
        <v>2</v>
      </c>
      <c r="I2701" s="12">
        <f>Table16[[#This Row],[price]]*Table16[[#This Row],[quantity]]</f>
        <v>573.44000000000005</v>
      </c>
    </row>
    <row r="2702" spans="1:9" x14ac:dyDescent="0.3">
      <c r="A2702" t="s">
        <v>4715</v>
      </c>
      <c r="B2702" t="s">
        <v>529</v>
      </c>
      <c r="C2702" t="s">
        <v>2001</v>
      </c>
      <c r="D2702">
        <v>4</v>
      </c>
      <c r="E2702" s="16">
        <v>1200.32</v>
      </c>
      <c r="F2702" s="1">
        <v>44943</v>
      </c>
      <c r="G2702" t="s">
        <v>2064</v>
      </c>
      <c r="H2702">
        <v>1</v>
      </c>
      <c r="I2702" s="12">
        <f>Table16[[#This Row],[price]]*Table16[[#This Row],[quantity]]</f>
        <v>4801.28</v>
      </c>
    </row>
    <row r="2703" spans="1:9" x14ac:dyDescent="0.3">
      <c r="A2703" t="s">
        <v>4719</v>
      </c>
      <c r="B2703" t="s">
        <v>530</v>
      </c>
      <c r="C2703" t="s">
        <v>2006</v>
      </c>
      <c r="D2703">
        <v>2</v>
      </c>
      <c r="E2703" s="16">
        <v>30.3</v>
      </c>
      <c r="F2703" s="1">
        <v>44389</v>
      </c>
      <c r="G2703" t="s">
        <v>2004</v>
      </c>
      <c r="H2703">
        <v>3</v>
      </c>
      <c r="I2703" s="12">
        <f>Table16[[#This Row],[price]]*Table16[[#This Row],[quantity]]</f>
        <v>60.6</v>
      </c>
    </row>
    <row r="2704" spans="1:9" x14ac:dyDescent="0.3">
      <c r="A2704" t="s">
        <v>4721</v>
      </c>
      <c r="B2704" t="s">
        <v>530</v>
      </c>
      <c r="C2704" t="s">
        <v>2008</v>
      </c>
      <c r="D2704">
        <v>3</v>
      </c>
      <c r="E2704" s="16">
        <v>15.69</v>
      </c>
      <c r="F2704" s="1">
        <v>44583</v>
      </c>
      <c r="G2704" t="s">
        <v>2009</v>
      </c>
      <c r="H2704">
        <v>2</v>
      </c>
      <c r="I2704" s="12">
        <f>Table16[[#This Row],[price]]*Table16[[#This Row],[quantity]]</f>
        <v>47.07</v>
      </c>
    </row>
    <row r="2705" spans="1:9" x14ac:dyDescent="0.3">
      <c r="A2705" t="s">
        <v>4720</v>
      </c>
      <c r="B2705" t="s">
        <v>530</v>
      </c>
      <c r="C2705" t="s">
        <v>2024</v>
      </c>
      <c r="D2705">
        <v>2</v>
      </c>
      <c r="E2705" s="16">
        <v>71.680000000000007</v>
      </c>
      <c r="F2705" s="1">
        <v>44602</v>
      </c>
      <c r="G2705" t="s">
        <v>2018</v>
      </c>
      <c r="H2705">
        <v>1</v>
      </c>
      <c r="I2705" s="12">
        <f>Table16[[#This Row],[price]]*Table16[[#This Row],[quantity]]</f>
        <v>143.36000000000001</v>
      </c>
    </row>
    <row r="2706" spans="1:9" x14ac:dyDescent="0.3">
      <c r="A2706" t="s">
        <v>4722</v>
      </c>
      <c r="B2706" t="s">
        <v>530</v>
      </c>
      <c r="C2706" t="s">
        <v>2024</v>
      </c>
      <c r="D2706">
        <v>4</v>
      </c>
      <c r="E2706" s="16">
        <v>143.36000000000001</v>
      </c>
      <c r="F2706" s="1">
        <v>44608</v>
      </c>
      <c r="G2706" t="s">
        <v>2004</v>
      </c>
      <c r="H2706">
        <v>1</v>
      </c>
      <c r="I2706" s="12">
        <f>Table16[[#This Row],[price]]*Table16[[#This Row],[quantity]]</f>
        <v>573.44000000000005</v>
      </c>
    </row>
    <row r="2707" spans="1:9" x14ac:dyDescent="0.3">
      <c r="A2707" t="s">
        <v>4723</v>
      </c>
      <c r="B2707" t="s">
        <v>530</v>
      </c>
      <c r="C2707" t="s">
        <v>2001</v>
      </c>
      <c r="D2707">
        <v>2</v>
      </c>
      <c r="E2707" s="16">
        <v>600.16</v>
      </c>
      <c r="F2707" s="1">
        <v>44644</v>
      </c>
      <c r="G2707" t="s">
        <v>2027</v>
      </c>
      <c r="H2707">
        <v>4</v>
      </c>
      <c r="I2707" s="12">
        <f>Table16[[#This Row],[price]]*Table16[[#This Row],[quantity]]</f>
        <v>1200.32</v>
      </c>
    </row>
    <row r="2708" spans="1:9" x14ac:dyDescent="0.3">
      <c r="A2708" t="s">
        <v>4725</v>
      </c>
      <c r="B2708" t="s">
        <v>531</v>
      </c>
      <c r="C2708" t="s">
        <v>2024</v>
      </c>
      <c r="D2708">
        <v>5</v>
      </c>
      <c r="E2708" s="16">
        <v>179.2</v>
      </c>
      <c r="F2708" s="1">
        <v>44206</v>
      </c>
      <c r="G2708" t="s">
        <v>2004</v>
      </c>
      <c r="H2708">
        <v>3</v>
      </c>
      <c r="I2708" s="12">
        <f>Table16[[#This Row],[price]]*Table16[[#This Row],[quantity]]</f>
        <v>896</v>
      </c>
    </row>
    <row r="2709" spans="1:9" x14ac:dyDescent="0.3">
      <c r="A2709" t="s">
        <v>4726</v>
      </c>
      <c r="B2709" t="s">
        <v>531</v>
      </c>
      <c r="C2709" t="s">
        <v>2008</v>
      </c>
      <c r="D2709">
        <v>2</v>
      </c>
      <c r="E2709" s="16">
        <v>10.46</v>
      </c>
      <c r="F2709" s="1">
        <v>44390</v>
      </c>
      <c r="G2709" t="s">
        <v>2009</v>
      </c>
      <c r="H2709">
        <v>1</v>
      </c>
      <c r="I2709" s="12">
        <f>Table16[[#This Row],[price]]*Table16[[#This Row],[quantity]]</f>
        <v>20.92</v>
      </c>
    </row>
    <row r="2710" spans="1:9" x14ac:dyDescent="0.3">
      <c r="A2710" t="s">
        <v>4728</v>
      </c>
      <c r="B2710" t="s">
        <v>531</v>
      </c>
      <c r="C2710" t="s">
        <v>2011</v>
      </c>
      <c r="D2710">
        <v>2</v>
      </c>
      <c r="E2710" s="16">
        <v>81.319999999999993</v>
      </c>
      <c r="F2710" s="1">
        <v>44533</v>
      </c>
      <c r="G2710" t="s">
        <v>2004</v>
      </c>
      <c r="H2710">
        <v>1</v>
      </c>
      <c r="I2710" s="12">
        <f>Table16[[#This Row],[price]]*Table16[[#This Row],[quantity]]</f>
        <v>162.63999999999999</v>
      </c>
    </row>
    <row r="2711" spans="1:9" x14ac:dyDescent="0.3">
      <c r="A2711" t="s">
        <v>4727</v>
      </c>
      <c r="B2711" t="s">
        <v>531</v>
      </c>
      <c r="C2711" t="s">
        <v>2024</v>
      </c>
      <c r="D2711">
        <v>5</v>
      </c>
      <c r="E2711" s="16">
        <v>179.2</v>
      </c>
      <c r="F2711" s="1">
        <v>44574</v>
      </c>
      <c r="G2711" t="s">
        <v>2004</v>
      </c>
      <c r="H2711">
        <v>1</v>
      </c>
      <c r="I2711" s="12">
        <f>Table16[[#This Row],[price]]*Table16[[#This Row],[quantity]]</f>
        <v>896</v>
      </c>
    </row>
    <row r="2712" spans="1:9" x14ac:dyDescent="0.3">
      <c r="A2712" t="s">
        <v>4724</v>
      </c>
      <c r="B2712" t="s">
        <v>531</v>
      </c>
      <c r="C2712" t="s">
        <v>2001</v>
      </c>
      <c r="D2712">
        <v>2</v>
      </c>
      <c r="E2712" s="16">
        <v>600.16</v>
      </c>
      <c r="F2712" s="1">
        <v>44934</v>
      </c>
      <c r="G2712" t="s">
        <v>2020</v>
      </c>
      <c r="H2712">
        <v>1</v>
      </c>
      <c r="I2712" s="12">
        <f>Table16[[#This Row],[price]]*Table16[[#This Row],[quantity]]</f>
        <v>1200.32</v>
      </c>
    </row>
    <row r="2713" spans="1:9" x14ac:dyDescent="0.3">
      <c r="A2713" t="s">
        <v>4729</v>
      </c>
      <c r="B2713" t="s">
        <v>532</v>
      </c>
      <c r="C2713" t="s">
        <v>2011</v>
      </c>
      <c r="D2713">
        <v>2</v>
      </c>
      <c r="E2713" s="16">
        <v>81.319999999999993</v>
      </c>
      <c r="F2713" s="1">
        <v>44318</v>
      </c>
      <c r="G2713" t="s">
        <v>2009</v>
      </c>
      <c r="H2713">
        <v>5</v>
      </c>
      <c r="I2713" s="12">
        <f>Table16[[#This Row],[price]]*Table16[[#This Row],[quantity]]</f>
        <v>162.63999999999999</v>
      </c>
    </row>
    <row r="2714" spans="1:9" x14ac:dyDescent="0.3">
      <c r="A2714" t="s">
        <v>4732</v>
      </c>
      <c r="B2714" t="s">
        <v>532</v>
      </c>
      <c r="C2714" t="s">
        <v>2001</v>
      </c>
      <c r="D2714">
        <v>5</v>
      </c>
      <c r="E2714" s="16">
        <v>1500.4</v>
      </c>
      <c r="F2714" s="1">
        <v>44400</v>
      </c>
      <c r="G2714" t="s">
        <v>2002</v>
      </c>
      <c r="H2714">
        <v>5</v>
      </c>
      <c r="I2714" s="12">
        <f>Table16[[#This Row],[price]]*Table16[[#This Row],[quantity]]</f>
        <v>7502</v>
      </c>
    </row>
    <row r="2715" spans="1:9" x14ac:dyDescent="0.3">
      <c r="A2715" t="s">
        <v>4730</v>
      </c>
      <c r="B2715" t="s">
        <v>532</v>
      </c>
      <c r="C2715" t="s">
        <v>2001</v>
      </c>
      <c r="D2715">
        <v>1</v>
      </c>
      <c r="E2715" s="16">
        <v>300.08</v>
      </c>
      <c r="F2715" s="1">
        <v>44539</v>
      </c>
      <c r="G2715" t="s">
        <v>2002</v>
      </c>
      <c r="H2715">
        <v>5</v>
      </c>
      <c r="I2715" s="12">
        <f>Table16[[#This Row],[price]]*Table16[[#This Row],[quantity]]</f>
        <v>300.08</v>
      </c>
    </row>
    <row r="2716" spans="1:9" x14ac:dyDescent="0.3">
      <c r="A2716" t="s">
        <v>4731</v>
      </c>
      <c r="B2716" t="s">
        <v>532</v>
      </c>
      <c r="C2716" t="s">
        <v>2001</v>
      </c>
      <c r="D2716">
        <v>4</v>
      </c>
      <c r="E2716" s="16">
        <v>1200.32</v>
      </c>
      <c r="F2716" s="1">
        <v>44836</v>
      </c>
      <c r="G2716" t="s">
        <v>2002</v>
      </c>
      <c r="H2716">
        <v>2</v>
      </c>
      <c r="I2716" s="12">
        <f>Table16[[#This Row],[price]]*Table16[[#This Row],[quantity]]</f>
        <v>4801.28</v>
      </c>
    </row>
    <row r="2717" spans="1:9" x14ac:dyDescent="0.3">
      <c r="A2717" t="s">
        <v>4734</v>
      </c>
      <c r="B2717" t="s">
        <v>533</v>
      </c>
      <c r="C2717" t="s">
        <v>2024</v>
      </c>
      <c r="D2717">
        <v>2</v>
      </c>
      <c r="E2717" s="16">
        <v>71.680000000000007</v>
      </c>
      <c r="F2717" s="1">
        <v>44430</v>
      </c>
      <c r="G2717" t="s">
        <v>2004</v>
      </c>
      <c r="H2717">
        <v>3</v>
      </c>
      <c r="I2717" s="12">
        <f>Table16[[#This Row],[price]]*Table16[[#This Row],[quantity]]</f>
        <v>143.36000000000001</v>
      </c>
    </row>
    <row r="2718" spans="1:9" x14ac:dyDescent="0.3">
      <c r="A2718" t="s">
        <v>4735</v>
      </c>
      <c r="B2718" t="s">
        <v>533</v>
      </c>
      <c r="C2718" t="s">
        <v>2001</v>
      </c>
      <c r="D2718">
        <v>5</v>
      </c>
      <c r="E2718" s="16">
        <v>1500.4</v>
      </c>
      <c r="F2718" s="1">
        <v>44464</v>
      </c>
      <c r="G2718" t="s">
        <v>2058</v>
      </c>
      <c r="H2718">
        <v>5</v>
      </c>
      <c r="I2718" s="12">
        <f>Table16[[#This Row],[price]]*Table16[[#This Row],[quantity]]</f>
        <v>7502</v>
      </c>
    </row>
    <row r="2719" spans="1:9" x14ac:dyDescent="0.3">
      <c r="A2719" t="s">
        <v>4733</v>
      </c>
      <c r="B2719" t="s">
        <v>533</v>
      </c>
      <c r="C2719" t="s">
        <v>2008</v>
      </c>
      <c r="D2719">
        <v>2</v>
      </c>
      <c r="E2719" s="16">
        <v>10.46</v>
      </c>
      <c r="F2719" s="1">
        <v>44834</v>
      </c>
      <c r="G2719" t="s">
        <v>2009</v>
      </c>
      <c r="H2719">
        <v>2</v>
      </c>
      <c r="I2719" s="12">
        <f>Table16[[#This Row],[price]]*Table16[[#This Row],[quantity]]</f>
        <v>20.92</v>
      </c>
    </row>
    <row r="2720" spans="1:9" x14ac:dyDescent="0.3">
      <c r="A2720" t="s">
        <v>4737</v>
      </c>
      <c r="B2720" t="s">
        <v>534</v>
      </c>
      <c r="C2720" t="s">
        <v>2001</v>
      </c>
      <c r="D2720">
        <v>2</v>
      </c>
      <c r="E2720" s="16">
        <v>600.16</v>
      </c>
      <c r="F2720" s="1">
        <v>44227</v>
      </c>
      <c r="G2720" t="s">
        <v>2027</v>
      </c>
      <c r="H2720">
        <v>3</v>
      </c>
      <c r="I2720" s="12">
        <f>Table16[[#This Row],[price]]*Table16[[#This Row],[quantity]]</f>
        <v>1200.32</v>
      </c>
    </row>
    <row r="2721" spans="1:9" x14ac:dyDescent="0.3">
      <c r="A2721" t="s">
        <v>4736</v>
      </c>
      <c r="B2721" t="s">
        <v>534</v>
      </c>
      <c r="C2721" t="s">
        <v>2015</v>
      </c>
      <c r="D2721">
        <v>2</v>
      </c>
      <c r="E2721" s="16">
        <v>1200.3399999999999</v>
      </c>
      <c r="F2721" s="1">
        <v>44383</v>
      </c>
      <c r="G2721" t="s">
        <v>2004</v>
      </c>
      <c r="H2721">
        <v>5</v>
      </c>
      <c r="I2721" s="12">
        <f>Table16[[#This Row],[price]]*Table16[[#This Row],[quantity]]</f>
        <v>2400.6799999999998</v>
      </c>
    </row>
    <row r="2722" spans="1:9" x14ac:dyDescent="0.3">
      <c r="A2722" t="s">
        <v>4738</v>
      </c>
      <c r="B2722" t="s">
        <v>535</v>
      </c>
      <c r="C2722" t="s">
        <v>2001</v>
      </c>
      <c r="D2722">
        <v>5</v>
      </c>
      <c r="E2722" s="16">
        <v>1500.4</v>
      </c>
      <c r="F2722" s="1">
        <v>44286</v>
      </c>
      <c r="G2722" t="s">
        <v>2058</v>
      </c>
      <c r="H2722">
        <v>4</v>
      </c>
      <c r="I2722" s="12">
        <f>Table16[[#This Row],[price]]*Table16[[#This Row],[quantity]]</f>
        <v>7502</v>
      </c>
    </row>
    <row r="2723" spans="1:9" x14ac:dyDescent="0.3">
      <c r="A2723" t="s">
        <v>4741</v>
      </c>
      <c r="B2723" t="s">
        <v>536</v>
      </c>
      <c r="C2723" t="s">
        <v>2006</v>
      </c>
      <c r="D2723">
        <v>4</v>
      </c>
      <c r="E2723" s="16">
        <v>60.6</v>
      </c>
      <c r="F2723" s="1">
        <v>44493</v>
      </c>
      <c r="G2723" t="s">
        <v>2004</v>
      </c>
      <c r="H2723">
        <v>2</v>
      </c>
      <c r="I2723" s="12">
        <f>Table16[[#This Row],[price]]*Table16[[#This Row],[quantity]]</f>
        <v>242.4</v>
      </c>
    </row>
    <row r="2724" spans="1:9" x14ac:dyDescent="0.3">
      <c r="A2724" t="s">
        <v>4740</v>
      </c>
      <c r="B2724" t="s">
        <v>536</v>
      </c>
      <c r="C2724" t="s">
        <v>2008</v>
      </c>
      <c r="D2724">
        <v>4</v>
      </c>
      <c r="E2724" s="16">
        <v>20.92</v>
      </c>
      <c r="F2724" s="1">
        <v>44602</v>
      </c>
      <c r="G2724" t="s">
        <v>2018</v>
      </c>
      <c r="H2724">
        <v>1</v>
      </c>
      <c r="I2724" s="12">
        <f>Table16[[#This Row],[price]]*Table16[[#This Row],[quantity]]</f>
        <v>83.68</v>
      </c>
    </row>
    <row r="2725" spans="1:9" x14ac:dyDescent="0.3">
      <c r="A2725" t="s">
        <v>4739</v>
      </c>
      <c r="B2725" t="s">
        <v>536</v>
      </c>
      <c r="C2725" t="s">
        <v>2015</v>
      </c>
      <c r="D2725">
        <v>1</v>
      </c>
      <c r="E2725" s="16">
        <v>600.16999999999996</v>
      </c>
      <c r="F2725" s="1">
        <v>44899</v>
      </c>
      <c r="G2725" t="s">
        <v>2009</v>
      </c>
      <c r="H2725">
        <v>4</v>
      </c>
      <c r="I2725" s="12">
        <f>Table16[[#This Row],[price]]*Table16[[#This Row],[quantity]]</f>
        <v>600.16999999999996</v>
      </c>
    </row>
    <row r="2726" spans="1:9" x14ac:dyDescent="0.3">
      <c r="A2726" t="s">
        <v>4746</v>
      </c>
      <c r="B2726" t="s">
        <v>537</v>
      </c>
      <c r="C2726" t="s">
        <v>2001</v>
      </c>
      <c r="D2726">
        <v>2</v>
      </c>
      <c r="E2726" s="16">
        <v>600.16</v>
      </c>
      <c r="F2726" s="1">
        <v>44344</v>
      </c>
      <c r="G2726" t="s">
        <v>2004</v>
      </c>
      <c r="H2726">
        <v>5</v>
      </c>
      <c r="I2726" s="12">
        <f>Table16[[#This Row],[price]]*Table16[[#This Row],[quantity]]</f>
        <v>1200.32</v>
      </c>
    </row>
    <row r="2727" spans="1:9" x14ac:dyDescent="0.3">
      <c r="A2727" t="s">
        <v>4745</v>
      </c>
      <c r="B2727" t="s">
        <v>537</v>
      </c>
      <c r="C2727" t="s">
        <v>2008</v>
      </c>
      <c r="D2727">
        <v>3</v>
      </c>
      <c r="E2727" s="16">
        <v>15.69</v>
      </c>
      <c r="F2727" s="1">
        <v>44347</v>
      </c>
      <c r="G2727" t="s">
        <v>2018</v>
      </c>
      <c r="H2727">
        <v>5</v>
      </c>
      <c r="I2727" s="12">
        <f>Table16[[#This Row],[price]]*Table16[[#This Row],[quantity]]</f>
        <v>47.07</v>
      </c>
    </row>
    <row r="2728" spans="1:9" x14ac:dyDescent="0.3">
      <c r="A2728" t="s">
        <v>4747</v>
      </c>
      <c r="B2728" t="s">
        <v>537</v>
      </c>
      <c r="C2728" t="s">
        <v>2017</v>
      </c>
      <c r="D2728">
        <v>1</v>
      </c>
      <c r="E2728" s="16">
        <v>1050</v>
      </c>
      <c r="F2728" s="1">
        <v>44523</v>
      </c>
      <c r="G2728" t="s">
        <v>2012</v>
      </c>
      <c r="H2728">
        <v>2</v>
      </c>
      <c r="I2728" s="12">
        <f>Table16[[#This Row],[price]]*Table16[[#This Row],[quantity]]</f>
        <v>1050</v>
      </c>
    </row>
    <row r="2729" spans="1:9" x14ac:dyDescent="0.3">
      <c r="A2729" t="s">
        <v>4744</v>
      </c>
      <c r="B2729" t="s">
        <v>537</v>
      </c>
      <c r="C2729" t="s">
        <v>2011</v>
      </c>
      <c r="D2729">
        <v>2</v>
      </c>
      <c r="E2729" s="16">
        <v>81.319999999999993</v>
      </c>
      <c r="F2729" s="1">
        <v>44891</v>
      </c>
      <c r="G2729" t="s">
        <v>2064</v>
      </c>
      <c r="H2729">
        <v>3</v>
      </c>
      <c r="I2729" s="12">
        <f>Table16[[#This Row],[price]]*Table16[[#This Row],[quantity]]</f>
        <v>162.63999999999999</v>
      </c>
    </row>
    <row r="2730" spans="1:9" x14ac:dyDescent="0.3">
      <c r="A2730" t="s">
        <v>4743</v>
      </c>
      <c r="B2730" t="s">
        <v>537</v>
      </c>
      <c r="C2730" t="s">
        <v>2011</v>
      </c>
      <c r="D2730">
        <v>4</v>
      </c>
      <c r="E2730" s="16">
        <v>162.63999999999999</v>
      </c>
      <c r="F2730" s="1">
        <v>44942</v>
      </c>
      <c r="G2730" t="s">
        <v>2027</v>
      </c>
      <c r="H2730">
        <v>1</v>
      </c>
      <c r="I2730" s="12">
        <f>Table16[[#This Row],[price]]*Table16[[#This Row],[quantity]]</f>
        <v>650.55999999999995</v>
      </c>
    </row>
    <row r="2731" spans="1:9" x14ac:dyDescent="0.3">
      <c r="A2731" t="s">
        <v>4742</v>
      </c>
      <c r="B2731" t="s">
        <v>537</v>
      </c>
      <c r="C2731" t="s">
        <v>2001</v>
      </c>
      <c r="D2731">
        <v>2</v>
      </c>
      <c r="E2731" s="16">
        <v>600.16</v>
      </c>
      <c r="F2731" s="1">
        <v>44981</v>
      </c>
      <c r="G2731" t="s">
        <v>2020</v>
      </c>
      <c r="H2731">
        <v>3</v>
      </c>
      <c r="I2731" s="12">
        <f>Table16[[#This Row],[price]]*Table16[[#This Row],[quantity]]</f>
        <v>1200.32</v>
      </c>
    </row>
    <row r="2732" spans="1:9" x14ac:dyDescent="0.3">
      <c r="A2732" t="s">
        <v>4752</v>
      </c>
      <c r="B2732" t="s">
        <v>538</v>
      </c>
      <c r="C2732" t="s">
        <v>2017</v>
      </c>
      <c r="D2732">
        <v>4</v>
      </c>
      <c r="E2732" s="16">
        <v>4200</v>
      </c>
      <c r="F2732" s="1">
        <v>44309</v>
      </c>
      <c r="G2732" t="s">
        <v>2058</v>
      </c>
      <c r="H2732">
        <v>5</v>
      </c>
      <c r="I2732" s="12">
        <f>Table16[[#This Row],[price]]*Table16[[#This Row],[quantity]]</f>
        <v>16800</v>
      </c>
    </row>
    <row r="2733" spans="1:9" x14ac:dyDescent="0.3">
      <c r="A2733" t="s">
        <v>4749</v>
      </c>
      <c r="B2733" t="s">
        <v>538</v>
      </c>
      <c r="C2733" t="s">
        <v>2006</v>
      </c>
      <c r="D2733">
        <v>5</v>
      </c>
      <c r="E2733" s="16">
        <v>75.75</v>
      </c>
      <c r="F2733" s="1">
        <v>44401</v>
      </c>
      <c r="G2733" t="s">
        <v>2027</v>
      </c>
      <c r="H2733">
        <v>4</v>
      </c>
      <c r="I2733" s="12">
        <f>Table16[[#This Row],[price]]*Table16[[#This Row],[quantity]]</f>
        <v>378.75</v>
      </c>
    </row>
    <row r="2734" spans="1:9" x14ac:dyDescent="0.3">
      <c r="A2734" t="s">
        <v>4750</v>
      </c>
      <c r="B2734" t="s">
        <v>538</v>
      </c>
      <c r="C2734" t="s">
        <v>2011</v>
      </c>
      <c r="D2734">
        <v>1</v>
      </c>
      <c r="E2734" s="16">
        <v>40.659999999999997</v>
      </c>
      <c r="F2734" s="1">
        <v>44423</v>
      </c>
      <c r="G2734" t="s">
        <v>2027</v>
      </c>
      <c r="H2734">
        <v>3</v>
      </c>
      <c r="I2734" s="12">
        <f>Table16[[#This Row],[price]]*Table16[[#This Row],[quantity]]</f>
        <v>40.659999999999997</v>
      </c>
    </row>
    <row r="2735" spans="1:9" x14ac:dyDescent="0.3">
      <c r="A2735" t="s">
        <v>4755</v>
      </c>
      <c r="B2735" t="s">
        <v>538</v>
      </c>
      <c r="C2735" t="s">
        <v>2011</v>
      </c>
      <c r="D2735">
        <v>5</v>
      </c>
      <c r="E2735" s="16">
        <v>203.3</v>
      </c>
      <c r="F2735" s="1">
        <v>44580</v>
      </c>
      <c r="G2735" t="s">
        <v>2027</v>
      </c>
      <c r="H2735">
        <v>2</v>
      </c>
      <c r="I2735" s="12">
        <f>Table16[[#This Row],[price]]*Table16[[#This Row],[quantity]]</f>
        <v>1016.5</v>
      </c>
    </row>
    <row r="2736" spans="1:9" x14ac:dyDescent="0.3">
      <c r="A2736" t="s">
        <v>4748</v>
      </c>
      <c r="B2736" t="s">
        <v>538</v>
      </c>
      <c r="C2736" t="s">
        <v>2001</v>
      </c>
      <c r="D2736">
        <v>4</v>
      </c>
      <c r="E2736" s="16">
        <v>1200.32</v>
      </c>
      <c r="F2736" s="1">
        <v>44615</v>
      </c>
      <c r="G2736" t="s">
        <v>2002</v>
      </c>
      <c r="H2736">
        <v>5</v>
      </c>
      <c r="I2736" s="12">
        <f>Table16[[#This Row],[price]]*Table16[[#This Row],[quantity]]</f>
        <v>4801.28</v>
      </c>
    </row>
    <row r="2737" spans="1:9" x14ac:dyDescent="0.3">
      <c r="A2737" t="s">
        <v>4753</v>
      </c>
      <c r="B2737" t="s">
        <v>538</v>
      </c>
      <c r="C2737" t="s">
        <v>2017</v>
      </c>
      <c r="D2737">
        <v>3</v>
      </c>
      <c r="E2737" s="16">
        <v>3150</v>
      </c>
      <c r="F2737" s="1">
        <v>44706</v>
      </c>
      <c r="G2737" t="s">
        <v>2018</v>
      </c>
      <c r="H2737">
        <v>2</v>
      </c>
      <c r="I2737" s="12">
        <f>Table16[[#This Row],[price]]*Table16[[#This Row],[quantity]]</f>
        <v>9450</v>
      </c>
    </row>
    <row r="2738" spans="1:9" x14ac:dyDescent="0.3">
      <c r="A2738" t="s">
        <v>4751</v>
      </c>
      <c r="B2738" t="s">
        <v>538</v>
      </c>
      <c r="C2738" t="s">
        <v>2008</v>
      </c>
      <c r="D2738">
        <v>2</v>
      </c>
      <c r="E2738" s="16">
        <v>10.46</v>
      </c>
      <c r="F2738" s="1">
        <v>44815</v>
      </c>
      <c r="G2738" t="s">
        <v>2027</v>
      </c>
      <c r="H2738">
        <v>4</v>
      </c>
      <c r="I2738" s="12">
        <f>Table16[[#This Row],[price]]*Table16[[#This Row],[quantity]]</f>
        <v>20.92</v>
      </c>
    </row>
    <row r="2739" spans="1:9" x14ac:dyDescent="0.3">
      <c r="A2739" t="s">
        <v>4754</v>
      </c>
      <c r="B2739" t="s">
        <v>538</v>
      </c>
      <c r="C2739" t="s">
        <v>2008</v>
      </c>
      <c r="D2739">
        <v>3</v>
      </c>
      <c r="E2739" s="16">
        <v>15.69</v>
      </c>
      <c r="F2739" s="1">
        <v>44973</v>
      </c>
      <c r="G2739" t="s">
        <v>2004</v>
      </c>
      <c r="H2739">
        <v>1</v>
      </c>
      <c r="I2739" s="12">
        <f>Table16[[#This Row],[price]]*Table16[[#This Row],[quantity]]</f>
        <v>47.07</v>
      </c>
    </row>
    <row r="2740" spans="1:9" x14ac:dyDescent="0.3">
      <c r="A2740" t="s">
        <v>4757</v>
      </c>
      <c r="B2740" t="s">
        <v>539</v>
      </c>
      <c r="C2740" t="s">
        <v>2008</v>
      </c>
      <c r="D2740">
        <v>3</v>
      </c>
      <c r="E2740" s="16">
        <v>15.69</v>
      </c>
      <c r="F2740" s="1">
        <v>44243</v>
      </c>
      <c r="G2740" t="s">
        <v>2004</v>
      </c>
      <c r="H2740">
        <v>2</v>
      </c>
      <c r="I2740" s="12">
        <f>Table16[[#This Row],[price]]*Table16[[#This Row],[quantity]]</f>
        <v>47.07</v>
      </c>
    </row>
    <row r="2741" spans="1:9" x14ac:dyDescent="0.3">
      <c r="A2741" t="s">
        <v>4756</v>
      </c>
      <c r="B2741" t="s">
        <v>539</v>
      </c>
      <c r="C2741" t="s">
        <v>2008</v>
      </c>
      <c r="D2741">
        <v>5</v>
      </c>
      <c r="E2741" s="16">
        <v>26.15</v>
      </c>
      <c r="F2741" s="1">
        <v>44891</v>
      </c>
      <c r="G2741" t="s">
        <v>2009</v>
      </c>
      <c r="H2741">
        <v>2</v>
      </c>
      <c r="I2741" s="12">
        <f>Table16[[#This Row],[price]]*Table16[[#This Row],[quantity]]</f>
        <v>130.75</v>
      </c>
    </row>
    <row r="2742" spans="1:9" x14ac:dyDescent="0.3">
      <c r="A2742" t="s">
        <v>4761</v>
      </c>
      <c r="B2742" t="s">
        <v>540</v>
      </c>
      <c r="C2742" t="s">
        <v>2008</v>
      </c>
      <c r="D2742">
        <v>1</v>
      </c>
      <c r="E2742" s="16">
        <v>5.23</v>
      </c>
      <c r="F2742" s="1">
        <v>44202</v>
      </c>
      <c r="G2742" t="s">
        <v>2041</v>
      </c>
      <c r="H2742">
        <v>2</v>
      </c>
      <c r="I2742" s="12">
        <f>Table16[[#This Row],[price]]*Table16[[#This Row],[quantity]]</f>
        <v>5.23</v>
      </c>
    </row>
    <row r="2743" spans="1:9" x14ac:dyDescent="0.3">
      <c r="A2743" t="s">
        <v>4765</v>
      </c>
      <c r="B2743" t="s">
        <v>540</v>
      </c>
      <c r="C2743" t="s">
        <v>2006</v>
      </c>
      <c r="D2743">
        <v>4</v>
      </c>
      <c r="E2743" s="16">
        <v>60.6</v>
      </c>
      <c r="F2743" s="1">
        <v>44247</v>
      </c>
      <c r="G2743" t="s">
        <v>2064</v>
      </c>
      <c r="H2743">
        <v>3</v>
      </c>
      <c r="I2743" s="12">
        <f>Table16[[#This Row],[price]]*Table16[[#This Row],[quantity]]</f>
        <v>242.4</v>
      </c>
    </row>
    <row r="2744" spans="1:9" x14ac:dyDescent="0.3">
      <c r="A2744" t="s">
        <v>4763</v>
      </c>
      <c r="B2744" t="s">
        <v>540</v>
      </c>
      <c r="C2744" t="s">
        <v>2008</v>
      </c>
      <c r="D2744">
        <v>2</v>
      </c>
      <c r="E2744" s="16">
        <v>10.46</v>
      </c>
      <c r="F2744" s="1">
        <v>44295</v>
      </c>
      <c r="G2744" t="s">
        <v>2020</v>
      </c>
      <c r="H2744">
        <v>2</v>
      </c>
      <c r="I2744" s="12">
        <f>Table16[[#This Row],[price]]*Table16[[#This Row],[quantity]]</f>
        <v>20.92</v>
      </c>
    </row>
    <row r="2745" spans="1:9" x14ac:dyDescent="0.3">
      <c r="A2745" t="s">
        <v>4760</v>
      </c>
      <c r="B2745" t="s">
        <v>540</v>
      </c>
      <c r="C2745" t="s">
        <v>2001</v>
      </c>
      <c r="D2745">
        <v>1</v>
      </c>
      <c r="E2745" s="16">
        <v>300.08</v>
      </c>
      <c r="F2745" s="1">
        <v>44397</v>
      </c>
      <c r="G2745" t="s">
        <v>2009</v>
      </c>
      <c r="H2745">
        <v>4</v>
      </c>
      <c r="I2745" s="12">
        <f>Table16[[#This Row],[price]]*Table16[[#This Row],[quantity]]</f>
        <v>300.08</v>
      </c>
    </row>
    <row r="2746" spans="1:9" x14ac:dyDescent="0.3">
      <c r="A2746" t="s">
        <v>4767</v>
      </c>
      <c r="B2746" t="s">
        <v>540</v>
      </c>
      <c r="C2746" t="s">
        <v>2017</v>
      </c>
      <c r="D2746">
        <v>3</v>
      </c>
      <c r="E2746" s="16">
        <v>3150</v>
      </c>
      <c r="F2746" s="1">
        <v>44444</v>
      </c>
      <c r="G2746" t="s">
        <v>2041</v>
      </c>
      <c r="H2746">
        <v>2</v>
      </c>
      <c r="I2746" s="12">
        <f>Table16[[#This Row],[price]]*Table16[[#This Row],[quantity]]</f>
        <v>9450</v>
      </c>
    </row>
    <row r="2747" spans="1:9" x14ac:dyDescent="0.3">
      <c r="A2747" t="s">
        <v>4766</v>
      </c>
      <c r="B2747" t="s">
        <v>540</v>
      </c>
      <c r="C2747" t="s">
        <v>2011</v>
      </c>
      <c r="D2747">
        <v>2</v>
      </c>
      <c r="E2747" s="16">
        <v>81.319999999999993</v>
      </c>
      <c r="F2747" s="1">
        <v>44465</v>
      </c>
      <c r="G2747" t="s">
        <v>2020</v>
      </c>
      <c r="H2747">
        <v>5</v>
      </c>
      <c r="I2747" s="12">
        <f>Table16[[#This Row],[price]]*Table16[[#This Row],[quantity]]</f>
        <v>162.63999999999999</v>
      </c>
    </row>
    <row r="2748" spans="1:9" x14ac:dyDescent="0.3">
      <c r="A2748" t="s">
        <v>4759</v>
      </c>
      <c r="B2748" t="s">
        <v>540</v>
      </c>
      <c r="C2748" t="s">
        <v>2024</v>
      </c>
      <c r="D2748">
        <v>5</v>
      </c>
      <c r="E2748" s="16">
        <v>179.2</v>
      </c>
      <c r="F2748" s="1">
        <v>44572</v>
      </c>
      <c r="G2748" t="s">
        <v>2004</v>
      </c>
      <c r="H2748">
        <v>3</v>
      </c>
      <c r="I2748" s="12">
        <f>Table16[[#This Row],[price]]*Table16[[#This Row],[quantity]]</f>
        <v>896</v>
      </c>
    </row>
    <row r="2749" spans="1:9" x14ac:dyDescent="0.3">
      <c r="A2749" t="s">
        <v>4758</v>
      </c>
      <c r="B2749" t="s">
        <v>540</v>
      </c>
      <c r="C2749" t="s">
        <v>2001</v>
      </c>
      <c r="D2749">
        <v>4</v>
      </c>
      <c r="E2749" s="16">
        <v>1200.32</v>
      </c>
      <c r="F2749" s="1">
        <v>44667</v>
      </c>
      <c r="G2749" t="s">
        <v>2002</v>
      </c>
      <c r="H2749">
        <v>2</v>
      </c>
      <c r="I2749" s="12">
        <f>Table16[[#This Row],[price]]*Table16[[#This Row],[quantity]]</f>
        <v>4801.28</v>
      </c>
    </row>
    <row r="2750" spans="1:9" x14ac:dyDescent="0.3">
      <c r="A2750" t="s">
        <v>4764</v>
      </c>
      <c r="B2750" t="s">
        <v>540</v>
      </c>
      <c r="C2750" t="s">
        <v>2017</v>
      </c>
      <c r="D2750">
        <v>1</v>
      </c>
      <c r="E2750" s="16">
        <v>1050</v>
      </c>
      <c r="F2750" s="1">
        <v>44772</v>
      </c>
      <c r="G2750" t="s">
        <v>2027</v>
      </c>
      <c r="H2750">
        <v>2</v>
      </c>
      <c r="I2750" s="12">
        <f>Table16[[#This Row],[price]]*Table16[[#This Row],[quantity]]</f>
        <v>1050</v>
      </c>
    </row>
    <row r="2751" spans="1:9" x14ac:dyDescent="0.3">
      <c r="A2751" t="s">
        <v>4762</v>
      </c>
      <c r="B2751" t="s">
        <v>540</v>
      </c>
      <c r="C2751" t="s">
        <v>2017</v>
      </c>
      <c r="D2751">
        <v>5</v>
      </c>
      <c r="E2751" s="16">
        <v>5250</v>
      </c>
      <c r="F2751" s="1">
        <v>44870</v>
      </c>
      <c r="G2751" t="s">
        <v>2064</v>
      </c>
      <c r="H2751">
        <v>3</v>
      </c>
      <c r="I2751" s="12">
        <f>Table16[[#This Row],[price]]*Table16[[#This Row],[quantity]]</f>
        <v>26250</v>
      </c>
    </row>
    <row r="2752" spans="1:9" x14ac:dyDescent="0.3">
      <c r="A2752" t="s">
        <v>4768</v>
      </c>
      <c r="B2752" t="s">
        <v>541</v>
      </c>
      <c r="C2752" t="s">
        <v>2017</v>
      </c>
      <c r="D2752">
        <v>2</v>
      </c>
      <c r="E2752" s="16">
        <v>2100</v>
      </c>
      <c r="F2752" s="1">
        <v>44199</v>
      </c>
      <c r="G2752" t="s">
        <v>2009</v>
      </c>
      <c r="H2752">
        <v>5</v>
      </c>
      <c r="I2752" s="12">
        <f>Table16[[#This Row],[price]]*Table16[[#This Row],[quantity]]</f>
        <v>4200</v>
      </c>
    </row>
    <row r="2753" spans="1:9" x14ac:dyDescent="0.3">
      <c r="A2753" t="s">
        <v>4770</v>
      </c>
      <c r="B2753" t="s">
        <v>541</v>
      </c>
      <c r="C2753" t="s">
        <v>2008</v>
      </c>
      <c r="D2753">
        <v>2</v>
      </c>
      <c r="E2753" s="16">
        <v>10.46</v>
      </c>
      <c r="F2753" s="1">
        <v>44726</v>
      </c>
      <c r="G2753" t="s">
        <v>2020</v>
      </c>
      <c r="H2753">
        <v>2</v>
      </c>
      <c r="I2753" s="12">
        <f>Table16[[#This Row],[price]]*Table16[[#This Row],[quantity]]</f>
        <v>20.92</v>
      </c>
    </row>
    <row r="2754" spans="1:9" x14ac:dyDescent="0.3">
      <c r="A2754" t="s">
        <v>4771</v>
      </c>
      <c r="B2754" t="s">
        <v>541</v>
      </c>
      <c r="C2754" t="s">
        <v>2024</v>
      </c>
      <c r="D2754">
        <v>2</v>
      </c>
      <c r="E2754" s="16">
        <v>71.680000000000007</v>
      </c>
      <c r="F2754" s="1">
        <v>44910</v>
      </c>
      <c r="G2754" t="s">
        <v>2020</v>
      </c>
      <c r="H2754">
        <v>1</v>
      </c>
      <c r="I2754" s="12">
        <f>Table16[[#This Row],[price]]*Table16[[#This Row],[quantity]]</f>
        <v>143.36000000000001</v>
      </c>
    </row>
    <row r="2755" spans="1:9" x14ac:dyDescent="0.3">
      <c r="A2755" t="s">
        <v>4769</v>
      </c>
      <c r="B2755" t="s">
        <v>541</v>
      </c>
      <c r="C2755" t="s">
        <v>2024</v>
      </c>
      <c r="D2755">
        <v>1</v>
      </c>
      <c r="E2755" s="16">
        <v>35.840000000000003</v>
      </c>
      <c r="F2755" s="1">
        <v>44920</v>
      </c>
      <c r="G2755" t="s">
        <v>2004</v>
      </c>
      <c r="H2755">
        <v>1</v>
      </c>
      <c r="I2755" s="12">
        <f>Table16[[#This Row],[price]]*Table16[[#This Row],[quantity]]</f>
        <v>35.840000000000003</v>
      </c>
    </row>
    <row r="2756" spans="1:9" x14ac:dyDescent="0.3">
      <c r="A2756" t="s">
        <v>4775</v>
      </c>
      <c r="B2756" t="s">
        <v>542</v>
      </c>
      <c r="C2756" t="s">
        <v>2001</v>
      </c>
      <c r="D2756">
        <v>2</v>
      </c>
      <c r="E2756" s="16">
        <v>600.16</v>
      </c>
      <c r="F2756" s="1">
        <v>44333</v>
      </c>
      <c r="G2756" t="s">
        <v>2009</v>
      </c>
      <c r="H2756">
        <v>4</v>
      </c>
      <c r="I2756" s="12">
        <f>Table16[[#This Row],[price]]*Table16[[#This Row],[quantity]]</f>
        <v>1200.32</v>
      </c>
    </row>
    <row r="2757" spans="1:9" x14ac:dyDescent="0.3">
      <c r="A2757" t="s">
        <v>4773</v>
      </c>
      <c r="B2757" t="s">
        <v>542</v>
      </c>
      <c r="C2757" t="s">
        <v>2001</v>
      </c>
      <c r="D2757">
        <v>2</v>
      </c>
      <c r="E2757" s="16">
        <v>600.16</v>
      </c>
      <c r="F2757" s="1">
        <v>44438</v>
      </c>
      <c r="G2757" t="s">
        <v>2004</v>
      </c>
      <c r="H2757">
        <v>4</v>
      </c>
      <c r="I2757" s="12">
        <f>Table16[[#This Row],[price]]*Table16[[#This Row],[quantity]]</f>
        <v>1200.32</v>
      </c>
    </row>
    <row r="2758" spans="1:9" x14ac:dyDescent="0.3">
      <c r="A2758" t="s">
        <v>4776</v>
      </c>
      <c r="B2758" t="s">
        <v>542</v>
      </c>
      <c r="C2758" t="s">
        <v>2001</v>
      </c>
      <c r="D2758">
        <v>1</v>
      </c>
      <c r="E2758" s="16">
        <v>300.08</v>
      </c>
      <c r="F2758" s="1">
        <v>44502</v>
      </c>
      <c r="G2758" t="s">
        <v>2004</v>
      </c>
      <c r="H2758">
        <v>5</v>
      </c>
      <c r="I2758" s="12">
        <f>Table16[[#This Row],[price]]*Table16[[#This Row],[quantity]]</f>
        <v>300.08</v>
      </c>
    </row>
    <row r="2759" spans="1:9" x14ac:dyDescent="0.3">
      <c r="A2759" t="s">
        <v>4772</v>
      </c>
      <c r="B2759" t="s">
        <v>542</v>
      </c>
      <c r="C2759" t="s">
        <v>2024</v>
      </c>
      <c r="D2759">
        <v>3</v>
      </c>
      <c r="E2759" s="16">
        <v>107.52</v>
      </c>
      <c r="F2759" s="1">
        <v>44537</v>
      </c>
      <c r="G2759" t="s">
        <v>2064</v>
      </c>
      <c r="H2759">
        <v>4</v>
      </c>
      <c r="I2759" s="12">
        <f>Table16[[#This Row],[price]]*Table16[[#This Row],[quantity]]</f>
        <v>322.56</v>
      </c>
    </row>
    <row r="2760" spans="1:9" x14ac:dyDescent="0.3">
      <c r="A2760" t="s">
        <v>4774</v>
      </c>
      <c r="B2760" t="s">
        <v>542</v>
      </c>
      <c r="C2760" t="s">
        <v>2001</v>
      </c>
      <c r="D2760">
        <v>3</v>
      </c>
      <c r="E2760" s="16">
        <v>900.24</v>
      </c>
      <c r="F2760" s="1">
        <v>44735</v>
      </c>
      <c r="G2760" t="s">
        <v>2058</v>
      </c>
      <c r="H2760">
        <v>3</v>
      </c>
      <c r="I2760" s="12">
        <f>Table16[[#This Row],[price]]*Table16[[#This Row],[quantity]]</f>
        <v>2700.7200000000003</v>
      </c>
    </row>
    <row r="2761" spans="1:9" x14ac:dyDescent="0.3">
      <c r="A2761" t="s">
        <v>4778</v>
      </c>
      <c r="B2761" t="s">
        <v>543</v>
      </c>
      <c r="C2761" t="s">
        <v>2006</v>
      </c>
      <c r="D2761">
        <v>4</v>
      </c>
      <c r="E2761" s="16">
        <v>60.6</v>
      </c>
      <c r="F2761" s="1">
        <v>44267</v>
      </c>
      <c r="G2761" t="s">
        <v>2004</v>
      </c>
      <c r="H2761">
        <v>4</v>
      </c>
      <c r="I2761" s="12">
        <f>Table16[[#This Row],[price]]*Table16[[#This Row],[quantity]]</f>
        <v>242.4</v>
      </c>
    </row>
    <row r="2762" spans="1:9" x14ac:dyDescent="0.3">
      <c r="A2762" t="s">
        <v>4779</v>
      </c>
      <c r="B2762" t="s">
        <v>543</v>
      </c>
      <c r="C2762" t="s">
        <v>2001</v>
      </c>
      <c r="D2762">
        <v>2</v>
      </c>
      <c r="E2762" s="16">
        <v>600.16</v>
      </c>
      <c r="F2762" s="1">
        <v>44336</v>
      </c>
      <c r="G2762" t="s">
        <v>2027</v>
      </c>
      <c r="H2762">
        <v>5</v>
      </c>
      <c r="I2762" s="12">
        <f>Table16[[#This Row],[price]]*Table16[[#This Row],[quantity]]</f>
        <v>1200.32</v>
      </c>
    </row>
    <row r="2763" spans="1:9" x14ac:dyDescent="0.3">
      <c r="A2763" t="s">
        <v>4777</v>
      </c>
      <c r="B2763" t="s">
        <v>543</v>
      </c>
      <c r="C2763" t="s">
        <v>2008</v>
      </c>
      <c r="D2763">
        <v>1</v>
      </c>
      <c r="E2763" s="16">
        <v>5.23</v>
      </c>
      <c r="F2763" s="1">
        <v>44702</v>
      </c>
      <c r="G2763" t="s">
        <v>2004</v>
      </c>
      <c r="H2763">
        <v>4</v>
      </c>
      <c r="I2763" s="12">
        <f>Table16[[#This Row],[price]]*Table16[[#This Row],[quantity]]</f>
        <v>5.23</v>
      </c>
    </row>
    <row r="2764" spans="1:9" x14ac:dyDescent="0.3">
      <c r="A2764" t="s">
        <v>4785</v>
      </c>
      <c r="B2764" t="s">
        <v>544</v>
      </c>
      <c r="C2764" t="s">
        <v>2011</v>
      </c>
      <c r="D2764">
        <v>2</v>
      </c>
      <c r="E2764" s="16">
        <v>81.319999999999993</v>
      </c>
      <c r="F2764" s="1">
        <v>44221</v>
      </c>
      <c r="G2764" t="s">
        <v>2009</v>
      </c>
      <c r="H2764">
        <v>3</v>
      </c>
      <c r="I2764" s="12">
        <f>Table16[[#This Row],[price]]*Table16[[#This Row],[quantity]]</f>
        <v>162.63999999999999</v>
      </c>
    </row>
    <row r="2765" spans="1:9" x14ac:dyDescent="0.3">
      <c r="A2765" t="s">
        <v>4782</v>
      </c>
      <c r="B2765" t="s">
        <v>544</v>
      </c>
      <c r="C2765" t="s">
        <v>2011</v>
      </c>
      <c r="D2765">
        <v>3</v>
      </c>
      <c r="E2765" s="16">
        <v>121.98</v>
      </c>
      <c r="F2765" s="1">
        <v>44436</v>
      </c>
      <c r="G2765" t="s">
        <v>2027</v>
      </c>
      <c r="H2765">
        <v>1</v>
      </c>
      <c r="I2765" s="12">
        <f>Table16[[#This Row],[price]]*Table16[[#This Row],[quantity]]</f>
        <v>365.94</v>
      </c>
    </row>
    <row r="2766" spans="1:9" x14ac:dyDescent="0.3">
      <c r="A2766" t="s">
        <v>4780</v>
      </c>
      <c r="B2766" t="s">
        <v>544</v>
      </c>
      <c r="C2766" t="s">
        <v>2057</v>
      </c>
      <c r="D2766">
        <v>3</v>
      </c>
      <c r="E2766" s="16">
        <v>35.19</v>
      </c>
      <c r="F2766" s="1">
        <v>44445</v>
      </c>
      <c r="G2766" t="s">
        <v>2041</v>
      </c>
      <c r="H2766">
        <v>1</v>
      </c>
      <c r="I2766" s="12">
        <f>Table16[[#This Row],[price]]*Table16[[#This Row],[quantity]]</f>
        <v>105.57</v>
      </c>
    </row>
    <row r="2767" spans="1:9" x14ac:dyDescent="0.3">
      <c r="A2767" t="s">
        <v>4786</v>
      </c>
      <c r="B2767" t="s">
        <v>544</v>
      </c>
      <c r="C2767" t="s">
        <v>2017</v>
      </c>
      <c r="D2767">
        <v>2</v>
      </c>
      <c r="E2767" s="16">
        <v>2100</v>
      </c>
      <c r="F2767" s="1">
        <v>44493</v>
      </c>
      <c r="G2767" t="s">
        <v>2002</v>
      </c>
      <c r="H2767">
        <v>1</v>
      </c>
      <c r="I2767" s="12">
        <f>Table16[[#This Row],[price]]*Table16[[#This Row],[quantity]]</f>
        <v>4200</v>
      </c>
    </row>
    <row r="2768" spans="1:9" x14ac:dyDescent="0.3">
      <c r="A2768" t="s">
        <v>4781</v>
      </c>
      <c r="B2768" t="s">
        <v>544</v>
      </c>
      <c r="C2768" t="s">
        <v>2001</v>
      </c>
      <c r="D2768">
        <v>2</v>
      </c>
      <c r="E2768" s="16">
        <v>600.16</v>
      </c>
      <c r="F2768" s="1">
        <v>44678</v>
      </c>
      <c r="G2768" t="s">
        <v>2041</v>
      </c>
      <c r="H2768">
        <v>4</v>
      </c>
      <c r="I2768" s="12">
        <f>Table16[[#This Row],[price]]*Table16[[#This Row],[quantity]]</f>
        <v>1200.32</v>
      </c>
    </row>
    <row r="2769" spans="1:9" x14ac:dyDescent="0.3">
      <c r="A2769" t="s">
        <v>4783</v>
      </c>
      <c r="B2769" t="s">
        <v>544</v>
      </c>
      <c r="C2769" t="s">
        <v>2024</v>
      </c>
      <c r="D2769">
        <v>3</v>
      </c>
      <c r="E2769" s="16">
        <v>107.52</v>
      </c>
      <c r="F2769" s="1">
        <v>44703</v>
      </c>
      <c r="G2769" t="s">
        <v>2004</v>
      </c>
      <c r="H2769">
        <v>3</v>
      </c>
      <c r="I2769" s="12">
        <f>Table16[[#This Row],[price]]*Table16[[#This Row],[quantity]]</f>
        <v>322.56</v>
      </c>
    </row>
    <row r="2770" spans="1:9" x14ac:dyDescent="0.3">
      <c r="A2770" t="s">
        <v>4784</v>
      </c>
      <c r="B2770" t="s">
        <v>544</v>
      </c>
      <c r="C2770" t="s">
        <v>2001</v>
      </c>
      <c r="D2770">
        <v>1</v>
      </c>
      <c r="E2770" s="16">
        <v>300.08</v>
      </c>
      <c r="F2770" s="1">
        <v>44787</v>
      </c>
      <c r="G2770" t="s">
        <v>2009</v>
      </c>
      <c r="H2770">
        <v>5</v>
      </c>
      <c r="I2770" s="12">
        <f>Table16[[#This Row],[price]]*Table16[[#This Row],[quantity]]</f>
        <v>300.08</v>
      </c>
    </row>
    <row r="2771" spans="1:9" x14ac:dyDescent="0.3">
      <c r="A2771" t="s">
        <v>4789</v>
      </c>
      <c r="B2771" t="s">
        <v>545</v>
      </c>
      <c r="C2771" t="s">
        <v>2011</v>
      </c>
      <c r="D2771">
        <v>2</v>
      </c>
      <c r="E2771" s="16">
        <v>81.319999999999993</v>
      </c>
      <c r="F2771" s="1">
        <v>44540</v>
      </c>
      <c r="G2771" t="s">
        <v>2027</v>
      </c>
      <c r="H2771">
        <v>5</v>
      </c>
      <c r="I2771" s="12">
        <f>Table16[[#This Row],[price]]*Table16[[#This Row],[quantity]]</f>
        <v>162.63999999999999</v>
      </c>
    </row>
    <row r="2772" spans="1:9" x14ac:dyDescent="0.3">
      <c r="A2772" t="s">
        <v>4790</v>
      </c>
      <c r="B2772" t="s">
        <v>545</v>
      </c>
      <c r="C2772" t="s">
        <v>2011</v>
      </c>
      <c r="D2772">
        <v>5</v>
      </c>
      <c r="E2772" s="16">
        <v>203.3</v>
      </c>
      <c r="F2772" s="1">
        <v>44720</v>
      </c>
      <c r="G2772" t="s">
        <v>2004</v>
      </c>
      <c r="H2772">
        <v>4</v>
      </c>
      <c r="I2772" s="12">
        <f>Table16[[#This Row],[price]]*Table16[[#This Row],[quantity]]</f>
        <v>1016.5</v>
      </c>
    </row>
    <row r="2773" spans="1:9" x14ac:dyDescent="0.3">
      <c r="A2773" t="s">
        <v>4788</v>
      </c>
      <c r="B2773" t="s">
        <v>545</v>
      </c>
      <c r="C2773" t="s">
        <v>2001</v>
      </c>
      <c r="D2773">
        <v>1</v>
      </c>
      <c r="E2773" s="16">
        <v>300.08</v>
      </c>
      <c r="F2773" s="1">
        <v>44831</v>
      </c>
      <c r="G2773" t="s">
        <v>2020</v>
      </c>
      <c r="H2773">
        <v>1</v>
      </c>
      <c r="I2773" s="12">
        <f>Table16[[#This Row],[price]]*Table16[[#This Row],[quantity]]</f>
        <v>300.08</v>
      </c>
    </row>
    <row r="2774" spans="1:9" x14ac:dyDescent="0.3">
      <c r="A2774" t="s">
        <v>4787</v>
      </c>
      <c r="B2774" t="s">
        <v>545</v>
      </c>
      <c r="C2774" t="s">
        <v>2001</v>
      </c>
      <c r="D2774">
        <v>5</v>
      </c>
      <c r="E2774" s="16">
        <v>1500.4</v>
      </c>
      <c r="F2774" s="1">
        <v>44855</v>
      </c>
      <c r="G2774" t="s">
        <v>2020</v>
      </c>
      <c r="H2774">
        <v>2</v>
      </c>
      <c r="I2774" s="12">
        <f>Table16[[#This Row],[price]]*Table16[[#This Row],[quantity]]</f>
        <v>7502</v>
      </c>
    </row>
    <row r="2775" spans="1:9" x14ac:dyDescent="0.3">
      <c r="A2775" t="s">
        <v>4792</v>
      </c>
      <c r="B2775" t="s">
        <v>546</v>
      </c>
      <c r="C2775" t="s">
        <v>2001</v>
      </c>
      <c r="D2775">
        <v>3</v>
      </c>
      <c r="E2775" s="16">
        <v>900.24</v>
      </c>
      <c r="F2775" s="1">
        <v>44373</v>
      </c>
      <c r="G2775" t="s">
        <v>2004</v>
      </c>
      <c r="H2775">
        <v>4</v>
      </c>
      <c r="I2775" s="12">
        <f>Table16[[#This Row],[price]]*Table16[[#This Row],[quantity]]</f>
        <v>2700.7200000000003</v>
      </c>
    </row>
    <row r="2776" spans="1:9" x14ac:dyDescent="0.3">
      <c r="A2776" t="s">
        <v>4794</v>
      </c>
      <c r="B2776" t="s">
        <v>546</v>
      </c>
      <c r="C2776" t="s">
        <v>2006</v>
      </c>
      <c r="D2776">
        <v>4</v>
      </c>
      <c r="E2776" s="16">
        <v>60.6</v>
      </c>
      <c r="F2776" s="1">
        <v>44407</v>
      </c>
      <c r="G2776" t="s">
        <v>2002</v>
      </c>
      <c r="H2776">
        <v>2</v>
      </c>
      <c r="I2776" s="12">
        <f>Table16[[#This Row],[price]]*Table16[[#This Row],[quantity]]</f>
        <v>242.4</v>
      </c>
    </row>
    <row r="2777" spans="1:9" x14ac:dyDescent="0.3">
      <c r="A2777" t="s">
        <v>4795</v>
      </c>
      <c r="B2777" t="s">
        <v>546</v>
      </c>
      <c r="C2777" t="s">
        <v>2001</v>
      </c>
      <c r="D2777">
        <v>3</v>
      </c>
      <c r="E2777" s="16">
        <v>900.24</v>
      </c>
      <c r="F2777" s="1">
        <v>44750</v>
      </c>
      <c r="G2777" t="s">
        <v>2041</v>
      </c>
      <c r="H2777">
        <v>5</v>
      </c>
      <c r="I2777" s="12">
        <f>Table16[[#This Row],[price]]*Table16[[#This Row],[quantity]]</f>
        <v>2700.7200000000003</v>
      </c>
    </row>
    <row r="2778" spans="1:9" x14ac:dyDescent="0.3">
      <c r="A2778" t="s">
        <v>4791</v>
      </c>
      <c r="B2778" t="s">
        <v>546</v>
      </c>
      <c r="C2778" t="s">
        <v>2011</v>
      </c>
      <c r="D2778">
        <v>5</v>
      </c>
      <c r="E2778" s="16">
        <v>203.3</v>
      </c>
      <c r="F2778" s="1">
        <v>44986</v>
      </c>
      <c r="G2778" t="s">
        <v>2064</v>
      </c>
      <c r="H2778">
        <v>2</v>
      </c>
      <c r="I2778" s="12">
        <f>Table16[[#This Row],[price]]*Table16[[#This Row],[quantity]]</f>
        <v>1016.5</v>
      </c>
    </row>
    <row r="2779" spans="1:9" x14ac:dyDescent="0.3">
      <c r="A2779" t="s">
        <v>4793</v>
      </c>
      <c r="B2779" t="s">
        <v>546</v>
      </c>
      <c r="C2779" t="s">
        <v>2001</v>
      </c>
      <c r="D2779">
        <v>4</v>
      </c>
      <c r="E2779" s="16">
        <v>1200.32</v>
      </c>
      <c r="F2779" s="1">
        <v>44988</v>
      </c>
      <c r="G2779" t="s">
        <v>2002</v>
      </c>
      <c r="H2779">
        <v>1</v>
      </c>
      <c r="I2779" s="12">
        <f>Table16[[#This Row],[price]]*Table16[[#This Row],[quantity]]</f>
        <v>4801.28</v>
      </c>
    </row>
    <row r="2780" spans="1:9" x14ac:dyDescent="0.3">
      <c r="A2780" t="s">
        <v>4796</v>
      </c>
      <c r="B2780" t="s">
        <v>547</v>
      </c>
      <c r="C2780" t="s">
        <v>2008</v>
      </c>
      <c r="D2780">
        <v>2</v>
      </c>
      <c r="E2780" s="16">
        <v>10.46</v>
      </c>
      <c r="F2780" s="1">
        <v>44757</v>
      </c>
      <c r="G2780" t="s">
        <v>2009</v>
      </c>
      <c r="H2780">
        <v>5</v>
      </c>
      <c r="I2780" s="12">
        <f>Table16[[#This Row],[price]]*Table16[[#This Row],[quantity]]</f>
        <v>20.92</v>
      </c>
    </row>
    <row r="2781" spans="1:9" x14ac:dyDescent="0.3">
      <c r="A2781" t="s">
        <v>4797</v>
      </c>
      <c r="B2781" t="s">
        <v>547</v>
      </c>
      <c r="C2781" t="s">
        <v>2001</v>
      </c>
      <c r="D2781">
        <v>4</v>
      </c>
      <c r="E2781" s="16">
        <v>1200.32</v>
      </c>
      <c r="F2781" s="1">
        <v>44819</v>
      </c>
      <c r="G2781" t="s">
        <v>2027</v>
      </c>
      <c r="H2781">
        <v>4</v>
      </c>
      <c r="I2781" s="12">
        <f>Table16[[#This Row],[price]]*Table16[[#This Row],[quantity]]</f>
        <v>4801.28</v>
      </c>
    </row>
    <row r="2782" spans="1:9" x14ac:dyDescent="0.3">
      <c r="A2782" t="s">
        <v>4798</v>
      </c>
      <c r="B2782" t="s">
        <v>547</v>
      </c>
      <c r="C2782" t="s">
        <v>2015</v>
      </c>
      <c r="D2782">
        <v>2</v>
      </c>
      <c r="E2782" s="16">
        <v>1200.3399999999999</v>
      </c>
      <c r="F2782" s="1">
        <v>44921</v>
      </c>
      <c r="G2782" t="s">
        <v>2027</v>
      </c>
      <c r="H2782">
        <v>4</v>
      </c>
      <c r="I2782" s="12">
        <f>Table16[[#This Row],[price]]*Table16[[#This Row],[quantity]]</f>
        <v>2400.6799999999998</v>
      </c>
    </row>
    <row r="2783" spans="1:9" x14ac:dyDescent="0.3">
      <c r="A2783" t="s">
        <v>4799</v>
      </c>
      <c r="B2783" t="s">
        <v>548</v>
      </c>
      <c r="C2783" t="s">
        <v>2015</v>
      </c>
      <c r="D2783">
        <v>4</v>
      </c>
      <c r="E2783" s="16">
        <v>2400.6799999999998</v>
      </c>
      <c r="F2783" s="1">
        <v>44652</v>
      </c>
      <c r="G2783" t="s">
        <v>2020</v>
      </c>
      <c r="H2783">
        <v>3</v>
      </c>
      <c r="I2783" s="12">
        <f>Table16[[#This Row],[price]]*Table16[[#This Row],[quantity]]</f>
        <v>9602.7199999999993</v>
      </c>
    </row>
    <row r="2784" spans="1:9" x14ac:dyDescent="0.3">
      <c r="A2784" t="s">
        <v>4801</v>
      </c>
      <c r="B2784" t="s">
        <v>548</v>
      </c>
      <c r="C2784" t="s">
        <v>2006</v>
      </c>
      <c r="D2784">
        <v>3</v>
      </c>
      <c r="E2784" s="16">
        <v>45.45</v>
      </c>
      <c r="F2784" s="1">
        <v>44703</v>
      </c>
      <c r="G2784" t="s">
        <v>2004</v>
      </c>
      <c r="H2784">
        <v>3</v>
      </c>
      <c r="I2784" s="12">
        <f>Table16[[#This Row],[price]]*Table16[[#This Row],[quantity]]</f>
        <v>136.35000000000002</v>
      </c>
    </row>
    <row r="2785" spans="1:9" x14ac:dyDescent="0.3">
      <c r="A2785" t="s">
        <v>4800</v>
      </c>
      <c r="B2785" t="s">
        <v>548</v>
      </c>
      <c r="C2785" t="s">
        <v>2011</v>
      </c>
      <c r="D2785">
        <v>2</v>
      </c>
      <c r="E2785" s="16">
        <v>81.319999999999993</v>
      </c>
      <c r="F2785" s="1">
        <v>44792</v>
      </c>
      <c r="G2785" t="s">
        <v>2009</v>
      </c>
      <c r="H2785">
        <v>1</v>
      </c>
      <c r="I2785" s="12">
        <f>Table16[[#This Row],[price]]*Table16[[#This Row],[quantity]]</f>
        <v>162.63999999999999</v>
      </c>
    </row>
    <row r="2786" spans="1:9" x14ac:dyDescent="0.3">
      <c r="A2786" t="s">
        <v>4802</v>
      </c>
      <c r="B2786" t="s">
        <v>548</v>
      </c>
      <c r="C2786" t="s">
        <v>2017</v>
      </c>
      <c r="D2786">
        <v>5</v>
      </c>
      <c r="E2786" s="16">
        <v>5250</v>
      </c>
      <c r="F2786" s="1">
        <v>44822</v>
      </c>
      <c r="G2786" t="s">
        <v>2009</v>
      </c>
      <c r="H2786">
        <v>5</v>
      </c>
      <c r="I2786" s="12">
        <f>Table16[[#This Row],[price]]*Table16[[#This Row],[quantity]]</f>
        <v>26250</v>
      </c>
    </row>
    <row r="2787" spans="1:9" x14ac:dyDescent="0.3">
      <c r="A2787" t="s">
        <v>4803</v>
      </c>
      <c r="B2787" t="s">
        <v>549</v>
      </c>
      <c r="C2787" t="s">
        <v>2024</v>
      </c>
      <c r="D2787">
        <v>1</v>
      </c>
      <c r="E2787" s="16">
        <v>35.840000000000003</v>
      </c>
      <c r="F2787" s="1">
        <v>44620</v>
      </c>
      <c r="G2787" t="s">
        <v>2027</v>
      </c>
      <c r="H2787">
        <v>2</v>
      </c>
      <c r="I2787" s="12">
        <f>Table16[[#This Row],[price]]*Table16[[#This Row],[quantity]]</f>
        <v>35.840000000000003</v>
      </c>
    </row>
    <row r="2788" spans="1:9" x14ac:dyDescent="0.3">
      <c r="A2788" t="s">
        <v>4804</v>
      </c>
      <c r="B2788" t="s">
        <v>549</v>
      </c>
      <c r="C2788" t="s">
        <v>2017</v>
      </c>
      <c r="D2788">
        <v>3</v>
      </c>
      <c r="E2788" s="16">
        <v>3150</v>
      </c>
      <c r="F2788" s="1">
        <v>44916</v>
      </c>
      <c r="G2788" t="s">
        <v>2058</v>
      </c>
      <c r="H2788">
        <v>1</v>
      </c>
      <c r="I2788" s="12">
        <f>Table16[[#This Row],[price]]*Table16[[#This Row],[quantity]]</f>
        <v>9450</v>
      </c>
    </row>
    <row r="2789" spans="1:9" x14ac:dyDescent="0.3">
      <c r="A2789" t="s">
        <v>4809</v>
      </c>
      <c r="B2789" t="s">
        <v>550</v>
      </c>
      <c r="C2789" t="s">
        <v>2001</v>
      </c>
      <c r="D2789">
        <v>4</v>
      </c>
      <c r="E2789" s="16">
        <v>1200.32</v>
      </c>
      <c r="F2789" s="1">
        <v>44553</v>
      </c>
      <c r="G2789" t="s">
        <v>2041</v>
      </c>
      <c r="H2789">
        <v>5</v>
      </c>
      <c r="I2789" s="12">
        <f>Table16[[#This Row],[price]]*Table16[[#This Row],[quantity]]</f>
        <v>4801.28</v>
      </c>
    </row>
    <row r="2790" spans="1:9" x14ac:dyDescent="0.3">
      <c r="A2790" t="s">
        <v>4810</v>
      </c>
      <c r="B2790" t="s">
        <v>550</v>
      </c>
      <c r="C2790" t="s">
        <v>2011</v>
      </c>
      <c r="D2790">
        <v>2</v>
      </c>
      <c r="E2790" s="16">
        <v>81.319999999999993</v>
      </c>
      <c r="F2790" s="1">
        <v>44606</v>
      </c>
      <c r="G2790" t="s">
        <v>2027</v>
      </c>
      <c r="H2790">
        <v>1</v>
      </c>
      <c r="I2790" s="12">
        <f>Table16[[#This Row],[price]]*Table16[[#This Row],[quantity]]</f>
        <v>162.63999999999999</v>
      </c>
    </row>
    <row r="2791" spans="1:9" x14ac:dyDescent="0.3">
      <c r="A2791" t="s">
        <v>4811</v>
      </c>
      <c r="B2791" t="s">
        <v>550</v>
      </c>
      <c r="C2791" t="s">
        <v>2008</v>
      </c>
      <c r="D2791">
        <v>1</v>
      </c>
      <c r="E2791" s="16">
        <v>5.23</v>
      </c>
      <c r="F2791" s="1">
        <v>44783</v>
      </c>
      <c r="G2791" t="s">
        <v>2027</v>
      </c>
      <c r="H2791">
        <v>1</v>
      </c>
      <c r="I2791" s="12">
        <f>Table16[[#This Row],[price]]*Table16[[#This Row],[quantity]]</f>
        <v>5.23</v>
      </c>
    </row>
    <row r="2792" spans="1:9" x14ac:dyDescent="0.3">
      <c r="A2792" t="s">
        <v>4805</v>
      </c>
      <c r="B2792" t="s">
        <v>550</v>
      </c>
      <c r="C2792" t="s">
        <v>2001</v>
      </c>
      <c r="D2792">
        <v>3</v>
      </c>
      <c r="E2792" s="16">
        <v>900.24</v>
      </c>
      <c r="F2792" s="1">
        <v>44870</v>
      </c>
      <c r="G2792" t="s">
        <v>2027</v>
      </c>
      <c r="H2792">
        <v>1</v>
      </c>
      <c r="I2792" s="12">
        <f>Table16[[#This Row],[price]]*Table16[[#This Row],[quantity]]</f>
        <v>2700.7200000000003</v>
      </c>
    </row>
    <row r="2793" spans="1:9" x14ac:dyDescent="0.3">
      <c r="A2793" t="s">
        <v>4807</v>
      </c>
      <c r="B2793" t="s">
        <v>550</v>
      </c>
      <c r="C2793" t="s">
        <v>2024</v>
      </c>
      <c r="D2793">
        <v>5</v>
      </c>
      <c r="E2793" s="16">
        <v>179.2</v>
      </c>
      <c r="F2793" s="1">
        <v>44874</v>
      </c>
      <c r="G2793" t="s">
        <v>2012</v>
      </c>
      <c r="H2793">
        <v>4</v>
      </c>
      <c r="I2793" s="12">
        <f>Table16[[#This Row],[price]]*Table16[[#This Row],[quantity]]</f>
        <v>896</v>
      </c>
    </row>
    <row r="2794" spans="1:9" x14ac:dyDescent="0.3">
      <c r="A2794" t="s">
        <v>4808</v>
      </c>
      <c r="B2794" t="s">
        <v>550</v>
      </c>
      <c r="C2794" t="s">
        <v>2008</v>
      </c>
      <c r="D2794">
        <v>4</v>
      </c>
      <c r="E2794" s="16">
        <v>20.92</v>
      </c>
      <c r="F2794" s="1">
        <v>44929</v>
      </c>
      <c r="G2794" t="s">
        <v>2018</v>
      </c>
      <c r="H2794">
        <v>2</v>
      </c>
      <c r="I2794" s="12">
        <f>Table16[[#This Row],[price]]*Table16[[#This Row],[quantity]]</f>
        <v>83.68</v>
      </c>
    </row>
    <row r="2795" spans="1:9" x14ac:dyDescent="0.3">
      <c r="A2795" t="s">
        <v>4806</v>
      </c>
      <c r="B2795" t="s">
        <v>550</v>
      </c>
      <c r="C2795" t="s">
        <v>2015</v>
      </c>
      <c r="D2795">
        <v>2</v>
      </c>
      <c r="E2795" s="16">
        <v>1200.3399999999999</v>
      </c>
      <c r="F2795" s="1">
        <v>44967</v>
      </c>
      <c r="G2795" t="s">
        <v>2027</v>
      </c>
      <c r="H2795">
        <v>2</v>
      </c>
      <c r="I2795" s="12">
        <f>Table16[[#This Row],[price]]*Table16[[#This Row],[quantity]]</f>
        <v>2400.6799999999998</v>
      </c>
    </row>
    <row r="2796" spans="1:9" x14ac:dyDescent="0.3">
      <c r="A2796" t="s">
        <v>4814</v>
      </c>
      <c r="B2796" t="s">
        <v>551</v>
      </c>
      <c r="C2796" t="s">
        <v>2008</v>
      </c>
      <c r="D2796">
        <v>5</v>
      </c>
      <c r="E2796" s="16">
        <v>26.15</v>
      </c>
      <c r="F2796" s="1">
        <v>44337</v>
      </c>
      <c r="G2796" t="s">
        <v>2002</v>
      </c>
      <c r="H2796">
        <v>2</v>
      </c>
      <c r="I2796" s="12">
        <f>Table16[[#This Row],[price]]*Table16[[#This Row],[quantity]]</f>
        <v>130.75</v>
      </c>
    </row>
    <row r="2797" spans="1:9" x14ac:dyDescent="0.3">
      <c r="A2797" t="s">
        <v>4813</v>
      </c>
      <c r="B2797" t="s">
        <v>551</v>
      </c>
      <c r="C2797" t="s">
        <v>2024</v>
      </c>
      <c r="D2797">
        <v>5</v>
      </c>
      <c r="E2797" s="16">
        <v>179.2</v>
      </c>
      <c r="F2797" s="1">
        <v>44424</v>
      </c>
      <c r="G2797" t="s">
        <v>2027</v>
      </c>
      <c r="H2797">
        <v>1</v>
      </c>
      <c r="I2797" s="12">
        <f>Table16[[#This Row],[price]]*Table16[[#This Row],[quantity]]</f>
        <v>896</v>
      </c>
    </row>
    <row r="2798" spans="1:9" x14ac:dyDescent="0.3">
      <c r="A2798" t="s">
        <v>4812</v>
      </c>
      <c r="B2798" t="s">
        <v>551</v>
      </c>
      <c r="C2798" t="s">
        <v>2001</v>
      </c>
      <c r="D2798">
        <v>5</v>
      </c>
      <c r="E2798" s="16">
        <v>1500.4</v>
      </c>
      <c r="F2798" s="1">
        <v>44532</v>
      </c>
      <c r="G2798" t="s">
        <v>2004</v>
      </c>
      <c r="H2798">
        <v>2</v>
      </c>
      <c r="I2798" s="12">
        <f>Table16[[#This Row],[price]]*Table16[[#This Row],[quantity]]</f>
        <v>7502</v>
      </c>
    </row>
    <row r="2799" spans="1:9" x14ac:dyDescent="0.3">
      <c r="A2799" t="s">
        <v>4815</v>
      </c>
      <c r="B2799" t="s">
        <v>551</v>
      </c>
      <c r="C2799" t="s">
        <v>2001</v>
      </c>
      <c r="D2799">
        <v>1</v>
      </c>
      <c r="E2799" s="16">
        <v>300.08</v>
      </c>
      <c r="F2799" s="1">
        <v>44946</v>
      </c>
      <c r="G2799" t="s">
        <v>2020</v>
      </c>
      <c r="H2799">
        <v>2</v>
      </c>
      <c r="I2799" s="12">
        <f>Table16[[#This Row],[price]]*Table16[[#This Row],[quantity]]</f>
        <v>300.08</v>
      </c>
    </row>
    <row r="2800" spans="1:9" x14ac:dyDescent="0.3">
      <c r="A2800" t="s">
        <v>4817</v>
      </c>
      <c r="B2800" t="s">
        <v>552</v>
      </c>
      <c r="C2800" t="s">
        <v>2001</v>
      </c>
      <c r="D2800">
        <v>4</v>
      </c>
      <c r="E2800" s="16">
        <v>1200.32</v>
      </c>
      <c r="F2800" s="1">
        <v>44492</v>
      </c>
      <c r="G2800" t="s">
        <v>2041</v>
      </c>
      <c r="H2800">
        <v>3</v>
      </c>
      <c r="I2800" s="12">
        <f>Table16[[#This Row],[price]]*Table16[[#This Row],[quantity]]</f>
        <v>4801.28</v>
      </c>
    </row>
    <row r="2801" spans="1:9" x14ac:dyDescent="0.3">
      <c r="A2801" t="s">
        <v>4816</v>
      </c>
      <c r="B2801" t="s">
        <v>552</v>
      </c>
      <c r="C2801" t="s">
        <v>2008</v>
      </c>
      <c r="D2801">
        <v>1</v>
      </c>
      <c r="E2801" s="16">
        <v>5.23</v>
      </c>
      <c r="F2801" s="1">
        <v>44606</v>
      </c>
      <c r="G2801" t="s">
        <v>2041</v>
      </c>
      <c r="H2801">
        <v>3</v>
      </c>
      <c r="I2801" s="12">
        <f>Table16[[#This Row],[price]]*Table16[[#This Row],[quantity]]</f>
        <v>5.23</v>
      </c>
    </row>
    <row r="2802" spans="1:9" x14ac:dyDescent="0.3">
      <c r="A2802" t="s">
        <v>4821</v>
      </c>
      <c r="B2802" t="s">
        <v>552</v>
      </c>
      <c r="C2802" t="s">
        <v>2008</v>
      </c>
      <c r="D2802">
        <v>5</v>
      </c>
      <c r="E2802" s="16">
        <v>26.15</v>
      </c>
      <c r="F2802" s="1">
        <v>44653</v>
      </c>
      <c r="G2802" t="s">
        <v>2012</v>
      </c>
      <c r="H2802">
        <v>3</v>
      </c>
      <c r="I2802" s="12">
        <f>Table16[[#This Row],[price]]*Table16[[#This Row],[quantity]]</f>
        <v>130.75</v>
      </c>
    </row>
    <row r="2803" spans="1:9" x14ac:dyDescent="0.3">
      <c r="A2803" t="s">
        <v>4820</v>
      </c>
      <c r="B2803" t="s">
        <v>552</v>
      </c>
      <c r="C2803" t="s">
        <v>2011</v>
      </c>
      <c r="D2803">
        <v>4</v>
      </c>
      <c r="E2803" s="16">
        <v>162.63999999999999</v>
      </c>
      <c r="F2803" s="1">
        <v>44678</v>
      </c>
      <c r="G2803" t="s">
        <v>2002</v>
      </c>
      <c r="H2803">
        <v>3</v>
      </c>
      <c r="I2803" s="12">
        <f>Table16[[#This Row],[price]]*Table16[[#This Row],[quantity]]</f>
        <v>650.55999999999995</v>
      </c>
    </row>
    <row r="2804" spans="1:9" x14ac:dyDescent="0.3">
      <c r="A2804" t="s">
        <v>4819</v>
      </c>
      <c r="B2804" t="s">
        <v>552</v>
      </c>
      <c r="C2804" t="s">
        <v>2001</v>
      </c>
      <c r="D2804">
        <v>4</v>
      </c>
      <c r="E2804" s="16">
        <v>1200.32</v>
      </c>
      <c r="F2804" s="1">
        <v>44885</v>
      </c>
      <c r="G2804" t="s">
        <v>2058</v>
      </c>
      <c r="H2804">
        <v>2</v>
      </c>
      <c r="I2804" s="12">
        <f>Table16[[#This Row],[price]]*Table16[[#This Row],[quantity]]</f>
        <v>4801.28</v>
      </c>
    </row>
    <row r="2805" spans="1:9" x14ac:dyDescent="0.3">
      <c r="A2805" t="s">
        <v>4818</v>
      </c>
      <c r="B2805" t="s">
        <v>552</v>
      </c>
      <c r="C2805" t="s">
        <v>2057</v>
      </c>
      <c r="D2805">
        <v>4</v>
      </c>
      <c r="E2805" s="16">
        <v>46.92</v>
      </c>
      <c r="F2805" s="1">
        <v>44894</v>
      </c>
      <c r="G2805" t="s">
        <v>2004</v>
      </c>
      <c r="H2805">
        <v>1</v>
      </c>
      <c r="I2805" s="12">
        <f>Table16[[#This Row],[price]]*Table16[[#This Row],[quantity]]</f>
        <v>187.68</v>
      </c>
    </row>
    <row r="2806" spans="1:9" x14ac:dyDescent="0.3">
      <c r="A2806" t="s">
        <v>4822</v>
      </c>
      <c r="B2806" t="s">
        <v>552</v>
      </c>
      <c r="C2806" t="s">
        <v>2024</v>
      </c>
      <c r="D2806">
        <v>2</v>
      </c>
      <c r="E2806" s="16">
        <v>71.680000000000007</v>
      </c>
      <c r="F2806" s="1">
        <v>44932</v>
      </c>
      <c r="G2806" t="s">
        <v>2002</v>
      </c>
      <c r="H2806">
        <v>1</v>
      </c>
      <c r="I2806" s="12">
        <f>Table16[[#This Row],[price]]*Table16[[#This Row],[quantity]]</f>
        <v>143.36000000000001</v>
      </c>
    </row>
    <row r="2807" spans="1:9" x14ac:dyDescent="0.3">
      <c r="A2807" t="s">
        <v>4827</v>
      </c>
      <c r="B2807" t="s">
        <v>553</v>
      </c>
      <c r="C2807" t="s">
        <v>2001</v>
      </c>
      <c r="D2807">
        <v>1</v>
      </c>
      <c r="E2807" s="16">
        <v>300.08</v>
      </c>
      <c r="F2807" s="1">
        <v>44373</v>
      </c>
      <c r="G2807" t="s">
        <v>2020</v>
      </c>
      <c r="H2807">
        <v>5</v>
      </c>
      <c r="I2807" s="12">
        <f>Table16[[#This Row],[price]]*Table16[[#This Row],[quantity]]</f>
        <v>300.08</v>
      </c>
    </row>
    <row r="2808" spans="1:9" x14ac:dyDescent="0.3">
      <c r="A2808" t="s">
        <v>4824</v>
      </c>
      <c r="B2808" t="s">
        <v>553</v>
      </c>
      <c r="C2808" t="s">
        <v>2001</v>
      </c>
      <c r="D2808">
        <v>3</v>
      </c>
      <c r="E2808" s="16">
        <v>900.24</v>
      </c>
      <c r="F2808" s="1">
        <v>44560</v>
      </c>
      <c r="G2808" t="s">
        <v>2058</v>
      </c>
      <c r="H2808">
        <v>5</v>
      </c>
      <c r="I2808" s="12">
        <f>Table16[[#This Row],[price]]*Table16[[#This Row],[quantity]]</f>
        <v>2700.7200000000003</v>
      </c>
    </row>
    <row r="2809" spans="1:9" x14ac:dyDescent="0.3">
      <c r="A2809" t="s">
        <v>4826</v>
      </c>
      <c r="B2809" t="s">
        <v>553</v>
      </c>
      <c r="C2809" t="s">
        <v>2001</v>
      </c>
      <c r="D2809">
        <v>5</v>
      </c>
      <c r="E2809" s="16">
        <v>1500.4</v>
      </c>
      <c r="F2809" s="1">
        <v>44591</v>
      </c>
      <c r="G2809" t="s">
        <v>2009</v>
      </c>
      <c r="H2809">
        <v>4</v>
      </c>
      <c r="I2809" s="12">
        <f>Table16[[#This Row],[price]]*Table16[[#This Row],[quantity]]</f>
        <v>7502</v>
      </c>
    </row>
    <row r="2810" spans="1:9" x14ac:dyDescent="0.3">
      <c r="A2810" t="s">
        <v>4823</v>
      </c>
      <c r="B2810" t="s">
        <v>553</v>
      </c>
      <c r="C2810" t="s">
        <v>2008</v>
      </c>
      <c r="D2810">
        <v>4</v>
      </c>
      <c r="E2810" s="16">
        <v>20.92</v>
      </c>
      <c r="F2810" s="1">
        <v>44628</v>
      </c>
      <c r="G2810" t="s">
        <v>2064</v>
      </c>
      <c r="H2810">
        <v>5</v>
      </c>
      <c r="I2810" s="12">
        <f>Table16[[#This Row],[price]]*Table16[[#This Row],[quantity]]</f>
        <v>83.68</v>
      </c>
    </row>
    <row r="2811" spans="1:9" x14ac:dyDescent="0.3">
      <c r="A2811" t="s">
        <v>4828</v>
      </c>
      <c r="B2811" t="s">
        <v>553</v>
      </c>
      <c r="C2811" t="s">
        <v>2001</v>
      </c>
      <c r="D2811">
        <v>1</v>
      </c>
      <c r="E2811" s="16">
        <v>300.08</v>
      </c>
      <c r="F2811" s="1">
        <v>44675</v>
      </c>
      <c r="G2811" t="s">
        <v>2027</v>
      </c>
      <c r="H2811">
        <v>4</v>
      </c>
      <c r="I2811" s="12">
        <f>Table16[[#This Row],[price]]*Table16[[#This Row],[quantity]]</f>
        <v>300.08</v>
      </c>
    </row>
    <row r="2812" spans="1:9" x14ac:dyDescent="0.3">
      <c r="A2812" t="s">
        <v>4825</v>
      </c>
      <c r="B2812" t="s">
        <v>553</v>
      </c>
      <c r="C2812" t="s">
        <v>2006</v>
      </c>
      <c r="D2812">
        <v>5</v>
      </c>
      <c r="E2812" s="16">
        <v>75.75</v>
      </c>
      <c r="F2812" s="1">
        <v>44723</v>
      </c>
      <c r="G2812" t="s">
        <v>2004</v>
      </c>
      <c r="H2812">
        <v>2</v>
      </c>
      <c r="I2812" s="12">
        <f>Table16[[#This Row],[price]]*Table16[[#This Row],[quantity]]</f>
        <v>378.75</v>
      </c>
    </row>
    <row r="2813" spans="1:9" x14ac:dyDescent="0.3">
      <c r="A2813" t="s">
        <v>4829</v>
      </c>
      <c r="B2813" t="s">
        <v>554</v>
      </c>
      <c r="C2813" t="s">
        <v>2057</v>
      </c>
      <c r="D2813">
        <v>3</v>
      </c>
      <c r="E2813" s="16">
        <v>35.19</v>
      </c>
      <c r="F2813" s="1">
        <v>44355</v>
      </c>
      <c r="G2813" t="s">
        <v>2004</v>
      </c>
      <c r="H2813">
        <v>5</v>
      </c>
      <c r="I2813" s="12">
        <f>Table16[[#This Row],[price]]*Table16[[#This Row],[quantity]]</f>
        <v>105.57</v>
      </c>
    </row>
    <row r="2814" spans="1:9" x14ac:dyDescent="0.3">
      <c r="A2814" t="s">
        <v>4834</v>
      </c>
      <c r="B2814" t="s">
        <v>554</v>
      </c>
      <c r="C2814" t="s">
        <v>2057</v>
      </c>
      <c r="D2814">
        <v>5</v>
      </c>
      <c r="E2814" s="16">
        <v>58.65</v>
      </c>
      <c r="F2814" s="1">
        <v>44447</v>
      </c>
      <c r="G2814" t="s">
        <v>2002</v>
      </c>
      <c r="H2814">
        <v>4</v>
      </c>
      <c r="I2814" s="12">
        <f>Table16[[#This Row],[price]]*Table16[[#This Row],[quantity]]</f>
        <v>293.25</v>
      </c>
    </row>
    <row r="2815" spans="1:9" x14ac:dyDescent="0.3">
      <c r="A2815" t="s">
        <v>4830</v>
      </c>
      <c r="B2815" t="s">
        <v>554</v>
      </c>
      <c r="C2815" t="s">
        <v>2011</v>
      </c>
      <c r="D2815">
        <v>5</v>
      </c>
      <c r="E2815" s="16">
        <v>203.3</v>
      </c>
      <c r="F2815" s="1">
        <v>44630</v>
      </c>
      <c r="G2815" t="s">
        <v>2002</v>
      </c>
      <c r="H2815">
        <v>5</v>
      </c>
      <c r="I2815" s="12">
        <f>Table16[[#This Row],[price]]*Table16[[#This Row],[quantity]]</f>
        <v>1016.5</v>
      </c>
    </row>
    <row r="2816" spans="1:9" x14ac:dyDescent="0.3">
      <c r="A2816" t="s">
        <v>4831</v>
      </c>
      <c r="B2816" t="s">
        <v>554</v>
      </c>
      <c r="C2816" t="s">
        <v>2008</v>
      </c>
      <c r="D2816">
        <v>2</v>
      </c>
      <c r="E2816" s="16">
        <v>10.46</v>
      </c>
      <c r="F2816" s="1">
        <v>44886</v>
      </c>
      <c r="G2816" t="s">
        <v>2018</v>
      </c>
      <c r="H2816">
        <v>3</v>
      </c>
      <c r="I2816" s="12">
        <f>Table16[[#This Row],[price]]*Table16[[#This Row],[quantity]]</f>
        <v>20.92</v>
      </c>
    </row>
    <row r="2817" spans="1:9" x14ac:dyDescent="0.3">
      <c r="A2817" t="s">
        <v>4832</v>
      </c>
      <c r="B2817" t="s">
        <v>554</v>
      </c>
      <c r="C2817" t="s">
        <v>2001</v>
      </c>
      <c r="D2817">
        <v>5</v>
      </c>
      <c r="E2817" s="16">
        <v>1500.4</v>
      </c>
      <c r="F2817" s="1">
        <v>44909</v>
      </c>
      <c r="G2817" t="s">
        <v>2002</v>
      </c>
      <c r="H2817">
        <v>2</v>
      </c>
      <c r="I2817" s="12">
        <f>Table16[[#This Row],[price]]*Table16[[#This Row],[quantity]]</f>
        <v>7502</v>
      </c>
    </row>
    <row r="2818" spans="1:9" x14ac:dyDescent="0.3">
      <c r="A2818" t="s">
        <v>4833</v>
      </c>
      <c r="B2818" t="s">
        <v>554</v>
      </c>
      <c r="C2818" t="s">
        <v>2011</v>
      </c>
      <c r="D2818">
        <v>3</v>
      </c>
      <c r="E2818" s="16">
        <v>121.98</v>
      </c>
      <c r="F2818" s="1">
        <v>44985</v>
      </c>
      <c r="G2818" t="s">
        <v>2002</v>
      </c>
      <c r="H2818">
        <v>5</v>
      </c>
      <c r="I2818" s="12">
        <f>Table16[[#This Row],[price]]*Table16[[#This Row],[quantity]]</f>
        <v>365.94</v>
      </c>
    </row>
    <row r="2819" spans="1:9" x14ac:dyDescent="0.3">
      <c r="A2819" t="s">
        <v>4835</v>
      </c>
      <c r="B2819" t="s">
        <v>555</v>
      </c>
      <c r="C2819" t="s">
        <v>2011</v>
      </c>
      <c r="D2819">
        <v>1</v>
      </c>
      <c r="E2819" s="16">
        <v>40.659999999999997</v>
      </c>
      <c r="F2819" s="1">
        <v>44220</v>
      </c>
      <c r="G2819" t="s">
        <v>2058</v>
      </c>
      <c r="H2819">
        <v>3</v>
      </c>
      <c r="I2819" s="12">
        <f>Table16[[#This Row],[price]]*Table16[[#This Row],[quantity]]</f>
        <v>40.659999999999997</v>
      </c>
    </row>
    <row r="2820" spans="1:9" x14ac:dyDescent="0.3">
      <c r="A2820" t="s">
        <v>4836</v>
      </c>
      <c r="B2820" t="s">
        <v>555</v>
      </c>
      <c r="C2820" t="s">
        <v>2001</v>
      </c>
      <c r="D2820">
        <v>1</v>
      </c>
      <c r="E2820" s="16">
        <v>300.08</v>
      </c>
      <c r="F2820" s="1">
        <v>44392</v>
      </c>
      <c r="G2820" t="s">
        <v>2004</v>
      </c>
      <c r="H2820">
        <v>2</v>
      </c>
      <c r="I2820" s="12">
        <f>Table16[[#This Row],[price]]*Table16[[#This Row],[quantity]]</f>
        <v>300.08</v>
      </c>
    </row>
    <row r="2821" spans="1:9" x14ac:dyDescent="0.3">
      <c r="A2821" t="s">
        <v>4837</v>
      </c>
      <c r="B2821" t="s">
        <v>555</v>
      </c>
      <c r="C2821" t="s">
        <v>2024</v>
      </c>
      <c r="D2821">
        <v>2</v>
      </c>
      <c r="E2821" s="16">
        <v>71.680000000000007</v>
      </c>
      <c r="F2821" s="1">
        <v>44512</v>
      </c>
      <c r="G2821" t="s">
        <v>2027</v>
      </c>
      <c r="H2821">
        <v>4</v>
      </c>
      <c r="I2821" s="12">
        <f>Table16[[#This Row],[price]]*Table16[[#This Row],[quantity]]</f>
        <v>143.36000000000001</v>
      </c>
    </row>
    <row r="2822" spans="1:9" x14ac:dyDescent="0.3">
      <c r="A2822" t="s">
        <v>4838</v>
      </c>
      <c r="B2822" t="s">
        <v>555</v>
      </c>
      <c r="C2822" t="s">
        <v>2011</v>
      </c>
      <c r="D2822">
        <v>1</v>
      </c>
      <c r="E2822" s="16">
        <v>40.659999999999997</v>
      </c>
      <c r="F2822" s="1">
        <v>44855</v>
      </c>
      <c r="G2822" t="s">
        <v>2012</v>
      </c>
      <c r="H2822">
        <v>5</v>
      </c>
      <c r="I2822" s="12">
        <f>Table16[[#This Row],[price]]*Table16[[#This Row],[quantity]]</f>
        <v>40.659999999999997</v>
      </c>
    </row>
    <row r="2823" spans="1:9" x14ac:dyDescent="0.3">
      <c r="A2823" t="s">
        <v>4842</v>
      </c>
      <c r="B2823" t="s">
        <v>556</v>
      </c>
      <c r="C2823" t="s">
        <v>2057</v>
      </c>
      <c r="D2823">
        <v>1</v>
      </c>
      <c r="E2823" s="16">
        <v>11.73</v>
      </c>
      <c r="F2823" s="1">
        <v>44478</v>
      </c>
      <c r="G2823" t="s">
        <v>2064</v>
      </c>
      <c r="H2823">
        <v>2</v>
      </c>
      <c r="I2823" s="12">
        <f>Table16[[#This Row],[price]]*Table16[[#This Row],[quantity]]</f>
        <v>11.73</v>
      </c>
    </row>
    <row r="2824" spans="1:9" x14ac:dyDescent="0.3">
      <c r="A2824" t="s">
        <v>4843</v>
      </c>
      <c r="B2824" t="s">
        <v>556</v>
      </c>
      <c r="C2824" t="s">
        <v>2015</v>
      </c>
      <c r="D2824">
        <v>1</v>
      </c>
      <c r="E2824" s="16">
        <v>600.16999999999996</v>
      </c>
      <c r="F2824" s="1">
        <v>44607</v>
      </c>
      <c r="G2824" t="s">
        <v>2004</v>
      </c>
      <c r="H2824">
        <v>3</v>
      </c>
      <c r="I2824" s="12">
        <f>Table16[[#This Row],[price]]*Table16[[#This Row],[quantity]]</f>
        <v>600.16999999999996</v>
      </c>
    </row>
    <row r="2825" spans="1:9" x14ac:dyDescent="0.3">
      <c r="A2825" t="s">
        <v>4841</v>
      </c>
      <c r="B2825" t="s">
        <v>556</v>
      </c>
      <c r="C2825" t="s">
        <v>2015</v>
      </c>
      <c r="D2825">
        <v>2</v>
      </c>
      <c r="E2825" s="16">
        <v>1200.3399999999999</v>
      </c>
      <c r="F2825" s="1">
        <v>44633</v>
      </c>
      <c r="G2825" t="s">
        <v>2012</v>
      </c>
      <c r="H2825">
        <v>2</v>
      </c>
      <c r="I2825" s="12">
        <f>Table16[[#This Row],[price]]*Table16[[#This Row],[quantity]]</f>
        <v>2400.6799999999998</v>
      </c>
    </row>
    <row r="2826" spans="1:9" x14ac:dyDescent="0.3">
      <c r="A2826" t="s">
        <v>4840</v>
      </c>
      <c r="B2826" t="s">
        <v>556</v>
      </c>
      <c r="C2826" t="s">
        <v>2011</v>
      </c>
      <c r="D2826">
        <v>5</v>
      </c>
      <c r="E2826" s="16">
        <v>203.3</v>
      </c>
      <c r="F2826" s="1">
        <v>44665</v>
      </c>
      <c r="G2826" t="s">
        <v>2012</v>
      </c>
      <c r="H2826">
        <v>3</v>
      </c>
      <c r="I2826" s="12">
        <f>Table16[[#This Row],[price]]*Table16[[#This Row],[quantity]]</f>
        <v>1016.5</v>
      </c>
    </row>
    <row r="2827" spans="1:9" x14ac:dyDescent="0.3">
      <c r="A2827" t="s">
        <v>4844</v>
      </c>
      <c r="B2827" t="s">
        <v>556</v>
      </c>
      <c r="C2827" t="s">
        <v>2024</v>
      </c>
      <c r="D2827">
        <v>4</v>
      </c>
      <c r="E2827" s="16">
        <v>143.36000000000001</v>
      </c>
      <c r="F2827" s="1">
        <v>44718</v>
      </c>
      <c r="G2827" t="s">
        <v>2027</v>
      </c>
      <c r="H2827">
        <v>3</v>
      </c>
      <c r="I2827" s="12">
        <f>Table16[[#This Row],[price]]*Table16[[#This Row],[quantity]]</f>
        <v>573.44000000000005</v>
      </c>
    </row>
    <row r="2828" spans="1:9" x14ac:dyDescent="0.3">
      <c r="A2828" t="s">
        <v>4845</v>
      </c>
      <c r="B2828" t="s">
        <v>556</v>
      </c>
      <c r="C2828" t="s">
        <v>2011</v>
      </c>
      <c r="D2828">
        <v>3</v>
      </c>
      <c r="E2828" s="16">
        <v>121.98</v>
      </c>
      <c r="F2828" s="1">
        <v>44850</v>
      </c>
      <c r="G2828" t="s">
        <v>2020</v>
      </c>
      <c r="H2828">
        <v>4</v>
      </c>
      <c r="I2828" s="12">
        <f>Table16[[#This Row],[price]]*Table16[[#This Row],[quantity]]</f>
        <v>365.94</v>
      </c>
    </row>
    <row r="2829" spans="1:9" x14ac:dyDescent="0.3">
      <c r="A2829" t="s">
        <v>4846</v>
      </c>
      <c r="B2829" t="s">
        <v>556</v>
      </c>
      <c r="C2829" t="s">
        <v>2011</v>
      </c>
      <c r="D2829">
        <v>4</v>
      </c>
      <c r="E2829" s="16">
        <v>162.63999999999999</v>
      </c>
      <c r="F2829" s="1">
        <v>44912</v>
      </c>
      <c r="G2829" t="s">
        <v>2020</v>
      </c>
      <c r="H2829">
        <v>5</v>
      </c>
      <c r="I2829" s="12">
        <f>Table16[[#This Row],[price]]*Table16[[#This Row],[quantity]]</f>
        <v>650.55999999999995</v>
      </c>
    </row>
    <row r="2830" spans="1:9" x14ac:dyDescent="0.3">
      <c r="A2830" t="s">
        <v>4839</v>
      </c>
      <c r="B2830" t="s">
        <v>556</v>
      </c>
      <c r="C2830" t="s">
        <v>2008</v>
      </c>
      <c r="D2830">
        <v>1</v>
      </c>
      <c r="E2830" s="16">
        <v>5.23</v>
      </c>
      <c r="F2830" s="1">
        <v>44979</v>
      </c>
      <c r="G2830" t="s">
        <v>2018</v>
      </c>
      <c r="H2830">
        <v>3</v>
      </c>
      <c r="I2830" s="12">
        <f>Table16[[#This Row],[price]]*Table16[[#This Row],[quantity]]</f>
        <v>5.23</v>
      </c>
    </row>
    <row r="2831" spans="1:9" x14ac:dyDescent="0.3">
      <c r="A2831" t="s">
        <v>4848</v>
      </c>
      <c r="B2831" t="s">
        <v>557</v>
      </c>
      <c r="C2831" t="s">
        <v>2001</v>
      </c>
      <c r="D2831">
        <v>3</v>
      </c>
      <c r="E2831" s="16">
        <v>900.24</v>
      </c>
      <c r="F2831" s="1">
        <v>44203</v>
      </c>
      <c r="G2831" t="s">
        <v>2027</v>
      </c>
      <c r="H2831">
        <v>1</v>
      </c>
      <c r="I2831" s="12">
        <f>Table16[[#This Row],[price]]*Table16[[#This Row],[quantity]]</f>
        <v>2700.7200000000003</v>
      </c>
    </row>
    <row r="2832" spans="1:9" x14ac:dyDescent="0.3">
      <c r="A2832" t="s">
        <v>4850</v>
      </c>
      <c r="B2832" t="s">
        <v>557</v>
      </c>
      <c r="C2832" t="s">
        <v>2057</v>
      </c>
      <c r="D2832">
        <v>4</v>
      </c>
      <c r="E2832" s="16">
        <v>46.92</v>
      </c>
      <c r="F2832" s="1">
        <v>44278</v>
      </c>
      <c r="G2832" t="s">
        <v>2012</v>
      </c>
      <c r="H2832">
        <v>1</v>
      </c>
      <c r="I2832" s="12">
        <f>Table16[[#This Row],[price]]*Table16[[#This Row],[quantity]]</f>
        <v>187.68</v>
      </c>
    </row>
    <row r="2833" spans="1:9" x14ac:dyDescent="0.3">
      <c r="A2833" t="s">
        <v>4847</v>
      </c>
      <c r="B2833" t="s">
        <v>557</v>
      </c>
      <c r="C2833" t="s">
        <v>2001</v>
      </c>
      <c r="D2833">
        <v>3</v>
      </c>
      <c r="E2833" s="16">
        <v>900.24</v>
      </c>
      <c r="F2833" s="1">
        <v>44512</v>
      </c>
      <c r="G2833" t="s">
        <v>2004</v>
      </c>
      <c r="H2833">
        <v>5</v>
      </c>
      <c r="I2833" s="12">
        <f>Table16[[#This Row],[price]]*Table16[[#This Row],[quantity]]</f>
        <v>2700.7200000000003</v>
      </c>
    </row>
    <row r="2834" spans="1:9" x14ac:dyDescent="0.3">
      <c r="A2834" t="s">
        <v>4849</v>
      </c>
      <c r="B2834" t="s">
        <v>557</v>
      </c>
      <c r="C2834" t="s">
        <v>2006</v>
      </c>
      <c r="D2834">
        <v>3</v>
      </c>
      <c r="E2834" s="16">
        <v>45.45</v>
      </c>
      <c r="F2834" s="1">
        <v>44572</v>
      </c>
      <c r="G2834" t="s">
        <v>2027</v>
      </c>
      <c r="H2834">
        <v>3</v>
      </c>
      <c r="I2834" s="12">
        <f>Table16[[#This Row],[price]]*Table16[[#This Row],[quantity]]</f>
        <v>136.35000000000002</v>
      </c>
    </row>
    <row r="2835" spans="1:9" x14ac:dyDescent="0.3">
      <c r="A2835" t="s">
        <v>4854</v>
      </c>
      <c r="B2835" t="s">
        <v>558</v>
      </c>
      <c r="C2835" t="s">
        <v>2015</v>
      </c>
      <c r="D2835">
        <v>2</v>
      </c>
      <c r="E2835" s="16">
        <v>1200.3399999999999</v>
      </c>
      <c r="F2835" s="1">
        <v>44257</v>
      </c>
      <c r="G2835" t="s">
        <v>2018</v>
      </c>
      <c r="H2835">
        <v>1</v>
      </c>
      <c r="I2835" s="12">
        <f>Table16[[#This Row],[price]]*Table16[[#This Row],[quantity]]</f>
        <v>2400.6799999999998</v>
      </c>
    </row>
    <row r="2836" spans="1:9" x14ac:dyDescent="0.3">
      <c r="A2836" t="s">
        <v>4853</v>
      </c>
      <c r="B2836" t="s">
        <v>558</v>
      </c>
      <c r="C2836" t="s">
        <v>2015</v>
      </c>
      <c r="D2836">
        <v>1</v>
      </c>
      <c r="E2836" s="16">
        <v>600.16999999999996</v>
      </c>
      <c r="F2836" s="1">
        <v>44617</v>
      </c>
      <c r="G2836" t="s">
        <v>2012</v>
      </c>
      <c r="H2836">
        <v>2</v>
      </c>
      <c r="I2836" s="12">
        <f>Table16[[#This Row],[price]]*Table16[[#This Row],[quantity]]</f>
        <v>600.16999999999996</v>
      </c>
    </row>
    <row r="2837" spans="1:9" x14ac:dyDescent="0.3">
      <c r="A2837" t="s">
        <v>4851</v>
      </c>
      <c r="B2837" t="s">
        <v>558</v>
      </c>
      <c r="C2837" t="s">
        <v>2024</v>
      </c>
      <c r="D2837">
        <v>4</v>
      </c>
      <c r="E2837" s="16">
        <v>143.36000000000001</v>
      </c>
      <c r="F2837" s="1">
        <v>44703</v>
      </c>
      <c r="G2837" t="s">
        <v>2004</v>
      </c>
      <c r="H2837">
        <v>5</v>
      </c>
      <c r="I2837" s="12">
        <f>Table16[[#This Row],[price]]*Table16[[#This Row],[quantity]]</f>
        <v>573.44000000000005</v>
      </c>
    </row>
    <row r="2838" spans="1:9" x14ac:dyDescent="0.3">
      <c r="A2838" t="s">
        <v>4852</v>
      </c>
      <c r="B2838" t="s">
        <v>558</v>
      </c>
      <c r="C2838" t="s">
        <v>2011</v>
      </c>
      <c r="D2838">
        <v>1</v>
      </c>
      <c r="E2838" s="16">
        <v>40.659999999999997</v>
      </c>
      <c r="F2838" s="1">
        <v>44794</v>
      </c>
      <c r="G2838" t="s">
        <v>2020</v>
      </c>
      <c r="H2838">
        <v>2</v>
      </c>
      <c r="I2838" s="12">
        <f>Table16[[#This Row],[price]]*Table16[[#This Row],[quantity]]</f>
        <v>40.659999999999997</v>
      </c>
    </row>
    <row r="2839" spans="1:9" x14ac:dyDescent="0.3">
      <c r="A2839" t="s">
        <v>4857</v>
      </c>
      <c r="B2839" t="s">
        <v>559</v>
      </c>
      <c r="C2839" t="s">
        <v>2001</v>
      </c>
      <c r="D2839">
        <v>3</v>
      </c>
      <c r="E2839" s="16">
        <v>900.24</v>
      </c>
      <c r="F2839" s="1">
        <v>44254</v>
      </c>
      <c r="G2839" t="s">
        <v>2027</v>
      </c>
      <c r="H2839">
        <v>2</v>
      </c>
      <c r="I2839" s="12">
        <f>Table16[[#This Row],[price]]*Table16[[#This Row],[quantity]]</f>
        <v>2700.7200000000003</v>
      </c>
    </row>
    <row r="2840" spans="1:9" x14ac:dyDescent="0.3">
      <c r="A2840" t="s">
        <v>4855</v>
      </c>
      <c r="B2840" t="s">
        <v>559</v>
      </c>
      <c r="C2840" t="s">
        <v>2001</v>
      </c>
      <c r="D2840">
        <v>4</v>
      </c>
      <c r="E2840" s="16">
        <v>1200.32</v>
      </c>
      <c r="F2840" s="1">
        <v>44436</v>
      </c>
      <c r="G2840" t="s">
        <v>2004</v>
      </c>
      <c r="H2840">
        <v>4</v>
      </c>
      <c r="I2840" s="12">
        <f>Table16[[#This Row],[price]]*Table16[[#This Row],[quantity]]</f>
        <v>4801.28</v>
      </c>
    </row>
    <row r="2841" spans="1:9" x14ac:dyDescent="0.3">
      <c r="A2841" t="s">
        <v>4858</v>
      </c>
      <c r="B2841" t="s">
        <v>559</v>
      </c>
      <c r="C2841" t="s">
        <v>2015</v>
      </c>
      <c r="D2841">
        <v>4</v>
      </c>
      <c r="E2841" s="16">
        <v>2400.6799999999998</v>
      </c>
      <c r="F2841" s="1">
        <v>44739</v>
      </c>
      <c r="G2841" t="s">
        <v>2041</v>
      </c>
      <c r="H2841">
        <v>5</v>
      </c>
      <c r="I2841" s="12">
        <f>Table16[[#This Row],[price]]*Table16[[#This Row],[quantity]]</f>
        <v>9602.7199999999993</v>
      </c>
    </row>
    <row r="2842" spans="1:9" x14ac:dyDescent="0.3">
      <c r="A2842" t="s">
        <v>4856</v>
      </c>
      <c r="B2842" t="s">
        <v>559</v>
      </c>
      <c r="C2842" t="s">
        <v>2057</v>
      </c>
      <c r="D2842">
        <v>2</v>
      </c>
      <c r="E2842" s="16">
        <v>23.46</v>
      </c>
      <c r="F2842" s="1">
        <v>44883</v>
      </c>
      <c r="G2842" t="s">
        <v>2027</v>
      </c>
      <c r="H2842">
        <v>5</v>
      </c>
      <c r="I2842" s="12">
        <f>Table16[[#This Row],[price]]*Table16[[#This Row],[quantity]]</f>
        <v>46.92</v>
      </c>
    </row>
    <row r="2843" spans="1:9" x14ac:dyDescent="0.3">
      <c r="A2843" t="s">
        <v>4864</v>
      </c>
      <c r="B2843" t="s">
        <v>560</v>
      </c>
      <c r="C2843" t="s">
        <v>2001</v>
      </c>
      <c r="D2843">
        <v>5</v>
      </c>
      <c r="E2843" s="16">
        <v>1500.4</v>
      </c>
      <c r="F2843" s="1">
        <v>44440</v>
      </c>
      <c r="G2843" t="s">
        <v>2058</v>
      </c>
      <c r="H2843">
        <v>4</v>
      </c>
      <c r="I2843" s="12">
        <f>Table16[[#This Row],[price]]*Table16[[#This Row],[quantity]]</f>
        <v>7502</v>
      </c>
    </row>
    <row r="2844" spans="1:9" x14ac:dyDescent="0.3">
      <c r="A2844" t="s">
        <v>4863</v>
      </c>
      <c r="B2844" t="s">
        <v>560</v>
      </c>
      <c r="C2844" t="s">
        <v>2017</v>
      </c>
      <c r="D2844">
        <v>5</v>
      </c>
      <c r="E2844" s="16">
        <v>5250</v>
      </c>
      <c r="F2844" s="1">
        <v>44849</v>
      </c>
      <c r="G2844" t="s">
        <v>2002</v>
      </c>
      <c r="H2844">
        <v>3</v>
      </c>
      <c r="I2844" s="12">
        <f>Table16[[#This Row],[price]]*Table16[[#This Row],[quantity]]</f>
        <v>26250</v>
      </c>
    </row>
    <row r="2845" spans="1:9" x14ac:dyDescent="0.3">
      <c r="A2845" t="s">
        <v>4860</v>
      </c>
      <c r="B2845" t="s">
        <v>560</v>
      </c>
      <c r="C2845" t="s">
        <v>2006</v>
      </c>
      <c r="D2845">
        <v>1</v>
      </c>
      <c r="E2845" s="16">
        <v>15.15</v>
      </c>
      <c r="F2845" s="1">
        <v>44862</v>
      </c>
      <c r="G2845" t="s">
        <v>2058</v>
      </c>
      <c r="H2845">
        <v>1</v>
      </c>
      <c r="I2845" s="12">
        <f>Table16[[#This Row],[price]]*Table16[[#This Row],[quantity]]</f>
        <v>15.15</v>
      </c>
    </row>
    <row r="2846" spans="1:9" x14ac:dyDescent="0.3">
      <c r="A2846" t="s">
        <v>4859</v>
      </c>
      <c r="B2846" t="s">
        <v>560</v>
      </c>
      <c r="C2846" t="s">
        <v>2011</v>
      </c>
      <c r="D2846">
        <v>4</v>
      </c>
      <c r="E2846" s="16">
        <v>162.63999999999999</v>
      </c>
      <c r="F2846" s="1">
        <v>44886</v>
      </c>
      <c r="G2846" t="s">
        <v>2027</v>
      </c>
      <c r="H2846">
        <v>3</v>
      </c>
      <c r="I2846" s="12">
        <f>Table16[[#This Row],[price]]*Table16[[#This Row],[quantity]]</f>
        <v>650.55999999999995</v>
      </c>
    </row>
    <row r="2847" spans="1:9" x14ac:dyDescent="0.3">
      <c r="A2847" t="s">
        <v>4861</v>
      </c>
      <c r="B2847" t="s">
        <v>560</v>
      </c>
      <c r="C2847" t="s">
        <v>2008</v>
      </c>
      <c r="D2847">
        <v>5</v>
      </c>
      <c r="E2847" s="16">
        <v>26.15</v>
      </c>
      <c r="F2847" s="1">
        <v>44919</v>
      </c>
      <c r="G2847" t="s">
        <v>2058</v>
      </c>
      <c r="H2847">
        <v>2</v>
      </c>
      <c r="I2847" s="12">
        <f>Table16[[#This Row],[price]]*Table16[[#This Row],[quantity]]</f>
        <v>130.75</v>
      </c>
    </row>
    <row r="2848" spans="1:9" x14ac:dyDescent="0.3">
      <c r="A2848" t="s">
        <v>4862</v>
      </c>
      <c r="B2848" t="s">
        <v>560</v>
      </c>
      <c r="C2848" t="s">
        <v>2011</v>
      </c>
      <c r="D2848">
        <v>2</v>
      </c>
      <c r="E2848" s="16">
        <v>81.319999999999993</v>
      </c>
      <c r="F2848" s="1">
        <v>44941</v>
      </c>
      <c r="G2848" t="s">
        <v>2027</v>
      </c>
      <c r="H2848">
        <v>2</v>
      </c>
      <c r="I2848" s="12">
        <f>Table16[[#This Row],[price]]*Table16[[#This Row],[quantity]]</f>
        <v>162.63999999999999</v>
      </c>
    </row>
    <row r="2849" spans="1:9" x14ac:dyDescent="0.3">
      <c r="A2849" t="s">
        <v>4867</v>
      </c>
      <c r="B2849" t="s">
        <v>561</v>
      </c>
      <c r="C2849" t="s">
        <v>2008</v>
      </c>
      <c r="D2849">
        <v>1</v>
      </c>
      <c r="E2849" s="16">
        <v>5.23</v>
      </c>
      <c r="F2849" s="1">
        <v>44235</v>
      </c>
      <c r="G2849" t="s">
        <v>2002</v>
      </c>
      <c r="H2849">
        <v>4</v>
      </c>
      <c r="I2849" s="12">
        <f>Table16[[#This Row],[price]]*Table16[[#This Row],[quantity]]</f>
        <v>5.23</v>
      </c>
    </row>
    <row r="2850" spans="1:9" x14ac:dyDescent="0.3">
      <c r="A2850" t="s">
        <v>4866</v>
      </c>
      <c r="B2850" t="s">
        <v>561</v>
      </c>
      <c r="C2850" t="s">
        <v>2024</v>
      </c>
      <c r="D2850">
        <v>4</v>
      </c>
      <c r="E2850" s="16">
        <v>143.36000000000001</v>
      </c>
      <c r="F2850" s="1">
        <v>44587</v>
      </c>
      <c r="G2850" t="s">
        <v>2027</v>
      </c>
      <c r="H2850">
        <v>3</v>
      </c>
      <c r="I2850" s="12">
        <f>Table16[[#This Row],[price]]*Table16[[#This Row],[quantity]]</f>
        <v>573.44000000000005</v>
      </c>
    </row>
    <row r="2851" spans="1:9" x14ac:dyDescent="0.3">
      <c r="A2851" t="s">
        <v>4868</v>
      </c>
      <c r="B2851" t="s">
        <v>561</v>
      </c>
      <c r="C2851" t="s">
        <v>2024</v>
      </c>
      <c r="D2851">
        <v>4</v>
      </c>
      <c r="E2851" s="16">
        <v>143.36000000000001</v>
      </c>
      <c r="F2851" s="1">
        <v>44686</v>
      </c>
      <c r="G2851" t="s">
        <v>2027</v>
      </c>
      <c r="H2851">
        <v>5</v>
      </c>
      <c r="I2851" s="12">
        <f>Table16[[#This Row],[price]]*Table16[[#This Row],[quantity]]</f>
        <v>573.44000000000005</v>
      </c>
    </row>
    <row r="2852" spans="1:9" x14ac:dyDescent="0.3">
      <c r="A2852" t="s">
        <v>4865</v>
      </c>
      <c r="B2852" t="s">
        <v>561</v>
      </c>
      <c r="C2852" t="s">
        <v>2015</v>
      </c>
      <c r="D2852">
        <v>4</v>
      </c>
      <c r="E2852" s="16">
        <v>2400.6799999999998</v>
      </c>
      <c r="F2852" s="1">
        <v>44844</v>
      </c>
      <c r="G2852" t="s">
        <v>2058</v>
      </c>
      <c r="H2852">
        <v>4</v>
      </c>
      <c r="I2852" s="12">
        <f>Table16[[#This Row],[price]]*Table16[[#This Row],[quantity]]</f>
        <v>9602.7199999999993</v>
      </c>
    </row>
    <row r="2853" spans="1:9" x14ac:dyDescent="0.3">
      <c r="A2853" t="s">
        <v>4869</v>
      </c>
      <c r="B2853" t="s">
        <v>561</v>
      </c>
      <c r="C2853" t="s">
        <v>2001</v>
      </c>
      <c r="D2853">
        <v>5</v>
      </c>
      <c r="E2853" s="16">
        <v>1500.4</v>
      </c>
      <c r="F2853" s="1">
        <v>44849</v>
      </c>
      <c r="G2853" t="s">
        <v>2002</v>
      </c>
      <c r="H2853">
        <v>3</v>
      </c>
      <c r="I2853" s="12">
        <f>Table16[[#This Row],[price]]*Table16[[#This Row],[quantity]]</f>
        <v>7502</v>
      </c>
    </row>
    <row r="2854" spans="1:9" x14ac:dyDescent="0.3">
      <c r="A2854" t="s">
        <v>4876</v>
      </c>
      <c r="B2854" t="s">
        <v>562</v>
      </c>
      <c r="C2854" t="s">
        <v>2024</v>
      </c>
      <c r="D2854">
        <v>1</v>
      </c>
      <c r="E2854" s="16">
        <v>35.840000000000003</v>
      </c>
      <c r="F2854" s="1">
        <v>44219</v>
      </c>
      <c r="G2854" t="s">
        <v>2002</v>
      </c>
      <c r="H2854">
        <v>3</v>
      </c>
      <c r="I2854" s="12">
        <f>Table16[[#This Row],[price]]*Table16[[#This Row],[quantity]]</f>
        <v>35.840000000000003</v>
      </c>
    </row>
    <row r="2855" spans="1:9" x14ac:dyDescent="0.3">
      <c r="A2855" t="s">
        <v>4871</v>
      </c>
      <c r="B2855" t="s">
        <v>562</v>
      </c>
      <c r="C2855" t="s">
        <v>2001</v>
      </c>
      <c r="D2855">
        <v>4</v>
      </c>
      <c r="E2855" s="16">
        <v>1200.32</v>
      </c>
      <c r="F2855" s="1">
        <v>44260</v>
      </c>
      <c r="G2855" t="s">
        <v>2004</v>
      </c>
      <c r="H2855">
        <v>5</v>
      </c>
      <c r="I2855" s="12">
        <f>Table16[[#This Row],[price]]*Table16[[#This Row],[quantity]]</f>
        <v>4801.28</v>
      </c>
    </row>
    <row r="2856" spans="1:9" x14ac:dyDescent="0.3">
      <c r="A2856" t="s">
        <v>4870</v>
      </c>
      <c r="B2856" t="s">
        <v>562</v>
      </c>
      <c r="C2856" t="s">
        <v>2011</v>
      </c>
      <c r="D2856">
        <v>1</v>
      </c>
      <c r="E2856" s="16">
        <v>40.659999999999997</v>
      </c>
      <c r="F2856" s="1">
        <v>44343</v>
      </c>
      <c r="G2856" t="s">
        <v>2004</v>
      </c>
      <c r="H2856">
        <v>3</v>
      </c>
      <c r="I2856" s="12">
        <f>Table16[[#This Row],[price]]*Table16[[#This Row],[quantity]]</f>
        <v>40.659999999999997</v>
      </c>
    </row>
    <row r="2857" spans="1:9" x14ac:dyDescent="0.3">
      <c r="A2857" t="s">
        <v>4875</v>
      </c>
      <c r="B2857" t="s">
        <v>562</v>
      </c>
      <c r="C2857" t="s">
        <v>2001</v>
      </c>
      <c r="D2857">
        <v>1</v>
      </c>
      <c r="E2857" s="16">
        <v>300.08</v>
      </c>
      <c r="F2857" s="1">
        <v>44541</v>
      </c>
      <c r="G2857" t="s">
        <v>2027</v>
      </c>
      <c r="H2857">
        <v>4</v>
      </c>
      <c r="I2857" s="12">
        <f>Table16[[#This Row],[price]]*Table16[[#This Row],[quantity]]</f>
        <v>300.08</v>
      </c>
    </row>
    <row r="2858" spans="1:9" x14ac:dyDescent="0.3">
      <c r="A2858" t="s">
        <v>4877</v>
      </c>
      <c r="B2858" t="s">
        <v>562</v>
      </c>
      <c r="C2858" t="s">
        <v>2006</v>
      </c>
      <c r="D2858">
        <v>5</v>
      </c>
      <c r="E2858" s="16">
        <v>75.75</v>
      </c>
      <c r="F2858" s="1">
        <v>44615</v>
      </c>
      <c r="G2858" t="s">
        <v>2009</v>
      </c>
      <c r="H2858">
        <v>5</v>
      </c>
      <c r="I2858" s="12">
        <f>Table16[[#This Row],[price]]*Table16[[#This Row],[quantity]]</f>
        <v>378.75</v>
      </c>
    </row>
    <row r="2859" spans="1:9" x14ac:dyDescent="0.3">
      <c r="A2859" t="s">
        <v>4874</v>
      </c>
      <c r="B2859" t="s">
        <v>562</v>
      </c>
      <c r="C2859" t="s">
        <v>2008</v>
      </c>
      <c r="D2859">
        <v>5</v>
      </c>
      <c r="E2859" s="16">
        <v>26.15</v>
      </c>
      <c r="F2859" s="1">
        <v>44625</v>
      </c>
      <c r="G2859" t="s">
        <v>2002</v>
      </c>
      <c r="H2859">
        <v>4</v>
      </c>
      <c r="I2859" s="12">
        <f>Table16[[#This Row],[price]]*Table16[[#This Row],[quantity]]</f>
        <v>130.75</v>
      </c>
    </row>
    <row r="2860" spans="1:9" x14ac:dyDescent="0.3">
      <c r="A2860" t="s">
        <v>4872</v>
      </c>
      <c r="B2860" t="s">
        <v>562</v>
      </c>
      <c r="C2860" t="s">
        <v>2024</v>
      </c>
      <c r="D2860">
        <v>4</v>
      </c>
      <c r="E2860" s="16">
        <v>143.36000000000001</v>
      </c>
      <c r="F2860" s="1">
        <v>44646</v>
      </c>
      <c r="G2860" t="s">
        <v>2018</v>
      </c>
      <c r="H2860">
        <v>3</v>
      </c>
      <c r="I2860" s="12">
        <f>Table16[[#This Row],[price]]*Table16[[#This Row],[quantity]]</f>
        <v>573.44000000000005</v>
      </c>
    </row>
    <row r="2861" spans="1:9" x14ac:dyDescent="0.3">
      <c r="A2861" t="s">
        <v>4873</v>
      </c>
      <c r="B2861" t="s">
        <v>562</v>
      </c>
      <c r="C2861" t="s">
        <v>2001</v>
      </c>
      <c r="D2861">
        <v>1</v>
      </c>
      <c r="E2861" s="16">
        <v>300.08</v>
      </c>
      <c r="F2861" s="1">
        <v>44795</v>
      </c>
      <c r="G2861" t="s">
        <v>2064</v>
      </c>
      <c r="H2861">
        <v>2</v>
      </c>
      <c r="I2861" s="12">
        <f>Table16[[#This Row],[price]]*Table16[[#This Row],[quantity]]</f>
        <v>300.08</v>
      </c>
    </row>
    <row r="2862" spans="1:9" x14ac:dyDescent="0.3">
      <c r="A2862" t="s">
        <v>4878</v>
      </c>
      <c r="B2862" t="s">
        <v>562</v>
      </c>
      <c r="C2862" t="s">
        <v>2011</v>
      </c>
      <c r="D2862">
        <v>5</v>
      </c>
      <c r="E2862" s="16">
        <v>203.3</v>
      </c>
      <c r="F2862" s="1">
        <v>44917</v>
      </c>
      <c r="G2862" t="s">
        <v>2020</v>
      </c>
      <c r="H2862">
        <v>2</v>
      </c>
      <c r="I2862" s="12">
        <f>Table16[[#This Row],[price]]*Table16[[#This Row],[quantity]]</f>
        <v>1016.5</v>
      </c>
    </row>
    <row r="2863" spans="1:9" x14ac:dyDescent="0.3">
      <c r="A2863" t="s">
        <v>4880</v>
      </c>
      <c r="B2863" t="s">
        <v>563</v>
      </c>
      <c r="C2863" t="s">
        <v>2015</v>
      </c>
      <c r="D2863">
        <v>2</v>
      </c>
      <c r="E2863" s="16">
        <v>1200.3399999999999</v>
      </c>
      <c r="F2863" s="1">
        <v>44437</v>
      </c>
      <c r="G2863" t="s">
        <v>2004</v>
      </c>
      <c r="H2863">
        <v>3</v>
      </c>
      <c r="I2863" s="12">
        <f>Table16[[#This Row],[price]]*Table16[[#This Row],[quantity]]</f>
        <v>2400.6799999999998</v>
      </c>
    </row>
    <row r="2864" spans="1:9" x14ac:dyDescent="0.3">
      <c r="A2864" t="s">
        <v>4879</v>
      </c>
      <c r="B2864" t="s">
        <v>563</v>
      </c>
      <c r="C2864" t="s">
        <v>2008</v>
      </c>
      <c r="D2864">
        <v>3</v>
      </c>
      <c r="E2864" s="16">
        <v>15.69</v>
      </c>
      <c r="F2864" s="1">
        <v>44964</v>
      </c>
      <c r="G2864" t="s">
        <v>2041</v>
      </c>
      <c r="H2864">
        <v>3</v>
      </c>
      <c r="I2864" s="12">
        <f>Table16[[#This Row],[price]]*Table16[[#This Row],[quantity]]</f>
        <v>47.07</v>
      </c>
    </row>
    <row r="2865" spans="1:9" x14ac:dyDescent="0.3">
      <c r="A2865" t="s">
        <v>4882</v>
      </c>
      <c r="B2865" t="s">
        <v>564</v>
      </c>
      <c r="C2865" t="s">
        <v>2011</v>
      </c>
      <c r="D2865">
        <v>2</v>
      </c>
      <c r="E2865" s="16">
        <v>81.319999999999993</v>
      </c>
      <c r="F2865" s="1">
        <v>44248</v>
      </c>
      <c r="G2865" t="s">
        <v>2012</v>
      </c>
      <c r="H2865">
        <v>2</v>
      </c>
      <c r="I2865" s="12">
        <f>Table16[[#This Row],[price]]*Table16[[#This Row],[quantity]]</f>
        <v>162.63999999999999</v>
      </c>
    </row>
    <row r="2866" spans="1:9" x14ac:dyDescent="0.3">
      <c r="A2866" t="s">
        <v>4881</v>
      </c>
      <c r="B2866" t="s">
        <v>564</v>
      </c>
      <c r="C2866" t="s">
        <v>2001</v>
      </c>
      <c r="D2866">
        <v>5</v>
      </c>
      <c r="E2866" s="16">
        <v>1500.4</v>
      </c>
      <c r="F2866" s="1">
        <v>44644</v>
      </c>
      <c r="G2866" t="s">
        <v>2012</v>
      </c>
      <c r="H2866">
        <v>5</v>
      </c>
      <c r="I2866" s="12">
        <f>Table16[[#This Row],[price]]*Table16[[#This Row],[quantity]]</f>
        <v>7502</v>
      </c>
    </row>
    <row r="2867" spans="1:9" x14ac:dyDescent="0.3">
      <c r="A2867" t="s">
        <v>4883</v>
      </c>
      <c r="B2867" t="s">
        <v>564</v>
      </c>
      <c r="C2867" t="s">
        <v>2024</v>
      </c>
      <c r="D2867">
        <v>1</v>
      </c>
      <c r="E2867" s="16">
        <v>35.840000000000003</v>
      </c>
      <c r="F2867" s="1">
        <v>44913</v>
      </c>
      <c r="G2867" t="s">
        <v>2027</v>
      </c>
      <c r="H2867">
        <v>4</v>
      </c>
      <c r="I2867" s="12">
        <f>Table16[[#This Row],[price]]*Table16[[#This Row],[quantity]]</f>
        <v>35.840000000000003</v>
      </c>
    </row>
    <row r="2868" spans="1:9" x14ac:dyDescent="0.3">
      <c r="A2868" t="s">
        <v>4887</v>
      </c>
      <c r="B2868" t="s">
        <v>565</v>
      </c>
      <c r="C2868" t="s">
        <v>2011</v>
      </c>
      <c r="D2868">
        <v>4</v>
      </c>
      <c r="E2868" s="16">
        <v>162.63999999999999</v>
      </c>
      <c r="F2868" s="1">
        <v>44222</v>
      </c>
      <c r="G2868" t="s">
        <v>2004</v>
      </c>
      <c r="H2868">
        <v>2</v>
      </c>
      <c r="I2868" s="12">
        <f>Table16[[#This Row],[price]]*Table16[[#This Row],[quantity]]</f>
        <v>650.55999999999995</v>
      </c>
    </row>
    <row r="2869" spans="1:9" x14ac:dyDescent="0.3">
      <c r="A2869" t="s">
        <v>4888</v>
      </c>
      <c r="B2869" t="s">
        <v>565</v>
      </c>
      <c r="C2869" t="s">
        <v>2008</v>
      </c>
      <c r="D2869">
        <v>3</v>
      </c>
      <c r="E2869" s="16">
        <v>15.69</v>
      </c>
      <c r="F2869" s="1">
        <v>44418</v>
      </c>
      <c r="G2869" t="s">
        <v>2064</v>
      </c>
      <c r="H2869">
        <v>1</v>
      </c>
      <c r="I2869" s="12">
        <f>Table16[[#This Row],[price]]*Table16[[#This Row],[quantity]]</f>
        <v>47.07</v>
      </c>
    </row>
    <row r="2870" spans="1:9" x14ac:dyDescent="0.3">
      <c r="A2870" t="s">
        <v>4885</v>
      </c>
      <c r="B2870" t="s">
        <v>565</v>
      </c>
      <c r="C2870" t="s">
        <v>2011</v>
      </c>
      <c r="D2870">
        <v>1</v>
      </c>
      <c r="E2870" s="16">
        <v>40.659999999999997</v>
      </c>
      <c r="F2870" s="1">
        <v>44583</v>
      </c>
      <c r="G2870" t="s">
        <v>2027</v>
      </c>
      <c r="H2870">
        <v>5</v>
      </c>
      <c r="I2870" s="12">
        <f>Table16[[#This Row],[price]]*Table16[[#This Row],[quantity]]</f>
        <v>40.659999999999997</v>
      </c>
    </row>
    <row r="2871" spans="1:9" x14ac:dyDescent="0.3">
      <c r="A2871" t="s">
        <v>4884</v>
      </c>
      <c r="B2871" t="s">
        <v>565</v>
      </c>
      <c r="C2871" t="s">
        <v>2008</v>
      </c>
      <c r="D2871">
        <v>1</v>
      </c>
      <c r="E2871" s="16">
        <v>5.23</v>
      </c>
      <c r="F2871" s="1">
        <v>44855</v>
      </c>
      <c r="G2871" t="s">
        <v>2004</v>
      </c>
      <c r="H2871">
        <v>5</v>
      </c>
      <c r="I2871" s="12">
        <f>Table16[[#This Row],[price]]*Table16[[#This Row],[quantity]]</f>
        <v>5.23</v>
      </c>
    </row>
    <row r="2872" spans="1:9" x14ac:dyDescent="0.3">
      <c r="A2872" t="s">
        <v>4886</v>
      </c>
      <c r="B2872" t="s">
        <v>565</v>
      </c>
      <c r="C2872" t="s">
        <v>2011</v>
      </c>
      <c r="D2872">
        <v>1</v>
      </c>
      <c r="E2872" s="16">
        <v>40.659999999999997</v>
      </c>
      <c r="F2872" s="1">
        <v>44911</v>
      </c>
      <c r="G2872" t="s">
        <v>2004</v>
      </c>
      <c r="H2872">
        <v>5</v>
      </c>
      <c r="I2872" s="12">
        <f>Table16[[#This Row],[price]]*Table16[[#This Row],[quantity]]</f>
        <v>40.659999999999997</v>
      </c>
    </row>
    <row r="2873" spans="1:9" x14ac:dyDescent="0.3">
      <c r="A2873" t="s">
        <v>4889</v>
      </c>
      <c r="B2873" t="s">
        <v>566</v>
      </c>
      <c r="C2873" t="s">
        <v>2024</v>
      </c>
      <c r="D2873">
        <v>3</v>
      </c>
      <c r="E2873" s="16">
        <v>107.52</v>
      </c>
      <c r="F2873" s="1">
        <v>44540</v>
      </c>
      <c r="G2873" t="s">
        <v>2041</v>
      </c>
      <c r="H2873">
        <v>1</v>
      </c>
      <c r="I2873" s="12">
        <f>Table16[[#This Row],[price]]*Table16[[#This Row],[quantity]]</f>
        <v>322.56</v>
      </c>
    </row>
    <row r="2874" spans="1:9" x14ac:dyDescent="0.3">
      <c r="A2874" t="s">
        <v>4890</v>
      </c>
      <c r="B2874" t="s">
        <v>566</v>
      </c>
      <c r="C2874" t="s">
        <v>2024</v>
      </c>
      <c r="D2874">
        <v>1</v>
      </c>
      <c r="E2874" s="16">
        <v>35.840000000000003</v>
      </c>
      <c r="F2874" s="1">
        <v>44733</v>
      </c>
      <c r="G2874" t="s">
        <v>2002</v>
      </c>
      <c r="H2874">
        <v>2</v>
      </c>
      <c r="I2874" s="12">
        <f>Table16[[#This Row],[price]]*Table16[[#This Row],[quantity]]</f>
        <v>35.840000000000003</v>
      </c>
    </row>
    <row r="2875" spans="1:9" x14ac:dyDescent="0.3">
      <c r="A2875" t="s">
        <v>4894</v>
      </c>
      <c r="B2875" t="s">
        <v>567</v>
      </c>
      <c r="C2875" t="s">
        <v>2015</v>
      </c>
      <c r="D2875">
        <v>5</v>
      </c>
      <c r="E2875" s="16">
        <v>3000.85</v>
      </c>
      <c r="F2875" s="1">
        <v>44226</v>
      </c>
      <c r="G2875" t="s">
        <v>2004</v>
      </c>
      <c r="H2875">
        <v>4</v>
      </c>
      <c r="I2875" s="12">
        <f>Table16[[#This Row],[price]]*Table16[[#This Row],[quantity]]</f>
        <v>15004.25</v>
      </c>
    </row>
    <row r="2876" spans="1:9" x14ac:dyDescent="0.3">
      <c r="A2876" t="s">
        <v>4892</v>
      </c>
      <c r="B2876" t="s">
        <v>567</v>
      </c>
      <c r="C2876" t="s">
        <v>2011</v>
      </c>
      <c r="D2876">
        <v>5</v>
      </c>
      <c r="E2876" s="16">
        <v>203.3</v>
      </c>
      <c r="F2876" s="1">
        <v>44253</v>
      </c>
      <c r="G2876" t="s">
        <v>2004</v>
      </c>
      <c r="H2876">
        <v>1</v>
      </c>
      <c r="I2876" s="12">
        <f>Table16[[#This Row],[price]]*Table16[[#This Row],[quantity]]</f>
        <v>1016.5</v>
      </c>
    </row>
    <row r="2877" spans="1:9" x14ac:dyDescent="0.3">
      <c r="A2877" t="s">
        <v>4891</v>
      </c>
      <c r="B2877" t="s">
        <v>567</v>
      </c>
      <c r="C2877" t="s">
        <v>2008</v>
      </c>
      <c r="D2877">
        <v>2</v>
      </c>
      <c r="E2877" s="16">
        <v>10.46</v>
      </c>
      <c r="F2877" s="1">
        <v>44294</v>
      </c>
      <c r="G2877" t="s">
        <v>2002</v>
      </c>
      <c r="H2877">
        <v>3</v>
      </c>
      <c r="I2877" s="12">
        <f>Table16[[#This Row],[price]]*Table16[[#This Row],[quantity]]</f>
        <v>20.92</v>
      </c>
    </row>
    <row r="2878" spans="1:9" x14ac:dyDescent="0.3">
      <c r="A2878" t="s">
        <v>4895</v>
      </c>
      <c r="B2878" t="s">
        <v>567</v>
      </c>
      <c r="C2878" t="s">
        <v>2011</v>
      </c>
      <c r="D2878">
        <v>2</v>
      </c>
      <c r="E2878" s="16">
        <v>81.319999999999993</v>
      </c>
      <c r="F2878" s="1">
        <v>44534</v>
      </c>
      <c r="G2878" t="s">
        <v>2020</v>
      </c>
      <c r="H2878">
        <v>1</v>
      </c>
      <c r="I2878" s="12">
        <f>Table16[[#This Row],[price]]*Table16[[#This Row],[quantity]]</f>
        <v>162.63999999999999</v>
      </c>
    </row>
    <row r="2879" spans="1:9" x14ac:dyDescent="0.3">
      <c r="A2879" t="s">
        <v>4893</v>
      </c>
      <c r="B2879" t="s">
        <v>567</v>
      </c>
      <c r="C2879" t="s">
        <v>2011</v>
      </c>
      <c r="D2879">
        <v>2</v>
      </c>
      <c r="E2879" s="16">
        <v>81.319999999999993</v>
      </c>
      <c r="F2879" s="1">
        <v>44587</v>
      </c>
      <c r="G2879" t="s">
        <v>2064</v>
      </c>
      <c r="H2879">
        <v>1</v>
      </c>
      <c r="I2879" s="12">
        <f>Table16[[#This Row],[price]]*Table16[[#This Row],[quantity]]</f>
        <v>162.63999999999999</v>
      </c>
    </row>
    <row r="2880" spans="1:9" x14ac:dyDescent="0.3">
      <c r="A2880" t="s">
        <v>4896</v>
      </c>
      <c r="B2880" t="s">
        <v>567</v>
      </c>
      <c r="C2880" t="s">
        <v>2001</v>
      </c>
      <c r="D2880">
        <v>4</v>
      </c>
      <c r="E2880" s="16">
        <v>1200.32</v>
      </c>
      <c r="F2880" s="1">
        <v>44900</v>
      </c>
      <c r="G2880" t="s">
        <v>2027</v>
      </c>
      <c r="H2880">
        <v>4</v>
      </c>
      <c r="I2880" s="12">
        <f>Table16[[#This Row],[price]]*Table16[[#This Row],[quantity]]</f>
        <v>4801.28</v>
      </c>
    </row>
    <row r="2881" spans="1:9" x14ac:dyDescent="0.3">
      <c r="A2881" t="s">
        <v>4897</v>
      </c>
      <c r="B2881" t="s">
        <v>568</v>
      </c>
      <c r="C2881" t="s">
        <v>2015</v>
      </c>
      <c r="D2881">
        <v>3</v>
      </c>
      <c r="E2881" s="16">
        <v>1800.51</v>
      </c>
      <c r="F2881" s="1">
        <v>44328</v>
      </c>
      <c r="G2881" t="s">
        <v>2002</v>
      </c>
      <c r="H2881">
        <v>2</v>
      </c>
      <c r="I2881" s="12">
        <f>Table16[[#This Row],[price]]*Table16[[#This Row],[quantity]]</f>
        <v>5401.53</v>
      </c>
    </row>
    <row r="2882" spans="1:9" x14ac:dyDescent="0.3">
      <c r="A2882" t="s">
        <v>4899</v>
      </c>
      <c r="B2882" t="s">
        <v>568</v>
      </c>
      <c r="C2882" t="s">
        <v>2008</v>
      </c>
      <c r="D2882">
        <v>3</v>
      </c>
      <c r="E2882" s="16">
        <v>15.69</v>
      </c>
      <c r="F2882" s="1">
        <v>44373</v>
      </c>
      <c r="G2882" t="s">
        <v>2027</v>
      </c>
      <c r="H2882">
        <v>3</v>
      </c>
      <c r="I2882" s="12">
        <f>Table16[[#This Row],[price]]*Table16[[#This Row],[quantity]]</f>
        <v>47.07</v>
      </c>
    </row>
    <row r="2883" spans="1:9" x14ac:dyDescent="0.3">
      <c r="A2883" t="s">
        <v>4898</v>
      </c>
      <c r="B2883" t="s">
        <v>568</v>
      </c>
      <c r="C2883" t="s">
        <v>2024</v>
      </c>
      <c r="D2883">
        <v>4</v>
      </c>
      <c r="E2883" s="16">
        <v>143.36000000000001</v>
      </c>
      <c r="F2883" s="1">
        <v>44577</v>
      </c>
      <c r="G2883" t="s">
        <v>2002</v>
      </c>
      <c r="H2883">
        <v>2</v>
      </c>
      <c r="I2883" s="12">
        <f>Table16[[#This Row],[price]]*Table16[[#This Row],[quantity]]</f>
        <v>573.44000000000005</v>
      </c>
    </row>
    <row r="2884" spans="1:9" x14ac:dyDescent="0.3">
      <c r="A2884" t="s">
        <v>4900</v>
      </c>
      <c r="B2884" t="s">
        <v>568</v>
      </c>
      <c r="C2884" t="s">
        <v>2001</v>
      </c>
      <c r="D2884">
        <v>2</v>
      </c>
      <c r="E2884" s="16">
        <v>600.16</v>
      </c>
      <c r="F2884" s="1">
        <v>44740</v>
      </c>
      <c r="G2884" t="s">
        <v>2018</v>
      </c>
      <c r="H2884">
        <v>1</v>
      </c>
      <c r="I2884" s="12">
        <f>Table16[[#This Row],[price]]*Table16[[#This Row],[quantity]]</f>
        <v>1200.32</v>
      </c>
    </row>
    <row r="2885" spans="1:9" x14ac:dyDescent="0.3">
      <c r="A2885" t="s">
        <v>4901</v>
      </c>
      <c r="B2885" t="s">
        <v>568</v>
      </c>
      <c r="C2885" t="s">
        <v>2001</v>
      </c>
      <c r="D2885">
        <v>1</v>
      </c>
      <c r="E2885" s="16">
        <v>300.08</v>
      </c>
      <c r="F2885" s="1">
        <v>44823</v>
      </c>
      <c r="G2885" t="s">
        <v>2002</v>
      </c>
      <c r="H2885">
        <v>5</v>
      </c>
      <c r="I2885" s="12">
        <f>Table16[[#This Row],[price]]*Table16[[#This Row],[quantity]]</f>
        <v>300.08</v>
      </c>
    </row>
    <row r="2886" spans="1:9" x14ac:dyDescent="0.3">
      <c r="A2886" t="s">
        <v>4903</v>
      </c>
      <c r="B2886" t="s">
        <v>569</v>
      </c>
      <c r="C2886" t="s">
        <v>2008</v>
      </c>
      <c r="D2886">
        <v>5</v>
      </c>
      <c r="E2886" s="16">
        <v>26.15</v>
      </c>
      <c r="F2886" s="1">
        <v>44572</v>
      </c>
      <c r="G2886" t="s">
        <v>2004</v>
      </c>
      <c r="H2886">
        <v>1</v>
      </c>
      <c r="I2886" s="12">
        <f>Table16[[#This Row],[price]]*Table16[[#This Row],[quantity]]</f>
        <v>130.75</v>
      </c>
    </row>
    <row r="2887" spans="1:9" x14ac:dyDescent="0.3">
      <c r="A2887" t="s">
        <v>4904</v>
      </c>
      <c r="B2887" t="s">
        <v>569</v>
      </c>
      <c r="C2887" t="s">
        <v>2008</v>
      </c>
      <c r="D2887">
        <v>2</v>
      </c>
      <c r="E2887" s="16">
        <v>10.46</v>
      </c>
      <c r="F2887" s="1">
        <v>44883</v>
      </c>
      <c r="G2887" t="s">
        <v>2027</v>
      </c>
      <c r="H2887">
        <v>5</v>
      </c>
      <c r="I2887" s="12">
        <f>Table16[[#This Row],[price]]*Table16[[#This Row],[quantity]]</f>
        <v>20.92</v>
      </c>
    </row>
    <row r="2888" spans="1:9" x14ac:dyDescent="0.3">
      <c r="A2888" t="s">
        <v>4902</v>
      </c>
      <c r="B2888" t="s">
        <v>569</v>
      </c>
      <c r="C2888" t="s">
        <v>2008</v>
      </c>
      <c r="D2888">
        <v>4</v>
      </c>
      <c r="E2888" s="16">
        <v>20.92</v>
      </c>
      <c r="F2888" s="1">
        <v>44942</v>
      </c>
      <c r="G2888" t="s">
        <v>2004</v>
      </c>
      <c r="H2888">
        <v>4</v>
      </c>
      <c r="I2888" s="12">
        <f>Table16[[#This Row],[price]]*Table16[[#This Row],[quantity]]</f>
        <v>83.68</v>
      </c>
    </row>
    <row r="2889" spans="1:9" x14ac:dyDescent="0.3">
      <c r="A2889" t="s">
        <v>4905</v>
      </c>
      <c r="B2889" t="s">
        <v>570</v>
      </c>
      <c r="C2889" t="s">
        <v>2001</v>
      </c>
      <c r="D2889">
        <v>3</v>
      </c>
      <c r="E2889" s="16">
        <v>900.24</v>
      </c>
      <c r="F2889" s="1">
        <v>44440</v>
      </c>
      <c r="G2889" t="s">
        <v>2058</v>
      </c>
      <c r="H2889">
        <v>4</v>
      </c>
      <c r="I2889" s="12">
        <f>Table16[[#This Row],[price]]*Table16[[#This Row],[quantity]]</f>
        <v>2700.7200000000003</v>
      </c>
    </row>
    <row r="2890" spans="1:9" x14ac:dyDescent="0.3">
      <c r="A2890" t="s">
        <v>4909</v>
      </c>
      <c r="B2890" t="s">
        <v>570</v>
      </c>
      <c r="C2890" t="s">
        <v>2001</v>
      </c>
      <c r="D2890">
        <v>2</v>
      </c>
      <c r="E2890" s="16">
        <v>600.16</v>
      </c>
      <c r="F2890" s="1">
        <v>44505</v>
      </c>
      <c r="G2890" t="s">
        <v>2012</v>
      </c>
      <c r="H2890">
        <v>4</v>
      </c>
      <c r="I2890" s="12">
        <f>Table16[[#This Row],[price]]*Table16[[#This Row],[quantity]]</f>
        <v>1200.32</v>
      </c>
    </row>
    <row r="2891" spans="1:9" x14ac:dyDescent="0.3">
      <c r="A2891" t="s">
        <v>4907</v>
      </c>
      <c r="B2891" t="s">
        <v>570</v>
      </c>
      <c r="C2891" t="s">
        <v>2001</v>
      </c>
      <c r="D2891">
        <v>4</v>
      </c>
      <c r="E2891" s="16">
        <v>1200.32</v>
      </c>
      <c r="F2891" s="1">
        <v>44561</v>
      </c>
      <c r="G2891" t="s">
        <v>2018</v>
      </c>
      <c r="H2891">
        <v>5</v>
      </c>
      <c r="I2891" s="12">
        <f>Table16[[#This Row],[price]]*Table16[[#This Row],[quantity]]</f>
        <v>4801.28</v>
      </c>
    </row>
    <row r="2892" spans="1:9" x14ac:dyDescent="0.3">
      <c r="A2892" t="s">
        <v>4908</v>
      </c>
      <c r="B2892" t="s">
        <v>570</v>
      </c>
      <c r="C2892" t="s">
        <v>2015</v>
      </c>
      <c r="D2892">
        <v>2</v>
      </c>
      <c r="E2892" s="16">
        <v>1200.3399999999999</v>
      </c>
      <c r="F2892" s="1">
        <v>44702</v>
      </c>
      <c r="G2892" t="s">
        <v>2020</v>
      </c>
      <c r="H2892">
        <v>2</v>
      </c>
      <c r="I2892" s="12">
        <f>Table16[[#This Row],[price]]*Table16[[#This Row],[quantity]]</f>
        <v>2400.6799999999998</v>
      </c>
    </row>
    <row r="2893" spans="1:9" x14ac:dyDescent="0.3">
      <c r="A2893" t="s">
        <v>4906</v>
      </c>
      <c r="B2893" t="s">
        <v>570</v>
      </c>
      <c r="C2893" t="s">
        <v>2017</v>
      </c>
      <c r="D2893">
        <v>2</v>
      </c>
      <c r="E2893" s="16">
        <v>2100</v>
      </c>
      <c r="F2893" s="1">
        <v>44785</v>
      </c>
      <c r="G2893" t="s">
        <v>2027</v>
      </c>
      <c r="H2893">
        <v>5</v>
      </c>
      <c r="I2893" s="12">
        <f>Table16[[#This Row],[price]]*Table16[[#This Row],[quantity]]</f>
        <v>4200</v>
      </c>
    </row>
    <row r="2894" spans="1:9" x14ac:dyDescent="0.3">
      <c r="A2894" t="s">
        <v>4910</v>
      </c>
      <c r="B2894" t="s">
        <v>570</v>
      </c>
      <c r="C2894" t="s">
        <v>2015</v>
      </c>
      <c r="D2894">
        <v>5</v>
      </c>
      <c r="E2894" s="16">
        <v>3000.85</v>
      </c>
      <c r="F2894" s="1">
        <v>44815</v>
      </c>
      <c r="G2894" t="s">
        <v>2002</v>
      </c>
      <c r="H2894">
        <v>3</v>
      </c>
      <c r="I2894" s="12">
        <f>Table16[[#This Row],[price]]*Table16[[#This Row],[quantity]]</f>
        <v>15004.25</v>
      </c>
    </row>
    <row r="2895" spans="1:9" x14ac:dyDescent="0.3">
      <c r="A2895" t="s">
        <v>4912</v>
      </c>
      <c r="B2895" t="s">
        <v>571</v>
      </c>
      <c r="C2895" t="s">
        <v>2006</v>
      </c>
      <c r="D2895">
        <v>4</v>
      </c>
      <c r="E2895" s="16">
        <v>60.6</v>
      </c>
      <c r="F2895" s="1">
        <v>44540</v>
      </c>
      <c r="G2895" t="s">
        <v>2027</v>
      </c>
      <c r="H2895">
        <v>4</v>
      </c>
      <c r="I2895" s="12">
        <f>Table16[[#This Row],[price]]*Table16[[#This Row],[quantity]]</f>
        <v>242.4</v>
      </c>
    </row>
    <row r="2896" spans="1:9" x14ac:dyDescent="0.3">
      <c r="A2896" t="s">
        <v>4911</v>
      </c>
      <c r="B2896" t="s">
        <v>571</v>
      </c>
      <c r="C2896" t="s">
        <v>2001</v>
      </c>
      <c r="D2896">
        <v>2</v>
      </c>
      <c r="E2896" s="16">
        <v>600.16</v>
      </c>
      <c r="F2896" s="1">
        <v>44651</v>
      </c>
      <c r="G2896" t="s">
        <v>2018</v>
      </c>
      <c r="H2896">
        <v>5</v>
      </c>
      <c r="I2896" s="12">
        <f>Table16[[#This Row],[price]]*Table16[[#This Row],[quantity]]</f>
        <v>1200.32</v>
      </c>
    </row>
    <row r="2897" spans="1:9" x14ac:dyDescent="0.3">
      <c r="A2897" t="s">
        <v>4913</v>
      </c>
      <c r="B2897" t="s">
        <v>572</v>
      </c>
      <c r="C2897" t="s">
        <v>2024</v>
      </c>
      <c r="D2897">
        <v>3</v>
      </c>
      <c r="E2897" s="16">
        <v>107.52</v>
      </c>
      <c r="F2897" s="1">
        <v>44591</v>
      </c>
      <c r="G2897" t="s">
        <v>2018</v>
      </c>
      <c r="H2897">
        <v>2</v>
      </c>
      <c r="I2897" s="12">
        <f>Table16[[#This Row],[price]]*Table16[[#This Row],[quantity]]</f>
        <v>322.56</v>
      </c>
    </row>
    <row r="2898" spans="1:9" x14ac:dyDescent="0.3">
      <c r="A2898" t="s">
        <v>4915</v>
      </c>
      <c r="B2898" t="s">
        <v>572</v>
      </c>
      <c r="C2898" t="s">
        <v>2024</v>
      </c>
      <c r="D2898">
        <v>5</v>
      </c>
      <c r="E2898" s="16">
        <v>179.2</v>
      </c>
      <c r="F2898" s="1">
        <v>44735</v>
      </c>
      <c r="G2898" t="s">
        <v>2027</v>
      </c>
      <c r="H2898">
        <v>2</v>
      </c>
      <c r="I2898" s="12">
        <f>Table16[[#This Row],[price]]*Table16[[#This Row],[quantity]]</f>
        <v>896</v>
      </c>
    </row>
    <row r="2899" spans="1:9" x14ac:dyDescent="0.3">
      <c r="A2899" t="s">
        <v>4914</v>
      </c>
      <c r="B2899" t="s">
        <v>572</v>
      </c>
      <c r="C2899" t="s">
        <v>2001</v>
      </c>
      <c r="D2899">
        <v>3</v>
      </c>
      <c r="E2899" s="16">
        <v>900.24</v>
      </c>
      <c r="F2899" s="1">
        <v>44795</v>
      </c>
      <c r="G2899" t="s">
        <v>2027</v>
      </c>
      <c r="H2899">
        <v>2</v>
      </c>
      <c r="I2899" s="12">
        <f>Table16[[#This Row],[price]]*Table16[[#This Row],[quantity]]</f>
        <v>2700.7200000000003</v>
      </c>
    </row>
    <row r="2900" spans="1:9" x14ac:dyDescent="0.3">
      <c r="A2900" t="s">
        <v>4916</v>
      </c>
      <c r="B2900" t="s">
        <v>573</v>
      </c>
      <c r="C2900" t="s">
        <v>2024</v>
      </c>
      <c r="D2900">
        <v>4</v>
      </c>
      <c r="E2900" s="16">
        <v>143.36000000000001</v>
      </c>
      <c r="F2900" s="1">
        <v>44515</v>
      </c>
      <c r="G2900" t="s">
        <v>2027</v>
      </c>
      <c r="H2900">
        <v>2</v>
      </c>
      <c r="I2900" s="12">
        <f>Table16[[#This Row],[price]]*Table16[[#This Row],[quantity]]</f>
        <v>573.44000000000005</v>
      </c>
    </row>
    <row r="2901" spans="1:9" x14ac:dyDescent="0.3">
      <c r="A2901" t="s">
        <v>4917</v>
      </c>
      <c r="B2901" t="s">
        <v>573</v>
      </c>
      <c r="C2901" t="s">
        <v>2006</v>
      </c>
      <c r="D2901">
        <v>5</v>
      </c>
      <c r="E2901" s="16">
        <v>75.75</v>
      </c>
      <c r="F2901" s="1">
        <v>44768</v>
      </c>
      <c r="G2901" t="s">
        <v>2002</v>
      </c>
      <c r="H2901">
        <v>5</v>
      </c>
      <c r="I2901" s="12">
        <f>Table16[[#This Row],[price]]*Table16[[#This Row],[quantity]]</f>
        <v>378.75</v>
      </c>
    </row>
    <row r="2902" spans="1:9" x14ac:dyDescent="0.3">
      <c r="A2902" t="s">
        <v>4920</v>
      </c>
      <c r="B2902" t="s">
        <v>574</v>
      </c>
      <c r="C2902" t="s">
        <v>2017</v>
      </c>
      <c r="D2902">
        <v>2</v>
      </c>
      <c r="E2902" s="16">
        <v>2100</v>
      </c>
      <c r="F2902" s="1">
        <v>44237</v>
      </c>
      <c r="G2902" t="s">
        <v>2027</v>
      </c>
      <c r="H2902">
        <v>4</v>
      </c>
      <c r="I2902" s="12">
        <f>Table16[[#This Row],[price]]*Table16[[#This Row],[quantity]]</f>
        <v>4200</v>
      </c>
    </row>
    <row r="2903" spans="1:9" x14ac:dyDescent="0.3">
      <c r="A2903" t="s">
        <v>4918</v>
      </c>
      <c r="B2903" t="s">
        <v>574</v>
      </c>
      <c r="C2903" t="s">
        <v>2001</v>
      </c>
      <c r="D2903">
        <v>2</v>
      </c>
      <c r="E2903" s="16">
        <v>600.16</v>
      </c>
      <c r="F2903" s="1">
        <v>44251</v>
      </c>
      <c r="G2903" t="s">
        <v>2027</v>
      </c>
      <c r="H2903">
        <v>2</v>
      </c>
      <c r="I2903" s="12">
        <f>Table16[[#This Row],[price]]*Table16[[#This Row],[quantity]]</f>
        <v>1200.32</v>
      </c>
    </row>
    <row r="2904" spans="1:9" x14ac:dyDescent="0.3">
      <c r="A2904" t="s">
        <v>4923</v>
      </c>
      <c r="B2904" t="s">
        <v>574</v>
      </c>
      <c r="C2904" t="s">
        <v>2001</v>
      </c>
      <c r="D2904">
        <v>4</v>
      </c>
      <c r="E2904" s="16">
        <v>1200.32</v>
      </c>
      <c r="F2904" s="1">
        <v>44261</v>
      </c>
      <c r="G2904" t="s">
        <v>2027</v>
      </c>
      <c r="H2904">
        <v>5</v>
      </c>
      <c r="I2904" s="12">
        <f>Table16[[#This Row],[price]]*Table16[[#This Row],[quantity]]</f>
        <v>4801.28</v>
      </c>
    </row>
    <row r="2905" spans="1:9" x14ac:dyDescent="0.3">
      <c r="A2905" t="s">
        <v>4922</v>
      </c>
      <c r="B2905" t="s">
        <v>574</v>
      </c>
      <c r="C2905" t="s">
        <v>2011</v>
      </c>
      <c r="D2905">
        <v>4</v>
      </c>
      <c r="E2905" s="16">
        <v>162.63999999999999</v>
      </c>
      <c r="F2905" s="1">
        <v>44588</v>
      </c>
      <c r="G2905" t="s">
        <v>2004</v>
      </c>
      <c r="H2905">
        <v>1</v>
      </c>
      <c r="I2905" s="12">
        <f>Table16[[#This Row],[price]]*Table16[[#This Row],[quantity]]</f>
        <v>650.55999999999995</v>
      </c>
    </row>
    <row r="2906" spans="1:9" x14ac:dyDescent="0.3">
      <c r="A2906" t="s">
        <v>4921</v>
      </c>
      <c r="B2906" t="s">
        <v>574</v>
      </c>
      <c r="C2906" t="s">
        <v>2024</v>
      </c>
      <c r="D2906">
        <v>5</v>
      </c>
      <c r="E2906" s="16">
        <v>179.2</v>
      </c>
      <c r="F2906" s="1">
        <v>44625</v>
      </c>
      <c r="G2906" t="s">
        <v>2018</v>
      </c>
      <c r="H2906">
        <v>2</v>
      </c>
      <c r="I2906" s="12">
        <f>Table16[[#This Row],[price]]*Table16[[#This Row],[quantity]]</f>
        <v>896</v>
      </c>
    </row>
    <row r="2907" spans="1:9" x14ac:dyDescent="0.3">
      <c r="A2907" t="s">
        <v>4919</v>
      </c>
      <c r="B2907" t="s">
        <v>574</v>
      </c>
      <c r="C2907" t="s">
        <v>2011</v>
      </c>
      <c r="D2907">
        <v>4</v>
      </c>
      <c r="E2907" s="16">
        <v>162.63999999999999</v>
      </c>
      <c r="F2907" s="1">
        <v>44768</v>
      </c>
      <c r="G2907" t="s">
        <v>2027</v>
      </c>
      <c r="H2907">
        <v>2</v>
      </c>
      <c r="I2907" s="12">
        <f>Table16[[#This Row],[price]]*Table16[[#This Row],[quantity]]</f>
        <v>650.55999999999995</v>
      </c>
    </row>
    <row r="2908" spans="1:9" x14ac:dyDescent="0.3">
      <c r="A2908" t="s">
        <v>4927</v>
      </c>
      <c r="B2908" t="s">
        <v>575</v>
      </c>
      <c r="C2908" t="s">
        <v>2011</v>
      </c>
      <c r="D2908">
        <v>5</v>
      </c>
      <c r="E2908" s="16">
        <v>203.3</v>
      </c>
      <c r="F2908" s="1">
        <v>44402</v>
      </c>
      <c r="G2908" t="s">
        <v>2004</v>
      </c>
      <c r="H2908">
        <v>4</v>
      </c>
      <c r="I2908" s="12">
        <f>Table16[[#This Row],[price]]*Table16[[#This Row],[quantity]]</f>
        <v>1016.5</v>
      </c>
    </row>
    <row r="2909" spans="1:9" x14ac:dyDescent="0.3">
      <c r="A2909" t="s">
        <v>4926</v>
      </c>
      <c r="B2909" t="s">
        <v>575</v>
      </c>
      <c r="C2909" t="s">
        <v>2015</v>
      </c>
      <c r="D2909">
        <v>4</v>
      </c>
      <c r="E2909" s="16">
        <v>2400.6799999999998</v>
      </c>
      <c r="F2909" s="1">
        <v>44598</v>
      </c>
      <c r="G2909" t="s">
        <v>2004</v>
      </c>
      <c r="H2909">
        <v>4</v>
      </c>
      <c r="I2909" s="12">
        <f>Table16[[#This Row],[price]]*Table16[[#This Row],[quantity]]</f>
        <v>9602.7199999999993</v>
      </c>
    </row>
    <row r="2910" spans="1:9" x14ac:dyDescent="0.3">
      <c r="A2910" t="s">
        <v>4930</v>
      </c>
      <c r="B2910" t="s">
        <v>575</v>
      </c>
      <c r="C2910" t="s">
        <v>2015</v>
      </c>
      <c r="D2910">
        <v>5</v>
      </c>
      <c r="E2910" s="16">
        <v>3000.85</v>
      </c>
      <c r="F2910" s="1">
        <v>44678</v>
      </c>
      <c r="G2910" t="s">
        <v>2041</v>
      </c>
      <c r="H2910">
        <v>5</v>
      </c>
      <c r="I2910" s="12">
        <f>Table16[[#This Row],[price]]*Table16[[#This Row],[quantity]]</f>
        <v>15004.25</v>
      </c>
    </row>
    <row r="2911" spans="1:9" x14ac:dyDescent="0.3">
      <c r="A2911" t="s">
        <v>4928</v>
      </c>
      <c r="B2911" t="s">
        <v>575</v>
      </c>
      <c r="C2911" t="s">
        <v>2011</v>
      </c>
      <c r="D2911">
        <v>3</v>
      </c>
      <c r="E2911" s="16">
        <v>121.98</v>
      </c>
      <c r="F2911" s="1">
        <v>44729</v>
      </c>
      <c r="G2911" t="s">
        <v>2027</v>
      </c>
      <c r="H2911">
        <v>5</v>
      </c>
      <c r="I2911" s="12">
        <f>Table16[[#This Row],[price]]*Table16[[#This Row],[quantity]]</f>
        <v>365.94</v>
      </c>
    </row>
    <row r="2912" spans="1:9" x14ac:dyDescent="0.3">
      <c r="A2912" t="s">
        <v>4925</v>
      </c>
      <c r="B2912" t="s">
        <v>575</v>
      </c>
      <c r="C2912" t="s">
        <v>2001</v>
      </c>
      <c r="D2912">
        <v>2</v>
      </c>
      <c r="E2912" s="16">
        <v>600.16</v>
      </c>
      <c r="F2912" s="1">
        <v>44761</v>
      </c>
      <c r="G2912" t="s">
        <v>2004</v>
      </c>
      <c r="H2912">
        <v>5</v>
      </c>
      <c r="I2912" s="12">
        <f>Table16[[#This Row],[price]]*Table16[[#This Row],[quantity]]</f>
        <v>1200.32</v>
      </c>
    </row>
    <row r="2913" spans="1:9" x14ac:dyDescent="0.3">
      <c r="A2913" t="s">
        <v>4929</v>
      </c>
      <c r="B2913" t="s">
        <v>575</v>
      </c>
      <c r="C2913" t="s">
        <v>2017</v>
      </c>
      <c r="D2913">
        <v>4</v>
      </c>
      <c r="E2913" s="16">
        <v>4200</v>
      </c>
      <c r="F2913" s="1">
        <v>44802</v>
      </c>
      <c r="G2913" t="s">
        <v>2027</v>
      </c>
      <c r="H2913">
        <v>1</v>
      </c>
      <c r="I2913" s="12">
        <f>Table16[[#This Row],[price]]*Table16[[#This Row],[quantity]]</f>
        <v>16800</v>
      </c>
    </row>
    <row r="2914" spans="1:9" x14ac:dyDescent="0.3">
      <c r="A2914" t="s">
        <v>4924</v>
      </c>
      <c r="B2914" t="s">
        <v>575</v>
      </c>
      <c r="C2914" t="s">
        <v>2001</v>
      </c>
      <c r="D2914">
        <v>3</v>
      </c>
      <c r="E2914" s="16">
        <v>900.24</v>
      </c>
      <c r="F2914" s="1">
        <v>44883</v>
      </c>
      <c r="G2914" t="s">
        <v>2020</v>
      </c>
      <c r="H2914">
        <v>3</v>
      </c>
      <c r="I2914" s="12">
        <f>Table16[[#This Row],[price]]*Table16[[#This Row],[quantity]]</f>
        <v>2700.7200000000003</v>
      </c>
    </row>
    <row r="2915" spans="1:9" x14ac:dyDescent="0.3">
      <c r="A2915" t="s">
        <v>4932</v>
      </c>
      <c r="B2915" t="s">
        <v>575</v>
      </c>
      <c r="C2915" t="s">
        <v>2024</v>
      </c>
      <c r="D2915">
        <v>1</v>
      </c>
      <c r="E2915" s="16">
        <v>35.840000000000003</v>
      </c>
      <c r="F2915" s="1">
        <v>44934</v>
      </c>
      <c r="G2915" t="s">
        <v>2002</v>
      </c>
      <c r="H2915">
        <v>4</v>
      </c>
      <c r="I2915" s="12">
        <f>Table16[[#This Row],[price]]*Table16[[#This Row],[quantity]]</f>
        <v>35.840000000000003</v>
      </c>
    </row>
    <row r="2916" spans="1:9" x14ac:dyDescent="0.3">
      <c r="A2916" t="s">
        <v>4931</v>
      </c>
      <c r="B2916" t="s">
        <v>575</v>
      </c>
      <c r="C2916" t="s">
        <v>2001</v>
      </c>
      <c r="D2916">
        <v>3</v>
      </c>
      <c r="E2916" s="16">
        <v>900.24</v>
      </c>
      <c r="F2916" s="1">
        <v>44961</v>
      </c>
      <c r="G2916" t="s">
        <v>2027</v>
      </c>
      <c r="H2916">
        <v>4</v>
      </c>
      <c r="I2916" s="12">
        <f>Table16[[#This Row],[price]]*Table16[[#This Row],[quantity]]</f>
        <v>2700.7200000000003</v>
      </c>
    </row>
    <row r="2917" spans="1:9" x14ac:dyDescent="0.3">
      <c r="A2917" t="s">
        <v>4936</v>
      </c>
      <c r="B2917" t="s">
        <v>576</v>
      </c>
      <c r="C2917" t="s">
        <v>2017</v>
      </c>
      <c r="D2917">
        <v>3</v>
      </c>
      <c r="E2917" s="16">
        <v>3150</v>
      </c>
      <c r="F2917" s="1">
        <v>44275</v>
      </c>
      <c r="G2917" t="s">
        <v>2012</v>
      </c>
      <c r="H2917">
        <v>3</v>
      </c>
      <c r="I2917" s="12">
        <f>Table16[[#This Row],[price]]*Table16[[#This Row],[quantity]]</f>
        <v>9450</v>
      </c>
    </row>
    <row r="2918" spans="1:9" x14ac:dyDescent="0.3">
      <c r="A2918" t="s">
        <v>4934</v>
      </c>
      <c r="B2918" t="s">
        <v>576</v>
      </c>
      <c r="C2918" t="s">
        <v>2017</v>
      </c>
      <c r="D2918">
        <v>4</v>
      </c>
      <c r="E2918" s="16">
        <v>4200</v>
      </c>
      <c r="F2918" s="1">
        <v>44578</v>
      </c>
      <c r="G2918" t="s">
        <v>2002</v>
      </c>
      <c r="H2918">
        <v>1</v>
      </c>
      <c r="I2918" s="12">
        <f>Table16[[#This Row],[price]]*Table16[[#This Row],[quantity]]</f>
        <v>16800</v>
      </c>
    </row>
    <row r="2919" spans="1:9" x14ac:dyDescent="0.3">
      <c r="A2919" t="s">
        <v>4935</v>
      </c>
      <c r="B2919" t="s">
        <v>576</v>
      </c>
      <c r="C2919" t="s">
        <v>2024</v>
      </c>
      <c r="D2919">
        <v>1</v>
      </c>
      <c r="E2919" s="16">
        <v>35.840000000000003</v>
      </c>
      <c r="F2919" s="1">
        <v>44638</v>
      </c>
      <c r="G2919" t="s">
        <v>2009</v>
      </c>
      <c r="H2919">
        <v>5</v>
      </c>
      <c r="I2919" s="12">
        <f>Table16[[#This Row],[price]]*Table16[[#This Row],[quantity]]</f>
        <v>35.840000000000003</v>
      </c>
    </row>
    <row r="2920" spans="1:9" x14ac:dyDescent="0.3">
      <c r="A2920" t="s">
        <v>4933</v>
      </c>
      <c r="B2920" t="s">
        <v>576</v>
      </c>
      <c r="C2920" t="s">
        <v>2008</v>
      </c>
      <c r="D2920">
        <v>1</v>
      </c>
      <c r="E2920" s="16">
        <v>5.23</v>
      </c>
      <c r="F2920" s="1">
        <v>44655</v>
      </c>
      <c r="G2920" t="s">
        <v>2004</v>
      </c>
      <c r="H2920">
        <v>5</v>
      </c>
      <c r="I2920" s="12">
        <f>Table16[[#This Row],[price]]*Table16[[#This Row],[quantity]]</f>
        <v>5.23</v>
      </c>
    </row>
    <row r="2921" spans="1:9" x14ac:dyDescent="0.3">
      <c r="A2921" t="s">
        <v>4940</v>
      </c>
      <c r="B2921" t="s">
        <v>577</v>
      </c>
      <c r="C2921" t="s">
        <v>2006</v>
      </c>
      <c r="D2921">
        <v>1</v>
      </c>
      <c r="E2921" s="16">
        <v>15.15</v>
      </c>
      <c r="F2921" s="1">
        <v>44276</v>
      </c>
      <c r="G2921" t="s">
        <v>2002</v>
      </c>
      <c r="H2921">
        <v>1</v>
      </c>
      <c r="I2921" s="12">
        <f>Table16[[#This Row],[price]]*Table16[[#This Row],[quantity]]</f>
        <v>15.15</v>
      </c>
    </row>
    <row r="2922" spans="1:9" x14ac:dyDescent="0.3">
      <c r="A2922" t="s">
        <v>4942</v>
      </c>
      <c r="B2922" t="s">
        <v>577</v>
      </c>
      <c r="C2922" t="s">
        <v>2001</v>
      </c>
      <c r="D2922">
        <v>4</v>
      </c>
      <c r="E2922" s="16">
        <v>1200.32</v>
      </c>
      <c r="F2922" s="1">
        <v>44320</v>
      </c>
      <c r="G2922" t="s">
        <v>2064</v>
      </c>
      <c r="H2922">
        <v>1</v>
      </c>
      <c r="I2922" s="12">
        <f>Table16[[#This Row],[price]]*Table16[[#This Row],[quantity]]</f>
        <v>4801.28</v>
      </c>
    </row>
    <row r="2923" spans="1:9" x14ac:dyDescent="0.3">
      <c r="A2923" t="s">
        <v>4943</v>
      </c>
      <c r="B2923" t="s">
        <v>577</v>
      </c>
      <c r="C2923" t="s">
        <v>2015</v>
      </c>
      <c r="D2923">
        <v>3</v>
      </c>
      <c r="E2923" s="16">
        <v>1800.51</v>
      </c>
      <c r="F2923" s="1">
        <v>44614</v>
      </c>
      <c r="G2923" t="s">
        <v>2002</v>
      </c>
      <c r="H2923">
        <v>3</v>
      </c>
      <c r="I2923" s="12">
        <f>Table16[[#This Row],[price]]*Table16[[#This Row],[quantity]]</f>
        <v>5401.53</v>
      </c>
    </row>
    <row r="2924" spans="1:9" x14ac:dyDescent="0.3">
      <c r="A2924" t="s">
        <v>4938</v>
      </c>
      <c r="B2924" t="s">
        <v>577</v>
      </c>
      <c r="C2924" t="s">
        <v>2001</v>
      </c>
      <c r="D2924">
        <v>3</v>
      </c>
      <c r="E2924" s="16">
        <v>900.24</v>
      </c>
      <c r="F2924" s="1">
        <v>44674</v>
      </c>
      <c r="G2924" t="s">
        <v>2002</v>
      </c>
      <c r="H2924">
        <v>1</v>
      </c>
      <c r="I2924" s="12">
        <f>Table16[[#This Row],[price]]*Table16[[#This Row],[quantity]]</f>
        <v>2700.7200000000003</v>
      </c>
    </row>
    <row r="2925" spans="1:9" x14ac:dyDescent="0.3">
      <c r="A2925" t="s">
        <v>4941</v>
      </c>
      <c r="B2925" t="s">
        <v>577</v>
      </c>
      <c r="C2925" t="s">
        <v>2008</v>
      </c>
      <c r="D2925">
        <v>3</v>
      </c>
      <c r="E2925" s="16">
        <v>15.69</v>
      </c>
      <c r="F2925" s="1">
        <v>44684</v>
      </c>
      <c r="G2925" t="s">
        <v>2004</v>
      </c>
      <c r="H2925">
        <v>5</v>
      </c>
      <c r="I2925" s="12">
        <f>Table16[[#This Row],[price]]*Table16[[#This Row],[quantity]]</f>
        <v>47.07</v>
      </c>
    </row>
    <row r="2926" spans="1:9" x14ac:dyDescent="0.3">
      <c r="A2926" t="s">
        <v>4937</v>
      </c>
      <c r="B2926" t="s">
        <v>577</v>
      </c>
      <c r="C2926" t="s">
        <v>2015</v>
      </c>
      <c r="D2926">
        <v>1</v>
      </c>
      <c r="E2926" s="16">
        <v>600.16999999999996</v>
      </c>
      <c r="F2926" s="1">
        <v>44713</v>
      </c>
      <c r="G2926" t="s">
        <v>2004</v>
      </c>
      <c r="H2926">
        <v>2</v>
      </c>
      <c r="I2926" s="12">
        <f>Table16[[#This Row],[price]]*Table16[[#This Row],[quantity]]</f>
        <v>600.16999999999996</v>
      </c>
    </row>
    <row r="2927" spans="1:9" x14ac:dyDescent="0.3">
      <c r="A2927" t="s">
        <v>4939</v>
      </c>
      <c r="B2927" t="s">
        <v>577</v>
      </c>
      <c r="C2927" t="s">
        <v>2001</v>
      </c>
      <c r="D2927">
        <v>5</v>
      </c>
      <c r="E2927" s="16">
        <v>1500.4</v>
      </c>
      <c r="F2927" s="1">
        <v>44819</v>
      </c>
      <c r="G2927" t="s">
        <v>2004</v>
      </c>
      <c r="H2927">
        <v>5</v>
      </c>
      <c r="I2927" s="12">
        <f>Table16[[#This Row],[price]]*Table16[[#This Row],[quantity]]</f>
        <v>7502</v>
      </c>
    </row>
    <row r="2928" spans="1:9" x14ac:dyDescent="0.3">
      <c r="A2928" t="s">
        <v>4945</v>
      </c>
      <c r="B2928" t="s">
        <v>578</v>
      </c>
      <c r="C2928" t="s">
        <v>2001</v>
      </c>
      <c r="D2928">
        <v>2</v>
      </c>
      <c r="E2928" s="16">
        <v>600.16</v>
      </c>
      <c r="F2928" s="1">
        <v>44373</v>
      </c>
      <c r="G2928" t="s">
        <v>2002</v>
      </c>
      <c r="H2928">
        <v>1</v>
      </c>
      <c r="I2928" s="12">
        <f>Table16[[#This Row],[price]]*Table16[[#This Row],[quantity]]</f>
        <v>1200.32</v>
      </c>
    </row>
    <row r="2929" spans="1:9" x14ac:dyDescent="0.3">
      <c r="A2929" t="s">
        <v>4944</v>
      </c>
      <c r="B2929" t="s">
        <v>578</v>
      </c>
      <c r="C2929" t="s">
        <v>2024</v>
      </c>
      <c r="D2929">
        <v>4</v>
      </c>
      <c r="E2929" s="16">
        <v>143.36000000000001</v>
      </c>
      <c r="F2929" s="1">
        <v>44522</v>
      </c>
      <c r="G2929" t="s">
        <v>2002</v>
      </c>
      <c r="H2929">
        <v>2</v>
      </c>
      <c r="I2929" s="12">
        <f>Table16[[#This Row],[price]]*Table16[[#This Row],[quantity]]</f>
        <v>573.44000000000005</v>
      </c>
    </row>
    <row r="2930" spans="1:9" x14ac:dyDescent="0.3">
      <c r="A2930" t="s">
        <v>4947</v>
      </c>
      <c r="B2930" t="s">
        <v>578</v>
      </c>
      <c r="C2930" t="s">
        <v>2001</v>
      </c>
      <c r="D2930">
        <v>4</v>
      </c>
      <c r="E2930" s="16">
        <v>1200.32</v>
      </c>
      <c r="F2930" s="1">
        <v>44900</v>
      </c>
      <c r="G2930" t="s">
        <v>2058</v>
      </c>
      <c r="H2930">
        <v>5</v>
      </c>
      <c r="I2930" s="12">
        <f>Table16[[#This Row],[price]]*Table16[[#This Row],[quantity]]</f>
        <v>4801.28</v>
      </c>
    </row>
    <row r="2931" spans="1:9" x14ac:dyDescent="0.3">
      <c r="A2931" t="s">
        <v>4946</v>
      </c>
      <c r="B2931" t="s">
        <v>578</v>
      </c>
      <c r="C2931" t="s">
        <v>2001</v>
      </c>
      <c r="D2931">
        <v>2</v>
      </c>
      <c r="E2931" s="16">
        <v>600.16</v>
      </c>
      <c r="F2931" s="1">
        <v>44902</v>
      </c>
      <c r="G2931" t="s">
        <v>2020</v>
      </c>
      <c r="H2931">
        <v>4</v>
      </c>
      <c r="I2931" s="12">
        <f>Table16[[#This Row],[price]]*Table16[[#This Row],[quantity]]</f>
        <v>1200.32</v>
      </c>
    </row>
    <row r="2932" spans="1:9" x14ac:dyDescent="0.3">
      <c r="A2932" t="s">
        <v>4952</v>
      </c>
      <c r="B2932" t="s">
        <v>579</v>
      </c>
      <c r="C2932" t="s">
        <v>2017</v>
      </c>
      <c r="D2932">
        <v>2</v>
      </c>
      <c r="E2932" s="16">
        <v>2100</v>
      </c>
      <c r="F2932" s="1">
        <v>44248</v>
      </c>
      <c r="G2932" t="s">
        <v>2009</v>
      </c>
      <c r="H2932">
        <v>2</v>
      </c>
      <c r="I2932" s="12">
        <f>Table16[[#This Row],[price]]*Table16[[#This Row],[quantity]]</f>
        <v>4200</v>
      </c>
    </row>
    <row r="2933" spans="1:9" x14ac:dyDescent="0.3">
      <c r="A2933" t="s">
        <v>4949</v>
      </c>
      <c r="B2933" t="s">
        <v>579</v>
      </c>
      <c r="C2933" t="s">
        <v>2008</v>
      </c>
      <c r="D2933">
        <v>5</v>
      </c>
      <c r="E2933" s="16">
        <v>26.15</v>
      </c>
      <c r="F2933" s="1">
        <v>44335</v>
      </c>
      <c r="G2933" t="s">
        <v>2020</v>
      </c>
      <c r="H2933">
        <v>5</v>
      </c>
      <c r="I2933" s="12">
        <f>Table16[[#This Row],[price]]*Table16[[#This Row],[quantity]]</f>
        <v>130.75</v>
      </c>
    </row>
    <row r="2934" spans="1:9" x14ac:dyDescent="0.3">
      <c r="A2934" t="s">
        <v>4951</v>
      </c>
      <c r="B2934" t="s">
        <v>579</v>
      </c>
      <c r="C2934" t="s">
        <v>2024</v>
      </c>
      <c r="D2934">
        <v>4</v>
      </c>
      <c r="E2934" s="16">
        <v>143.36000000000001</v>
      </c>
      <c r="F2934" s="1">
        <v>44336</v>
      </c>
      <c r="G2934" t="s">
        <v>2009</v>
      </c>
      <c r="H2934">
        <v>2</v>
      </c>
      <c r="I2934" s="12">
        <f>Table16[[#This Row],[price]]*Table16[[#This Row],[quantity]]</f>
        <v>573.44000000000005</v>
      </c>
    </row>
    <row r="2935" spans="1:9" x14ac:dyDescent="0.3">
      <c r="A2935" t="s">
        <v>4950</v>
      </c>
      <c r="B2935" t="s">
        <v>579</v>
      </c>
      <c r="C2935" t="s">
        <v>2001</v>
      </c>
      <c r="D2935">
        <v>4</v>
      </c>
      <c r="E2935" s="16">
        <v>1200.32</v>
      </c>
      <c r="F2935" s="1">
        <v>44375</v>
      </c>
      <c r="G2935" t="s">
        <v>2004</v>
      </c>
      <c r="H2935">
        <v>3</v>
      </c>
      <c r="I2935" s="12">
        <f>Table16[[#This Row],[price]]*Table16[[#This Row],[quantity]]</f>
        <v>4801.28</v>
      </c>
    </row>
    <row r="2936" spans="1:9" x14ac:dyDescent="0.3">
      <c r="A2936" t="s">
        <v>4948</v>
      </c>
      <c r="B2936" t="s">
        <v>579</v>
      </c>
      <c r="C2936" t="s">
        <v>2057</v>
      </c>
      <c r="D2936">
        <v>4</v>
      </c>
      <c r="E2936" s="16">
        <v>46.92</v>
      </c>
      <c r="F2936" s="1">
        <v>44665</v>
      </c>
      <c r="G2936" t="s">
        <v>2004</v>
      </c>
      <c r="H2936">
        <v>3</v>
      </c>
      <c r="I2936" s="12">
        <f>Table16[[#This Row],[price]]*Table16[[#This Row],[quantity]]</f>
        <v>187.68</v>
      </c>
    </row>
    <row r="2937" spans="1:9" x14ac:dyDescent="0.3">
      <c r="A2937" t="s">
        <v>4953</v>
      </c>
      <c r="B2937" t="s">
        <v>580</v>
      </c>
      <c r="C2937" t="s">
        <v>2006</v>
      </c>
      <c r="D2937">
        <v>3</v>
      </c>
      <c r="E2937" s="16">
        <v>45.45</v>
      </c>
      <c r="F2937" s="1">
        <v>44348</v>
      </c>
      <c r="G2937" t="s">
        <v>2002</v>
      </c>
      <c r="H2937">
        <v>2</v>
      </c>
      <c r="I2937" s="12">
        <f>Table16[[#This Row],[price]]*Table16[[#This Row],[quantity]]</f>
        <v>136.35000000000002</v>
      </c>
    </row>
    <row r="2938" spans="1:9" x14ac:dyDescent="0.3">
      <c r="A2938" t="s">
        <v>4954</v>
      </c>
      <c r="B2938" t="s">
        <v>580</v>
      </c>
      <c r="C2938" t="s">
        <v>2057</v>
      </c>
      <c r="D2938">
        <v>5</v>
      </c>
      <c r="E2938" s="16">
        <v>58.65</v>
      </c>
      <c r="F2938" s="1">
        <v>44735</v>
      </c>
      <c r="G2938" t="s">
        <v>2020</v>
      </c>
      <c r="H2938">
        <v>3</v>
      </c>
      <c r="I2938" s="12">
        <f>Table16[[#This Row],[price]]*Table16[[#This Row],[quantity]]</f>
        <v>293.25</v>
      </c>
    </row>
    <row r="2939" spans="1:9" x14ac:dyDescent="0.3">
      <c r="A2939" t="s">
        <v>4955</v>
      </c>
      <c r="B2939" t="s">
        <v>580</v>
      </c>
      <c r="C2939" t="s">
        <v>2015</v>
      </c>
      <c r="D2939">
        <v>4</v>
      </c>
      <c r="E2939" s="16">
        <v>2400.6799999999998</v>
      </c>
      <c r="F2939" s="1">
        <v>44879</v>
      </c>
      <c r="G2939" t="s">
        <v>2020</v>
      </c>
      <c r="H2939">
        <v>5</v>
      </c>
      <c r="I2939" s="12">
        <f>Table16[[#This Row],[price]]*Table16[[#This Row],[quantity]]</f>
        <v>9602.7199999999993</v>
      </c>
    </row>
    <row r="2940" spans="1:9" x14ac:dyDescent="0.3">
      <c r="A2940" t="s">
        <v>4957</v>
      </c>
      <c r="B2940" t="s">
        <v>581</v>
      </c>
      <c r="C2940" t="s">
        <v>2015</v>
      </c>
      <c r="D2940">
        <v>2</v>
      </c>
      <c r="E2940" s="16">
        <v>1200.3399999999999</v>
      </c>
      <c r="F2940" s="1">
        <v>44211</v>
      </c>
      <c r="G2940" t="s">
        <v>2004</v>
      </c>
      <c r="H2940">
        <v>3</v>
      </c>
      <c r="I2940" s="12">
        <f>Table16[[#This Row],[price]]*Table16[[#This Row],[quantity]]</f>
        <v>2400.6799999999998</v>
      </c>
    </row>
    <row r="2941" spans="1:9" x14ac:dyDescent="0.3">
      <c r="A2941" t="s">
        <v>4956</v>
      </c>
      <c r="B2941" t="s">
        <v>581</v>
      </c>
      <c r="C2941" t="s">
        <v>2017</v>
      </c>
      <c r="D2941">
        <v>2</v>
      </c>
      <c r="E2941" s="16">
        <v>2100</v>
      </c>
      <c r="F2941" s="1">
        <v>44769</v>
      </c>
      <c r="G2941" t="s">
        <v>2004</v>
      </c>
      <c r="H2941">
        <v>3</v>
      </c>
      <c r="I2941" s="12">
        <f>Table16[[#This Row],[price]]*Table16[[#This Row],[quantity]]</f>
        <v>4200</v>
      </c>
    </row>
    <row r="2942" spans="1:9" x14ac:dyDescent="0.3">
      <c r="A2942" t="s">
        <v>4963</v>
      </c>
      <c r="B2942" t="s">
        <v>582</v>
      </c>
      <c r="C2942" t="s">
        <v>2024</v>
      </c>
      <c r="D2942">
        <v>5</v>
      </c>
      <c r="E2942" s="16">
        <v>179.2</v>
      </c>
      <c r="F2942" s="1">
        <v>44436</v>
      </c>
      <c r="G2942" t="s">
        <v>2012</v>
      </c>
      <c r="H2942">
        <v>1</v>
      </c>
      <c r="I2942" s="12">
        <f>Table16[[#This Row],[price]]*Table16[[#This Row],[quantity]]</f>
        <v>896</v>
      </c>
    </row>
    <row r="2943" spans="1:9" x14ac:dyDescent="0.3">
      <c r="A2943" t="s">
        <v>4961</v>
      </c>
      <c r="B2943" t="s">
        <v>582</v>
      </c>
      <c r="C2943" t="s">
        <v>2006</v>
      </c>
      <c r="D2943">
        <v>5</v>
      </c>
      <c r="E2943" s="16">
        <v>75.75</v>
      </c>
      <c r="F2943" s="1">
        <v>44449</v>
      </c>
      <c r="G2943" t="s">
        <v>2027</v>
      </c>
      <c r="H2943">
        <v>5</v>
      </c>
      <c r="I2943" s="12">
        <f>Table16[[#This Row],[price]]*Table16[[#This Row],[quantity]]</f>
        <v>378.75</v>
      </c>
    </row>
    <row r="2944" spans="1:9" x14ac:dyDescent="0.3">
      <c r="A2944" t="s">
        <v>4959</v>
      </c>
      <c r="B2944" t="s">
        <v>582</v>
      </c>
      <c r="C2944" t="s">
        <v>2011</v>
      </c>
      <c r="D2944">
        <v>1</v>
      </c>
      <c r="E2944" s="16">
        <v>40.659999999999997</v>
      </c>
      <c r="F2944" s="1">
        <v>44514</v>
      </c>
      <c r="G2944" t="s">
        <v>2064</v>
      </c>
      <c r="H2944">
        <v>2</v>
      </c>
      <c r="I2944" s="12">
        <f>Table16[[#This Row],[price]]*Table16[[#This Row],[quantity]]</f>
        <v>40.659999999999997</v>
      </c>
    </row>
    <row r="2945" spans="1:9" x14ac:dyDescent="0.3">
      <c r="A2945" t="s">
        <v>4962</v>
      </c>
      <c r="B2945" t="s">
        <v>582</v>
      </c>
      <c r="C2945" t="s">
        <v>2008</v>
      </c>
      <c r="D2945">
        <v>5</v>
      </c>
      <c r="E2945" s="16">
        <v>26.15</v>
      </c>
      <c r="F2945" s="1">
        <v>44586</v>
      </c>
      <c r="G2945" t="s">
        <v>2018</v>
      </c>
      <c r="H2945">
        <v>2</v>
      </c>
      <c r="I2945" s="12">
        <f>Table16[[#This Row],[price]]*Table16[[#This Row],[quantity]]</f>
        <v>130.75</v>
      </c>
    </row>
    <row r="2946" spans="1:9" x14ac:dyDescent="0.3">
      <c r="A2946" t="s">
        <v>4958</v>
      </c>
      <c r="B2946" t="s">
        <v>582</v>
      </c>
      <c r="C2946" t="s">
        <v>2011</v>
      </c>
      <c r="D2946">
        <v>1</v>
      </c>
      <c r="E2946" s="16">
        <v>40.659999999999997</v>
      </c>
      <c r="F2946" s="1">
        <v>44732</v>
      </c>
      <c r="G2946" t="s">
        <v>2020</v>
      </c>
      <c r="H2946">
        <v>5</v>
      </c>
      <c r="I2946" s="12">
        <f>Table16[[#This Row],[price]]*Table16[[#This Row],[quantity]]</f>
        <v>40.659999999999997</v>
      </c>
    </row>
    <row r="2947" spans="1:9" x14ac:dyDescent="0.3">
      <c r="A2947" t="s">
        <v>4960</v>
      </c>
      <c r="B2947" t="s">
        <v>582</v>
      </c>
      <c r="C2947" t="s">
        <v>2017</v>
      </c>
      <c r="D2947">
        <v>4</v>
      </c>
      <c r="E2947" s="16">
        <v>4200</v>
      </c>
      <c r="F2947" s="1">
        <v>44862</v>
      </c>
      <c r="G2947" t="s">
        <v>2002</v>
      </c>
      <c r="H2947">
        <v>2</v>
      </c>
      <c r="I2947" s="12">
        <f>Table16[[#This Row],[price]]*Table16[[#This Row],[quantity]]</f>
        <v>16800</v>
      </c>
    </row>
    <row r="2948" spans="1:9" x14ac:dyDescent="0.3">
      <c r="A2948" t="s">
        <v>4968</v>
      </c>
      <c r="B2948" t="s">
        <v>583</v>
      </c>
      <c r="C2948" t="s">
        <v>2015</v>
      </c>
      <c r="D2948">
        <v>3</v>
      </c>
      <c r="E2948" s="16">
        <v>1800.51</v>
      </c>
      <c r="F2948" s="1">
        <v>44489</v>
      </c>
      <c r="G2948" t="s">
        <v>2012</v>
      </c>
      <c r="H2948">
        <v>5</v>
      </c>
      <c r="I2948" s="12">
        <f>Table16[[#This Row],[price]]*Table16[[#This Row],[quantity]]</f>
        <v>5401.53</v>
      </c>
    </row>
    <row r="2949" spans="1:9" x14ac:dyDescent="0.3">
      <c r="A2949" t="s">
        <v>4970</v>
      </c>
      <c r="B2949" t="s">
        <v>583</v>
      </c>
      <c r="C2949" t="s">
        <v>2001</v>
      </c>
      <c r="D2949">
        <v>3</v>
      </c>
      <c r="E2949" s="16">
        <v>900.24</v>
      </c>
      <c r="F2949" s="1">
        <v>44531</v>
      </c>
      <c r="G2949" t="s">
        <v>2020</v>
      </c>
      <c r="H2949">
        <v>2</v>
      </c>
      <c r="I2949" s="12">
        <f>Table16[[#This Row],[price]]*Table16[[#This Row],[quantity]]</f>
        <v>2700.7200000000003</v>
      </c>
    </row>
    <row r="2950" spans="1:9" x14ac:dyDescent="0.3">
      <c r="A2950" t="s">
        <v>4966</v>
      </c>
      <c r="B2950" t="s">
        <v>583</v>
      </c>
      <c r="C2950" t="s">
        <v>2011</v>
      </c>
      <c r="D2950">
        <v>4</v>
      </c>
      <c r="E2950" s="16">
        <v>162.63999999999999</v>
      </c>
      <c r="F2950" s="1">
        <v>44726</v>
      </c>
      <c r="G2950" t="s">
        <v>2004</v>
      </c>
      <c r="H2950">
        <v>5</v>
      </c>
      <c r="I2950" s="12">
        <f>Table16[[#This Row],[price]]*Table16[[#This Row],[quantity]]</f>
        <v>650.55999999999995</v>
      </c>
    </row>
    <row r="2951" spans="1:9" x14ac:dyDescent="0.3">
      <c r="A2951" t="s">
        <v>4971</v>
      </c>
      <c r="B2951" t="s">
        <v>583</v>
      </c>
      <c r="C2951" t="s">
        <v>2001</v>
      </c>
      <c r="D2951">
        <v>2</v>
      </c>
      <c r="E2951" s="16">
        <v>600.16</v>
      </c>
      <c r="F2951" s="1">
        <v>44772</v>
      </c>
      <c r="G2951" t="s">
        <v>2002</v>
      </c>
      <c r="H2951">
        <v>4</v>
      </c>
      <c r="I2951" s="12">
        <f>Table16[[#This Row],[price]]*Table16[[#This Row],[quantity]]</f>
        <v>1200.32</v>
      </c>
    </row>
    <row r="2952" spans="1:9" x14ac:dyDescent="0.3">
      <c r="A2952" t="s">
        <v>4967</v>
      </c>
      <c r="B2952" t="s">
        <v>583</v>
      </c>
      <c r="C2952" t="s">
        <v>2001</v>
      </c>
      <c r="D2952">
        <v>1</v>
      </c>
      <c r="E2952" s="16">
        <v>300.08</v>
      </c>
      <c r="F2952" s="1">
        <v>44795</v>
      </c>
      <c r="G2952" t="s">
        <v>2020</v>
      </c>
      <c r="H2952">
        <v>1</v>
      </c>
      <c r="I2952" s="12">
        <f>Table16[[#This Row],[price]]*Table16[[#This Row],[quantity]]</f>
        <v>300.08</v>
      </c>
    </row>
    <row r="2953" spans="1:9" x14ac:dyDescent="0.3">
      <c r="A2953" t="s">
        <v>4965</v>
      </c>
      <c r="B2953" t="s">
        <v>583</v>
      </c>
      <c r="C2953" t="s">
        <v>2001</v>
      </c>
      <c r="D2953">
        <v>2</v>
      </c>
      <c r="E2953" s="16">
        <v>600.16</v>
      </c>
      <c r="F2953" s="1">
        <v>44798</v>
      </c>
      <c r="G2953" t="s">
        <v>2004</v>
      </c>
      <c r="H2953">
        <v>4</v>
      </c>
      <c r="I2953" s="12">
        <f>Table16[[#This Row],[price]]*Table16[[#This Row],[quantity]]</f>
        <v>1200.32</v>
      </c>
    </row>
    <row r="2954" spans="1:9" x14ac:dyDescent="0.3">
      <c r="A2954" t="s">
        <v>4969</v>
      </c>
      <c r="B2954" t="s">
        <v>583</v>
      </c>
      <c r="C2954" t="s">
        <v>2015</v>
      </c>
      <c r="D2954">
        <v>2</v>
      </c>
      <c r="E2954" s="16">
        <v>1200.3399999999999</v>
      </c>
      <c r="F2954" s="1">
        <v>44838</v>
      </c>
      <c r="G2954" t="s">
        <v>2027</v>
      </c>
      <c r="H2954">
        <v>5</v>
      </c>
      <c r="I2954" s="12">
        <f>Table16[[#This Row],[price]]*Table16[[#This Row],[quantity]]</f>
        <v>2400.6799999999998</v>
      </c>
    </row>
    <row r="2955" spans="1:9" x14ac:dyDescent="0.3">
      <c r="A2955" t="s">
        <v>4964</v>
      </c>
      <c r="B2955" t="s">
        <v>583</v>
      </c>
      <c r="C2955" t="s">
        <v>2015</v>
      </c>
      <c r="D2955">
        <v>5</v>
      </c>
      <c r="E2955" s="16">
        <v>3000.85</v>
      </c>
      <c r="F2955" s="1">
        <v>44921</v>
      </c>
      <c r="G2955" t="s">
        <v>2002</v>
      </c>
      <c r="H2955">
        <v>4</v>
      </c>
      <c r="I2955" s="12">
        <f>Table16[[#This Row],[price]]*Table16[[#This Row],[quantity]]</f>
        <v>15004.25</v>
      </c>
    </row>
    <row r="2956" spans="1:9" x14ac:dyDescent="0.3">
      <c r="A2956" t="s">
        <v>4972</v>
      </c>
      <c r="B2956" t="s">
        <v>584</v>
      </c>
      <c r="C2956" t="s">
        <v>2024</v>
      </c>
      <c r="D2956">
        <v>4</v>
      </c>
      <c r="E2956" s="16">
        <v>143.36000000000001</v>
      </c>
      <c r="F2956" s="1">
        <v>44254</v>
      </c>
      <c r="G2956" t="s">
        <v>2004</v>
      </c>
      <c r="H2956">
        <v>2</v>
      </c>
      <c r="I2956" s="12">
        <f>Table16[[#This Row],[price]]*Table16[[#This Row],[quantity]]</f>
        <v>573.44000000000005</v>
      </c>
    </row>
    <row r="2957" spans="1:9" x14ac:dyDescent="0.3">
      <c r="A2957" t="s">
        <v>4977</v>
      </c>
      <c r="B2957" t="s">
        <v>584</v>
      </c>
      <c r="C2957" t="s">
        <v>2015</v>
      </c>
      <c r="D2957">
        <v>3</v>
      </c>
      <c r="E2957" s="16">
        <v>1800.51</v>
      </c>
      <c r="F2957" s="1">
        <v>44352</v>
      </c>
      <c r="G2957" t="s">
        <v>2041</v>
      </c>
      <c r="H2957">
        <v>4</v>
      </c>
      <c r="I2957" s="12">
        <f>Table16[[#This Row],[price]]*Table16[[#This Row],[quantity]]</f>
        <v>5401.53</v>
      </c>
    </row>
    <row r="2958" spans="1:9" x14ac:dyDescent="0.3">
      <c r="A2958" t="s">
        <v>4975</v>
      </c>
      <c r="B2958" t="s">
        <v>584</v>
      </c>
      <c r="C2958" t="s">
        <v>2008</v>
      </c>
      <c r="D2958">
        <v>3</v>
      </c>
      <c r="E2958" s="16">
        <v>15.69</v>
      </c>
      <c r="F2958" s="1">
        <v>44459</v>
      </c>
      <c r="G2958" t="s">
        <v>2002</v>
      </c>
      <c r="H2958">
        <v>4</v>
      </c>
      <c r="I2958" s="12">
        <f>Table16[[#This Row],[price]]*Table16[[#This Row],[quantity]]</f>
        <v>47.07</v>
      </c>
    </row>
    <row r="2959" spans="1:9" x14ac:dyDescent="0.3">
      <c r="A2959" t="s">
        <v>4976</v>
      </c>
      <c r="B2959" t="s">
        <v>584</v>
      </c>
      <c r="C2959" t="s">
        <v>2024</v>
      </c>
      <c r="D2959">
        <v>3</v>
      </c>
      <c r="E2959" s="16">
        <v>107.52</v>
      </c>
      <c r="F2959" s="1">
        <v>44555</v>
      </c>
      <c r="G2959" t="s">
        <v>2004</v>
      </c>
      <c r="H2959">
        <v>4</v>
      </c>
      <c r="I2959" s="12">
        <f>Table16[[#This Row],[price]]*Table16[[#This Row],[quantity]]</f>
        <v>322.56</v>
      </c>
    </row>
    <row r="2960" spans="1:9" x14ac:dyDescent="0.3">
      <c r="A2960" t="s">
        <v>4973</v>
      </c>
      <c r="B2960" t="s">
        <v>584</v>
      </c>
      <c r="C2960" t="s">
        <v>2001</v>
      </c>
      <c r="D2960">
        <v>1</v>
      </c>
      <c r="E2960" s="16">
        <v>300.08</v>
      </c>
      <c r="F2960" s="1">
        <v>44640</v>
      </c>
      <c r="G2960" t="s">
        <v>2020</v>
      </c>
      <c r="H2960">
        <v>4</v>
      </c>
      <c r="I2960" s="12">
        <f>Table16[[#This Row],[price]]*Table16[[#This Row],[quantity]]</f>
        <v>300.08</v>
      </c>
    </row>
    <row r="2961" spans="1:9" x14ac:dyDescent="0.3">
      <c r="A2961" t="s">
        <v>4974</v>
      </c>
      <c r="B2961" t="s">
        <v>584</v>
      </c>
      <c r="C2961" t="s">
        <v>2024</v>
      </c>
      <c r="D2961">
        <v>3</v>
      </c>
      <c r="E2961" s="16">
        <v>107.52</v>
      </c>
      <c r="F2961" s="1">
        <v>44940</v>
      </c>
      <c r="G2961" t="s">
        <v>2018</v>
      </c>
      <c r="H2961">
        <v>2</v>
      </c>
      <c r="I2961" s="12">
        <f>Table16[[#This Row],[price]]*Table16[[#This Row],[quantity]]</f>
        <v>322.56</v>
      </c>
    </row>
    <row r="2962" spans="1:9" x14ac:dyDescent="0.3">
      <c r="A2962" t="s">
        <v>4982</v>
      </c>
      <c r="B2962" t="s">
        <v>585</v>
      </c>
      <c r="C2962" t="s">
        <v>2001</v>
      </c>
      <c r="D2962">
        <v>3</v>
      </c>
      <c r="E2962" s="16">
        <v>900.24</v>
      </c>
      <c r="F2962" s="1">
        <v>44381</v>
      </c>
      <c r="G2962" t="s">
        <v>2002</v>
      </c>
      <c r="H2962">
        <v>2</v>
      </c>
      <c r="I2962" s="12">
        <f>Table16[[#This Row],[price]]*Table16[[#This Row],[quantity]]</f>
        <v>2700.7200000000003</v>
      </c>
    </row>
    <row r="2963" spans="1:9" x14ac:dyDescent="0.3">
      <c r="A2963" t="s">
        <v>4979</v>
      </c>
      <c r="B2963" t="s">
        <v>585</v>
      </c>
      <c r="C2963" t="s">
        <v>2024</v>
      </c>
      <c r="D2963">
        <v>3</v>
      </c>
      <c r="E2963" s="16">
        <v>107.52</v>
      </c>
      <c r="F2963" s="1">
        <v>44665</v>
      </c>
      <c r="G2963" t="s">
        <v>2004</v>
      </c>
      <c r="H2963">
        <v>2</v>
      </c>
      <c r="I2963" s="12">
        <f>Table16[[#This Row],[price]]*Table16[[#This Row],[quantity]]</f>
        <v>322.56</v>
      </c>
    </row>
    <row r="2964" spans="1:9" x14ac:dyDescent="0.3">
      <c r="A2964" t="s">
        <v>4981</v>
      </c>
      <c r="B2964" t="s">
        <v>585</v>
      </c>
      <c r="C2964" t="s">
        <v>2011</v>
      </c>
      <c r="D2964">
        <v>2</v>
      </c>
      <c r="E2964" s="16">
        <v>81.319999999999993</v>
      </c>
      <c r="F2964" s="1">
        <v>44729</v>
      </c>
      <c r="G2964" t="s">
        <v>2002</v>
      </c>
      <c r="H2964">
        <v>2</v>
      </c>
      <c r="I2964" s="12">
        <f>Table16[[#This Row],[price]]*Table16[[#This Row],[quantity]]</f>
        <v>162.63999999999999</v>
      </c>
    </row>
    <row r="2965" spans="1:9" x14ac:dyDescent="0.3">
      <c r="A2965" t="s">
        <v>4980</v>
      </c>
      <c r="B2965" t="s">
        <v>585</v>
      </c>
      <c r="C2965" t="s">
        <v>2001</v>
      </c>
      <c r="D2965">
        <v>1</v>
      </c>
      <c r="E2965" s="16">
        <v>300.08</v>
      </c>
      <c r="F2965" s="1">
        <v>44851</v>
      </c>
      <c r="G2965" t="s">
        <v>2004</v>
      </c>
      <c r="H2965">
        <v>4</v>
      </c>
      <c r="I2965" s="12">
        <f>Table16[[#This Row],[price]]*Table16[[#This Row],[quantity]]</f>
        <v>300.08</v>
      </c>
    </row>
    <row r="2966" spans="1:9" x14ac:dyDescent="0.3">
      <c r="A2966" t="s">
        <v>4978</v>
      </c>
      <c r="B2966" t="s">
        <v>585</v>
      </c>
      <c r="C2966" t="s">
        <v>2001</v>
      </c>
      <c r="D2966">
        <v>3</v>
      </c>
      <c r="E2966" s="16">
        <v>900.24</v>
      </c>
      <c r="F2966" s="1">
        <v>44936</v>
      </c>
      <c r="G2966" t="s">
        <v>2002</v>
      </c>
      <c r="H2966">
        <v>3</v>
      </c>
      <c r="I2966" s="12">
        <f>Table16[[#This Row],[price]]*Table16[[#This Row],[quantity]]</f>
        <v>2700.7200000000003</v>
      </c>
    </row>
    <row r="2967" spans="1:9" x14ac:dyDescent="0.3">
      <c r="A2967" t="s">
        <v>4983</v>
      </c>
      <c r="B2967" t="s">
        <v>586</v>
      </c>
      <c r="C2967" t="s">
        <v>2001</v>
      </c>
      <c r="D2967">
        <v>4</v>
      </c>
      <c r="E2967" s="16">
        <v>1200.32</v>
      </c>
      <c r="F2967" s="1">
        <v>44506</v>
      </c>
      <c r="G2967" t="s">
        <v>2020</v>
      </c>
      <c r="H2967">
        <v>5</v>
      </c>
      <c r="I2967" s="12">
        <f>Table16[[#This Row],[price]]*Table16[[#This Row],[quantity]]</f>
        <v>4801.28</v>
      </c>
    </row>
    <row r="2968" spans="1:9" x14ac:dyDescent="0.3">
      <c r="A2968" t="s">
        <v>4984</v>
      </c>
      <c r="B2968" t="s">
        <v>586</v>
      </c>
      <c r="C2968" t="s">
        <v>2011</v>
      </c>
      <c r="D2968">
        <v>4</v>
      </c>
      <c r="E2968" s="16">
        <v>162.63999999999999</v>
      </c>
      <c r="F2968" s="1">
        <v>44803</v>
      </c>
      <c r="G2968" t="s">
        <v>2027</v>
      </c>
      <c r="H2968">
        <v>2</v>
      </c>
      <c r="I2968" s="12">
        <f>Table16[[#This Row],[price]]*Table16[[#This Row],[quantity]]</f>
        <v>650.55999999999995</v>
      </c>
    </row>
    <row r="2969" spans="1:9" x14ac:dyDescent="0.3">
      <c r="A2969" t="s">
        <v>4988</v>
      </c>
      <c r="B2969" t="s">
        <v>587</v>
      </c>
      <c r="C2969" t="s">
        <v>2001</v>
      </c>
      <c r="D2969">
        <v>5</v>
      </c>
      <c r="E2969" s="16">
        <v>1500.4</v>
      </c>
      <c r="F2969" s="1">
        <v>44212</v>
      </c>
      <c r="G2969" t="s">
        <v>2027</v>
      </c>
      <c r="H2969">
        <v>2</v>
      </c>
      <c r="I2969" s="12">
        <f>Table16[[#This Row],[price]]*Table16[[#This Row],[quantity]]</f>
        <v>7502</v>
      </c>
    </row>
    <row r="2970" spans="1:9" x14ac:dyDescent="0.3">
      <c r="A2970" t="s">
        <v>4985</v>
      </c>
      <c r="B2970" t="s">
        <v>587</v>
      </c>
      <c r="C2970" t="s">
        <v>2001</v>
      </c>
      <c r="D2970">
        <v>3</v>
      </c>
      <c r="E2970" s="16">
        <v>900.24</v>
      </c>
      <c r="F2970" s="1">
        <v>44302</v>
      </c>
      <c r="G2970" t="s">
        <v>2027</v>
      </c>
      <c r="H2970">
        <v>5</v>
      </c>
      <c r="I2970" s="12">
        <f>Table16[[#This Row],[price]]*Table16[[#This Row],[quantity]]</f>
        <v>2700.7200000000003</v>
      </c>
    </row>
    <row r="2971" spans="1:9" x14ac:dyDescent="0.3">
      <c r="A2971" t="s">
        <v>4986</v>
      </c>
      <c r="B2971" t="s">
        <v>587</v>
      </c>
      <c r="C2971" t="s">
        <v>2008</v>
      </c>
      <c r="D2971">
        <v>2</v>
      </c>
      <c r="E2971" s="16">
        <v>10.46</v>
      </c>
      <c r="F2971" s="1">
        <v>44355</v>
      </c>
      <c r="G2971" t="s">
        <v>2027</v>
      </c>
      <c r="H2971">
        <v>4</v>
      </c>
      <c r="I2971" s="12">
        <f>Table16[[#This Row],[price]]*Table16[[#This Row],[quantity]]</f>
        <v>20.92</v>
      </c>
    </row>
    <row r="2972" spans="1:9" x14ac:dyDescent="0.3">
      <c r="A2972" t="s">
        <v>4987</v>
      </c>
      <c r="B2972" t="s">
        <v>587</v>
      </c>
      <c r="C2972" t="s">
        <v>2015</v>
      </c>
      <c r="D2972">
        <v>5</v>
      </c>
      <c r="E2972" s="16">
        <v>3000.85</v>
      </c>
      <c r="F2972" s="1">
        <v>44899</v>
      </c>
      <c r="G2972" t="s">
        <v>2027</v>
      </c>
      <c r="H2972">
        <v>1</v>
      </c>
      <c r="I2972" s="12">
        <f>Table16[[#This Row],[price]]*Table16[[#This Row],[quantity]]</f>
        <v>15004.25</v>
      </c>
    </row>
    <row r="2973" spans="1:9" x14ac:dyDescent="0.3">
      <c r="A2973" t="s">
        <v>4990</v>
      </c>
      <c r="B2973" t="s">
        <v>588</v>
      </c>
      <c r="C2973" t="s">
        <v>2008</v>
      </c>
      <c r="D2973">
        <v>1</v>
      </c>
      <c r="E2973" s="16">
        <v>5.23</v>
      </c>
      <c r="F2973" s="1">
        <v>44272</v>
      </c>
      <c r="G2973" t="s">
        <v>2002</v>
      </c>
      <c r="H2973">
        <v>5</v>
      </c>
      <c r="I2973" s="12">
        <f>Table16[[#This Row],[price]]*Table16[[#This Row],[quantity]]</f>
        <v>5.23</v>
      </c>
    </row>
    <row r="2974" spans="1:9" x14ac:dyDescent="0.3">
      <c r="A2974" t="s">
        <v>4991</v>
      </c>
      <c r="B2974" t="s">
        <v>588</v>
      </c>
      <c r="C2974" t="s">
        <v>2015</v>
      </c>
      <c r="D2974">
        <v>4</v>
      </c>
      <c r="E2974" s="16">
        <v>2400.6799999999998</v>
      </c>
      <c r="F2974" s="1">
        <v>44531</v>
      </c>
      <c r="G2974" t="s">
        <v>2012</v>
      </c>
      <c r="H2974">
        <v>2</v>
      </c>
      <c r="I2974" s="12">
        <f>Table16[[#This Row],[price]]*Table16[[#This Row],[quantity]]</f>
        <v>9602.7199999999993</v>
      </c>
    </row>
    <row r="2975" spans="1:9" x14ac:dyDescent="0.3">
      <c r="A2975" t="s">
        <v>4992</v>
      </c>
      <c r="B2975" t="s">
        <v>588</v>
      </c>
      <c r="C2975" t="s">
        <v>2001</v>
      </c>
      <c r="D2975">
        <v>2</v>
      </c>
      <c r="E2975" s="16">
        <v>600.16</v>
      </c>
      <c r="F2975" s="1">
        <v>44709</v>
      </c>
      <c r="G2975" t="s">
        <v>2027</v>
      </c>
      <c r="H2975">
        <v>3</v>
      </c>
      <c r="I2975" s="12">
        <f>Table16[[#This Row],[price]]*Table16[[#This Row],[quantity]]</f>
        <v>1200.32</v>
      </c>
    </row>
    <row r="2976" spans="1:9" x14ac:dyDescent="0.3">
      <c r="A2976" t="s">
        <v>4989</v>
      </c>
      <c r="B2976" t="s">
        <v>588</v>
      </c>
      <c r="C2976" t="s">
        <v>2057</v>
      </c>
      <c r="D2976">
        <v>1</v>
      </c>
      <c r="E2976" s="16">
        <v>11.73</v>
      </c>
      <c r="F2976" s="1">
        <v>44868</v>
      </c>
      <c r="G2976" t="s">
        <v>2027</v>
      </c>
      <c r="H2976">
        <v>2</v>
      </c>
      <c r="I2976" s="12">
        <f>Table16[[#This Row],[price]]*Table16[[#This Row],[quantity]]</f>
        <v>11.73</v>
      </c>
    </row>
    <row r="2977" spans="1:9" x14ac:dyDescent="0.3">
      <c r="A2977" t="s">
        <v>4997</v>
      </c>
      <c r="B2977" t="s">
        <v>589</v>
      </c>
      <c r="C2977" t="s">
        <v>2017</v>
      </c>
      <c r="D2977">
        <v>3</v>
      </c>
      <c r="E2977" s="16">
        <v>3150</v>
      </c>
      <c r="F2977" s="1">
        <v>44645</v>
      </c>
      <c r="G2977" t="s">
        <v>2002</v>
      </c>
      <c r="H2977">
        <v>5</v>
      </c>
      <c r="I2977" s="12">
        <f>Table16[[#This Row],[price]]*Table16[[#This Row],[quantity]]</f>
        <v>9450</v>
      </c>
    </row>
    <row r="2978" spans="1:9" x14ac:dyDescent="0.3">
      <c r="A2978" t="s">
        <v>4994</v>
      </c>
      <c r="B2978" t="s">
        <v>589</v>
      </c>
      <c r="C2978" t="s">
        <v>2001</v>
      </c>
      <c r="D2978">
        <v>5</v>
      </c>
      <c r="E2978" s="16">
        <v>1500.4</v>
      </c>
      <c r="F2978" s="1">
        <v>44749</v>
      </c>
      <c r="G2978" t="s">
        <v>2027</v>
      </c>
      <c r="H2978">
        <v>3</v>
      </c>
      <c r="I2978" s="12">
        <f>Table16[[#This Row],[price]]*Table16[[#This Row],[quantity]]</f>
        <v>7502</v>
      </c>
    </row>
    <row r="2979" spans="1:9" x14ac:dyDescent="0.3">
      <c r="A2979" t="s">
        <v>4993</v>
      </c>
      <c r="B2979" t="s">
        <v>589</v>
      </c>
      <c r="C2979" t="s">
        <v>2024</v>
      </c>
      <c r="D2979">
        <v>1</v>
      </c>
      <c r="E2979" s="16">
        <v>35.840000000000003</v>
      </c>
      <c r="F2979" s="1">
        <v>44800</v>
      </c>
      <c r="G2979" t="s">
        <v>2002</v>
      </c>
      <c r="H2979">
        <v>5</v>
      </c>
      <c r="I2979" s="12">
        <f>Table16[[#This Row],[price]]*Table16[[#This Row],[quantity]]</f>
        <v>35.840000000000003</v>
      </c>
    </row>
    <row r="2980" spans="1:9" x14ac:dyDescent="0.3">
      <c r="A2980" t="s">
        <v>4996</v>
      </c>
      <c r="B2980" t="s">
        <v>589</v>
      </c>
      <c r="C2980" t="s">
        <v>2001</v>
      </c>
      <c r="D2980">
        <v>2</v>
      </c>
      <c r="E2980" s="16">
        <v>600.16</v>
      </c>
      <c r="F2980" s="1">
        <v>44862</v>
      </c>
      <c r="G2980" t="s">
        <v>2004</v>
      </c>
      <c r="H2980">
        <v>5</v>
      </c>
      <c r="I2980" s="12">
        <f>Table16[[#This Row],[price]]*Table16[[#This Row],[quantity]]</f>
        <v>1200.32</v>
      </c>
    </row>
    <row r="2981" spans="1:9" x14ac:dyDescent="0.3">
      <c r="A2981" t="s">
        <v>4995</v>
      </c>
      <c r="B2981" t="s">
        <v>589</v>
      </c>
      <c r="C2981" t="s">
        <v>2024</v>
      </c>
      <c r="D2981">
        <v>5</v>
      </c>
      <c r="E2981" s="16">
        <v>179.2</v>
      </c>
      <c r="F2981" s="1">
        <v>44916</v>
      </c>
      <c r="G2981" t="s">
        <v>2004</v>
      </c>
      <c r="H2981">
        <v>2</v>
      </c>
      <c r="I2981" s="12">
        <f>Table16[[#This Row],[price]]*Table16[[#This Row],[quantity]]</f>
        <v>896</v>
      </c>
    </row>
    <row r="2982" spans="1:9" x14ac:dyDescent="0.3">
      <c r="A2982" t="s">
        <v>4999</v>
      </c>
      <c r="B2982" t="s">
        <v>590</v>
      </c>
      <c r="C2982" t="s">
        <v>2008</v>
      </c>
      <c r="D2982">
        <v>3</v>
      </c>
      <c r="E2982" s="16">
        <v>15.69</v>
      </c>
      <c r="F2982" s="1">
        <v>44353</v>
      </c>
      <c r="G2982" t="s">
        <v>2020</v>
      </c>
      <c r="H2982">
        <v>3</v>
      </c>
      <c r="I2982" s="12">
        <f>Table16[[#This Row],[price]]*Table16[[#This Row],[quantity]]</f>
        <v>47.07</v>
      </c>
    </row>
    <row r="2983" spans="1:9" x14ac:dyDescent="0.3">
      <c r="A2983" t="s">
        <v>5000</v>
      </c>
      <c r="B2983" t="s">
        <v>590</v>
      </c>
      <c r="C2983" t="s">
        <v>2011</v>
      </c>
      <c r="D2983">
        <v>2</v>
      </c>
      <c r="E2983" s="16">
        <v>81.319999999999993</v>
      </c>
      <c r="F2983" s="1">
        <v>44357</v>
      </c>
      <c r="G2983" t="s">
        <v>2002</v>
      </c>
      <c r="H2983">
        <v>3</v>
      </c>
      <c r="I2983" s="12">
        <f>Table16[[#This Row],[price]]*Table16[[#This Row],[quantity]]</f>
        <v>162.63999999999999</v>
      </c>
    </row>
    <row r="2984" spans="1:9" x14ac:dyDescent="0.3">
      <c r="A2984" t="s">
        <v>4998</v>
      </c>
      <c r="B2984" t="s">
        <v>590</v>
      </c>
      <c r="C2984" t="s">
        <v>2001</v>
      </c>
      <c r="D2984">
        <v>1</v>
      </c>
      <c r="E2984" s="16">
        <v>300.08</v>
      </c>
      <c r="F2984" s="1">
        <v>44738</v>
      </c>
      <c r="G2984" t="s">
        <v>2018</v>
      </c>
      <c r="H2984">
        <v>3</v>
      </c>
      <c r="I2984" s="12">
        <f>Table16[[#This Row],[price]]*Table16[[#This Row],[quantity]]</f>
        <v>300.08</v>
      </c>
    </row>
    <row r="2985" spans="1:9" x14ac:dyDescent="0.3">
      <c r="A2985" t="s">
        <v>5008</v>
      </c>
      <c r="B2985" t="s">
        <v>591</v>
      </c>
      <c r="C2985" t="s">
        <v>2011</v>
      </c>
      <c r="D2985">
        <v>2</v>
      </c>
      <c r="E2985" s="16">
        <v>81.319999999999993</v>
      </c>
      <c r="F2985" s="1">
        <v>44233</v>
      </c>
      <c r="G2985" t="s">
        <v>2002</v>
      </c>
      <c r="H2985">
        <v>5</v>
      </c>
      <c r="I2985" s="12">
        <f>Table16[[#This Row],[price]]*Table16[[#This Row],[quantity]]</f>
        <v>162.63999999999999</v>
      </c>
    </row>
    <row r="2986" spans="1:9" x14ac:dyDescent="0.3">
      <c r="A2986" t="s">
        <v>5005</v>
      </c>
      <c r="B2986" t="s">
        <v>591</v>
      </c>
      <c r="C2986" t="s">
        <v>2001</v>
      </c>
      <c r="D2986">
        <v>3</v>
      </c>
      <c r="E2986" s="16">
        <v>900.24</v>
      </c>
      <c r="F2986" s="1">
        <v>44310</v>
      </c>
      <c r="G2986" t="s">
        <v>2064</v>
      </c>
      <c r="H2986">
        <v>5</v>
      </c>
      <c r="I2986" s="12">
        <f>Table16[[#This Row],[price]]*Table16[[#This Row],[quantity]]</f>
        <v>2700.7200000000003</v>
      </c>
    </row>
    <row r="2987" spans="1:9" x14ac:dyDescent="0.3">
      <c r="A2987" t="s">
        <v>5007</v>
      </c>
      <c r="B2987" t="s">
        <v>591</v>
      </c>
      <c r="C2987" t="s">
        <v>2015</v>
      </c>
      <c r="D2987">
        <v>5</v>
      </c>
      <c r="E2987" s="16">
        <v>3000.85</v>
      </c>
      <c r="F2987" s="1">
        <v>44314</v>
      </c>
      <c r="G2987" t="s">
        <v>2018</v>
      </c>
      <c r="H2987">
        <v>5</v>
      </c>
      <c r="I2987" s="12">
        <f>Table16[[#This Row],[price]]*Table16[[#This Row],[quantity]]</f>
        <v>15004.25</v>
      </c>
    </row>
    <row r="2988" spans="1:9" x14ac:dyDescent="0.3">
      <c r="A2988" t="s">
        <v>5009</v>
      </c>
      <c r="B2988" t="s">
        <v>591</v>
      </c>
      <c r="C2988" t="s">
        <v>2008</v>
      </c>
      <c r="D2988">
        <v>4</v>
      </c>
      <c r="E2988" s="16">
        <v>20.92</v>
      </c>
      <c r="F2988" s="1">
        <v>44822</v>
      </c>
      <c r="G2988" t="s">
        <v>2002</v>
      </c>
      <c r="H2988">
        <v>1</v>
      </c>
      <c r="I2988" s="12">
        <f>Table16[[#This Row],[price]]*Table16[[#This Row],[quantity]]</f>
        <v>83.68</v>
      </c>
    </row>
    <row r="2989" spans="1:9" x14ac:dyDescent="0.3">
      <c r="A2989" t="s">
        <v>5006</v>
      </c>
      <c r="B2989" t="s">
        <v>591</v>
      </c>
      <c r="C2989" t="s">
        <v>2008</v>
      </c>
      <c r="D2989">
        <v>4</v>
      </c>
      <c r="E2989" s="16">
        <v>20.92</v>
      </c>
      <c r="F2989" s="1">
        <v>44826</v>
      </c>
      <c r="G2989" t="s">
        <v>2027</v>
      </c>
      <c r="H2989">
        <v>5</v>
      </c>
      <c r="I2989" s="12">
        <f>Table16[[#This Row],[price]]*Table16[[#This Row],[quantity]]</f>
        <v>83.68</v>
      </c>
    </row>
    <row r="2990" spans="1:9" x14ac:dyDescent="0.3">
      <c r="A2990" t="s">
        <v>5002</v>
      </c>
      <c r="B2990" t="s">
        <v>591</v>
      </c>
      <c r="C2990" t="s">
        <v>2001</v>
      </c>
      <c r="D2990">
        <v>1</v>
      </c>
      <c r="E2990" s="16">
        <v>300.08</v>
      </c>
      <c r="F2990" s="1">
        <v>44853</v>
      </c>
      <c r="G2990" t="s">
        <v>2004</v>
      </c>
      <c r="H2990">
        <v>1</v>
      </c>
      <c r="I2990" s="12">
        <f>Table16[[#This Row],[price]]*Table16[[#This Row],[quantity]]</f>
        <v>300.08</v>
      </c>
    </row>
    <row r="2991" spans="1:9" x14ac:dyDescent="0.3">
      <c r="A2991" t="s">
        <v>5001</v>
      </c>
      <c r="B2991" t="s">
        <v>591</v>
      </c>
      <c r="C2991" t="s">
        <v>2011</v>
      </c>
      <c r="D2991">
        <v>2</v>
      </c>
      <c r="E2991" s="16">
        <v>81.319999999999993</v>
      </c>
      <c r="F2991" s="1">
        <v>44855</v>
      </c>
      <c r="G2991" t="s">
        <v>2027</v>
      </c>
      <c r="H2991">
        <v>3</v>
      </c>
      <c r="I2991" s="12">
        <f>Table16[[#This Row],[price]]*Table16[[#This Row],[quantity]]</f>
        <v>162.63999999999999</v>
      </c>
    </row>
    <row r="2992" spans="1:9" x14ac:dyDescent="0.3">
      <c r="A2992" t="s">
        <v>5004</v>
      </c>
      <c r="B2992" t="s">
        <v>591</v>
      </c>
      <c r="C2992" t="s">
        <v>2008</v>
      </c>
      <c r="D2992">
        <v>2</v>
      </c>
      <c r="E2992" s="16">
        <v>10.46</v>
      </c>
      <c r="F2992" s="1">
        <v>44894</v>
      </c>
      <c r="G2992" t="s">
        <v>2064</v>
      </c>
      <c r="H2992">
        <v>2</v>
      </c>
      <c r="I2992" s="12">
        <f>Table16[[#This Row],[price]]*Table16[[#This Row],[quantity]]</f>
        <v>20.92</v>
      </c>
    </row>
    <row r="2993" spans="1:9" x14ac:dyDescent="0.3">
      <c r="A2993" t="s">
        <v>5003</v>
      </c>
      <c r="B2993" t="s">
        <v>591</v>
      </c>
      <c r="C2993" t="s">
        <v>2024</v>
      </c>
      <c r="D2993">
        <v>5</v>
      </c>
      <c r="E2993" s="16">
        <v>179.2</v>
      </c>
      <c r="F2993" s="1">
        <v>44916</v>
      </c>
      <c r="G2993" t="s">
        <v>2004</v>
      </c>
      <c r="H2993">
        <v>2</v>
      </c>
      <c r="I2993" s="12">
        <f>Table16[[#This Row],[price]]*Table16[[#This Row],[quantity]]</f>
        <v>896</v>
      </c>
    </row>
    <row r="2994" spans="1:9" x14ac:dyDescent="0.3">
      <c r="A2994" t="s">
        <v>5012</v>
      </c>
      <c r="B2994" t="s">
        <v>592</v>
      </c>
      <c r="C2994" t="s">
        <v>2001</v>
      </c>
      <c r="D2994">
        <v>4</v>
      </c>
      <c r="E2994" s="16">
        <v>1200.32</v>
      </c>
      <c r="F2994" s="1">
        <v>44257</v>
      </c>
      <c r="G2994" t="s">
        <v>2064</v>
      </c>
      <c r="H2994">
        <v>1</v>
      </c>
      <c r="I2994" s="12">
        <f>Table16[[#This Row],[price]]*Table16[[#This Row],[quantity]]</f>
        <v>4801.28</v>
      </c>
    </row>
    <row r="2995" spans="1:9" x14ac:dyDescent="0.3">
      <c r="A2995" t="s">
        <v>5010</v>
      </c>
      <c r="B2995" t="s">
        <v>592</v>
      </c>
      <c r="C2995" t="s">
        <v>2057</v>
      </c>
      <c r="D2995">
        <v>3</v>
      </c>
      <c r="E2995" s="16">
        <v>35.19</v>
      </c>
      <c r="F2995" s="1">
        <v>44575</v>
      </c>
      <c r="G2995" t="s">
        <v>2064</v>
      </c>
      <c r="H2995">
        <v>3</v>
      </c>
      <c r="I2995" s="12">
        <f>Table16[[#This Row],[price]]*Table16[[#This Row],[quantity]]</f>
        <v>105.57</v>
      </c>
    </row>
    <row r="2996" spans="1:9" x14ac:dyDescent="0.3">
      <c r="A2996" t="s">
        <v>5015</v>
      </c>
      <c r="B2996" t="s">
        <v>592</v>
      </c>
      <c r="C2996" t="s">
        <v>2001</v>
      </c>
      <c r="D2996">
        <v>2</v>
      </c>
      <c r="E2996" s="16">
        <v>600.16</v>
      </c>
      <c r="F2996" s="1">
        <v>44632</v>
      </c>
      <c r="G2996" t="s">
        <v>2064</v>
      </c>
      <c r="H2996">
        <v>4</v>
      </c>
      <c r="I2996" s="12">
        <f>Table16[[#This Row],[price]]*Table16[[#This Row],[quantity]]</f>
        <v>1200.32</v>
      </c>
    </row>
    <row r="2997" spans="1:9" x14ac:dyDescent="0.3">
      <c r="A2997" t="s">
        <v>5014</v>
      </c>
      <c r="B2997" t="s">
        <v>592</v>
      </c>
      <c r="C2997" t="s">
        <v>2008</v>
      </c>
      <c r="D2997">
        <v>5</v>
      </c>
      <c r="E2997" s="16">
        <v>26.15</v>
      </c>
      <c r="F2997" s="1">
        <v>44714</v>
      </c>
      <c r="G2997" t="s">
        <v>2020</v>
      </c>
      <c r="H2997">
        <v>4</v>
      </c>
      <c r="I2997" s="12">
        <f>Table16[[#This Row],[price]]*Table16[[#This Row],[quantity]]</f>
        <v>130.75</v>
      </c>
    </row>
    <row r="2998" spans="1:9" x14ac:dyDescent="0.3">
      <c r="A2998" t="s">
        <v>5013</v>
      </c>
      <c r="B2998" t="s">
        <v>592</v>
      </c>
      <c r="C2998" t="s">
        <v>2008</v>
      </c>
      <c r="D2998">
        <v>2</v>
      </c>
      <c r="E2998" s="16">
        <v>10.46</v>
      </c>
      <c r="F2998" s="1">
        <v>44746</v>
      </c>
      <c r="G2998" t="s">
        <v>2004</v>
      </c>
      <c r="H2998">
        <v>5</v>
      </c>
      <c r="I2998" s="12">
        <f>Table16[[#This Row],[price]]*Table16[[#This Row],[quantity]]</f>
        <v>20.92</v>
      </c>
    </row>
    <row r="2999" spans="1:9" x14ac:dyDescent="0.3">
      <c r="A2999" t="s">
        <v>5011</v>
      </c>
      <c r="B2999" t="s">
        <v>592</v>
      </c>
      <c r="C2999" t="s">
        <v>2011</v>
      </c>
      <c r="D2999">
        <v>4</v>
      </c>
      <c r="E2999" s="16">
        <v>162.63999999999999</v>
      </c>
      <c r="F2999" s="1">
        <v>44875</v>
      </c>
      <c r="G2999" t="s">
        <v>2064</v>
      </c>
      <c r="H2999">
        <v>2</v>
      </c>
      <c r="I2999" s="12">
        <f>Table16[[#This Row],[price]]*Table16[[#This Row],[quantity]]</f>
        <v>650.55999999999995</v>
      </c>
    </row>
    <row r="3000" spans="1:9" x14ac:dyDescent="0.3">
      <c r="A3000" t="s">
        <v>5019</v>
      </c>
      <c r="B3000" t="s">
        <v>593</v>
      </c>
      <c r="C3000" t="s">
        <v>2015</v>
      </c>
      <c r="D3000">
        <v>2</v>
      </c>
      <c r="E3000" s="16">
        <v>1200.3399999999999</v>
      </c>
      <c r="F3000" s="1">
        <v>44236</v>
      </c>
      <c r="G3000" t="s">
        <v>2064</v>
      </c>
      <c r="H3000">
        <v>1</v>
      </c>
      <c r="I3000" s="12">
        <f>Table16[[#This Row],[price]]*Table16[[#This Row],[quantity]]</f>
        <v>2400.6799999999998</v>
      </c>
    </row>
    <row r="3001" spans="1:9" x14ac:dyDescent="0.3">
      <c r="A3001" t="s">
        <v>5018</v>
      </c>
      <c r="B3001" t="s">
        <v>593</v>
      </c>
      <c r="C3001" t="s">
        <v>2001</v>
      </c>
      <c r="D3001">
        <v>4</v>
      </c>
      <c r="E3001" s="16">
        <v>1200.32</v>
      </c>
      <c r="F3001" s="1">
        <v>44242</v>
      </c>
      <c r="G3001" t="s">
        <v>2002</v>
      </c>
      <c r="H3001">
        <v>5</v>
      </c>
      <c r="I3001" s="12">
        <f>Table16[[#This Row],[price]]*Table16[[#This Row],[quantity]]</f>
        <v>4801.28</v>
      </c>
    </row>
    <row r="3002" spans="1:9" x14ac:dyDescent="0.3">
      <c r="A3002" t="s">
        <v>5017</v>
      </c>
      <c r="B3002" t="s">
        <v>593</v>
      </c>
      <c r="C3002" t="s">
        <v>2001</v>
      </c>
      <c r="D3002">
        <v>5</v>
      </c>
      <c r="E3002" s="16">
        <v>1500.4</v>
      </c>
      <c r="F3002" s="1">
        <v>44253</v>
      </c>
      <c r="G3002" t="s">
        <v>2064</v>
      </c>
      <c r="H3002">
        <v>1</v>
      </c>
      <c r="I3002" s="12">
        <f>Table16[[#This Row],[price]]*Table16[[#This Row],[quantity]]</f>
        <v>7502</v>
      </c>
    </row>
    <row r="3003" spans="1:9" x14ac:dyDescent="0.3">
      <c r="A3003" t="s">
        <v>5016</v>
      </c>
      <c r="B3003" t="s">
        <v>593</v>
      </c>
      <c r="C3003" t="s">
        <v>2008</v>
      </c>
      <c r="D3003">
        <v>5</v>
      </c>
      <c r="E3003" s="16">
        <v>26.15</v>
      </c>
      <c r="F3003" s="1">
        <v>44365</v>
      </c>
      <c r="G3003" t="s">
        <v>2020</v>
      </c>
      <c r="H3003">
        <v>4</v>
      </c>
      <c r="I3003" s="12">
        <f>Table16[[#This Row],[price]]*Table16[[#This Row],[quantity]]</f>
        <v>130.75</v>
      </c>
    </row>
    <row r="3004" spans="1:9" x14ac:dyDescent="0.3">
      <c r="A3004" t="s">
        <v>5020</v>
      </c>
      <c r="B3004" t="s">
        <v>593</v>
      </c>
      <c r="C3004" t="s">
        <v>2011</v>
      </c>
      <c r="D3004">
        <v>5</v>
      </c>
      <c r="E3004" s="16">
        <v>203.3</v>
      </c>
      <c r="F3004" s="1">
        <v>44477</v>
      </c>
      <c r="G3004" t="s">
        <v>2027</v>
      </c>
      <c r="H3004">
        <v>5</v>
      </c>
      <c r="I3004" s="12">
        <f>Table16[[#This Row],[price]]*Table16[[#This Row],[quantity]]</f>
        <v>1016.5</v>
      </c>
    </row>
    <row r="3005" spans="1:9" x14ac:dyDescent="0.3">
      <c r="A3005" t="s">
        <v>5026</v>
      </c>
      <c r="B3005" t="s">
        <v>594</v>
      </c>
      <c r="C3005" t="s">
        <v>2008</v>
      </c>
      <c r="D3005">
        <v>4</v>
      </c>
      <c r="E3005" s="16">
        <v>20.92</v>
      </c>
      <c r="F3005" s="1">
        <v>44371</v>
      </c>
      <c r="G3005" t="s">
        <v>2027</v>
      </c>
      <c r="H3005">
        <v>3</v>
      </c>
      <c r="I3005" s="12">
        <f>Table16[[#This Row],[price]]*Table16[[#This Row],[quantity]]</f>
        <v>83.68</v>
      </c>
    </row>
    <row r="3006" spans="1:9" x14ac:dyDescent="0.3">
      <c r="A3006" t="s">
        <v>5023</v>
      </c>
      <c r="B3006" t="s">
        <v>594</v>
      </c>
      <c r="C3006" t="s">
        <v>2001</v>
      </c>
      <c r="D3006">
        <v>1</v>
      </c>
      <c r="E3006" s="16">
        <v>300.08</v>
      </c>
      <c r="F3006" s="1">
        <v>44386</v>
      </c>
      <c r="G3006" t="s">
        <v>2064</v>
      </c>
      <c r="H3006">
        <v>3</v>
      </c>
      <c r="I3006" s="12">
        <f>Table16[[#This Row],[price]]*Table16[[#This Row],[quantity]]</f>
        <v>300.08</v>
      </c>
    </row>
    <row r="3007" spans="1:9" x14ac:dyDescent="0.3">
      <c r="A3007" t="s">
        <v>5024</v>
      </c>
      <c r="B3007" t="s">
        <v>594</v>
      </c>
      <c r="C3007" t="s">
        <v>2015</v>
      </c>
      <c r="D3007">
        <v>4</v>
      </c>
      <c r="E3007" s="16">
        <v>2400.6799999999998</v>
      </c>
      <c r="F3007" s="1">
        <v>44428</v>
      </c>
      <c r="G3007" t="s">
        <v>2004</v>
      </c>
      <c r="H3007">
        <v>1</v>
      </c>
      <c r="I3007" s="12">
        <f>Table16[[#This Row],[price]]*Table16[[#This Row],[quantity]]</f>
        <v>9602.7199999999993</v>
      </c>
    </row>
    <row r="3008" spans="1:9" x14ac:dyDescent="0.3">
      <c r="A3008" t="s">
        <v>5025</v>
      </c>
      <c r="B3008" t="s">
        <v>594</v>
      </c>
      <c r="C3008" t="s">
        <v>2001</v>
      </c>
      <c r="D3008">
        <v>5</v>
      </c>
      <c r="E3008" s="16">
        <v>1500.4</v>
      </c>
      <c r="F3008" s="1">
        <v>44543</v>
      </c>
      <c r="G3008" t="s">
        <v>2020</v>
      </c>
      <c r="H3008">
        <v>3</v>
      </c>
      <c r="I3008" s="12">
        <f>Table16[[#This Row],[price]]*Table16[[#This Row],[quantity]]</f>
        <v>7502</v>
      </c>
    </row>
    <row r="3009" spans="1:9" x14ac:dyDescent="0.3">
      <c r="A3009" t="s">
        <v>5021</v>
      </c>
      <c r="B3009" t="s">
        <v>594</v>
      </c>
      <c r="C3009" t="s">
        <v>2057</v>
      </c>
      <c r="D3009">
        <v>1</v>
      </c>
      <c r="E3009" s="16">
        <v>11.73</v>
      </c>
      <c r="F3009" s="1">
        <v>44651</v>
      </c>
      <c r="G3009" t="s">
        <v>2004</v>
      </c>
      <c r="H3009">
        <v>2</v>
      </c>
      <c r="I3009" s="12">
        <f>Table16[[#This Row],[price]]*Table16[[#This Row],[quantity]]</f>
        <v>11.73</v>
      </c>
    </row>
    <row r="3010" spans="1:9" x14ac:dyDescent="0.3">
      <c r="A3010" t="s">
        <v>5028</v>
      </c>
      <c r="B3010" t="s">
        <v>594</v>
      </c>
      <c r="C3010" t="s">
        <v>2001</v>
      </c>
      <c r="D3010">
        <v>2</v>
      </c>
      <c r="E3010" s="16">
        <v>600.16</v>
      </c>
      <c r="F3010" s="1">
        <v>44670</v>
      </c>
      <c r="G3010" t="s">
        <v>2027</v>
      </c>
      <c r="H3010">
        <v>4</v>
      </c>
      <c r="I3010" s="12">
        <f>Table16[[#This Row],[price]]*Table16[[#This Row],[quantity]]</f>
        <v>1200.32</v>
      </c>
    </row>
    <row r="3011" spans="1:9" x14ac:dyDescent="0.3">
      <c r="A3011" t="s">
        <v>5027</v>
      </c>
      <c r="B3011" t="s">
        <v>594</v>
      </c>
      <c r="C3011" t="s">
        <v>2008</v>
      </c>
      <c r="D3011">
        <v>1</v>
      </c>
      <c r="E3011" s="16">
        <v>5.23</v>
      </c>
      <c r="F3011" s="1">
        <v>44769</v>
      </c>
      <c r="G3011" t="s">
        <v>2020</v>
      </c>
      <c r="H3011">
        <v>4</v>
      </c>
      <c r="I3011" s="12">
        <f>Table16[[#This Row],[price]]*Table16[[#This Row],[quantity]]</f>
        <v>5.23</v>
      </c>
    </row>
    <row r="3012" spans="1:9" x14ac:dyDescent="0.3">
      <c r="A3012" t="s">
        <v>5022</v>
      </c>
      <c r="B3012" t="s">
        <v>594</v>
      </c>
      <c r="C3012" t="s">
        <v>2024</v>
      </c>
      <c r="D3012">
        <v>2</v>
      </c>
      <c r="E3012" s="16">
        <v>71.680000000000007</v>
      </c>
      <c r="F3012" s="1">
        <v>44796</v>
      </c>
      <c r="G3012" t="s">
        <v>2012</v>
      </c>
      <c r="H3012">
        <v>3</v>
      </c>
      <c r="I3012" s="12">
        <f>Table16[[#This Row],[price]]*Table16[[#This Row],[quantity]]</f>
        <v>143.36000000000001</v>
      </c>
    </row>
    <row r="3013" spans="1:9" x14ac:dyDescent="0.3">
      <c r="A3013" t="s">
        <v>5032</v>
      </c>
      <c r="B3013" t="s">
        <v>595</v>
      </c>
      <c r="C3013" t="s">
        <v>2001</v>
      </c>
      <c r="D3013">
        <v>2</v>
      </c>
      <c r="E3013" s="16">
        <v>600.16</v>
      </c>
      <c r="F3013" s="1">
        <v>44325</v>
      </c>
      <c r="G3013" t="s">
        <v>2009</v>
      </c>
      <c r="H3013">
        <v>1</v>
      </c>
      <c r="I3013" s="12">
        <f>Table16[[#This Row],[price]]*Table16[[#This Row],[quantity]]</f>
        <v>1200.32</v>
      </c>
    </row>
    <row r="3014" spans="1:9" x14ac:dyDescent="0.3">
      <c r="A3014" t="s">
        <v>5030</v>
      </c>
      <c r="B3014" t="s">
        <v>595</v>
      </c>
      <c r="C3014" t="s">
        <v>2017</v>
      </c>
      <c r="D3014">
        <v>2</v>
      </c>
      <c r="E3014" s="16">
        <v>2100</v>
      </c>
      <c r="F3014" s="1">
        <v>44376</v>
      </c>
      <c r="G3014" t="s">
        <v>2027</v>
      </c>
      <c r="H3014">
        <v>2</v>
      </c>
      <c r="I3014" s="12">
        <f>Table16[[#This Row],[price]]*Table16[[#This Row],[quantity]]</f>
        <v>4200</v>
      </c>
    </row>
    <row r="3015" spans="1:9" x14ac:dyDescent="0.3">
      <c r="A3015" t="s">
        <v>5029</v>
      </c>
      <c r="B3015" t="s">
        <v>595</v>
      </c>
      <c r="C3015" t="s">
        <v>2008</v>
      </c>
      <c r="D3015">
        <v>3</v>
      </c>
      <c r="E3015" s="16">
        <v>15.69</v>
      </c>
      <c r="F3015" s="1">
        <v>44386</v>
      </c>
      <c r="G3015" t="s">
        <v>2027</v>
      </c>
      <c r="H3015">
        <v>1</v>
      </c>
      <c r="I3015" s="12">
        <f>Table16[[#This Row],[price]]*Table16[[#This Row],[quantity]]</f>
        <v>47.07</v>
      </c>
    </row>
    <row r="3016" spans="1:9" x14ac:dyDescent="0.3">
      <c r="A3016" t="s">
        <v>5033</v>
      </c>
      <c r="B3016" t="s">
        <v>595</v>
      </c>
      <c r="C3016" t="s">
        <v>2017</v>
      </c>
      <c r="D3016">
        <v>2</v>
      </c>
      <c r="E3016" s="16">
        <v>2100</v>
      </c>
      <c r="F3016" s="1">
        <v>44510</v>
      </c>
      <c r="G3016" t="s">
        <v>2018</v>
      </c>
      <c r="H3016">
        <v>4</v>
      </c>
      <c r="I3016" s="12">
        <f>Table16[[#This Row],[price]]*Table16[[#This Row],[quantity]]</f>
        <v>4200</v>
      </c>
    </row>
    <row r="3017" spans="1:9" x14ac:dyDescent="0.3">
      <c r="A3017" t="s">
        <v>5035</v>
      </c>
      <c r="B3017" t="s">
        <v>595</v>
      </c>
      <c r="C3017" t="s">
        <v>2008</v>
      </c>
      <c r="D3017">
        <v>3</v>
      </c>
      <c r="E3017" s="16">
        <v>15.69</v>
      </c>
      <c r="F3017" s="1">
        <v>44796</v>
      </c>
      <c r="G3017" t="s">
        <v>2027</v>
      </c>
      <c r="H3017">
        <v>3</v>
      </c>
      <c r="I3017" s="12">
        <f>Table16[[#This Row],[price]]*Table16[[#This Row],[quantity]]</f>
        <v>47.07</v>
      </c>
    </row>
    <row r="3018" spans="1:9" x14ac:dyDescent="0.3">
      <c r="A3018" t="s">
        <v>5034</v>
      </c>
      <c r="B3018" t="s">
        <v>595</v>
      </c>
      <c r="C3018" t="s">
        <v>2015</v>
      </c>
      <c r="D3018">
        <v>4</v>
      </c>
      <c r="E3018" s="16">
        <v>2400.6799999999998</v>
      </c>
      <c r="F3018" s="1">
        <v>44897</v>
      </c>
      <c r="G3018" t="s">
        <v>2027</v>
      </c>
      <c r="H3018">
        <v>4</v>
      </c>
      <c r="I3018" s="12">
        <f>Table16[[#This Row],[price]]*Table16[[#This Row],[quantity]]</f>
        <v>9602.7199999999993</v>
      </c>
    </row>
    <row r="3019" spans="1:9" x14ac:dyDescent="0.3">
      <c r="A3019" t="s">
        <v>5031</v>
      </c>
      <c r="B3019" t="s">
        <v>595</v>
      </c>
      <c r="C3019" t="s">
        <v>2011</v>
      </c>
      <c r="D3019">
        <v>5</v>
      </c>
      <c r="E3019" s="16">
        <v>203.3</v>
      </c>
      <c r="F3019" s="1">
        <v>44952</v>
      </c>
      <c r="G3019" t="s">
        <v>2004</v>
      </c>
      <c r="H3019">
        <v>1</v>
      </c>
      <c r="I3019" s="12">
        <f>Table16[[#This Row],[price]]*Table16[[#This Row],[quantity]]</f>
        <v>1016.5</v>
      </c>
    </row>
    <row r="3020" spans="1:9" x14ac:dyDescent="0.3">
      <c r="A3020" t="s">
        <v>5040</v>
      </c>
      <c r="B3020" t="s">
        <v>596</v>
      </c>
      <c r="C3020" t="s">
        <v>2006</v>
      </c>
      <c r="D3020">
        <v>1</v>
      </c>
      <c r="E3020" s="16">
        <v>15.15</v>
      </c>
      <c r="F3020" s="1">
        <v>44405</v>
      </c>
      <c r="G3020" t="s">
        <v>2004</v>
      </c>
      <c r="H3020">
        <v>1</v>
      </c>
      <c r="I3020" s="12">
        <f>Table16[[#This Row],[price]]*Table16[[#This Row],[quantity]]</f>
        <v>15.15</v>
      </c>
    </row>
    <row r="3021" spans="1:9" x14ac:dyDescent="0.3">
      <c r="A3021" t="s">
        <v>5038</v>
      </c>
      <c r="B3021" t="s">
        <v>596</v>
      </c>
      <c r="C3021" t="s">
        <v>2015</v>
      </c>
      <c r="D3021">
        <v>3</v>
      </c>
      <c r="E3021" s="16">
        <v>1800.51</v>
      </c>
      <c r="F3021" s="1">
        <v>44668</v>
      </c>
      <c r="G3021" t="s">
        <v>2004</v>
      </c>
      <c r="H3021">
        <v>1</v>
      </c>
      <c r="I3021" s="12">
        <f>Table16[[#This Row],[price]]*Table16[[#This Row],[quantity]]</f>
        <v>5401.53</v>
      </c>
    </row>
    <row r="3022" spans="1:9" x14ac:dyDescent="0.3">
      <c r="A3022" t="s">
        <v>5039</v>
      </c>
      <c r="B3022" t="s">
        <v>596</v>
      </c>
      <c r="C3022" t="s">
        <v>2001</v>
      </c>
      <c r="D3022">
        <v>1</v>
      </c>
      <c r="E3022" s="16">
        <v>300.08</v>
      </c>
      <c r="F3022" s="1">
        <v>44771</v>
      </c>
      <c r="G3022" t="s">
        <v>2027</v>
      </c>
      <c r="H3022">
        <v>1</v>
      </c>
      <c r="I3022" s="12">
        <f>Table16[[#This Row],[price]]*Table16[[#This Row],[quantity]]</f>
        <v>300.08</v>
      </c>
    </row>
    <row r="3023" spans="1:9" x14ac:dyDescent="0.3">
      <c r="A3023" t="s">
        <v>5036</v>
      </c>
      <c r="B3023" t="s">
        <v>596</v>
      </c>
      <c r="C3023" t="s">
        <v>2008</v>
      </c>
      <c r="D3023">
        <v>2</v>
      </c>
      <c r="E3023" s="16">
        <v>10.46</v>
      </c>
      <c r="F3023" s="1">
        <v>44803</v>
      </c>
      <c r="G3023" t="s">
        <v>2004</v>
      </c>
      <c r="H3023">
        <v>5</v>
      </c>
      <c r="I3023" s="12">
        <f>Table16[[#This Row],[price]]*Table16[[#This Row],[quantity]]</f>
        <v>20.92</v>
      </c>
    </row>
    <row r="3024" spans="1:9" x14ac:dyDescent="0.3">
      <c r="A3024" t="s">
        <v>5037</v>
      </c>
      <c r="B3024" t="s">
        <v>596</v>
      </c>
      <c r="C3024" t="s">
        <v>2008</v>
      </c>
      <c r="D3024">
        <v>5</v>
      </c>
      <c r="E3024" s="16">
        <v>26.15</v>
      </c>
      <c r="F3024" s="1">
        <v>44976</v>
      </c>
      <c r="G3024" t="s">
        <v>2027</v>
      </c>
      <c r="H3024">
        <v>1</v>
      </c>
      <c r="I3024" s="12">
        <f>Table16[[#This Row],[price]]*Table16[[#This Row],[quantity]]</f>
        <v>130.75</v>
      </c>
    </row>
    <row r="3025" spans="1:9" x14ac:dyDescent="0.3">
      <c r="A3025" t="s">
        <v>5041</v>
      </c>
      <c r="B3025" t="s">
        <v>596</v>
      </c>
      <c r="C3025" t="s">
        <v>2024</v>
      </c>
      <c r="D3025">
        <v>4</v>
      </c>
      <c r="E3025" s="16">
        <v>143.36000000000001</v>
      </c>
      <c r="F3025" s="1">
        <v>44992</v>
      </c>
      <c r="G3025" t="s">
        <v>2009</v>
      </c>
      <c r="H3025">
        <v>1</v>
      </c>
      <c r="I3025" s="12">
        <f>Table16[[#This Row],[price]]*Table16[[#This Row],[quantity]]</f>
        <v>573.44000000000005</v>
      </c>
    </row>
    <row r="3026" spans="1:9" x14ac:dyDescent="0.3">
      <c r="A3026" t="s">
        <v>5044</v>
      </c>
      <c r="B3026" t="s">
        <v>597</v>
      </c>
      <c r="C3026" t="s">
        <v>2001</v>
      </c>
      <c r="D3026">
        <v>1</v>
      </c>
      <c r="E3026" s="16">
        <v>300.08</v>
      </c>
      <c r="F3026" s="1">
        <v>44305</v>
      </c>
      <c r="G3026" t="s">
        <v>2041</v>
      </c>
      <c r="H3026">
        <v>1</v>
      </c>
      <c r="I3026" s="12">
        <f>Table16[[#This Row],[price]]*Table16[[#This Row],[quantity]]</f>
        <v>300.08</v>
      </c>
    </row>
    <row r="3027" spans="1:9" x14ac:dyDescent="0.3">
      <c r="A3027" t="s">
        <v>5047</v>
      </c>
      <c r="B3027" t="s">
        <v>597</v>
      </c>
      <c r="C3027" t="s">
        <v>2024</v>
      </c>
      <c r="D3027">
        <v>3</v>
      </c>
      <c r="E3027" s="16">
        <v>107.52</v>
      </c>
      <c r="F3027" s="1">
        <v>44507</v>
      </c>
      <c r="G3027" t="s">
        <v>2027</v>
      </c>
      <c r="H3027">
        <v>3</v>
      </c>
      <c r="I3027" s="12">
        <f>Table16[[#This Row],[price]]*Table16[[#This Row],[quantity]]</f>
        <v>322.56</v>
      </c>
    </row>
    <row r="3028" spans="1:9" x14ac:dyDescent="0.3">
      <c r="A3028" t="s">
        <v>5043</v>
      </c>
      <c r="B3028" t="s">
        <v>597</v>
      </c>
      <c r="C3028" t="s">
        <v>2001</v>
      </c>
      <c r="D3028">
        <v>3</v>
      </c>
      <c r="E3028" s="16">
        <v>900.24</v>
      </c>
      <c r="F3028" s="1">
        <v>44675</v>
      </c>
      <c r="G3028" t="s">
        <v>2018</v>
      </c>
      <c r="H3028">
        <v>1</v>
      </c>
      <c r="I3028" s="12">
        <f>Table16[[#This Row],[price]]*Table16[[#This Row],[quantity]]</f>
        <v>2700.7200000000003</v>
      </c>
    </row>
    <row r="3029" spans="1:9" x14ac:dyDescent="0.3">
      <c r="A3029" t="s">
        <v>5046</v>
      </c>
      <c r="B3029" t="s">
        <v>597</v>
      </c>
      <c r="C3029" t="s">
        <v>2001</v>
      </c>
      <c r="D3029">
        <v>1</v>
      </c>
      <c r="E3029" s="16">
        <v>300.08</v>
      </c>
      <c r="F3029" s="1">
        <v>44785</v>
      </c>
      <c r="G3029" t="s">
        <v>2004</v>
      </c>
      <c r="H3029">
        <v>4</v>
      </c>
      <c r="I3029" s="12">
        <f>Table16[[#This Row],[price]]*Table16[[#This Row],[quantity]]</f>
        <v>300.08</v>
      </c>
    </row>
    <row r="3030" spans="1:9" x14ac:dyDescent="0.3">
      <c r="A3030" t="s">
        <v>5042</v>
      </c>
      <c r="B3030" t="s">
        <v>597</v>
      </c>
      <c r="C3030" t="s">
        <v>2024</v>
      </c>
      <c r="D3030">
        <v>2</v>
      </c>
      <c r="E3030" s="16">
        <v>71.680000000000007</v>
      </c>
      <c r="F3030" s="1">
        <v>44899</v>
      </c>
      <c r="G3030" t="s">
        <v>2027</v>
      </c>
      <c r="H3030">
        <v>1</v>
      </c>
      <c r="I3030" s="12">
        <f>Table16[[#This Row],[price]]*Table16[[#This Row],[quantity]]</f>
        <v>143.36000000000001</v>
      </c>
    </row>
    <row r="3031" spans="1:9" x14ac:dyDescent="0.3">
      <c r="A3031" t="s">
        <v>5045</v>
      </c>
      <c r="B3031" t="s">
        <v>597</v>
      </c>
      <c r="C3031" t="s">
        <v>2001</v>
      </c>
      <c r="D3031">
        <v>2</v>
      </c>
      <c r="E3031" s="16">
        <v>600.16</v>
      </c>
      <c r="F3031" s="1">
        <v>44944</v>
      </c>
      <c r="G3031" t="s">
        <v>2020</v>
      </c>
      <c r="H3031">
        <v>2</v>
      </c>
      <c r="I3031" s="12">
        <f>Table16[[#This Row],[price]]*Table16[[#This Row],[quantity]]</f>
        <v>1200.32</v>
      </c>
    </row>
    <row r="3032" spans="1:9" x14ac:dyDescent="0.3">
      <c r="A3032" t="s">
        <v>5053</v>
      </c>
      <c r="B3032" t="s">
        <v>598</v>
      </c>
      <c r="C3032" t="s">
        <v>2006</v>
      </c>
      <c r="D3032">
        <v>2</v>
      </c>
      <c r="E3032" s="16">
        <v>30.3</v>
      </c>
      <c r="F3032" s="1">
        <v>44356</v>
      </c>
      <c r="G3032" t="s">
        <v>2004</v>
      </c>
      <c r="H3032">
        <v>5</v>
      </c>
      <c r="I3032" s="12">
        <f>Table16[[#This Row],[price]]*Table16[[#This Row],[quantity]]</f>
        <v>60.6</v>
      </c>
    </row>
    <row r="3033" spans="1:9" x14ac:dyDescent="0.3">
      <c r="A3033" t="s">
        <v>5052</v>
      </c>
      <c r="B3033" t="s">
        <v>598</v>
      </c>
      <c r="C3033" t="s">
        <v>2008</v>
      </c>
      <c r="D3033">
        <v>1</v>
      </c>
      <c r="E3033" s="16">
        <v>5.23</v>
      </c>
      <c r="F3033" s="1">
        <v>44521</v>
      </c>
      <c r="G3033" t="s">
        <v>2002</v>
      </c>
      <c r="H3033">
        <v>1</v>
      </c>
      <c r="I3033" s="12">
        <f>Table16[[#This Row],[price]]*Table16[[#This Row],[quantity]]</f>
        <v>5.23</v>
      </c>
    </row>
    <row r="3034" spans="1:9" x14ac:dyDescent="0.3">
      <c r="A3034" t="s">
        <v>5051</v>
      </c>
      <c r="B3034" t="s">
        <v>598</v>
      </c>
      <c r="C3034" t="s">
        <v>2011</v>
      </c>
      <c r="D3034">
        <v>2</v>
      </c>
      <c r="E3034" s="16">
        <v>81.319999999999993</v>
      </c>
      <c r="F3034" s="1">
        <v>44572</v>
      </c>
      <c r="G3034" t="s">
        <v>2004</v>
      </c>
      <c r="H3034">
        <v>4</v>
      </c>
      <c r="I3034" s="12">
        <f>Table16[[#This Row],[price]]*Table16[[#This Row],[quantity]]</f>
        <v>162.63999999999999</v>
      </c>
    </row>
    <row r="3035" spans="1:9" x14ac:dyDescent="0.3">
      <c r="A3035" t="s">
        <v>5048</v>
      </c>
      <c r="B3035" t="s">
        <v>598</v>
      </c>
      <c r="C3035" t="s">
        <v>2011</v>
      </c>
      <c r="D3035">
        <v>4</v>
      </c>
      <c r="E3035" s="16">
        <v>162.63999999999999</v>
      </c>
      <c r="F3035" s="1">
        <v>44623</v>
      </c>
      <c r="G3035" t="s">
        <v>2004</v>
      </c>
      <c r="H3035">
        <v>2</v>
      </c>
      <c r="I3035" s="12">
        <f>Table16[[#This Row],[price]]*Table16[[#This Row],[quantity]]</f>
        <v>650.55999999999995</v>
      </c>
    </row>
    <row r="3036" spans="1:9" x14ac:dyDescent="0.3">
      <c r="A3036" t="s">
        <v>5049</v>
      </c>
      <c r="B3036" t="s">
        <v>598</v>
      </c>
      <c r="C3036" t="s">
        <v>2008</v>
      </c>
      <c r="D3036">
        <v>5</v>
      </c>
      <c r="E3036" s="16">
        <v>26.15</v>
      </c>
      <c r="F3036" s="1">
        <v>44644</v>
      </c>
      <c r="G3036" t="s">
        <v>2020</v>
      </c>
      <c r="H3036">
        <v>3</v>
      </c>
      <c r="I3036" s="12">
        <f>Table16[[#This Row],[price]]*Table16[[#This Row],[quantity]]</f>
        <v>130.75</v>
      </c>
    </row>
    <row r="3037" spans="1:9" x14ac:dyDescent="0.3">
      <c r="A3037" t="s">
        <v>5050</v>
      </c>
      <c r="B3037" t="s">
        <v>598</v>
      </c>
      <c r="C3037" t="s">
        <v>2001</v>
      </c>
      <c r="D3037">
        <v>4</v>
      </c>
      <c r="E3037" s="16">
        <v>1200.32</v>
      </c>
      <c r="F3037" s="1">
        <v>44692</v>
      </c>
      <c r="G3037" t="s">
        <v>2027</v>
      </c>
      <c r="H3037">
        <v>5</v>
      </c>
      <c r="I3037" s="12">
        <f>Table16[[#This Row],[price]]*Table16[[#This Row],[quantity]]</f>
        <v>4801.28</v>
      </c>
    </row>
    <row r="3038" spans="1:9" x14ac:dyDescent="0.3">
      <c r="A3038" t="s">
        <v>5056</v>
      </c>
      <c r="B3038" t="s">
        <v>599</v>
      </c>
      <c r="C3038" t="s">
        <v>2008</v>
      </c>
      <c r="D3038">
        <v>3</v>
      </c>
      <c r="E3038" s="16">
        <v>15.69</v>
      </c>
      <c r="F3038" s="1">
        <v>44282</v>
      </c>
      <c r="G3038" t="s">
        <v>2002</v>
      </c>
      <c r="H3038">
        <v>4</v>
      </c>
      <c r="I3038" s="12">
        <f>Table16[[#This Row],[price]]*Table16[[#This Row],[quantity]]</f>
        <v>47.07</v>
      </c>
    </row>
    <row r="3039" spans="1:9" x14ac:dyDescent="0.3">
      <c r="A3039" t="s">
        <v>5059</v>
      </c>
      <c r="B3039" t="s">
        <v>599</v>
      </c>
      <c r="C3039" t="s">
        <v>2015</v>
      </c>
      <c r="D3039">
        <v>3</v>
      </c>
      <c r="E3039" s="16">
        <v>1800.51</v>
      </c>
      <c r="F3039" s="1">
        <v>44410</v>
      </c>
      <c r="G3039" t="s">
        <v>2004</v>
      </c>
      <c r="H3039">
        <v>5</v>
      </c>
      <c r="I3039" s="12">
        <f>Table16[[#This Row],[price]]*Table16[[#This Row],[quantity]]</f>
        <v>5401.53</v>
      </c>
    </row>
    <row r="3040" spans="1:9" x14ac:dyDescent="0.3">
      <c r="A3040" t="s">
        <v>5060</v>
      </c>
      <c r="B3040" t="s">
        <v>599</v>
      </c>
      <c r="C3040" t="s">
        <v>2008</v>
      </c>
      <c r="D3040">
        <v>4</v>
      </c>
      <c r="E3040" s="16">
        <v>20.92</v>
      </c>
      <c r="F3040" s="1">
        <v>44625</v>
      </c>
      <c r="G3040" t="s">
        <v>2027</v>
      </c>
      <c r="H3040">
        <v>1</v>
      </c>
      <c r="I3040" s="12">
        <f>Table16[[#This Row],[price]]*Table16[[#This Row],[quantity]]</f>
        <v>83.68</v>
      </c>
    </row>
    <row r="3041" spans="1:9" x14ac:dyDescent="0.3">
      <c r="A3041" t="s">
        <v>5055</v>
      </c>
      <c r="B3041" t="s">
        <v>599</v>
      </c>
      <c r="C3041" t="s">
        <v>2008</v>
      </c>
      <c r="D3041">
        <v>1</v>
      </c>
      <c r="E3041" s="16">
        <v>5.23</v>
      </c>
      <c r="F3041" s="1">
        <v>44648</v>
      </c>
      <c r="G3041" t="s">
        <v>2020</v>
      </c>
      <c r="H3041">
        <v>3</v>
      </c>
      <c r="I3041" s="12">
        <f>Table16[[#This Row],[price]]*Table16[[#This Row],[quantity]]</f>
        <v>5.23</v>
      </c>
    </row>
    <row r="3042" spans="1:9" x14ac:dyDescent="0.3">
      <c r="A3042" t="s">
        <v>5054</v>
      </c>
      <c r="B3042" t="s">
        <v>599</v>
      </c>
      <c r="C3042" t="s">
        <v>2011</v>
      </c>
      <c r="D3042">
        <v>3</v>
      </c>
      <c r="E3042" s="16">
        <v>121.98</v>
      </c>
      <c r="F3042" s="1">
        <v>44653</v>
      </c>
      <c r="G3042" t="s">
        <v>2027</v>
      </c>
      <c r="H3042">
        <v>3</v>
      </c>
      <c r="I3042" s="12">
        <f>Table16[[#This Row],[price]]*Table16[[#This Row],[quantity]]</f>
        <v>365.94</v>
      </c>
    </row>
    <row r="3043" spans="1:9" x14ac:dyDescent="0.3">
      <c r="A3043" t="s">
        <v>5057</v>
      </c>
      <c r="B3043" t="s">
        <v>599</v>
      </c>
      <c r="C3043" t="s">
        <v>2008</v>
      </c>
      <c r="D3043">
        <v>5</v>
      </c>
      <c r="E3043" s="16">
        <v>26.15</v>
      </c>
      <c r="F3043" s="1">
        <v>44697</v>
      </c>
      <c r="G3043" t="s">
        <v>2004</v>
      </c>
      <c r="H3043">
        <v>2</v>
      </c>
      <c r="I3043" s="12">
        <f>Table16[[#This Row],[price]]*Table16[[#This Row],[quantity]]</f>
        <v>130.75</v>
      </c>
    </row>
    <row r="3044" spans="1:9" x14ac:dyDescent="0.3">
      <c r="A3044" t="s">
        <v>5058</v>
      </c>
      <c r="B3044" t="s">
        <v>599</v>
      </c>
      <c r="C3044" t="s">
        <v>2006</v>
      </c>
      <c r="D3044">
        <v>5</v>
      </c>
      <c r="E3044" s="16">
        <v>75.75</v>
      </c>
      <c r="F3044" s="1">
        <v>44762</v>
      </c>
      <c r="G3044" t="s">
        <v>2004</v>
      </c>
      <c r="H3044">
        <v>1</v>
      </c>
      <c r="I3044" s="12">
        <f>Table16[[#This Row],[price]]*Table16[[#This Row],[quantity]]</f>
        <v>378.75</v>
      </c>
    </row>
    <row r="3045" spans="1:9" x14ac:dyDescent="0.3">
      <c r="A3045" t="s">
        <v>5064</v>
      </c>
      <c r="B3045" t="s">
        <v>600</v>
      </c>
      <c r="C3045" t="s">
        <v>2057</v>
      </c>
      <c r="D3045">
        <v>3</v>
      </c>
      <c r="E3045" s="16">
        <v>35.19</v>
      </c>
      <c r="F3045" s="1">
        <v>44314</v>
      </c>
      <c r="G3045" t="s">
        <v>2020</v>
      </c>
      <c r="H3045">
        <v>5</v>
      </c>
      <c r="I3045" s="12">
        <f>Table16[[#This Row],[price]]*Table16[[#This Row],[quantity]]</f>
        <v>105.57</v>
      </c>
    </row>
    <row r="3046" spans="1:9" x14ac:dyDescent="0.3">
      <c r="A3046" t="s">
        <v>5062</v>
      </c>
      <c r="B3046" t="s">
        <v>600</v>
      </c>
      <c r="C3046" t="s">
        <v>2008</v>
      </c>
      <c r="D3046">
        <v>1</v>
      </c>
      <c r="E3046" s="16">
        <v>5.23</v>
      </c>
      <c r="F3046" s="1">
        <v>44584</v>
      </c>
      <c r="G3046" t="s">
        <v>2002</v>
      </c>
      <c r="H3046">
        <v>3</v>
      </c>
      <c r="I3046" s="12">
        <f>Table16[[#This Row],[price]]*Table16[[#This Row],[quantity]]</f>
        <v>5.23</v>
      </c>
    </row>
    <row r="3047" spans="1:9" x14ac:dyDescent="0.3">
      <c r="A3047" t="s">
        <v>5061</v>
      </c>
      <c r="B3047" t="s">
        <v>600</v>
      </c>
      <c r="C3047" t="s">
        <v>2015</v>
      </c>
      <c r="D3047">
        <v>5</v>
      </c>
      <c r="E3047" s="16">
        <v>3000.85</v>
      </c>
      <c r="F3047" s="1">
        <v>44849</v>
      </c>
      <c r="G3047" t="s">
        <v>2064</v>
      </c>
      <c r="H3047">
        <v>2</v>
      </c>
      <c r="I3047" s="12">
        <f>Table16[[#This Row],[price]]*Table16[[#This Row],[quantity]]</f>
        <v>15004.25</v>
      </c>
    </row>
    <row r="3048" spans="1:9" x14ac:dyDescent="0.3">
      <c r="A3048" t="s">
        <v>5063</v>
      </c>
      <c r="B3048" t="s">
        <v>600</v>
      </c>
      <c r="C3048" t="s">
        <v>2057</v>
      </c>
      <c r="D3048">
        <v>1</v>
      </c>
      <c r="E3048" s="16">
        <v>11.73</v>
      </c>
      <c r="F3048" s="1">
        <v>44885</v>
      </c>
      <c r="G3048" t="s">
        <v>2004</v>
      </c>
      <c r="H3048">
        <v>1</v>
      </c>
      <c r="I3048" s="12">
        <f>Table16[[#This Row],[price]]*Table16[[#This Row],[quantity]]</f>
        <v>11.73</v>
      </c>
    </row>
    <row r="3049" spans="1:9" x14ac:dyDescent="0.3">
      <c r="A3049" t="s">
        <v>5066</v>
      </c>
      <c r="B3049" t="s">
        <v>601</v>
      </c>
      <c r="C3049" t="s">
        <v>2008</v>
      </c>
      <c r="D3049">
        <v>5</v>
      </c>
      <c r="E3049" s="16">
        <v>26.15</v>
      </c>
      <c r="F3049" s="1">
        <v>44595</v>
      </c>
      <c r="G3049" t="s">
        <v>2064</v>
      </c>
      <c r="H3049">
        <v>1</v>
      </c>
      <c r="I3049" s="12">
        <f>Table16[[#This Row],[price]]*Table16[[#This Row],[quantity]]</f>
        <v>130.75</v>
      </c>
    </row>
    <row r="3050" spans="1:9" x14ac:dyDescent="0.3">
      <c r="A3050" t="s">
        <v>5068</v>
      </c>
      <c r="B3050" t="s">
        <v>601</v>
      </c>
      <c r="C3050" t="s">
        <v>2001</v>
      </c>
      <c r="D3050">
        <v>1</v>
      </c>
      <c r="E3050" s="16">
        <v>300.08</v>
      </c>
      <c r="F3050" s="1">
        <v>44669</v>
      </c>
      <c r="G3050" t="s">
        <v>2041</v>
      </c>
      <c r="H3050">
        <v>1</v>
      </c>
      <c r="I3050" s="12">
        <f>Table16[[#This Row],[price]]*Table16[[#This Row],[quantity]]</f>
        <v>300.08</v>
      </c>
    </row>
    <row r="3051" spans="1:9" x14ac:dyDescent="0.3">
      <c r="A3051" t="s">
        <v>5069</v>
      </c>
      <c r="B3051" t="s">
        <v>601</v>
      </c>
      <c r="C3051" t="s">
        <v>2017</v>
      </c>
      <c r="D3051">
        <v>3</v>
      </c>
      <c r="E3051" s="16">
        <v>3150</v>
      </c>
      <c r="F3051" s="1">
        <v>44787</v>
      </c>
      <c r="G3051" t="s">
        <v>2027</v>
      </c>
      <c r="H3051">
        <v>5</v>
      </c>
      <c r="I3051" s="12">
        <f>Table16[[#This Row],[price]]*Table16[[#This Row],[quantity]]</f>
        <v>9450</v>
      </c>
    </row>
    <row r="3052" spans="1:9" x14ac:dyDescent="0.3">
      <c r="A3052" t="s">
        <v>5065</v>
      </c>
      <c r="B3052" t="s">
        <v>601</v>
      </c>
      <c r="C3052" t="s">
        <v>2011</v>
      </c>
      <c r="D3052">
        <v>5</v>
      </c>
      <c r="E3052" s="16">
        <v>203.3</v>
      </c>
      <c r="F3052" s="1">
        <v>44892</v>
      </c>
      <c r="G3052" t="s">
        <v>2027</v>
      </c>
      <c r="H3052">
        <v>3</v>
      </c>
      <c r="I3052" s="12">
        <f>Table16[[#This Row],[price]]*Table16[[#This Row],[quantity]]</f>
        <v>1016.5</v>
      </c>
    </row>
    <row r="3053" spans="1:9" x14ac:dyDescent="0.3">
      <c r="A3053" t="s">
        <v>5067</v>
      </c>
      <c r="B3053" t="s">
        <v>601</v>
      </c>
      <c r="C3053" t="s">
        <v>2011</v>
      </c>
      <c r="D3053">
        <v>4</v>
      </c>
      <c r="E3053" s="16">
        <v>162.63999999999999</v>
      </c>
      <c r="F3053" s="1">
        <v>44943</v>
      </c>
      <c r="G3053" t="s">
        <v>2058</v>
      </c>
      <c r="H3053">
        <v>2</v>
      </c>
      <c r="I3053" s="12">
        <f>Table16[[#This Row],[price]]*Table16[[#This Row],[quantity]]</f>
        <v>650.55999999999995</v>
      </c>
    </row>
    <row r="3054" spans="1:9" x14ac:dyDescent="0.3">
      <c r="A3054" t="s">
        <v>5073</v>
      </c>
      <c r="B3054" t="s">
        <v>602</v>
      </c>
      <c r="C3054" t="s">
        <v>2006</v>
      </c>
      <c r="D3054">
        <v>2</v>
      </c>
      <c r="E3054" s="16">
        <v>30.3</v>
      </c>
      <c r="F3054" s="1">
        <v>44323</v>
      </c>
      <c r="G3054" t="s">
        <v>2027</v>
      </c>
      <c r="H3054">
        <v>1</v>
      </c>
      <c r="I3054" s="12">
        <f>Table16[[#This Row],[price]]*Table16[[#This Row],[quantity]]</f>
        <v>60.6</v>
      </c>
    </row>
    <row r="3055" spans="1:9" x14ac:dyDescent="0.3">
      <c r="A3055" t="s">
        <v>5070</v>
      </c>
      <c r="B3055" t="s">
        <v>602</v>
      </c>
      <c r="C3055" t="s">
        <v>2024</v>
      </c>
      <c r="D3055">
        <v>3</v>
      </c>
      <c r="E3055" s="16">
        <v>107.52</v>
      </c>
      <c r="F3055" s="1">
        <v>44413</v>
      </c>
      <c r="G3055" t="s">
        <v>2027</v>
      </c>
      <c r="H3055">
        <v>4</v>
      </c>
      <c r="I3055" s="12">
        <f>Table16[[#This Row],[price]]*Table16[[#This Row],[quantity]]</f>
        <v>322.56</v>
      </c>
    </row>
    <row r="3056" spans="1:9" x14ac:dyDescent="0.3">
      <c r="A3056" t="s">
        <v>5076</v>
      </c>
      <c r="B3056" t="s">
        <v>602</v>
      </c>
      <c r="C3056" t="s">
        <v>2011</v>
      </c>
      <c r="D3056">
        <v>1</v>
      </c>
      <c r="E3056" s="16">
        <v>40.659999999999997</v>
      </c>
      <c r="F3056" s="1">
        <v>44420</v>
      </c>
      <c r="G3056" t="s">
        <v>2058</v>
      </c>
      <c r="H3056">
        <v>1</v>
      </c>
      <c r="I3056" s="12">
        <f>Table16[[#This Row],[price]]*Table16[[#This Row],[quantity]]</f>
        <v>40.659999999999997</v>
      </c>
    </row>
    <row r="3057" spans="1:9" x14ac:dyDescent="0.3">
      <c r="A3057" t="s">
        <v>5072</v>
      </c>
      <c r="B3057" t="s">
        <v>602</v>
      </c>
      <c r="C3057" t="s">
        <v>2001</v>
      </c>
      <c r="D3057">
        <v>5</v>
      </c>
      <c r="E3057" s="16">
        <v>1500.4</v>
      </c>
      <c r="F3057" s="1">
        <v>44442</v>
      </c>
      <c r="G3057" t="s">
        <v>2009</v>
      </c>
      <c r="H3057">
        <v>5</v>
      </c>
      <c r="I3057" s="12">
        <f>Table16[[#This Row],[price]]*Table16[[#This Row],[quantity]]</f>
        <v>7502</v>
      </c>
    </row>
    <row r="3058" spans="1:9" x14ac:dyDescent="0.3">
      <c r="A3058" t="s">
        <v>5074</v>
      </c>
      <c r="B3058" t="s">
        <v>602</v>
      </c>
      <c r="C3058" t="s">
        <v>2001</v>
      </c>
      <c r="D3058">
        <v>4</v>
      </c>
      <c r="E3058" s="16">
        <v>1200.32</v>
      </c>
      <c r="F3058" s="1">
        <v>44601</v>
      </c>
      <c r="G3058" t="s">
        <v>2004</v>
      </c>
      <c r="H3058">
        <v>2</v>
      </c>
      <c r="I3058" s="12">
        <f>Table16[[#This Row],[price]]*Table16[[#This Row],[quantity]]</f>
        <v>4801.28</v>
      </c>
    </row>
    <row r="3059" spans="1:9" x14ac:dyDescent="0.3">
      <c r="A3059" t="s">
        <v>5075</v>
      </c>
      <c r="B3059" t="s">
        <v>602</v>
      </c>
      <c r="C3059" t="s">
        <v>2015</v>
      </c>
      <c r="D3059">
        <v>3</v>
      </c>
      <c r="E3059" s="16">
        <v>1800.51</v>
      </c>
      <c r="F3059" s="1">
        <v>44767</v>
      </c>
      <c r="G3059" t="s">
        <v>2020</v>
      </c>
      <c r="H3059">
        <v>1</v>
      </c>
      <c r="I3059" s="12">
        <f>Table16[[#This Row],[price]]*Table16[[#This Row],[quantity]]</f>
        <v>5401.53</v>
      </c>
    </row>
    <row r="3060" spans="1:9" x14ac:dyDescent="0.3">
      <c r="A3060" t="s">
        <v>5071</v>
      </c>
      <c r="B3060" t="s">
        <v>602</v>
      </c>
      <c r="C3060" t="s">
        <v>2011</v>
      </c>
      <c r="D3060">
        <v>4</v>
      </c>
      <c r="E3060" s="16">
        <v>162.63999999999999</v>
      </c>
      <c r="F3060" s="1">
        <v>44931</v>
      </c>
      <c r="G3060" t="s">
        <v>2004</v>
      </c>
      <c r="H3060">
        <v>4</v>
      </c>
      <c r="I3060" s="12">
        <f>Table16[[#This Row],[price]]*Table16[[#This Row],[quantity]]</f>
        <v>650.55999999999995</v>
      </c>
    </row>
    <row r="3061" spans="1:9" x14ac:dyDescent="0.3">
      <c r="A3061" t="s">
        <v>5078</v>
      </c>
      <c r="B3061" t="s">
        <v>603</v>
      </c>
      <c r="C3061" t="s">
        <v>2001</v>
      </c>
      <c r="D3061">
        <v>1</v>
      </c>
      <c r="E3061" s="16">
        <v>300.08</v>
      </c>
      <c r="F3061" s="1">
        <v>44376</v>
      </c>
      <c r="G3061" t="s">
        <v>2018</v>
      </c>
      <c r="H3061">
        <v>5</v>
      </c>
      <c r="I3061" s="12">
        <f>Table16[[#This Row],[price]]*Table16[[#This Row],[quantity]]</f>
        <v>300.08</v>
      </c>
    </row>
    <row r="3062" spans="1:9" x14ac:dyDescent="0.3">
      <c r="A3062" t="s">
        <v>5079</v>
      </c>
      <c r="B3062" t="s">
        <v>603</v>
      </c>
      <c r="C3062" t="s">
        <v>2015</v>
      </c>
      <c r="D3062">
        <v>4</v>
      </c>
      <c r="E3062" s="16">
        <v>2400.6799999999998</v>
      </c>
      <c r="F3062" s="1">
        <v>44561</v>
      </c>
      <c r="G3062" t="s">
        <v>2027</v>
      </c>
      <c r="H3062">
        <v>5</v>
      </c>
      <c r="I3062" s="12">
        <f>Table16[[#This Row],[price]]*Table16[[#This Row],[quantity]]</f>
        <v>9602.7199999999993</v>
      </c>
    </row>
    <row r="3063" spans="1:9" x14ac:dyDescent="0.3">
      <c r="A3063" t="s">
        <v>5077</v>
      </c>
      <c r="B3063" t="s">
        <v>603</v>
      </c>
      <c r="C3063" t="s">
        <v>2001</v>
      </c>
      <c r="D3063">
        <v>3</v>
      </c>
      <c r="E3063" s="16">
        <v>900.24</v>
      </c>
      <c r="F3063" s="1">
        <v>44659</v>
      </c>
      <c r="G3063" t="s">
        <v>2002</v>
      </c>
      <c r="H3063">
        <v>5</v>
      </c>
      <c r="I3063" s="12">
        <f>Table16[[#This Row],[price]]*Table16[[#This Row],[quantity]]</f>
        <v>2700.7200000000003</v>
      </c>
    </row>
    <row r="3064" spans="1:9" x14ac:dyDescent="0.3">
      <c r="A3064" t="s">
        <v>5080</v>
      </c>
      <c r="B3064" t="s">
        <v>604</v>
      </c>
      <c r="C3064" t="s">
        <v>2011</v>
      </c>
      <c r="D3064">
        <v>5</v>
      </c>
      <c r="E3064" s="16">
        <v>203.3</v>
      </c>
      <c r="F3064" s="1">
        <v>44449</v>
      </c>
      <c r="G3064" t="s">
        <v>2027</v>
      </c>
      <c r="H3064">
        <v>1</v>
      </c>
      <c r="I3064" s="12">
        <f>Table16[[#This Row],[price]]*Table16[[#This Row],[quantity]]</f>
        <v>1016.5</v>
      </c>
    </row>
    <row r="3065" spans="1:9" x14ac:dyDescent="0.3">
      <c r="A3065" t="s">
        <v>5082</v>
      </c>
      <c r="B3065" t="s">
        <v>604</v>
      </c>
      <c r="C3065" t="s">
        <v>2024</v>
      </c>
      <c r="D3065">
        <v>5</v>
      </c>
      <c r="E3065" s="16">
        <v>179.2</v>
      </c>
      <c r="F3065" s="1">
        <v>44621</v>
      </c>
      <c r="G3065" t="s">
        <v>2058</v>
      </c>
      <c r="H3065">
        <v>5</v>
      </c>
      <c r="I3065" s="12">
        <f>Table16[[#This Row],[price]]*Table16[[#This Row],[quantity]]</f>
        <v>896</v>
      </c>
    </row>
    <row r="3066" spans="1:9" x14ac:dyDescent="0.3">
      <c r="A3066" t="s">
        <v>5081</v>
      </c>
      <c r="B3066" t="s">
        <v>604</v>
      </c>
      <c r="C3066" t="s">
        <v>2001</v>
      </c>
      <c r="D3066">
        <v>2</v>
      </c>
      <c r="E3066" s="16">
        <v>600.16</v>
      </c>
      <c r="F3066" s="1">
        <v>44771</v>
      </c>
      <c r="G3066" t="s">
        <v>2041</v>
      </c>
      <c r="H3066">
        <v>4</v>
      </c>
      <c r="I3066" s="12">
        <f>Table16[[#This Row],[price]]*Table16[[#This Row],[quantity]]</f>
        <v>1200.32</v>
      </c>
    </row>
    <row r="3067" spans="1:9" x14ac:dyDescent="0.3">
      <c r="A3067" t="s">
        <v>5083</v>
      </c>
      <c r="B3067" t="s">
        <v>604</v>
      </c>
      <c r="C3067" t="s">
        <v>2011</v>
      </c>
      <c r="D3067">
        <v>3</v>
      </c>
      <c r="E3067" s="16">
        <v>121.98</v>
      </c>
      <c r="F3067" s="1">
        <v>44935</v>
      </c>
      <c r="G3067" t="s">
        <v>2002</v>
      </c>
      <c r="H3067">
        <v>4</v>
      </c>
      <c r="I3067" s="12">
        <f>Table16[[#This Row],[price]]*Table16[[#This Row],[quantity]]</f>
        <v>365.94</v>
      </c>
    </row>
    <row r="3068" spans="1:9" x14ac:dyDescent="0.3">
      <c r="A3068" t="s">
        <v>5086</v>
      </c>
      <c r="B3068" t="s">
        <v>605</v>
      </c>
      <c r="C3068" t="s">
        <v>2008</v>
      </c>
      <c r="D3068">
        <v>3</v>
      </c>
      <c r="E3068" s="16">
        <v>15.69</v>
      </c>
      <c r="F3068" s="1">
        <v>44254</v>
      </c>
      <c r="G3068" t="s">
        <v>2002</v>
      </c>
      <c r="H3068">
        <v>4</v>
      </c>
      <c r="I3068" s="12">
        <f>Table16[[#This Row],[price]]*Table16[[#This Row],[quantity]]</f>
        <v>47.07</v>
      </c>
    </row>
    <row r="3069" spans="1:9" x14ac:dyDescent="0.3">
      <c r="A3069" t="s">
        <v>5088</v>
      </c>
      <c r="B3069" t="s">
        <v>605</v>
      </c>
      <c r="C3069" t="s">
        <v>2006</v>
      </c>
      <c r="D3069">
        <v>3</v>
      </c>
      <c r="E3069" s="16">
        <v>45.45</v>
      </c>
      <c r="F3069" s="1">
        <v>44441</v>
      </c>
      <c r="G3069" t="s">
        <v>2002</v>
      </c>
      <c r="H3069">
        <v>4</v>
      </c>
      <c r="I3069" s="12">
        <f>Table16[[#This Row],[price]]*Table16[[#This Row],[quantity]]</f>
        <v>136.35000000000002</v>
      </c>
    </row>
    <row r="3070" spans="1:9" x14ac:dyDescent="0.3">
      <c r="A3070" t="s">
        <v>5089</v>
      </c>
      <c r="B3070" t="s">
        <v>605</v>
      </c>
      <c r="C3070" t="s">
        <v>2017</v>
      </c>
      <c r="D3070">
        <v>5</v>
      </c>
      <c r="E3070" s="16">
        <v>5250</v>
      </c>
      <c r="F3070" s="1">
        <v>44532</v>
      </c>
      <c r="G3070" t="s">
        <v>2004</v>
      </c>
      <c r="H3070">
        <v>5</v>
      </c>
      <c r="I3070" s="12">
        <f>Table16[[#This Row],[price]]*Table16[[#This Row],[quantity]]</f>
        <v>26250</v>
      </c>
    </row>
    <row r="3071" spans="1:9" x14ac:dyDescent="0.3">
      <c r="A3071" t="s">
        <v>5087</v>
      </c>
      <c r="B3071" t="s">
        <v>605</v>
      </c>
      <c r="C3071" t="s">
        <v>2015</v>
      </c>
      <c r="D3071">
        <v>4</v>
      </c>
      <c r="E3071" s="16">
        <v>2400.6799999999998</v>
      </c>
      <c r="F3071" s="1">
        <v>44673</v>
      </c>
      <c r="G3071" t="s">
        <v>2004</v>
      </c>
      <c r="H3071">
        <v>3</v>
      </c>
      <c r="I3071" s="12">
        <f>Table16[[#This Row],[price]]*Table16[[#This Row],[quantity]]</f>
        <v>9602.7199999999993</v>
      </c>
    </row>
    <row r="3072" spans="1:9" x14ac:dyDescent="0.3">
      <c r="A3072" t="s">
        <v>5085</v>
      </c>
      <c r="B3072" t="s">
        <v>605</v>
      </c>
      <c r="C3072" t="s">
        <v>2006</v>
      </c>
      <c r="D3072">
        <v>5</v>
      </c>
      <c r="E3072" s="16">
        <v>75.75</v>
      </c>
      <c r="F3072" s="1">
        <v>44737</v>
      </c>
      <c r="G3072" t="s">
        <v>2004</v>
      </c>
      <c r="H3072">
        <v>2</v>
      </c>
      <c r="I3072" s="12">
        <f>Table16[[#This Row],[price]]*Table16[[#This Row],[quantity]]</f>
        <v>378.75</v>
      </c>
    </row>
    <row r="3073" spans="1:9" x14ac:dyDescent="0.3">
      <c r="A3073" t="s">
        <v>5084</v>
      </c>
      <c r="B3073" t="s">
        <v>605</v>
      </c>
      <c r="C3073" t="s">
        <v>2008</v>
      </c>
      <c r="D3073">
        <v>3</v>
      </c>
      <c r="E3073" s="16">
        <v>15.69</v>
      </c>
      <c r="F3073" s="1">
        <v>44885</v>
      </c>
      <c r="G3073" t="s">
        <v>2002</v>
      </c>
      <c r="H3073">
        <v>1</v>
      </c>
      <c r="I3073" s="12">
        <f>Table16[[#This Row],[price]]*Table16[[#This Row],[quantity]]</f>
        <v>47.07</v>
      </c>
    </row>
    <row r="3074" spans="1:9" x14ac:dyDescent="0.3">
      <c r="A3074" t="s">
        <v>5091</v>
      </c>
      <c r="B3074" t="s">
        <v>606</v>
      </c>
      <c r="C3074" t="s">
        <v>2001</v>
      </c>
      <c r="D3074">
        <v>4</v>
      </c>
      <c r="E3074" s="16">
        <v>1200.32</v>
      </c>
      <c r="F3074" s="1">
        <v>44222</v>
      </c>
      <c r="G3074" t="s">
        <v>2004</v>
      </c>
      <c r="H3074">
        <v>5</v>
      </c>
      <c r="I3074" s="12">
        <f>Table16[[#This Row],[price]]*Table16[[#This Row],[quantity]]</f>
        <v>4801.28</v>
      </c>
    </row>
    <row r="3075" spans="1:9" x14ac:dyDescent="0.3">
      <c r="A3075" t="s">
        <v>5096</v>
      </c>
      <c r="B3075" t="s">
        <v>606</v>
      </c>
      <c r="C3075" t="s">
        <v>2011</v>
      </c>
      <c r="D3075">
        <v>1</v>
      </c>
      <c r="E3075" s="16">
        <v>40.659999999999997</v>
      </c>
      <c r="F3075" s="1">
        <v>44311</v>
      </c>
      <c r="G3075" t="s">
        <v>2002</v>
      </c>
      <c r="H3075">
        <v>2</v>
      </c>
      <c r="I3075" s="12">
        <f>Table16[[#This Row],[price]]*Table16[[#This Row],[quantity]]</f>
        <v>40.659999999999997</v>
      </c>
    </row>
    <row r="3076" spans="1:9" x14ac:dyDescent="0.3">
      <c r="A3076" t="s">
        <v>5097</v>
      </c>
      <c r="B3076" t="s">
        <v>606</v>
      </c>
      <c r="C3076" t="s">
        <v>2001</v>
      </c>
      <c r="D3076">
        <v>5</v>
      </c>
      <c r="E3076" s="16">
        <v>1500.4</v>
      </c>
      <c r="F3076" s="1">
        <v>44367</v>
      </c>
      <c r="G3076" t="s">
        <v>2027</v>
      </c>
      <c r="H3076">
        <v>2</v>
      </c>
      <c r="I3076" s="12">
        <f>Table16[[#This Row],[price]]*Table16[[#This Row],[quantity]]</f>
        <v>7502</v>
      </c>
    </row>
    <row r="3077" spans="1:9" x14ac:dyDescent="0.3">
      <c r="A3077" t="s">
        <v>5095</v>
      </c>
      <c r="B3077" t="s">
        <v>606</v>
      </c>
      <c r="C3077" t="s">
        <v>2008</v>
      </c>
      <c r="D3077">
        <v>1</v>
      </c>
      <c r="E3077" s="16">
        <v>5.23</v>
      </c>
      <c r="F3077" s="1">
        <v>44441</v>
      </c>
      <c r="G3077" t="s">
        <v>2004</v>
      </c>
      <c r="H3077">
        <v>2</v>
      </c>
      <c r="I3077" s="12">
        <f>Table16[[#This Row],[price]]*Table16[[#This Row],[quantity]]</f>
        <v>5.23</v>
      </c>
    </row>
    <row r="3078" spans="1:9" x14ac:dyDescent="0.3">
      <c r="A3078" t="s">
        <v>5093</v>
      </c>
      <c r="B3078" t="s">
        <v>606</v>
      </c>
      <c r="C3078" t="s">
        <v>2001</v>
      </c>
      <c r="D3078">
        <v>3</v>
      </c>
      <c r="E3078" s="16">
        <v>900.24</v>
      </c>
      <c r="F3078" s="1">
        <v>44604</v>
      </c>
      <c r="G3078" t="s">
        <v>2004</v>
      </c>
      <c r="H3078">
        <v>4</v>
      </c>
      <c r="I3078" s="12">
        <f>Table16[[#This Row],[price]]*Table16[[#This Row],[quantity]]</f>
        <v>2700.7200000000003</v>
      </c>
    </row>
    <row r="3079" spans="1:9" x14ac:dyDescent="0.3">
      <c r="A3079" t="s">
        <v>5092</v>
      </c>
      <c r="B3079" t="s">
        <v>606</v>
      </c>
      <c r="C3079" t="s">
        <v>2011</v>
      </c>
      <c r="D3079">
        <v>1</v>
      </c>
      <c r="E3079" s="16">
        <v>40.659999999999997</v>
      </c>
      <c r="F3079" s="1">
        <v>44746</v>
      </c>
      <c r="G3079" t="s">
        <v>2004</v>
      </c>
      <c r="H3079">
        <v>1</v>
      </c>
      <c r="I3079" s="12">
        <f>Table16[[#This Row],[price]]*Table16[[#This Row],[quantity]]</f>
        <v>40.659999999999997</v>
      </c>
    </row>
    <row r="3080" spans="1:9" x14ac:dyDescent="0.3">
      <c r="A3080" t="s">
        <v>5090</v>
      </c>
      <c r="B3080" t="s">
        <v>606</v>
      </c>
      <c r="C3080" t="s">
        <v>2001</v>
      </c>
      <c r="D3080">
        <v>3</v>
      </c>
      <c r="E3080" s="16">
        <v>900.24</v>
      </c>
      <c r="F3080" s="1">
        <v>44752</v>
      </c>
      <c r="G3080" t="s">
        <v>2027</v>
      </c>
      <c r="H3080">
        <v>2</v>
      </c>
      <c r="I3080" s="12">
        <f>Table16[[#This Row],[price]]*Table16[[#This Row],[quantity]]</f>
        <v>2700.7200000000003</v>
      </c>
    </row>
    <row r="3081" spans="1:9" x14ac:dyDescent="0.3">
      <c r="A3081" t="s">
        <v>5094</v>
      </c>
      <c r="B3081" t="s">
        <v>606</v>
      </c>
      <c r="C3081" t="s">
        <v>2008</v>
      </c>
      <c r="D3081">
        <v>2</v>
      </c>
      <c r="E3081" s="16">
        <v>10.46</v>
      </c>
      <c r="F3081" s="1">
        <v>44923</v>
      </c>
      <c r="G3081" t="s">
        <v>2002</v>
      </c>
      <c r="H3081">
        <v>3</v>
      </c>
      <c r="I3081" s="12">
        <f>Table16[[#This Row],[price]]*Table16[[#This Row],[quantity]]</f>
        <v>20.92</v>
      </c>
    </row>
    <row r="3082" spans="1:9" x14ac:dyDescent="0.3">
      <c r="A3082" t="s">
        <v>5101</v>
      </c>
      <c r="B3082" t="s">
        <v>607</v>
      </c>
      <c r="C3082" t="s">
        <v>2008</v>
      </c>
      <c r="D3082">
        <v>1</v>
      </c>
      <c r="E3082" s="16">
        <v>5.23</v>
      </c>
      <c r="F3082" s="1">
        <v>44343</v>
      </c>
      <c r="G3082" t="s">
        <v>2002</v>
      </c>
      <c r="H3082">
        <v>5</v>
      </c>
      <c r="I3082" s="12">
        <f>Table16[[#This Row],[price]]*Table16[[#This Row],[quantity]]</f>
        <v>5.23</v>
      </c>
    </row>
    <row r="3083" spans="1:9" x14ac:dyDescent="0.3">
      <c r="A3083" t="s">
        <v>5098</v>
      </c>
      <c r="B3083" t="s">
        <v>607</v>
      </c>
      <c r="C3083" t="s">
        <v>2008</v>
      </c>
      <c r="D3083">
        <v>4</v>
      </c>
      <c r="E3083" s="16">
        <v>20.92</v>
      </c>
      <c r="F3083" s="1">
        <v>44356</v>
      </c>
      <c r="G3083" t="s">
        <v>2064</v>
      </c>
      <c r="H3083">
        <v>3</v>
      </c>
      <c r="I3083" s="12">
        <f>Table16[[#This Row],[price]]*Table16[[#This Row],[quantity]]</f>
        <v>83.68</v>
      </c>
    </row>
    <row r="3084" spans="1:9" x14ac:dyDescent="0.3">
      <c r="A3084" t="s">
        <v>5099</v>
      </c>
      <c r="B3084" t="s">
        <v>607</v>
      </c>
      <c r="C3084" t="s">
        <v>2011</v>
      </c>
      <c r="D3084">
        <v>2</v>
      </c>
      <c r="E3084" s="16">
        <v>81.319999999999993</v>
      </c>
      <c r="F3084" s="1">
        <v>44452</v>
      </c>
      <c r="G3084" t="s">
        <v>2002</v>
      </c>
      <c r="H3084">
        <v>5</v>
      </c>
      <c r="I3084" s="12">
        <f>Table16[[#This Row],[price]]*Table16[[#This Row],[quantity]]</f>
        <v>162.63999999999999</v>
      </c>
    </row>
    <row r="3085" spans="1:9" x14ac:dyDescent="0.3">
      <c r="A3085" t="s">
        <v>5103</v>
      </c>
      <c r="B3085" t="s">
        <v>607</v>
      </c>
      <c r="C3085" t="s">
        <v>2057</v>
      </c>
      <c r="D3085">
        <v>5</v>
      </c>
      <c r="E3085" s="16">
        <v>58.65</v>
      </c>
      <c r="F3085" s="1">
        <v>44583</v>
      </c>
      <c r="G3085" t="s">
        <v>2027</v>
      </c>
      <c r="H3085">
        <v>2</v>
      </c>
      <c r="I3085" s="12">
        <f>Table16[[#This Row],[price]]*Table16[[#This Row],[quantity]]</f>
        <v>293.25</v>
      </c>
    </row>
    <row r="3086" spans="1:9" x14ac:dyDescent="0.3">
      <c r="A3086" t="s">
        <v>5100</v>
      </c>
      <c r="B3086" t="s">
        <v>607</v>
      </c>
      <c r="C3086" t="s">
        <v>2001</v>
      </c>
      <c r="D3086">
        <v>2</v>
      </c>
      <c r="E3086" s="16">
        <v>600.16</v>
      </c>
      <c r="F3086" s="1">
        <v>44600</v>
      </c>
      <c r="G3086" t="s">
        <v>2064</v>
      </c>
      <c r="H3086">
        <v>3</v>
      </c>
      <c r="I3086" s="12">
        <f>Table16[[#This Row],[price]]*Table16[[#This Row],[quantity]]</f>
        <v>1200.32</v>
      </c>
    </row>
    <row r="3087" spans="1:9" x14ac:dyDescent="0.3">
      <c r="A3087" t="s">
        <v>5102</v>
      </c>
      <c r="B3087" t="s">
        <v>607</v>
      </c>
      <c r="C3087" t="s">
        <v>2011</v>
      </c>
      <c r="D3087">
        <v>4</v>
      </c>
      <c r="E3087" s="16">
        <v>162.63999999999999</v>
      </c>
      <c r="F3087" s="1">
        <v>44977</v>
      </c>
      <c r="G3087" t="s">
        <v>2027</v>
      </c>
      <c r="H3087">
        <v>2</v>
      </c>
      <c r="I3087" s="12">
        <f>Table16[[#This Row],[price]]*Table16[[#This Row],[quantity]]</f>
        <v>650.55999999999995</v>
      </c>
    </row>
    <row r="3088" spans="1:9" x14ac:dyDescent="0.3">
      <c r="A3088" t="s">
        <v>5105</v>
      </c>
      <c r="B3088" t="s">
        <v>608</v>
      </c>
      <c r="C3088" t="s">
        <v>2001</v>
      </c>
      <c r="D3088">
        <v>5</v>
      </c>
      <c r="E3088" s="16">
        <v>1500.4</v>
      </c>
      <c r="F3088" s="1">
        <v>44400</v>
      </c>
      <c r="G3088" t="s">
        <v>2004</v>
      </c>
      <c r="H3088">
        <v>2</v>
      </c>
      <c r="I3088" s="12">
        <f>Table16[[#This Row],[price]]*Table16[[#This Row],[quantity]]</f>
        <v>7502</v>
      </c>
    </row>
    <row r="3089" spans="1:9" x14ac:dyDescent="0.3">
      <c r="A3089" t="s">
        <v>5108</v>
      </c>
      <c r="B3089" t="s">
        <v>608</v>
      </c>
      <c r="C3089" t="s">
        <v>2008</v>
      </c>
      <c r="D3089">
        <v>4</v>
      </c>
      <c r="E3089" s="16">
        <v>20.92</v>
      </c>
      <c r="F3089" s="1">
        <v>44554</v>
      </c>
      <c r="G3089" t="s">
        <v>2004</v>
      </c>
      <c r="H3089">
        <v>1</v>
      </c>
      <c r="I3089" s="12">
        <f>Table16[[#This Row],[price]]*Table16[[#This Row],[quantity]]</f>
        <v>83.68</v>
      </c>
    </row>
    <row r="3090" spans="1:9" x14ac:dyDescent="0.3">
      <c r="A3090" t="s">
        <v>5104</v>
      </c>
      <c r="B3090" t="s">
        <v>608</v>
      </c>
      <c r="C3090" t="s">
        <v>2011</v>
      </c>
      <c r="D3090">
        <v>2</v>
      </c>
      <c r="E3090" s="16">
        <v>81.319999999999993</v>
      </c>
      <c r="F3090" s="1">
        <v>44618</v>
      </c>
      <c r="G3090" t="s">
        <v>2064</v>
      </c>
      <c r="H3090">
        <v>4</v>
      </c>
      <c r="I3090" s="12">
        <f>Table16[[#This Row],[price]]*Table16[[#This Row],[quantity]]</f>
        <v>162.63999999999999</v>
      </c>
    </row>
    <row r="3091" spans="1:9" x14ac:dyDescent="0.3">
      <c r="A3091" t="s">
        <v>5106</v>
      </c>
      <c r="B3091" t="s">
        <v>608</v>
      </c>
      <c r="C3091" t="s">
        <v>2011</v>
      </c>
      <c r="D3091">
        <v>5</v>
      </c>
      <c r="E3091" s="16">
        <v>203.3</v>
      </c>
      <c r="F3091" s="1">
        <v>44671</v>
      </c>
      <c r="G3091" t="s">
        <v>2002</v>
      </c>
      <c r="H3091">
        <v>2</v>
      </c>
      <c r="I3091" s="12">
        <f>Table16[[#This Row],[price]]*Table16[[#This Row],[quantity]]</f>
        <v>1016.5</v>
      </c>
    </row>
    <row r="3092" spans="1:9" x14ac:dyDescent="0.3">
      <c r="A3092" t="s">
        <v>5107</v>
      </c>
      <c r="B3092" t="s">
        <v>608</v>
      </c>
      <c r="C3092" t="s">
        <v>2017</v>
      </c>
      <c r="D3092">
        <v>5</v>
      </c>
      <c r="E3092" s="16">
        <v>5250</v>
      </c>
      <c r="F3092" s="1">
        <v>44675</v>
      </c>
      <c r="G3092" t="s">
        <v>2002</v>
      </c>
      <c r="H3092">
        <v>4</v>
      </c>
      <c r="I3092" s="12">
        <f>Table16[[#This Row],[price]]*Table16[[#This Row],[quantity]]</f>
        <v>26250</v>
      </c>
    </row>
    <row r="3093" spans="1:9" x14ac:dyDescent="0.3">
      <c r="A3093" t="s">
        <v>5109</v>
      </c>
      <c r="B3093" t="s">
        <v>608</v>
      </c>
      <c r="C3093" t="s">
        <v>2011</v>
      </c>
      <c r="D3093">
        <v>3</v>
      </c>
      <c r="E3093" s="16">
        <v>121.98</v>
      </c>
      <c r="F3093" s="1">
        <v>44734</v>
      </c>
      <c r="G3093" t="s">
        <v>2002</v>
      </c>
      <c r="H3093">
        <v>1</v>
      </c>
      <c r="I3093" s="12">
        <f>Table16[[#This Row],[price]]*Table16[[#This Row],[quantity]]</f>
        <v>365.94</v>
      </c>
    </row>
    <row r="3094" spans="1:9" x14ac:dyDescent="0.3">
      <c r="A3094" t="s">
        <v>5110</v>
      </c>
      <c r="B3094" t="s">
        <v>608</v>
      </c>
      <c r="C3094" t="s">
        <v>2001</v>
      </c>
      <c r="D3094">
        <v>1</v>
      </c>
      <c r="E3094" s="16">
        <v>300.08</v>
      </c>
      <c r="F3094" s="1">
        <v>44844</v>
      </c>
      <c r="G3094" t="s">
        <v>2002</v>
      </c>
      <c r="H3094">
        <v>3</v>
      </c>
      <c r="I3094" s="12">
        <f>Table16[[#This Row],[price]]*Table16[[#This Row],[quantity]]</f>
        <v>300.08</v>
      </c>
    </row>
    <row r="3095" spans="1:9" x14ac:dyDescent="0.3">
      <c r="A3095" t="s">
        <v>5114</v>
      </c>
      <c r="B3095" t="s">
        <v>609</v>
      </c>
      <c r="C3095" t="s">
        <v>2008</v>
      </c>
      <c r="D3095">
        <v>4</v>
      </c>
      <c r="E3095" s="16">
        <v>20.92</v>
      </c>
      <c r="F3095" s="1">
        <v>44248</v>
      </c>
      <c r="G3095" t="s">
        <v>2041</v>
      </c>
      <c r="H3095">
        <v>2</v>
      </c>
      <c r="I3095" s="12">
        <f>Table16[[#This Row],[price]]*Table16[[#This Row],[quantity]]</f>
        <v>83.68</v>
      </c>
    </row>
    <row r="3096" spans="1:9" x14ac:dyDescent="0.3">
      <c r="A3096" t="s">
        <v>5113</v>
      </c>
      <c r="B3096" t="s">
        <v>609</v>
      </c>
      <c r="C3096" t="s">
        <v>2057</v>
      </c>
      <c r="D3096">
        <v>2</v>
      </c>
      <c r="E3096" s="16">
        <v>23.46</v>
      </c>
      <c r="F3096" s="1">
        <v>44249</v>
      </c>
      <c r="G3096" t="s">
        <v>2027</v>
      </c>
      <c r="H3096">
        <v>1</v>
      </c>
      <c r="I3096" s="12">
        <f>Table16[[#This Row],[price]]*Table16[[#This Row],[quantity]]</f>
        <v>46.92</v>
      </c>
    </row>
    <row r="3097" spans="1:9" x14ac:dyDescent="0.3">
      <c r="A3097" t="s">
        <v>5116</v>
      </c>
      <c r="B3097" t="s">
        <v>609</v>
      </c>
      <c r="C3097" t="s">
        <v>2017</v>
      </c>
      <c r="D3097">
        <v>3</v>
      </c>
      <c r="E3097" s="16">
        <v>3150</v>
      </c>
      <c r="F3097" s="1">
        <v>44415</v>
      </c>
      <c r="G3097" t="s">
        <v>2064</v>
      </c>
      <c r="H3097">
        <v>5</v>
      </c>
      <c r="I3097" s="12">
        <f>Table16[[#This Row],[price]]*Table16[[#This Row],[quantity]]</f>
        <v>9450</v>
      </c>
    </row>
    <row r="3098" spans="1:9" x14ac:dyDescent="0.3">
      <c r="A3098" t="s">
        <v>5111</v>
      </c>
      <c r="B3098" t="s">
        <v>609</v>
      </c>
      <c r="C3098" t="s">
        <v>2008</v>
      </c>
      <c r="D3098">
        <v>3</v>
      </c>
      <c r="E3098" s="16">
        <v>15.69</v>
      </c>
      <c r="F3098" s="1">
        <v>44644</v>
      </c>
      <c r="G3098" t="s">
        <v>2064</v>
      </c>
      <c r="H3098">
        <v>2</v>
      </c>
      <c r="I3098" s="12">
        <f>Table16[[#This Row],[price]]*Table16[[#This Row],[quantity]]</f>
        <v>47.07</v>
      </c>
    </row>
    <row r="3099" spans="1:9" x14ac:dyDescent="0.3">
      <c r="A3099" t="s">
        <v>5112</v>
      </c>
      <c r="B3099" t="s">
        <v>609</v>
      </c>
      <c r="C3099" t="s">
        <v>2001</v>
      </c>
      <c r="D3099">
        <v>2</v>
      </c>
      <c r="E3099" s="16">
        <v>600.16</v>
      </c>
      <c r="F3099" s="1">
        <v>44808</v>
      </c>
      <c r="G3099" t="s">
        <v>2004</v>
      </c>
      <c r="H3099">
        <v>3</v>
      </c>
      <c r="I3099" s="12">
        <f>Table16[[#This Row],[price]]*Table16[[#This Row],[quantity]]</f>
        <v>1200.32</v>
      </c>
    </row>
    <row r="3100" spans="1:9" x14ac:dyDescent="0.3">
      <c r="A3100" t="s">
        <v>5115</v>
      </c>
      <c r="B3100" t="s">
        <v>609</v>
      </c>
      <c r="C3100" t="s">
        <v>2008</v>
      </c>
      <c r="D3100">
        <v>4</v>
      </c>
      <c r="E3100" s="16">
        <v>20.92</v>
      </c>
      <c r="F3100" s="1">
        <v>44916</v>
      </c>
      <c r="G3100" t="s">
        <v>2004</v>
      </c>
      <c r="H3100">
        <v>1</v>
      </c>
      <c r="I3100" s="12">
        <f>Table16[[#This Row],[price]]*Table16[[#This Row],[quantity]]</f>
        <v>83.68</v>
      </c>
    </row>
    <row r="3101" spans="1:9" x14ac:dyDescent="0.3">
      <c r="A3101" t="s">
        <v>5119</v>
      </c>
      <c r="B3101" t="s">
        <v>610</v>
      </c>
      <c r="C3101" t="s">
        <v>2015</v>
      </c>
      <c r="D3101">
        <v>5</v>
      </c>
      <c r="E3101" s="16">
        <v>3000.85</v>
      </c>
      <c r="F3101" s="1">
        <v>44325</v>
      </c>
      <c r="G3101" t="s">
        <v>2027</v>
      </c>
      <c r="H3101">
        <v>2</v>
      </c>
      <c r="I3101" s="12">
        <f>Table16[[#This Row],[price]]*Table16[[#This Row],[quantity]]</f>
        <v>15004.25</v>
      </c>
    </row>
    <row r="3102" spans="1:9" x14ac:dyDescent="0.3">
      <c r="A3102" t="s">
        <v>5118</v>
      </c>
      <c r="B3102" t="s">
        <v>610</v>
      </c>
      <c r="C3102" t="s">
        <v>2057</v>
      </c>
      <c r="D3102">
        <v>4</v>
      </c>
      <c r="E3102" s="16">
        <v>46.92</v>
      </c>
      <c r="F3102" s="1">
        <v>44357</v>
      </c>
      <c r="G3102" t="s">
        <v>2027</v>
      </c>
      <c r="H3102">
        <v>1</v>
      </c>
      <c r="I3102" s="12">
        <f>Table16[[#This Row],[price]]*Table16[[#This Row],[quantity]]</f>
        <v>187.68</v>
      </c>
    </row>
    <row r="3103" spans="1:9" x14ac:dyDescent="0.3">
      <c r="A3103" t="s">
        <v>5120</v>
      </c>
      <c r="B3103" t="s">
        <v>610</v>
      </c>
      <c r="C3103" t="s">
        <v>2011</v>
      </c>
      <c r="D3103">
        <v>3</v>
      </c>
      <c r="E3103" s="16">
        <v>121.98</v>
      </c>
      <c r="F3103" s="1">
        <v>44412</v>
      </c>
      <c r="G3103" t="s">
        <v>2041</v>
      </c>
      <c r="H3103">
        <v>3</v>
      </c>
      <c r="I3103" s="12">
        <f>Table16[[#This Row],[price]]*Table16[[#This Row],[quantity]]</f>
        <v>365.94</v>
      </c>
    </row>
    <row r="3104" spans="1:9" x14ac:dyDescent="0.3">
      <c r="A3104" t="s">
        <v>5121</v>
      </c>
      <c r="B3104" t="s">
        <v>610</v>
      </c>
      <c r="C3104" t="s">
        <v>2001</v>
      </c>
      <c r="D3104">
        <v>4</v>
      </c>
      <c r="E3104" s="16">
        <v>1200.32</v>
      </c>
      <c r="F3104" s="1">
        <v>44455</v>
      </c>
      <c r="G3104" t="s">
        <v>2027</v>
      </c>
      <c r="H3104">
        <v>4</v>
      </c>
      <c r="I3104" s="12">
        <f>Table16[[#This Row],[price]]*Table16[[#This Row],[quantity]]</f>
        <v>4801.28</v>
      </c>
    </row>
    <row r="3105" spans="1:9" x14ac:dyDescent="0.3">
      <c r="A3105" t="s">
        <v>5117</v>
      </c>
      <c r="B3105" t="s">
        <v>610</v>
      </c>
      <c r="C3105" t="s">
        <v>2008</v>
      </c>
      <c r="D3105">
        <v>2</v>
      </c>
      <c r="E3105" s="16">
        <v>10.46</v>
      </c>
      <c r="F3105" s="1">
        <v>44749</v>
      </c>
      <c r="G3105" t="s">
        <v>2002</v>
      </c>
      <c r="H3105">
        <v>2</v>
      </c>
      <c r="I3105" s="12">
        <f>Table16[[#This Row],[price]]*Table16[[#This Row],[quantity]]</f>
        <v>20.92</v>
      </c>
    </row>
    <row r="3106" spans="1:9" x14ac:dyDescent="0.3">
      <c r="A3106" t="s">
        <v>5124</v>
      </c>
      <c r="B3106" t="s">
        <v>611</v>
      </c>
      <c r="C3106" t="s">
        <v>2001</v>
      </c>
      <c r="D3106">
        <v>4</v>
      </c>
      <c r="E3106" s="16">
        <v>1200.32</v>
      </c>
      <c r="F3106" s="1">
        <v>44337</v>
      </c>
      <c r="G3106" t="s">
        <v>2004</v>
      </c>
      <c r="H3106">
        <v>2</v>
      </c>
      <c r="I3106" s="12">
        <f>Table16[[#This Row],[price]]*Table16[[#This Row],[quantity]]</f>
        <v>4801.28</v>
      </c>
    </row>
    <row r="3107" spans="1:9" x14ac:dyDescent="0.3">
      <c r="A3107" t="s">
        <v>5122</v>
      </c>
      <c r="B3107" t="s">
        <v>611</v>
      </c>
      <c r="C3107" t="s">
        <v>2015</v>
      </c>
      <c r="D3107">
        <v>3</v>
      </c>
      <c r="E3107" s="16">
        <v>1800.51</v>
      </c>
      <c r="F3107" s="1">
        <v>44356</v>
      </c>
      <c r="G3107" t="s">
        <v>2020</v>
      </c>
      <c r="H3107">
        <v>2</v>
      </c>
      <c r="I3107" s="12">
        <f>Table16[[#This Row],[price]]*Table16[[#This Row],[quantity]]</f>
        <v>5401.53</v>
      </c>
    </row>
    <row r="3108" spans="1:9" x14ac:dyDescent="0.3">
      <c r="A3108" t="s">
        <v>5125</v>
      </c>
      <c r="B3108" t="s">
        <v>611</v>
      </c>
      <c r="C3108" t="s">
        <v>2001</v>
      </c>
      <c r="D3108">
        <v>4</v>
      </c>
      <c r="E3108" s="16">
        <v>1200.32</v>
      </c>
      <c r="F3108" s="1">
        <v>44566</v>
      </c>
      <c r="G3108" t="s">
        <v>2004</v>
      </c>
      <c r="H3108">
        <v>4</v>
      </c>
      <c r="I3108" s="12">
        <f>Table16[[#This Row],[price]]*Table16[[#This Row],[quantity]]</f>
        <v>4801.28</v>
      </c>
    </row>
    <row r="3109" spans="1:9" x14ac:dyDescent="0.3">
      <c r="A3109" t="s">
        <v>5123</v>
      </c>
      <c r="B3109" t="s">
        <v>611</v>
      </c>
      <c r="C3109" t="s">
        <v>2011</v>
      </c>
      <c r="D3109">
        <v>1</v>
      </c>
      <c r="E3109" s="16">
        <v>40.659999999999997</v>
      </c>
      <c r="F3109" s="1">
        <v>44825</v>
      </c>
      <c r="G3109" t="s">
        <v>2002</v>
      </c>
      <c r="H3109">
        <v>5</v>
      </c>
      <c r="I3109" s="12">
        <f>Table16[[#This Row],[price]]*Table16[[#This Row],[quantity]]</f>
        <v>40.659999999999997</v>
      </c>
    </row>
    <row r="3110" spans="1:9" x14ac:dyDescent="0.3">
      <c r="A3110" t="s">
        <v>5131</v>
      </c>
      <c r="B3110" t="s">
        <v>612</v>
      </c>
      <c r="C3110" t="s">
        <v>2024</v>
      </c>
      <c r="D3110">
        <v>3</v>
      </c>
      <c r="E3110" s="16">
        <v>107.52</v>
      </c>
      <c r="F3110" s="1">
        <v>44286</v>
      </c>
      <c r="G3110" t="s">
        <v>2018</v>
      </c>
      <c r="H3110">
        <v>1</v>
      </c>
      <c r="I3110" s="12">
        <f>Table16[[#This Row],[price]]*Table16[[#This Row],[quantity]]</f>
        <v>322.56</v>
      </c>
    </row>
    <row r="3111" spans="1:9" x14ac:dyDescent="0.3">
      <c r="A3111" t="s">
        <v>5130</v>
      </c>
      <c r="B3111" t="s">
        <v>612</v>
      </c>
      <c r="C3111" t="s">
        <v>2008</v>
      </c>
      <c r="D3111">
        <v>3</v>
      </c>
      <c r="E3111" s="16">
        <v>15.69</v>
      </c>
      <c r="F3111" s="1">
        <v>44290</v>
      </c>
      <c r="G3111" t="s">
        <v>2018</v>
      </c>
      <c r="H3111">
        <v>2</v>
      </c>
      <c r="I3111" s="12">
        <f>Table16[[#This Row],[price]]*Table16[[#This Row],[quantity]]</f>
        <v>47.07</v>
      </c>
    </row>
    <row r="3112" spans="1:9" x14ac:dyDescent="0.3">
      <c r="A3112" t="s">
        <v>5129</v>
      </c>
      <c r="B3112" t="s">
        <v>612</v>
      </c>
      <c r="C3112" t="s">
        <v>2001</v>
      </c>
      <c r="D3112">
        <v>5</v>
      </c>
      <c r="E3112" s="16">
        <v>1500.4</v>
      </c>
      <c r="F3112" s="1">
        <v>44598</v>
      </c>
      <c r="G3112" t="s">
        <v>2004</v>
      </c>
      <c r="H3112">
        <v>1</v>
      </c>
      <c r="I3112" s="12">
        <f>Table16[[#This Row],[price]]*Table16[[#This Row],[quantity]]</f>
        <v>7502</v>
      </c>
    </row>
    <row r="3113" spans="1:9" x14ac:dyDescent="0.3">
      <c r="A3113" t="s">
        <v>5127</v>
      </c>
      <c r="B3113" t="s">
        <v>612</v>
      </c>
      <c r="C3113" t="s">
        <v>2001</v>
      </c>
      <c r="D3113">
        <v>3</v>
      </c>
      <c r="E3113" s="16">
        <v>900.24</v>
      </c>
      <c r="F3113" s="1">
        <v>44626</v>
      </c>
      <c r="G3113" t="s">
        <v>2058</v>
      </c>
      <c r="H3113">
        <v>5</v>
      </c>
      <c r="I3113" s="12">
        <f>Table16[[#This Row],[price]]*Table16[[#This Row],[quantity]]</f>
        <v>2700.7200000000003</v>
      </c>
    </row>
    <row r="3114" spans="1:9" x14ac:dyDescent="0.3">
      <c r="A3114" t="s">
        <v>5128</v>
      </c>
      <c r="B3114" t="s">
        <v>612</v>
      </c>
      <c r="C3114" t="s">
        <v>2011</v>
      </c>
      <c r="D3114">
        <v>5</v>
      </c>
      <c r="E3114" s="16">
        <v>203.3</v>
      </c>
      <c r="F3114" s="1">
        <v>44667</v>
      </c>
      <c r="G3114" t="s">
        <v>2064</v>
      </c>
      <c r="H3114">
        <v>4</v>
      </c>
      <c r="I3114" s="12">
        <f>Table16[[#This Row],[price]]*Table16[[#This Row],[quantity]]</f>
        <v>1016.5</v>
      </c>
    </row>
    <row r="3115" spans="1:9" x14ac:dyDescent="0.3">
      <c r="A3115" t="s">
        <v>5132</v>
      </c>
      <c r="B3115" t="s">
        <v>612</v>
      </c>
      <c r="C3115" t="s">
        <v>2024</v>
      </c>
      <c r="D3115">
        <v>4</v>
      </c>
      <c r="E3115" s="16">
        <v>143.36000000000001</v>
      </c>
      <c r="F3115" s="1">
        <v>44698</v>
      </c>
      <c r="G3115" t="s">
        <v>2020</v>
      </c>
      <c r="H3115">
        <v>5</v>
      </c>
      <c r="I3115" s="12">
        <f>Table16[[#This Row],[price]]*Table16[[#This Row],[quantity]]</f>
        <v>573.44000000000005</v>
      </c>
    </row>
    <row r="3116" spans="1:9" x14ac:dyDescent="0.3">
      <c r="A3116" t="s">
        <v>5126</v>
      </c>
      <c r="B3116" t="s">
        <v>612</v>
      </c>
      <c r="C3116" t="s">
        <v>2001</v>
      </c>
      <c r="D3116">
        <v>3</v>
      </c>
      <c r="E3116" s="16">
        <v>900.24</v>
      </c>
      <c r="F3116" s="1">
        <v>44983</v>
      </c>
      <c r="G3116" t="s">
        <v>2012</v>
      </c>
      <c r="H3116">
        <v>4</v>
      </c>
      <c r="I3116" s="12">
        <f>Table16[[#This Row],[price]]*Table16[[#This Row],[quantity]]</f>
        <v>2700.7200000000003</v>
      </c>
    </row>
    <row r="3117" spans="1:9" x14ac:dyDescent="0.3">
      <c r="A3117" t="s">
        <v>5137</v>
      </c>
      <c r="B3117" t="s">
        <v>613</v>
      </c>
      <c r="C3117" t="s">
        <v>2024</v>
      </c>
      <c r="D3117">
        <v>1</v>
      </c>
      <c r="E3117" s="16">
        <v>35.840000000000003</v>
      </c>
      <c r="F3117" s="1">
        <v>44236</v>
      </c>
      <c r="G3117" t="s">
        <v>2004</v>
      </c>
      <c r="H3117">
        <v>3</v>
      </c>
      <c r="I3117" s="12">
        <f>Table16[[#This Row],[price]]*Table16[[#This Row],[quantity]]</f>
        <v>35.840000000000003</v>
      </c>
    </row>
    <row r="3118" spans="1:9" x14ac:dyDescent="0.3">
      <c r="A3118" t="s">
        <v>5133</v>
      </c>
      <c r="B3118" t="s">
        <v>613</v>
      </c>
      <c r="C3118" t="s">
        <v>2011</v>
      </c>
      <c r="D3118">
        <v>2</v>
      </c>
      <c r="E3118" s="16">
        <v>81.319999999999993</v>
      </c>
      <c r="F3118" s="1">
        <v>44388</v>
      </c>
      <c r="G3118" t="s">
        <v>2020</v>
      </c>
      <c r="H3118">
        <v>5</v>
      </c>
      <c r="I3118" s="12">
        <f>Table16[[#This Row],[price]]*Table16[[#This Row],[quantity]]</f>
        <v>162.63999999999999</v>
      </c>
    </row>
    <row r="3119" spans="1:9" x14ac:dyDescent="0.3">
      <c r="A3119" t="s">
        <v>5138</v>
      </c>
      <c r="B3119" t="s">
        <v>613</v>
      </c>
      <c r="C3119" t="s">
        <v>2008</v>
      </c>
      <c r="D3119">
        <v>1</v>
      </c>
      <c r="E3119" s="16">
        <v>5.23</v>
      </c>
      <c r="F3119" s="1">
        <v>44427</v>
      </c>
      <c r="G3119" t="s">
        <v>2004</v>
      </c>
      <c r="H3119">
        <v>5</v>
      </c>
      <c r="I3119" s="12">
        <f>Table16[[#This Row],[price]]*Table16[[#This Row],[quantity]]</f>
        <v>5.23</v>
      </c>
    </row>
    <row r="3120" spans="1:9" x14ac:dyDescent="0.3">
      <c r="A3120" t="s">
        <v>5136</v>
      </c>
      <c r="B3120" t="s">
        <v>613</v>
      </c>
      <c r="C3120" t="s">
        <v>2006</v>
      </c>
      <c r="D3120">
        <v>5</v>
      </c>
      <c r="E3120" s="16">
        <v>75.75</v>
      </c>
      <c r="F3120" s="1">
        <v>44485</v>
      </c>
      <c r="G3120" t="s">
        <v>2004</v>
      </c>
      <c r="H3120">
        <v>1</v>
      </c>
      <c r="I3120" s="12">
        <f>Table16[[#This Row],[price]]*Table16[[#This Row],[quantity]]</f>
        <v>378.75</v>
      </c>
    </row>
    <row r="3121" spans="1:9" x14ac:dyDescent="0.3">
      <c r="A3121" t="s">
        <v>5134</v>
      </c>
      <c r="B3121" t="s">
        <v>613</v>
      </c>
      <c r="C3121" t="s">
        <v>2008</v>
      </c>
      <c r="D3121">
        <v>2</v>
      </c>
      <c r="E3121" s="16">
        <v>10.46</v>
      </c>
      <c r="F3121" s="1">
        <v>44489</v>
      </c>
      <c r="G3121" t="s">
        <v>2020</v>
      </c>
      <c r="H3121">
        <v>3</v>
      </c>
      <c r="I3121" s="12">
        <f>Table16[[#This Row],[price]]*Table16[[#This Row],[quantity]]</f>
        <v>20.92</v>
      </c>
    </row>
    <row r="3122" spans="1:9" x14ac:dyDescent="0.3">
      <c r="A3122" t="s">
        <v>5135</v>
      </c>
      <c r="B3122" t="s">
        <v>613</v>
      </c>
      <c r="C3122" t="s">
        <v>2008</v>
      </c>
      <c r="D3122">
        <v>5</v>
      </c>
      <c r="E3122" s="16">
        <v>26.15</v>
      </c>
      <c r="F3122" s="1">
        <v>44965</v>
      </c>
      <c r="G3122" t="s">
        <v>2027</v>
      </c>
      <c r="H3122">
        <v>3</v>
      </c>
      <c r="I3122" s="12">
        <f>Table16[[#This Row],[price]]*Table16[[#This Row],[quantity]]</f>
        <v>130.75</v>
      </c>
    </row>
    <row r="3123" spans="1:9" x14ac:dyDescent="0.3">
      <c r="A3123" t="s">
        <v>5144</v>
      </c>
      <c r="B3123" t="s">
        <v>614</v>
      </c>
      <c r="C3123" t="s">
        <v>2001</v>
      </c>
      <c r="D3123">
        <v>2</v>
      </c>
      <c r="E3123" s="16">
        <v>600.16</v>
      </c>
      <c r="F3123" s="1">
        <v>44203</v>
      </c>
      <c r="G3123" t="s">
        <v>2064</v>
      </c>
      <c r="H3123">
        <v>1</v>
      </c>
      <c r="I3123" s="12">
        <f>Table16[[#This Row],[price]]*Table16[[#This Row],[quantity]]</f>
        <v>1200.32</v>
      </c>
    </row>
    <row r="3124" spans="1:9" x14ac:dyDescent="0.3">
      <c r="A3124" t="s">
        <v>5143</v>
      </c>
      <c r="B3124" t="s">
        <v>614</v>
      </c>
      <c r="C3124" t="s">
        <v>2001</v>
      </c>
      <c r="D3124">
        <v>1</v>
      </c>
      <c r="E3124" s="16">
        <v>300.08</v>
      </c>
      <c r="F3124" s="1">
        <v>44406</v>
      </c>
      <c r="G3124" t="s">
        <v>2064</v>
      </c>
      <c r="H3124">
        <v>4</v>
      </c>
      <c r="I3124" s="12">
        <f>Table16[[#This Row],[price]]*Table16[[#This Row],[quantity]]</f>
        <v>300.08</v>
      </c>
    </row>
    <row r="3125" spans="1:9" x14ac:dyDescent="0.3">
      <c r="A3125" t="s">
        <v>5140</v>
      </c>
      <c r="B3125" t="s">
        <v>614</v>
      </c>
      <c r="C3125" t="s">
        <v>2011</v>
      </c>
      <c r="D3125">
        <v>1</v>
      </c>
      <c r="E3125" s="16">
        <v>40.659999999999997</v>
      </c>
      <c r="F3125" s="1">
        <v>44431</v>
      </c>
      <c r="G3125" t="s">
        <v>2012</v>
      </c>
      <c r="H3125">
        <v>5</v>
      </c>
      <c r="I3125" s="12">
        <f>Table16[[#This Row],[price]]*Table16[[#This Row],[quantity]]</f>
        <v>40.659999999999997</v>
      </c>
    </row>
    <row r="3126" spans="1:9" x14ac:dyDescent="0.3">
      <c r="A3126" t="s">
        <v>5145</v>
      </c>
      <c r="B3126" t="s">
        <v>614</v>
      </c>
      <c r="C3126" t="s">
        <v>2006</v>
      </c>
      <c r="D3126">
        <v>5</v>
      </c>
      <c r="E3126" s="16">
        <v>75.75</v>
      </c>
      <c r="F3126" s="1">
        <v>44502</v>
      </c>
      <c r="G3126" t="s">
        <v>2002</v>
      </c>
      <c r="H3126">
        <v>3</v>
      </c>
      <c r="I3126" s="12">
        <f>Table16[[#This Row],[price]]*Table16[[#This Row],[quantity]]</f>
        <v>378.75</v>
      </c>
    </row>
    <row r="3127" spans="1:9" x14ac:dyDescent="0.3">
      <c r="A3127" t="s">
        <v>5139</v>
      </c>
      <c r="B3127" t="s">
        <v>614</v>
      </c>
      <c r="C3127" t="s">
        <v>2001</v>
      </c>
      <c r="D3127">
        <v>3</v>
      </c>
      <c r="E3127" s="16">
        <v>900.24</v>
      </c>
      <c r="F3127" s="1">
        <v>44588</v>
      </c>
      <c r="G3127" t="s">
        <v>2002</v>
      </c>
      <c r="H3127">
        <v>2</v>
      </c>
      <c r="I3127" s="12">
        <f>Table16[[#This Row],[price]]*Table16[[#This Row],[quantity]]</f>
        <v>2700.7200000000003</v>
      </c>
    </row>
    <row r="3128" spans="1:9" x14ac:dyDescent="0.3">
      <c r="A3128" t="s">
        <v>5142</v>
      </c>
      <c r="B3128" t="s">
        <v>614</v>
      </c>
      <c r="C3128" t="s">
        <v>2001</v>
      </c>
      <c r="D3128">
        <v>2</v>
      </c>
      <c r="E3128" s="16">
        <v>600.16</v>
      </c>
      <c r="F3128" s="1">
        <v>44682</v>
      </c>
      <c r="G3128" t="s">
        <v>2004</v>
      </c>
      <c r="H3128">
        <v>1</v>
      </c>
      <c r="I3128" s="12">
        <f>Table16[[#This Row],[price]]*Table16[[#This Row],[quantity]]</f>
        <v>1200.32</v>
      </c>
    </row>
    <row r="3129" spans="1:9" x14ac:dyDescent="0.3">
      <c r="A3129" t="s">
        <v>5141</v>
      </c>
      <c r="B3129" t="s">
        <v>614</v>
      </c>
      <c r="C3129" t="s">
        <v>2011</v>
      </c>
      <c r="D3129">
        <v>5</v>
      </c>
      <c r="E3129" s="16">
        <v>203.3</v>
      </c>
      <c r="F3129" s="1">
        <v>44781</v>
      </c>
      <c r="G3129" t="s">
        <v>2009</v>
      </c>
      <c r="H3129">
        <v>2</v>
      </c>
      <c r="I3129" s="12">
        <f>Table16[[#This Row],[price]]*Table16[[#This Row],[quantity]]</f>
        <v>1016.5</v>
      </c>
    </row>
    <row r="3130" spans="1:9" x14ac:dyDescent="0.3">
      <c r="A3130" t="s">
        <v>5147</v>
      </c>
      <c r="B3130" t="s">
        <v>615</v>
      </c>
      <c r="C3130" t="s">
        <v>2001</v>
      </c>
      <c r="D3130">
        <v>5</v>
      </c>
      <c r="E3130" s="16">
        <v>1500.4</v>
      </c>
      <c r="F3130" s="1">
        <v>44444</v>
      </c>
      <c r="G3130" t="s">
        <v>2009</v>
      </c>
      <c r="H3130">
        <v>5</v>
      </c>
      <c r="I3130" s="12">
        <f>Table16[[#This Row],[price]]*Table16[[#This Row],[quantity]]</f>
        <v>7502</v>
      </c>
    </row>
    <row r="3131" spans="1:9" x14ac:dyDescent="0.3">
      <c r="A3131" t="s">
        <v>5148</v>
      </c>
      <c r="B3131" t="s">
        <v>615</v>
      </c>
      <c r="C3131" t="s">
        <v>2011</v>
      </c>
      <c r="D3131">
        <v>3</v>
      </c>
      <c r="E3131" s="16">
        <v>121.98</v>
      </c>
      <c r="F3131" s="1">
        <v>44474</v>
      </c>
      <c r="G3131" t="s">
        <v>2020</v>
      </c>
      <c r="H3131">
        <v>4</v>
      </c>
      <c r="I3131" s="12">
        <f>Table16[[#This Row],[price]]*Table16[[#This Row],[quantity]]</f>
        <v>365.94</v>
      </c>
    </row>
    <row r="3132" spans="1:9" x14ac:dyDescent="0.3">
      <c r="A3132" t="s">
        <v>5146</v>
      </c>
      <c r="B3132" t="s">
        <v>615</v>
      </c>
      <c r="C3132" t="s">
        <v>2001</v>
      </c>
      <c r="D3132">
        <v>2</v>
      </c>
      <c r="E3132" s="16">
        <v>600.16</v>
      </c>
      <c r="F3132" s="1">
        <v>44762</v>
      </c>
      <c r="G3132" t="s">
        <v>2004</v>
      </c>
      <c r="H3132">
        <v>1</v>
      </c>
      <c r="I3132" s="12">
        <f>Table16[[#This Row],[price]]*Table16[[#This Row],[quantity]]</f>
        <v>1200.32</v>
      </c>
    </row>
    <row r="3133" spans="1:9" x14ac:dyDescent="0.3">
      <c r="A3133" t="s">
        <v>5149</v>
      </c>
      <c r="B3133" t="s">
        <v>615</v>
      </c>
      <c r="C3133" t="s">
        <v>2001</v>
      </c>
      <c r="D3133">
        <v>5</v>
      </c>
      <c r="E3133" s="16">
        <v>1500.4</v>
      </c>
      <c r="F3133" s="1">
        <v>44772</v>
      </c>
      <c r="G3133" t="s">
        <v>2002</v>
      </c>
      <c r="H3133">
        <v>4</v>
      </c>
      <c r="I3133" s="12">
        <f>Table16[[#This Row],[price]]*Table16[[#This Row],[quantity]]</f>
        <v>7502</v>
      </c>
    </row>
    <row r="3134" spans="1:9" x14ac:dyDescent="0.3">
      <c r="A3134" t="s">
        <v>5155</v>
      </c>
      <c r="B3134" t="s">
        <v>616</v>
      </c>
      <c r="C3134" t="s">
        <v>2006</v>
      </c>
      <c r="D3134">
        <v>2</v>
      </c>
      <c r="E3134" s="16">
        <v>30.3</v>
      </c>
      <c r="F3134" s="1">
        <v>44237</v>
      </c>
      <c r="G3134" t="s">
        <v>2064</v>
      </c>
      <c r="H3134">
        <v>1</v>
      </c>
      <c r="I3134" s="12">
        <f>Table16[[#This Row],[price]]*Table16[[#This Row],[quantity]]</f>
        <v>60.6</v>
      </c>
    </row>
    <row r="3135" spans="1:9" x14ac:dyDescent="0.3">
      <c r="A3135" t="s">
        <v>5152</v>
      </c>
      <c r="B3135" t="s">
        <v>616</v>
      </c>
      <c r="C3135" t="s">
        <v>2006</v>
      </c>
      <c r="D3135">
        <v>4</v>
      </c>
      <c r="E3135" s="16">
        <v>60.6</v>
      </c>
      <c r="F3135" s="1">
        <v>44309</v>
      </c>
      <c r="G3135" t="s">
        <v>2058</v>
      </c>
      <c r="H3135">
        <v>4</v>
      </c>
      <c r="I3135" s="12">
        <f>Table16[[#This Row],[price]]*Table16[[#This Row],[quantity]]</f>
        <v>242.4</v>
      </c>
    </row>
    <row r="3136" spans="1:9" x14ac:dyDescent="0.3">
      <c r="A3136" t="s">
        <v>5151</v>
      </c>
      <c r="B3136" t="s">
        <v>616</v>
      </c>
      <c r="C3136" t="s">
        <v>2001</v>
      </c>
      <c r="D3136">
        <v>5</v>
      </c>
      <c r="E3136" s="16">
        <v>1500.4</v>
      </c>
      <c r="F3136" s="1">
        <v>44366</v>
      </c>
      <c r="G3136" t="s">
        <v>2064</v>
      </c>
      <c r="H3136">
        <v>1</v>
      </c>
      <c r="I3136" s="12">
        <f>Table16[[#This Row],[price]]*Table16[[#This Row],[quantity]]</f>
        <v>7502</v>
      </c>
    </row>
    <row r="3137" spans="1:9" x14ac:dyDescent="0.3">
      <c r="A3137" t="s">
        <v>5150</v>
      </c>
      <c r="B3137" t="s">
        <v>616</v>
      </c>
      <c r="C3137" t="s">
        <v>2001</v>
      </c>
      <c r="D3137">
        <v>2</v>
      </c>
      <c r="E3137" s="16">
        <v>600.16</v>
      </c>
      <c r="F3137" s="1">
        <v>44651</v>
      </c>
      <c r="G3137" t="s">
        <v>2020</v>
      </c>
      <c r="H3137">
        <v>4</v>
      </c>
      <c r="I3137" s="12">
        <f>Table16[[#This Row],[price]]*Table16[[#This Row],[quantity]]</f>
        <v>1200.32</v>
      </c>
    </row>
    <row r="3138" spans="1:9" x14ac:dyDescent="0.3">
      <c r="A3138" t="s">
        <v>5153</v>
      </c>
      <c r="B3138" t="s">
        <v>616</v>
      </c>
      <c r="C3138" t="s">
        <v>2015</v>
      </c>
      <c r="D3138">
        <v>1</v>
      </c>
      <c r="E3138" s="16">
        <v>600.16999999999996</v>
      </c>
      <c r="F3138" s="1">
        <v>44850</v>
      </c>
      <c r="G3138" t="s">
        <v>2058</v>
      </c>
      <c r="H3138">
        <v>2</v>
      </c>
      <c r="I3138" s="12">
        <f>Table16[[#This Row],[price]]*Table16[[#This Row],[quantity]]</f>
        <v>600.16999999999996</v>
      </c>
    </row>
    <row r="3139" spans="1:9" x14ac:dyDescent="0.3">
      <c r="A3139" t="s">
        <v>5156</v>
      </c>
      <c r="B3139" t="s">
        <v>616</v>
      </c>
      <c r="C3139" t="s">
        <v>2008</v>
      </c>
      <c r="D3139">
        <v>4</v>
      </c>
      <c r="E3139" s="16">
        <v>20.92</v>
      </c>
      <c r="F3139" s="1">
        <v>44941</v>
      </c>
      <c r="G3139" t="s">
        <v>2004</v>
      </c>
      <c r="H3139">
        <v>3</v>
      </c>
      <c r="I3139" s="12">
        <f>Table16[[#This Row],[price]]*Table16[[#This Row],[quantity]]</f>
        <v>83.68</v>
      </c>
    </row>
    <row r="3140" spans="1:9" x14ac:dyDescent="0.3">
      <c r="A3140" t="s">
        <v>5154</v>
      </c>
      <c r="B3140" t="s">
        <v>616</v>
      </c>
      <c r="C3140" t="s">
        <v>2011</v>
      </c>
      <c r="D3140">
        <v>2</v>
      </c>
      <c r="E3140" s="16">
        <v>81.319999999999993</v>
      </c>
      <c r="F3140" s="1">
        <v>44947</v>
      </c>
      <c r="G3140" t="s">
        <v>2064</v>
      </c>
      <c r="H3140">
        <v>2</v>
      </c>
      <c r="I3140" s="12">
        <f>Table16[[#This Row],[price]]*Table16[[#This Row],[quantity]]</f>
        <v>162.63999999999999</v>
      </c>
    </row>
    <row r="3141" spans="1:9" x14ac:dyDescent="0.3">
      <c r="A3141" t="s">
        <v>5161</v>
      </c>
      <c r="B3141" t="s">
        <v>617</v>
      </c>
      <c r="C3141" t="s">
        <v>2011</v>
      </c>
      <c r="D3141">
        <v>1</v>
      </c>
      <c r="E3141" s="16">
        <v>40.659999999999997</v>
      </c>
      <c r="F3141" s="1">
        <v>44386</v>
      </c>
      <c r="G3141" t="s">
        <v>2018</v>
      </c>
      <c r="H3141">
        <v>4</v>
      </c>
      <c r="I3141" s="12">
        <f>Table16[[#This Row],[price]]*Table16[[#This Row],[quantity]]</f>
        <v>40.659999999999997</v>
      </c>
    </row>
    <row r="3142" spans="1:9" x14ac:dyDescent="0.3">
      <c r="A3142" t="s">
        <v>5158</v>
      </c>
      <c r="B3142" t="s">
        <v>617</v>
      </c>
      <c r="C3142" t="s">
        <v>2024</v>
      </c>
      <c r="D3142">
        <v>2</v>
      </c>
      <c r="E3142" s="16">
        <v>71.680000000000007</v>
      </c>
      <c r="F3142" s="1">
        <v>44613</v>
      </c>
      <c r="G3142" t="s">
        <v>2018</v>
      </c>
      <c r="H3142">
        <v>4</v>
      </c>
      <c r="I3142" s="12">
        <f>Table16[[#This Row],[price]]*Table16[[#This Row],[quantity]]</f>
        <v>143.36000000000001</v>
      </c>
    </row>
    <row r="3143" spans="1:9" x14ac:dyDescent="0.3">
      <c r="A3143" t="s">
        <v>5162</v>
      </c>
      <c r="B3143" t="s">
        <v>617</v>
      </c>
      <c r="C3143" t="s">
        <v>2001</v>
      </c>
      <c r="D3143">
        <v>3</v>
      </c>
      <c r="E3143" s="16">
        <v>900.24</v>
      </c>
      <c r="F3143" s="1">
        <v>44634</v>
      </c>
      <c r="G3143" t="s">
        <v>2002</v>
      </c>
      <c r="H3143">
        <v>4</v>
      </c>
      <c r="I3143" s="12">
        <f>Table16[[#This Row],[price]]*Table16[[#This Row],[quantity]]</f>
        <v>2700.7200000000003</v>
      </c>
    </row>
    <row r="3144" spans="1:9" x14ac:dyDescent="0.3">
      <c r="A3144" t="s">
        <v>5159</v>
      </c>
      <c r="B3144" t="s">
        <v>617</v>
      </c>
      <c r="C3144" t="s">
        <v>2011</v>
      </c>
      <c r="D3144">
        <v>5</v>
      </c>
      <c r="E3144" s="16">
        <v>203.3</v>
      </c>
      <c r="F3144" s="1">
        <v>44666</v>
      </c>
      <c r="G3144" t="s">
        <v>2020</v>
      </c>
      <c r="H3144">
        <v>1</v>
      </c>
      <c r="I3144" s="12">
        <f>Table16[[#This Row],[price]]*Table16[[#This Row],[quantity]]</f>
        <v>1016.5</v>
      </c>
    </row>
    <row r="3145" spans="1:9" x14ac:dyDescent="0.3">
      <c r="A3145" t="s">
        <v>5160</v>
      </c>
      <c r="B3145" t="s">
        <v>617</v>
      </c>
      <c r="C3145" t="s">
        <v>2011</v>
      </c>
      <c r="D3145">
        <v>5</v>
      </c>
      <c r="E3145" s="16">
        <v>203.3</v>
      </c>
      <c r="F3145" s="1">
        <v>44778</v>
      </c>
      <c r="G3145" t="s">
        <v>2002</v>
      </c>
      <c r="H3145">
        <v>2</v>
      </c>
      <c r="I3145" s="12">
        <f>Table16[[#This Row],[price]]*Table16[[#This Row],[quantity]]</f>
        <v>1016.5</v>
      </c>
    </row>
    <row r="3146" spans="1:9" x14ac:dyDescent="0.3">
      <c r="A3146" t="s">
        <v>5157</v>
      </c>
      <c r="B3146" t="s">
        <v>617</v>
      </c>
      <c r="C3146" t="s">
        <v>2001</v>
      </c>
      <c r="D3146">
        <v>1</v>
      </c>
      <c r="E3146" s="16">
        <v>300.08</v>
      </c>
      <c r="F3146" s="1">
        <v>44835</v>
      </c>
      <c r="G3146" t="s">
        <v>2004</v>
      </c>
      <c r="H3146">
        <v>2</v>
      </c>
      <c r="I3146" s="12">
        <f>Table16[[#This Row],[price]]*Table16[[#This Row],[quantity]]</f>
        <v>300.08</v>
      </c>
    </row>
    <row r="3147" spans="1:9" x14ac:dyDescent="0.3">
      <c r="A3147" t="s">
        <v>5165</v>
      </c>
      <c r="B3147" t="s">
        <v>618</v>
      </c>
      <c r="C3147" t="s">
        <v>2008</v>
      </c>
      <c r="D3147">
        <v>4</v>
      </c>
      <c r="E3147" s="16">
        <v>20.92</v>
      </c>
      <c r="F3147" s="1">
        <v>44200</v>
      </c>
      <c r="G3147" t="s">
        <v>2012</v>
      </c>
      <c r="H3147">
        <v>5</v>
      </c>
      <c r="I3147" s="12">
        <f>Table16[[#This Row],[price]]*Table16[[#This Row],[quantity]]</f>
        <v>83.68</v>
      </c>
    </row>
    <row r="3148" spans="1:9" x14ac:dyDescent="0.3">
      <c r="A3148" t="s">
        <v>5168</v>
      </c>
      <c r="B3148" t="s">
        <v>618</v>
      </c>
      <c r="C3148" t="s">
        <v>2017</v>
      </c>
      <c r="D3148">
        <v>1</v>
      </c>
      <c r="E3148" s="16">
        <v>1050</v>
      </c>
      <c r="F3148" s="1">
        <v>44588</v>
      </c>
      <c r="G3148" t="s">
        <v>2004</v>
      </c>
      <c r="H3148">
        <v>3</v>
      </c>
      <c r="I3148" s="12">
        <f>Table16[[#This Row],[price]]*Table16[[#This Row],[quantity]]</f>
        <v>1050</v>
      </c>
    </row>
    <row r="3149" spans="1:9" x14ac:dyDescent="0.3">
      <c r="A3149" t="s">
        <v>5167</v>
      </c>
      <c r="B3149" t="s">
        <v>618</v>
      </c>
      <c r="C3149" t="s">
        <v>2057</v>
      </c>
      <c r="D3149">
        <v>4</v>
      </c>
      <c r="E3149" s="16">
        <v>46.92</v>
      </c>
      <c r="F3149" s="1">
        <v>44696</v>
      </c>
      <c r="G3149" t="s">
        <v>2027</v>
      </c>
      <c r="H3149">
        <v>2</v>
      </c>
      <c r="I3149" s="12">
        <f>Table16[[#This Row],[price]]*Table16[[#This Row],[quantity]]</f>
        <v>187.68</v>
      </c>
    </row>
    <row r="3150" spans="1:9" x14ac:dyDescent="0.3">
      <c r="A3150" t="s">
        <v>5164</v>
      </c>
      <c r="B3150" t="s">
        <v>618</v>
      </c>
      <c r="C3150" t="s">
        <v>2017</v>
      </c>
      <c r="D3150">
        <v>4</v>
      </c>
      <c r="E3150" s="16">
        <v>4200</v>
      </c>
      <c r="F3150" s="1">
        <v>44798</v>
      </c>
      <c r="G3150" t="s">
        <v>2004</v>
      </c>
      <c r="H3150">
        <v>1</v>
      </c>
      <c r="I3150" s="12">
        <f>Table16[[#This Row],[price]]*Table16[[#This Row],[quantity]]</f>
        <v>16800</v>
      </c>
    </row>
    <row r="3151" spans="1:9" x14ac:dyDescent="0.3">
      <c r="A3151" t="s">
        <v>5169</v>
      </c>
      <c r="B3151" t="s">
        <v>618</v>
      </c>
      <c r="C3151" t="s">
        <v>2017</v>
      </c>
      <c r="D3151">
        <v>3</v>
      </c>
      <c r="E3151" s="16">
        <v>3150</v>
      </c>
      <c r="F3151" s="1">
        <v>44862</v>
      </c>
      <c r="G3151" t="s">
        <v>2027</v>
      </c>
      <c r="H3151">
        <v>3</v>
      </c>
      <c r="I3151" s="12">
        <f>Table16[[#This Row],[price]]*Table16[[#This Row],[quantity]]</f>
        <v>9450</v>
      </c>
    </row>
    <row r="3152" spans="1:9" x14ac:dyDescent="0.3">
      <c r="A3152" t="s">
        <v>5163</v>
      </c>
      <c r="B3152" t="s">
        <v>618</v>
      </c>
      <c r="C3152" t="s">
        <v>2001</v>
      </c>
      <c r="D3152">
        <v>4</v>
      </c>
      <c r="E3152" s="16">
        <v>1200.32</v>
      </c>
      <c r="F3152" s="1">
        <v>44927</v>
      </c>
      <c r="G3152" t="s">
        <v>2027</v>
      </c>
      <c r="H3152">
        <v>5</v>
      </c>
      <c r="I3152" s="12">
        <f>Table16[[#This Row],[price]]*Table16[[#This Row],[quantity]]</f>
        <v>4801.28</v>
      </c>
    </row>
    <row r="3153" spans="1:9" x14ac:dyDescent="0.3">
      <c r="A3153" t="s">
        <v>5166</v>
      </c>
      <c r="B3153" t="s">
        <v>618</v>
      </c>
      <c r="C3153" t="s">
        <v>2011</v>
      </c>
      <c r="D3153">
        <v>4</v>
      </c>
      <c r="E3153" s="16">
        <v>162.63999999999999</v>
      </c>
      <c r="F3153" s="1">
        <v>44934</v>
      </c>
      <c r="G3153" t="s">
        <v>2004</v>
      </c>
      <c r="H3153">
        <v>4</v>
      </c>
      <c r="I3153" s="12">
        <f>Table16[[#This Row],[price]]*Table16[[#This Row],[quantity]]</f>
        <v>650.55999999999995</v>
      </c>
    </row>
    <row r="3154" spans="1:9" x14ac:dyDescent="0.3">
      <c r="A3154" t="s">
        <v>5173</v>
      </c>
      <c r="B3154" t="s">
        <v>619</v>
      </c>
      <c r="C3154" t="s">
        <v>2057</v>
      </c>
      <c r="D3154">
        <v>5</v>
      </c>
      <c r="E3154" s="16">
        <v>58.65</v>
      </c>
      <c r="F3154" s="1">
        <v>44390</v>
      </c>
      <c r="G3154" t="s">
        <v>2012</v>
      </c>
      <c r="H3154">
        <v>5</v>
      </c>
      <c r="I3154" s="12">
        <f>Table16[[#This Row],[price]]*Table16[[#This Row],[quantity]]</f>
        <v>293.25</v>
      </c>
    </row>
    <row r="3155" spans="1:9" x14ac:dyDescent="0.3">
      <c r="A3155" t="s">
        <v>5175</v>
      </c>
      <c r="B3155" t="s">
        <v>619</v>
      </c>
      <c r="C3155" t="s">
        <v>2001</v>
      </c>
      <c r="D3155">
        <v>3</v>
      </c>
      <c r="E3155" s="16">
        <v>900.24</v>
      </c>
      <c r="F3155" s="1">
        <v>44411</v>
      </c>
      <c r="G3155" t="s">
        <v>2004</v>
      </c>
      <c r="H3155">
        <v>5</v>
      </c>
      <c r="I3155" s="12">
        <f>Table16[[#This Row],[price]]*Table16[[#This Row],[quantity]]</f>
        <v>2700.7200000000003</v>
      </c>
    </row>
    <row r="3156" spans="1:9" x14ac:dyDescent="0.3">
      <c r="A3156" t="s">
        <v>5172</v>
      </c>
      <c r="B3156" t="s">
        <v>619</v>
      </c>
      <c r="C3156" t="s">
        <v>2015</v>
      </c>
      <c r="D3156">
        <v>5</v>
      </c>
      <c r="E3156" s="16">
        <v>3000.85</v>
      </c>
      <c r="F3156" s="1">
        <v>44457</v>
      </c>
      <c r="G3156" t="s">
        <v>2041</v>
      </c>
      <c r="H3156">
        <v>5</v>
      </c>
      <c r="I3156" s="12">
        <f>Table16[[#This Row],[price]]*Table16[[#This Row],[quantity]]</f>
        <v>15004.25</v>
      </c>
    </row>
    <row r="3157" spans="1:9" x14ac:dyDescent="0.3">
      <c r="A3157" t="s">
        <v>5176</v>
      </c>
      <c r="B3157" t="s">
        <v>619</v>
      </c>
      <c r="C3157" t="s">
        <v>2001</v>
      </c>
      <c r="D3157">
        <v>2</v>
      </c>
      <c r="E3157" s="16">
        <v>600.16</v>
      </c>
      <c r="F3157" s="1">
        <v>44825</v>
      </c>
      <c r="G3157" t="s">
        <v>2064</v>
      </c>
      <c r="H3157">
        <v>5</v>
      </c>
      <c r="I3157" s="12">
        <f>Table16[[#This Row],[price]]*Table16[[#This Row],[quantity]]</f>
        <v>1200.32</v>
      </c>
    </row>
    <row r="3158" spans="1:9" x14ac:dyDescent="0.3">
      <c r="A3158" t="s">
        <v>5171</v>
      </c>
      <c r="B3158" t="s">
        <v>619</v>
      </c>
      <c r="C3158" t="s">
        <v>2006</v>
      </c>
      <c r="D3158">
        <v>3</v>
      </c>
      <c r="E3158" s="16">
        <v>45.45</v>
      </c>
      <c r="F3158" s="1">
        <v>44860</v>
      </c>
      <c r="G3158" t="s">
        <v>2041</v>
      </c>
      <c r="H3158">
        <v>1</v>
      </c>
      <c r="I3158" s="12">
        <f>Table16[[#This Row],[price]]*Table16[[#This Row],[quantity]]</f>
        <v>136.35000000000002</v>
      </c>
    </row>
    <row r="3159" spans="1:9" x14ac:dyDescent="0.3">
      <c r="A3159" t="s">
        <v>5170</v>
      </c>
      <c r="B3159" t="s">
        <v>619</v>
      </c>
      <c r="C3159" t="s">
        <v>2011</v>
      </c>
      <c r="D3159">
        <v>5</v>
      </c>
      <c r="E3159" s="16">
        <v>203.3</v>
      </c>
      <c r="F3159" s="1">
        <v>44872</v>
      </c>
      <c r="G3159" t="s">
        <v>2012</v>
      </c>
      <c r="H3159">
        <v>4</v>
      </c>
      <c r="I3159" s="12">
        <f>Table16[[#This Row],[price]]*Table16[[#This Row],[quantity]]</f>
        <v>1016.5</v>
      </c>
    </row>
    <row r="3160" spans="1:9" x14ac:dyDescent="0.3">
      <c r="A3160" t="s">
        <v>5174</v>
      </c>
      <c r="B3160" t="s">
        <v>619</v>
      </c>
      <c r="C3160" t="s">
        <v>2006</v>
      </c>
      <c r="D3160">
        <v>3</v>
      </c>
      <c r="E3160" s="16">
        <v>45.45</v>
      </c>
      <c r="F3160" s="1">
        <v>44939</v>
      </c>
      <c r="G3160" t="s">
        <v>2004</v>
      </c>
      <c r="H3160">
        <v>1</v>
      </c>
      <c r="I3160" s="12">
        <f>Table16[[#This Row],[price]]*Table16[[#This Row],[quantity]]</f>
        <v>136.35000000000002</v>
      </c>
    </row>
    <row r="3161" spans="1:9" x14ac:dyDescent="0.3">
      <c r="A3161" t="s">
        <v>5184</v>
      </c>
      <c r="B3161" t="s">
        <v>620</v>
      </c>
      <c r="C3161" t="s">
        <v>2001</v>
      </c>
      <c r="D3161">
        <v>5</v>
      </c>
      <c r="E3161" s="16">
        <v>1500.4</v>
      </c>
      <c r="F3161" s="1">
        <v>44303</v>
      </c>
      <c r="G3161" t="s">
        <v>2004</v>
      </c>
      <c r="H3161">
        <v>2</v>
      </c>
      <c r="I3161" s="12">
        <f>Table16[[#This Row],[price]]*Table16[[#This Row],[quantity]]</f>
        <v>7502</v>
      </c>
    </row>
    <row r="3162" spans="1:9" x14ac:dyDescent="0.3">
      <c r="A3162" t="s">
        <v>5180</v>
      </c>
      <c r="B3162" t="s">
        <v>620</v>
      </c>
      <c r="C3162" t="s">
        <v>2001</v>
      </c>
      <c r="D3162">
        <v>1</v>
      </c>
      <c r="E3162" s="16">
        <v>300.08</v>
      </c>
      <c r="F3162" s="1">
        <v>44336</v>
      </c>
      <c r="G3162" t="s">
        <v>2027</v>
      </c>
      <c r="H3162">
        <v>2</v>
      </c>
      <c r="I3162" s="12">
        <f>Table16[[#This Row],[price]]*Table16[[#This Row],[quantity]]</f>
        <v>300.08</v>
      </c>
    </row>
    <row r="3163" spans="1:9" x14ac:dyDescent="0.3">
      <c r="A3163" t="s">
        <v>5182</v>
      </c>
      <c r="B3163" t="s">
        <v>620</v>
      </c>
      <c r="C3163" t="s">
        <v>2001</v>
      </c>
      <c r="D3163">
        <v>5</v>
      </c>
      <c r="E3163" s="16">
        <v>1500.4</v>
      </c>
      <c r="F3163" s="1">
        <v>44491</v>
      </c>
      <c r="G3163" t="s">
        <v>2041</v>
      </c>
      <c r="H3163">
        <v>4</v>
      </c>
      <c r="I3163" s="12">
        <f>Table16[[#This Row],[price]]*Table16[[#This Row],[quantity]]</f>
        <v>7502</v>
      </c>
    </row>
    <row r="3164" spans="1:9" x14ac:dyDescent="0.3">
      <c r="A3164" t="s">
        <v>5179</v>
      </c>
      <c r="B3164" t="s">
        <v>620</v>
      </c>
      <c r="C3164" t="s">
        <v>2011</v>
      </c>
      <c r="D3164">
        <v>4</v>
      </c>
      <c r="E3164" s="16">
        <v>162.63999999999999</v>
      </c>
      <c r="F3164" s="1">
        <v>44684</v>
      </c>
      <c r="G3164" t="s">
        <v>2002</v>
      </c>
      <c r="H3164">
        <v>5</v>
      </c>
      <c r="I3164" s="12">
        <f>Table16[[#This Row],[price]]*Table16[[#This Row],[quantity]]</f>
        <v>650.55999999999995</v>
      </c>
    </row>
    <row r="3165" spans="1:9" x14ac:dyDescent="0.3">
      <c r="A3165" t="s">
        <v>5178</v>
      </c>
      <c r="B3165" t="s">
        <v>620</v>
      </c>
      <c r="C3165" t="s">
        <v>2001</v>
      </c>
      <c r="D3165">
        <v>4</v>
      </c>
      <c r="E3165" s="16">
        <v>1200.32</v>
      </c>
      <c r="F3165" s="1">
        <v>44776</v>
      </c>
      <c r="G3165" t="s">
        <v>2064</v>
      </c>
      <c r="H3165">
        <v>1</v>
      </c>
      <c r="I3165" s="12">
        <f>Table16[[#This Row],[price]]*Table16[[#This Row],[quantity]]</f>
        <v>4801.28</v>
      </c>
    </row>
    <row r="3166" spans="1:9" x14ac:dyDescent="0.3">
      <c r="A3166" t="s">
        <v>5183</v>
      </c>
      <c r="B3166" t="s">
        <v>620</v>
      </c>
      <c r="C3166" t="s">
        <v>2001</v>
      </c>
      <c r="D3166">
        <v>1</v>
      </c>
      <c r="E3166" s="16">
        <v>300.08</v>
      </c>
      <c r="F3166" s="1">
        <v>44866</v>
      </c>
      <c r="G3166" t="s">
        <v>2041</v>
      </c>
      <c r="H3166">
        <v>1</v>
      </c>
      <c r="I3166" s="12">
        <f>Table16[[#This Row],[price]]*Table16[[#This Row],[quantity]]</f>
        <v>300.08</v>
      </c>
    </row>
    <row r="3167" spans="1:9" x14ac:dyDescent="0.3">
      <c r="A3167" t="s">
        <v>5181</v>
      </c>
      <c r="B3167" t="s">
        <v>620</v>
      </c>
      <c r="C3167" t="s">
        <v>2001</v>
      </c>
      <c r="D3167">
        <v>5</v>
      </c>
      <c r="E3167" s="16">
        <v>1500.4</v>
      </c>
      <c r="F3167" s="1">
        <v>44889</v>
      </c>
      <c r="G3167" t="s">
        <v>2004</v>
      </c>
      <c r="H3167">
        <v>3</v>
      </c>
      <c r="I3167" s="12">
        <f>Table16[[#This Row],[price]]*Table16[[#This Row],[quantity]]</f>
        <v>7502</v>
      </c>
    </row>
    <row r="3168" spans="1:9" x14ac:dyDescent="0.3">
      <c r="A3168" t="s">
        <v>5177</v>
      </c>
      <c r="B3168" t="s">
        <v>620</v>
      </c>
      <c r="C3168" t="s">
        <v>2057</v>
      </c>
      <c r="D3168">
        <v>2</v>
      </c>
      <c r="E3168" s="16">
        <v>23.46</v>
      </c>
      <c r="F3168" s="1">
        <v>44900</v>
      </c>
      <c r="G3168" t="s">
        <v>2004</v>
      </c>
      <c r="H3168">
        <v>5</v>
      </c>
      <c r="I3168" s="12">
        <f>Table16[[#This Row],[price]]*Table16[[#This Row],[quantity]]</f>
        <v>46.92</v>
      </c>
    </row>
    <row r="3169" spans="1:9" x14ac:dyDescent="0.3">
      <c r="A3169" t="s">
        <v>5187</v>
      </c>
      <c r="B3169" t="s">
        <v>621</v>
      </c>
      <c r="C3169" t="s">
        <v>2011</v>
      </c>
      <c r="D3169">
        <v>4</v>
      </c>
      <c r="E3169" s="16">
        <v>162.63999999999999</v>
      </c>
      <c r="F3169" s="1">
        <v>44370</v>
      </c>
      <c r="G3169" t="s">
        <v>2027</v>
      </c>
      <c r="H3169">
        <v>3</v>
      </c>
      <c r="I3169" s="12">
        <f>Table16[[#This Row],[price]]*Table16[[#This Row],[quantity]]</f>
        <v>650.55999999999995</v>
      </c>
    </row>
    <row r="3170" spans="1:9" x14ac:dyDescent="0.3">
      <c r="A3170" t="s">
        <v>5186</v>
      </c>
      <c r="B3170" t="s">
        <v>621</v>
      </c>
      <c r="C3170" t="s">
        <v>2024</v>
      </c>
      <c r="D3170">
        <v>2</v>
      </c>
      <c r="E3170" s="16">
        <v>71.680000000000007</v>
      </c>
      <c r="F3170" s="1">
        <v>44477</v>
      </c>
      <c r="G3170" t="s">
        <v>2004</v>
      </c>
      <c r="H3170">
        <v>3</v>
      </c>
      <c r="I3170" s="12">
        <f>Table16[[#This Row],[price]]*Table16[[#This Row],[quantity]]</f>
        <v>143.36000000000001</v>
      </c>
    </row>
    <row r="3171" spans="1:9" x14ac:dyDescent="0.3">
      <c r="A3171" t="s">
        <v>5188</v>
      </c>
      <c r="B3171" t="s">
        <v>621</v>
      </c>
      <c r="C3171" t="s">
        <v>2001</v>
      </c>
      <c r="D3171">
        <v>3</v>
      </c>
      <c r="E3171" s="16">
        <v>900.24</v>
      </c>
      <c r="F3171" s="1">
        <v>44841</v>
      </c>
      <c r="G3171" t="s">
        <v>2009</v>
      </c>
      <c r="H3171">
        <v>5</v>
      </c>
      <c r="I3171" s="12">
        <f>Table16[[#This Row],[price]]*Table16[[#This Row],[quantity]]</f>
        <v>2700.7200000000003</v>
      </c>
    </row>
    <row r="3172" spans="1:9" x14ac:dyDescent="0.3">
      <c r="A3172" t="s">
        <v>5185</v>
      </c>
      <c r="B3172" t="s">
        <v>621</v>
      </c>
      <c r="C3172" t="s">
        <v>2001</v>
      </c>
      <c r="D3172">
        <v>3</v>
      </c>
      <c r="E3172" s="16">
        <v>900.24</v>
      </c>
      <c r="F3172" s="1">
        <v>44949</v>
      </c>
      <c r="G3172" t="s">
        <v>2004</v>
      </c>
      <c r="H3172">
        <v>3</v>
      </c>
      <c r="I3172" s="12">
        <f>Table16[[#This Row],[price]]*Table16[[#This Row],[quantity]]</f>
        <v>2700.7200000000003</v>
      </c>
    </row>
    <row r="3173" spans="1:9" x14ac:dyDescent="0.3">
      <c r="A3173" t="s">
        <v>5192</v>
      </c>
      <c r="B3173" t="s">
        <v>622</v>
      </c>
      <c r="C3173" t="s">
        <v>2001</v>
      </c>
      <c r="D3173">
        <v>5</v>
      </c>
      <c r="E3173" s="16">
        <v>1500.4</v>
      </c>
      <c r="F3173" s="1">
        <v>44308</v>
      </c>
      <c r="G3173" t="s">
        <v>2004</v>
      </c>
      <c r="H3173">
        <v>2</v>
      </c>
      <c r="I3173" s="12">
        <f>Table16[[#This Row],[price]]*Table16[[#This Row],[quantity]]</f>
        <v>7502</v>
      </c>
    </row>
    <row r="3174" spans="1:9" x14ac:dyDescent="0.3">
      <c r="A3174" t="s">
        <v>5190</v>
      </c>
      <c r="B3174" t="s">
        <v>622</v>
      </c>
      <c r="C3174" t="s">
        <v>2011</v>
      </c>
      <c r="D3174">
        <v>1</v>
      </c>
      <c r="E3174" s="16">
        <v>40.659999999999997</v>
      </c>
      <c r="F3174" s="1">
        <v>44435</v>
      </c>
      <c r="G3174" t="s">
        <v>2004</v>
      </c>
      <c r="H3174">
        <v>2</v>
      </c>
      <c r="I3174" s="12">
        <f>Table16[[#This Row],[price]]*Table16[[#This Row],[quantity]]</f>
        <v>40.659999999999997</v>
      </c>
    </row>
    <row r="3175" spans="1:9" x14ac:dyDescent="0.3">
      <c r="A3175" t="s">
        <v>5194</v>
      </c>
      <c r="B3175" t="s">
        <v>622</v>
      </c>
      <c r="C3175" t="s">
        <v>2024</v>
      </c>
      <c r="D3175">
        <v>3</v>
      </c>
      <c r="E3175" s="16">
        <v>107.52</v>
      </c>
      <c r="F3175" s="1">
        <v>44488</v>
      </c>
      <c r="G3175" t="s">
        <v>2004</v>
      </c>
      <c r="H3175">
        <v>5</v>
      </c>
      <c r="I3175" s="12">
        <f>Table16[[#This Row],[price]]*Table16[[#This Row],[quantity]]</f>
        <v>322.56</v>
      </c>
    </row>
    <row r="3176" spans="1:9" x14ac:dyDescent="0.3">
      <c r="A3176" t="s">
        <v>5191</v>
      </c>
      <c r="B3176" t="s">
        <v>622</v>
      </c>
      <c r="C3176" t="s">
        <v>2011</v>
      </c>
      <c r="D3176">
        <v>4</v>
      </c>
      <c r="E3176" s="16">
        <v>162.63999999999999</v>
      </c>
      <c r="F3176" s="1">
        <v>44492</v>
      </c>
      <c r="G3176" t="s">
        <v>2027</v>
      </c>
      <c r="H3176">
        <v>1</v>
      </c>
      <c r="I3176" s="12">
        <f>Table16[[#This Row],[price]]*Table16[[#This Row],[quantity]]</f>
        <v>650.55999999999995</v>
      </c>
    </row>
    <row r="3177" spans="1:9" x14ac:dyDescent="0.3">
      <c r="A3177" t="s">
        <v>5193</v>
      </c>
      <c r="B3177" t="s">
        <v>622</v>
      </c>
      <c r="C3177" t="s">
        <v>2057</v>
      </c>
      <c r="D3177">
        <v>2</v>
      </c>
      <c r="E3177" s="16">
        <v>23.46</v>
      </c>
      <c r="F3177" s="1">
        <v>44513</v>
      </c>
      <c r="G3177" t="s">
        <v>2020</v>
      </c>
      <c r="H3177">
        <v>4</v>
      </c>
      <c r="I3177" s="12">
        <f>Table16[[#This Row],[price]]*Table16[[#This Row],[quantity]]</f>
        <v>46.92</v>
      </c>
    </row>
    <row r="3178" spans="1:9" x14ac:dyDescent="0.3">
      <c r="A3178" t="s">
        <v>5189</v>
      </c>
      <c r="B3178" t="s">
        <v>622</v>
      </c>
      <c r="C3178" t="s">
        <v>2001</v>
      </c>
      <c r="D3178">
        <v>1</v>
      </c>
      <c r="E3178" s="16">
        <v>300.08</v>
      </c>
      <c r="F3178" s="1">
        <v>44700</v>
      </c>
      <c r="G3178" t="s">
        <v>2027</v>
      </c>
      <c r="H3178">
        <v>4</v>
      </c>
      <c r="I3178" s="12">
        <f>Table16[[#This Row],[price]]*Table16[[#This Row],[quantity]]</f>
        <v>300.08</v>
      </c>
    </row>
    <row r="3179" spans="1:9" x14ac:dyDescent="0.3">
      <c r="A3179" t="s">
        <v>5195</v>
      </c>
      <c r="B3179" t="s">
        <v>622</v>
      </c>
      <c r="C3179" t="s">
        <v>2001</v>
      </c>
      <c r="D3179">
        <v>3</v>
      </c>
      <c r="E3179" s="16">
        <v>900.24</v>
      </c>
      <c r="F3179" s="1">
        <v>44934</v>
      </c>
      <c r="G3179" t="s">
        <v>2004</v>
      </c>
      <c r="H3179">
        <v>5</v>
      </c>
      <c r="I3179" s="12">
        <f>Table16[[#This Row],[price]]*Table16[[#This Row],[quantity]]</f>
        <v>2700.7200000000003</v>
      </c>
    </row>
    <row r="3180" spans="1:9" x14ac:dyDescent="0.3">
      <c r="A3180" t="s">
        <v>5196</v>
      </c>
      <c r="B3180" t="s">
        <v>623</v>
      </c>
      <c r="C3180" t="s">
        <v>2001</v>
      </c>
      <c r="D3180">
        <v>4</v>
      </c>
      <c r="E3180" s="16">
        <v>1200.32</v>
      </c>
      <c r="F3180" s="1">
        <v>44314</v>
      </c>
      <c r="G3180" t="s">
        <v>2027</v>
      </c>
      <c r="H3180">
        <v>5</v>
      </c>
      <c r="I3180" s="12">
        <f>Table16[[#This Row],[price]]*Table16[[#This Row],[quantity]]</f>
        <v>4801.28</v>
      </c>
    </row>
    <row r="3181" spans="1:9" x14ac:dyDescent="0.3">
      <c r="A3181" t="s">
        <v>5201</v>
      </c>
      <c r="B3181" t="s">
        <v>623</v>
      </c>
      <c r="C3181" t="s">
        <v>2001</v>
      </c>
      <c r="D3181">
        <v>3</v>
      </c>
      <c r="E3181" s="16">
        <v>900.24</v>
      </c>
      <c r="F3181" s="1">
        <v>44389</v>
      </c>
      <c r="G3181" t="s">
        <v>2004</v>
      </c>
      <c r="H3181">
        <v>4</v>
      </c>
      <c r="I3181" s="12">
        <f>Table16[[#This Row],[price]]*Table16[[#This Row],[quantity]]</f>
        <v>2700.7200000000003</v>
      </c>
    </row>
    <row r="3182" spans="1:9" x14ac:dyDescent="0.3">
      <c r="A3182" t="s">
        <v>5199</v>
      </c>
      <c r="B3182" t="s">
        <v>623</v>
      </c>
      <c r="C3182" t="s">
        <v>2011</v>
      </c>
      <c r="D3182">
        <v>1</v>
      </c>
      <c r="E3182" s="16">
        <v>40.659999999999997</v>
      </c>
      <c r="F3182" s="1">
        <v>44676</v>
      </c>
      <c r="G3182" t="s">
        <v>2009</v>
      </c>
      <c r="H3182">
        <v>3</v>
      </c>
      <c r="I3182" s="12">
        <f>Table16[[#This Row],[price]]*Table16[[#This Row],[quantity]]</f>
        <v>40.659999999999997</v>
      </c>
    </row>
    <row r="3183" spans="1:9" x14ac:dyDescent="0.3">
      <c r="A3183" t="s">
        <v>5197</v>
      </c>
      <c r="B3183" t="s">
        <v>623</v>
      </c>
      <c r="C3183" t="s">
        <v>2011</v>
      </c>
      <c r="D3183">
        <v>5</v>
      </c>
      <c r="E3183" s="16">
        <v>203.3</v>
      </c>
      <c r="F3183" s="1">
        <v>44781</v>
      </c>
      <c r="G3183" t="s">
        <v>2009</v>
      </c>
      <c r="H3183">
        <v>4</v>
      </c>
      <c r="I3183" s="12">
        <f>Table16[[#This Row],[price]]*Table16[[#This Row],[quantity]]</f>
        <v>1016.5</v>
      </c>
    </row>
    <row r="3184" spans="1:9" x14ac:dyDescent="0.3">
      <c r="A3184" t="s">
        <v>5198</v>
      </c>
      <c r="B3184" t="s">
        <v>623</v>
      </c>
      <c r="C3184" t="s">
        <v>2001</v>
      </c>
      <c r="D3184">
        <v>1</v>
      </c>
      <c r="E3184" s="16">
        <v>300.08</v>
      </c>
      <c r="F3184" s="1">
        <v>44902</v>
      </c>
      <c r="G3184" t="s">
        <v>2027</v>
      </c>
      <c r="H3184">
        <v>5</v>
      </c>
      <c r="I3184" s="12">
        <f>Table16[[#This Row],[price]]*Table16[[#This Row],[quantity]]</f>
        <v>300.08</v>
      </c>
    </row>
    <row r="3185" spans="1:9" x14ac:dyDescent="0.3">
      <c r="A3185" t="s">
        <v>5200</v>
      </c>
      <c r="B3185" t="s">
        <v>623</v>
      </c>
      <c r="C3185" t="s">
        <v>2001</v>
      </c>
      <c r="D3185">
        <v>3</v>
      </c>
      <c r="E3185" s="16">
        <v>900.24</v>
      </c>
      <c r="F3185" s="1">
        <v>44921</v>
      </c>
      <c r="G3185" t="s">
        <v>2064</v>
      </c>
      <c r="H3185">
        <v>3</v>
      </c>
      <c r="I3185" s="12">
        <f>Table16[[#This Row],[price]]*Table16[[#This Row],[quantity]]</f>
        <v>2700.7200000000003</v>
      </c>
    </row>
    <row r="3186" spans="1:9" x14ac:dyDescent="0.3">
      <c r="A3186" t="s">
        <v>5202</v>
      </c>
      <c r="B3186" t="s">
        <v>624</v>
      </c>
      <c r="C3186" t="s">
        <v>2001</v>
      </c>
      <c r="D3186">
        <v>5</v>
      </c>
      <c r="E3186" s="16">
        <v>1500.4</v>
      </c>
      <c r="F3186" s="1">
        <v>44367</v>
      </c>
      <c r="G3186" t="s">
        <v>2004</v>
      </c>
      <c r="H3186">
        <v>1</v>
      </c>
      <c r="I3186" s="12">
        <f>Table16[[#This Row],[price]]*Table16[[#This Row],[quantity]]</f>
        <v>7502</v>
      </c>
    </row>
    <row r="3187" spans="1:9" x14ac:dyDescent="0.3">
      <c r="A3187" t="s">
        <v>5203</v>
      </c>
      <c r="B3187" t="s">
        <v>624</v>
      </c>
      <c r="C3187" t="s">
        <v>2001</v>
      </c>
      <c r="D3187">
        <v>3</v>
      </c>
      <c r="E3187" s="16">
        <v>900.24</v>
      </c>
      <c r="F3187" s="1">
        <v>44422</v>
      </c>
      <c r="G3187" t="s">
        <v>2004</v>
      </c>
      <c r="H3187">
        <v>2</v>
      </c>
      <c r="I3187" s="12">
        <f>Table16[[#This Row],[price]]*Table16[[#This Row],[quantity]]</f>
        <v>2700.7200000000003</v>
      </c>
    </row>
    <row r="3188" spans="1:9" x14ac:dyDescent="0.3">
      <c r="A3188" t="s">
        <v>5207</v>
      </c>
      <c r="B3188" t="s">
        <v>625</v>
      </c>
      <c r="C3188" t="s">
        <v>2015</v>
      </c>
      <c r="D3188">
        <v>3</v>
      </c>
      <c r="E3188" s="16">
        <v>1800.51</v>
      </c>
      <c r="F3188" s="1">
        <v>44240</v>
      </c>
      <c r="G3188" t="s">
        <v>2041</v>
      </c>
      <c r="H3188">
        <v>5</v>
      </c>
      <c r="I3188" s="12">
        <f>Table16[[#This Row],[price]]*Table16[[#This Row],[quantity]]</f>
        <v>5401.53</v>
      </c>
    </row>
    <row r="3189" spans="1:9" x14ac:dyDescent="0.3">
      <c r="A3189" t="s">
        <v>5205</v>
      </c>
      <c r="B3189" t="s">
        <v>625</v>
      </c>
      <c r="C3189" t="s">
        <v>2015</v>
      </c>
      <c r="D3189">
        <v>3</v>
      </c>
      <c r="E3189" s="16">
        <v>1800.51</v>
      </c>
      <c r="F3189" s="1">
        <v>44345</v>
      </c>
      <c r="G3189" t="s">
        <v>2004</v>
      </c>
      <c r="H3189">
        <v>3</v>
      </c>
      <c r="I3189" s="12">
        <f>Table16[[#This Row],[price]]*Table16[[#This Row],[quantity]]</f>
        <v>5401.53</v>
      </c>
    </row>
    <row r="3190" spans="1:9" x14ac:dyDescent="0.3">
      <c r="A3190" t="s">
        <v>5204</v>
      </c>
      <c r="B3190" t="s">
        <v>625</v>
      </c>
      <c r="C3190" t="s">
        <v>2024</v>
      </c>
      <c r="D3190">
        <v>3</v>
      </c>
      <c r="E3190" s="16">
        <v>107.52</v>
      </c>
      <c r="F3190" s="1">
        <v>44425</v>
      </c>
      <c r="G3190" t="s">
        <v>2004</v>
      </c>
      <c r="H3190">
        <v>3</v>
      </c>
      <c r="I3190" s="12">
        <f>Table16[[#This Row],[price]]*Table16[[#This Row],[quantity]]</f>
        <v>322.56</v>
      </c>
    </row>
    <row r="3191" spans="1:9" x14ac:dyDescent="0.3">
      <c r="A3191" t="s">
        <v>5206</v>
      </c>
      <c r="B3191" t="s">
        <v>625</v>
      </c>
      <c r="C3191" t="s">
        <v>2001</v>
      </c>
      <c r="D3191">
        <v>4</v>
      </c>
      <c r="E3191" s="16">
        <v>1200.32</v>
      </c>
      <c r="F3191" s="1">
        <v>44681</v>
      </c>
      <c r="G3191" t="s">
        <v>2041</v>
      </c>
      <c r="H3191">
        <v>1</v>
      </c>
      <c r="I3191" s="12">
        <f>Table16[[#This Row],[price]]*Table16[[#This Row],[quantity]]</f>
        <v>4801.28</v>
      </c>
    </row>
    <row r="3192" spans="1:9" x14ac:dyDescent="0.3">
      <c r="A3192" t="s">
        <v>5208</v>
      </c>
      <c r="B3192" t="s">
        <v>626</v>
      </c>
      <c r="C3192" t="s">
        <v>2057</v>
      </c>
      <c r="D3192">
        <v>5</v>
      </c>
      <c r="E3192" s="16">
        <v>58.65</v>
      </c>
      <c r="F3192" s="1">
        <v>44227</v>
      </c>
      <c r="G3192" t="s">
        <v>2004</v>
      </c>
      <c r="H3192">
        <v>2</v>
      </c>
      <c r="I3192" s="12">
        <f>Table16[[#This Row],[price]]*Table16[[#This Row],[quantity]]</f>
        <v>293.25</v>
      </c>
    </row>
    <row r="3193" spans="1:9" x14ac:dyDescent="0.3">
      <c r="A3193" t="s">
        <v>5211</v>
      </c>
      <c r="B3193" t="s">
        <v>626</v>
      </c>
      <c r="C3193" t="s">
        <v>2001</v>
      </c>
      <c r="D3193">
        <v>5</v>
      </c>
      <c r="E3193" s="16">
        <v>1500.4</v>
      </c>
      <c r="F3193" s="1">
        <v>44235</v>
      </c>
      <c r="G3193" t="s">
        <v>2064</v>
      </c>
      <c r="H3193">
        <v>3</v>
      </c>
      <c r="I3193" s="12">
        <f>Table16[[#This Row],[price]]*Table16[[#This Row],[quantity]]</f>
        <v>7502</v>
      </c>
    </row>
    <row r="3194" spans="1:9" x14ac:dyDescent="0.3">
      <c r="A3194" t="s">
        <v>5209</v>
      </c>
      <c r="B3194" t="s">
        <v>626</v>
      </c>
      <c r="C3194" t="s">
        <v>2008</v>
      </c>
      <c r="D3194">
        <v>5</v>
      </c>
      <c r="E3194" s="16">
        <v>26.15</v>
      </c>
      <c r="F3194" s="1">
        <v>44572</v>
      </c>
      <c r="G3194" t="s">
        <v>2002</v>
      </c>
      <c r="H3194">
        <v>5</v>
      </c>
      <c r="I3194" s="12">
        <f>Table16[[#This Row],[price]]*Table16[[#This Row],[quantity]]</f>
        <v>130.75</v>
      </c>
    </row>
    <row r="3195" spans="1:9" x14ac:dyDescent="0.3">
      <c r="A3195" t="s">
        <v>5210</v>
      </c>
      <c r="B3195" t="s">
        <v>626</v>
      </c>
      <c r="C3195" t="s">
        <v>2011</v>
      </c>
      <c r="D3195">
        <v>2</v>
      </c>
      <c r="E3195" s="16">
        <v>81.319999999999993</v>
      </c>
      <c r="F3195" s="1">
        <v>44678</v>
      </c>
      <c r="G3195" t="s">
        <v>2002</v>
      </c>
      <c r="H3195">
        <v>2</v>
      </c>
      <c r="I3195" s="12">
        <f>Table16[[#This Row],[price]]*Table16[[#This Row],[quantity]]</f>
        <v>162.63999999999999</v>
      </c>
    </row>
    <row r="3196" spans="1:9" x14ac:dyDescent="0.3">
      <c r="A3196" t="s">
        <v>5214</v>
      </c>
      <c r="B3196" t="s">
        <v>627</v>
      </c>
      <c r="C3196" t="s">
        <v>2011</v>
      </c>
      <c r="D3196">
        <v>4</v>
      </c>
      <c r="E3196" s="16">
        <v>162.63999999999999</v>
      </c>
      <c r="F3196" s="1">
        <v>44302</v>
      </c>
      <c r="G3196" t="s">
        <v>2012</v>
      </c>
      <c r="H3196">
        <v>5</v>
      </c>
      <c r="I3196" s="12">
        <f>Table16[[#This Row],[price]]*Table16[[#This Row],[quantity]]</f>
        <v>650.55999999999995</v>
      </c>
    </row>
    <row r="3197" spans="1:9" x14ac:dyDescent="0.3">
      <c r="A3197" t="s">
        <v>5213</v>
      </c>
      <c r="B3197" t="s">
        <v>627</v>
      </c>
      <c r="C3197" t="s">
        <v>2001</v>
      </c>
      <c r="D3197">
        <v>4</v>
      </c>
      <c r="E3197" s="16">
        <v>1200.32</v>
      </c>
      <c r="F3197" s="1">
        <v>44398</v>
      </c>
      <c r="G3197" t="s">
        <v>2004</v>
      </c>
      <c r="H3197">
        <v>3</v>
      </c>
      <c r="I3197" s="12">
        <f>Table16[[#This Row],[price]]*Table16[[#This Row],[quantity]]</f>
        <v>4801.28</v>
      </c>
    </row>
    <row r="3198" spans="1:9" x14ac:dyDescent="0.3">
      <c r="A3198" t="s">
        <v>5215</v>
      </c>
      <c r="B3198" t="s">
        <v>627</v>
      </c>
      <c r="C3198" t="s">
        <v>2024</v>
      </c>
      <c r="D3198">
        <v>5</v>
      </c>
      <c r="E3198" s="16">
        <v>179.2</v>
      </c>
      <c r="F3198" s="1">
        <v>44521</v>
      </c>
      <c r="G3198" t="s">
        <v>2064</v>
      </c>
      <c r="H3198">
        <v>1</v>
      </c>
      <c r="I3198" s="12">
        <f>Table16[[#This Row],[price]]*Table16[[#This Row],[quantity]]</f>
        <v>896</v>
      </c>
    </row>
    <row r="3199" spans="1:9" x14ac:dyDescent="0.3">
      <c r="A3199" t="s">
        <v>5212</v>
      </c>
      <c r="B3199" t="s">
        <v>627</v>
      </c>
      <c r="C3199" t="s">
        <v>2001</v>
      </c>
      <c r="D3199">
        <v>4</v>
      </c>
      <c r="E3199" s="16">
        <v>1200.32</v>
      </c>
      <c r="F3199" s="1">
        <v>44981</v>
      </c>
      <c r="G3199" t="s">
        <v>2004</v>
      </c>
      <c r="H3199">
        <v>2</v>
      </c>
      <c r="I3199" s="12">
        <f>Table16[[#This Row],[price]]*Table16[[#This Row],[quantity]]</f>
        <v>4801.28</v>
      </c>
    </row>
    <row r="3200" spans="1:9" x14ac:dyDescent="0.3">
      <c r="A3200" t="s">
        <v>5220</v>
      </c>
      <c r="B3200" t="s">
        <v>628</v>
      </c>
      <c r="C3200" t="s">
        <v>2001</v>
      </c>
      <c r="D3200">
        <v>4</v>
      </c>
      <c r="E3200" s="16">
        <v>1200.32</v>
      </c>
      <c r="F3200" s="1">
        <v>44250</v>
      </c>
      <c r="G3200" t="s">
        <v>2027</v>
      </c>
      <c r="H3200">
        <v>5</v>
      </c>
      <c r="I3200" s="12">
        <f>Table16[[#This Row],[price]]*Table16[[#This Row],[quantity]]</f>
        <v>4801.28</v>
      </c>
    </row>
    <row r="3201" spans="1:9" x14ac:dyDescent="0.3">
      <c r="A3201" t="s">
        <v>5221</v>
      </c>
      <c r="B3201" t="s">
        <v>628</v>
      </c>
      <c r="C3201" t="s">
        <v>2008</v>
      </c>
      <c r="D3201">
        <v>4</v>
      </c>
      <c r="E3201" s="16">
        <v>20.92</v>
      </c>
      <c r="F3201" s="1">
        <v>44423</v>
      </c>
      <c r="G3201" t="s">
        <v>2027</v>
      </c>
      <c r="H3201">
        <v>2</v>
      </c>
      <c r="I3201" s="12">
        <f>Table16[[#This Row],[price]]*Table16[[#This Row],[quantity]]</f>
        <v>83.68</v>
      </c>
    </row>
    <row r="3202" spans="1:9" x14ac:dyDescent="0.3">
      <c r="A3202" t="s">
        <v>5216</v>
      </c>
      <c r="B3202" t="s">
        <v>628</v>
      </c>
      <c r="C3202" t="s">
        <v>2015</v>
      </c>
      <c r="D3202">
        <v>3</v>
      </c>
      <c r="E3202" s="16">
        <v>1800.51</v>
      </c>
      <c r="F3202" s="1">
        <v>44609</v>
      </c>
      <c r="G3202" t="s">
        <v>2020</v>
      </c>
      <c r="H3202">
        <v>1</v>
      </c>
      <c r="I3202" s="12">
        <f>Table16[[#This Row],[price]]*Table16[[#This Row],[quantity]]</f>
        <v>5401.53</v>
      </c>
    </row>
    <row r="3203" spans="1:9" x14ac:dyDescent="0.3">
      <c r="A3203" t="s">
        <v>5217</v>
      </c>
      <c r="B3203" t="s">
        <v>628</v>
      </c>
      <c r="C3203" t="s">
        <v>2011</v>
      </c>
      <c r="D3203">
        <v>1</v>
      </c>
      <c r="E3203" s="16">
        <v>40.659999999999997</v>
      </c>
      <c r="F3203" s="1">
        <v>44723</v>
      </c>
      <c r="G3203" t="s">
        <v>2041</v>
      </c>
      <c r="H3203">
        <v>5</v>
      </c>
      <c r="I3203" s="12">
        <f>Table16[[#This Row],[price]]*Table16[[#This Row],[quantity]]</f>
        <v>40.659999999999997</v>
      </c>
    </row>
    <row r="3204" spans="1:9" x14ac:dyDescent="0.3">
      <c r="A3204" t="s">
        <v>5218</v>
      </c>
      <c r="B3204" t="s">
        <v>628</v>
      </c>
      <c r="C3204" t="s">
        <v>2011</v>
      </c>
      <c r="D3204">
        <v>2</v>
      </c>
      <c r="E3204" s="16">
        <v>81.319999999999993</v>
      </c>
      <c r="F3204" s="1">
        <v>44862</v>
      </c>
      <c r="G3204" t="s">
        <v>2004</v>
      </c>
      <c r="H3204">
        <v>4</v>
      </c>
      <c r="I3204" s="12">
        <f>Table16[[#This Row],[price]]*Table16[[#This Row],[quantity]]</f>
        <v>162.63999999999999</v>
      </c>
    </row>
    <row r="3205" spans="1:9" x14ac:dyDescent="0.3">
      <c r="A3205" t="s">
        <v>5219</v>
      </c>
      <c r="B3205" t="s">
        <v>628</v>
      </c>
      <c r="C3205" t="s">
        <v>2011</v>
      </c>
      <c r="D3205">
        <v>4</v>
      </c>
      <c r="E3205" s="16">
        <v>162.63999999999999</v>
      </c>
      <c r="F3205" s="1">
        <v>44888</v>
      </c>
      <c r="G3205" t="s">
        <v>2004</v>
      </c>
      <c r="H3205">
        <v>1</v>
      </c>
      <c r="I3205" s="12">
        <f>Table16[[#This Row],[price]]*Table16[[#This Row],[quantity]]</f>
        <v>650.55999999999995</v>
      </c>
    </row>
    <row r="3206" spans="1:9" x14ac:dyDescent="0.3">
      <c r="A3206" t="s">
        <v>5225</v>
      </c>
      <c r="B3206" t="s">
        <v>629</v>
      </c>
      <c r="C3206" t="s">
        <v>2008</v>
      </c>
      <c r="D3206">
        <v>2</v>
      </c>
      <c r="E3206" s="16">
        <v>10.46</v>
      </c>
      <c r="F3206" s="1">
        <v>44315</v>
      </c>
      <c r="G3206" t="s">
        <v>2012</v>
      </c>
      <c r="H3206">
        <v>2</v>
      </c>
      <c r="I3206" s="12">
        <f>Table16[[#This Row],[price]]*Table16[[#This Row],[quantity]]</f>
        <v>20.92</v>
      </c>
    </row>
    <row r="3207" spans="1:9" x14ac:dyDescent="0.3">
      <c r="A3207" t="s">
        <v>5222</v>
      </c>
      <c r="B3207" t="s">
        <v>629</v>
      </c>
      <c r="C3207" t="s">
        <v>2015</v>
      </c>
      <c r="D3207">
        <v>4</v>
      </c>
      <c r="E3207" s="16">
        <v>2400.6799999999998</v>
      </c>
      <c r="F3207" s="1">
        <v>44536</v>
      </c>
      <c r="G3207" t="s">
        <v>2064</v>
      </c>
      <c r="H3207">
        <v>1</v>
      </c>
      <c r="I3207" s="12">
        <f>Table16[[#This Row],[price]]*Table16[[#This Row],[quantity]]</f>
        <v>9602.7199999999993</v>
      </c>
    </row>
    <row r="3208" spans="1:9" x14ac:dyDescent="0.3">
      <c r="A3208" t="s">
        <v>5226</v>
      </c>
      <c r="B3208" t="s">
        <v>629</v>
      </c>
      <c r="C3208" t="s">
        <v>2001</v>
      </c>
      <c r="D3208">
        <v>3</v>
      </c>
      <c r="E3208" s="16">
        <v>900.24</v>
      </c>
      <c r="F3208" s="1">
        <v>44896</v>
      </c>
      <c r="G3208" t="s">
        <v>2009</v>
      </c>
      <c r="H3208">
        <v>2</v>
      </c>
      <c r="I3208" s="12">
        <f>Table16[[#This Row],[price]]*Table16[[#This Row],[quantity]]</f>
        <v>2700.7200000000003</v>
      </c>
    </row>
    <row r="3209" spans="1:9" x14ac:dyDescent="0.3">
      <c r="A3209" t="s">
        <v>5224</v>
      </c>
      <c r="B3209" t="s">
        <v>629</v>
      </c>
      <c r="C3209" t="s">
        <v>2011</v>
      </c>
      <c r="D3209">
        <v>3</v>
      </c>
      <c r="E3209" s="16">
        <v>121.98</v>
      </c>
      <c r="F3209" s="1">
        <v>44916</v>
      </c>
      <c r="G3209" t="s">
        <v>2004</v>
      </c>
      <c r="H3209">
        <v>3</v>
      </c>
      <c r="I3209" s="12">
        <f>Table16[[#This Row],[price]]*Table16[[#This Row],[quantity]]</f>
        <v>365.94</v>
      </c>
    </row>
    <row r="3210" spans="1:9" x14ac:dyDescent="0.3">
      <c r="A3210" t="s">
        <v>5223</v>
      </c>
      <c r="B3210" t="s">
        <v>629</v>
      </c>
      <c r="C3210" t="s">
        <v>2008</v>
      </c>
      <c r="D3210">
        <v>4</v>
      </c>
      <c r="E3210" s="16">
        <v>20.92</v>
      </c>
      <c r="F3210" s="1">
        <v>44950</v>
      </c>
      <c r="G3210" t="s">
        <v>2064</v>
      </c>
      <c r="H3210">
        <v>3</v>
      </c>
      <c r="I3210" s="12">
        <f>Table16[[#This Row],[price]]*Table16[[#This Row],[quantity]]</f>
        <v>83.68</v>
      </c>
    </row>
    <row r="3211" spans="1:9" x14ac:dyDescent="0.3">
      <c r="A3211" t="s">
        <v>5231</v>
      </c>
      <c r="B3211" t="s">
        <v>630</v>
      </c>
      <c r="C3211" t="s">
        <v>2001</v>
      </c>
      <c r="D3211">
        <v>3</v>
      </c>
      <c r="E3211" s="16">
        <v>900.24</v>
      </c>
      <c r="F3211" s="1">
        <v>44402</v>
      </c>
      <c r="G3211" t="s">
        <v>2027</v>
      </c>
      <c r="H3211">
        <v>3</v>
      </c>
      <c r="I3211" s="12">
        <f>Table16[[#This Row],[price]]*Table16[[#This Row],[quantity]]</f>
        <v>2700.7200000000003</v>
      </c>
    </row>
    <row r="3212" spans="1:9" x14ac:dyDescent="0.3">
      <c r="A3212" t="s">
        <v>5230</v>
      </c>
      <c r="B3212" t="s">
        <v>630</v>
      </c>
      <c r="C3212" t="s">
        <v>2017</v>
      </c>
      <c r="D3212">
        <v>3</v>
      </c>
      <c r="E3212" s="16">
        <v>3150</v>
      </c>
      <c r="F3212" s="1">
        <v>44478</v>
      </c>
      <c r="G3212" t="s">
        <v>2009</v>
      </c>
      <c r="H3212">
        <v>4</v>
      </c>
      <c r="I3212" s="12">
        <f>Table16[[#This Row],[price]]*Table16[[#This Row],[quantity]]</f>
        <v>9450</v>
      </c>
    </row>
    <row r="3213" spans="1:9" x14ac:dyDescent="0.3">
      <c r="A3213" t="s">
        <v>5229</v>
      </c>
      <c r="B3213" t="s">
        <v>630</v>
      </c>
      <c r="C3213" t="s">
        <v>2006</v>
      </c>
      <c r="D3213">
        <v>5</v>
      </c>
      <c r="E3213" s="16">
        <v>75.75</v>
      </c>
      <c r="F3213" s="1">
        <v>44566</v>
      </c>
      <c r="G3213" t="s">
        <v>2027</v>
      </c>
      <c r="H3213">
        <v>4</v>
      </c>
      <c r="I3213" s="12">
        <f>Table16[[#This Row],[price]]*Table16[[#This Row],[quantity]]</f>
        <v>378.75</v>
      </c>
    </row>
    <row r="3214" spans="1:9" x14ac:dyDescent="0.3">
      <c r="A3214" t="s">
        <v>5227</v>
      </c>
      <c r="B3214" t="s">
        <v>630</v>
      </c>
      <c r="C3214" t="s">
        <v>2015</v>
      </c>
      <c r="D3214">
        <v>5</v>
      </c>
      <c r="E3214" s="16">
        <v>3000.85</v>
      </c>
      <c r="F3214" s="1">
        <v>44630</v>
      </c>
      <c r="G3214" t="s">
        <v>2004</v>
      </c>
      <c r="H3214">
        <v>4</v>
      </c>
      <c r="I3214" s="12">
        <f>Table16[[#This Row],[price]]*Table16[[#This Row],[quantity]]</f>
        <v>15004.25</v>
      </c>
    </row>
    <row r="3215" spans="1:9" x14ac:dyDescent="0.3">
      <c r="A3215" t="s">
        <v>5228</v>
      </c>
      <c r="B3215" t="s">
        <v>630</v>
      </c>
      <c r="C3215" t="s">
        <v>2008</v>
      </c>
      <c r="D3215">
        <v>1</v>
      </c>
      <c r="E3215" s="16">
        <v>5.23</v>
      </c>
      <c r="F3215" s="1">
        <v>44693</v>
      </c>
      <c r="G3215" t="s">
        <v>2027</v>
      </c>
      <c r="H3215">
        <v>2</v>
      </c>
      <c r="I3215" s="12">
        <f>Table16[[#This Row],[price]]*Table16[[#This Row],[quantity]]</f>
        <v>5.23</v>
      </c>
    </row>
    <row r="3216" spans="1:9" x14ac:dyDescent="0.3">
      <c r="A3216" t="s">
        <v>5237</v>
      </c>
      <c r="B3216" t="s">
        <v>631</v>
      </c>
      <c r="C3216" t="s">
        <v>2024</v>
      </c>
      <c r="D3216">
        <v>3</v>
      </c>
      <c r="E3216" s="16">
        <v>107.52</v>
      </c>
      <c r="F3216" s="1">
        <v>44276</v>
      </c>
      <c r="G3216" t="s">
        <v>2027</v>
      </c>
      <c r="H3216">
        <v>5</v>
      </c>
      <c r="I3216" s="12">
        <f>Table16[[#This Row],[price]]*Table16[[#This Row],[quantity]]</f>
        <v>322.56</v>
      </c>
    </row>
    <row r="3217" spans="1:9" x14ac:dyDescent="0.3">
      <c r="A3217" t="s">
        <v>5233</v>
      </c>
      <c r="B3217" t="s">
        <v>631</v>
      </c>
      <c r="C3217" t="s">
        <v>2001</v>
      </c>
      <c r="D3217">
        <v>1</v>
      </c>
      <c r="E3217" s="16">
        <v>300.08</v>
      </c>
      <c r="F3217" s="1">
        <v>44484</v>
      </c>
      <c r="G3217" t="s">
        <v>2027</v>
      </c>
      <c r="H3217">
        <v>5</v>
      </c>
      <c r="I3217" s="12">
        <f>Table16[[#This Row],[price]]*Table16[[#This Row],[quantity]]</f>
        <v>300.08</v>
      </c>
    </row>
    <row r="3218" spans="1:9" x14ac:dyDescent="0.3">
      <c r="A3218" t="s">
        <v>5235</v>
      </c>
      <c r="B3218" t="s">
        <v>631</v>
      </c>
      <c r="C3218" t="s">
        <v>2008</v>
      </c>
      <c r="D3218">
        <v>1</v>
      </c>
      <c r="E3218" s="16">
        <v>5.23</v>
      </c>
      <c r="F3218" s="1">
        <v>44653</v>
      </c>
      <c r="G3218" t="s">
        <v>2027</v>
      </c>
      <c r="H3218">
        <v>3</v>
      </c>
      <c r="I3218" s="12">
        <f>Table16[[#This Row],[price]]*Table16[[#This Row],[quantity]]</f>
        <v>5.23</v>
      </c>
    </row>
    <row r="3219" spans="1:9" x14ac:dyDescent="0.3">
      <c r="A3219" t="s">
        <v>5236</v>
      </c>
      <c r="B3219" t="s">
        <v>631</v>
      </c>
      <c r="C3219" t="s">
        <v>2057</v>
      </c>
      <c r="D3219">
        <v>5</v>
      </c>
      <c r="E3219" s="16">
        <v>58.65</v>
      </c>
      <c r="F3219" s="1">
        <v>44666</v>
      </c>
      <c r="G3219" t="s">
        <v>2012</v>
      </c>
      <c r="H3219">
        <v>1</v>
      </c>
      <c r="I3219" s="12">
        <f>Table16[[#This Row],[price]]*Table16[[#This Row],[quantity]]</f>
        <v>293.25</v>
      </c>
    </row>
    <row r="3220" spans="1:9" x14ac:dyDescent="0.3">
      <c r="A3220" t="s">
        <v>5234</v>
      </c>
      <c r="B3220" t="s">
        <v>631</v>
      </c>
      <c r="C3220" t="s">
        <v>2008</v>
      </c>
      <c r="D3220">
        <v>4</v>
      </c>
      <c r="E3220" s="16">
        <v>20.92</v>
      </c>
      <c r="F3220" s="1">
        <v>44830</v>
      </c>
      <c r="G3220" t="s">
        <v>2058</v>
      </c>
      <c r="H3220">
        <v>1</v>
      </c>
      <c r="I3220" s="12">
        <f>Table16[[#This Row],[price]]*Table16[[#This Row],[quantity]]</f>
        <v>83.68</v>
      </c>
    </row>
    <row r="3221" spans="1:9" x14ac:dyDescent="0.3">
      <c r="A3221" t="s">
        <v>5232</v>
      </c>
      <c r="B3221" t="s">
        <v>631</v>
      </c>
      <c r="C3221" t="s">
        <v>2006</v>
      </c>
      <c r="D3221">
        <v>1</v>
      </c>
      <c r="E3221" s="16">
        <v>15.15</v>
      </c>
      <c r="F3221" s="1">
        <v>44923</v>
      </c>
      <c r="G3221" t="s">
        <v>2004</v>
      </c>
      <c r="H3221">
        <v>1</v>
      </c>
      <c r="I3221" s="12">
        <f>Table16[[#This Row],[price]]*Table16[[#This Row],[quantity]]</f>
        <v>15.15</v>
      </c>
    </row>
    <row r="3222" spans="1:9" x14ac:dyDescent="0.3">
      <c r="A3222" t="s">
        <v>5240</v>
      </c>
      <c r="B3222" t="s">
        <v>632</v>
      </c>
      <c r="C3222" t="s">
        <v>2011</v>
      </c>
      <c r="D3222">
        <v>4</v>
      </c>
      <c r="E3222" s="16">
        <v>162.63999999999999</v>
      </c>
      <c r="F3222" s="1">
        <v>44325</v>
      </c>
      <c r="G3222" t="s">
        <v>2027</v>
      </c>
      <c r="H3222">
        <v>5</v>
      </c>
      <c r="I3222" s="12">
        <f>Table16[[#This Row],[price]]*Table16[[#This Row],[quantity]]</f>
        <v>650.55999999999995</v>
      </c>
    </row>
    <row r="3223" spans="1:9" x14ac:dyDescent="0.3">
      <c r="A3223" t="s">
        <v>5242</v>
      </c>
      <c r="B3223" t="s">
        <v>632</v>
      </c>
      <c r="C3223" t="s">
        <v>2024</v>
      </c>
      <c r="D3223">
        <v>4</v>
      </c>
      <c r="E3223" s="16">
        <v>143.36000000000001</v>
      </c>
      <c r="F3223" s="1">
        <v>44430</v>
      </c>
      <c r="G3223" t="s">
        <v>2020</v>
      </c>
      <c r="H3223">
        <v>3</v>
      </c>
      <c r="I3223" s="12">
        <f>Table16[[#This Row],[price]]*Table16[[#This Row],[quantity]]</f>
        <v>573.44000000000005</v>
      </c>
    </row>
    <row r="3224" spans="1:9" x14ac:dyDescent="0.3">
      <c r="A3224" t="s">
        <v>5239</v>
      </c>
      <c r="B3224" t="s">
        <v>632</v>
      </c>
      <c r="C3224" t="s">
        <v>2001</v>
      </c>
      <c r="D3224">
        <v>5</v>
      </c>
      <c r="E3224" s="16">
        <v>1500.4</v>
      </c>
      <c r="F3224" s="1">
        <v>44556</v>
      </c>
      <c r="G3224" t="s">
        <v>2004</v>
      </c>
      <c r="H3224">
        <v>3</v>
      </c>
      <c r="I3224" s="12">
        <f>Table16[[#This Row],[price]]*Table16[[#This Row],[quantity]]</f>
        <v>7502</v>
      </c>
    </row>
    <row r="3225" spans="1:9" x14ac:dyDescent="0.3">
      <c r="A3225" t="s">
        <v>5238</v>
      </c>
      <c r="B3225" t="s">
        <v>632</v>
      </c>
      <c r="C3225" t="s">
        <v>2024</v>
      </c>
      <c r="D3225">
        <v>2</v>
      </c>
      <c r="E3225" s="16">
        <v>71.680000000000007</v>
      </c>
      <c r="F3225" s="1">
        <v>44632</v>
      </c>
      <c r="G3225" t="s">
        <v>2004</v>
      </c>
      <c r="H3225">
        <v>5</v>
      </c>
      <c r="I3225" s="12">
        <f>Table16[[#This Row],[price]]*Table16[[#This Row],[quantity]]</f>
        <v>143.36000000000001</v>
      </c>
    </row>
    <row r="3226" spans="1:9" x14ac:dyDescent="0.3">
      <c r="A3226" t="s">
        <v>5241</v>
      </c>
      <c r="B3226" t="s">
        <v>632</v>
      </c>
      <c r="C3226" t="s">
        <v>2008</v>
      </c>
      <c r="D3226">
        <v>5</v>
      </c>
      <c r="E3226" s="16">
        <v>26.15</v>
      </c>
      <c r="F3226" s="1">
        <v>44775</v>
      </c>
      <c r="G3226" t="s">
        <v>2009</v>
      </c>
      <c r="H3226">
        <v>2</v>
      </c>
      <c r="I3226" s="12">
        <f>Table16[[#This Row],[price]]*Table16[[#This Row],[quantity]]</f>
        <v>130.75</v>
      </c>
    </row>
    <row r="3227" spans="1:9" x14ac:dyDescent="0.3">
      <c r="A3227" t="s">
        <v>5243</v>
      </c>
      <c r="B3227" t="s">
        <v>633</v>
      </c>
      <c r="C3227" t="s">
        <v>2001</v>
      </c>
      <c r="D3227">
        <v>5</v>
      </c>
      <c r="E3227" s="16">
        <v>1500.4</v>
      </c>
      <c r="F3227" s="1">
        <v>44220</v>
      </c>
      <c r="G3227" t="s">
        <v>2064</v>
      </c>
      <c r="H3227">
        <v>5</v>
      </c>
      <c r="I3227" s="12">
        <f>Table16[[#This Row],[price]]*Table16[[#This Row],[quantity]]</f>
        <v>7502</v>
      </c>
    </row>
    <row r="3228" spans="1:9" x14ac:dyDescent="0.3">
      <c r="A3228" t="s">
        <v>5246</v>
      </c>
      <c r="B3228" t="s">
        <v>633</v>
      </c>
      <c r="C3228" t="s">
        <v>2001</v>
      </c>
      <c r="D3228">
        <v>1</v>
      </c>
      <c r="E3228" s="16">
        <v>300.08</v>
      </c>
      <c r="F3228" s="1">
        <v>44294</v>
      </c>
      <c r="G3228" t="s">
        <v>2018</v>
      </c>
      <c r="H3228">
        <v>5</v>
      </c>
      <c r="I3228" s="12">
        <f>Table16[[#This Row],[price]]*Table16[[#This Row],[quantity]]</f>
        <v>300.08</v>
      </c>
    </row>
    <row r="3229" spans="1:9" x14ac:dyDescent="0.3">
      <c r="A3229" t="s">
        <v>5245</v>
      </c>
      <c r="B3229" t="s">
        <v>633</v>
      </c>
      <c r="C3229" t="s">
        <v>2011</v>
      </c>
      <c r="D3229">
        <v>1</v>
      </c>
      <c r="E3229" s="16">
        <v>40.659999999999997</v>
      </c>
      <c r="F3229" s="1">
        <v>44304</v>
      </c>
      <c r="G3229" t="s">
        <v>2009</v>
      </c>
      <c r="H3229">
        <v>2</v>
      </c>
      <c r="I3229" s="12">
        <f>Table16[[#This Row],[price]]*Table16[[#This Row],[quantity]]</f>
        <v>40.659999999999997</v>
      </c>
    </row>
    <row r="3230" spans="1:9" x14ac:dyDescent="0.3">
      <c r="A3230" t="s">
        <v>5244</v>
      </c>
      <c r="B3230" t="s">
        <v>633</v>
      </c>
      <c r="C3230" t="s">
        <v>2011</v>
      </c>
      <c r="D3230">
        <v>5</v>
      </c>
      <c r="E3230" s="16">
        <v>203.3</v>
      </c>
      <c r="F3230" s="1">
        <v>44883</v>
      </c>
      <c r="G3230" t="s">
        <v>2018</v>
      </c>
      <c r="H3230">
        <v>4</v>
      </c>
      <c r="I3230" s="12">
        <f>Table16[[#This Row],[price]]*Table16[[#This Row],[quantity]]</f>
        <v>1016.5</v>
      </c>
    </row>
    <row r="3231" spans="1:9" x14ac:dyDescent="0.3">
      <c r="A3231" t="s">
        <v>5247</v>
      </c>
      <c r="B3231" t="s">
        <v>634</v>
      </c>
      <c r="C3231" t="s">
        <v>2006</v>
      </c>
      <c r="D3231">
        <v>5</v>
      </c>
      <c r="E3231" s="16">
        <v>75.75</v>
      </c>
      <c r="F3231" s="1">
        <v>44260</v>
      </c>
      <c r="G3231" t="s">
        <v>2002</v>
      </c>
      <c r="H3231">
        <v>4</v>
      </c>
      <c r="I3231" s="12">
        <f>Table16[[#This Row],[price]]*Table16[[#This Row],[quantity]]</f>
        <v>378.75</v>
      </c>
    </row>
    <row r="3232" spans="1:9" x14ac:dyDescent="0.3">
      <c r="A3232" t="s">
        <v>5249</v>
      </c>
      <c r="B3232" t="s">
        <v>634</v>
      </c>
      <c r="C3232" t="s">
        <v>2001</v>
      </c>
      <c r="D3232">
        <v>2</v>
      </c>
      <c r="E3232" s="16">
        <v>600.16</v>
      </c>
      <c r="F3232" s="1">
        <v>44419</v>
      </c>
      <c r="G3232" t="s">
        <v>2027</v>
      </c>
      <c r="H3232">
        <v>1</v>
      </c>
      <c r="I3232" s="12">
        <f>Table16[[#This Row],[price]]*Table16[[#This Row],[quantity]]</f>
        <v>1200.32</v>
      </c>
    </row>
    <row r="3233" spans="1:9" x14ac:dyDescent="0.3">
      <c r="A3233" t="s">
        <v>5250</v>
      </c>
      <c r="B3233" t="s">
        <v>634</v>
      </c>
      <c r="C3233" t="s">
        <v>2008</v>
      </c>
      <c r="D3233">
        <v>3</v>
      </c>
      <c r="E3233" s="16">
        <v>15.69</v>
      </c>
      <c r="F3233" s="1">
        <v>44631</v>
      </c>
      <c r="G3233" t="s">
        <v>2064</v>
      </c>
      <c r="H3233">
        <v>5</v>
      </c>
      <c r="I3233" s="12">
        <f>Table16[[#This Row],[price]]*Table16[[#This Row],[quantity]]</f>
        <v>47.07</v>
      </c>
    </row>
    <row r="3234" spans="1:9" x14ac:dyDescent="0.3">
      <c r="A3234" t="s">
        <v>5248</v>
      </c>
      <c r="B3234" t="s">
        <v>634</v>
      </c>
      <c r="C3234" t="s">
        <v>2001</v>
      </c>
      <c r="D3234">
        <v>3</v>
      </c>
      <c r="E3234" s="16">
        <v>900.24</v>
      </c>
      <c r="F3234" s="1">
        <v>44891</v>
      </c>
      <c r="G3234" t="s">
        <v>2002</v>
      </c>
      <c r="H3234">
        <v>1</v>
      </c>
      <c r="I3234" s="12">
        <f>Table16[[#This Row],[price]]*Table16[[#This Row],[quantity]]</f>
        <v>2700.7200000000003</v>
      </c>
    </row>
    <row r="3235" spans="1:9" x14ac:dyDescent="0.3">
      <c r="A3235" t="s">
        <v>5254</v>
      </c>
      <c r="B3235" t="s">
        <v>635</v>
      </c>
      <c r="C3235" t="s">
        <v>2006</v>
      </c>
      <c r="D3235">
        <v>3</v>
      </c>
      <c r="E3235" s="16">
        <v>45.45</v>
      </c>
      <c r="F3235" s="1">
        <v>44299</v>
      </c>
      <c r="G3235" t="s">
        <v>2002</v>
      </c>
      <c r="H3235">
        <v>4</v>
      </c>
      <c r="I3235" s="12">
        <f>Table16[[#This Row],[price]]*Table16[[#This Row],[quantity]]</f>
        <v>136.35000000000002</v>
      </c>
    </row>
    <row r="3236" spans="1:9" x14ac:dyDescent="0.3">
      <c r="A3236" t="s">
        <v>5252</v>
      </c>
      <c r="B3236" t="s">
        <v>635</v>
      </c>
      <c r="C3236" t="s">
        <v>2057</v>
      </c>
      <c r="D3236">
        <v>1</v>
      </c>
      <c r="E3236" s="16">
        <v>11.73</v>
      </c>
      <c r="F3236" s="1">
        <v>44657</v>
      </c>
      <c r="G3236" t="s">
        <v>2027</v>
      </c>
      <c r="H3236">
        <v>2</v>
      </c>
      <c r="I3236" s="12">
        <f>Table16[[#This Row],[price]]*Table16[[#This Row],[quantity]]</f>
        <v>11.73</v>
      </c>
    </row>
    <row r="3237" spans="1:9" x14ac:dyDescent="0.3">
      <c r="A3237" t="s">
        <v>5251</v>
      </c>
      <c r="B3237" t="s">
        <v>635</v>
      </c>
      <c r="C3237" t="s">
        <v>2008</v>
      </c>
      <c r="D3237">
        <v>3</v>
      </c>
      <c r="E3237" s="16">
        <v>15.69</v>
      </c>
      <c r="F3237" s="1">
        <v>44676</v>
      </c>
      <c r="G3237" t="s">
        <v>2009</v>
      </c>
      <c r="H3237">
        <v>1</v>
      </c>
      <c r="I3237" s="12">
        <f>Table16[[#This Row],[price]]*Table16[[#This Row],[quantity]]</f>
        <v>47.07</v>
      </c>
    </row>
    <row r="3238" spans="1:9" x14ac:dyDescent="0.3">
      <c r="A3238" t="s">
        <v>5253</v>
      </c>
      <c r="B3238" t="s">
        <v>635</v>
      </c>
      <c r="C3238" t="s">
        <v>2024</v>
      </c>
      <c r="D3238">
        <v>1</v>
      </c>
      <c r="E3238" s="16">
        <v>35.840000000000003</v>
      </c>
      <c r="F3238" s="1">
        <v>44893</v>
      </c>
      <c r="G3238" t="s">
        <v>2027</v>
      </c>
      <c r="H3238">
        <v>2</v>
      </c>
      <c r="I3238" s="12">
        <f>Table16[[#This Row],[price]]*Table16[[#This Row],[quantity]]</f>
        <v>35.840000000000003</v>
      </c>
    </row>
    <row r="3239" spans="1:9" x14ac:dyDescent="0.3">
      <c r="A3239" t="s">
        <v>5256</v>
      </c>
      <c r="B3239" t="s">
        <v>636</v>
      </c>
      <c r="C3239" t="s">
        <v>2008</v>
      </c>
      <c r="D3239">
        <v>1</v>
      </c>
      <c r="E3239" s="16">
        <v>5.23</v>
      </c>
      <c r="F3239" s="1">
        <v>44419</v>
      </c>
      <c r="G3239" t="s">
        <v>2027</v>
      </c>
      <c r="H3239">
        <v>4</v>
      </c>
      <c r="I3239" s="12">
        <f>Table16[[#This Row],[price]]*Table16[[#This Row],[quantity]]</f>
        <v>5.23</v>
      </c>
    </row>
    <row r="3240" spans="1:9" x14ac:dyDescent="0.3">
      <c r="A3240" t="s">
        <v>5258</v>
      </c>
      <c r="B3240" t="s">
        <v>636</v>
      </c>
      <c r="C3240" t="s">
        <v>2024</v>
      </c>
      <c r="D3240">
        <v>5</v>
      </c>
      <c r="E3240" s="16">
        <v>179.2</v>
      </c>
      <c r="F3240" s="1">
        <v>44802</v>
      </c>
      <c r="G3240" t="s">
        <v>2064</v>
      </c>
      <c r="H3240">
        <v>3</v>
      </c>
      <c r="I3240" s="12">
        <f>Table16[[#This Row],[price]]*Table16[[#This Row],[quantity]]</f>
        <v>896</v>
      </c>
    </row>
    <row r="3241" spans="1:9" x14ac:dyDescent="0.3">
      <c r="A3241" t="s">
        <v>5257</v>
      </c>
      <c r="B3241" t="s">
        <v>636</v>
      </c>
      <c r="C3241" t="s">
        <v>2011</v>
      </c>
      <c r="D3241">
        <v>4</v>
      </c>
      <c r="E3241" s="16">
        <v>162.63999999999999</v>
      </c>
      <c r="F3241" s="1">
        <v>44879</v>
      </c>
      <c r="G3241" t="s">
        <v>2002</v>
      </c>
      <c r="H3241">
        <v>2</v>
      </c>
      <c r="I3241" s="12">
        <f>Table16[[#This Row],[price]]*Table16[[#This Row],[quantity]]</f>
        <v>650.55999999999995</v>
      </c>
    </row>
    <row r="3242" spans="1:9" x14ac:dyDescent="0.3">
      <c r="A3242" t="s">
        <v>5255</v>
      </c>
      <c r="B3242" t="s">
        <v>636</v>
      </c>
      <c r="C3242" t="s">
        <v>2015</v>
      </c>
      <c r="D3242">
        <v>5</v>
      </c>
      <c r="E3242" s="16">
        <v>3000.85</v>
      </c>
      <c r="F3242" s="1">
        <v>44973</v>
      </c>
      <c r="G3242" t="s">
        <v>2020</v>
      </c>
      <c r="H3242">
        <v>4</v>
      </c>
      <c r="I3242" s="12">
        <f>Table16[[#This Row],[price]]*Table16[[#This Row],[quantity]]</f>
        <v>15004.25</v>
      </c>
    </row>
    <row r="3243" spans="1:9" x14ac:dyDescent="0.3">
      <c r="A3243" t="s">
        <v>5261</v>
      </c>
      <c r="B3243" t="s">
        <v>637</v>
      </c>
      <c r="C3243" t="s">
        <v>2001</v>
      </c>
      <c r="D3243">
        <v>5</v>
      </c>
      <c r="E3243" s="16">
        <v>1500.4</v>
      </c>
      <c r="F3243" s="1">
        <v>44242</v>
      </c>
      <c r="G3243" t="s">
        <v>2027</v>
      </c>
      <c r="H3243">
        <v>4</v>
      </c>
      <c r="I3243" s="12">
        <f>Table16[[#This Row],[price]]*Table16[[#This Row],[quantity]]</f>
        <v>7502</v>
      </c>
    </row>
    <row r="3244" spans="1:9" x14ac:dyDescent="0.3">
      <c r="A3244" t="s">
        <v>5259</v>
      </c>
      <c r="B3244" t="s">
        <v>637</v>
      </c>
      <c r="C3244" t="s">
        <v>2001</v>
      </c>
      <c r="D3244">
        <v>4</v>
      </c>
      <c r="E3244" s="16">
        <v>1200.32</v>
      </c>
      <c r="F3244" s="1">
        <v>44469</v>
      </c>
      <c r="G3244" t="s">
        <v>2041</v>
      </c>
      <c r="H3244">
        <v>1</v>
      </c>
      <c r="I3244" s="12">
        <f>Table16[[#This Row],[price]]*Table16[[#This Row],[quantity]]</f>
        <v>4801.28</v>
      </c>
    </row>
    <row r="3245" spans="1:9" x14ac:dyDescent="0.3">
      <c r="A3245" t="s">
        <v>5264</v>
      </c>
      <c r="B3245" t="s">
        <v>637</v>
      </c>
      <c r="C3245" t="s">
        <v>2011</v>
      </c>
      <c r="D3245">
        <v>1</v>
      </c>
      <c r="E3245" s="16">
        <v>40.659999999999997</v>
      </c>
      <c r="F3245" s="1">
        <v>44574</v>
      </c>
      <c r="G3245" t="s">
        <v>2018</v>
      </c>
      <c r="H3245">
        <v>1</v>
      </c>
      <c r="I3245" s="12">
        <f>Table16[[#This Row],[price]]*Table16[[#This Row],[quantity]]</f>
        <v>40.659999999999997</v>
      </c>
    </row>
    <row r="3246" spans="1:9" x14ac:dyDescent="0.3">
      <c r="A3246" t="s">
        <v>5263</v>
      </c>
      <c r="B3246" t="s">
        <v>637</v>
      </c>
      <c r="C3246" t="s">
        <v>2008</v>
      </c>
      <c r="D3246">
        <v>1</v>
      </c>
      <c r="E3246" s="16">
        <v>5.23</v>
      </c>
      <c r="F3246" s="1">
        <v>44580</v>
      </c>
      <c r="G3246" t="s">
        <v>2004</v>
      </c>
      <c r="H3246">
        <v>5</v>
      </c>
      <c r="I3246" s="12">
        <f>Table16[[#This Row],[price]]*Table16[[#This Row],[quantity]]</f>
        <v>5.23</v>
      </c>
    </row>
    <row r="3247" spans="1:9" x14ac:dyDescent="0.3">
      <c r="A3247" t="s">
        <v>5260</v>
      </c>
      <c r="B3247" t="s">
        <v>637</v>
      </c>
      <c r="C3247" t="s">
        <v>2008</v>
      </c>
      <c r="D3247">
        <v>3</v>
      </c>
      <c r="E3247" s="16">
        <v>15.69</v>
      </c>
      <c r="F3247" s="1">
        <v>44604</v>
      </c>
      <c r="G3247" t="s">
        <v>2002</v>
      </c>
      <c r="H3247">
        <v>4</v>
      </c>
      <c r="I3247" s="12">
        <f>Table16[[#This Row],[price]]*Table16[[#This Row],[quantity]]</f>
        <v>47.07</v>
      </c>
    </row>
    <row r="3248" spans="1:9" x14ac:dyDescent="0.3">
      <c r="A3248" t="s">
        <v>5262</v>
      </c>
      <c r="B3248" t="s">
        <v>637</v>
      </c>
      <c r="C3248" t="s">
        <v>2024</v>
      </c>
      <c r="D3248">
        <v>2</v>
      </c>
      <c r="E3248" s="16">
        <v>71.680000000000007</v>
      </c>
      <c r="F3248" s="1">
        <v>44909</v>
      </c>
      <c r="G3248" t="s">
        <v>2009</v>
      </c>
      <c r="H3248">
        <v>1</v>
      </c>
      <c r="I3248" s="12">
        <f>Table16[[#This Row],[price]]*Table16[[#This Row],[quantity]]</f>
        <v>143.36000000000001</v>
      </c>
    </row>
    <row r="3249" spans="1:9" x14ac:dyDescent="0.3">
      <c r="A3249" t="s">
        <v>5266</v>
      </c>
      <c r="B3249" t="s">
        <v>638</v>
      </c>
      <c r="C3249" t="s">
        <v>2001</v>
      </c>
      <c r="D3249">
        <v>1</v>
      </c>
      <c r="E3249" s="16">
        <v>300.08</v>
      </c>
      <c r="F3249" s="1">
        <v>44670</v>
      </c>
      <c r="G3249" t="s">
        <v>2020</v>
      </c>
      <c r="H3249">
        <v>5</v>
      </c>
      <c r="I3249" s="12">
        <f>Table16[[#This Row],[price]]*Table16[[#This Row],[quantity]]</f>
        <v>300.08</v>
      </c>
    </row>
    <row r="3250" spans="1:9" x14ac:dyDescent="0.3">
      <c r="A3250" t="s">
        <v>5265</v>
      </c>
      <c r="B3250" t="s">
        <v>638</v>
      </c>
      <c r="C3250" t="s">
        <v>2008</v>
      </c>
      <c r="D3250">
        <v>1</v>
      </c>
      <c r="E3250" s="16">
        <v>5.23</v>
      </c>
      <c r="F3250" s="1">
        <v>44950</v>
      </c>
      <c r="G3250" t="s">
        <v>2004</v>
      </c>
      <c r="H3250">
        <v>2</v>
      </c>
      <c r="I3250" s="12">
        <f>Table16[[#This Row],[price]]*Table16[[#This Row],[quantity]]</f>
        <v>5.23</v>
      </c>
    </row>
    <row r="3251" spans="1:9" x14ac:dyDescent="0.3">
      <c r="A3251" t="s">
        <v>5267</v>
      </c>
      <c r="B3251" t="s">
        <v>639</v>
      </c>
      <c r="C3251" t="s">
        <v>2008</v>
      </c>
      <c r="D3251">
        <v>5</v>
      </c>
      <c r="E3251" s="16">
        <v>26.15</v>
      </c>
      <c r="F3251" s="1">
        <v>44296</v>
      </c>
      <c r="G3251" t="s">
        <v>2004</v>
      </c>
      <c r="H3251">
        <v>3</v>
      </c>
      <c r="I3251" s="12">
        <f>Table16[[#This Row],[price]]*Table16[[#This Row],[quantity]]</f>
        <v>130.75</v>
      </c>
    </row>
    <row r="3252" spans="1:9" x14ac:dyDescent="0.3">
      <c r="A3252" t="s">
        <v>5268</v>
      </c>
      <c r="B3252" t="s">
        <v>639</v>
      </c>
      <c r="C3252" t="s">
        <v>2017</v>
      </c>
      <c r="D3252">
        <v>2</v>
      </c>
      <c r="E3252" s="16">
        <v>2100</v>
      </c>
      <c r="F3252" s="1">
        <v>44481</v>
      </c>
      <c r="G3252" t="s">
        <v>2018</v>
      </c>
      <c r="H3252">
        <v>4</v>
      </c>
      <c r="I3252" s="12">
        <f>Table16[[#This Row],[price]]*Table16[[#This Row],[quantity]]</f>
        <v>4200</v>
      </c>
    </row>
    <row r="3253" spans="1:9" x14ac:dyDescent="0.3">
      <c r="A3253" t="s">
        <v>5272</v>
      </c>
      <c r="B3253" t="s">
        <v>640</v>
      </c>
      <c r="C3253" t="s">
        <v>2001</v>
      </c>
      <c r="D3253">
        <v>4</v>
      </c>
      <c r="E3253" s="16">
        <v>1200.32</v>
      </c>
      <c r="F3253" s="1">
        <v>44285</v>
      </c>
      <c r="G3253" t="s">
        <v>2058</v>
      </c>
      <c r="H3253">
        <v>4</v>
      </c>
      <c r="I3253" s="12">
        <f>Table16[[#This Row],[price]]*Table16[[#This Row],[quantity]]</f>
        <v>4801.28</v>
      </c>
    </row>
    <row r="3254" spans="1:9" x14ac:dyDescent="0.3">
      <c r="A3254" t="s">
        <v>5271</v>
      </c>
      <c r="B3254" t="s">
        <v>640</v>
      </c>
      <c r="C3254" t="s">
        <v>2011</v>
      </c>
      <c r="D3254">
        <v>2</v>
      </c>
      <c r="E3254" s="16">
        <v>81.319999999999993</v>
      </c>
      <c r="F3254" s="1">
        <v>44408</v>
      </c>
      <c r="G3254" t="s">
        <v>2064</v>
      </c>
      <c r="H3254">
        <v>2</v>
      </c>
      <c r="I3254" s="12">
        <f>Table16[[#This Row],[price]]*Table16[[#This Row],[quantity]]</f>
        <v>162.63999999999999</v>
      </c>
    </row>
    <row r="3255" spans="1:9" x14ac:dyDescent="0.3">
      <c r="A3255" t="s">
        <v>5270</v>
      </c>
      <c r="B3255" t="s">
        <v>640</v>
      </c>
      <c r="C3255" t="s">
        <v>2024</v>
      </c>
      <c r="D3255">
        <v>3</v>
      </c>
      <c r="E3255" s="16">
        <v>107.52</v>
      </c>
      <c r="F3255" s="1">
        <v>44673</v>
      </c>
      <c r="G3255" t="s">
        <v>2002</v>
      </c>
      <c r="H3255">
        <v>1</v>
      </c>
      <c r="I3255" s="12">
        <f>Table16[[#This Row],[price]]*Table16[[#This Row],[quantity]]</f>
        <v>322.56</v>
      </c>
    </row>
    <row r="3256" spans="1:9" x14ac:dyDescent="0.3">
      <c r="A3256" t="s">
        <v>5273</v>
      </c>
      <c r="B3256" t="s">
        <v>640</v>
      </c>
      <c r="C3256" t="s">
        <v>2001</v>
      </c>
      <c r="D3256">
        <v>2</v>
      </c>
      <c r="E3256" s="16">
        <v>600.16</v>
      </c>
      <c r="F3256" s="1">
        <v>44928</v>
      </c>
      <c r="G3256" t="s">
        <v>2018</v>
      </c>
      <c r="H3256">
        <v>4</v>
      </c>
      <c r="I3256" s="12">
        <f>Table16[[#This Row],[price]]*Table16[[#This Row],[quantity]]</f>
        <v>1200.32</v>
      </c>
    </row>
    <row r="3257" spans="1:9" x14ac:dyDescent="0.3">
      <c r="A3257" t="s">
        <v>5269</v>
      </c>
      <c r="B3257" t="s">
        <v>640</v>
      </c>
      <c r="C3257" t="s">
        <v>2024</v>
      </c>
      <c r="D3257">
        <v>4</v>
      </c>
      <c r="E3257" s="16">
        <v>143.36000000000001</v>
      </c>
      <c r="F3257" s="1">
        <v>44943</v>
      </c>
      <c r="G3257" t="s">
        <v>2027</v>
      </c>
      <c r="H3257">
        <v>5</v>
      </c>
      <c r="I3257" s="12">
        <f>Table16[[#This Row],[price]]*Table16[[#This Row],[quantity]]</f>
        <v>573.44000000000005</v>
      </c>
    </row>
    <row r="3258" spans="1:9" x14ac:dyDescent="0.3">
      <c r="A3258" t="s">
        <v>5274</v>
      </c>
      <c r="B3258" t="s">
        <v>641</v>
      </c>
      <c r="C3258" t="s">
        <v>2024</v>
      </c>
      <c r="D3258">
        <v>2</v>
      </c>
      <c r="E3258" s="16">
        <v>71.680000000000007</v>
      </c>
      <c r="F3258" s="1">
        <v>44309</v>
      </c>
      <c r="G3258" t="s">
        <v>2064</v>
      </c>
      <c r="H3258">
        <v>1</v>
      </c>
      <c r="I3258" s="12">
        <f>Table16[[#This Row],[price]]*Table16[[#This Row],[quantity]]</f>
        <v>143.36000000000001</v>
      </c>
    </row>
    <row r="3259" spans="1:9" x14ac:dyDescent="0.3">
      <c r="A3259" t="s">
        <v>5275</v>
      </c>
      <c r="B3259" t="s">
        <v>641</v>
      </c>
      <c r="C3259" t="s">
        <v>2015</v>
      </c>
      <c r="D3259">
        <v>2</v>
      </c>
      <c r="E3259" s="16">
        <v>1200.3399999999999</v>
      </c>
      <c r="F3259" s="1">
        <v>44438</v>
      </c>
      <c r="G3259" t="s">
        <v>2004</v>
      </c>
      <c r="H3259">
        <v>1</v>
      </c>
      <c r="I3259" s="12">
        <f>Table16[[#This Row],[price]]*Table16[[#This Row],[quantity]]</f>
        <v>2400.6799999999998</v>
      </c>
    </row>
    <row r="3260" spans="1:9" x14ac:dyDescent="0.3">
      <c r="A3260" t="s">
        <v>5277</v>
      </c>
      <c r="B3260" t="s">
        <v>641</v>
      </c>
      <c r="C3260" t="s">
        <v>2024</v>
      </c>
      <c r="D3260">
        <v>4</v>
      </c>
      <c r="E3260" s="16">
        <v>143.36000000000001</v>
      </c>
      <c r="F3260" s="1">
        <v>44902</v>
      </c>
      <c r="G3260" t="s">
        <v>2020</v>
      </c>
      <c r="H3260">
        <v>2</v>
      </c>
      <c r="I3260" s="12">
        <f>Table16[[#This Row],[price]]*Table16[[#This Row],[quantity]]</f>
        <v>573.44000000000005</v>
      </c>
    </row>
    <row r="3261" spans="1:9" x14ac:dyDescent="0.3">
      <c r="A3261" t="s">
        <v>5276</v>
      </c>
      <c r="B3261" t="s">
        <v>641</v>
      </c>
      <c r="C3261" t="s">
        <v>2011</v>
      </c>
      <c r="D3261">
        <v>3</v>
      </c>
      <c r="E3261" s="16">
        <v>121.98</v>
      </c>
      <c r="F3261" s="1">
        <v>44924</v>
      </c>
      <c r="G3261" t="s">
        <v>2058</v>
      </c>
      <c r="H3261">
        <v>4</v>
      </c>
      <c r="I3261" s="12">
        <f>Table16[[#This Row],[price]]*Table16[[#This Row],[quantity]]</f>
        <v>365.94</v>
      </c>
    </row>
    <row r="3262" spans="1:9" x14ac:dyDescent="0.3">
      <c r="A3262" t="s">
        <v>5281</v>
      </c>
      <c r="B3262" t="s">
        <v>642</v>
      </c>
      <c r="C3262" t="s">
        <v>2008</v>
      </c>
      <c r="D3262">
        <v>4</v>
      </c>
      <c r="E3262" s="16">
        <v>20.92</v>
      </c>
      <c r="F3262" s="1">
        <v>44488</v>
      </c>
      <c r="G3262" t="s">
        <v>2027</v>
      </c>
      <c r="H3262">
        <v>1</v>
      </c>
      <c r="I3262" s="12">
        <f>Table16[[#This Row],[price]]*Table16[[#This Row],[quantity]]</f>
        <v>83.68</v>
      </c>
    </row>
    <row r="3263" spans="1:9" x14ac:dyDescent="0.3">
      <c r="A3263" t="s">
        <v>5282</v>
      </c>
      <c r="B3263" t="s">
        <v>642</v>
      </c>
      <c r="C3263" t="s">
        <v>2008</v>
      </c>
      <c r="D3263">
        <v>2</v>
      </c>
      <c r="E3263" s="16">
        <v>10.46</v>
      </c>
      <c r="F3263" s="1">
        <v>44545</v>
      </c>
      <c r="G3263" t="s">
        <v>2020</v>
      </c>
      <c r="H3263">
        <v>2</v>
      </c>
      <c r="I3263" s="12">
        <f>Table16[[#This Row],[price]]*Table16[[#This Row],[quantity]]</f>
        <v>20.92</v>
      </c>
    </row>
    <row r="3264" spans="1:9" x14ac:dyDescent="0.3">
      <c r="A3264" t="s">
        <v>5279</v>
      </c>
      <c r="B3264" t="s">
        <v>642</v>
      </c>
      <c r="C3264" t="s">
        <v>2001</v>
      </c>
      <c r="D3264">
        <v>5</v>
      </c>
      <c r="E3264" s="16">
        <v>1500.4</v>
      </c>
      <c r="F3264" s="1">
        <v>44593</v>
      </c>
      <c r="G3264" t="s">
        <v>2027</v>
      </c>
      <c r="H3264">
        <v>4</v>
      </c>
      <c r="I3264" s="12">
        <f>Table16[[#This Row],[price]]*Table16[[#This Row],[quantity]]</f>
        <v>7502</v>
      </c>
    </row>
    <row r="3265" spans="1:9" x14ac:dyDescent="0.3">
      <c r="A3265" t="s">
        <v>5280</v>
      </c>
      <c r="B3265" t="s">
        <v>642</v>
      </c>
      <c r="C3265" t="s">
        <v>2024</v>
      </c>
      <c r="D3265">
        <v>5</v>
      </c>
      <c r="E3265" s="16">
        <v>179.2</v>
      </c>
      <c r="F3265" s="1">
        <v>44641</v>
      </c>
      <c r="G3265" t="s">
        <v>2004</v>
      </c>
      <c r="H3265">
        <v>1</v>
      </c>
      <c r="I3265" s="12">
        <f>Table16[[#This Row],[price]]*Table16[[#This Row],[quantity]]</f>
        <v>896</v>
      </c>
    </row>
    <row r="3266" spans="1:9" x14ac:dyDescent="0.3">
      <c r="A3266" t="s">
        <v>5278</v>
      </c>
      <c r="B3266" t="s">
        <v>642</v>
      </c>
      <c r="C3266" t="s">
        <v>2001</v>
      </c>
      <c r="D3266">
        <v>1</v>
      </c>
      <c r="E3266" s="16">
        <v>300.08</v>
      </c>
      <c r="F3266" s="1">
        <v>44737</v>
      </c>
      <c r="G3266" t="s">
        <v>2064</v>
      </c>
      <c r="H3266">
        <v>2</v>
      </c>
      <c r="I3266" s="12">
        <f>Table16[[#This Row],[price]]*Table16[[#This Row],[quantity]]</f>
        <v>300.08</v>
      </c>
    </row>
    <row r="3267" spans="1:9" x14ac:dyDescent="0.3">
      <c r="A3267" t="s">
        <v>5287</v>
      </c>
      <c r="B3267" t="s">
        <v>643</v>
      </c>
      <c r="C3267" t="s">
        <v>2001</v>
      </c>
      <c r="D3267">
        <v>2</v>
      </c>
      <c r="E3267" s="16">
        <v>600.16</v>
      </c>
      <c r="F3267" s="1">
        <v>44308</v>
      </c>
      <c r="G3267" t="s">
        <v>2002</v>
      </c>
      <c r="H3267">
        <v>4</v>
      </c>
      <c r="I3267" s="12">
        <f>Table16[[#This Row],[price]]*Table16[[#This Row],[quantity]]</f>
        <v>1200.32</v>
      </c>
    </row>
    <row r="3268" spans="1:9" x14ac:dyDescent="0.3">
      <c r="A3268" t="s">
        <v>5288</v>
      </c>
      <c r="B3268" t="s">
        <v>643</v>
      </c>
      <c r="C3268" t="s">
        <v>2011</v>
      </c>
      <c r="D3268">
        <v>1</v>
      </c>
      <c r="E3268" s="16">
        <v>40.659999999999997</v>
      </c>
      <c r="F3268" s="1">
        <v>44466</v>
      </c>
      <c r="G3268" t="s">
        <v>2002</v>
      </c>
      <c r="H3268">
        <v>1</v>
      </c>
      <c r="I3268" s="12">
        <f>Table16[[#This Row],[price]]*Table16[[#This Row],[quantity]]</f>
        <v>40.659999999999997</v>
      </c>
    </row>
    <row r="3269" spans="1:9" x14ac:dyDescent="0.3">
      <c r="A3269" t="s">
        <v>5283</v>
      </c>
      <c r="B3269" t="s">
        <v>643</v>
      </c>
      <c r="C3269" t="s">
        <v>2001</v>
      </c>
      <c r="D3269">
        <v>2</v>
      </c>
      <c r="E3269" s="16">
        <v>600.16</v>
      </c>
      <c r="F3269" s="1">
        <v>44619</v>
      </c>
      <c r="G3269" t="s">
        <v>2004</v>
      </c>
      <c r="H3269">
        <v>1</v>
      </c>
      <c r="I3269" s="12">
        <f>Table16[[#This Row],[price]]*Table16[[#This Row],[quantity]]</f>
        <v>1200.32</v>
      </c>
    </row>
    <row r="3270" spans="1:9" x14ac:dyDescent="0.3">
      <c r="A3270" t="s">
        <v>5285</v>
      </c>
      <c r="B3270" t="s">
        <v>643</v>
      </c>
      <c r="C3270" t="s">
        <v>2024</v>
      </c>
      <c r="D3270">
        <v>2</v>
      </c>
      <c r="E3270" s="16">
        <v>71.680000000000007</v>
      </c>
      <c r="F3270" s="1">
        <v>44710</v>
      </c>
      <c r="G3270" t="s">
        <v>2027</v>
      </c>
      <c r="H3270">
        <v>1</v>
      </c>
      <c r="I3270" s="12">
        <f>Table16[[#This Row],[price]]*Table16[[#This Row],[quantity]]</f>
        <v>143.36000000000001</v>
      </c>
    </row>
    <row r="3271" spans="1:9" x14ac:dyDescent="0.3">
      <c r="A3271" t="s">
        <v>5289</v>
      </c>
      <c r="B3271" t="s">
        <v>643</v>
      </c>
      <c r="C3271" t="s">
        <v>2011</v>
      </c>
      <c r="D3271">
        <v>2</v>
      </c>
      <c r="E3271" s="16">
        <v>81.319999999999993</v>
      </c>
      <c r="F3271" s="1">
        <v>44744</v>
      </c>
      <c r="G3271" t="s">
        <v>2002</v>
      </c>
      <c r="H3271">
        <v>4</v>
      </c>
      <c r="I3271" s="12">
        <f>Table16[[#This Row],[price]]*Table16[[#This Row],[quantity]]</f>
        <v>162.63999999999999</v>
      </c>
    </row>
    <row r="3272" spans="1:9" x14ac:dyDescent="0.3">
      <c r="A3272" t="s">
        <v>5284</v>
      </c>
      <c r="B3272" t="s">
        <v>643</v>
      </c>
      <c r="C3272" t="s">
        <v>2008</v>
      </c>
      <c r="D3272">
        <v>1</v>
      </c>
      <c r="E3272" s="16">
        <v>5.23</v>
      </c>
      <c r="F3272" s="1">
        <v>44846</v>
      </c>
      <c r="G3272" t="s">
        <v>2064</v>
      </c>
      <c r="H3272">
        <v>1</v>
      </c>
      <c r="I3272" s="12">
        <f>Table16[[#This Row],[price]]*Table16[[#This Row],[quantity]]</f>
        <v>5.23</v>
      </c>
    </row>
    <row r="3273" spans="1:9" x14ac:dyDescent="0.3">
      <c r="A3273" t="s">
        <v>5286</v>
      </c>
      <c r="B3273" t="s">
        <v>643</v>
      </c>
      <c r="C3273" t="s">
        <v>2001</v>
      </c>
      <c r="D3273">
        <v>4</v>
      </c>
      <c r="E3273" s="16">
        <v>1200.32</v>
      </c>
      <c r="F3273" s="1">
        <v>44886</v>
      </c>
      <c r="G3273" t="s">
        <v>2002</v>
      </c>
      <c r="H3273">
        <v>2</v>
      </c>
      <c r="I3273" s="12">
        <f>Table16[[#This Row],[price]]*Table16[[#This Row],[quantity]]</f>
        <v>4801.28</v>
      </c>
    </row>
    <row r="3274" spans="1:9" x14ac:dyDescent="0.3">
      <c r="A3274" t="s">
        <v>5294</v>
      </c>
      <c r="B3274" t="s">
        <v>644</v>
      </c>
      <c r="C3274" t="s">
        <v>2001</v>
      </c>
      <c r="D3274">
        <v>4</v>
      </c>
      <c r="E3274" s="16">
        <v>1200.32</v>
      </c>
      <c r="F3274" s="1">
        <v>44404</v>
      </c>
      <c r="G3274" t="s">
        <v>2004</v>
      </c>
      <c r="H3274">
        <v>5</v>
      </c>
      <c r="I3274" s="12">
        <f>Table16[[#This Row],[price]]*Table16[[#This Row],[quantity]]</f>
        <v>4801.28</v>
      </c>
    </row>
    <row r="3275" spans="1:9" x14ac:dyDescent="0.3">
      <c r="A3275" t="s">
        <v>5290</v>
      </c>
      <c r="B3275" t="s">
        <v>644</v>
      </c>
      <c r="C3275" t="s">
        <v>2008</v>
      </c>
      <c r="D3275">
        <v>2</v>
      </c>
      <c r="E3275" s="16">
        <v>10.46</v>
      </c>
      <c r="F3275" s="1">
        <v>44423</v>
      </c>
      <c r="G3275" t="s">
        <v>2058</v>
      </c>
      <c r="H3275">
        <v>3</v>
      </c>
      <c r="I3275" s="12">
        <f>Table16[[#This Row],[price]]*Table16[[#This Row],[quantity]]</f>
        <v>20.92</v>
      </c>
    </row>
    <row r="3276" spans="1:9" x14ac:dyDescent="0.3">
      <c r="A3276" t="s">
        <v>5299</v>
      </c>
      <c r="B3276" t="s">
        <v>644</v>
      </c>
      <c r="C3276" t="s">
        <v>2001</v>
      </c>
      <c r="D3276">
        <v>2</v>
      </c>
      <c r="E3276" s="16">
        <v>600.16</v>
      </c>
      <c r="F3276" s="1">
        <v>44432</v>
      </c>
      <c r="G3276" t="s">
        <v>2020</v>
      </c>
      <c r="H3276">
        <v>2</v>
      </c>
      <c r="I3276" s="12">
        <f>Table16[[#This Row],[price]]*Table16[[#This Row],[quantity]]</f>
        <v>1200.32</v>
      </c>
    </row>
    <row r="3277" spans="1:9" x14ac:dyDescent="0.3">
      <c r="A3277" t="s">
        <v>5296</v>
      </c>
      <c r="B3277" t="s">
        <v>644</v>
      </c>
      <c r="C3277" t="s">
        <v>2015</v>
      </c>
      <c r="D3277">
        <v>4</v>
      </c>
      <c r="E3277" s="16">
        <v>2400.6799999999998</v>
      </c>
      <c r="F3277" s="1">
        <v>44459</v>
      </c>
      <c r="G3277" t="s">
        <v>2002</v>
      </c>
      <c r="H3277">
        <v>2</v>
      </c>
      <c r="I3277" s="12">
        <f>Table16[[#This Row],[price]]*Table16[[#This Row],[quantity]]</f>
        <v>9602.7199999999993</v>
      </c>
    </row>
    <row r="3278" spans="1:9" x14ac:dyDescent="0.3">
      <c r="A3278" t="s">
        <v>5291</v>
      </c>
      <c r="B3278" t="s">
        <v>644</v>
      </c>
      <c r="C3278" t="s">
        <v>2001</v>
      </c>
      <c r="D3278">
        <v>2</v>
      </c>
      <c r="E3278" s="16">
        <v>600.16</v>
      </c>
      <c r="F3278" s="1">
        <v>44508</v>
      </c>
      <c r="G3278" t="s">
        <v>2002</v>
      </c>
      <c r="H3278">
        <v>5</v>
      </c>
      <c r="I3278" s="12">
        <f>Table16[[#This Row],[price]]*Table16[[#This Row],[quantity]]</f>
        <v>1200.32</v>
      </c>
    </row>
    <row r="3279" spans="1:9" x14ac:dyDescent="0.3">
      <c r="A3279" t="s">
        <v>5297</v>
      </c>
      <c r="B3279" t="s">
        <v>644</v>
      </c>
      <c r="C3279" t="s">
        <v>2008</v>
      </c>
      <c r="D3279">
        <v>1</v>
      </c>
      <c r="E3279" s="16">
        <v>5.23</v>
      </c>
      <c r="F3279" s="1">
        <v>44551</v>
      </c>
      <c r="G3279" t="s">
        <v>2027</v>
      </c>
      <c r="H3279">
        <v>2</v>
      </c>
      <c r="I3279" s="12">
        <f>Table16[[#This Row],[price]]*Table16[[#This Row],[quantity]]</f>
        <v>5.23</v>
      </c>
    </row>
    <row r="3280" spans="1:9" x14ac:dyDescent="0.3">
      <c r="A3280" t="s">
        <v>5292</v>
      </c>
      <c r="B3280" t="s">
        <v>644</v>
      </c>
      <c r="C3280" t="s">
        <v>2011</v>
      </c>
      <c r="D3280">
        <v>2</v>
      </c>
      <c r="E3280" s="16">
        <v>81.319999999999993</v>
      </c>
      <c r="F3280" s="1">
        <v>44567</v>
      </c>
      <c r="G3280" t="s">
        <v>2064</v>
      </c>
      <c r="H3280">
        <v>5</v>
      </c>
      <c r="I3280" s="12">
        <f>Table16[[#This Row],[price]]*Table16[[#This Row],[quantity]]</f>
        <v>162.63999999999999</v>
      </c>
    </row>
    <row r="3281" spans="1:9" x14ac:dyDescent="0.3">
      <c r="A3281" t="s">
        <v>5298</v>
      </c>
      <c r="B3281" t="s">
        <v>644</v>
      </c>
      <c r="C3281" t="s">
        <v>2001</v>
      </c>
      <c r="D3281">
        <v>3</v>
      </c>
      <c r="E3281" s="16">
        <v>900.24</v>
      </c>
      <c r="F3281" s="1">
        <v>44717</v>
      </c>
      <c r="G3281" t="s">
        <v>2027</v>
      </c>
      <c r="H3281">
        <v>1</v>
      </c>
      <c r="I3281" s="12">
        <f>Table16[[#This Row],[price]]*Table16[[#This Row],[quantity]]</f>
        <v>2700.7200000000003</v>
      </c>
    </row>
    <row r="3282" spans="1:9" x14ac:dyDescent="0.3">
      <c r="A3282" t="s">
        <v>5295</v>
      </c>
      <c r="B3282" t="s">
        <v>644</v>
      </c>
      <c r="C3282" t="s">
        <v>2011</v>
      </c>
      <c r="D3282">
        <v>2</v>
      </c>
      <c r="E3282" s="16">
        <v>81.319999999999993</v>
      </c>
      <c r="F3282" s="1">
        <v>44792</v>
      </c>
      <c r="G3282" t="s">
        <v>2009</v>
      </c>
      <c r="H3282">
        <v>5</v>
      </c>
      <c r="I3282" s="12">
        <f>Table16[[#This Row],[price]]*Table16[[#This Row],[quantity]]</f>
        <v>162.63999999999999</v>
      </c>
    </row>
    <row r="3283" spans="1:9" x14ac:dyDescent="0.3">
      <c r="A3283" t="s">
        <v>5293</v>
      </c>
      <c r="B3283" t="s">
        <v>644</v>
      </c>
      <c r="C3283" t="s">
        <v>2008</v>
      </c>
      <c r="D3283">
        <v>4</v>
      </c>
      <c r="E3283" s="16">
        <v>20.92</v>
      </c>
      <c r="F3283" s="1">
        <v>44799</v>
      </c>
      <c r="G3283" t="s">
        <v>2004</v>
      </c>
      <c r="H3283">
        <v>4</v>
      </c>
      <c r="I3283" s="12">
        <f>Table16[[#This Row],[price]]*Table16[[#This Row],[quantity]]</f>
        <v>83.68</v>
      </c>
    </row>
    <row r="3284" spans="1:9" x14ac:dyDescent="0.3">
      <c r="A3284" t="s">
        <v>5300</v>
      </c>
      <c r="B3284" t="s">
        <v>644</v>
      </c>
      <c r="C3284" t="s">
        <v>2001</v>
      </c>
      <c r="D3284">
        <v>2</v>
      </c>
      <c r="E3284" s="16">
        <v>600.16</v>
      </c>
      <c r="F3284" s="1">
        <v>44901</v>
      </c>
      <c r="G3284" t="s">
        <v>2002</v>
      </c>
      <c r="H3284">
        <v>3</v>
      </c>
      <c r="I3284" s="12">
        <f>Table16[[#This Row],[price]]*Table16[[#This Row],[quantity]]</f>
        <v>1200.32</v>
      </c>
    </row>
    <row r="3285" spans="1:9" x14ac:dyDescent="0.3">
      <c r="A3285" t="s">
        <v>5303</v>
      </c>
      <c r="B3285" t="s">
        <v>645</v>
      </c>
      <c r="C3285" t="s">
        <v>2011</v>
      </c>
      <c r="D3285">
        <v>1</v>
      </c>
      <c r="E3285" s="16">
        <v>40.659999999999997</v>
      </c>
      <c r="F3285" s="1">
        <v>44371</v>
      </c>
      <c r="G3285" t="s">
        <v>2027</v>
      </c>
      <c r="H3285">
        <v>4</v>
      </c>
      <c r="I3285" s="12">
        <f>Table16[[#This Row],[price]]*Table16[[#This Row],[quantity]]</f>
        <v>40.659999999999997</v>
      </c>
    </row>
    <row r="3286" spans="1:9" x14ac:dyDescent="0.3">
      <c r="A3286" t="s">
        <v>5305</v>
      </c>
      <c r="B3286" t="s">
        <v>645</v>
      </c>
      <c r="C3286" t="s">
        <v>2001</v>
      </c>
      <c r="D3286">
        <v>5</v>
      </c>
      <c r="E3286" s="16">
        <v>1500.4</v>
      </c>
      <c r="F3286" s="1">
        <v>44398</v>
      </c>
      <c r="G3286" t="s">
        <v>2058</v>
      </c>
      <c r="H3286">
        <v>1</v>
      </c>
      <c r="I3286" s="12">
        <f>Table16[[#This Row],[price]]*Table16[[#This Row],[quantity]]</f>
        <v>7502</v>
      </c>
    </row>
    <row r="3287" spans="1:9" x14ac:dyDescent="0.3">
      <c r="A3287" t="s">
        <v>5304</v>
      </c>
      <c r="B3287" t="s">
        <v>645</v>
      </c>
      <c r="C3287" t="s">
        <v>2011</v>
      </c>
      <c r="D3287">
        <v>5</v>
      </c>
      <c r="E3287" s="16">
        <v>203.3</v>
      </c>
      <c r="F3287" s="1">
        <v>44419</v>
      </c>
      <c r="G3287" t="s">
        <v>2004</v>
      </c>
      <c r="H3287">
        <v>3</v>
      </c>
      <c r="I3287" s="12">
        <f>Table16[[#This Row],[price]]*Table16[[#This Row],[quantity]]</f>
        <v>1016.5</v>
      </c>
    </row>
    <row r="3288" spans="1:9" x14ac:dyDescent="0.3">
      <c r="A3288" t="s">
        <v>5301</v>
      </c>
      <c r="B3288" t="s">
        <v>645</v>
      </c>
      <c r="C3288" t="s">
        <v>2001</v>
      </c>
      <c r="D3288">
        <v>1</v>
      </c>
      <c r="E3288" s="16">
        <v>300.08</v>
      </c>
      <c r="F3288" s="1">
        <v>44630</v>
      </c>
      <c r="G3288" t="s">
        <v>2002</v>
      </c>
      <c r="H3288">
        <v>1</v>
      </c>
      <c r="I3288" s="12">
        <f>Table16[[#This Row],[price]]*Table16[[#This Row],[quantity]]</f>
        <v>300.08</v>
      </c>
    </row>
    <row r="3289" spans="1:9" x14ac:dyDescent="0.3">
      <c r="A3289" t="s">
        <v>5302</v>
      </c>
      <c r="B3289" t="s">
        <v>645</v>
      </c>
      <c r="C3289" t="s">
        <v>2006</v>
      </c>
      <c r="D3289">
        <v>5</v>
      </c>
      <c r="E3289" s="16">
        <v>75.75</v>
      </c>
      <c r="F3289" s="1">
        <v>44911</v>
      </c>
      <c r="G3289" t="s">
        <v>2002</v>
      </c>
      <c r="H3289">
        <v>5</v>
      </c>
      <c r="I3289" s="12">
        <f>Table16[[#This Row],[price]]*Table16[[#This Row],[quantity]]</f>
        <v>378.75</v>
      </c>
    </row>
    <row r="3290" spans="1:9" x14ac:dyDescent="0.3">
      <c r="A3290" t="s">
        <v>5308</v>
      </c>
      <c r="B3290" t="s">
        <v>646</v>
      </c>
      <c r="C3290" t="s">
        <v>2008</v>
      </c>
      <c r="D3290">
        <v>1</v>
      </c>
      <c r="E3290" s="16">
        <v>5.23</v>
      </c>
      <c r="F3290" s="1">
        <v>44262</v>
      </c>
      <c r="G3290" t="s">
        <v>2064</v>
      </c>
      <c r="H3290">
        <v>1</v>
      </c>
      <c r="I3290" s="12">
        <f>Table16[[#This Row],[price]]*Table16[[#This Row],[quantity]]</f>
        <v>5.23</v>
      </c>
    </row>
    <row r="3291" spans="1:9" x14ac:dyDescent="0.3">
      <c r="A3291" t="s">
        <v>5306</v>
      </c>
      <c r="B3291" t="s">
        <v>646</v>
      </c>
      <c r="C3291" t="s">
        <v>2001</v>
      </c>
      <c r="D3291">
        <v>1</v>
      </c>
      <c r="E3291" s="16">
        <v>300.08</v>
      </c>
      <c r="F3291" s="1">
        <v>44532</v>
      </c>
      <c r="G3291" t="s">
        <v>2004</v>
      </c>
      <c r="H3291">
        <v>2</v>
      </c>
      <c r="I3291" s="12">
        <f>Table16[[#This Row],[price]]*Table16[[#This Row],[quantity]]</f>
        <v>300.08</v>
      </c>
    </row>
    <row r="3292" spans="1:9" x14ac:dyDescent="0.3">
      <c r="A3292" t="s">
        <v>5307</v>
      </c>
      <c r="B3292" t="s">
        <v>646</v>
      </c>
      <c r="C3292" t="s">
        <v>2001</v>
      </c>
      <c r="D3292">
        <v>5</v>
      </c>
      <c r="E3292" s="16">
        <v>1500.4</v>
      </c>
      <c r="F3292" s="1">
        <v>44794</v>
      </c>
      <c r="G3292" t="s">
        <v>2004</v>
      </c>
      <c r="H3292">
        <v>3</v>
      </c>
      <c r="I3292" s="12">
        <f>Table16[[#This Row],[price]]*Table16[[#This Row],[quantity]]</f>
        <v>7502</v>
      </c>
    </row>
    <row r="3293" spans="1:9" x14ac:dyDescent="0.3">
      <c r="A3293" t="s">
        <v>5309</v>
      </c>
      <c r="B3293" t="s">
        <v>647</v>
      </c>
      <c r="C3293" t="s">
        <v>2001</v>
      </c>
      <c r="D3293">
        <v>1</v>
      </c>
      <c r="E3293" s="16">
        <v>300.08</v>
      </c>
      <c r="F3293" s="1">
        <v>44365</v>
      </c>
      <c r="G3293" t="s">
        <v>2009</v>
      </c>
      <c r="H3293">
        <v>1</v>
      </c>
      <c r="I3293" s="12">
        <f>Table16[[#This Row],[price]]*Table16[[#This Row],[quantity]]</f>
        <v>300.08</v>
      </c>
    </row>
    <row r="3294" spans="1:9" x14ac:dyDescent="0.3">
      <c r="A3294" t="s">
        <v>5310</v>
      </c>
      <c r="B3294" t="s">
        <v>647</v>
      </c>
      <c r="C3294" t="s">
        <v>2024</v>
      </c>
      <c r="D3294">
        <v>3</v>
      </c>
      <c r="E3294" s="16">
        <v>107.52</v>
      </c>
      <c r="F3294" s="1">
        <v>44570</v>
      </c>
      <c r="G3294" t="s">
        <v>2027</v>
      </c>
      <c r="H3294">
        <v>5</v>
      </c>
      <c r="I3294" s="12">
        <f>Table16[[#This Row],[price]]*Table16[[#This Row],[quantity]]</f>
        <v>322.56</v>
      </c>
    </row>
    <row r="3295" spans="1:9" x14ac:dyDescent="0.3">
      <c r="A3295" t="s">
        <v>5311</v>
      </c>
      <c r="B3295" t="s">
        <v>647</v>
      </c>
      <c r="C3295" t="s">
        <v>2001</v>
      </c>
      <c r="D3295">
        <v>1</v>
      </c>
      <c r="E3295" s="16">
        <v>300.08</v>
      </c>
      <c r="F3295" s="1">
        <v>44979</v>
      </c>
      <c r="G3295" t="s">
        <v>2004</v>
      </c>
      <c r="H3295">
        <v>4</v>
      </c>
      <c r="I3295" s="12">
        <f>Table16[[#This Row],[price]]*Table16[[#This Row],[quantity]]</f>
        <v>300.08</v>
      </c>
    </row>
    <row r="3296" spans="1:9" x14ac:dyDescent="0.3">
      <c r="A3296" t="s">
        <v>5319</v>
      </c>
      <c r="B3296" t="s">
        <v>648</v>
      </c>
      <c r="C3296" t="s">
        <v>2006</v>
      </c>
      <c r="D3296">
        <v>5</v>
      </c>
      <c r="E3296" s="16">
        <v>75.75</v>
      </c>
      <c r="F3296" s="1">
        <v>44335</v>
      </c>
      <c r="G3296" t="s">
        <v>2027</v>
      </c>
      <c r="H3296">
        <v>2</v>
      </c>
      <c r="I3296" s="12">
        <f>Table16[[#This Row],[price]]*Table16[[#This Row],[quantity]]</f>
        <v>378.75</v>
      </c>
    </row>
    <row r="3297" spans="1:9" x14ac:dyDescent="0.3">
      <c r="A3297" t="s">
        <v>5313</v>
      </c>
      <c r="B3297" t="s">
        <v>648</v>
      </c>
      <c r="C3297" t="s">
        <v>2017</v>
      </c>
      <c r="D3297">
        <v>1</v>
      </c>
      <c r="E3297" s="16">
        <v>1050</v>
      </c>
      <c r="F3297" s="1">
        <v>44382</v>
      </c>
      <c r="G3297" t="s">
        <v>2058</v>
      </c>
      <c r="H3297">
        <v>4</v>
      </c>
      <c r="I3297" s="12">
        <f>Table16[[#This Row],[price]]*Table16[[#This Row],[quantity]]</f>
        <v>1050</v>
      </c>
    </row>
    <row r="3298" spans="1:9" x14ac:dyDescent="0.3">
      <c r="A3298" t="s">
        <v>5312</v>
      </c>
      <c r="B3298" t="s">
        <v>648</v>
      </c>
      <c r="C3298" t="s">
        <v>2011</v>
      </c>
      <c r="D3298">
        <v>1</v>
      </c>
      <c r="E3298" s="16">
        <v>40.659999999999997</v>
      </c>
      <c r="F3298" s="1">
        <v>44457</v>
      </c>
      <c r="G3298" t="s">
        <v>2027</v>
      </c>
      <c r="H3298">
        <v>2</v>
      </c>
      <c r="I3298" s="12">
        <f>Table16[[#This Row],[price]]*Table16[[#This Row],[quantity]]</f>
        <v>40.659999999999997</v>
      </c>
    </row>
    <row r="3299" spans="1:9" x14ac:dyDescent="0.3">
      <c r="A3299" t="s">
        <v>5316</v>
      </c>
      <c r="B3299" t="s">
        <v>648</v>
      </c>
      <c r="C3299" t="s">
        <v>2011</v>
      </c>
      <c r="D3299">
        <v>1</v>
      </c>
      <c r="E3299" s="16">
        <v>40.659999999999997</v>
      </c>
      <c r="F3299" s="1">
        <v>44631</v>
      </c>
      <c r="G3299" t="s">
        <v>2002</v>
      </c>
      <c r="H3299">
        <v>2</v>
      </c>
      <c r="I3299" s="12">
        <f>Table16[[#This Row],[price]]*Table16[[#This Row],[quantity]]</f>
        <v>40.659999999999997</v>
      </c>
    </row>
    <row r="3300" spans="1:9" x14ac:dyDescent="0.3">
      <c r="A3300" t="s">
        <v>5314</v>
      </c>
      <c r="B3300" t="s">
        <v>648</v>
      </c>
      <c r="C3300" t="s">
        <v>2024</v>
      </c>
      <c r="D3300">
        <v>4</v>
      </c>
      <c r="E3300" s="16">
        <v>143.36000000000001</v>
      </c>
      <c r="F3300" s="1">
        <v>44662</v>
      </c>
      <c r="G3300" t="s">
        <v>2064</v>
      </c>
      <c r="H3300">
        <v>1</v>
      </c>
      <c r="I3300" s="12">
        <f>Table16[[#This Row],[price]]*Table16[[#This Row],[quantity]]</f>
        <v>573.44000000000005</v>
      </c>
    </row>
    <row r="3301" spans="1:9" x14ac:dyDescent="0.3">
      <c r="A3301" t="s">
        <v>5317</v>
      </c>
      <c r="B3301" t="s">
        <v>648</v>
      </c>
      <c r="C3301" t="s">
        <v>2015</v>
      </c>
      <c r="D3301">
        <v>3</v>
      </c>
      <c r="E3301" s="16">
        <v>1800.51</v>
      </c>
      <c r="F3301" s="1">
        <v>44742</v>
      </c>
      <c r="G3301" t="s">
        <v>2002</v>
      </c>
      <c r="H3301">
        <v>4</v>
      </c>
      <c r="I3301" s="12">
        <f>Table16[[#This Row],[price]]*Table16[[#This Row],[quantity]]</f>
        <v>5401.53</v>
      </c>
    </row>
    <row r="3302" spans="1:9" x14ac:dyDescent="0.3">
      <c r="A3302" t="s">
        <v>5318</v>
      </c>
      <c r="B3302" t="s">
        <v>648</v>
      </c>
      <c r="C3302" t="s">
        <v>2001</v>
      </c>
      <c r="D3302">
        <v>5</v>
      </c>
      <c r="E3302" s="16">
        <v>1500.4</v>
      </c>
      <c r="F3302" s="1">
        <v>44912</v>
      </c>
      <c r="G3302" t="s">
        <v>2027</v>
      </c>
      <c r="H3302">
        <v>4</v>
      </c>
      <c r="I3302" s="12">
        <f>Table16[[#This Row],[price]]*Table16[[#This Row],[quantity]]</f>
        <v>7502</v>
      </c>
    </row>
    <row r="3303" spans="1:9" x14ac:dyDescent="0.3">
      <c r="A3303" t="s">
        <v>5315</v>
      </c>
      <c r="B3303" t="s">
        <v>648</v>
      </c>
      <c r="C3303" t="s">
        <v>2024</v>
      </c>
      <c r="D3303">
        <v>1</v>
      </c>
      <c r="E3303" s="16">
        <v>35.840000000000003</v>
      </c>
      <c r="F3303" s="1">
        <v>44946</v>
      </c>
      <c r="G3303" t="s">
        <v>2020</v>
      </c>
      <c r="H3303">
        <v>2</v>
      </c>
      <c r="I3303" s="12">
        <f>Table16[[#This Row],[price]]*Table16[[#This Row],[quantity]]</f>
        <v>35.840000000000003</v>
      </c>
    </row>
    <row r="3304" spans="1:9" x14ac:dyDescent="0.3">
      <c r="A3304" t="s">
        <v>5325</v>
      </c>
      <c r="B3304" t="s">
        <v>649</v>
      </c>
      <c r="C3304" t="s">
        <v>2015</v>
      </c>
      <c r="D3304">
        <v>1</v>
      </c>
      <c r="E3304" s="16">
        <v>600.16999999999996</v>
      </c>
      <c r="F3304" s="1">
        <v>44246</v>
      </c>
      <c r="G3304" t="s">
        <v>2020</v>
      </c>
      <c r="H3304">
        <v>5</v>
      </c>
      <c r="I3304" s="12">
        <f>Table16[[#This Row],[price]]*Table16[[#This Row],[quantity]]</f>
        <v>600.16999999999996</v>
      </c>
    </row>
    <row r="3305" spans="1:9" x14ac:dyDescent="0.3">
      <c r="A3305" t="s">
        <v>5322</v>
      </c>
      <c r="B3305" t="s">
        <v>649</v>
      </c>
      <c r="C3305" t="s">
        <v>2057</v>
      </c>
      <c r="D3305">
        <v>1</v>
      </c>
      <c r="E3305" s="16">
        <v>11.73</v>
      </c>
      <c r="F3305" s="1">
        <v>44301</v>
      </c>
      <c r="G3305" t="s">
        <v>2027</v>
      </c>
      <c r="H3305">
        <v>2</v>
      </c>
      <c r="I3305" s="12">
        <f>Table16[[#This Row],[price]]*Table16[[#This Row],[quantity]]</f>
        <v>11.73</v>
      </c>
    </row>
    <row r="3306" spans="1:9" x14ac:dyDescent="0.3">
      <c r="A3306" t="s">
        <v>5324</v>
      </c>
      <c r="B3306" t="s">
        <v>649</v>
      </c>
      <c r="C3306" t="s">
        <v>2008</v>
      </c>
      <c r="D3306">
        <v>1</v>
      </c>
      <c r="E3306" s="16">
        <v>5.23</v>
      </c>
      <c r="F3306" s="1">
        <v>44497</v>
      </c>
      <c r="G3306" t="s">
        <v>2002</v>
      </c>
      <c r="H3306">
        <v>5</v>
      </c>
      <c r="I3306" s="12">
        <f>Table16[[#This Row],[price]]*Table16[[#This Row],[quantity]]</f>
        <v>5.23</v>
      </c>
    </row>
    <row r="3307" spans="1:9" x14ac:dyDescent="0.3">
      <c r="A3307" t="s">
        <v>5321</v>
      </c>
      <c r="B3307" t="s">
        <v>649</v>
      </c>
      <c r="C3307" t="s">
        <v>2001</v>
      </c>
      <c r="D3307">
        <v>2</v>
      </c>
      <c r="E3307" s="16">
        <v>600.16</v>
      </c>
      <c r="F3307" s="1">
        <v>44514</v>
      </c>
      <c r="G3307" t="s">
        <v>2027</v>
      </c>
      <c r="H3307">
        <v>1</v>
      </c>
      <c r="I3307" s="12">
        <f>Table16[[#This Row],[price]]*Table16[[#This Row],[quantity]]</f>
        <v>1200.32</v>
      </c>
    </row>
    <row r="3308" spans="1:9" x14ac:dyDescent="0.3">
      <c r="A3308" t="s">
        <v>5323</v>
      </c>
      <c r="B3308" t="s">
        <v>649</v>
      </c>
      <c r="C3308" t="s">
        <v>2057</v>
      </c>
      <c r="D3308">
        <v>3</v>
      </c>
      <c r="E3308" s="16">
        <v>35.19</v>
      </c>
      <c r="F3308" s="1">
        <v>44577</v>
      </c>
      <c r="G3308" t="s">
        <v>2009</v>
      </c>
      <c r="H3308">
        <v>1</v>
      </c>
      <c r="I3308" s="12">
        <f>Table16[[#This Row],[price]]*Table16[[#This Row],[quantity]]</f>
        <v>105.57</v>
      </c>
    </row>
    <row r="3309" spans="1:9" x14ac:dyDescent="0.3">
      <c r="A3309" t="s">
        <v>5320</v>
      </c>
      <c r="B3309" t="s">
        <v>649</v>
      </c>
      <c r="C3309" t="s">
        <v>2008</v>
      </c>
      <c r="D3309">
        <v>2</v>
      </c>
      <c r="E3309" s="16">
        <v>10.46</v>
      </c>
      <c r="F3309" s="1">
        <v>44946</v>
      </c>
      <c r="G3309" t="s">
        <v>2002</v>
      </c>
      <c r="H3309">
        <v>2</v>
      </c>
      <c r="I3309" s="12">
        <f>Table16[[#This Row],[price]]*Table16[[#This Row],[quantity]]</f>
        <v>20.92</v>
      </c>
    </row>
    <row r="3310" spans="1:9" x14ac:dyDescent="0.3">
      <c r="A3310" t="s">
        <v>5329</v>
      </c>
      <c r="B3310" t="s">
        <v>650</v>
      </c>
      <c r="C3310" t="s">
        <v>2008</v>
      </c>
      <c r="D3310">
        <v>1</v>
      </c>
      <c r="E3310" s="16">
        <v>5.23</v>
      </c>
      <c r="F3310" s="1">
        <v>44501</v>
      </c>
      <c r="G3310" t="s">
        <v>2027</v>
      </c>
      <c r="H3310">
        <v>3</v>
      </c>
      <c r="I3310" s="12">
        <f>Table16[[#This Row],[price]]*Table16[[#This Row],[quantity]]</f>
        <v>5.23</v>
      </c>
    </row>
    <row r="3311" spans="1:9" x14ac:dyDescent="0.3">
      <c r="A3311" t="s">
        <v>5330</v>
      </c>
      <c r="B3311" t="s">
        <v>650</v>
      </c>
      <c r="C3311" t="s">
        <v>2024</v>
      </c>
      <c r="D3311">
        <v>1</v>
      </c>
      <c r="E3311" s="16">
        <v>35.840000000000003</v>
      </c>
      <c r="F3311" s="1">
        <v>44823</v>
      </c>
      <c r="G3311" t="s">
        <v>2004</v>
      </c>
      <c r="H3311">
        <v>3</v>
      </c>
      <c r="I3311" s="12">
        <f>Table16[[#This Row],[price]]*Table16[[#This Row],[quantity]]</f>
        <v>35.840000000000003</v>
      </c>
    </row>
    <row r="3312" spans="1:9" x14ac:dyDescent="0.3">
      <c r="A3312" t="s">
        <v>5331</v>
      </c>
      <c r="B3312" t="s">
        <v>650</v>
      </c>
      <c r="C3312" t="s">
        <v>2001</v>
      </c>
      <c r="D3312">
        <v>1</v>
      </c>
      <c r="E3312" s="16">
        <v>300.08</v>
      </c>
      <c r="F3312" s="1">
        <v>44865</v>
      </c>
      <c r="G3312" t="s">
        <v>2027</v>
      </c>
      <c r="H3312">
        <v>1</v>
      </c>
      <c r="I3312" s="12">
        <f>Table16[[#This Row],[price]]*Table16[[#This Row],[quantity]]</f>
        <v>300.08</v>
      </c>
    </row>
    <row r="3313" spans="1:9" x14ac:dyDescent="0.3">
      <c r="A3313" t="s">
        <v>5327</v>
      </c>
      <c r="B3313" t="s">
        <v>650</v>
      </c>
      <c r="C3313" t="s">
        <v>2057</v>
      </c>
      <c r="D3313">
        <v>1</v>
      </c>
      <c r="E3313" s="16">
        <v>11.73</v>
      </c>
      <c r="F3313" s="1">
        <v>44896</v>
      </c>
      <c r="G3313" t="s">
        <v>2004</v>
      </c>
      <c r="H3313">
        <v>4</v>
      </c>
      <c r="I3313" s="12">
        <f>Table16[[#This Row],[price]]*Table16[[#This Row],[quantity]]</f>
        <v>11.73</v>
      </c>
    </row>
    <row r="3314" spans="1:9" x14ac:dyDescent="0.3">
      <c r="A3314" t="s">
        <v>5326</v>
      </c>
      <c r="B3314" t="s">
        <v>650</v>
      </c>
      <c r="C3314" t="s">
        <v>2001</v>
      </c>
      <c r="D3314">
        <v>1</v>
      </c>
      <c r="E3314" s="16">
        <v>300.08</v>
      </c>
      <c r="F3314" s="1">
        <v>44918</v>
      </c>
      <c r="G3314" t="s">
        <v>2027</v>
      </c>
      <c r="H3314">
        <v>2</v>
      </c>
      <c r="I3314" s="12">
        <f>Table16[[#This Row],[price]]*Table16[[#This Row],[quantity]]</f>
        <v>300.08</v>
      </c>
    </row>
    <row r="3315" spans="1:9" x14ac:dyDescent="0.3">
      <c r="A3315" t="s">
        <v>5332</v>
      </c>
      <c r="B3315" t="s">
        <v>650</v>
      </c>
      <c r="C3315" t="s">
        <v>2006</v>
      </c>
      <c r="D3315">
        <v>2</v>
      </c>
      <c r="E3315" s="16">
        <v>30.3</v>
      </c>
      <c r="F3315" s="1">
        <v>44957</v>
      </c>
      <c r="G3315" t="s">
        <v>2064</v>
      </c>
      <c r="H3315">
        <v>5</v>
      </c>
      <c r="I3315" s="12">
        <f>Table16[[#This Row],[price]]*Table16[[#This Row],[quantity]]</f>
        <v>60.6</v>
      </c>
    </row>
    <row r="3316" spans="1:9" x14ac:dyDescent="0.3">
      <c r="A3316" t="s">
        <v>5328</v>
      </c>
      <c r="B3316" t="s">
        <v>650</v>
      </c>
      <c r="C3316" t="s">
        <v>2011</v>
      </c>
      <c r="D3316">
        <v>1</v>
      </c>
      <c r="E3316" s="16">
        <v>40.659999999999997</v>
      </c>
      <c r="F3316" s="1">
        <v>44966</v>
      </c>
      <c r="G3316" t="s">
        <v>2027</v>
      </c>
      <c r="H3316">
        <v>2</v>
      </c>
      <c r="I3316" s="12">
        <f>Table16[[#This Row],[price]]*Table16[[#This Row],[quantity]]</f>
        <v>40.659999999999997</v>
      </c>
    </row>
    <row r="3317" spans="1:9" x14ac:dyDescent="0.3">
      <c r="A3317" t="s">
        <v>5334</v>
      </c>
      <c r="B3317" t="s">
        <v>651</v>
      </c>
      <c r="C3317" t="s">
        <v>2001</v>
      </c>
      <c r="D3317">
        <v>5</v>
      </c>
      <c r="E3317" s="16">
        <v>1500.4</v>
      </c>
      <c r="F3317" s="1">
        <v>44206</v>
      </c>
      <c r="G3317" t="s">
        <v>2012</v>
      </c>
      <c r="H3317">
        <v>3</v>
      </c>
      <c r="I3317" s="12">
        <f>Table16[[#This Row],[price]]*Table16[[#This Row],[quantity]]</f>
        <v>7502</v>
      </c>
    </row>
    <row r="3318" spans="1:9" x14ac:dyDescent="0.3">
      <c r="A3318" t="s">
        <v>5335</v>
      </c>
      <c r="B3318" t="s">
        <v>651</v>
      </c>
      <c r="C3318" t="s">
        <v>2024</v>
      </c>
      <c r="D3318">
        <v>2</v>
      </c>
      <c r="E3318" s="16">
        <v>71.680000000000007</v>
      </c>
      <c r="F3318" s="1">
        <v>44341</v>
      </c>
      <c r="G3318" t="s">
        <v>2018</v>
      </c>
      <c r="H3318">
        <v>4</v>
      </c>
      <c r="I3318" s="12">
        <f>Table16[[#This Row],[price]]*Table16[[#This Row],[quantity]]</f>
        <v>143.36000000000001</v>
      </c>
    </row>
    <row r="3319" spans="1:9" x14ac:dyDescent="0.3">
      <c r="A3319" t="s">
        <v>5337</v>
      </c>
      <c r="B3319" t="s">
        <v>651</v>
      </c>
      <c r="C3319" t="s">
        <v>2001</v>
      </c>
      <c r="D3319">
        <v>1</v>
      </c>
      <c r="E3319" s="16">
        <v>300.08</v>
      </c>
      <c r="F3319" s="1">
        <v>44736</v>
      </c>
      <c r="G3319" t="s">
        <v>2004</v>
      </c>
      <c r="H3319">
        <v>2</v>
      </c>
      <c r="I3319" s="12">
        <f>Table16[[#This Row],[price]]*Table16[[#This Row],[quantity]]</f>
        <v>300.08</v>
      </c>
    </row>
    <row r="3320" spans="1:9" x14ac:dyDescent="0.3">
      <c r="A3320" t="s">
        <v>5336</v>
      </c>
      <c r="B3320" t="s">
        <v>651</v>
      </c>
      <c r="C3320" t="s">
        <v>2011</v>
      </c>
      <c r="D3320">
        <v>1</v>
      </c>
      <c r="E3320" s="16">
        <v>40.659999999999997</v>
      </c>
      <c r="F3320" s="1">
        <v>44849</v>
      </c>
      <c r="G3320" t="s">
        <v>2064</v>
      </c>
      <c r="H3320">
        <v>3</v>
      </c>
      <c r="I3320" s="12">
        <f>Table16[[#This Row],[price]]*Table16[[#This Row],[quantity]]</f>
        <v>40.659999999999997</v>
      </c>
    </row>
    <row r="3321" spans="1:9" x14ac:dyDescent="0.3">
      <c r="A3321" t="s">
        <v>5333</v>
      </c>
      <c r="B3321" t="s">
        <v>651</v>
      </c>
      <c r="C3321" t="s">
        <v>2015</v>
      </c>
      <c r="D3321">
        <v>5</v>
      </c>
      <c r="E3321" s="16">
        <v>3000.85</v>
      </c>
      <c r="F3321" s="1">
        <v>44966</v>
      </c>
      <c r="G3321" t="s">
        <v>2027</v>
      </c>
      <c r="H3321">
        <v>3</v>
      </c>
      <c r="I3321" s="12">
        <f>Table16[[#This Row],[price]]*Table16[[#This Row],[quantity]]</f>
        <v>15004.25</v>
      </c>
    </row>
    <row r="3322" spans="1:9" x14ac:dyDescent="0.3">
      <c r="A3322" t="s">
        <v>5341</v>
      </c>
      <c r="B3322" t="s">
        <v>652</v>
      </c>
      <c r="C3322" t="s">
        <v>2001</v>
      </c>
      <c r="D3322">
        <v>2</v>
      </c>
      <c r="E3322" s="16">
        <v>600.16</v>
      </c>
      <c r="F3322" s="1">
        <v>44209</v>
      </c>
      <c r="G3322" t="s">
        <v>2064</v>
      </c>
      <c r="H3322">
        <v>3</v>
      </c>
      <c r="I3322" s="12">
        <f>Table16[[#This Row],[price]]*Table16[[#This Row],[quantity]]</f>
        <v>1200.32</v>
      </c>
    </row>
    <row r="3323" spans="1:9" x14ac:dyDescent="0.3">
      <c r="A3323" t="s">
        <v>5338</v>
      </c>
      <c r="B3323" t="s">
        <v>652</v>
      </c>
      <c r="C3323" t="s">
        <v>2057</v>
      </c>
      <c r="D3323">
        <v>5</v>
      </c>
      <c r="E3323" s="16">
        <v>58.65</v>
      </c>
      <c r="F3323" s="1">
        <v>44268</v>
      </c>
      <c r="G3323" t="s">
        <v>2002</v>
      </c>
      <c r="H3323">
        <v>3</v>
      </c>
      <c r="I3323" s="12">
        <f>Table16[[#This Row],[price]]*Table16[[#This Row],[quantity]]</f>
        <v>293.25</v>
      </c>
    </row>
    <row r="3324" spans="1:9" x14ac:dyDescent="0.3">
      <c r="A3324" t="s">
        <v>5339</v>
      </c>
      <c r="B3324" t="s">
        <v>652</v>
      </c>
      <c r="C3324" t="s">
        <v>2001</v>
      </c>
      <c r="D3324">
        <v>4</v>
      </c>
      <c r="E3324" s="16">
        <v>1200.32</v>
      </c>
      <c r="F3324" s="1">
        <v>44494</v>
      </c>
      <c r="G3324" t="s">
        <v>2004</v>
      </c>
      <c r="H3324">
        <v>1</v>
      </c>
      <c r="I3324" s="12">
        <f>Table16[[#This Row],[price]]*Table16[[#This Row],[quantity]]</f>
        <v>4801.28</v>
      </c>
    </row>
    <row r="3325" spans="1:9" x14ac:dyDescent="0.3">
      <c r="A3325" t="s">
        <v>5340</v>
      </c>
      <c r="B3325" t="s">
        <v>652</v>
      </c>
      <c r="C3325" t="s">
        <v>2001</v>
      </c>
      <c r="D3325">
        <v>2</v>
      </c>
      <c r="E3325" s="16">
        <v>600.16</v>
      </c>
      <c r="F3325" s="1">
        <v>44889</v>
      </c>
      <c r="G3325" t="s">
        <v>2012</v>
      </c>
      <c r="H3325">
        <v>3</v>
      </c>
      <c r="I3325" s="12">
        <f>Table16[[#This Row],[price]]*Table16[[#This Row],[quantity]]</f>
        <v>1200.32</v>
      </c>
    </row>
    <row r="3326" spans="1:9" x14ac:dyDescent="0.3">
      <c r="A3326" t="s">
        <v>5348</v>
      </c>
      <c r="B3326" t="s">
        <v>653</v>
      </c>
      <c r="C3326" t="s">
        <v>2001</v>
      </c>
      <c r="D3326">
        <v>5</v>
      </c>
      <c r="E3326" s="16">
        <v>1500.4</v>
      </c>
      <c r="F3326" s="1">
        <v>44388</v>
      </c>
      <c r="G3326" t="s">
        <v>2009</v>
      </c>
      <c r="H3326">
        <v>4</v>
      </c>
      <c r="I3326" s="12">
        <f>Table16[[#This Row],[price]]*Table16[[#This Row],[quantity]]</f>
        <v>7502</v>
      </c>
    </row>
    <row r="3327" spans="1:9" x14ac:dyDescent="0.3">
      <c r="A3327" t="s">
        <v>5347</v>
      </c>
      <c r="B3327" t="s">
        <v>653</v>
      </c>
      <c r="C3327" t="s">
        <v>2024</v>
      </c>
      <c r="D3327">
        <v>3</v>
      </c>
      <c r="E3327" s="16">
        <v>107.52</v>
      </c>
      <c r="F3327" s="1">
        <v>44546</v>
      </c>
      <c r="G3327" t="s">
        <v>2012</v>
      </c>
      <c r="H3327">
        <v>2</v>
      </c>
      <c r="I3327" s="12">
        <f>Table16[[#This Row],[price]]*Table16[[#This Row],[quantity]]</f>
        <v>322.56</v>
      </c>
    </row>
    <row r="3328" spans="1:9" x14ac:dyDescent="0.3">
      <c r="A3328" t="s">
        <v>5343</v>
      </c>
      <c r="B3328" t="s">
        <v>653</v>
      </c>
      <c r="C3328" t="s">
        <v>2001</v>
      </c>
      <c r="D3328">
        <v>3</v>
      </c>
      <c r="E3328" s="16">
        <v>900.24</v>
      </c>
      <c r="F3328" s="1">
        <v>44549</v>
      </c>
      <c r="G3328" t="s">
        <v>2064</v>
      </c>
      <c r="H3328">
        <v>5</v>
      </c>
      <c r="I3328" s="12">
        <f>Table16[[#This Row],[price]]*Table16[[#This Row],[quantity]]</f>
        <v>2700.7200000000003</v>
      </c>
    </row>
    <row r="3329" spans="1:9" x14ac:dyDescent="0.3">
      <c r="A3329" t="s">
        <v>5346</v>
      </c>
      <c r="B3329" t="s">
        <v>653</v>
      </c>
      <c r="C3329" t="s">
        <v>2008</v>
      </c>
      <c r="D3329">
        <v>3</v>
      </c>
      <c r="E3329" s="16">
        <v>15.69</v>
      </c>
      <c r="F3329" s="1">
        <v>44685</v>
      </c>
      <c r="G3329" t="s">
        <v>2058</v>
      </c>
      <c r="H3329">
        <v>2</v>
      </c>
      <c r="I3329" s="12">
        <f>Table16[[#This Row],[price]]*Table16[[#This Row],[quantity]]</f>
        <v>47.07</v>
      </c>
    </row>
    <row r="3330" spans="1:9" x14ac:dyDescent="0.3">
      <c r="A3330" t="s">
        <v>5342</v>
      </c>
      <c r="B3330" t="s">
        <v>653</v>
      </c>
      <c r="C3330" t="s">
        <v>2024</v>
      </c>
      <c r="D3330">
        <v>2</v>
      </c>
      <c r="E3330" s="16">
        <v>71.680000000000007</v>
      </c>
      <c r="F3330" s="1">
        <v>44712</v>
      </c>
      <c r="G3330" t="s">
        <v>2004</v>
      </c>
      <c r="H3330">
        <v>1</v>
      </c>
      <c r="I3330" s="12">
        <f>Table16[[#This Row],[price]]*Table16[[#This Row],[quantity]]</f>
        <v>143.36000000000001</v>
      </c>
    </row>
    <row r="3331" spans="1:9" x14ac:dyDescent="0.3">
      <c r="A3331" t="s">
        <v>5345</v>
      </c>
      <c r="B3331" t="s">
        <v>653</v>
      </c>
      <c r="C3331" t="s">
        <v>2001</v>
      </c>
      <c r="D3331">
        <v>3</v>
      </c>
      <c r="E3331" s="16">
        <v>900.24</v>
      </c>
      <c r="F3331" s="1">
        <v>44768</v>
      </c>
      <c r="G3331" t="s">
        <v>2041</v>
      </c>
      <c r="H3331">
        <v>3</v>
      </c>
      <c r="I3331" s="12">
        <f>Table16[[#This Row],[price]]*Table16[[#This Row],[quantity]]</f>
        <v>2700.7200000000003</v>
      </c>
    </row>
    <row r="3332" spans="1:9" x14ac:dyDescent="0.3">
      <c r="A3332" t="s">
        <v>5344</v>
      </c>
      <c r="B3332" t="s">
        <v>653</v>
      </c>
      <c r="C3332" t="s">
        <v>2015</v>
      </c>
      <c r="D3332">
        <v>5</v>
      </c>
      <c r="E3332" s="16">
        <v>3000.85</v>
      </c>
      <c r="F3332" s="1">
        <v>44781</v>
      </c>
      <c r="G3332" t="s">
        <v>2027</v>
      </c>
      <c r="H3332">
        <v>1</v>
      </c>
      <c r="I3332" s="12">
        <f>Table16[[#This Row],[price]]*Table16[[#This Row],[quantity]]</f>
        <v>15004.25</v>
      </c>
    </row>
    <row r="3333" spans="1:9" x14ac:dyDescent="0.3">
      <c r="A3333" t="s">
        <v>5350</v>
      </c>
      <c r="B3333" t="s">
        <v>654</v>
      </c>
      <c r="C3333" t="s">
        <v>2008</v>
      </c>
      <c r="D3333">
        <v>4</v>
      </c>
      <c r="E3333" s="16">
        <v>20.92</v>
      </c>
      <c r="F3333" s="1">
        <v>44382</v>
      </c>
      <c r="G3333" t="s">
        <v>2027</v>
      </c>
      <c r="H3333">
        <v>2</v>
      </c>
      <c r="I3333" s="12">
        <f>Table16[[#This Row],[price]]*Table16[[#This Row],[quantity]]</f>
        <v>83.68</v>
      </c>
    </row>
    <row r="3334" spans="1:9" x14ac:dyDescent="0.3">
      <c r="A3334" t="s">
        <v>5353</v>
      </c>
      <c r="B3334" t="s">
        <v>654</v>
      </c>
      <c r="C3334" t="s">
        <v>2015</v>
      </c>
      <c r="D3334">
        <v>3</v>
      </c>
      <c r="E3334" s="16">
        <v>1800.51</v>
      </c>
      <c r="F3334" s="1">
        <v>44563</v>
      </c>
      <c r="G3334" t="s">
        <v>2018</v>
      </c>
      <c r="H3334">
        <v>3</v>
      </c>
      <c r="I3334" s="12">
        <f>Table16[[#This Row],[price]]*Table16[[#This Row],[quantity]]</f>
        <v>5401.53</v>
      </c>
    </row>
    <row r="3335" spans="1:9" x14ac:dyDescent="0.3">
      <c r="A3335" t="s">
        <v>5351</v>
      </c>
      <c r="B3335" t="s">
        <v>654</v>
      </c>
      <c r="C3335" t="s">
        <v>2008</v>
      </c>
      <c r="D3335">
        <v>5</v>
      </c>
      <c r="E3335" s="16">
        <v>26.15</v>
      </c>
      <c r="F3335" s="1">
        <v>44609</v>
      </c>
      <c r="G3335" t="s">
        <v>2027</v>
      </c>
      <c r="H3335">
        <v>1</v>
      </c>
      <c r="I3335" s="12">
        <f>Table16[[#This Row],[price]]*Table16[[#This Row],[quantity]]</f>
        <v>130.75</v>
      </c>
    </row>
    <row r="3336" spans="1:9" x14ac:dyDescent="0.3">
      <c r="A3336" t="s">
        <v>5349</v>
      </c>
      <c r="B3336" t="s">
        <v>654</v>
      </c>
      <c r="C3336" t="s">
        <v>2001</v>
      </c>
      <c r="D3336">
        <v>4</v>
      </c>
      <c r="E3336" s="16">
        <v>1200.32</v>
      </c>
      <c r="F3336" s="1">
        <v>44761</v>
      </c>
      <c r="G3336" t="s">
        <v>2020</v>
      </c>
      <c r="H3336">
        <v>5</v>
      </c>
      <c r="I3336" s="12">
        <f>Table16[[#This Row],[price]]*Table16[[#This Row],[quantity]]</f>
        <v>4801.28</v>
      </c>
    </row>
    <row r="3337" spans="1:9" x14ac:dyDescent="0.3">
      <c r="A3337" t="s">
        <v>5352</v>
      </c>
      <c r="B3337" t="s">
        <v>654</v>
      </c>
      <c r="C3337" t="s">
        <v>2008</v>
      </c>
      <c r="D3337">
        <v>2</v>
      </c>
      <c r="E3337" s="16">
        <v>10.46</v>
      </c>
      <c r="F3337" s="1">
        <v>44842</v>
      </c>
      <c r="G3337" t="s">
        <v>2009</v>
      </c>
      <c r="H3337">
        <v>2</v>
      </c>
      <c r="I3337" s="12">
        <f>Table16[[#This Row],[price]]*Table16[[#This Row],[quantity]]</f>
        <v>20.92</v>
      </c>
    </row>
    <row r="3338" spans="1:9" x14ac:dyDescent="0.3">
      <c r="A3338" t="s">
        <v>5354</v>
      </c>
      <c r="B3338" t="s">
        <v>654</v>
      </c>
      <c r="C3338" t="s">
        <v>2024</v>
      </c>
      <c r="D3338">
        <v>4</v>
      </c>
      <c r="E3338" s="16">
        <v>143.36000000000001</v>
      </c>
      <c r="F3338" s="1">
        <v>44918</v>
      </c>
      <c r="G3338" t="s">
        <v>2002</v>
      </c>
      <c r="H3338">
        <v>1</v>
      </c>
      <c r="I3338" s="12">
        <f>Table16[[#This Row],[price]]*Table16[[#This Row],[quantity]]</f>
        <v>573.44000000000005</v>
      </c>
    </row>
    <row r="3339" spans="1:9" x14ac:dyDescent="0.3">
      <c r="A3339" t="s">
        <v>5355</v>
      </c>
      <c r="B3339" t="s">
        <v>655</v>
      </c>
      <c r="C3339" t="s">
        <v>2011</v>
      </c>
      <c r="D3339">
        <v>4</v>
      </c>
      <c r="E3339" s="16">
        <v>162.63999999999999</v>
      </c>
      <c r="F3339" s="1">
        <v>44337</v>
      </c>
      <c r="G3339" t="s">
        <v>2058</v>
      </c>
      <c r="H3339">
        <v>2</v>
      </c>
      <c r="I3339" s="12">
        <f>Table16[[#This Row],[price]]*Table16[[#This Row],[quantity]]</f>
        <v>650.55999999999995</v>
      </c>
    </row>
    <row r="3340" spans="1:9" x14ac:dyDescent="0.3">
      <c r="A3340" t="s">
        <v>5357</v>
      </c>
      <c r="B3340" t="s">
        <v>655</v>
      </c>
      <c r="C3340" t="s">
        <v>2008</v>
      </c>
      <c r="D3340">
        <v>2</v>
      </c>
      <c r="E3340" s="16">
        <v>10.46</v>
      </c>
      <c r="F3340" s="1">
        <v>44516</v>
      </c>
      <c r="G3340" t="s">
        <v>2064</v>
      </c>
      <c r="H3340">
        <v>4</v>
      </c>
      <c r="I3340" s="12">
        <f>Table16[[#This Row],[price]]*Table16[[#This Row],[quantity]]</f>
        <v>20.92</v>
      </c>
    </row>
    <row r="3341" spans="1:9" x14ac:dyDescent="0.3">
      <c r="A3341" t="s">
        <v>5356</v>
      </c>
      <c r="B3341" t="s">
        <v>655</v>
      </c>
      <c r="C3341" t="s">
        <v>2008</v>
      </c>
      <c r="D3341">
        <v>2</v>
      </c>
      <c r="E3341" s="16">
        <v>10.46</v>
      </c>
      <c r="F3341" s="1">
        <v>44615</v>
      </c>
      <c r="G3341" t="s">
        <v>2027</v>
      </c>
      <c r="H3341">
        <v>1</v>
      </c>
      <c r="I3341" s="12">
        <f>Table16[[#This Row],[price]]*Table16[[#This Row],[quantity]]</f>
        <v>20.92</v>
      </c>
    </row>
    <row r="3342" spans="1:9" x14ac:dyDescent="0.3">
      <c r="A3342" t="s">
        <v>5358</v>
      </c>
      <c r="B3342" t="s">
        <v>655</v>
      </c>
      <c r="C3342" t="s">
        <v>2008</v>
      </c>
      <c r="D3342">
        <v>5</v>
      </c>
      <c r="E3342" s="16">
        <v>26.15</v>
      </c>
      <c r="F3342" s="1">
        <v>44703</v>
      </c>
      <c r="G3342" t="s">
        <v>2027</v>
      </c>
      <c r="H3342">
        <v>5</v>
      </c>
      <c r="I3342" s="12">
        <f>Table16[[#This Row],[price]]*Table16[[#This Row],[quantity]]</f>
        <v>130.75</v>
      </c>
    </row>
    <row r="3343" spans="1:9" x14ac:dyDescent="0.3">
      <c r="A3343" t="s">
        <v>5360</v>
      </c>
      <c r="B3343" t="s">
        <v>656</v>
      </c>
      <c r="C3343" t="s">
        <v>2011</v>
      </c>
      <c r="D3343">
        <v>5</v>
      </c>
      <c r="E3343" s="16">
        <v>203.3</v>
      </c>
      <c r="F3343" s="1">
        <v>44223</v>
      </c>
      <c r="G3343" t="s">
        <v>2027</v>
      </c>
      <c r="H3343">
        <v>2</v>
      </c>
      <c r="I3343" s="12">
        <f>Table16[[#This Row],[price]]*Table16[[#This Row],[quantity]]</f>
        <v>1016.5</v>
      </c>
    </row>
    <row r="3344" spans="1:9" x14ac:dyDescent="0.3">
      <c r="A3344" t="s">
        <v>5359</v>
      </c>
      <c r="B3344" t="s">
        <v>656</v>
      </c>
      <c r="C3344" t="s">
        <v>2011</v>
      </c>
      <c r="D3344">
        <v>2</v>
      </c>
      <c r="E3344" s="16">
        <v>81.319999999999993</v>
      </c>
      <c r="F3344" s="1">
        <v>44395</v>
      </c>
      <c r="G3344" t="s">
        <v>2018</v>
      </c>
      <c r="H3344">
        <v>5</v>
      </c>
      <c r="I3344" s="12">
        <f>Table16[[#This Row],[price]]*Table16[[#This Row],[quantity]]</f>
        <v>162.63999999999999</v>
      </c>
    </row>
    <row r="3345" spans="1:9" x14ac:dyDescent="0.3">
      <c r="A3345" t="s">
        <v>5361</v>
      </c>
      <c r="B3345" t="s">
        <v>656</v>
      </c>
      <c r="C3345" t="s">
        <v>2015</v>
      </c>
      <c r="D3345">
        <v>4</v>
      </c>
      <c r="E3345" s="16">
        <v>2400.6799999999998</v>
      </c>
      <c r="F3345" s="1">
        <v>44417</v>
      </c>
      <c r="G3345" t="s">
        <v>2012</v>
      </c>
      <c r="H3345">
        <v>1</v>
      </c>
      <c r="I3345" s="12">
        <f>Table16[[#This Row],[price]]*Table16[[#This Row],[quantity]]</f>
        <v>9602.7199999999993</v>
      </c>
    </row>
    <row r="3346" spans="1:9" x14ac:dyDescent="0.3">
      <c r="A3346" t="s">
        <v>5362</v>
      </c>
      <c r="B3346" t="s">
        <v>656</v>
      </c>
      <c r="C3346" t="s">
        <v>2015</v>
      </c>
      <c r="D3346">
        <v>3</v>
      </c>
      <c r="E3346" s="16">
        <v>1800.51</v>
      </c>
      <c r="F3346" s="1">
        <v>44956</v>
      </c>
      <c r="G3346" t="s">
        <v>2020</v>
      </c>
      <c r="H3346">
        <v>3</v>
      </c>
      <c r="I3346" s="12">
        <f>Table16[[#This Row],[price]]*Table16[[#This Row],[quantity]]</f>
        <v>5401.53</v>
      </c>
    </row>
    <row r="3347" spans="1:9" x14ac:dyDescent="0.3">
      <c r="A3347" t="s">
        <v>5364</v>
      </c>
      <c r="B3347" t="s">
        <v>657</v>
      </c>
      <c r="C3347" t="s">
        <v>2057</v>
      </c>
      <c r="D3347">
        <v>3</v>
      </c>
      <c r="E3347" s="16">
        <v>35.19</v>
      </c>
      <c r="F3347" s="1">
        <v>44524</v>
      </c>
      <c r="G3347" t="s">
        <v>2027</v>
      </c>
      <c r="H3347">
        <v>2</v>
      </c>
      <c r="I3347" s="12">
        <f>Table16[[#This Row],[price]]*Table16[[#This Row],[quantity]]</f>
        <v>105.57</v>
      </c>
    </row>
    <row r="3348" spans="1:9" x14ac:dyDescent="0.3">
      <c r="A3348" t="s">
        <v>5365</v>
      </c>
      <c r="B3348" t="s">
        <v>657</v>
      </c>
      <c r="C3348" t="s">
        <v>2001</v>
      </c>
      <c r="D3348">
        <v>2</v>
      </c>
      <c r="E3348" s="16">
        <v>600.16</v>
      </c>
      <c r="F3348" s="1">
        <v>44530</v>
      </c>
      <c r="G3348" t="s">
        <v>2009</v>
      </c>
      <c r="H3348">
        <v>4</v>
      </c>
      <c r="I3348" s="12">
        <f>Table16[[#This Row],[price]]*Table16[[#This Row],[quantity]]</f>
        <v>1200.32</v>
      </c>
    </row>
    <row r="3349" spans="1:9" x14ac:dyDescent="0.3">
      <c r="A3349" t="s">
        <v>5363</v>
      </c>
      <c r="B3349" t="s">
        <v>657</v>
      </c>
      <c r="C3349" t="s">
        <v>2008</v>
      </c>
      <c r="D3349">
        <v>1</v>
      </c>
      <c r="E3349" s="16">
        <v>5.23</v>
      </c>
      <c r="F3349" s="1">
        <v>44543</v>
      </c>
      <c r="G3349" t="s">
        <v>2020</v>
      </c>
      <c r="H3349">
        <v>4</v>
      </c>
      <c r="I3349" s="12">
        <f>Table16[[#This Row],[price]]*Table16[[#This Row],[quantity]]</f>
        <v>5.23</v>
      </c>
    </row>
    <row r="3350" spans="1:9" x14ac:dyDescent="0.3">
      <c r="A3350" t="s">
        <v>5366</v>
      </c>
      <c r="B3350" t="s">
        <v>658</v>
      </c>
      <c r="C3350" t="s">
        <v>2024</v>
      </c>
      <c r="D3350">
        <v>2</v>
      </c>
      <c r="E3350" s="16">
        <v>71.680000000000007</v>
      </c>
      <c r="F3350" s="1">
        <v>44346</v>
      </c>
      <c r="G3350" t="s">
        <v>2004</v>
      </c>
      <c r="H3350">
        <v>2</v>
      </c>
      <c r="I3350" s="12">
        <f>Table16[[#This Row],[price]]*Table16[[#This Row],[quantity]]</f>
        <v>143.36000000000001</v>
      </c>
    </row>
    <row r="3351" spans="1:9" x14ac:dyDescent="0.3">
      <c r="A3351" t="s">
        <v>5367</v>
      </c>
      <c r="B3351" t="s">
        <v>658</v>
      </c>
      <c r="C3351" t="s">
        <v>2015</v>
      </c>
      <c r="D3351">
        <v>2</v>
      </c>
      <c r="E3351" s="16">
        <v>1200.3399999999999</v>
      </c>
      <c r="F3351" s="1">
        <v>44499</v>
      </c>
      <c r="G3351" t="s">
        <v>2004</v>
      </c>
      <c r="H3351">
        <v>2</v>
      </c>
      <c r="I3351" s="12">
        <f>Table16[[#This Row],[price]]*Table16[[#This Row],[quantity]]</f>
        <v>2400.6799999999998</v>
      </c>
    </row>
    <row r="3352" spans="1:9" x14ac:dyDescent="0.3">
      <c r="A3352" t="s">
        <v>5370</v>
      </c>
      <c r="B3352" t="s">
        <v>659</v>
      </c>
      <c r="C3352" t="s">
        <v>2006</v>
      </c>
      <c r="D3352">
        <v>1</v>
      </c>
      <c r="E3352" s="16">
        <v>15.15</v>
      </c>
      <c r="F3352" s="1">
        <v>44220</v>
      </c>
      <c r="G3352" t="s">
        <v>2064</v>
      </c>
      <c r="H3352">
        <v>5</v>
      </c>
      <c r="I3352" s="12">
        <f>Table16[[#This Row],[price]]*Table16[[#This Row],[quantity]]</f>
        <v>15.15</v>
      </c>
    </row>
    <row r="3353" spans="1:9" x14ac:dyDescent="0.3">
      <c r="A3353" t="s">
        <v>5371</v>
      </c>
      <c r="B3353" t="s">
        <v>659</v>
      </c>
      <c r="C3353" t="s">
        <v>2001</v>
      </c>
      <c r="D3353">
        <v>4</v>
      </c>
      <c r="E3353" s="16">
        <v>1200.32</v>
      </c>
      <c r="F3353" s="1">
        <v>44224</v>
      </c>
      <c r="G3353" t="s">
        <v>2027</v>
      </c>
      <c r="H3353">
        <v>4</v>
      </c>
      <c r="I3353" s="12">
        <f>Table16[[#This Row],[price]]*Table16[[#This Row],[quantity]]</f>
        <v>4801.28</v>
      </c>
    </row>
    <row r="3354" spans="1:9" x14ac:dyDescent="0.3">
      <c r="A3354" t="s">
        <v>5369</v>
      </c>
      <c r="B3354" t="s">
        <v>659</v>
      </c>
      <c r="C3354" t="s">
        <v>2015</v>
      </c>
      <c r="D3354">
        <v>4</v>
      </c>
      <c r="E3354" s="16">
        <v>2400.6799999999998</v>
      </c>
      <c r="F3354" s="1">
        <v>44319</v>
      </c>
      <c r="G3354" t="s">
        <v>2064</v>
      </c>
      <c r="H3354">
        <v>1</v>
      </c>
      <c r="I3354" s="12">
        <f>Table16[[#This Row],[price]]*Table16[[#This Row],[quantity]]</f>
        <v>9602.7199999999993</v>
      </c>
    </row>
    <row r="3355" spans="1:9" x14ac:dyDescent="0.3">
      <c r="A3355" t="s">
        <v>5372</v>
      </c>
      <c r="B3355" t="s">
        <v>659</v>
      </c>
      <c r="C3355" t="s">
        <v>2008</v>
      </c>
      <c r="D3355">
        <v>4</v>
      </c>
      <c r="E3355" s="16">
        <v>20.92</v>
      </c>
      <c r="F3355" s="1">
        <v>44647</v>
      </c>
      <c r="G3355" t="s">
        <v>2012</v>
      </c>
      <c r="H3355">
        <v>5</v>
      </c>
      <c r="I3355" s="12">
        <f>Table16[[#This Row],[price]]*Table16[[#This Row],[quantity]]</f>
        <v>83.68</v>
      </c>
    </row>
    <row r="3356" spans="1:9" x14ac:dyDescent="0.3">
      <c r="A3356" t="s">
        <v>5373</v>
      </c>
      <c r="B3356" t="s">
        <v>659</v>
      </c>
      <c r="C3356" t="s">
        <v>2001</v>
      </c>
      <c r="D3356">
        <v>1</v>
      </c>
      <c r="E3356" s="16">
        <v>300.08</v>
      </c>
      <c r="F3356" s="1">
        <v>44805</v>
      </c>
      <c r="G3356" t="s">
        <v>2064</v>
      </c>
      <c r="H3356">
        <v>2</v>
      </c>
      <c r="I3356" s="12">
        <f>Table16[[#This Row],[price]]*Table16[[#This Row],[quantity]]</f>
        <v>300.08</v>
      </c>
    </row>
    <row r="3357" spans="1:9" x14ac:dyDescent="0.3">
      <c r="A3357" t="s">
        <v>5368</v>
      </c>
      <c r="B3357" t="s">
        <v>659</v>
      </c>
      <c r="C3357" t="s">
        <v>2011</v>
      </c>
      <c r="D3357">
        <v>2</v>
      </c>
      <c r="E3357" s="16">
        <v>81.319999999999993</v>
      </c>
      <c r="F3357" s="1">
        <v>44866</v>
      </c>
      <c r="G3357" t="s">
        <v>2027</v>
      </c>
      <c r="H3357">
        <v>1</v>
      </c>
      <c r="I3357" s="12">
        <f>Table16[[#This Row],[price]]*Table16[[#This Row],[quantity]]</f>
        <v>162.63999999999999</v>
      </c>
    </row>
    <row r="3358" spans="1:9" x14ac:dyDescent="0.3">
      <c r="A3358" t="s">
        <v>5378</v>
      </c>
      <c r="B3358" t="s">
        <v>660</v>
      </c>
      <c r="C3358" t="s">
        <v>2011</v>
      </c>
      <c r="D3358">
        <v>2</v>
      </c>
      <c r="E3358" s="16">
        <v>81.319999999999993</v>
      </c>
      <c r="F3358" s="1">
        <v>44243</v>
      </c>
      <c r="G3358" t="s">
        <v>2004</v>
      </c>
      <c r="H3358">
        <v>5</v>
      </c>
      <c r="I3358" s="12">
        <f>Table16[[#This Row],[price]]*Table16[[#This Row],[quantity]]</f>
        <v>162.63999999999999</v>
      </c>
    </row>
    <row r="3359" spans="1:9" x14ac:dyDescent="0.3">
      <c r="A3359" t="s">
        <v>5374</v>
      </c>
      <c r="B3359" t="s">
        <v>660</v>
      </c>
      <c r="C3359" t="s">
        <v>2001</v>
      </c>
      <c r="D3359">
        <v>4</v>
      </c>
      <c r="E3359" s="16">
        <v>1200.32</v>
      </c>
      <c r="F3359" s="1">
        <v>44506</v>
      </c>
      <c r="G3359" t="s">
        <v>2002</v>
      </c>
      <c r="H3359">
        <v>2</v>
      </c>
      <c r="I3359" s="12">
        <f>Table16[[#This Row],[price]]*Table16[[#This Row],[quantity]]</f>
        <v>4801.28</v>
      </c>
    </row>
    <row r="3360" spans="1:9" x14ac:dyDescent="0.3">
      <c r="A3360" t="s">
        <v>5377</v>
      </c>
      <c r="B3360" t="s">
        <v>660</v>
      </c>
      <c r="C3360" t="s">
        <v>2008</v>
      </c>
      <c r="D3360">
        <v>1</v>
      </c>
      <c r="E3360" s="16">
        <v>5.23</v>
      </c>
      <c r="F3360" s="1">
        <v>44589</v>
      </c>
      <c r="G3360" t="s">
        <v>2018</v>
      </c>
      <c r="H3360">
        <v>1</v>
      </c>
      <c r="I3360" s="12">
        <f>Table16[[#This Row],[price]]*Table16[[#This Row],[quantity]]</f>
        <v>5.23</v>
      </c>
    </row>
    <row r="3361" spans="1:9" x14ac:dyDescent="0.3">
      <c r="A3361" t="s">
        <v>5375</v>
      </c>
      <c r="B3361" t="s">
        <v>660</v>
      </c>
      <c r="C3361" t="s">
        <v>2001</v>
      </c>
      <c r="D3361">
        <v>3</v>
      </c>
      <c r="E3361" s="16">
        <v>900.24</v>
      </c>
      <c r="F3361" s="1">
        <v>44729</v>
      </c>
      <c r="G3361" t="s">
        <v>2058</v>
      </c>
      <c r="H3361">
        <v>5</v>
      </c>
      <c r="I3361" s="12">
        <f>Table16[[#This Row],[price]]*Table16[[#This Row],[quantity]]</f>
        <v>2700.7200000000003</v>
      </c>
    </row>
    <row r="3362" spans="1:9" x14ac:dyDescent="0.3">
      <c r="A3362" t="s">
        <v>5379</v>
      </c>
      <c r="B3362" t="s">
        <v>660</v>
      </c>
      <c r="C3362" t="s">
        <v>2006</v>
      </c>
      <c r="D3362">
        <v>5</v>
      </c>
      <c r="E3362" s="16">
        <v>75.75</v>
      </c>
      <c r="F3362" s="1">
        <v>44808</v>
      </c>
      <c r="G3362" t="s">
        <v>2027</v>
      </c>
      <c r="H3362">
        <v>5</v>
      </c>
      <c r="I3362" s="12">
        <f>Table16[[#This Row],[price]]*Table16[[#This Row],[quantity]]</f>
        <v>378.75</v>
      </c>
    </row>
    <row r="3363" spans="1:9" x14ac:dyDescent="0.3">
      <c r="A3363" t="s">
        <v>5376</v>
      </c>
      <c r="B3363" t="s">
        <v>660</v>
      </c>
      <c r="C3363" t="s">
        <v>2024</v>
      </c>
      <c r="D3363">
        <v>1</v>
      </c>
      <c r="E3363" s="16">
        <v>35.840000000000003</v>
      </c>
      <c r="F3363" s="1">
        <v>44926</v>
      </c>
      <c r="G3363" t="s">
        <v>2027</v>
      </c>
      <c r="H3363">
        <v>1</v>
      </c>
      <c r="I3363" s="12">
        <f>Table16[[#This Row],[price]]*Table16[[#This Row],[quantity]]</f>
        <v>35.840000000000003</v>
      </c>
    </row>
    <row r="3364" spans="1:9" x14ac:dyDescent="0.3">
      <c r="A3364" t="s">
        <v>5383</v>
      </c>
      <c r="B3364" t="s">
        <v>661</v>
      </c>
      <c r="C3364" t="s">
        <v>2015</v>
      </c>
      <c r="D3364">
        <v>1</v>
      </c>
      <c r="E3364" s="16">
        <v>600.16999999999996</v>
      </c>
      <c r="F3364" s="1">
        <v>44341</v>
      </c>
      <c r="G3364" t="s">
        <v>2020</v>
      </c>
      <c r="H3364">
        <v>5</v>
      </c>
      <c r="I3364" s="12">
        <f>Table16[[#This Row],[price]]*Table16[[#This Row],[quantity]]</f>
        <v>600.16999999999996</v>
      </c>
    </row>
    <row r="3365" spans="1:9" x14ac:dyDescent="0.3">
      <c r="A3365" t="s">
        <v>5384</v>
      </c>
      <c r="B3365" t="s">
        <v>661</v>
      </c>
      <c r="C3365" t="s">
        <v>2011</v>
      </c>
      <c r="D3365">
        <v>2</v>
      </c>
      <c r="E3365" s="16">
        <v>81.319999999999993</v>
      </c>
      <c r="F3365" s="1">
        <v>44466</v>
      </c>
      <c r="G3365" t="s">
        <v>2027</v>
      </c>
      <c r="H3365">
        <v>3</v>
      </c>
      <c r="I3365" s="12">
        <f>Table16[[#This Row],[price]]*Table16[[#This Row],[quantity]]</f>
        <v>162.63999999999999</v>
      </c>
    </row>
    <row r="3366" spans="1:9" x14ac:dyDescent="0.3">
      <c r="A3366" t="s">
        <v>5382</v>
      </c>
      <c r="B3366" t="s">
        <v>661</v>
      </c>
      <c r="C3366" t="s">
        <v>2001</v>
      </c>
      <c r="D3366">
        <v>1</v>
      </c>
      <c r="E3366" s="16">
        <v>300.08</v>
      </c>
      <c r="F3366" s="1">
        <v>44524</v>
      </c>
      <c r="G3366" t="s">
        <v>2020</v>
      </c>
      <c r="H3366">
        <v>2</v>
      </c>
      <c r="I3366" s="12">
        <f>Table16[[#This Row],[price]]*Table16[[#This Row],[quantity]]</f>
        <v>300.08</v>
      </c>
    </row>
    <row r="3367" spans="1:9" x14ac:dyDescent="0.3">
      <c r="A3367" t="s">
        <v>5380</v>
      </c>
      <c r="B3367" t="s">
        <v>661</v>
      </c>
      <c r="C3367" t="s">
        <v>2008</v>
      </c>
      <c r="D3367">
        <v>3</v>
      </c>
      <c r="E3367" s="16">
        <v>15.69</v>
      </c>
      <c r="F3367" s="1">
        <v>44832</v>
      </c>
      <c r="G3367" t="s">
        <v>2020</v>
      </c>
      <c r="H3367">
        <v>4</v>
      </c>
      <c r="I3367" s="12">
        <f>Table16[[#This Row],[price]]*Table16[[#This Row],[quantity]]</f>
        <v>47.07</v>
      </c>
    </row>
    <row r="3368" spans="1:9" x14ac:dyDescent="0.3">
      <c r="A3368" t="s">
        <v>5381</v>
      </c>
      <c r="B3368" t="s">
        <v>661</v>
      </c>
      <c r="C3368" t="s">
        <v>2057</v>
      </c>
      <c r="D3368">
        <v>4</v>
      </c>
      <c r="E3368" s="16">
        <v>46.92</v>
      </c>
      <c r="F3368" s="1">
        <v>44890</v>
      </c>
      <c r="G3368" t="s">
        <v>2009</v>
      </c>
      <c r="H3368">
        <v>5</v>
      </c>
      <c r="I3368" s="12">
        <f>Table16[[#This Row],[price]]*Table16[[#This Row],[quantity]]</f>
        <v>187.68</v>
      </c>
    </row>
    <row r="3369" spans="1:9" x14ac:dyDescent="0.3">
      <c r="A3369" t="s">
        <v>5392</v>
      </c>
      <c r="B3369" t="s">
        <v>662</v>
      </c>
      <c r="C3369" t="s">
        <v>2015</v>
      </c>
      <c r="D3369">
        <v>5</v>
      </c>
      <c r="E3369" s="16">
        <v>3000.85</v>
      </c>
      <c r="F3369" s="1">
        <v>44241</v>
      </c>
      <c r="G3369" t="s">
        <v>2002</v>
      </c>
      <c r="H3369">
        <v>4</v>
      </c>
      <c r="I3369" s="12">
        <f>Table16[[#This Row],[price]]*Table16[[#This Row],[quantity]]</f>
        <v>15004.25</v>
      </c>
    </row>
    <row r="3370" spans="1:9" x14ac:dyDescent="0.3">
      <c r="A3370" t="s">
        <v>5386</v>
      </c>
      <c r="B3370" t="s">
        <v>662</v>
      </c>
      <c r="C3370" t="s">
        <v>2001</v>
      </c>
      <c r="D3370">
        <v>3</v>
      </c>
      <c r="E3370" s="16">
        <v>900.24</v>
      </c>
      <c r="F3370" s="1">
        <v>44245</v>
      </c>
      <c r="G3370" t="s">
        <v>2004</v>
      </c>
      <c r="H3370">
        <v>2</v>
      </c>
      <c r="I3370" s="12">
        <f>Table16[[#This Row],[price]]*Table16[[#This Row],[quantity]]</f>
        <v>2700.7200000000003</v>
      </c>
    </row>
    <row r="3371" spans="1:9" x14ac:dyDescent="0.3">
      <c r="A3371" t="s">
        <v>5388</v>
      </c>
      <c r="B3371" t="s">
        <v>662</v>
      </c>
      <c r="C3371" t="s">
        <v>2001</v>
      </c>
      <c r="D3371">
        <v>4</v>
      </c>
      <c r="E3371" s="16">
        <v>1200.32</v>
      </c>
      <c r="F3371" s="1">
        <v>44524</v>
      </c>
      <c r="G3371" t="s">
        <v>2027</v>
      </c>
      <c r="H3371">
        <v>3</v>
      </c>
      <c r="I3371" s="12">
        <f>Table16[[#This Row],[price]]*Table16[[#This Row],[quantity]]</f>
        <v>4801.28</v>
      </c>
    </row>
    <row r="3372" spans="1:9" x14ac:dyDescent="0.3">
      <c r="A3372" t="s">
        <v>5391</v>
      </c>
      <c r="B3372" t="s">
        <v>662</v>
      </c>
      <c r="C3372" t="s">
        <v>2001</v>
      </c>
      <c r="D3372">
        <v>1</v>
      </c>
      <c r="E3372" s="16">
        <v>300.08</v>
      </c>
      <c r="F3372" s="1">
        <v>44553</v>
      </c>
      <c r="G3372" t="s">
        <v>2027</v>
      </c>
      <c r="H3372">
        <v>2</v>
      </c>
      <c r="I3372" s="12">
        <f>Table16[[#This Row],[price]]*Table16[[#This Row],[quantity]]</f>
        <v>300.08</v>
      </c>
    </row>
    <row r="3373" spans="1:9" x14ac:dyDescent="0.3">
      <c r="A3373" t="s">
        <v>5390</v>
      </c>
      <c r="B3373" t="s">
        <v>662</v>
      </c>
      <c r="C3373" t="s">
        <v>2011</v>
      </c>
      <c r="D3373">
        <v>5</v>
      </c>
      <c r="E3373" s="16">
        <v>203.3</v>
      </c>
      <c r="F3373" s="1">
        <v>44699</v>
      </c>
      <c r="G3373" t="s">
        <v>2018</v>
      </c>
      <c r="H3373">
        <v>4</v>
      </c>
      <c r="I3373" s="12">
        <f>Table16[[#This Row],[price]]*Table16[[#This Row],[quantity]]</f>
        <v>1016.5</v>
      </c>
    </row>
    <row r="3374" spans="1:9" x14ac:dyDescent="0.3">
      <c r="A3374" t="s">
        <v>5393</v>
      </c>
      <c r="B3374" t="s">
        <v>662</v>
      </c>
      <c r="C3374" t="s">
        <v>2011</v>
      </c>
      <c r="D3374">
        <v>2</v>
      </c>
      <c r="E3374" s="16">
        <v>81.319999999999993</v>
      </c>
      <c r="F3374" s="1">
        <v>44717</v>
      </c>
      <c r="G3374" t="s">
        <v>2004</v>
      </c>
      <c r="H3374">
        <v>5</v>
      </c>
      <c r="I3374" s="12">
        <f>Table16[[#This Row],[price]]*Table16[[#This Row],[quantity]]</f>
        <v>162.63999999999999</v>
      </c>
    </row>
    <row r="3375" spans="1:9" x14ac:dyDescent="0.3">
      <c r="A3375" t="s">
        <v>5385</v>
      </c>
      <c r="B3375" t="s">
        <v>662</v>
      </c>
      <c r="C3375" t="s">
        <v>2001</v>
      </c>
      <c r="D3375">
        <v>2</v>
      </c>
      <c r="E3375" s="16">
        <v>600.16</v>
      </c>
      <c r="F3375" s="1">
        <v>44798</v>
      </c>
      <c r="G3375" t="s">
        <v>2002</v>
      </c>
      <c r="H3375">
        <v>1</v>
      </c>
      <c r="I3375" s="12">
        <f>Table16[[#This Row],[price]]*Table16[[#This Row],[quantity]]</f>
        <v>1200.32</v>
      </c>
    </row>
    <row r="3376" spans="1:9" x14ac:dyDescent="0.3">
      <c r="A3376" t="s">
        <v>5389</v>
      </c>
      <c r="B3376" t="s">
        <v>662</v>
      </c>
      <c r="C3376" t="s">
        <v>2001</v>
      </c>
      <c r="D3376">
        <v>2</v>
      </c>
      <c r="E3376" s="16">
        <v>600.16</v>
      </c>
      <c r="F3376" s="1">
        <v>44961</v>
      </c>
      <c r="G3376" t="s">
        <v>2012</v>
      </c>
      <c r="H3376">
        <v>1</v>
      </c>
      <c r="I3376" s="12">
        <f>Table16[[#This Row],[price]]*Table16[[#This Row],[quantity]]</f>
        <v>1200.32</v>
      </c>
    </row>
    <row r="3377" spans="1:9" x14ac:dyDescent="0.3">
      <c r="A3377" t="s">
        <v>5387</v>
      </c>
      <c r="B3377" t="s">
        <v>662</v>
      </c>
      <c r="C3377" t="s">
        <v>2011</v>
      </c>
      <c r="D3377">
        <v>5</v>
      </c>
      <c r="E3377" s="16">
        <v>203.3</v>
      </c>
      <c r="F3377" s="1">
        <v>44985</v>
      </c>
      <c r="G3377" t="s">
        <v>2004</v>
      </c>
      <c r="H3377">
        <v>4</v>
      </c>
      <c r="I3377" s="12">
        <f>Table16[[#This Row],[price]]*Table16[[#This Row],[quantity]]</f>
        <v>1016.5</v>
      </c>
    </row>
    <row r="3378" spans="1:9" x14ac:dyDescent="0.3">
      <c r="A3378" t="s">
        <v>5395</v>
      </c>
      <c r="B3378" t="s">
        <v>663</v>
      </c>
      <c r="C3378" t="s">
        <v>2001</v>
      </c>
      <c r="D3378">
        <v>3</v>
      </c>
      <c r="E3378" s="16">
        <v>900.24</v>
      </c>
      <c r="F3378" s="1">
        <v>44606</v>
      </c>
      <c r="G3378" t="s">
        <v>2002</v>
      </c>
      <c r="H3378">
        <v>1</v>
      </c>
      <c r="I3378" s="12">
        <f>Table16[[#This Row],[price]]*Table16[[#This Row],[quantity]]</f>
        <v>2700.7200000000003</v>
      </c>
    </row>
    <row r="3379" spans="1:9" x14ac:dyDescent="0.3">
      <c r="A3379" t="s">
        <v>5394</v>
      </c>
      <c r="B3379" t="s">
        <v>663</v>
      </c>
      <c r="C3379" t="s">
        <v>2001</v>
      </c>
      <c r="D3379">
        <v>5</v>
      </c>
      <c r="E3379" s="16">
        <v>1500.4</v>
      </c>
      <c r="F3379" s="1">
        <v>44617</v>
      </c>
      <c r="G3379" t="s">
        <v>2041</v>
      </c>
      <c r="H3379">
        <v>3</v>
      </c>
      <c r="I3379" s="12">
        <f>Table16[[#This Row],[price]]*Table16[[#This Row],[quantity]]</f>
        <v>7502</v>
      </c>
    </row>
    <row r="3380" spans="1:9" x14ac:dyDescent="0.3">
      <c r="A3380" t="s">
        <v>5398</v>
      </c>
      <c r="B3380" t="s">
        <v>663</v>
      </c>
      <c r="C3380" t="s">
        <v>2011</v>
      </c>
      <c r="D3380">
        <v>5</v>
      </c>
      <c r="E3380" s="16">
        <v>203.3</v>
      </c>
      <c r="F3380" s="1">
        <v>44726</v>
      </c>
      <c r="G3380" t="s">
        <v>2004</v>
      </c>
      <c r="H3380">
        <v>3</v>
      </c>
      <c r="I3380" s="12">
        <f>Table16[[#This Row],[price]]*Table16[[#This Row],[quantity]]</f>
        <v>1016.5</v>
      </c>
    </row>
    <row r="3381" spans="1:9" x14ac:dyDescent="0.3">
      <c r="A3381" t="s">
        <v>5397</v>
      </c>
      <c r="B3381" t="s">
        <v>663</v>
      </c>
      <c r="C3381" t="s">
        <v>2015</v>
      </c>
      <c r="D3381">
        <v>5</v>
      </c>
      <c r="E3381" s="16">
        <v>3000.85</v>
      </c>
      <c r="F3381" s="1">
        <v>44810</v>
      </c>
      <c r="G3381" t="s">
        <v>2002</v>
      </c>
      <c r="H3381">
        <v>4</v>
      </c>
      <c r="I3381" s="12">
        <f>Table16[[#This Row],[price]]*Table16[[#This Row],[quantity]]</f>
        <v>15004.25</v>
      </c>
    </row>
    <row r="3382" spans="1:9" x14ac:dyDescent="0.3">
      <c r="A3382" t="s">
        <v>5396</v>
      </c>
      <c r="B3382" t="s">
        <v>663</v>
      </c>
      <c r="C3382" t="s">
        <v>2011</v>
      </c>
      <c r="D3382">
        <v>2</v>
      </c>
      <c r="E3382" s="16">
        <v>81.319999999999993</v>
      </c>
      <c r="F3382" s="1">
        <v>44918</v>
      </c>
      <c r="G3382" t="s">
        <v>2004</v>
      </c>
      <c r="H3382">
        <v>4</v>
      </c>
      <c r="I3382" s="12">
        <f>Table16[[#This Row],[price]]*Table16[[#This Row],[quantity]]</f>
        <v>162.63999999999999</v>
      </c>
    </row>
    <row r="3383" spans="1:9" x14ac:dyDescent="0.3">
      <c r="A3383" t="s">
        <v>5405</v>
      </c>
      <c r="B3383" t="s">
        <v>664</v>
      </c>
      <c r="C3383" t="s">
        <v>2057</v>
      </c>
      <c r="D3383">
        <v>1</v>
      </c>
      <c r="E3383" s="16">
        <v>11.73</v>
      </c>
      <c r="F3383" s="1">
        <v>44234</v>
      </c>
      <c r="G3383" t="s">
        <v>2020</v>
      </c>
      <c r="H3383">
        <v>4</v>
      </c>
      <c r="I3383" s="12">
        <f>Table16[[#This Row],[price]]*Table16[[#This Row],[quantity]]</f>
        <v>11.73</v>
      </c>
    </row>
    <row r="3384" spans="1:9" x14ac:dyDescent="0.3">
      <c r="A3384" t="s">
        <v>5404</v>
      </c>
      <c r="B3384" t="s">
        <v>664</v>
      </c>
      <c r="C3384" t="s">
        <v>2008</v>
      </c>
      <c r="D3384">
        <v>4</v>
      </c>
      <c r="E3384" s="16">
        <v>20.92</v>
      </c>
      <c r="F3384" s="1">
        <v>44717</v>
      </c>
      <c r="G3384" t="s">
        <v>2064</v>
      </c>
      <c r="H3384">
        <v>5</v>
      </c>
      <c r="I3384" s="12">
        <f>Table16[[#This Row],[price]]*Table16[[#This Row],[quantity]]</f>
        <v>83.68</v>
      </c>
    </row>
    <row r="3385" spans="1:9" x14ac:dyDescent="0.3">
      <c r="A3385" t="s">
        <v>5399</v>
      </c>
      <c r="B3385" t="s">
        <v>664</v>
      </c>
      <c r="C3385" t="s">
        <v>2024</v>
      </c>
      <c r="D3385">
        <v>2</v>
      </c>
      <c r="E3385" s="16">
        <v>71.680000000000007</v>
      </c>
      <c r="F3385" s="1">
        <v>44847</v>
      </c>
      <c r="G3385" t="s">
        <v>2064</v>
      </c>
      <c r="H3385">
        <v>5</v>
      </c>
      <c r="I3385" s="12">
        <f>Table16[[#This Row],[price]]*Table16[[#This Row],[quantity]]</f>
        <v>143.36000000000001</v>
      </c>
    </row>
    <row r="3386" spans="1:9" x14ac:dyDescent="0.3">
      <c r="A3386" t="s">
        <v>5403</v>
      </c>
      <c r="B3386" t="s">
        <v>664</v>
      </c>
      <c r="C3386" t="s">
        <v>2008</v>
      </c>
      <c r="D3386">
        <v>4</v>
      </c>
      <c r="E3386" s="16">
        <v>20.92</v>
      </c>
      <c r="F3386" s="1">
        <v>44891</v>
      </c>
      <c r="G3386" t="s">
        <v>2020</v>
      </c>
      <c r="H3386">
        <v>1</v>
      </c>
      <c r="I3386" s="12">
        <f>Table16[[#This Row],[price]]*Table16[[#This Row],[quantity]]</f>
        <v>83.68</v>
      </c>
    </row>
    <row r="3387" spans="1:9" x14ac:dyDescent="0.3">
      <c r="A3387" t="s">
        <v>5400</v>
      </c>
      <c r="B3387" t="s">
        <v>664</v>
      </c>
      <c r="C3387" t="s">
        <v>2001</v>
      </c>
      <c r="D3387">
        <v>3</v>
      </c>
      <c r="E3387" s="16">
        <v>900.24</v>
      </c>
      <c r="F3387" s="1">
        <v>44903</v>
      </c>
      <c r="G3387" t="s">
        <v>2020</v>
      </c>
      <c r="H3387">
        <v>2</v>
      </c>
      <c r="I3387" s="12">
        <f>Table16[[#This Row],[price]]*Table16[[#This Row],[quantity]]</f>
        <v>2700.7200000000003</v>
      </c>
    </row>
    <row r="3388" spans="1:9" x14ac:dyDescent="0.3">
      <c r="A3388" t="s">
        <v>5402</v>
      </c>
      <c r="B3388" t="s">
        <v>664</v>
      </c>
      <c r="C3388" t="s">
        <v>2011</v>
      </c>
      <c r="D3388">
        <v>2</v>
      </c>
      <c r="E3388" s="16">
        <v>81.319999999999993</v>
      </c>
      <c r="F3388" s="1">
        <v>44905</v>
      </c>
      <c r="G3388" t="s">
        <v>2020</v>
      </c>
      <c r="H3388">
        <v>1</v>
      </c>
      <c r="I3388" s="12">
        <f>Table16[[#This Row],[price]]*Table16[[#This Row],[quantity]]</f>
        <v>162.63999999999999</v>
      </c>
    </row>
    <row r="3389" spans="1:9" x14ac:dyDescent="0.3">
      <c r="A3389" t="s">
        <v>5401</v>
      </c>
      <c r="B3389" t="s">
        <v>664</v>
      </c>
      <c r="C3389" t="s">
        <v>2015</v>
      </c>
      <c r="D3389">
        <v>1</v>
      </c>
      <c r="E3389" s="16">
        <v>600.16999999999996</v>
      </c>
      <c r="F3389" s="1">
        <v>44927</v>
      </c>
      <c r="G3389" t="s">
        <v>2004</v>
      </c>
      <c r="H3389">
        <v>4</v>
      </c>
      <c r="I3389" s="12">
        <f>Table16[[#This Row],[price]]*Table16[[#This Row],[quantity]]</f>
        <v>600.16999999999996</v>
      </c>
    </row>
    <row r="3390" spans="1:9" x14ac:dyDescent="0.3">
      <c r="A3390" t="s">
        <v>5407</v>
      </c>
      <c r="B3390" t="s">
        <v>665</v>
      </c>
      <c r="C3390" t="s">
        <v>2017</v>
      </c>
      <c r="D3390">
        <v>5</v>
      </c>
      <c r="E3390" s="16">
        <v>5250</v>
      </c>
      <c r="F3390" s="1">
        <v>44366</v>
      </c>
      <c r="G3390" t="s">
        <v>2002</v>
      </c>
      <c r="H3390">
        <v>2</v>
      </c>
      <c r="I3390" s="12">
        <f>Table16[[#This Row],[price]]*Table16[[#This Row],[quantity]]</f>
        <v>26250</v>
      </c>
    </row>
    <row r="3391" spans="1:9" x14ac:dyDescent="0.3">
      <c r="A3391" t="s">
        <v>5409</v>
      </c>
      <c r="B3391" t="s">
        <v>665</v>
      </c>
      <c r="C3391" t="s">
        <v>2001</v>
      </c>
      <c r="D3391">
        <v>5</v>
      </c>
      <c r="E3391" s="16">
        <v>1500.4</v>
      </c>
      <c r="F3391" s="1">
        <v>44632</v>
      </c>
      <c r="G3391" t="s">
        <v>2012</v>
      </c>
      <c r="H3391">
        <v>3</v>
      </c>
      <c r="I3391" s="12">
        <f>Table16[[#This Row],[price]]*Table16[[#This Row],[quantity]]</f>
        <v>7502</v>
      </c>
    </row>
    <row r="3392" spans="1:9" x14ac:dyDescent="0.3">
      <c r="A3392" t="s">
        <v>5406</v>
      </c>
      <c r="B3392" t="s">
        <v>665</v>
      </c>
      <c r="C3392" t="s">
        <v>2057</v>
      </c>
      <c r="D3392">
        <v>3</v>
      </c>
      <c r="E3392" s="16">
        <v>35.19</v>
      </c>
      <c r="F3392" s="1">
        <v>44674</v>
      </c>
      <c r="G3392" t="s">
        <v>2009</v>
      </c>
      <c r="H3392">
        <v>3</v>
      </c>
      <c r="I3392" s="12">
        <f>Table16[[#This Row],[price]]*Table16[[#This Row],[quantity]]</f>
        <v>105.57</v>
      </c>
    </row>
    <row r="3393" spans="1:9" x14ac:dyDescent="0.3">
      <c r="A3393" t="s">
        <v>5408</v>
      </c>
      <c r="B3393" t="s">
        <v>665</v>
      </c>
      <c r="C3393" t="s">
        <v>2001</v>
      </c>
      <c r="D3393">
        <v>2</v>
      </c>
      <c r="E3393" s="16">
        <v>600.16</v>
      </c>
      <c r="F3393" s="1">
        <v>44986</v>
      </c>
      <c r="G3393" t="s">
        <v>2012</v>
      </c>
      <c r="H3393">
        <v>2</v>
      </c>
      <c r="I3393" s="12">
        <f>Table16[[#This Row],[price]]*Table16[[#This Row],[quantity]]</f>
        <v>1200.32</v>
      </c>
    </row>
    <row r="3394" spans="1:9" x14ac:dyDescent="0.3">
      <c r="A3394" t="s">
        <v>5410</v>
      </c>
      <c r="B3394" t="s">
        <v>666</v>
      </c>
      <c r="C3394" t="s">
        <v>2015</v>
      </c>
      <c r="D3394">
        <v>3</v>
      </c>
      <c r="E3394" s="16">
        <v>1800.51</v>
      </c>
      <c r="F3394" s="1">
        <v>44436</v>
      </c>
      <c r="G3394" t="s">
        <v>2004</v>
      </c>
      <c r="H3394">
        <v>4</v>
      </c>
      <c r="I3394" s="12">
        <f>Table16[[#This Row],[price]]*Table16[[#This Row],[quantity]]</f>
        <v>5401.53</v>
      </c>
    </row>
    <row r="3395" spans="1:9" x14ac:dyDescent="0.3">
      <c r="A3395" t="s">
        <v>5413</v>
      </c>
      <c r="B3395" t="s">
        <v>666</v>
      </c>
      <c r="C3395" t="s">
        <v>2001</v>
      </c>
      <c r="D3395">
        <v>1</v>
      </c>
      <c r="E3395" s="16">
        <v>300.08</v>
      </c>
      <c r="F3395" s="1">
        <v>44599</v>
      </c>
      <c r="G3395" t="s">
        <v>2018</v>
      </c>
      <c r="H3395">
        <v>5</v>
      </c>
      <c r="I3395" s="12">
        <f>Table16[[#This Row],[price]]*Table16[[#This Row],[quantity]]</f>
        <v>300.08</v>
      </c>
    </row>
    <row r="3396" spans="1:9" x14ac:dyDescent="0.3">
      <c r="A3396" t="s">
        <v>5411</v>
      </c>
      <c r="B3396" t="s">
        <v>666</v>
      </c>
      <c r="C3396" t="s">
        <v>2001</v>
      </c>
      <c r="D3396">
        <v>4</v>
      </c>
      <c r="E3396" s="16">
        <v>1200.32</v>
      </c>
      <c r="F3396" s="1">
        <v>44673</v>
      </c>
      <c r="G3396" t="s">
        <v>2004</v>
      </c>
      <c r="H3396">
        <v>1</v>
      </c>
      <c r="I3396" s="12">
        <f>Table16[[#This Row],[price]]*Table16[[#This Row],[quantity]]</f>
        <v>4801.28</v>
      </c>
    </row>
    <row r="3397" spans="1:9" x14ac:dyDescent="0.3">
      <c r="A3397" t="s">
        <v>5412</v>
      </c>
      <c r="B3397" t="s">
        <v>666</v>
      </c>
      <c r="C3397" t="s">
        <v>2017</v>
      </c>
      <c r="D3397">
        <v>3</v>
      </c>
      <c r="E3397" s="16">
        <v>3150</v>
      </c>
      <c r="F3397" s="1">
        <v>44730</v>
      </c>
      <c r="G3397" t="s">
        <v>2004</v>
      </c>
      <c r="H3397">
        <v>2</v>
      </c>
      <c r="I3397" s="12">
        <f>Table16[[#This Row],[price]]*Table16[[#This Row],[quantity]]</f>
        <v>9450</v>
      </c>
    </row>
    <row r="3398" spans="1:9" x14ac:dyDescent="0.3">
      <c r="A3398" t="s">
        <v>5415</v>
      </c>
      <c r="B3398" t="s">
        <v>667</v>
      </c>
      <c r="C3398" t="s">
        <v>2011</v>
      </c>
      <c r="D3398">
        <v>4</v>
      </c>
      <c r="E3398" s="16">
        <v>162.63999999999999</v>
      </c>
      <c r="F3398" s="1">
        <v>44216</v>
      </c>
      <c r="G3398" t="s">
        <v>2004</v>
      </c>
      <c r="H3398">
        <v>5</v>
      </c>
      <c r="I3398" s="12">
        <f>Table16[[#This Row],[price]]*Table16[[#This Row],[quantity]]</f>
        <v>650.55999999999995</v>
      </c>
    </row>
    <row r="3399" spans="1:9" x14ac:dyDescent="0.3">
      <c r="A3399" t="s">
        <v>5416</v>
      </c>
      <c r="B3399" t="s">
        <v>667</v>
      </c>
      <c r="C3399" t="s">
        <v>2001</v>
      </c>
      <c r="D3399">
        <v>1</v>
      </c>
      <c r="E3399" s="16">
        <v>300.08</v>
      </c>
      <c r="F3399" s="1">
        <v>44541</v>
      </c>
      <c r="G3399" t="s">
        <v>2012</v>
      </c>
      <c r="H3399">
        <v>1</v>
      </c>
      <c r="I3399" s="12">
        <f>Table16[[#This Row],[price]]*Table16[[#This Row],[quantity]]</f>
        <v>300.08</v>
      </c>
    </row>
    <row r="3400" spans="1:9" x14ac:dyDescent="0.3">
      <c r="A3400" t="s">
        <v>5414</v>
      </c>
      <c r="B3400" t="s">
        <v>667</v>
      </c>
      <c r="C3400" t="s">
        <v>2001</v>
      </c>
      <c r="D3400">
        <v>3</v>
      </c>
      <c r="E3400" s="16">
        <v>900.24</v>
      </c>
      <c r="F3400" s="1">
        <v>44732</v>
      </c>
      <c r="G3400" t="s">
        <v>2004</v>
      </c>
      <c r="H3400">
        <v>5</v>
      </c>
      <c r="I3400" s="12">
        <f>Table16[[#This Row],[price]]*Table16[[#This Row],[quantity]]</f>
        <v>2700.7200000000003</v>
      </c>
    </row>
    <row r="3401" spans="1:9" x14ac:dyDescent="0.3">
      <c r="A3401" t="s">
        <v>5424</v>
      </c>
      <c r="B3401" t="s">
        <v>668</v>
      </c>
      <c r="C3401" t="s">
        <v>2008</v>
      </c>
      <c r="D3401">
        <v>2</v>
      </c>
      <c r="E3401" s="16">
        <v>10.46</v>
      </c>
      <c r="F3401" s="1">
        <v>44216</v>
      </c>
      <c r="G3401" t="s">
        <v>2027</v>
      </c>
      <c r="H3401">
        <v>3</v>
      </c>
      <c r="I3401" s="12">
        <f>Table16[[#This Row],[price]]*Table16[[#This Row],[quantity]]</f>
        <v>20.92</v>
      </c>
    </row>
    <row r="3402" spans="1:9" x14ac:dyDescent="0.3">
      <c r="A3402" t="s">
        <v>5425</v>
      </c>
      <c r="B3402" t="s">
        <v>668</v>
      </c>
      <c r="C3402" t="s">
        <v>2001</v>
      </c>
      <c r="D3402">
        <v>3</v>
      </c>
      <c r="E3402" s="16">
        <v>900.24</v>
      </c>
      <c r="F3402" s="1">
        <v>44454</v>
      </c>
      <c r="G3402" t="s">
        <v>2004</v>
      </c>
      <c r="H3402">
        <v>2</v>
      </c>
      <c r="I3402" s="12">
        <f>Table16[[#This Row],[price]]*Table16[[#This Row],[quantity]]</f>
        <v>2700.7200000000003</v>
      </c>
    </row>
    <row r="3403" spans="1:9" x14ac:dyDescent="0.3">
      <c r="A3403" t="s">
        <v>5421</v>
      </c>
      <c r="B3403" t="s">
        <v>668</v>
      </c>
      <c r="C3403" t="s">
        <v>2024</v>
      </c>
      <c r="D3403">
        <v>4</v>
      </c>
      <c r="E3403" s="16">
        <v>143.36000000000001</v>
      </c>
      <c r="F3403" s="1">
        <v>44603</v>
      </c>
      <c r="G3403" t="s">
        <v>2002</v>
      </c>
      <c r="H3403">
        <v>2</v>
      </c>
      <c r="I3403" s="12">
        <f>Table16[[#This Row],[price]]*Table16[[#This Row],[quantity]]</f>
        <v>573.44000000000005</v>
      </c>
    </row>
    <row r="3404" spans="1:9" x14ac:dyDescent="0.3">
      <c r="A3404" t="s">
        <v>5417</v>
      </c>
      <c r="B3404" t="s">
        <v>668</v>
      </c>
      <c r="C3404" t="s">
        <v>2001</v>
      </c>
      <c r="D3404">
        <v>3</v>
      </c>
      <c r="E3404" s="16">
        <v>900.24</v>
      </c>
      <c r="F3404" s="1">
        <v>44630</v>
      </c>
      <c r="G3404" t="s">
        <v>2027</v>
      </c>
      <c r="H3404">
        <v>1</v>
      </c>
      <c r="I3404" s="12">
        <f>Table16[[#This Row],[price]]*Table16[[#This Row],[quantity]]</f>
        <v>2700.7200000000003</v>
      </c>
    </row>
    <row r="3405" spans="1:9" x14ac:dyDescent="0.3">
      <c r="A3405" t="s">
        <v>5422</v>
      </c>
      <c r="B3405" t="s">
        <v>668</v>
      </c>
      <c r="C3405" t="s">
        <v>2011</v>
      </c>
      <c r="D3405">
        <v>1</v>
      </c>
      <c r="E3405" s="16">
        <v>40.659999999999997</v>
      </c>
      <c r="F3405" s="1">
        <v>44681</v>
      </c>
      <c r="G3405" t="s">
        <v>2027</v>
      </c>
      <c r="H3405">
        <v>4</v>
      </c>
      <c r="I3405" s="12">
        <f>Table16[[#This Row],[price]]*Table16[[#This Row],[quantity]]</f>
        <v>40.659999999999997</v>
      </c>
    </row>
    <row r="3406" spans="1:9" x14ac:dyDescent="0.3">
      <c r="A3406" t="s">
        <v>5423</v>
      </c>
      <c r="B3406" t="s">
        <v>668</v>
      </c>
      <c r="C3406" t="s">
        <v>2057</v>
      </c>
      <c r="D3406">
        <v>4</v>
      </c>
      <c r="E3406" s="16">
        <v>46.92</v>
      </c>
      <c r="F3406" s="1">
        <v>44776</v>
      </c>
      <c r="G3406" t="s">
        <v>2018</v>
      </c>
      <c r="H3406">
        <v>1</v>
      </c>
      <c r="I3406" s="12">
        <f>Table16[[#This Row],[price]]*Table16[[#This Row],[quantity]]</f>
        <v>187.68</v>
      </c>
    </row>
    <row r="3407" spans="1:9" x14ac:dyDescent="0.3">
      <c r="A3407" t="s">
        <v>5418</v>
      </c>
      <c r="B3407" t="s">
        <v>668</v>
      </c>
      <c r="C3407" t="s">
        <v>2011</v>
      </c>
      <c r="D3407">
        <v>3</v>
      </c>
      <c r="E3407" s="16">
        <v>121.98</v>
      </c>
      <c r="F3407" s="1">
        <v>44821</v>
      </c>
      <c r="G3407" t="s">
        <v>2012</v>
      </c>
      <c r="H3407">
        <v>2</v>
      </c>
      <c r="I3407" s="12">
        <f>Table16[[#This Row],[price]]*Table16[[#This Row],[quantity]]</f>
        <v>365.94</v>
      </c>
    </row>
    <row r="3408" spans="1:9" x14ac:dyDescent="0.3">
      <c r="A3408" t="s">
        <v>5419</v>
      </c>
      <c r="B3408" t="s">
        <v>668</v>
      </c>
      <c r="C3408" t="s">
        <v>2015</v>
      </c>
      <c r="D3408">
        <v>1</v>
      </c>
      <c r="E3408" s="16">
        <v>600.16999999999996</v>
      </c>
      <c r="F3408" s="1">
        <v>44938</v>
      </c>
      <c r="G3408" t="s">
        <v>2004</v>
      </c>
      <c r="H3408">
        <v>5</v>
      </c>
      <c r="I3408" s="12">
        <f>Table16[[#This Row],[price]]*Table16[[#This Row],[quantity]]</f>
        <v>600.16999999999996</v>
      </c>
    </row>
    <row r="3409" spans="1:9" x14ac:dyDescent="0.3">
      <c r="A3409" t="s">
        <v>5420</v>
      </c>
      <c r="B3409" t="s">
        <v>668</v>
      </c>
      <c r="C3409" t="s">
        <v>2011</v>
      </c>
      <c r="D3409">
        <v>5</v>
      </c>
      <c r="E3409" s="16">
        <v>203.3</v>
      </c>
      <c r="F3409" s="1">
        <v>44966</v>
      </c>
      <c r="G3409" t="s">
        <v>2004</v>
      </c>
      <c r="H3409">
        <v>2</v>
      </c>
      <c r="I3409" s="12">
        <f>Table16[[#This Row],[price]]*Table16[[#This Row],[quantity]]</f>
        <v>1016.5</v>
      </c>
    </row>
    <row r="3410" spans="1:9" x14ac:dyDescent="0.3">
      <c r="A3410" t="s">
        <v>5429</v>
      </c>
      <c r="B3410" t="s">
        <v>669</v>
      </c>
      <c r="C3410" t="s">
        <v>2015</v>
      </c>
      <c r="D3410">
        <v>1</v>
      </c>
      <c r="E3410" s="16">
        <v>600.16999999999996</v>
      </c>
      <c r="F3410" s="1">
        <v>44247</v>
      </c>
      <c r="G3410" t="s">
        <v>2064</v>
      </c>
      <c r="H3410">
        <v>3</v>
      </c>
      <c r="I3410" s="12">
        <f>Table16[[#This Row],[price]]*Table16[[#This Row],[quantity]]</f>
        <v>600.16999999999996</v>
      </c>
    </row>
    <row r="3411" spans="1:9" x14ac:dyDescent="0.3">
      <c r="A3411" t="s">
        <v>5428</v>
      </c>
      <c r="B3411" t="s">
        <v>669</v>
      </c>
      <c r="C3411" t="s">
        <v>2015</v>
      </c>
      <c r="D3411">
        <v>5</v>
      </c>
      <c r="E3411" s="16">
        <v>3000.85</v>
      </c>
      <c r="F3411" s="1">
        <v>44396</v>
      </c>
      <c r="G3411" t="s">
        <v>2041</v>
      </c>
      <c r="H3411">
        <v>3</v>
      </c>
      <c r="I3411" s="12">
        <f>Table16[[#This Row],[price]]*Table16[[#This Row],[quantity]]</f>
        <v>15004.25</v>
      </c>
    </row>
    <row r="3412" spans="1:9" x14ac:dyDescent="0.3">
      <c r="A3412" t="s">
        <v>5427</v>
      </c>
      <c r="B3412" t="s">
        <v>669</v>
      </c>
      <c r="C3412" t="s">
        <v>2008</v>
      </c>
      <c r="D3412">
        <v>4</v>
      </c>
      <c r="E3412" s="16">
        <v>20.92</v>
      </c>
      <c r="F3412" s="1">
        <v>44429</v>
      </c>
      <c r="G3412" t="s">
        <v>2004</v>
      </c>
      <c r="H3412">
        <v>5</v>
      </c>
      <c r="I3412" s="12">
        <f>Table16[[#This Row],[price]]*Table16[[#This Row],[quantity]]</f>
        <v>83.68</v>
      </c>
    </row>
    <row r="3413" spans="1:9" x14ac:dyDescent="0.3">
      <c r="A3413" t="s">
        <v>5426</v>
      </c>
      <c r="B3413" t="s">
        <v>669</v>
      </c>
      <c r="C3413" t="s">
        <v>2001</v>
      </c>
      <c r="D3413">
        <v>2</v>
      </c>
      <c r="E3413" s="16">
        <v>600.16</v>
      </c>
      <c r="F3413" s="1">
        <v>44853</v>
      </c>
      <c r="G3413" t="s">
        <v>2004</v>
      </c>
      <c r="H3413">
        <v>4</v>
      </c>
      <c r="I3413" s="12">
        <f>Table16[[#This Row],[price]]*Table16[[#This Row],[quantity]]</f>
        <v>1200.32</v>
      </c>
    </row>
    <row r="3414" spans="1:9" x14ac:dyDescent="0.3">
      <c r="A3414" t="s">
        <v>5431</v>
      </c>
      <c r="B3414" t="s">
        <v>670</v>
      </c>
      <c r="C3414" t="s">
        <v>2015</v>
      </c>
      <c r="D3414">
        <v>5</v>
      </c>
      <c r="E3414" s="16">
        <v>3000.85</v>
      </c>
      <c r="F3414" s="1">
        <v>44289</v>
      </c>
      <c r="G3414" t="s">
        <v>2027</v>
      </c>
      <c r="H3414">
        <v>2</v>
      </c>
      <c r="I3414" s="12">
        <f>Table16[[#This Row],[price]]*Table16[[#This Row],[quantity]]</f>
        <v>15004.25</v>
      </c>
    </row>
    <row r="3415" spans="1:9" x14ac:dyDescent="0.3">
      <c r="A3415" t="s">
        <v>5434</v>
      </c>
      <c r="B3415" t="s">
        <v>670</v>
      </c>
      <c r="C3415" t="s">
        <v>2011</v>
      </c>
      <c r="D3415">
        <v>1</v>
      </c>
      <c r="E3415" s="16">
        <v>40.659999999999997</v>
      </c>
      <c r="F3415" s="1">
        <v>44384</v>
      </c>
      <c r="G3415" t="s">
        <v>2027</v>
      </c>
      <c r="H3415">
        <v>2</v>
      </c>
      <c r="I3415" s="12">
        <f>Table16[[#This Row],[price]]*Table16[[#This Row],[quantity]]</f>
        <v>40.659999999999997</v>
      </c>
    </row>
    <row r="3416" spans="1:9" x14ac:dyDescent="0.3">
      <c r="A3416" t="s">
        <v>5430</v>
      </c>
      <c r="B3416" t="s">
        <v>670</v>
      </c>
      <c r="C3416" t="s">
        <v>2011</v>
      </c>
      <c r="D3416">
        <v>3</v>
      </c>
      <c r="E3416" s="16">
        <v>121.98</v>
      </c>
      <c r="F3416" s="1">
        <v>44496</v>
      </c>
      <c r="G3416" t="s">
        <v>2027</v>
      </c>
      <c r="H3416">
        <v>5</v>
      </c>
      <c r="I3416" s="12">
        <f>Table16[[#This Row],[price]]*Table16[[#This Row],[quantity]]</f>
        <v>365.94</v>
      </c>
    </row>
    <row r="3417" spans="1:9" x14ac:dyDescent="0.3">
      <c r="A3417" t="s">
        <v>5435</v>
      </c>
      <c r="B3417" t="s">
        <v>670</v>
      </c>
      <c r="C3417" t="s">
        <v>2001</v>
      </c>
      <c r="D3417">
        <v>1</v>
      </c>
      <c r="E3417" s="16">
        <v>300.08</v>
      </c>
      <c r="F3417" s="1">
        <v>44598</v>
      </c>
      <c r="G3417" t="s">
        <v>2002</v>
      </c>
      <c r="H3417">
        <v>5</v>
      </c>
      <c r="I3417" s="12">
        <f>Table16[[#This Row],[price]]*Table16[[#This Row],[quantity]]</f>
        <v>300.08</v>
      </c>
    </row>
    <row r="3418" spans="1:9" x14ac:dyDescent="0.3">
      <c r="A3418" t="s">
        <v>5432</v>
      </c>
      <c r="B3418" t="s">
        <v>670</v>
      </c>
      <c r="C3418" t="s">
        <v>2011</v>
      </c>
      <c r="D3418">
        <v>4</v>
      </c>
      <c r="E3418" s="16">
        <v>162.63999999999999</v>
      </c>
      <c r="F3418" s="1">
        <v>44746</v>
      </c>
      <c r="G3418" t="s">
        <v>2004</v>
      </c>
      <c r="H3418">
        <v>3</v>
      </c>
      <c r="I3418" s="12">
        <f>Table16[[#This Row],[price]]*Table16[[#This Row],[quantity]]</f>
        <v>650.55999999999995</v>
      </c>
    </row>
    <row r="3419" spans="1:9" x14ac:dyDescent="0.3">
      <c r="A3419" t="s">
        <v>5433</v>
      </c>
      <c r="B3419" t="s">
        <v>670</v>
      </c>
      <c r="C3419" t="s">
        <v>2001</v>
      </c>
      <c r="D3419">
        <v>4</v>
      </c>
      <c r="E3419" s="16">
        <v>1200.32</v>
      </c>
      <c r="F3419" s="1">
        <v>44806</v>
      </c>
      <c r="G3419" t="s">
        <v>2064</v>
      </c>
      <c r="H3419">
        <v>1</v>
      </c>
      <c r="I3419" s="12">
        <f>Table16[[#This Row],[price]]*Table16[[#This Row],[quantity]]</f>
        <v>4801.28</v>
      </c>
    </row>
    <row r="3420" spans="1:9" x14ac:dyDescent="0.3">
      <c r="A3420" t="s">
        <v>5436</v>
      </c>
      <c r="B3420" t="s">
        <v>671</v>
      </c>
      <c r="C3420" t="s">
        <v>2001</v>
      </c>
      <c r="D3420">
        <v>1</v>
      </c>
      <c r="E3420" s="16">
        <v>300.08</v>
      </c>
      <c r="F3420" s="1">
        <v>44202</v>
      </c>
      <c r="G3420" t="s">
        <v>2018</v>
      </c>
      <c r="H3420">
        <v>2</v>
      </c>
      <c r="I3420" s="12">
        <f>Table16[[#This Row],[price]]*Table16[[#This Row],[quantity]]</f>
        <v>300.08</v>
      </c>
    </row>
    <row r="3421" spans="1:9" x14ac:dyDescent="0.3">
      <c r="A3421" t="s">
        <v>5439</v>
      </c>
      <c r="B3421" t="s">
        <v>671</v>
      </c>
      <c r="C3421" t="s">
        <v>2001</v>
      </c>
      <c r="D3421">
        <v>1</v>
      </c>
      <c r="E3421" s="16">
        <v>300.08</v>
      </c>
      <c r="F3421" s="1">
        <v>44427</v>
      </c>
      <c r="G3421" t="s">
        <v>2058</v>
      </c>
      <c r="H3421">
        <v>2</v>
      </c>
      <c r="I3421" s="12">
        <f>Table16[[#This Row],[price]]*Table16[[#This Row],[quantity]]</f>
        <v>300.08</v>
      </c>
    </row>
    <row r="3422" spans="1:9" x14ac:dyDescent="0.3">
      <c r="A3422" t="s">
        <v>5440</v>
      </c>
      <c r="B3422" t="s">
        <v>671</v>
      </c>
      <c r="C3422" t="s">
        <v>2011</v>
      </c>
      <c r="D3422">
        <v>5</v>
      </c>
      <c r="E3422" s="16">
        <v>203.3</v>
      </c>
      <c r="F3422" s="1">
        <v>44630</v>
      </c>
      <c r="G3422" t="s">
        <v>2018</v>
      </c>
      <c r="H3422">
        <v>1</v>
      </c>
      <c r="I3422" s="12">
        <f>Table16[[#This Row],[price]]*Table16[[#This Row],[quantity]]</f>
        <v>1016.5</v>
      </c>
    </row>
    <row r="3423" spans="1:9" x14ac:dyDescent="0.3">
      <c r="A3423" t="s">
        <v>5437</v>
      </c>
      <c r="B3423" t="s">
        <v>671</v>
      </c>
      <c r="C3423" t="s">
        <v>2001</v>
      </c>
      <c r="D3423">
        <v>3</v>
      </c>
      <c r="E3423" s="16">
        <v>900.24</v>
      </c>
      <c r="F3423" s="1">
        <v>44713</v>
      </c>
      <c r="G3423" t="s">
        <v>2004</v>
      </c>
      <c r="H3423">
        <v>5</v>
      </c>
      <c r="I3423" s="12">
        <f>Table16[[#This Row],[price]]*Table16[[#This Row],[quantity]]</f>
        <v>2700.7200000000003</v>
      </c>
    </row>
    <row r="3424" spans="1:9" x14ac:dyDescent="0.3">
      <c r="A3424" t="s">
        <v>5441</v>
      </c>
      <c r="B3424" t="s">
        <v>671</v>
      </c>
      <c r="C3424" t="s">
        <v>2024</v>
      </c>
      <c r="D3424">
        <v>1</v>
      </c>
      <c r="E3424" s="16">
        <v>35.840000000000003</v>
      </c>
      <c r="F3424" s="1">
        <v>44729</v>
      </c>
      <c r="G3424" t="s">
        <v>2004</v>
      </c>
      <c r="H3424">
        <v>2</v>
      </c>
      <c r="I3424" s="12">
        <f>Table16[[#This Row],[price]]*Table16[[#This Row],[quantity]]</f>
        <v>35.840000000000003</v>
      </c>
    </row>
    <row r="3425" spans="1:9" x14ac:dyDescent="0.3">
      <c r="A3425" t="s">
        <v>5438</v>
      </c>
      <c r="B3425" t="s">
        <v>671</v>
      </c>
      <c r="C3425" t="s">
        <v>2015</v>
      </c>
      <c r="D3425">
        <v>4</v>
      </c>
      <c r="E3425" s="16">
        <v>2400.6799999999998</v>
      </c>
      <c r="F3425" s="1">
        <v>44862</v>
      </c>
      <c r="G3425" t="s">
        <v>2002</v>
      </c>
      <c r="H3425">
        <v>2</v>
      </c>
      <c r="I3425" s="12">
        <f>Table16[[#This Row],[price]]*Table16[[#This Row],[quantity]]</f>
        <v>9602.7199999999993</v>
      </c>
    </row>
    <row r="3426" spans="1:9" x14ac:dyDescent="0.3">
      <c r="A3426" t="s">
        <v>5442</v>
      </c>
      <c r="B3426" t="s">
        <v>672</v>
      </c>
      <c r="C3426" t="s">
        <v>2015</v>
      </c>
      <c r="D3426">
        <v>4</v>
      </c>
      <c r="E3426" s="16">
        <v>2400.6799999999998</v>
      </c>
      <c r="F3426" s="1">
        <v>44445</v>
      </c>
      <c r="G3426" t="s">
        <v>2064</v>
      </c>
      <c r="H3426">
        <v>1</v>
      </c>
      <c r="I3426" s="12">
        <f>Table16[[#This Row],[price]]*Table16[[#This Row],[quantity]]</f>
        <v>9602.7199999999993</v>
      </c>
    </row>
    <row r="3427" spans="1:9" x14ac:dyDescent="0.3">
      <c r="A3427" t="s">
        <v>5443</v>
      </c>
      <c r="B3427" t="s">
        <v>672</v>
      </c>
      <c r="C3427" t="s">
        <v>2011</v>
      </c>
      <c r="D3427">
        <v>2</v>
      </c>
      <c r="E3427" s="16">
        <v>81.319999999999993</v>
      </c>
      <c r="F3427" s="1">
        <v>44477</v>
      </c>
      <c r="G3427" t="s">
        <v>2041</v>
      </c>
      <c r="H3427">
        <v>3</v>
      </c>
      <c r="I3427" s="12">
        <f>Table16[[#This Row],[price]]*Table16[[#This Row],[quantity]]</f>
        <v>162.63999999999999</v>
      </c>
    </row>
    <row r="3428" spans="1:9" x14ac:dyDescent="0.3">
      <c r="A3428" t="s">
        <v>5447</v>
      </c>
      <c r="B3428" t="s">
        <v>672</v>
      </c>
      <c r="C3428" t="s">
        <v>2001</v>
      </c>
      <c r="D3428">
        <v>3</v>
      </c>
      <c r="E3428" s="16">
        <v>900.24</v>
      </c>
      <c r="F3428" s="1">
        <v>44623</v>
      </c>
      <c r="G3428" t="s">
        <v>2064</v>
      </c>
      <c r="H3428">
        <v>1</v>
      </c>
      <c r="I3428" s="12">
        <f>Table16[[#This Row],[price]]*Table16[[#This Row],[quantity]]</f>
        <v>2700.7200000000003</v>
      </c>
    </row>
    <row r="3429" spans="1:9" x14ac:dyDescent="0.3">
      <c r="A3429" t="s">
        <v>5444</v>
      </c>
      <c r="B3429" t="s">
        <v>672</v>
      </c>
      <c r="C3429" t="s">
        <v>2017</v>
      </c>
      <c r="D3429">
        <v>4</v>
      </c>
      <c r="E3429" s="16">
        <v>4200</v>
      </c>
      <c r="F3429" s="1">
        <v>44632</v>
      </c>
      <c r="G3429" t="s">
        <v>2018</v>
      </c>
      <c r="H3429">
        <v>2</v>
      </c>
      <c r="I3429" s="12">
        <f>Table16[[#This Row],[price]]*Table16[[#This Row],[quantity]]</f>
        <v>16800</v>
      </c>
    </row>
    <row r="3430" spans="1:9" x14ac:dyDescent="0.3">
      <c r="A3430" t="s">
        <v>5446</v>
      </c>
      <c r="B3430" t="s">
        <v>672</v>
      </c>
      <c r="C3430" t="s">
        <v>2057</v>
      </c>
      <c r="D3430">
        <v>5</v>
      </c>
      <c r="E3430" s="16">
        <v>58.65</v>
      </c>
      <c r="F3430" s="1">
        <v>44718</v>
      </c>
      <c r="G3430" t="s">
        <v>2058</v>
      </c>
      <c r="H3430">
        <v>1</v>
      </c>
      <c r="I3430" s="12">
        <f>Table16[[#This Row],[price]]*Table16[[#This Row],[quantity]]</f>
        <v>293.25</v>
      </c>
    </row>
    <row r="3431" spans="1:9" x14ac:dyDescent="0.3">
      <c r="A3431" t="s">
        <v>5445</v>
      </c>
      <c r="B3431" t="s">
        <v>672</v>
      </c>
      <c r="C3431" t="s">
        <v>2011</v>
      </c>
      <c r="D3431">
        <v>1</v>
      </c>
      <c r="E3431" s="16">
        <v>40.659999999999997</v>
      </c>
      <c r="F3431" s="1">
        <v>44840</v>
      </c>
      <c r="G3431" t="s">
        <v>2064</v>
      </c>
      <c r="H3431">
        <v>3</v>
      </c>
      <c r="I3431" s="12">
        <f>Table16[[#This Row],[price]]*Table16[[#This Row],[quantity]]</f>
        <v>40.659999999999997</v>
      </c>
    </row>
    <row r="3432" spans="1:9" x14ac:dyDescent="0.3">
      <c r="A3432" t="s">
        <v>5448</v>
      </c>
      <c r="B3432" t="s">
        <v>672</v>
      </c>
      <c r="C3432" t="s">
        <v>2006</v>
      </c>
      <c r="D3432">
        <v>3</v>
      </c>
      <c r="E3432" s="16">
        <v>45.45</v>
      </c>
      <c r="F3432" s="1">
        <v>44931</v>
      </c>
      <c r="G3432" t="s">
        <v>2027</v>
      </c>
      <c r="H3432">
        <v>2</v>
      </c>
      <c r="I3432" s="12">
        <f>Table16[[#This Row],[price]]*Table16[[#This Row],[quantity]]</f>
        <v>136.35000000000002</v>
      </c>
    </row>
    <row r="3433" spans="1:9" x14ac:dyDescent="0.3">
      <c r="A3433" t="s">
        <v>5449</v>
      </c>
      <c r="B3433" t="s">
        <v>673</v>
      </c>
      <c r="C3433" t="s">
        <v>2001</v>
      </c>
      <c r="D3433">
        <v>3</v>
      </c>
      <c r="E3433" s="16">
        <v>900.24</v>
      </c>
      <c r="F3433" s="1">
        <v>44287</v>
      </c>
      <c r="G3433" t="s">
        <v>2002</v>
      </c>
      <c r="H3433">
        <v>2</v>
      </c>
      <c r="I3433" s="12">
        <f>Table16[[#This Row],[price]]*Table16[[#This Row],[quantity]]</f>
        <v>2700.7200000000003</v>
      </c>
    </row>
    <row r="3434" spans="1:9" x14ac:dyDescent="0.3">
      <c r="A3434" t="s">
        <v>5453</v>
      </c>
      <c r="B3434" t="s">
        <v>673</v>
      </c>
      <c r="C3434" t="s">
        <v>2024</v>
      </c>
      <c r="D3434">
        <v>1</v>
      </c>
      <c r="E3434" s="16">
        <v>35.840000000000003</v>
      </c>
      <c r="F3434" s="1">
        <v>44334</v>
      </c>
      <c r="G3434" t="s">
        <v>2004</v>
      </c>
      <c r="H3434">
        <v>4</v>
      </c>
      <c r="I3434" s="12">
        <f>Table16[[#This Row],[price]]*Table16[[#This Row],[quantity]]</f>
        <v>35.840000000000003</v>
      </c>
    </row>
    <row r="3435" spans="1:9" x14ac:dyDescent="0.3">
      <c r="A3435" t="s">
        <v>5452</v>
      </c>
      <c r="B3435" t="s">
        <v>673</v>
      </c>
      <c r="C3435" t="s">
        <v>2001</v>
      </c>
      <c r="D3435">
        <v>3</v>
      </c>
      <c r="E3435" s="16">
        <v>900.24</v>
      </c>
      <c r="F3435" s="1">
        <v>44688</v>
      </c>
      <c r="G3435" t="s">
        <v>2058</v>
      </c>
      <c r="H3435">
        <v>2</v>
      </c>
      <c r="I3435" s="12">
        <f>Table16[[#This Row],[price]]*Table16[[#This Row],[quantity]]</f>
        <v>2700.7200000000003</v>
      </c>
    </row>
    <row r="3436" spans="1:9" x14ac:dyDescent="0.3">
      <c r="A3436" t="s">
        <v>5451</v>
      </c>
      <c r="B3436" t="s">
        <v>673</v>
      </c>
      <c r="C3436" t="s">
        <v>2011</v>
      </c>
      <c r="D3436">
        <v>3</v>
      </c>
      <c r="E3436" s="16">
        <v>121.98</v>
      </c>
      <c r="F3436" s="1">
        <v>44821</v>
      </c>
      <c r="G3436" t="s">
        <v>2064</v>
      </c>
      <c r="H3436">
        <v>3</v>
      </c>
      <c r="I3436" s="12">
        <f>Table16[[#This Row],[price]]*Table16[[#This Row],[quantity]]</f>
        <v>365.94</v>
      </c>
    </row>
    <row r="3437" spans="1:9" x14ac:dyDescent="0.3">
      <c r="A3437" t="s">
        <v>5454</v>
      </c>
      <c r="B3437" t="s">
        <v>673</v>
      </c>
      <c r="C3437" t="s">
        <v>2017</v>
      </c>
      <c r="D3437">
        <v>4</v>
      </c>
      <c r="E3437" s="16">
        <v>4200</v>
      </c>
      <c r="F3437" s="1">
        <v>44886</v>
      </c>
      <c r="G3437" t="s">
        <v>2002</v>
      </c>
      <c r="H3437">
        <v>4</v>
      </c>
      <c r="I3437" s="12">
        <f>Table16[[#This Row],[price]]*Table16[[#This Row],[quantity]]</f>
        <v>16800</v>
      </c>
    </row>
    <row r="3438" spans="1:9" x14ac:dyDescent="0.3">
      <c r="A3438" t="s">
        <v>5450</v>
      </c>
      <c r="B3438" t="s">
        <v>673</v>
      </c>
      <c r="C3438" t="s">
        <v>2011</v>
      </c>
      <c r="D3438">
        <v>2</v>
      </c>
      <c r="E3438" s="16">
        <v>81.319999999999993</v>
      </c>
      <c r="F3438" s="1">
        <v>44972</v>
      </c>
      <c r="G3438" t="s">
        <v>2012</v>
      </c>
      <c r="H3438">
        <v>2</v>
      </c>
      <c r="I3438" s="12">
        <f>Table16[[#This Row],[price]]*Table16[[#This Row],[quantity]]</f>
        <v>162.63999999999999</v>
      </c>
    </row>
    <row r="3439" spans="1:9" x14ac:dyDescent="0.3">
      <c r="A3439" t="s">
        <v>5456</v>
      </c>
      <c r="B3439" t="s">
        <v>674</v>
      </c>
      <c r="C3439" t="s">
        <v>2001</v>
      </c>
      <c r="D3439">
        <v>1</v>
      </c>
      <c r="E3439" s="16">
        <v>300.08</v>
      </c>
      <c r="F3439" s="1">
        <v>44377</v>
      </c>
      <c r="G3439" t="s">
        <v>2004</v>
      </c>
      <c r="H3439">
        <v>5</v>
      </c>
      <c r="I3439" s="12">
        <f>Table16[[#This Row],[price]]*Table16[[#This Row],[quantity]]</f>
        <v>300.08</v>
      </c>
    </row>
    <row r="3440" spans="1:9" x14ac:dyDescent="0.3">
      <c r="A3440" t="s">
        <v>5459</v>
      </c>
      <c r="B3440" t="s">
        <v>674</v>
      </c>
      <c r="C3440" t="s">
        <v>2001</v>
      </c>
      <c r="D3440">
        <v>1</v>
      </c>
      <c r="E3440" s="16">
        <v>300.08</v>
      </c>
      <c r="F3440" s="1">
        <v>44495</v>
      </c>
      <c r="G3440" t="s">
        <v>2004</v>
      </c>
      <c r="H3440">
        <v>3</v>
      </c>
      <c r="I3440" s="12">
        <f>Table16[[#This Row],[price]]*Table16[[#This Row],[quantity]]</f>
        <v>300.08</v>
      </c>
    </row>
    <row r="3441" spans="1:9" x14ac:dyDescent="0.3">
      <c r="A3441" t="s">
        <v>5457</v>
      </c>
      <c r="B3441" t="s">
        <v>674</v>
      </c>
      <c r="C3441" t="s">
        <v>2057</v>
      </c>
      <c r="D3441">
        <v>4</v>
      </c>
      <c r="E3441" s="16">
        <v>46.92</v>
      </c>
      <c r="F3441" s="1">
        <v>44580</v>
      </c>
      <c r="G3441" t="s">
        <v>2020</v>
      </c>
      <c r="H3441">
        <v>4</v>
      </c>
      <c r="I3441" s="12">
        <f>Table16[[#This Row],[price]]*Table16[[#This Row],[quantity]]</f>
        <v>187.68</v>
      </c>
    </row>
    <row r="3442" spans="1:9" x14ac:dyDescent="0.3">
      <c r="A3442" t="s">
        <v>5458</v>
      </c>
      <c r="B3442" t="s">
        <v>674</v>
      </c>
      <c r="C3442" t="s">
        <v>2024</v>
      </c>
      <c r="D3442">
        <v>1</v>
      </c>
      <c r="E3442" s="16">
        <v>35.840000000000003</v>
      </c>
      <c r="F3442" s="1">
        <v>44921</v>
      </c>
      <c r="G3442" t="s">
        <v>2020</v>
      </c>
      <c r="H3442">
        <v>4</v>
      </c>
      <c r="I3442" s="12">
        <f>Table16[[#This Row],[price]]*Table16[[#This Row],[quantity]]</f>
        <v>35.840000000000003</v>
      </c>
    </row>
    <row r="3443" spans="1:9" x14ac:dyDescent="0.3">
      <c r="A3443" t="s">
        <v>5455</v>
      </c>
      <c r="B3443" t="s">
        <v>674</v>
      </c>
      <c r="C3443" t="s">
        <v>2008</v>
      </c>
      <c r="D3443">
        <v>2</v>
      </c>
      <c r="E3443" s="16">
        <v>10.46</v>
      </c>
      <c r="F3443" s="1">
        <v>44933</v>
      </c>
      <c r="G3443" t="s">
        <v>2020</v>
      </c>
      <c r="H3443">
        <v>2</v>
      </c>
      <c r="I3443" s="12">
        <f>Table16[[#This Row],[price]]*Table16[[#This Row],[quantity]]</f>
        <v>20.92</v>
      </c>
    </row>
    <row r="3444" spans="1:9" x14ac:dyDescent="0.3">
      <c r="A3444" t="s">
        <v>5463</v>
      </c>
      <c r="B3444" t="s">
        <v>675</v>
      </c>
      <c r="C3444" t="s">
        <v>2057</v>
      </c>
      <c r="D3444">
        <v>4</v>
      </c>
      <c r="E3444" s="16">
        <v>46.92</v>
      </c>
      <c r="F3444" s="1">
        <v>44226</v>
      </c>
      <c r="G3444" t="s">
        <v>2002</v>
      </c>
      <c r="H3444">
        <v>4</v>
      </c>
      <c r="I3444" s="12">
        <f>Table16[[#This Row],[price]]*Table16[[#This Row],[quantity]]</f>
        <v>187.68</v>
      </c>
    </row>
    <row r="3445" spans="1:9" x14ac:dyDescent="0.3">
      <c r="A3445" t="s">
        <v>5462</v>
      </c>
      <c r="B3445" t="s">
        <v>675</v>
      </c>
      <c r="C3445" t="s">
        <v>2011</v>
      </c>
      <c r="D3445">
        <v>5</v>
      </c>
      <c r="E3445" s="16">
        <v>203.3</v>
      </c>
      <c r="F3445" s="1">
        <v>44267</v>
      </c>
      <c r="G3445" t="s">
        <v>2018</v>
      </c>
      <c r="H3445">
        <v>1</v>
      </c>
      <c r="I3445" s="12">
        <f>Table16[[#This Row],[price]]*Table16[[#This Row],[quantity]]</f>
        <v>1016.5</v>
      </c>
    </row>
    <row r="3446" spans="1:9" x14ac:dyDescent="0.3">
      <c r="A3446" t="s">
        <v>5464</v>
      </c>
      <c r="B3446" t="s">
        <v>675</v>
      </c>
      <c r="C3446" t="s">
        <v>2001</v>
      </c>
      <c r="D3446">
        <v>3</v>
      </c>
      <c r="E3446" s="16">
        <v>900.24</v>
      </c>
      <c r="F3446" s="1">
        <v>44414</v>
      </c>
      <c r="G3446" t="s">
        <v>2004</v>
      </c>
      <c r="H3446">
        <v>2</v>
      </c>
      <c r="I3446" s="12">
        <f>Table16[[#This Row],[price]]*Table16[[#This Row],[quantity]]</f>
        <v>2700.7200000000003</v>
      </c>
    </row>
    <row r="3447" spans="1:9" x14ac:dyDescent="0.3">
      <c r="A3447" t="s">
        <v>5465</v>
      </c>
      <c r="B3447" t="s">
        <v>675</v>
      </c>
      <c r="C3447" t="s">
        <v>2008</v>
      </c>
      <c r="D3447">
        <v>2</v>
      </c>
      <c r="E3447" s="16">
        <v>10.46</v>
      </c>
      <c r="F3447" s="1">
        <v>44500</v>
      </c>
      <c r="G3447" t="s">
        <v>2002</v>
      </c>
      <c r="H3447">
        <v>4</v>
      </c>
      <c r="I3447" s="12">
        <f>Table16[[#This Row],[price]]*Table16[[#This Row],[quantity]]</f>
        <v>20.92</v>
      </c>
    </row>
    <row r="3448" spans="1:9" x14ac:dyDescent="0.3">
      <c r="A3448" t="s">
        <v>5461</v>
      </c>
      <c r="B3448" t="s">
        <v>675</v>
      </c>
      <c r="C3448" t="s">
        <v>2011</v>
      </c>
      <c r="D3448">
        <v>1</v>
      </c>
      <c r="E3448" s="16">
        <v>40.659999999999997</v>
      </c>
      <c r="F3448" s="1">
        <v>44626</v>
      </c>
      <c r="G3448" t="s">
        <v>2027</v>
      </c>
      <c r="H3448">
        <v>4</v>
      </c>
      <c r="I3448" s="12">
        <f>Table16[[#This Row],[price]]*Table16[[#This Row],[quantity]]</f>
        <v>40.659999999999997</v>
      </c>
    </row>
    <row r="3449" spans="1:9" x14ac:dyDescent="0.3">
      <c r="A3449" t="s">
        <v>5460</v>
      </c>
      <c r="B3449" t="s">
        <v>675</v>
      </c>
      <c r="C3449" t="s">
        <v>2006</v>
      </c>
      <c r="D3449">
        <v>3</v>
      </c>
      <c r="E3449" s="16">
        <v>45.45</v>
      </c>
      <c r="F3449" s="1">
        <v>44665</v>
      </c>
      <c r="G3449" t="s">
        <v>2004</v>
      </c>
      <c r="H3449">
        <v>1</v>
      </c>
      <c r="I3449" s="12">
        <f>Table16[[#This Row],[price]]*Table16[[#This Row],[quantity]]</f>
        <v>136.35000000000002</v>
      </c>
    </row>
    <row r="3450" spans="1:9" x14ac:dyDescent="0.3">
      <c r="A3450" t="s">
        <v>5469</v>
      </c>
      <c r="B3450" t="s">
        <v>676</v>
      </c>
      <c r="C3450" t="s">
        <v>2001</v>
      </c>
      <c r="D3450">
        <v>4</v>
      </c>
      <c r="E3450" s="16">
        <v>1200.32</v>
      </c>
      <c r="F3450" s="1">
        <v>44302</v>
      </c>
      <c r="G3450" t="s">
        <v>2020</v>
      </c>
      <c r="H3450">
        <v>4</v>
      </c>
      <c r="I3450" s="12">
        <f>Table16[[#This Row],[price]]*Table16[[#This Row],[quantity]]</f>
        <v>4801.28</v>
      </c>
    </row>
    <row r="3451" spans="1:9" x14ac:dyDescent="0.3">
      <c r="A3451" t="s">
        <v>5467</v>
      </c>
      <c r="B3451" t="s">
        <v>676</v>
      </c>
      <c r="C3451" t="s">
        <v>2017</v>
      </c>
      <c r="D3451">
        <v>3</v>
      </c>
      <c r="E3451" s="16">
        <v>3150</v>
      </c>
      <c r="F3451" s="1">
        <v>44422</v>
      </c>
      <c r="G3451" t="s">
        <v>2002</v>
      </c>
      <c r="H3451">
        <v>5</v>
      </c>
      <c r="I3451" s="12">
        <f>Table16[[#This Row],[price]]*Table16[[#This Row],[quantity]]</f>
        <v>9450</v>
      </c>
    </row>
    <row r="3452" spans="1:9" x14ac:dyDescent="0.3">
      <c r="A3452" t="s">
        <v>5470</v>
      </c>
      <c r="B3452" t="s">
        <v>676</v>
      </c>
      <c r="C3452" t="s">
        <v>2001</v>
      </c>
      <c r="D3452">
        <v>5</v>
      </c>
      <c r="E3452" s="16">
        <v>1500.4</v>
      </c>
      <c r="F3452" s="1">
        <v>44469</v>
      </c>
      <c r="G3452" t="s">
        <v>2009</v>
      </c>
      <c r="H3452">
        <v>4</v>
      </c>
      <c r="I3452" s="12">
        <f>Table16[[#This Row],[price]]*Table16[[#This Row],[quantity]]</f>
        <v>7502</v>
      </c>
    </row>
    <row r="3453" spans="1:9" x14ac:dyDescent="0.3">
      <c r="A3453" t="s">
        <v>5468</v>
      </c>
      <c r="B3453" t="s">
        <v>676</v>
      </c>
      <c r="C3453" t="s">
        <v>2006</v>
      </c>
      <c r="D3453">
        <v>3</v>
      </c>
      <c r="E3453" s="16">
        <v>45.45</v>
      </c>
      <c r="F3453" s="1">
        <v>44877</v>
      </c>
      <c r="G3453" t="s">
        <v>2002</v>
      </c>
      <c r="H3453">
        <v>3</v>
      </c>
      <c r="I3453" s="12">
        <f>Table16[[#This Row],[price]]*Table16[[#This Row],[quantity]]</f>
        <v>136.35000000000002</v>
      </c>
    </row>
    <row r="3454" spans="1:9" x14ac:dyDescent="0.3">
      <c r="A3454" t="s">
        <v>5472</v>
      </c>
      <c r="B3454" t="s">
        <v>676</v>
      </c>
      <c r="C3454" t="s">
        <v>2011</v>
      </c>
      <c r="D3454">
        <v>3</v>
      </c>
      <c r="E3454" s="16">
        <v>121.98</v>
      </c>
      <c r="F3454" s="1">
        <v>44939</v>
      </c>
      <c r="G3454" t="s">
        <v>2004</v>
      </c>
      <c r="H3454">
        <v>3</v>
      </c>
      <c r="I3454" s="12">
        <f>Table16[[#This Row],[price]]*Table16[[#This Row],[quantity]]</f>
        <v>365.94</v>
      </c>
    </row>
    <row r="3455" spans="1:9" x14ac:dyDescent="0.3">
      <c r="A3455" t="s">
        <v>5471</v>
      </c>
      <c r="B3455" t="s">
        <v>676</v>
      </c>
      <c r="C3455" t="s">
        <v>2001</v>
      </c>
      <c r="D3455">
        <v>4</v>
      </c>
      <c r="E3455" s="16">
        <v>1200.32</v>
      </c>
      <c r="F3455" s="1">
        <v>44946</v>
      </c>
      <c r="G3455" t="s">
        <v>2020</v>
      </c>
      <c r="H3455">
        <v>5</v>
      </c>
      <c r="I3455" s="12">
        <f>Table16[[#This Row],[price]]*Table16[[#This Row],[quantity]]</f>
        <v>4801.28</v>
      </c>
    </row>
    <row r="3456" spans="1:9" x14ac:dyDescent="0.3">
      <c r="A3456" t="s">
        <v>5466</v>
      </c>
      <c r="B3456" t="s">
        <v>676</v>
      </c>
      <c r="C3456" t="s">
        <v>2001</v>
      </c>
      <c r="D3456">
        <v>2</v>
      </c>
      <c r="E3456" s="16">
        <v>600.16</v>
      </c>
      <c r="F3456" s="1">
        <v>44972</v>
      </c>
      <c r="G3456" t="s">
        <v>2004</v>
      </c>
      <c r="H3456">
        <v>2</v>
      </c>
      <c r="I3456" s="12">
        <f>Table16[[#This Row],[price]]*Table16[[#This Row],[quantity]]</f>
        <v>1200.32</v>
      </c>
    </row>
    <row r="3457" spans="1:9" x14ac:dyDescent="0.3">
      <c r="A3457" t="s">
        <v>5473</v>
      </c>
      <c r="B3457" t="s">
        <v>677</v>
      </c>
      <c r="C3457" t="s">
        <v>2057</v>
      </c>
      <c r="D3457">
        <v>4</v>
      </c>
      <c r="E3457" s="16">
        <v>46.92</v>
      </c>
      <c r="F3457" s="1">
        <v>44568</v>
      </c>
      <c r="G3457" t="s">
        <v>2064</v>
      </c>
      <c r="H3457">
        <v>2</v>
      </c>
      <c r="I3457" s="12">
        <f>Table16[[#This Row],[price]]*Table16[[#This Row],[quantity]]</f>
        <v>187.68</v>
      </c>
    </row>
    <row r="3458" spans="1:9" x14ac:dyDescent="0.3">
      <c r="A3458" t="s">
        <v>5475</v>
      </c>
      <c r="B3458" t="s">
        <v>678</v>
      </c>
      <c r="C3458" t="s">
        <v>2001</v>
      </c>
      <c r="D3458">
        <v>4</v>
      </c>
      <c r="E3458" s="16">
        <v>1200.32</v>
      </c>
      <c r="F3458" s="1">
        <v>44199</v>
      </c>
      <c r="G3458" t="s">
        <v>2004</v>
      </c>
      <c r="H3458">
        <v>3</v>
      </c>
      <c r="I3458" s="12">
        <f>Table16[[#This Row],[price]]*Table16[[#This Row],[quantity]]</f>
        <v>4801.28</v>
      </c>
    </row>
    <row r="3459" spans="1:9" x14ac:dyDescent="0.3">
      <c r="A3459" t="s">
        <v>5476</v>
      </c>
      <c r="B3459" t="s">
        <v>678</v>
      </c>
      <c r="C3459" t="s">
        <v>2057</v>
      </c>
      <c r="D3459">
        <v>5</v>
      </c>
      <c r="E3459" s="16">
        <v>58.65</v>
      </c>
      <c r="F3459" s="1">
        <v>44589</v>
      </c>
      <c r="G3459" t="s">
        <v>2064</v>
      </c>
      <c r="H3459">
        <v>1</v>
      </c>
      <c r="I3459" s="12">
        <f>Table16[[#This Row],[price]]*Table16[[#This Row],[quantity]]</f>
        <v>293.25</v>
      </c>
    </row>
    <row r="3460" spans="1:9" x14ac:dyDescent="0.3">
      <c r="A3460" t="s">
        <v>5474</v>
      </c>
      <c r="B3460" t="s">
        <v>678</v>
      </c>
      <c r="C3460" t="s">
        <v>2011</v>
      </c>
      <c r="D3460">
        <v>5</v>
      </c>
      <c r="E3460" s="16">
        <v>203.3</v>
      </c>
      <c r="F3460" s="1">
        <v>44616</v>
      </c>
      <c r="G3460" t="s">
        <v>2064</v>
      </c>
      <c r="H3460">
        <v>5</v>
      </c>
      <c r="I3460" s="12">
        <f>Table16[[#This Row],[price]]*Table16[[#This Row],[quantity]]</f>
        <v>1016.5</v>
      </c>
    </row>
    <row r="3461" spans="1:9" x14ac:dyDescent="0.3">
      <c r="A3461" t="s">
        <v>5478</v>
      </c>
      <c r="B3461" t="s">
        <v>679</v>
      </c>
      <c r="C3461" t="s">
        <v>2001</v>
      </c>
      <c r="D3461">
        <v>1</v>
      </c>
      <c r="E3461" s="16">
        <v>300.08</v>
      </c>
      <c r="F3461" s="1">
        <v>44297</v>
      </c>
      <c r="G3461" t="s">
        <v>2064</v>
      </c>
      <c r="H3461">
        <v>4</v>
      </c>
      <c r="I3461" s="12">
        <f>Table16[[#This Row],[price]]*Table16[[#This Row],[quantity]]</f>
        <v>300.08</v>
      </c>
    </row>
    <row r="3462" spans="1:9" x14ac:dyDescent="0.3">
      <c r="A3462" t="s">
        <v>5477</v>
      </c>
      <c r="B3462" t="s">
        <v>679</v>
      </c>
      <c r="C3462" t="s">
        <v>2006</v>
      </c>
      <c r="D3462">
        <v>4</v>
      </c>
      <c r="E3462" s="16">
        <v>60.6</v>
      </c>
      <c r="F3462" s="1">
        <v>44382</v>
      </c>
      <c r="G3462" t="s">
        <v>2002</v>
      </c>
      <c r="H3462">
        <v>3</v>
      </c>
      <c r="I3462" s="12">
        <f>Table16[[#This Row],[price]]*Table16[[#This Row],[quantity]]</f>
        <v>242.4</v>
      </c>
    </row>
    <row r="3463" spans="1:9" x14ac:dyDescent="0.3">
      <c r="A3463" t="s">
        <v>5479</v>
      </c>
      <c r="B3463" t="s">
        <v>679</v>
      </c>
      <c r="C3463" t="s">
        <v>2001</v>
      </c>
      <c r="D3463">
        <v>3</v>
      </c>
      <c r="E3463" s="16">
        <v>900.24</v>
      </c>
      <c r="F3463" s="1">
        <v>44693</v>
      </c>
      <c r="G3463" t="s">
        <v>2027</v>
      </c>
      <c r="H3463">
        <v>4</v>
      </c>
      <c r="I3463" s="12">
        <f>Table16[[#This Row],[price]]*Table16[[#This Row],[quantity]]</f>
        <v>2700.7200000000003</v>
      </c>
    </row>
    <row r="3464" spans="1:9" x14ac:dyDescent="0.3">
      <c r="A3464" t="s">
        <v>5482</v>
      </c>
      <c r="B3464" t="s">
        <v>680</v>
      </c>
      <c r="C3464" t="s">
        <v>2011</v>
      </c>
      <c r="D3464">
        <v>5</v>
      </c>
      <c r="E3464" s="16">
        <v>203.3</v>
      </c>
      <c r="F3464" s="1">
        <v>44256</v>
      </c>
      <c r="G3464" t="s">
        <v>2058</v>
      </c>
      <c r="H3464">
        <v>3</v>
      </c>
      <c r="I3464" s="12">
        <f>Table16[[#This Row],[price]]*Table16[[#This Row],[quantity]]</f>
        <v>1016.5</v>
      </c>
    </row>
    <row r="3465" spans="1:9" x14ac:dyDescent="0.3">
      <c r="A3465" t="s">
        <v>5480</v>
      </c>
      <c r="B3465" t="s">
        <v>680</v>
      </c>
      <c r="C3465" t="s">
        <v>2015</v>
      </c>
      <c r="D3465">
        <v>3</v>
      </c>
      <c r="E3465" s="16">
        <v>1800.51</v>
      </c>
      <c r="F3465" s="1">
        <v>44666</v>
      </c>
      <c r="G3465" t="s">
        <v>2002</v>
      </c>
      <c r="H3465">
        <v>2</v>
      </c>
      <c r="I3465" s="12">
        <f>Table16[[#This Row],[price]]*Table16[[#This Row],[quantity]]</f>
        <v>5401.53</v>
      </c>
    </row>
    <row r="3466" spans="1:9" x14ac:dyDescent="0.3">
      <c r="A3466" t="s">
        <v>5481</v>
      </c>
      <c r="B3466" t="s">
        <v>680</v>
      </c>
      <c r="C3466" t="s">
        <v>2001</v>
      </c>
      <c r="D3466">
        <v>4</v>
      </c>
      <c r="E3466" s="16">
        <v>1200.32</v>
      </c>
      <c r="F3466" s="1">
        <v>44712</v>
      </c>
      <c r="G3466" t="s">
        <v>2058</v>
      </c>
      <c r="H3466">
        <v>3</v>
      </c>
      <c r="I3466" s="12">
        <f>Table16[[#This Row],[price]]*Table16[[#This Row],[quantity]]</f>
        <v>4801.28</v>
      </c>
    </row>
    <row r="3467" spans="1:9" x14ac:dyDescent="0.3">
      <c r="A3467" t="s">
        <v>5485</v>
      </c>
      <c r="B3467" t="s">
        <v>681</v>
      </c>
      <c r="C3467" t="s">
        <v>2008</v>
      </c>
      <c r="D3467">
        <v>2</v>
      </c>
      <c r="E3467" s="16">
        <v>10.46</v>
      </c>
      <c r="F3467" s="1">
        <v>44674</v>
      </c>
      <c r="G3467" t="s">
        <v>2027</v>
      </c>
      <c r="H3467">
        <v>2</v>
      </c>
      <c r="I3467" s="12">
        <f>Table16[[#This Row],[price]]*Table16[[#This Row],[quantity]]</f>
        <v>20.92</v>
      </c>
    </row>
    <row r="3468" spans="1:9" x14ac:dyDescent="0.3">
      <c r="A3468" t="s">
        <v>5483</v>
      </c>
      <c r="B3468" t="s">
        <v>681</v>
      </c>
      <c r="C3468" t="s">
        <v>2024</v>
      </c>
      <c r="D3468">
        <v>1</v>
      </c>
      <c r="E3468" s="16">
        <v>35.840000000000003</v>
      </c>
      <c r="F3468" s="1">
        <v>44822</v>
      </c>
      <c r="G3468" t="s">
        <v>2058</v>
      </c>
      <c r="H3468">
        <v>2</v>
      </c>
      <c r="I3468" s="12">
        <f>Table16[[#This Row],[price]]*Table16[[#This Row],[quantity]]</f>
        <v>35.840000000000003</v>
      </c>
    </row>
    <row r="3469" spans="1:9" x14ac:dyDescent="0.3">
      <c r="A3469" t="s">
        <v>5484</v>
      </c>
      <c r="B3469" t="s">
        <v>681</v>
      </c>
      <c r="C3469" t="s">
        <v>2001</v>
      </c>
      <c r="D3469">
        <v>5</v>
      </c>
      <c r="E3469" s="16">
        <v>1500.4</v>
      </c>
      <c r="F3469" s="1">
        <v>44991</v>
      </c>
      <c r="G3469" t="s">
        <v>2002</v>
      </c>
      <c r="H3469">
        <v>3</v>
      </c>
      <c r="I3469" s="12">
        <f>Table16[[#This Row],[price]]*Table16[[#This Row],[quantity]]</f>
        <v>7502</v>
      </c>
    </row>
    <row r="3470" spans="1:9" x14ac:dyDescent="0.3">
      <c r="A3470" t="s">
        <v>5490</v>
      </c>
      <c r="B3470" t="s">
        <v>682</v>
      </c>
      <c r="C3470" t="s">
        <v>2057</v>
      </c>
      <c r="D3470">
        <v>5</v>
      </c>
      <c r="E3470" s="16">
        <v>58.65</v>
      </c>
      <c r="F3470" s="1">
        <v>44211</v>
      </c>
      <c r="G3470" t="s">
        <v>2002</v>
      </c>
      <c r="H3470">
        <v>4</v>
      </c>
      <c r="I3470" s="12">
        <f>Table16[[#This Row],[price]]*Table16[[#This Row],[quantity]]</f>
        <v>293.25</v>
      </c>
    </row>
    <row r="3471" spans="1:9" x14ac:dyDescent="0.3">
      <c r="A3471" t="s">
        <v>5493</v>
      </c>
      <c r="B3471" t="s">
        <v>682</v>
      </c>
      <c r="C3471" t="s">
        <v>2001</v>
      </c>
      <c r="D3471">
        <v>3</v>
      </c>
      <c r="E3471" s="16">
        <v>900.24</v>
      </c>
      <c r="F3471" s="1">
        <v>44216</v>
      </c>
      <c r="G3471" t="s">
        <v>2041</v>
      </c>
      <c r="H3471">
        <v>4</v>
      </c>
      <c r="I3471" s="12">
        <f>Table16[[#This Row],[price]]*Table16[[#This Row],[quantity]]</f>
        <v>2700.7200000000003</v>
      </c>
    </row>
    <row r="3472" spans="1:9" x14ac:dyDescent="0.3">
      <c r="A3472" t="s">
        <v>5492</v>
      </c>
      <c r="B3472" t="s">
        <v>682</v>
      </c>
      <c r="C3472" t="s">
        <v>2057</v>
      </c>
      <c r="D3472">
        <v>3</v>
      </c>
      <c r="E3472" s="16">
        <v>35.19</v>
      </c>
      <c r="F3472" s="1">
        <v>44240</v>
      </c>
      <c r="G3472" t="s">
        <v>2012</v>
      </c>
      <c r="H3472">
        <v>3</v>
      </c>
      <c r="I3472" s="12">
        <f>Table16[[#This Row],[price]]*Table16[[#This Row],[quantity]]</f>
        <v>105.57</v>
      </c>
    </row>
    <row r="3473" spans="1:9" x14ac:dyDescent="0.3">
      <c r="A3473" t="s">
        <v>5487</v>
      </c>
      <c r="B3473" t="s">
        <v>682</v>
      </c>
      <c r="C3473" t="s">
        <v>2008</v>
      </c>
      <c r="D3473">
        <v>1</v>
      </c>
      <c r="E3473" s="16">
        <v>5.23</v>
      </c>
      <c r="F3473" s="1">
        <v>44369</v>
      </c>
      <c r="G3473" t="s">
        <v>2020</v>
      </c>
      <c r="H3473">
        <v>1</v>
      </c>
      <c r="I3473" s="12">
        <f>Table16[[#This Row],[price]]*Table16[[#This Row],[quantity]]</f>
        <v>5.23</v>
      </c>
    </row>
    <row r="3474" spans="1:9" x14ac:dyDescent="0.3">
      <c r="A3474" t="s">
        <v>5489</v>
      </c>
      <c r="B3474" t="s">
        <v>682</v>
      </c>
      <c r="C3474" t="s">
        <v>2008</v>
      </c>
      <c r="D3474">
        <v>5</v>
      </c>
      <c r="E3474" s="16">
        <v>26.15</v>
      </c>
      <c r="F3474" s="1">
        <v>44501</v>
      </c>
      <c r="G3474" t="s">
        <v>2002</v>
      </c>
      <c r="H3474">
        <v>5</v>
      </c>
      <c r="I3474" s="12">
        <f>Table16[[#This Row],[price]]*Table16[[#This Row],[quantity]]</f>
        <v>130.75</v>
      </c>
    </row>
    <row r="3475" spans="1:9" x14ac:dyDescent="0.3">
      <c r="A3475" t="s">
        <v>5488</v>
      </c>
      <c r="B3475" t="s">
        <v>682</v>
      </c>
      <c r="C3475" t="s">
        <v>2011</v>
      </c>
      <c r="D3475">
        <v>3</v>
      </c>
      <c r="E3475" s="16">
        <v>121.98</v>
      </c>
      <c r="F3475" s="1">
        <v>44526</v>
      </c>
      <c r="G3475" t="s">
        <v>2004</v>
      </c>
      <c r="H3475">
        <v>1</v>
      </c>
      <c r="I3475" s="12">
        <f>Table16[[#This Row],[price]]*Table16[[#This Row],[quantity]]</f>
        <v>365.94</v>
      </c>
    </row>
    <row r="3476" spans="1:9" x14ac:dyDescent="0.3">
      <c r="A3476" t="s">
        <v>5491</v>
      </c>
      <c r="B3476" t="s">
        <v>682</v>
      </c>
      <c r="C3476" t="s">
        <v>2057</v>
      </c>
      <c r="D3476">
        <v>1</v>
      </c>
      <c r="E3476" s="16">
        <v>11.73</v>
      </c>
      <c r="F3476" s="1">
        <v>44635</v>
      </c>
      <c r="G3476" t="s">
        <v>2004</v>
      </c>
      <c r="H3476">
        <v>4</v>
      </c>
      <c r="I3476" s="12">
        <f>Table16[[#This Row],[price]]*Table16[[#This Row],[quantity]]</f>
        <v>11.73</v>
      </c>
    </row>
    <row r="3477" spans="1:9" x14ac:dyDescent="0.3">
      <c r="A3477" t="s">
        <v>5486</v>
      </c>
      <c r="B3477" t="s">
        <v>682</v>
      </c>
      <c r="C3477" t="s">
        <v>2008</v>
      </c>
      <c r="D3477">
        <v>3</v>
      </c>
      <c r="E3477" s="16">
        <v>15.69</v>
      </c>
      <c r="F3477" s="1">
        <v>44783</v>
      </c>
      <c r="G3477" t="s">
        <v>2027</v>
      </c>
      <c r="H3477">
        <v>2</v>
      </c>
      <c r="I3477" s="12">
        <f>Table16[[#This Row],[price]]*Table16[[#This Row],[quantity]]</f>
        <v>47.07</v>
      </c>
    </row>
    <row r="3478" spans="1:9" x14ac:dyDescent="0.3">
      <c r="A3478" t="s">
        <v>5497</v>
      </c>
      <c r="B3478" t="s">
        <v>683</v>
      </c>
      <c r="C3478" t="s">
        <v>2001</v>
      </c>
      <c r="D3478">
        <v>1</v>
      </c>
      <c r="E3478" s="16">
        <v>300.08</v>
      </c>
      <c r="F3478" s="1">
        <v>44391</v>
      </c>
      <c r="G3478" t="s">
        <v>2020</v>
      </c>
      <c r="H3478">
        <v>2</v>
      </c>
      <c r="I3478" s="12">
        <f>Table16[[#This Row],[price]]*Table16[[#This Row],[quantity]]</f>
        <v>300.08</v>
      </c>
    </row>
    <row r="3479" spans="1:9" x14ac:dyDescent="0.3">
      <c r="A3479" t="s">
        <v>5495</v>
      </c>
      <c r="B3479" t="s">
        <v>683</v>
      </c>
      <c r="C3479" t="s">
        <v>2024</v>
      </c>
      <c r="D3479">
        <v>2</v>
      </c>
      <c r="E3479" s="16">
        <v>71.680000000000007</v>
      </c>
      <c r="F3479" s="1">
        <v>44678</v>
      </c>
      <c r="G3479" t="s">
        <v>2002</v>
      </c>
      <c r="H3479">
        <v>2</v>
      </c>
      <c r="I3479" s="12">
        <f>Table16[[#This Row],[price]]*Table16[[#This Row],[quantity]]</f>
        <v>143.36000000000001</v>
      </c>
    </row>
    <row r="3480" spans="1:9" x14ac:dyDescent="0.3">
      <c r="A3480" t="s">
        <v>5494</v>
      </c>
      <c r="B3480" t="s">
        <v>683</v>
      </c>
      <c r="C3480" t="s">
        <v>2001</v>
      </c>
      <c r="D3480">
        <v>2</v>
      </c>
      <c r="E3480" s="16">
        <v>600.16</v>
      </c>
      <c r="F3480" s="1">
        <v>44786</v>
      </c>
      <c r="G3480" t="s">
        <v>2020</v>
      </c>
      <c r="H3480">
        <v>5</v>
      </c>
      <c r="I3480" s="12">
        <f>Table16[[#This Row],[price]]*Table16[[#This Row],[quantity]]</f>
        <v>1200.32</v>
      </c>
    </row>
    <row r="3481" spans="1:9" x14ac:dyDescent="0.3">
      <c r="A3481" t="s">
        <v>5496</v>
      </c>
      <c r="B3481" t="s">
        <v>683</v>
      </c>
      <c r="C3481" t="s">
        <v>2011</v>
      </c>
      <c r="D3481">
        <v>4</v>
      </c>
      <c r="E3481" s="16">
        <v>162.63999999999999</v>
      </c>
      <c r="F3481" s="1">
        <v>44990</v>
      </c>
      <c r="G3481" t="s">
        <v>2004</v>
      </c>
      <c r="H3481">
        <v>4</v>
      </c>
      <c r="I3481" s="12">
        <f>Table16[[#This Row],[price]]*Table16[[#This Row],[quantity]]</f>
        <v>650.55999999999995</v>
      </c>
    </row>
    <row r="3482" spans="1:9" x14ac:dyDescent="0.3">
      <c r="A3482" t="s">
        <v>5499</v>
      </c>
      <c r="B3482" t="s">
        <v>684</v>
      </c>
      <c r="C3482" t="s">
        <v>2006</v>
      </c>
      <c r="D3482">
        <v>1</v>
      </c>
      <c r="E3482" s="16">
        <v>15.15</v>
      </c>
      <c r="F3482" s="1">
        <v>44304</v>
      </c>
      <c r="G3482" t="s">
        <v>2041</v>
      </c>
      <c r="H3482">
        <v>3</v>
      </c>
      <c r="I3482" s="12">
        <f>Table16[[#This Row],[price]]*Table16[[#This Row],[quantity]]</f>
        <v>15.15</v>
      </c>
    </row>
    <row r="3483" spans="1:9" x14ac:dyDescent="0.3">
      <c r="A3483" t="s">
        <v>5498</v>
      </c>
      <c r="B3483" t="s">
        <v>684</v>
      </c>
      <c r="C3483" t="s">
        <v>2011</v>
      </c>
      <c r="D3483">
        <v>4</v>
      </c>
      <c r="E3483" s="16">
        <v>162.63999999999999</v>
      </c>
      <c r="F3483" s="1">
        <v>44758</v>
      </c>
      <c r="G3483" t="s">
        <v>2002</v>
      </c>
      <c r="H3483">
        <v>2</v>
      </c>
      <c r="I3483" s="12">
        <f>Table16[[#This Row],[price]]*Table16[[#This Row],[quantity]]</f>
        <v>650.55999999999995</v>
      </c>
    </row>
    <row r="3484" spans="1:9" x14ac:dyDescent="0.3">
      <c r="A3484" t="s">
        <v>5501</v>
      </c>
      <c r="B3484" t="s">
        <v>684</v>
      </c>
      <c r="C3484" t="s">
        <v>2057</v>
      </c>
      <c r="D3484">
        <v>3</v>
      </c>
      <c r="E3484" s="16">
        <v>35.19</v>
      </c>
      <c r="F3484" s="1">
        <v>44915</v>
      </c>
      <c r="G3484" t="s">
        <v>2020</v>
      </c>
      <c r="H3484">
        <v>2</v>
      </c>
      <c r="I3484" s="12">
        <f>Table16[[#This Row],[price]]*Table16[[#This Row],[quantity]]</f>
        <v>105.57</v>
      </c>
    </row>
    <row r="3485" spans="1:9" x14ac:dyDescent="0.3">
      <c r="A3485" t="s">
        <v>5500</v>
      </c>
      <c r="B3485" t="s">
        <v>684</v>
      </c>
      <c r="C3485" t="s">
        <v>2001</v>
      </c>
      <c r="D3485">
        <v>2</v>
      </c>
      <c r="E3485" s="16">
        <v>600.16</v>
      </c>
      <c r="F3485" s="1">
        <v>44977</v>
      </c>
      <c r="G3485" t="s">
        <v>2064</v>
      </c>
      <c r="H3485">
        <v>2</v>
      </c>
      <c r="I3485" s="12">
        <f>Table16[[#This Row],[price]]*Table16[[#This Row],[quantity]]</f>
        <v>1200.32</v>
      </c>
    </row>
    <row r="3486" spans="1:9" x14ac:dyDescent="0.3">
      <c r="A3486" t="s">
        <v>5504</v>
      </c>
      <c r="B3486" t="s">
        <v>685</v>
      </c>
      <c r="C3486" t="s">
        <v>2024</v>
      </c>
      <c r="D3486">
        <v>1</v>
      </c>
      <c r="E3486" s="16">
        <v>35.840000000000003</v>
      </c>
      <c r="F3486" s="1">
        <v>44387</v>
      </c>
      <c r="G3486" t="s">
        <v>2009</v>
      </c>
      <c r="H3486">
        <v>5</v>
      </c>
      <c r="I3486" s="12">
        <f>Table16[[#This Row],[price]]*Table16[[#This Row],[quantity]]</f>
        <v>35.840000000000003</v>
      </c>
    </row>
    <row r="3487" spans="1:9" x14ac:dyDescent="0.3">
      <c r="A3487" t="s">
        <v>5503</v>
      </c>
      <c r="B3487" t="s">
        <v>685</v>
      </c>
      <c r="C3487" t="s">
        <v>2001</v>
      </c>
      <c r="D3487">
        <v>1</v>
      </c>
      <c r="E3487" s="16">
        <v>300.08</v>
      </c>
      <c r="F3487" s="1">
        <v>44558</v>
      </c>
      <c r="G3487" t="s">
        <v>2020</v>
      </c>
      <c r="H3487">
        <v>4</v>
      </c>
      <c r="I3487" s="12">
        <f>Table16[[#This Row],[price]]*Table16[[#This Row],[quantity]]</f>
        <v>300.08</v>
      </c>
    </row>
    <row r="3488" spans="1:9" x14ac:dyDescent="0.3">
      <c r="A3488" t="s">
        <v>5502</v>
      </c>
      <c r="B3488" t="s">
        <v>685</v>
      </c>
      <c r="C3488" t="s">
        <v>2011</v>
      </c>
      <c r="D3488">
        <v>4</v>
      </c>
      <c r="E3488" s="16">
        <v>162.63999999999999</v>
      </c>
      <c r="F3488" s="1">
        <v>44636</v>
      </c>
      <c r="G3488" t="s">
        <v>2018</v>
      </c>
      <c r="H3488">
        <v>2</v>
      </c>
      <c r="I3488" s="12">
        <f>Table16[[#This Row],[price]]*Table16[[#This Row],[quantity]]</f>
        <v>650.55999999999995</v>
      </c>
    </row>
    <row r="3489" spans="1:9" x14ac:dyDescent="0.3">
      <c r="A3489" t="s">
        <v>5505</v>
      </c>
      <c r="B3489" t="s">
        <v>685</v>
      </c>
      <c r="C3489" t="s">
        <v>2057</v>
      </c>
      <c r="D3489">
        <v>1</v>
      </c>
      <c r="E3489" s="16">
        <v>11.73</v>
      </c>
      <c r="F3489" s="1">
        <v>44690</v>
      </c>
      <c r="G3489" t="s">
        <v>2064</v>
      </c>
      <c r="H3489">
        <v>3</v>
      </c>
      <c r="I3489" s="12">
        <f>Table16[[#This Row],[price]]*Table16[[#This Row],[quantity]]</f>
        <v>11.73</v>
      </c>
    </row>
    <row r="3490" spans="1:9" x14ac:dyDescent="0.3">
      <c r="A3490" t="s">
        <v>5510</v>
      </c>
      <c r="B3490" t="s">
        <v>686</v>
      </c>
      <c r="C3490" t="s">
        <v>2057</v>
      </c>
      <c r="D3490">
        <v>3</v>
      </c>
      <c r="E3490" s="16">
        <v>35.19</v>
      </c>
      <c r="F3490" s="1">
        <v>44340</v>
      </c>
      <c r="G3490" t="s">
        <v>2004</v>
      </c>
      <c r="H3490">
        <v>1</v>
      </c>
      <c r="I3490" s="12">
        <f>Table16[[#This Row],[price]]*Table16[[#This Row],[quantity]]</f>
        <v>105.57</v>
      </c>
    </row>
    <row r="3491" spans="1:9" x14ac:dyDescent="0.3">
      <c r="A3491" t="s">
        <v>5508</v>
      </c>
      <c r="B3491" t="s">
        <v>686</v>
      </c>
      <c r="C3491" t="s">
        <v>2011</v>
      </c>
      <c r="D3491">
        <v>2</v>
      </c>
      <c r="E3491" s="16">
        <v>81.319999999999993</v>
      </c>
      <c r="F3491" s="1">
        <v>44471</v>
      </c>
      <c r="G3491" t="s">
        <v>2064</v>
      </c>
      <c r="H3491">
        <v>2</v>
      </c>
      <c r="I3491" s="12">
        <f>Table16[[#This Row],[price]]*Table16[[#This Row],[quantity]]</f>
        <v>162.63999999999999</v>
      </c>
    </row>
    <row r="3492" spans="1:9" x14ac:dyDescent="0.3">
      <c r="A3492" t="s">
        <v>5512</v>
      </c>
      <c r="B3492" t="s">
        <v>686</v>
      </c>
      <c r="C3492" t="s">
        <v>2011</v>
      </c>
      <c r="D3492">
        <v>3</v>
      </c>
      <c r="E3492" s="16">
        <v>121.98</v>
      </c>
      <c r="F3492" s="1">
        <v>44648</v>
      </c>
      <c r="G3492" t="s">
        <v>2002</v>
      </c>
      <c r="H3492">
        <v>5</v>
      </c>
      <c r="I3492" s="12">
        <f>Table16[[#This Row],[price]]*Table16[[#This Row],[quantity]]</f>
        <v>365.94</v>
      </c>
    </row>
    <row r="3493" spans="1:9" x14ac:dyDescent="0.3">
      <c r="A3493" t="s">
        <v>5509</v>
      </c>
      <c r="B3493" t="s">
        <v>686</v>
      </c>
      <c r="C3493" t="s">
        <v>2008</v>
      </c>
      <c r="D3493">
        <v>1</v>
      </c>
      <c r="E3493" s="16">
        <v>5.23</v>
      </c>
      <c r="F3493" s="1">
        <v>44716</v>
      </c>
      <c r="G3493" t="s">
        <v>2020</v>
      </c>
      <c r="H3493">
        <v>4</v>
      </c>
      <c r="I3493" s="12">
        <f>Table16[[#This Row],[price]]*Table16[[#This Row],[quantity]]</f>
        <v>5.23</v>
      </c>
    </row>
    <row r="3494" spans="1:9" x14ac:dyDescent="0.3">
      <c r="A3494" t="s">
        <v>5511</v>
      </c>
      <c r="B3494" t="s">
        <v>686</v>
      </c>
      <c r="C3494" t="s">
        <v>2015</v>
      </c>
      <c r="D3494">
        <v>3</v>
      </c>
      <c r="E3494" s="16">
        <v>1800.51</v>
      </c>
      <c r="F3494" s="1">
        <v>44851</v>
      </c>
      <c r="G3494" t="s">
        <v>2012</v>
      </c>
      <c r="H3494">
        <v>3</v>
      </c>
      <c r="I3494" s="12">
        <f>Table16[[#This Row],[price]]*Table16[[#This Row],[quantity]]</f>
        <v>5401.53</v>
      </c>
    </row>
    <row r="3495" spans="1:9" x14ac:dyDescent="0.3">
      <c r="A3495" t="s">
        <v>5506</v>
      </c>
      <c r="B3495" t="s">
        <v>686</v>
      </c>
      <c r="C3495" t="s">
        <v>2017</v>
      </c>
      <c r="D3495">
        <v>5</v>
      </c>
      <c r="E3495" s="16">
        <v>5250</v>
      </c>
      <c r="F3495" s="1">
        <v>44876</v>
      </c>
      <c r="G3495" t="s">
        <v>2027</v>
      </c>
      <c r="H3495">
        <v>3</v>
      </c>
      <c r="I3495" s="12">
        <f>Table16[[#This Row],[price]]*Table16[[#This Row],[quantity]]</f>
        <v>26250</v>
      </c>
    </row>
    <row r="3496" spans="1:9" x14ac:dyDescent="0.3">
      <c r="A3496" t="s">
        <v>5507</v>
      </c>
      <c r="B3496" t="s">
        <v>686</v>
      </c>
      <c r="C3496" t="s">
        <v>2006</v>
      </c>
      <c r="D3496">
        <v>3</v>
      </c>
      <c r="E3496" s="16">
        <v>45.45</v>
      </c>
      <c r="F3496" s="1">
        <v>44928</v>
      </c>
      <c r="G3496" t="s">
        <v>2027</v>
      </c>
      <c r="H3496">
        <v>4</v>
      </c>
      <c r="I3496" s="12">
        <f>Table16[[#This Row],[price]]*Table16[[#This Row],[quantity]]</f>
        <v>136.35000000000002</v>
      </c>
    </row>
    <row r="3497" spans="1:9" x14ac:dyDescent="0.3">
      <c r="A3497" t="s">
        <v>5515</v>
      </c>
      <c r="B3497" t="s">
        <v>687</v>
      </c>
      <c r="C3497" t="s">
        <v>2015</v>
      </c>
      <c r="D3497">
        <v>3</v>
      </c>
      <c r="E3497" s="16">
        <v>1800.51</v>
      </c>
      <c r="F3497" s="1">
        <v>44301</v>
      </c>
      <c r="G3497" t="s">
        <v>2020</v>
      </c>
      <c r="H3497">
        <v>2</v>
      </c>
      <c r="I3497" s="12">
        <f>Table16[[#This Row],[price]]*Table16[[#This Row],[quantity]]</f>
        <v>5401.53</v>
      </c>
    </row>
    <row r="3498" spans="1:9" x14ac:dyDescent="0.3">
      <c r="A3498" t="s">
        <v>5518</v>
      </c>
      <c r="B3498" t="s">
        <v>687</v>
      </c>
      <c r="C3498" t="s">
        <v>2001</v>
      </c>
      <c r="D3498">
        <v>2</v>
      </c>
      <c r="E3498" s="16">
        <v>600.16</v>
      </c>
      <c r="F3498" s="1">
        <v>44391</v>
      </c>
      <c r="G3498" t="s">
        <v>2027</v>
      </c>
      <c r="H3498">
        <v>5</v>
      </c>
      <c r="I3498" s="12">
        <f>Table16[[#This Row],[price]]*Table16[[#This Row],[quantity]]</f>
        <v>1200.32</v>
      </c>
    </row>
    <row r="3499" spans="1:9" x14ac:dyDescent="0.3">
      <c r="A3499" t="s">
        <v>5514</v>
      </c>
      <c r="B3499" t="s">
        <v>687</v>
      </c>
      <c r="C3499" t="s">
        <v>2008</v>
      </c>
      <c r="D3499">
        <v>2</v>
      </c>
      <c r="E3499" s="16">
        <v>10.46</v>
      </c>
      <c r="F3499" s="1">
        <v>44538</v>
      </c>
      <c r="G3499" t="s">
        <v>2064</v>
      </c>
      <c r="H3499">
        <v>3</v>
      </c>
      <c r="I3499" s="12">
        <f>Table16[[#This Row],[price]]*Table16[[#This Row],[quantity]]</f>
        <v>20.92</v>
      </c>
    </row>
    <row r="3500" spans="1:9" x14ac:dyDescent="0.3">
      <c r="A3500" t="s">
        <v>5513</v>
      </c>
      <c r="B3500" t="s">
        <v>687</v>
      </c>
      <c r="C3500" t="s">
        <v>2006</v>
      </c>
      <c r="D3500">
        <v>4</v>
      </c>
      <c r="E3500" s="16">
        <v>60.6</v>
      </c>
      <c r="F3500" s="1">
        <v>44682</v>
      </c>
      <c r="G3500" t="s">
        <v>2002</v>
      </c>
      <c r="H3500">
        <v>3</v>
      </c>
      <c r="I3500" s="12">
        <f>Table16[[#This Row],[price]]*Table16[[#This Row],[quantity]]</f>
        <v>242.4</v>
      </c>
    </row>
    <row r="3501" spans="1:9" x14ac:dyDescent="0.3">
      <c r="A3501" t="s">
        <v>5517</v>
      </c>
      <c r="B3501" t="s">
        <v>687</v>
      </c>
      <c r="C3501" t="s">
        <v>2001</v>
      </c>
      <c r="D3501">
        <v>5</v>
      </c>
      <c r="E3501" s="16">
        <v>1500.4</v>
      </c>
      <c r="F3501" s="1">
        <v>44708</v>
      </c>
      <c r="G3501" t="s">
        <v>2058</v>
      </c>
      <c r="H3501">
        <v>3</v>
      </c>
      <c r="I3501" s="12">
        <f>Table16[[#This Row],[price]]*Table16[[#This Row],[quantity]]</f>
        <v>7502</v>
      </c>
    </row>
    <row r="3502" spans="1:9" x14ac:dyDescent="0.3">
      <c r="A3502" t="s">
        <v>5516</v>
      </c>
      <c r="B3502" t="s">
        <v>687</v>
      </c>
      <c r="C3502" t="s">
        <v>2001</v>
      </c>
      <c r="D3502">
        <v>3</v>
      </c>
      <c r="E3502" s="16">
        <v>900.24</v>
      </c>
      <c r="F3502" s="1">
        <v>44875</v>
      </c>
      <c r="G3502" t="s">
        <v>2027</v>
      </c>
      <c r="H3502">
        <v>4</v>
      </c>
      <c r="I3502" s="12">
        <f>Table16[[#This Row],[price]]*Table16[[#This Row],[quantity]]</f>
        <v>2700.7200000000003</v>
      </c>
    </row>
    <row r="3503" spans="1:9" x14ac:dyDescent="0.3">
      <c r="A3503" t="s">
        <v>5519</v>
      </c>
      <c r="B3503" t="s">
        <v>687</v>
      </c>
      <c r="C3503" t="s">
        <v>2024</v>
      </c>
      <c r="D3503">
        <v>2</v>
      </c>
      <c r="E3503" s="16">
        <v>71.680000000000007</v>
      </c>
      <c r="F3503" s="1">
        <v>44902</v>
      </c>
      <c r="G3503" t="s">
        <v>2027</v>
      </c>
      <c r="H3503">
        <v>4</v>
      </c>
      <c r="I3503" s="12">
        <f>Table16[[#This Row],[price]]*Table16[[#This Row],[quantity]]</f>
        <v>143.36000000000001</v>
      </c>
    </row>
    <row r="3504" spans="1:9" x14ac:dyDescent="0.3">
      <c r="A3504" t="s">
        <v>5522</v>
      </c>
      <c r="B3504" t="s">
        <v>688</v>
      </c>
      <c r="C3504" t="s">
        <v>2001</v>
      </c>
      <c r="D3504">
        <v>1</v>
      </c>
      <c r="E3504" s="16">
        <v>300.08</v>
      </c>
      <c r="F3504" s="1">
        <v>44413</v>
      </c>
      <c r="G3504" t="s">
        <v>2020</v>
      </c>
      <c r="H3504">
        <v>3</v>
      </c>
      <c r="I3504" s="12">
        <f>Table16[[#This Row],[price]]*Table16[[#This Row],[quantity]]</f>
        <v>300.08</v>
      </c>
    </row>
    <row r="3505" spans="1:9" x14ac:dyDescent="0.3">
      <c r="A3505" t="s">
        <v>5523</v>
      </c>
      <c r="B3505" t="s">
        <v>688</v>
      </c>
      <c r="C3505" t="s">
        <v>2011</v>
      </c>
      <c r="D3505">
        <v>3</v>
      </c>
      <c r="E3505" s="16">
        <v>121.98</v>
      </c>
      <c r="F3505" s="1">
        <v>44459</v>
      </c>
      <c r="G3505" t="s">
        <v>2004</v>
      </c>
      <c r="H3505">
        <v>5</v>
      </c>
      <c r="I3505" s="12">
        <f>Table16[[#This Row],[price]]*Table16[[#This Row],[quantity]]</f>
        <v>365.94</v>
      </c>
    </row>
    <row r="3506" spans="1:9" x14ac:dyDescent="0.3">
      <c r="A3506" t="s">
        <v>5521</v>
      </c>
      <c r="B3506" t="s">
        <v>688</v>
      </c>
      <c r="C3506" t="s">
        <v>2001</v>
      </c>
      <c r="D3506">
        <v>2</v>
      </c>
      <c r="E3506" s="16">
        <v>600.16</v>
      </c>
      <c r="F3506" s="1">
        <v>44512</v>
      </c>
      <c r="G3506" t="s">
        <v>2058</v>
      </c>
      <c r="H3506">
        <v>4</v>
      </c>
      <c r="I3506" s="12">
        <f>Table16[[#This Row],[price]]*Table16[[#This Row],[quantity]]</f>
        <v>1200.32</v>
      </c>
    </row>
    <row r="3507" spans="1:9" x14ac:dyDescent="0.3">
      <c r="A3507" t="s">
        <v>5524</v>
      </c>
      <c r="B3507" t="s">
        <v>688</v>
      </c>
      <c r="C3507" t="s">
        <v>2011</v>
      </c>
      <c r="D3507">
        <v>5</v>
      </c>
      <c r="E3507" s="16">
        <v>203.3</v>
      </c>
      <c r="F3507" s="1">
        <v>44523</v>
      </c>
      <c r="G3507" t="s">
        <v>2064</v>
      </c>
      <c r="H3507">
        <v>1</v>
      </c>
      <c r="I3507" s="12">
        <f>Table16[[#This Row],[price]]*Table16[[#This Row],[quantity]]</f>
        <v>1016.5</v>
      </c>
    </row>
    <row r="3508" spans="1:9" x14ac:dyDescent="0.3">
      <c r="A3508" t="s">
        <v>5520</v>
      </c>
      <c r="B3508" t="s">
        <v>688</v>
      </c>
      <c r="C3508" t="s">
        <v>2024</v>
      </c>
      <c r="D3508">
        <v>5</v>
      </c>
      <c r="E3508" s="16">
        <v>179.2</v>
      </c>
      <c r="F3508" s="1">
        <v>44793</v>
      </c>
      <c r="G3508" t="s">
        <v>2027</v>
      </c>
      <c r="H3508">
        <v>2</v>
      </c>
      <c r="I3508" s="12">
        <f>Table16[[#This Row],[price]]*Table16[[#This Row],[quantity]]</f>
        <v>896</v>
      </c>
    </row>
    <row r="3509" spans="1:9" x14ac:dyDescent="0.3">
      <c r="A3509" t="s">
        <v>5526</v>
      </c>
      <c r="B3509" t="s">
        <v>688</v>
      </c>
      <c r="C3509" t="s">
        <v>2024</v>
      </c>
      <c r="D3509">
        <v>1</v>
      </c>
      <c r="E3509" s="16">
        <v>35.840000000000003</v>
      </c>
      <c r="F3509" s="1">
        <v>44804</v>
      </c>
      <c r="G3509" t="s">
        <v>2002</v>
      </c>
      <c r="H3509">
        <v>5</v>
      </c>
      <c r="I3509" s="12">
        <f>Table16[[#This Row],[price]]*Table16[[#This Row],[quantity]]</f>
        <v>35.840000000000003</v>
      </c>
    </row>
    <row r="3510" spans="1:9" x14ac:dyDescent="0.3">
      <c r="A3510" t="s">
        <v>5525</v>
      </c>
      <c r="B3510" t="s">
        <v>688</v>
      </c>
      <c r="C3510" t="s">
        <v>2001</v>
      </c>
      <c r="D3510">
        <v>5</v>
      </c>
      <c r="E3510" s="16">
        <v>1500.4</v>
      </c>
      <c r="F3510" s="1">
        <v>44897</v>
      </c>
      <c r="G3510" t="s">
        <v>2002</v>
      </c>
      <c r="H3510">
        <v>4</v>
      </c>
      <c r="I3510" s="12">
        <f>Table16[[#This Row],[price]]*Table16[[#This Row],[quantity]]</f>
        <v>7502</v>
      </c>
    </row>
    <row r="3511" spans="1:9" x14ac:dyDescent="0.3">
      <c r="A3511" t="s">
        <v>5527</v>
      </c>
      <c r="B3511" t="s">
        <v>689</v>
      </c>
      <c r="C3511" t="s">
        <v>2017</v>
      </c>
      <c r="D3511">
        <v>5</v>
      </c>
      <c r="E3511" s="16">
        <v>5250</v>
      </c>
      <c r="F3511" s="1">
        <v>44247</v>
      </c>
      <c r="G3511" t="s">
        <v>2064</v>
      </c>
      <c r="H3511">
        <v>3</v>
      </c>
      <c r="I3511" s="12">
        <f>Table16[[#This Row],[price]]*Table16[[#This Row],[quantity]]</f>
        <v>26250</v>
      </c>
    </row>
    <row r="3512" spans="1:9" x14ac:dyDescent="0.3">
      <c r="A3512" t="s">
        <v>5530</v>
      </c>
      <c r="B3512" t="s">
        <v>689</v>
      </c>
      <c r="C3512" t="s">
        <v>2015</v>
      </c>
      <c r="D3512">
        <v>4</v>
      </c>
      <c r="E3512" s="16">
        <v>2400.6799999999998</v>
      </c>
      <c r="F3512" s="1">
        <v>44259</v>
      </c>
      <c r="G3512" t="s">
        <v>2064</v>
      </c>
      <c r="H3512">
        <v>3</v>
      </c>
      <c r="I3512" s="12">
        <f>Table16[[#This Row],[price]]*Table16[[#This Row],[quantity]]</f>
        <v>9602.7199999999993</v>
      </c>
    </row>
    <row r="3513" spans="1:9" x14ac:dyDescent="0.3">
      <c r="A3513" t="s">
        <v>5534</v>
      </c>
      <c r="B3513" t="s">
        <v>689</v>
      </c>
      <c r="C3513" t="s">
        <v>2001</v>
      </c>
      <c r="D3513">
        <v>3</v>
      </c>
      <c r="E3513" s="16">
        <v>900.24</v>
      </c>
      <c r="F3513" s="1">
        <v>44295</v>
      </c>
      <c r="G3513" t="s">
        <v>2064</v>
      </c>
      <c r="H3513">
        <v>2</v>
      </c>
      <c r="I3513" s="12">
        <f>Table16[[#This Row],[price]]*Table16[[#This Row],[quantity]]</f>
        <v>2700.7200000000003</v>
      </c>
    </row>
    <row r="3514" spans="1:9" x14ac:dyDescent="0.3">
      <c r="A3514" t="s">
        <v>5529</v>
      </c>
      <c r="B3514" t="s">
        <v>689</v>
      </c>
      <c r="C3514" t="s">
        <v>2001</v>
      </c>
      <c r="D3514">
        <v>4</v>
      </c>
      <c r="E3514" s="16">
        <v>1200.32</v>
      </c>
      <c r="F3514" s="1">
        <v>44353</v>
      </c>
      <c r="G3514" t="s">
        <v>2064</v>
      </c>
      <c r="H3514">
        <v>5</v>
      </c>
      <c r="I3514" s="12">
        <f>Table16[[#This Row],[price]]*Table16[[#This Row],[quantity]]</f>
        <v>4801.28</v>
      </c>
    </row>
    <row r="3515" spans="1:9" x14ac:dyDescent="0.3">
      <c r="A3515" t="s">
        <v>5528</v>
      </c>
      <c r="B3515" t="s">
        <v>689</v>
      </c>
      <c r="C3515" t="s">
        <v>2001</v>
      </c>
      <c r="D3515">
        <v>1</v>
      </c>
      <c r="E3515" s="16">
        <v>300.08</v>
      </c>
      <c r="F3515" s="1">
        <v>44366</v>
      </c>
      <c r="G3515" t="s">
        <v>2009</v>
      </c>
      <c r="H3515">
        <v>1</v>
      </c>
      <c r="I3515" s="12">
        <f>Table16[[#This Row],[price]]*Table16[[#This Row],[quantity]]</f>
        <v>300.08</v>
      </c>
    </row>
    <row r="3516" spans="1:9" x14ac:dyDescent="0.3">
      <c r="A3516" t="s">
        <v>5532</v>
      </c>
      <c r="B3516" t="s">
        <v>689</v>
      </c>
      <c r="C3516" t="s">
        <v>2008</v>
      </c>
      <c r="D3516">
        <v>2</v>
      </c>
      <c r="E3516" s="16">
        <v>10.46</v>
      </c>
      <c r="F3516" s="1">
        <v>44751</v>
      </c>
      <c r="G3516" t="s">
        <v>2004</v>
      </c>
      <c r="H3516">
        <v>5</v>
      </c>
      <c r="I3516" s="12">
        <f>Table16[[#This Row],[price]]*Table16[[#This Row],[quantity]]</f>
        <v>20.92</v>
      </c>
    </row>
    <row r="3517" spans="1:9" x14ac:dyDescent="0.3">
      <c r="A3517" t="s">
        <v>5533</v>
      </c>
      <c r="B3517" t="s">
        <v>689</v>
      </c>
      <c r="C3517" t="s">
        <v>2001</v>
      </c>
      <c r="D3517">
        <v>4</v>
      </c>
      <c r="E3517" s="16">
        <v>1200.32</v>
      </c>
      <c r="F3517" s="1">
        <v>44867</v>
      </c>
      <c r="G3517" t="s">
        <v>2002</v>
      </c>
      <c r="H3517">
        <v>3</v>
      </c>
      <c r="I3517" s="12">
        <f>Table16[[#This Row],[price]]*Table16[[#This Row],[quantity]]</f>
        <v>4801.28</v>
      </c>
    </row>
    <row r="3518" spans="1:9" x14ac:dyDescent="0.3">
      <c r="A3518" t="s">
        <v>5531</v>
      </c>
      <c r="B3518" t="s">
        <v>689</v>
      </c>
      <c r="C3518" t="s">
        <v>2011</v>
      </c>
      <c r="D3518">
        <v>1</v>
      </c>
      <c r="E3518" s="16">
        <v>40.659999999999997</v>
      </c>
      <c r="F3518" s="1">
        <v>44911</v>
      </c>
      <c r="G3518" t="s">
        <v>2020</v>
      </c>
      <c r="H3518">
        <v>5</v>
      </c>
      <c r="I3518" s="12">
        <f>Table16[[#This Row],[price]]*Table16[[#This Row],[quantity]]</f>
        <v>40.659999999999997</v>
      </c>
    </row>
    <row r="3519" spans="1:9" x14ac:dyDescent="0.3">
      <c r="A3519" t="s">
        <v>5536</v>
      </c>
      <c r="B3519" t="s">
        <v>690</v>
      </c>
      <c r="C3519" t="s">
        <v>2008</v>
      </c>
      <c r="D3519">
        <v>3</v>
      </c>
      <c r="E3519" s="16">
        <v>15.69</v>
      </c>
      <c r="F3519" s="1">
        <v>44379</v>
      </c>
      <c r="G3519" t="s">
        <v>2064</v>
      </c>
      <c r="H3519">
        <v>1</v>
      </c>
      <c r="I3519" s="12">
        <f>Table16[[#This Row],[price]]*Table16[[#This Row],[quantity]]</f>
        <v>47.07</v>
      </c>
    </row>
    <row r="3520" spans="1:9" x14ac:dyDescent="0.3">
      <c r="A3520" t="s">
        <v>5535</v>
      </c>
      <c r="B3520" t="s">
        <v>690</v>
      </c>
      <c r="C3520" t="s">
        <v>2015</v>
      </c>
      <c r="D3520">
        <v>3</v>
      </c>
      <c r="E3520" s="16">
        <v>1800.51</v>
      </c>
      <c r="F3520" s="1">
        <v>44609</v>
      </c>
      <c r="G3520" t="s">
        <v>2020</v>
      </c>
      <c r="H3520">
        <v>2</v>
      </c>
      <c r="I3520" s="12">
        <f>Table16[[#This Row],[price]]*Table16[[#This Row],[quantity]]</f>
        <v>5401.53</v>
      </c>
    </row>
    <row r="3521" spans="1:9" x14ac:dyDescent="0.3">
      <c r="A3521" t="s">
        <v>5538</v>
      </c>
      <c r="B3521" t="s">
        <v>691</v>
      </c>
      <c r="C3521" t="s">
        <v>2015</v>
      </c>
      <c r="D3521">
        <v>5</v>
      </c>
      <c r="E3521" s="16">
        <v>3000.85</v>
      </c>
      <c r="F3521" s="1">
        <v>44261</v>
      </c>
      <c r="G3521" t="s">
        <v>2002</v>
      </c>
      <c r="H3521">
        <v>2</v>
      </c>
      <c r="I3521" s="12">
        <f>Table16[[#This Row],[price]]*Table16[[#This Row],[quantity]]</f>
        <v>15004.25</v>
      </c>
    </row>
    <row r="3522" spans="1:9" x14ac:dyDescent="0.3">
      <c r="A3522" t="s">
        <v>5540</v>
      </c>
      <c r="B3522" t="s">
        <v>691</v>
      </c>
      <c r="C3522" t="s">
        <v>2024</v>
      </c>
      <c r="D3522">
        <v>3</v>
      </c>
      <c r="E3522" s="16">
        <v>107.52</v>
      </c>
      <c r="F3522" s="1">
        <v>44321</v>
      </c>
      <c r="G3522" t="s">
        <v>2018</v>
      </c>
      <c r="H3522">
        <v>5</v>
      </c>
      <c r="I3522" s="12">
        <f>Table16[[#This Row],[price]]*Table16[[#This Row],[quantity]]</f>
        <v>322.56</v>
      </c>
    </row>
    <row r="3523" spans="1:9" x14ac:dyDescent="0.3">
      <c r="A3523" t="s">
        <v>5537</v>
      </c>
      <c r="B3523" t="s">
        <v>691</v>
      </c>
      <c r="C3523" t="s">
        <v>2008</v>
      </c>
      <c r="D3523">
        <v>1</v>
      </c>
      <c r="E3523" s="16">
        <v>5.23</v>
      </c>
      <c r="F3523" s="1">
        <v>44535</v>
      </c>
      <c r="G3523" t="s">
        <v>2064</v>
      </c>
      <c r="H3523">
        <v>3</v>
      </c>
      <c r="I3523" s="12">
        <f>Table16[[#This Row],[price]]*Table16[[#This Row],[quantity]]</f>
        <v>5.23</v>
      </c>
    </row>
    <row r="3524" spans="1:9" x14ac:dyDescent="0.3">
      <c r="A3524" t="s">
        <v>5539</v>
      </c>
      <c r="B3524" t="s">
        <v>691</v>
      </c>
      <c r="C3524" t="s">
        <v>2011</v>
      </c>
      <c r="D3524">
        <v>4</v>
      </c>
      <c r="E3524" s="16">
        <v>162.63999999999999</v>
      </c>
      <c r="F3524" s="1">
        <v>44707</v>
      </c>
      <c r="G3524" t="s">
        <v>2018</v>
      </c>
      <c r="H3524">
        <v>5</v>
      </c>
      <c r="I3524" s="12">
        <f>Table16[[#This Row],[price]]*Table16[[#This Row],[quantity]]</f>
        <v>650.55999999999995</v>
      </c>
    </row>
    <row r="3525" spans="1:9" x14ac:dyDescent="0.3">
      <c r="A3525" t="s">
        <v>5545</v>
      </c>
      <c r="B3525" t="s">
        <v>692</v>
      </c>
      <c r="C3525" t="s">
        <v>2001</v>
      </c>
      <c r="D3525">
        <v>5</v>
      </c>
      <c r="E3525" s="16">
        <v>1500.4</v>
      </c>
      <c r="F3525" s="1">
        <v>44615</v>
      </c>
      <c r="G3525" t="s">
        <v>2041</v>
      </c>
      <c r="H3525">
        <v>3</v>
      </c>
      <c r="I3525" s="12">
        <f>Table16[[#This Row],[price]]*Table16[[#This Row],[quantity]]</f>
        <v>7502</v>
      </c>
    </row>
    <row r="3526" spans="1:9" x14ac:dyDescent="0.3">
      <c r="A3526" t="s">
        <v>5543</v>
      </c>
      <c r="B3526" t="s">
        <v>692</v>
      </c>
      <c r="C3526" t="s">
        <v>2001</v>
      </c>
      <c r="D3526">
        <v>3</v>
      </c>
      <c r="E3526" s="16">
        <v>900.24</v>
      </c>
      <c r="F3526" s="1">
        <v>44706</v>
      </c>
      <c r="G3526" t="s">
        <v>2064</v>
      </c>
      <c r="H3526">
        <v>2</v>
      </c>
      <c r="I3526" s="12">
        <f>Table16[[#This Row],[price]]*Table16[[#This Row],[quantity]]</f>
        <v>2700.7200000000003</v>
      </c>
    </row>
    <row r="3527" spans="1:9" x14ac:dyDescent="0.3">
      <c r="A3527" t="s">
        <v>5541</v>
      </c>
      <c r="B3527" t="s">
        <v>692</v>
      </c>
      <c r="C3527" t="s">
        <v>2001</v>
      </c>
      <c r="D3527">
        <v>2</v>
      </c>
      <c r="E3527" s="16">
        <v>600.16</v>
      </c>
      <c r="F3527" s="1">
        <v>44752</v>
      </c>
      <c r="G3527" t="s">
        <v>2012</v>
      </c>
      <c r="H3527">
        <v>5</v>
      </c>
      <c r="I3527" s="12">
        <f>Table16[[#This Row],[price]]*Table16[[#This Row],[quantity]]</f>
        <v>1200.32</v>
      </c>
    </row>
    <row r="3528" spans="1:9" x14ac:dyDescent="0.3">
      <c r="A3528" t="s">
        <v>5544</v>
      </c>
      <c r="B3528" t="s">
        <v>692</v>
      </c>
      <c r="C3528" t="s">
        <v>2011</v>
      </c>
      <c r="D3528">
        <v>3</v>
      </c>
      <c r="E3528" s="16">
        <v>121.98</v>
      </c>
      <c r="F3528" s="1">
        <v>44840</v>
      </c>
      <c r="G3528" t="s">
        <v>2004</v>
      </c>
      <c r="H3528">
        <v>5</v>
      </c>
      <c r="I3528" s="12">
        <f>Table16[[#This Row],[price]]*Table16[[#This Row],[quantity]]</f>
        <v>365.94</v>
      </c>
    </row>
    <row r="3529" spans="1:9" x14ac:dyDescent="0.3">
      <c r="A3529" t="s">
        <v>5546</v>
      </c>
      <c r="B3529" t="s">
        <v>692</v>
      </c>
      <c r="C3529" t="s">
        <v>2008</v>
      </c>
      <c r="D3529">
        <v>3</v>
      </c>
      <c r="E3529" s="16">
        <v>15.69</v>
      </c>
      <c r="F3529" s="1">
        <v>44847</v>
      </c>
      <c r="G3529" t="s">
        <v>2041</v>
      </c>
      <c r="H3529">
        <v>4</v>
      </c>
      <c r="I3529" s="12">
        <f>Table16[[#This Row],[price]]*Table16[[#This Row],[quantity]]</f>
        <v>47.07</v>
      </c>
    </row>
    <row r="3530" spans="1:9" x14ac:dyDescent="0.3">
      <c r="A3530" t="s">
        <v>5542</v>
      </c>
      <c r="B3530" t="s">
        <v>692</v>
      </c>
      <c r="C3530" t="s">
        <v>2057</v>
      </c>
      <c r="D3530">
        <v>5</v>
      </c>
      <c r="E3530" s="16">
        <v>58.65</v>
      </c>
      <c r="F3530" s="1">
        <v>44987</v>
      </c>
      <c r="G3530" t="s">
        <v>2027</v>
      </c>
      <c r="H3530">
        <v>1</v>
      </c>
      <c r="I3530" s="12">
        <f>Table16[[#This Row],[price]]*Table16[[#This Row],[quantity]]</f>
        <v>293.25</v>
      </c>
    </row>
    <row r="3531" spans="1:9" x14ac:dyDescent="0.3">
      <c r="A3531" t="s">
        <v>5549</v>
      </c>
      <c r="B3531" t="s">
        <v>693</v>
      </c>
      <c r="C3531" t="s">
        <v>2001</v>
      </c>
      <c r="D3531">
        <v>4</v>
      </c>
      <c r="E3531" s="16">
        <v>1200.32</v>
      </c>
      <c r="F3531" s="1">
        <v>44322</v>
      </c>
      <c r="G3531" t="s">
        <v>2002</v>
      </c>
      <c r="H3531">
        <v>5</v>
      </c>
      <c r="I3531" s="12">
        <f>Table16[[#This Row],[price]]*Table16[[#This Row],[quantity]]</f>
        <v>4801.28</v>
      </c>
    </row>
    <row r="3532" spans="1:9" x14ac:dyDescent="0.3">
      <c r="A3532" t="s">
        <v>5547</v>
      </c>
      <c r="B3532" t="s">
        <v>693</v>
      </c>
      <c r="C3532" t="s">
        <v>2001</v>
      </c>
      <c r="D3532">
        <v>2</v>
      </c>
      <c r="E3532" s="16">
        <v>600.16</v>
      </c>
      <c r="F3532" s="1">
        <v>44385</v>
      </c>
      <c r="G3532" t="s">
        <v>2002</v>
      </c>
      <c r="H3532">
        <v>2</v>
      </c>
      <c r="I3532" s="12">
        <f>Table16[[#This Row],[price]]*Table16[[#This Row],[quantity]]</f>
        <v>1200.32</v>
      </c>
    </row>
    <row r="3533" spans="1:9" x14ac:dyDescent="0.3">
      <c r="A3533" t="s">
        <v>5550</v>
      </c>
      <c r="B3533" t="s">
        <v>693</v>
      </c>
      <c r="C3533" t="s">
        <v>2001</v>
      </c>
      <c r="D3533">
        <v>2</v>
      </c>
      <c r="E3533" s="16">
        <v>600.16</v>
      </c>
      <c r="F3533" s="1">
        <v>44512</v>
      </c>
      <c r="G3533" t="s">
        <v>2027</v>
      </c>
      <c r="H3533">
        <v>3</v>
      </c>
      <c r="I3533" s="12">
        <f>Table16[[#This Row],[price]]*Table16[[#This Row],[quantity]]</f>
        <v>1200.32</v>
      </c>
    </row>
    <row r="3534" spans="1:9" x14ac:dyDescent="0.3">
      <c r="A3534" t="s">
        <v>5548</v>
      </c>
      <c r="B3534" t="s">
        <v>693</v>
      </c>
      <c r="C3534" t="s">
        <v>2011</v>
      </c>
      <c r="D3534">
        <v>3</v>
      </c>
      <c r="E3534" s="16">
        <v>121.98</v>
      </c>
      <c r="F3534" s="1">
        <v>44848</v>
      </c>
      <c r="G3534" t="s">
        <v>2058</v>
      </c>
      <c r="H3534">
        <v>3</v>
      </c>
      <c r="I3534" s="12">
        <f>Table16[[#This Row],[price]]*Table16[[#This Row],[quantity]]</f>
        <v>365.94</v>
      </c>
    </row>
    <row r="3535" spans="1:9" x14ac:dyDescent="0.3">
      <c r="A3535" t="s">
        <v>5554</v>
      </c>
      <c r="B3535" t="s">
        <v>694</v>
      </c>
      <c r="C3535" t="s">
        <v>2015</v>
      </c>
      <c r="D3535">
        <v>1</v>
      </c>
      <c r="E3535" s="16">
        <v>600.16999999999996</v>
      </c>
      <c r="F3535" s="1">
        <v>44271</v>
      </c>
      <c r="G3535" t="s">
        <v>2002</v>
      </c>
      <c r="H3535">
        <v>5</v>
      </c>
      <c r="I3535" s="12">
        <f>Table16[[#This Row],[price]]*Table16[[#This Row],[quantity]]</f>
        <v>600.16999999999996</v>
      </c>
    </row>
    <row r="3536" spans="1:9" x14ac:dyDescent="0.3">
      <c r="A3536" t="s">
        <v>5551</v>
      </c>
      <c r="B3536" t="s">
        <v>694</v>
      </c>
      <c r="C3536" t="s">
        <v>2011</v>
      </c>
      <c r="D3536">
        <v>1</v>
      </c>
      <c r="E3536" s="16">
        <v>40.659999999999997</v>
      </c>
      <c r="F3536" s="1">
        <v>44384</v>
      </c>
      <c r="G3536" t="s">
        <v>2027</v>
      </c>
      <c r="H3536">
        <v>3</v>
      </c>
      <c r="I3536" s="12">
        <f>Table16[[#This Row],[price]]*Table16[[#This Row],[quantity]]</f>
        <v>40.659999999999997</v>
      </c>
    </row>
    <row r="3537" spans="1:9" x14ac:dyDescent="0.3">
      <c r="A3537" t="s">
        <v>5553</v>
      </c>
      <c r="B3537" t="s">
        <v>694</v>
      </c>
      <c r="C3537" t="s">
        <v>2001</v>
      </c>
      <c r="D3537">
        <v>4</v>
      </c>
      <c r="E3537" s="16">
        <v>1200.32</v>
      </c>
      <c r="F3537" s="1">
        <v>44538</v>
      </c>
      <c r="G3537" t="s">
        <v>2027</v>
      </c>
      <c r="H3537">
        <v>4</v>
      </c>
      <c r="I3537" s="12">
        <f>Table16[[#This Row],[price]]*Table16[[#This Row],[quantity]]</f>
        <v>4801.28</v>
      </c>
    </row>
    <row r="3538" spans="1:9" x14ac:dyDescent="0.3">
      <c r="A3538" t="s">
        <v>5552</v>
      </c>
      <c r="B3538" t="s">
        <v>694</v>
      </c>
      <c r="C3538" t="s">
        <v>2015</v>
      </c>
      <c r="D3538">
        <v>4</v>
      </c>
      <c r="E3538" s="16">
        <v>2400.6799999999998</v>
      </c>
      <c r="F3538" s="1">
        <v>44750</v>
      </c>
      <c r="G3538" t="s">
        <v>2012</v>
      </c>
      <c r="H3538">
        <v>4</v>
      </c>
      <c r="I3538" s="12">
        <f>Table16[[#This Row],[price]]*Table16[[#This Row],[quantity]]</f>
        <v>9602.7199999999993</v>
      </c>
    </row>
    <row r="3539" spans="1:9" x14ac:dyDescent="0.3">
      <c r="A3539" t="s">
        <v>5562</v>
      </c>
      <c r="B3539" t="s">
        <v>695</v>
      </c>
      <c r="C3539" t="s">
        <v>2001</v>
      </c>
      <c r="D3539">
        <v>2</v>
      </c>
      <c r="E3539" s="16">
        <v>600.16</v>
      </c>
      <c r="F3539" s="1">
        <v>44294</v>
      </c>
      <c r="G3539" t="s">
        <v>2041</v>
      </c>
      <c r="H3539">
        <v>3</v>
      </c>
      <c r="I3539" s="12">
        <f>Table16[[#This Row],[price]]*Table16[[#This Row],[quantity]]</f>
        <v>1200.32</v>
      </c>
    </row>
    <row r="3540" spans="1:9" x14ac:dyDescent="0.3">
      <c r="A3540" t="s">
        <v>5561</v>
      </c>
      <c r="B3540" t="s">
        <v>695</v>
      </c>
      <c r="C3540" t="s">
        <v>2024</v>
      </c>
      <c r="D3540">
        <v>2</v>
      </c>
      <c r="E3540" s="16">
        <v>71.680000000000007</v>
      </c>
      <c r="F3540" s="1">
        <v>44410</v>
      </c>
      <c r="G3540" t="s">
        <v>2002</v>
      </c>
      <c r="H3540">
        <v>4</v>
      </c>
      <c r="I3540" s="12">
        <f>Table16[[#This Row],[price]]*Table16[[#This Row],[quantity]]</f>
        <v>143.36000000000001</v>
      </c>
    </row>
    <row r="3541" spans="1:9" x14ac:dyDescent="0.3">
      <c r="A3541" t="s">
        <v>5558</v>
      </c>
      <c r="B3541" t="s">
        <v>695</v>
      </c>
      <c r="C3541" t="s">
        <v>2011</v>
      </c>
      <c r="D3541">
        <v>2</v>
      </c>
      <c r="E3541" s="16">
        <v>81.319999999999993</v>
      </c>
      <c r="F3541" s="1">
        <v>44502</v>
      </c>
      <c r="G3541" t="s">
        <v>2002</v>
      </c>
      <c r="H3541">
        <v>5</v>
      </c>
      <c r="I3541" s="12">
        <f>Table16[[#This Row],[price]]*Table16[[#This Row],[quantity]]</f>
        <v>162.63999999999999</v>
      </c>
    </row>
    <row r="3542" spans="1:9" x14ac:dyDescent="0.3">
      <c r="A3542" t="s">
        <v>5557</v>
      </c>
      <c r="B3542" t="s">
        <v>695</v>
      </c>
      <c r="C3542" t="s">
        <v>2011</v>
      </c>
      <c r="D3542">
        <v>1</v>
      </c>
      <c r="E3542" s="16">
        <v>40.659999999999997</v>
      </c>
      <c r="F3542" s="1">
        <v>44575</v>
      </c>
      <c r="G3542" t="s">
        <v>2009</v>
      </c>
      <c r="H3542">
        <v>1</v>
      </c>
      <c r="I3542" s="12">
        <f>Table16[[#This Row],[price]]*Table16[[#This Row],[quantity]]</f>
        <v>40.659999999999997</v>
      </c>
    </row>
    <row r="3543" spans="1:9" x14ac:dyDescent="0.3">
      <c r="A3543" t="s">
        <v>5555</v>
      </c>
      <c r="B3543" t="s">
        <v>695</v>
      </c>
      <c r="C3543" t="s">
        <v>2001</v>
      </c>
      <c r="D3543">
        <v>1</v>
      </c>
      <c r="E3543" s="16">
        <v>300.08</v>
      </c>
      <c r="F3543" s="1">
        <v>44590</v>
      </c>
      <c r="G3543" t="s">
        <v>2041</v>
      </c>
      <c r="H3543">
        <v>2</v>
      </c>
      <c r="I3543" s="12">
        <f>Table16[[#This Row],[price]]*Table16[[#This Row],[quantity]]</f>
        <v>300.08</v>
      </c>
    </row>
    <row r="3544" spans="1:9" x14ac:dyDescent="0.3">
      <c r="A3544" t="s">
        <v>5556</v>
      </c>
      <c r="B3544" t="s">
        <v>695</v>
      </c>
      <c r="C3544" t="s">
        <v>2015</v>
      </c>
      <c r="D3544">
        <v>1</v>
      </c>
      <c r="E3544" s="16">
        <v>600.16999999999996</v>
      </c>
      <c r="F3544" s="1">
        <v>44672</v>
      </c>
      <c r="G3544" t="s">
        <v>2004</v>
      </c>
      <c r="H3544">
        <v>1</v>
      </c>
      <c r="I3544" s="12">
        <f>Table16[[#This Row],[price]]*Table16[[#This Row],[quantity]]</f>
        <v>600.16999999999996</v>
      </c>
    </row>
    <row r="3545" spans="1:9" x14ac:dyDescent="0.3">
      <c r="A3545" t="s">
        <v>5560</v>
      </c>
      <c r="B3545" t="s">
        <v>695</v>
      </c>
      <c r="C3545" t="s">
        <v>2011</v>
      </c>
      <c r="D3545">
        <v>3</v>
      </c>
      <c r="E3545" s="16">
        <v>121.98</v>
      </c>
      <c r="F3545" s="1">
        <v>44857</v>
      </c>
      <c r="G3545" t="s">
        <v>2064</v>
      </c>
      <c r="H3545">
        <v>1</v>
      </c>
      <c r="I3545" s="12">
        <f>Table16[[#This Row],[price]]*Table16[[#This Row],[quantity]]</f>
        <v>365.94</v>
      </c>
    </row>
    <row r="3546" spans="1:9" x14ac:dyDescent="0.3">
      <c r="A3546" t="s">
        <v>5559</v>
      </c>
      <c r="B3546" t="s">
        <v>695</v>
      </c>
      <c r="C3546" t="s">
        <v>2001</v>
      </c>
      <c r="D3546">
        <v>2</v>
      </c>
      <c r="E3546" s="16">
        <v>600.16</v>
      </c>
      <c r="F3546" s="1">
        <v>44989</v>
      </c>
      <c r="G3546" t="s">
        <v>2012</v>
      </c>
      <c r="H3546">
        <v>2</v>
      </c>
      <c r="I3546" s="12">
        <f>Table16[[#This Row],[price]]*Table16[[#This Row],[quantity]]</f>
        <v>1200.32</v>
      </c>
    </row>
    <row r="3547" spans="1:9" x14ac:dyDescent="0.3">
      <c r="A3547" t="s">
        <v>5564</v>
      </c>
      <c r="B3547" t="s">
        <v>696</v>
      </c>
      <c r="C3547" t="s">
        <v>2024</v>
      </c>
      <c r="D3547">
        <v>1</v>
      </c>
      <c r="E3547" s="16">
        <v>35.840000000000003</v>
      </c>
      <c r="F3547" s="1">
        <v>44927</v>
      </c>
      <c r="G3547" t="s">
        <v>2064</v>
      </c>
      <c r="H3547">
        <v>4</v>
      </c>
      <c r="I3547" s="12">
        <f>Table16[[#This Row],[price]]*Table16[[#This Row],[quantity]]</f>
        <v>35.840000000000003</v>
      </c>
    </row>
    <row r="3548" spans="1:9" x14ac:dyDescent="0.3">
      <c r="A3548" t="s">
        <v>5563</v>
      </c>
      <c r="B3548" t="s">
        <v>696</v>
      </c>
      <c r="C3548" t="s">
        <v>2001</v>
      </c>
      <c r="D3548">
        <v>3</v>
      </c>
      <c r="E3548" s="16">
        <v>900.24</v>
      </c>
      <c r="F3548" s="1">
        <v>44967</v>
      </c>
      <c r="G3548" t="s">
        <v>2002</v>
      </c>
      <c r="H3548">
        <v>4</v>
      </c>
      <c r="I3548" s="12">
        <f>Table16[[#This Row],[price]]*Table16[[#This Row],[quantity]]</f>
        <v>2700.7200000000003</v>
      </c>
    </row>
    <row r="3549" spans="1:9" x14ac:dyDescent="0.3">
      <c r="A3549" t="s">
        <v>5565</v>
      </c>
      <c r="B3549" t="s">
        <v>697</v>
      </c>
      <c r="C3549" t="s">
        <v>2008</v>
      </c>
      <c r="D3549">
        <v>2</v>
      </c>
      <c r="E3549" s="16">
        <v>10.46</v>
      </c>
      <c r="F3549" s="1">
        <v>44507</v>
      </c>
      <c r="G3549" t="s">
        <v>2002</v>
      </c>
      <c r="H3549">
        <v>1</v>
      </c>
      <c r="I3549" s="12">
        <f>Table16[[#This Row],[price]]*Table16[[#This Row],[quantity]]</f>
        <v>20.92</v>
      </c>
    </row>
    <row r="3550" spans="1:9" x14ac:dyDescent="0.3">
      <c r="A3550" t="s">
        <v>5567</v>
      </c>
      <c r="B3550" t="s">
        <v>697</v>
      </c>
      <c r="C3550" t="s">
        <v>2006</v>
      </c>
      <c r="D3550">
        <v>5</v>
      </c>
      <c r="E3550" s="16">
        <v>75.75</v>
      </c>
      <c r="F3550" s="1">
        <v>44648</v>
      </c>
      <c r="G3550" t="s">
        <v>2027</v>
      </c>
      <c r="H3550">
        <v>2</v>
      </c>
      <c r="I3550" s="12">
        <f>Table16[[#This Row],[price]]*Table16[[#This Row],[quantity]]</f>
        <v>378.75</v>
      </c>
    </row>
    <row r="3551" spans="1:9" x14ac:dyDescent="0.3">
      <c r="A3551" t="s">
        <v>5568</v>
      </c>
      <c r="B3551" t="s">
        <v>697</v>
      </c>
      <c r="C3551" t="s">
        <v>2001</v>
      </c>
      <c r="D3551">
        <v>4</v>
      </c>
      <c r="E3551" s="16">
        <v>1200.32</v>
      </c>
      <c r="F3551" s="1">
        <v>44720</v>
      </c>
      <c r="G3551" t="s">
        <v>2002</v>
      </c>
      <c r="H3551">
        <v>3</v>
      </c>
      <c r="I3551" s="12">
        <f>Table16[[#This Row],[price]]*Table16[[#This Row],[quantity]]</f>
        <v>4801.28</v>
      </c>
    </row>
    <row r="3552" spans="1:9" x14ac:dyDescent="0.3">
      <c r="A3552" t="s">
        <v>5566</v>
      </c>
      <c r="B3552" t="s">
        <v>697</v>
      </c>
      <c r="C3552" t="s">
        <v>2011</v>
      </c>
      <c r="D3552">
        <v>2</v>
      </c>
      <c r="E3552" s="16">
        <v>81.319999999999993</v>
      </c>
      <c r="F3552" s="1">
        <v>44735</v>
      </c>
      <c r="G3552" t="s">
        <v>2009</v>
      </c>
      <c r="H3552">
        <v>5</v>
      </c>
      <c r="I3552" s="12">
        <f>Table16[[#This Row],[price]]*Table16[[#This Row],[quantity]]</f>
        <v>162.63999999999999</v>
      </c>
    </row>
    <row r="3553" spans="1:9" x14ac:dyDescent="0.3">
      <c r="A3553" t="s">
        <v>5570</v>
      </c>
      <c r="B3553" t="s">
        <v>698</v>
      </c>
      <c r="C3553" t="s">
        <v>2024</v>
      </c>
      <c r="D3553">
        <v>4</v>
      </c>
      <c r="E3553" s="16">
        <v>143.36000000000001</v>
      </c>
      <c r="F3553" s="1">
        <v>44240</v>
      </c>
      <c r="G3553" t="s">
        <v>2004</v>
      </c>
      <c r="H3553">
        <v>3</v>
      </c>
      <c r="I3553" s="12">
        <f>Table16[[#This Row],[price]]*Table16[[#This Row],[quantity]]</f>
        <v>573.44000000000005</v>
      </c>
    </row>
    <row r="3554" spans="1:9" x14ac:dyDescent="0.3">
      <c r="A3554" t="s">
        <v>5569</v>
      </c>
      <c r="B3554" t="s">
        <v>698</v>
      </c>
      <c r="C3554" t="s">
        <v>2057</v>
      </c>
      <c r="D3554">
        <v>1</v>
      </c>
      <c r="E3554" s="16">
        <v>11.73</v>
      </c>
      <c r="F3554" s="1">
        <v>44492</v>
      </c>
      <c r="G3554" t="s">
        <v>2004</v>
      </c>
      <c r="H3554">
        <v>2</v>
      </c>
      <c r="I3554" s="12">
        <f>Table16[[#This Row],[price]]*Table16[[#This Row],[quantity]]</f>
        <v>11.73</v>
      </c>
    </row>
    <row r="3555" spans="1:9" x14ac:dyDescent="0.3">
      <c r="A3555" t="s">
        <v>5571</v>
      </c>
      <c r="B3555" t="s">
        <v>698</v>
      </c>
      <c r="C3555" t="s">
        <v>2015</v>
      </c>
      <c r="D3555">
        <v>3</v>
      </c>
      <c r="E3555" s="16">
        <v>1800.51</v>
      </c>
      <c r="F3555" s="1">
        <v>44500</v>
      </c>
      <c r="G3555" t="s">
        <v>2004</v>
      </c>
      <c r="H3555">
        <v>1</v>
      </c>
      <c r="I3555" s="12">
        <f>Table16[[#This Row],[price]]*Table16[[#This Row],[quantity]]</f>
        <v>5401.53</v>
      </c>
    </row>
    <row r="3556" spans="1:9" x14ac:dyDescent="0.3">
      <c r="A3556" t="s">
        <v>5572</v>
      </c>
      <c r="B3556" t="s">
        <v>698</v>
      </c>
      <c r="C3556" t="s">
        <v>2011</v>
      </c>
      <c r="D3556">
        <v>1</v>
      </c>
      <c r="E3556" s="16">
        <v>40.659999999999997</v>
      </c>
      <c r="F3556" s="1">
        <v>44716</v>
      </c>
      <c r="G3556" t="s">
        <v>2064</v>
      </c>
      <c r="H3556">
        <v>4</v>
      </c>
      <c r="I3556" s="12">
        <f>Table16[[#This Row],[price]]*Table16[[#This Row],[quantity]]</f>
        <v>40.659999999999997</v>
      </c>
    </row>
    <row r="3557" spans="1:9" x14ac:dyDescent="0.3">
      <c r="A3557" t="s">
        <v>5581</v>
      </c>
      <c r="B3557" t="s">
        <v>699</v>
      </c>
      <c r="C3557" t="s">
        <v>2011</v>
      </c>
      <c r="D3557">
        <v>4</v>
      </c>
      <c r="E3557" s="16">
        <v>162.63999999999999</v>
      </c>
      <c r="F3557" s="1">
        <v>44200</v>
      </c>
      <c r="G3557" t="s">
        <v>2004</v>
      </c>
      <c r="H3557">
        <v>3</v>
      </c>
      <c r="I3557" s="12">
        <f>Table16[[#This Row],[price]]*Table16[[#This Row],[quantity]]</f>
        <v>650.55999999999995</v>
      </c>
    </row>
    <row r="3558" spans="1:9" x14ac:dyDescent="0.3">
      <c r="A3558" t="s">
        <v>5577</v>
      </c>
      <c r="B3558" t="s">
        <v>699</v>
      </c>
      <c r="C3558" t="s">
        <v>2024</v>
      </c>
      <c r="D3558">
        <v>5</v>
      </c>
      <c r="E3558" s="16">
        <v>179.2</v>
      </c>
      <c r="F3558" s="1">
        <v>44278</v>
      </c>
      <c r="G3558" t="s">
        <v>2064</v>
      </c>
      <c r="H3558">
        <v>1</v>
      </c>
      <c r="I3558" s="12">
        <f>Table16[[#This Row],[price]]*Table16[[#This Row],[quantity]]</f>
        <v>896</v>
      </c>
    </row>
    <row r="3559" spans="1:9" x14ac:dyDescent="0.3">
      <c r="A3559" t="s">
        <v>5578</v>
      </c>
      <c r="B3559" t="s">
        <v>699</v>
      </c>
      <c r="C3559" t="s">
        <v>2001</v>
      </c>
      <c r="D3559">
        <v>3</v>
      </c>
      <c r="E3559" s="16">
        <v>900.24</v>
      </c>
      <c r="F3559" s="1">
        <v>44397</v>
      </c>
      <c r="G3559" t="s">
        <v>2004</v>
      </c>
      <c r="H3559">
        <v>3</v>
      </c>
      <c r="I3559" s="12">
        <f>Table16[[#This Row],[price]]*Table16[[#This Row],[quantity]]</f>
        <v>2700.7200000000003</v>
      </c>
    </row>
    <row r="3560" spans="1:9" x14ac:dyDescent="0.3">
      <c r="A3560" t="s">
        <v>5579</v>
      </c>
      <c r="B3560" t="s">
        <v>699</v>
      </c>
      <c r="C3560" t="s">
        <v>2001</v>
      </c>
      <c r="D3560">
        <v>5</v>
      </c>
      <c r="E3560" s="16">
        <v>1500.4</v>
      </c>
      <c r="F3560" s="1">
        <v>44425</v>
      </c>
      <c r="G3560" t="s">
        <v>2027</v>
      </c>
      <c r="H3560">
        <v>4</v>
      </c>
      <c r="I3560" s="12">
        <f>Table16[[#This Row],[price]]*Table16[[#This Row],[quantity]]</f>
        <v>7502</v>
      </c>
    </row>
    <row r="3561" spans="1:9" x14ac:dyDescent="0.3">
      <c r="A3561" t="s">
        <v>5580</v>
      </c>
      <c r="B3561" t="s">
        <v>699</v>
      </c>
      <c r="C3561" t="s">
        <v>2015</v>
      </c>
      <c r="D3561">
        <v>3</v>
      </c>
      <c r="E3561" s="16">
        <v>1800.51</v>
      </c>
      <c r="F3561" s="1">
        <v>44439</v>
      </c>
      <c r="G3561" t="s">
        <v>2041</v>
      </c>
      <c r="H3561">
        <v>1</v>
      </c>
      <c r="I3561" s="12">
        <f>Table16[[#This Row],[price]]*Table16[[#This Row],[quantity]]</f>
        <v>5401.53</v>
      </c>
    </row>
    <row r="3562" spans="1:9" x14ac:dyDescent="0.3">
      <c r="A3562" t="s">
        <v>5574</v>
      </c>
      <c r="B3562" t="s">
        <v>699</v>
      </c>
      <c r="C3562" t="s">
        <v>2006</v>
      </c>
      <c r="D3562">
        <v>5</v>
      </c>
      <c r="E3562" s="16">
        <v>75.75</v>
      </c>
      <c r="F3562" s="1">
        <v>44551</v>
      </c>
      <c r="G3562" t="s">
        <v>2002</v>
      </c>
      <c r="H3562">
        <v>3</v>
      </c>
      <c r="I3562" s="12">
        <f>Table16[[#This Row],[price]]*Table16[[#This Row],[quantity]]</f>
        <v>378.75</v>
      </c>
    </row>
    <row r="3563" spans="1:9" x14ac:dyDescent="0.3">
      <c r="A3563" t="s">
        <v>5576</v>
      </c>
      <c r="B3563" t="s">
        <v>699</v>
      </c>
      <c r="C3563" t="s">
        <v>2008</v>
      </c>
      <c r="D3563">
        <v>3</v>
      </c>
      <c r="E3563" s="16">
        <v>15.69</v>
      </c>
      <c r="F3563" s="1">
        <v>44563</v>
      </c>
      <c r="G3563" t="s">
        <v>2064</v>
      </c>
      <c r="H3563">
        <v>5</v>
      </c>
      <c r="I3563" s="12">
        <f>Table16[[#This Row],[price]]*Table16[[#This Row],[quantity]]</f>
        <v>47.07</v>
      </c>
    </row>
    <row r="3564" spans="1:9" x14ac:dyDescent="0.3">
      <c r="A3564" t="s">
        <v>5575</v>
      </c>
      <c r="B3564" t="s">
        <v>699</v>
      </c>
      <c r="C3564" t="s">
        <v>2011</v>
      </c>
      <c r="D3564">
        <v>1</v>
      </c>
      <c r="E3564" s="16">
        <v>40.659999999999997</v>
      </c>
      <c r="F3564" s="1">
        <v>44563</v>
      </c>
      <c r="G3564" t="s">
        <v>2041</v>
      </c>
      <c r="H3564">
        <v>4</v>
      </c>
      <c r="I3564" s="12">
        <f>Table16[[#This Row],[price]]*Table16[[#This Row],[quantity]]</f>
        <v>40.659999999999997</v>
      </c>
    </row>
    <row r="3565" spans="1:9" x14ac:dyDescent="0.3">
      <c r="A3565" t="s">
        <v>5573</v>
      </c>
      <c r="B3565" t="s">
        <v>699</v>
      </c>
      <c r="C3565" t="s">
        <v>2001</v>
      </c>
      <c r="D3565">
        <v>4</v>
      </c>
      <c r="E3565" s="16">
        <v>1200.32</v>
      </c>
      <c r="F3565" s="1">
        <v>44637</v>
      </c>
      <c r="G3565" t="s">
        <v>2041</v>
      </c>
      <c r="H3565">
        <v>1</v>
      </c>
      <c r="I3565" s="12">
        <f>Table16[[#This Row],[price]]*Table16[[#This Row],[quantity]]</f>
        <v>4801.28</v>
      </c>
    </row>
    <row r="3566" spans="1:9" x14ac:dyDescent="0.3">
      <c r="A3566" t="s">
        <v>5582</v>
      </c>
      <c r="B3566" t="s">
        <v>700</v>
      </c>
      <c r="C3566" t="s">
        <v>2024</v>
      </c>
      <c r="D3566">
        <v>3</v>
      </c>
      <c r="E3566" s="16">
        <v>107.52</v>
      </c>
      <c r="F3566" s="1">
        <v>44518</v>
      </c>
      <c r="G3566" t="s">
        <v>2020</v>
      </c>
      <c r="H3566">
        <v>1</v>
      </c>
      <c r="I3566" s="12">
        <f>Table16[[#This Row],[price]]*Table16[[#This Row],[quantity]]</f>
        <v>322.56</v>
      </c>
    </row>
    <row r="3567" spans="1:9" x14ac:dyDescent="0.3">
      <c r="A3567" t="s">
        <v>5584</v>
      </c>
      <c r="B3567" t="s">
        <v>700</v>
      </c>
      <c r="C3567" t="s">
        <v>2024</v>
      </c>
      <c r="D3567">
        <v>3</v>
      </c>
      <c r="E3567" s="16">
        <v>107.52</v>
      </c>
      <c r="F3567" s="1">
        <v>44800</v>
      </c>
      <c r="G3567" t="s">
        <v>2012</v>
      </c>
      <c r="H3567">
        <v>4</v>
      </c>
      <c r="I3567" s="12">
        <f>Table16[[#This Row],[price]]*Table16[[#This Row],[quantity]]</f>
        <v>322.56</v>
      </c>
    </row>
    <row r="3568" spans="1:9" x14ac:dyDescent="0.3">
      <c r="A3568" t="s">
        <v>5583</v>
      </c>
      <c r="B3568" t="s">
        <v>700</v>
      </c>
      <c r="C3568" t="s">
        <v>2011</v>
      </c>
      <c r="D3568">
        <v>1</v>
      </c>
      <c r="E3568" s="16">
        <v>40.659999999999997</v>
      </c>
      <c r="F3568" s="1">
        <v>44871</v>
      </c>
      <c r="G3568" t="s">
        <v>2020</v>
      </c>
      <c r="H3568">
        <v>4</v>
      </c>
      <c r="I3568" s="12">
        <f>Table16[[#This Row],[price]]*Table16[[#This Row],[quantity]]</f>
        <v>40.659999999999997</v>
      </c>
    </row>
    <row r="3569" spans="1:9" x14ac:dyDescent="0.3">
      <c r="A3569" t="s">
        <v>5585</v>
      </c>
      <c r="B3569" t="s">
        <v>700</v>
      </c>
      <c r="C3569" t="s">
        <v>2008</v>
      </c>
      <c r="D3569">
        <v>4</v>
      </c>
      <c r="E3569" s="16">
        <v>20.92</v>
      </c>
      <c r="F3569" s="1">
        <v>44902</v>
      </c>
      <c r="G3569" t="s">
        <v>2027</v>
      </c>
      <c r="H3569">
        <v>1</v>
      </c>
      <c r="I3569" s="12">
        <f>Table16[[#This Row],[price]]*Table16[[#This Row],[quantity]]</f>
        <v>83.68</v>
      </c>
    </row>
    <row r="3570" spans="1:9" x14ac:dyDescent="0.3">
      <c r="A3570" t="s">
        <v>5589</v>
      </c>
      <c r="B3570" t="s">
        <v>701</v>
      </c>
      <c r="C3570" t="s">
        <v>2015</v>
      </c>
      <c r="D3570">
        <v>4</v>
      </c>
      <c r="E3570" s="16">
        <v>2400.6799999999998</v>
      </c>
      <c r="F3570" s="1">
        <v>44327</v>
      </c>
      <c r="G3570" t="s">
        <v>2002</v>
      </c>
      <c r="H3570">
        <v>1</v>
      </c>
      <c r="I3570" s="12">
        <f>Table16[[#This Row],[price]]*Table16[[#This Row],[quantity]]</f>
        <v>9602.7199999999993</v>
      </c>
    </row>
    <row r="3571" spans="1:9" x14ac:dyDescent="0.3">
      <c r="A3571" t="s">
        <v>5587</v>
      </c>
      <c r="B3571" t="s">
        <v>701</v>
      </c>
      <c r="C3571" t="s">
        <v>2001</v>
      </c>
      <c r="D3571">
        <v>2</v>
      </c>
      <c r="E3571" s="16">
        <v>600.16</v>
      </c>
      <c r="F3571" s="1">
        <v>44348</v>
      </c>
      <c r="G3571" t="s">
        <v>2027</v>
      </c>
      <c r="H3571">
        <v>5</v>
      </c>
      <c r="I3571" s="12">
        <f>Table16[[#This Row],[price]]*Table16[[#This Row],[quantity]]</f>
        <v>1200.32</v>
      </c>
    </row>
    <row r="3572" spans="1:9" x14ac:dyDescent="0.3">
      <c r="A3572" t="s">
        <v>5586</v>
      </c>
      <c r="B3572" t="s">
        <v>701</v>
      </c>
      <c r="C3572" t="s">
        <v>2057</v>
      </c>
      <c r="D3572">
        <v>1</v>
      </c>
      <c r="E3572" s="16">
        <v>11.73</v>
      </c>
      <c r="F3572" s="1">
        <v>44447</v>
      </c>
      <c r="G3572" t="s">
        <v>2002</v>
      </c>
      <c r="H3572">
        <v>4</v>
      </c>
      <c r="I3572" s="12">
        <f>Table16[[#This Row],[price]]*Table16[[#This Row],[quantity]]</f>
        <v>11.73</v>
      </c>
    </row>
    <row r="3573" spans="1:9" x14ac:dyDescent="0.3">
      <c r="A3573" t="s">
        <v>5592</v>
      </c>
      <c r="B3573" t="s">
        <v>701</v>
      </c>
      <c r="C3573" t="s">
        <v>2008</v>
      </c>
      <c r="D3573">
        <v>5</v>
      </c>
      <c r="E3573" s="16">
        <v>26.15</v>
      </c>
      <c r="F3573" s="1">
        <v>44561</v>
      </c>
      <c r="G3573" t="s">
        <v>2002</v>
      </c>
      <c r="H3573">
        <v>3</v>
      </c>
      <c r="I3573" s="12">
        <f>Table16[[#This Row],[price]]*Table16[[#This Row],[quantity]]</f>
        <v>130.75</v>
      </c>
    </row>
    <row r="3574" spans="1:9" x14ac:dyDescent="0.3">
      <c r="A3574" t="s">
        <v>5588</v>
      </c>
      <c r="B3574" t="s">
        <v>701</v>
      </c>
      <c r="C3574" t="s">
        <v>2011</v>
      </c>
      <c r="D3574">
        <v>2</v>
      </c>
      <c r="E3574" s="16">
        <v>81.319999999999993</v>
      </c>
      <c r="F3574" s="1">
        <v>44732</v>
      </c>
      <c r="G3574" t="s">
        <v>2058</v>
      </c>
      <c r="H3574">
        <v>3</v>
      </c>
      <c r="I3574" s="12">
        <f>Table16[[#This Row],[price]]*Table16[[#This Row],[quantity]]</f>
        <v>162.63999999999999</v>
      </c>
    </row>
    <row r="3575" spans="1:9" x14ac:dyDescent="0.3">
      <c r="A3575" t="s">
        <v>5591</v>
      </c>
      <c r="B3575" t="s">
        <v>701</v>
      </c>
      <c r="C3575" t="s">
        <v>2024</v>
      </c>
      <c r="D3575">
        <v>5</v>
      </c>
      <c r="E3575" s="16">
        <v>179.2</v>
      </c>
      <c r="F3575" s="1">
        <v>44774</v>
      </c>
      <c r="G3575" t="s">
        <v>2020</v>
      </c>
      <c r="H3575">
        <v>4</v>
      </c>
      <c r="I3575" s="12">
        <f>Table16[[#This Row],[price]]*Table16[[#This Row],[quantity]]</f>
        <v>896</v>
      </c>
    </row>
    <row r="3576" spans="1:9" x14ac:dyDescent="0.3">
      <c r="A3576" t="s">
        <v>5590</v>
      </c>
      <c r="B3576" t="s">
        <v>701</v>
      </c>
      <c r="C3576" t="s">
        <v>2024</v>
      </c>
      <c r="D3576">
        <v>4</v>
      </c>
      <c r="E3576" s="16">
        <v>143.36000000000001</v>
      </c>
      <c r="F3576" s="1">
        <v>44789</v>
      </c>
      <c r="G3576" t="s">
        <v>2004</v>
      </c>
      <c r="H3576">
        <v>1</v>
      </c>
      <c r="I3576" s="12">
        <f>Table16[[#This Row],[price]]*Table16[[#This Row],[quantity]]</f>
        <v>573.44000000000005</v>
      </c>
    </row>
    <row r="3577" spans="1:9" x14ac:dyDescent="0.3">
      <c r="A3577" t="s">
        <v>5595</v>
      </c>
      <c r="B3577" t="s">
        <v>702</v>
      </c>
      <c r="C3577" t="s">
        <v>2011</v>
      </c>
      <c r="D3577">
        <v>4</v>
      </c>
      <c r="E3577" s="16">
        <v>162.63999999999999</v>
      </c>
      <c r="F3577" s="1">
        <v>44348</v>
      </c>
      <c r="G3577" t="s">
        <v>2020</v>
      </c>
      <c r="H3577">
        <v>3</v>
      </c>
      <c r="I3577" s="12">
        <f>Table16[[#This Row],[price]]*Table16[[#This Row],[quantity]]</f>
        <v>650.55999999999995</v>
      </c>
    </row>
    <row r="3578" spans="1:9" x14ac:dyDescent="0.3">
      <c r="A3578" t="s">
        <v>5594</v>
      </c>
      <c r="B3578" t="s">
        <v>702</v>
      </c>
      <c r="C3578" t="s">
        <v>2001</v>
      </c>
      <c r="D3578">
        <v>1</v>
      </c>
      <c r="E3578" s="16">
        <v>300.08</v>
      </c>
      <c r="F3578" s="1">
        <v>44479</v>
      </c>
      <c r="G3578" t="s">
        <v>2027</v>
      </c>
      <c r="H3578">
        <v>1</v>
      </c>
      <c r="I3578" s="12">
        <f>Table16[[#This Row],[price]]*Table16[[#This Row],[quantity]]</f>
        <v>300.08</v>
      </c>
    </row>
    <row r="3579" spans="1:9" x14ac:dyDescent="0.3">
      <c r="A3579" t="s">
        <v>5593</v>
      </c>
      <c r="B3579" t="s">
        <v>702</v>
      </c>
      <c r="C3579" t="s">
        <v>2011</v>
      </c>
      <c r="D3579">
        <v>1</v>
      </c>
      <c r="E3579" s="16">
        <v>40.659999999999997</v>
      </c>
      <c r="F3579" s="1">
        <v>44682</v>
      </c>
      <c r="G3579" t="s">
        <v>2058</v>
      </c>
      <c r="H3579">
        <v>2</v>
      </c>
      <c r="I3579" s="12">
        <f>Table16[[#This Row],[price]]*Table16[[#This Row],[quantity]]</f>
        <v>40.659999999999997</v>
      </c>
    </row>
    <row r="3580" spans="1:9" x14ac:dyDescent="0.3">
      <c r="A3580" t="s">
        <v>5596</v>
      </c>
      <c r="B3580" t="s">
        <v>703</v>
      </c>
      <c r="C3580" t="s">
        <v>2001</v>
      </c>
      <c r="D3580">
        <v>5</v>
      </c>
      <c r="E3580" s="16">
        <v>1500.4</v>
      </c>
      <c r="F3580" s="1">
        <v>44504</v>
      </c>
      <c r="G3580" t="s">
        <v>2027</v>
      </c>
      <c r="H3580">
        <v>3</v>
      </c>
      <c r="I3580" s="12">
        <f>Table16[[#This Row],[price]]*Table16[[#This Row],[quantity]]</f>
        <v>7502</v>
      </c>
    </row>
    <row r="3581" spans="1:9" x14ac:dyDescent="0.3">
      <c r="A3581" t="s">
        <v>5597</v>
      </c>
      <c r="B3581" t="s">
        <v>703</v>
      </c>
      <c r="C3581" t="s">
        <v>2015</v>
      </c>
      <c r="D3581">
        <v>2</v>
      </c>
      <c r="E3581" s="16">
        <v>1200.3399999999999</v>
      </c>
      <c r="F3581" s="1">
        <v>44937</v>
      </c>
      <c r="G3581" t="s">
        <v>2027</v>
      </c>
      <c r="H3581">
        <v>3</v>
      </c>
      <c r="I3581" s="12">
        <f>Table16[[#This Row],[price]]*Table16[[#This Row],[quantity]]</f>
        <v>2400.6799999999998</v>
      </c>
    </row>
    <row r="3582" spans="1:9" x14ac:dyDescent="0.3">
      <c r="A3582" t="s">
        <v>5602</v>
      </c>
      <c r="B3582" t="s">
        <v>704</v>
      </c>
      <c r="C3582" t="s">
        <v>2001</v>
      </c>
      <c r="D3582">
        <v>2</v>
      </c>
      <c r="E3582" s="16">
        <v>600.16</v>
      </c>
      <c r="F3582" s="1">
        <v>44218</v>
      </c>
      <c r="G3582" t="s">
        <v>2004</v>
      </c>
      <c r="H3582">
        <v>4</v>
      </c>
      <c r="I3582" s="12">
        <f>Table16[[#This Row],[price]]*Table16[[#This Row],[quantity]]</f>
        <v>1200.32</v>
      </c>
    </row>
    <row r="3583" spans="1:9" x14ac:dyDescent="0.3">
      <c r="A3583" t="s">
        <v>5598</v>
      </c>
      <c r="B3583" t="s">
        <v>704</v>
      </c>
      <c r="C3583" t="s">
        <v>2011</v>
      </c>
      <c r="D3583">
        <v>4</v>
      </c>
      <c r="E3583" s="16">
        <v>162.63999999999999</v>
      </c>
      <c r="F3583" s="1">
        <v>44227</v>
      </c>
      <c r="G3583" t="s">
        <v>2027</v>
      </c>
      <c r="H3583">
        <v>3</v>
      </c>
      <c r="I3583" s="12">
        <f>Table16[[#This Row],[price]]*Table16[[#This Row],[quantity]]</f>
        <v>650.55999999999995</v>
      </c>
    </row>
    <row r="3584" spans="1:9" x14ac:dyDescent="0.3">
      <c r="A3584" t="s">
        <v>5604</v>
      </c>
      <c r="B3584" t="s">
        <v>704</v>
      </c>
      <c r="C3584" t="s">
        <v>2008</v>
      </c>
      <c r="D3584">
        <v>3</v>
      </c>
      <c r="E3584" s="16">
        <v>15.69</v>
      </c>
      <c r="F3584" s="1">
        <v>44433</v>
      </c>
      <c r="G3584" t="s">
        <v>2027</v>
      </c>
      <c r="H3584">
        <v>4</v>
      </c>
      <c r="I3584" s="12">
        <f>Table16[[#This Row],[price]]*Table16[[#This Row],[quantity]]</f>
        <v>47.07</v>
      </c>
    </row>
    <row r="3585" spans="1:9" x14ac:dyDescent="0.3">
      <c r="A3585" t="s">
        <v>5605</v>
      </c>
      <c r="B3585" t="s">
        <v>704</v>
      </c>
      <c r="C3585" t="s">
        <v>2015</v>
      </c>
      <c r="D3585">
        <v>5</v>
      </c>
      <c r="E3585" s="16">
        <v>3000.85</v>
      </c>
      <c r="F3585" s="1">
        <v>44437</v>
      </c>
      <c r="G3585" t="s">
        <v>2020</v>
      </c>
      <c r="H3585">
        <v>1</v>
      </c>
      <c r="I3585" s="12">
        <f>Table16[[#This Row],[price]]*Table16[[#This Row],[quantity]]</f>
        <v>15004.25</v>
      </c>
    </row>
    <row r="3586" spans="1:9" x14ac:dyDescent="0.3">
      <c r="A3586" t="s">
        <v>5603</v>
      </c>
      <c r="B3586" t="s">
        <v>704</v>
      </c>
      <c r="C3586" t="s">
        <v>2015</v>
      </c>
      <c r="D3586">
        <v>1</v>
      </c>
      <c r="E3586" s="16">
        <v>600.16999999999996</v>
      </c>
      <c r="F3586" s="1">
        <v>44463</v>
      </c>
      <c r="G3586" t="s">
        <v>2020</v>
      </c>
      <c r="H3586">
        <v>2</v>
      </c>
      <c r="I3586" s="12">
        <f>Table16[[#This Row],[price]]*Table16[[#This Row],[quantity]]</f>
        <v>600.16999999999996</v>
      </c>
    </row>
    <row r="3587" spans="1:9" x14ac:dyDescent="0.3">
      <c r="A3587" t="s">
        <v>5600</v>
      </c>
      <c r="B3587" t="s">
        <v>704</v>
      </c>
      <c r="C3587" t="s">
        <v>2001</v>
      </c>
      <c r="D3587">
        <v>3</v>
      </c>
      <c r="E3587" s="16">
        <v>900.24</v>
      </c>
      <c r="F3587" s="1">
        <v>44669</v>
      </c>
      <c r="G3587" t="s">
        <v>2058</v>
      </c>
      <c r="H3587">
        <v>1</v>
      </c>
      <c r="I3587" s="12">
        <f>Table16[[#This Row],[price]]*Table16[[#This Row],[quantity]]</f>
        <v>2700.7200000000003</v>
      </c>
    </row>
    <row r="3588" spans="1:9" x14ac:dyDescent="0.3">
      <c r="A3588" t="s">
        <v>5599</v>
      </c>
      <c r="B3588" t="s">
        <v>704</v>
      </c>
      <c r="C3588" t="s">
        <v>2001</v>
      </c>
      <c r="D3588">
        <v>3</v>
      </c>
      <c r="E3588" s="16">
        <v>900.24</v>
      </c>
      <c r="F3588" s="1">
        <v>44832</v>
      </c>
      <c r="G3588" t="s">
        <v>2020</v>
      </c>
      <c r="H3588">
        <v>4</v>
      </c>
      <c r="I3588" s="12">
        <f>Table16[[#This Row],[price]]*Table16[[#This Row],[quantity]]</f>
        <v>2700.7200000000003</v>
      </c>
    </row>
    <row r="3589" spans="1:9" x14ac:dyDescent="0.3">
      <c r="A3589" t="s">
        <v>5601</v>
      </c>
      <c r="B3589" t="s">
        <v>704</v>
      </c>
      <c r="C3589" t="s">
        <v>2024</v>
      </c>
      <c r="D3589">
        <v>2</v>
      </c>
      <c r="E3589" s="16">
        <v>71.680000000000007</v>
      </c>
      <c r="F3589" s="1">
        <v>44939</v>
      </c>
      <c r="G3589" t="s">
        <v>2064</v>
      </c>
      <c r="H3589">
        <v>3</v>
      </c>
      <c r="I3589" s="12">
        <f>Table16[[#This Row],[price]]*Table16[[#This Row],[quantity]]</f>
        <v>143.36000000000001</v>
      </c>
    </row>
    <row r="3590" spans="1:9" x14ac:dyDescent="0.3">
      <c r="A3590" t="s">
        <v>5607</v>
      </c>
      <c r="B3590" t="s">
        <v>705</v>
      </c>
      <c r="C3590" t="s">
        <v>2011</v>
      </c>
      <c r="D3590">
        <v>2</v>
      </c>
      <c r="E3590" s="16">
        <v>81.319999999999993</v>
      </c>
      <c r="F3590" s="1">
        <v>44240</v>
      </c>
      <c r="G3590" t="s">
        <v>2020</v>
      </c>
      <c r="H3590">
        <v>2</v>
      </c>
      <c r="I3590" s="12">
        <f>Table16[[#This Row],[price]]*Table16[[#This Row],[quantity]]</f>
        <v>162.63999999999999</v>
      </c>
    </row>
    <row r="3591" spans="1:9" x14ac:dyDescent="0.3">
      <c r="A3591" t="s">
        <v>5606</v>
      </c>
      <c r="B3591" t="s">
        <v>705</v>
      </c>
      <c r="C3591" t="s">
        <v>2024</v>
      </c>
      <c r="D3591">
        <v>3</v>
      </c>
      <c r="E3591" s="16">
        <v>107.52</v>
      </c>
      <c r="F3591" s="1">
        <v>44647</v>
      </c>
      <c r="G3591" t="s">
        <v>2027</v>
      </c>
      <c r="H3591">
        <v>3</v>
      </c>
      <c r="I3591" s="12">
        <f>Table16[[#This Row],[price]]*Table16[[#This Row],[quantity]]</f>
        <v>322.56</v>
      </c>
    </row>
    <row r="3592" spans="1:9" x14ac:dyDescent="0.3">
      <c r="A3592" t="s">
        <v>5608</v>
      </c>
      <c r="B3592" t="s">
        <v>705</v>
      </c>
      <c r="C3592" t="s">
        <v>2057</v>
      </c>
      <c r="D3592">
        <v>3</v>
      </c>
      <c r="E3592" s="16">
        <v>35.19</v>
      </c>
      <c r="F3592" s="1">
        <v>44912</v>
      </c>
      <c r="G3592" t="s">
        <v>2027</v>
      </c>
      <c r="H3592">
        <v>2</v>
      </c>
      <c r="I3592" s="12">
        <f>Table16[[#This Row],[price]]*Table16[[#This Row],[quantity]]</f>
        <v>105.57</v>
      </c>
    </row>
    <row r="3593" spans="1:9" x14ac:dyDescent="0.3">
      <c r="A3593" t="s">
        <v>5613</v>
      </c>
      <c r="B3593" t="s">
        <v>706</v>
      </c>
      <c r="C3593" t="s">
        <v>2001</v>
      </c>
      <c r="D3593">
        <v>3</v>
      </c>
      <c r="E3593" s="16">
        <v>900.24</v>
      </c>
      <c r="F3593" s="1">
        <v>44241</v>
      </c>
      <c r="G3593" t="s">
        <v>2004</v>
      </c>
      <c r="H3593">
        <v>4</v>
      </c>
      <c r="I3593" s="12">
        <f>Table16[[#This Row],[price]]*Table16[[#This Row],[quantity]]</f>
        <v>2700.7200000000003</v>
      </c>
    </row>
    <row r="3594" spans="1:9" x14ac:dyDescent="0.3">
      <c r="A3594" t="s">
        <v>5616</v>
      </c>
      <c r="B3594" t="s">
        <v>706</v>
      </c>
      <c r="C3594" t="s">
        <v>2001</v>
      </c>
      <c r="D3594">
        <v>2</v>
      </c>
      <c r="E3594" s="16">
        <v>600.16</v>
      </c>
      <c r="F3594" s="1">
        <v>44482</v>
      </c>
      <c r="G3594" t="s">
        <v>2002</v>
      </c>
      <c r="H3594">
        <v>1</v>
      </c>
      <c r="I3594" s="12">
        <f>Table16[[#This Row],[price]]*Table16[[#This Row],[quantity]]</f>
        <v>1200.32</v>
      </c>
    </row>
    <row r="3595" spans="1:9" x14ac:dyDescent="0.3">
      <c r="A3595" t="s">
        <v>5615</v>
      </c>
      <c r="B3595" t="s">
        <v>706</v>
      </c>
      <c r="C3595" t="s">
        <v>2001</v>
      </c>
      <c r="D3595">
        <v>5</v>
      </c>
      <c r="E3595" s="16">
        <v>1500.4</v>
      </c>
      <c r="F3595" s="1">
        <v>44658</v>
      </c>
      <c r="G3595" t="s">
        <v>2064</v>
      </c>
      <c r="H3595">
        <v>4</v>
      </c>
      <c r="I3595" s="12">
        <f>Table16[[#This Row],[price]]*Table16[[#This Row],[quantity]]</f>
        <v>7502</v>
      </c>
    </row>
    <row r="3596" spans="1:9" x14ac:dyDescent="0.3">
      <c r="A3596" t="s">
        <v>5617</v>
      </c>
      <c r="B3596" t="s">
        <v>706</v>
      </c>
      <c r="C3596" t="s">
        <v>2008</v>
      </c>
      <c r="D3596">
        <v>5</v>
      </c>
      <c r="E3596" s="16">
        <v>26.15</v>
      </c>
      <c r="F3596" s="1">
        <v>44684</v>
      </c>
      <c r="G3596" t="s">
        <v>2004</v>
      </c>
      <c r="H3596">
        <v>3</v>
      </c>
      <c r="I3596" s="12">
        <f>Table16[[#This Row],[price]]*Table16[[#This Row],[quantity]]</f>
        <v>130.75</v>
      </c>
    </row>
    <row r="3597" spans="1:9" x14ac:dyDescent="0.3">
      <c r="A3597" t="s">
        <v>5611</v>
      </c>
      <c r="B3597" t="s">
        <v>706</v>
      </c>
      <c r="C3597" t="s">
        <v>2008</v>
      </c>
      <c r="D3597">
        <v>3</v>
      </c>
      <c r="E3597" s="16">
        <v>15.69</v>
      </c>
      <c r="F3597" s="1">
        <v>44699</v>
      </c>
      <c r="G3597" t="s">
        <v>2020</v>
      </c>
      <c r="H3597">
        <v>4</v>
      </c>
      <c r="I3597" s="12">
        <f>Table16[[#This Row],[price]]*Table16[[#This Row],[quantity]]</f>
        <v>47.07</v>
      </c>
    </row>
    <row r="3598" spans="1:9" x14ac:dyDescent="0.3">
      <c r="A3598" t="s">
        <v>5612</v>
      </c>
      <c r="B3598" t="s">
        <v>706</v>
      </c>
      <c r="C3598" t="s">
        <v>2008</v>
      </c>
      <c r="D3598">
        <v>1</v>
      </c>
      <c r="E3598" s="16">
        <v>5.23</v>
      </c>
      <c r="F3598" s="1">
        <v>44820</v>
      </c>
      <c r="G3598" t="s">
        <v>2027</v>
      </c>
      <c r="H3598">
        <v>1</v>
      </c>
      <c r="I3598" s="12">
        <f>Table16[[#This Row],[price]]*Table16[[#This Row],[quantity]]</f>
        <v>5.23</v>
      </c>
    </row>
    <row r="3599" spans="1:9" x14ac:dyDescent="0.3">
      <c r="A3599" t="s">
        <v>5614</v>
      </c>
      <c r="B3599" t="s">
        <v>706</v>
      </c>
      <c r="C3599" t="s">
        <v>2015</v>
      </c>
      <c r="D3599">
        <v>4</v>
      </c>
      <c r="E3599" s="16">
        <v>2400.6799999999998</v>
      </c>
      <c r="F3599" s="1">
        <v>44856</v>
      </c>
      <c r="G3599" t="s">
        <v>2004</v>
      </c>
      <c r="H3599">
        <v>5</v>
      </c>
      <c r="I3599" s="12">
        <f>Table16[[#This Row],[price]]*Table16[[#This Row],[quantity]]</f>
        <v>9602.7199999999993</v>
      </c>
    </row>
    <row r="3600" spans="1:9" x14ac:dyDescent="0.3">
      <c r="A3600" t="s">
        <v>5609</v>
      </c>
      <c r="B3600" t="s">
        <v>706</v>
      </c>
      <c r="C3600" t="s">
        <v>2015</v>
      </c>
      <c r="D3600">
        <v>4</v>
      </c>
      <c r="E3600" s="16">
        <v>2400.6799999999998</v>
      </c>
      <c r="F3600" s="1">
        <v>44924</v>
      </c>
      <c r="G3600" t="s">
        <v>2027</v>
      </c>
      <c r="H3600">
        <v>2</v>
      </c>
      <c r="I3600" s="12">
        <f>Table16[[#This Row],[price]]*Table16[[#This Row],[quantity]]</f>
        <v>9602.7199999999993</v>
      </c>
    </row>
    <row r="3601" spans="1:9" x14ac:dyDescent="0.3">
      <c r="A3601" t="s">
        <v>5610</v>
      </c>
      <c r="B3601" t="s">
        <v>706</v>
      </c>
      <c r="C3601" t="s">
        <v>2001</v>
      </c>
      <c r="D3601">
        <v>2</v>
      </c>
      <c r="E3601" s="16">
        <v>600.16</v>
      </c>
      <c r="F3601" s="1">
        <v>44962</v>
      </c>
      <c r="G3601" t="s">
        <v>2018</v>
      </c>
      <c r="H3601">
        <v>4</v>
      </c>
      <c r="I3601" s="12">
        <f>Table16[[#This Row],[price]]*Table16[[#This Row],[quantity]]</f>
        <v>1200.32</v>
      </c>
    </row>
    <row r="3602" spans="1:9" x14ac:dyDescent="0.3">
      <c r="A3602" t="s">
        <v>5619</v>
      </c>
      <c r="B3602" t="s">
        <v>707</v>
      </c>
      <c r="C3602" t="s">
        <v>2011</v>
      </c>
      <c r="D3602">
        <v>1</v>
      </c>
      <c r="E3602" s="16">
        <v>40.659999999999997</v>
      </c>
      <c r="F3602" s="1">
        <v>44559</v>
      </c>
      <c r="G3602" t="s">
        <v>2004</v>
      </c>
      <c r="H3602">
        <v>3</v>
      </c>
      <c r="I3602" s="12">
        <f>Table16[[#This Row],[price]]*Table16[[#This Row],[quantity]]</f>
        <v>40.659999999999997</v>
      </c>
    </row>
    <row r="3603" spans="1:9" x14ac:dyDescent="0.3">
      <c r="A3603" t="s">
        <v>5618</v>
      </c>
      <c r="B3603" t="s">
        <v>707</v>
      </c>
      <c r="C3603" t="s">
        <v>2001</v>
      </c>
      <c r="D3603">
        <v>5</v>
      </c>
      <c r="E3603" s="16">
        <v>1500.4</v>
      </c>
      <c r="F3603" s="1">
        <v>44750</v>
      </c>
      <c r="G3603" t="s">
        <v>2027</v>
      </c>
      <c r="H3603">
        <v>2</v>
      </c>
      <c r="I3603" s="12">
        <f>Table16[[#This Row],[price]]*Table16[[#This Row],[quantity]]</f>
        <v>7502</v>
      </c>
    </row>
    <row r="3604" spans="1:9" x14ac:dyDescent="0.3">
      <c r="A3604" t="s">
        <v>5620</v>
      </c>
      <c r="B3604" t="s">
        <v>707</v>
      </c>
      <c r="C3604" t="s">
        <v>2001</v>
      </c>
      <c r="D3604">
        <v>5</v>
      </c>
      <c r="E3604" s="16">
        <v>1500.4</v>
      </c>
      <c r="F3604" s="1">
        <v>44932</v>
      </c>
      <c r="G3604" t="s">
        <v>2004</v>
      </c>
      <c r="H3604">
        <v>2</v>
      </c>
      <c r="I3604" s="12">
        <f>Table16[[#This Row],[price]]*Table16[[#This Row],[quantity]]</f>
        <v>7502</v>
      </c>
    </row>
    <row r="3605" spans="1:9" x14ac:dyDescent="0.3">
      <c r="A3605" t="s">
        <v>5621</v>
      </c>
      <c r="B3605" t="s">
        <v>707</v>
      </c>
      <c r="C3605" t="s">
        <v>2001</v>
      </c>
      <c r="D3605">
        <v>4</v>
      </c>
      <c r="E3605" s="16">
        <v>1200.32</v>
      </c>
      <c r="F3605" s="1">
        <v>44987</v>
      </c>
      <c r="G3605" t="s">
        <v>2012</v>
      </c>
      <c r="H3605">
        <v>2</v>
      </c>
      <c r="I3605" s="12">
        <f>Table16[[#This Row],[price]]*Table16[[#This Row],[quantity]]</f>
        <v>4801.28</v>
      </c>
    </row>
    <row r="3606" spans="1:9" x14ac:dyDescent="0.3">
      <c r="A3606" t="s">
        <v>5625</v>
      </c>
      <c r="B3606" t="s">
        <v>708</v>
      </c>
      <c r="C3606" t="s">
        <v>2008</v>
      </c>
      <c r="D3606">
        <v>5</v>
      </c>
      <c r="E3606" s="16">
        <v>26.15</v>
      </c>
      <c r="F3606" s="1">
        <v>44533</v>
      </c>
      <c r="G3606" t="s">
        <v>2041</v>
      </c>
      <c r="H3606">
        <v>1</v>
      </c>
      <c r="I3606" s="12">
        <f>Table16[[#This Row],[price]]*Table16[[#This Row],[quantity]]</f>
        <v>130.75</v>
      </c>
    </row>
    <row r="3607" spans="1:9" x14ac:dyDescent="0.3">
      <c r="A3607" t="s">
        <v>5622</v>
      </c>
      <c r="B3607" t="s">
        <v>708</v>
      </c>
      <c r="C3607" t="s">
        <v>2008</v>
      </c>
      <c r="D3607">
        <v>1</v>
      </c>
      <c r="E3607" s="16">
        <v>5.23</v>
      </c>
      <c r="F3607" s="1">
        <v>44576</v>
      </c>
      <c r="G3607" t="s">
        <v>2012</v>
      </c>
      <c r="H3607">
        <v>5</v>
      </c>
      <c r="I3607" s="12">
        <f>Table16[[#This Row],[price]]*Table16[[#This Row],[quantity]]</f>
        <v>5.23</v>
      </c>
    </row>
    <row r="3608" spans="1:9" x14ac:dyDescent="0.3">
      <c r="A3608" t="s">
        <v>5624</v>
      </c>
      <c r="B3608" t="s">
        <v>708</v>
      </c>
      <c r="C3608" t="s">
        <v>2001</v>
      </c>
      <c r="D3608">
        <v>5</v>
      </c>
      <c r="E3608" s="16">
        <v>1500.4</v>
      </c>
      <c r="F3608" s="1">
        <v>44635</v>
      </c>
      <c r="G3608" t="s">
        <v>2004</v>
      </c>
      <c r="H3608">
        <v>5</v>
      </c>
      <c r="I3608" s="12">
        <f>Table16[[#This Row],[price]]*Table16[[#This Row],[quantity]]</f>
        <v>7502</v>
      </c>
    </row>
    <row r="3609" spans="1:9" x14ac:dyDescent="0.3">
      <c r="A3609" t="s">
        <v>5623</v>
      </c>
      <c r="B3609" t="s">
        <v>708</v>
      </c>
      <c r="C3609" t="s">
        <v>2001</v>
      </c>
      <c r="D3609">
        <v>4</v>
      </c>
      <c r="E3609" s="16">
        <v>1200.32</v>
      </c>
      <c r="F3609" s="1">
        <v>44758</v>
      </c>
      <c r="G3609" t="s">
        <v>2020</v>
      </c>
      <c r="H3609">
        <v>3</v>
      </c>
      <c r="I3609" s="12">
        <f>Table16[[#This Row],[price]]*Table16[[#This Row],[quantity]]</f>
        <v>4801.28</v>
      </c>
    </row>
    <row r="3610" spans="1:9" x14ac:dyDescent="0.3">
      <c r="A3610" t="s">
        <v>5626</v>
      </c>
      <c r="B3610" t="s">
        <v>708</v>
      </c>
      <c r="C3610" t="s">
        <v>2015</v>
      </c>
      <c r="D3610">
        <v>2</v>
      </c>
      <c r="E3610" s="16">
        <v>1200.3399999999999</v>
      </c>
      <c r="F3610" s="1">
        <v>44792</v>
      </c>
      <c r="G3610" t="s">
        <v>2002</v>
      </c>
      <c r="H3610">
        <v>5</v>
      </c>
      <c r="I3610" s="12">
        <f>Table16[[#This Row],[price]]*Table16[[#This Row],[quantity]]</f>
        <v>2400.6799999999998</v>
      </c>
    </row>
    <row r="3611" spans="1:9" x14ac:dyDescent="0.3">
      <c r="A3611" t="s">
        <v>5628</v>
      </c>
      <c r="B3611" t="s">
        <v>709</v>
      </c>
      <c r="C3611" t="s">
        <v>2024</v>
      </c>
      <c r="D3611">
        <v>3</v>
      </c>
      <c r="E3611" s="16">
        <v>107.52</v>
      </c>
      <c r="F3611" s="1">
        <v>44387</v>
      </c>
      <c r="G3611" t="s">
        <v>2041</v>
      </c>
      <c r="H3611">
        <v>3</v>
      </c>
      <c r="I3611" s="12">
        <f>Table16[[#This Row],[price]]*Table16[[#This Row],[quantity]]</f>
        <v>322.56</v>
      </c>
    </row>
    <row r="3612" spans="1:9" x14ac:dyDescent="0.3">
      <c r="A3612" t="s">
        <v>5627</v>
      </c>
      <c r="B3612" t="s">
        <v>709</v>
      </c>
      <c r="C3612" t="s">
        <v>2011</v>
      </c>
      <c r="D3612">
        <v>5</v>
      </c>
      <c r="E3612" s="16">
        <v>203.3</v>
      </c>
      <c r="F3612" s="1">
        <v>44879</v>
      </c>
      <c r="G3612" t="s">
        <v>2027</v>
      </c>
      <c r="H3612">
        <v>4</v>
      </c>
      <c r="I3612" s="12">
        <f>Table16[[#This Row],[price]]*Table16[[#This Row],[quantity]]</f>
        <v>1016.5</v>
      </c>
    </row>
    <row r="3613" spans="1:9" x14ac:dyDescent="0.3">
      <c r="A3613" t="s">
        <v>5629</v>
      </c>
      <c r="B3613" t="s">
        <v>709</v>
      </c>
      <c r="C3613" t="s">
        <v>2008</v>
      </c>
      <c r="D3613">
        <v>2</v>
      </c>
      <c r="E3613" s="16">
        <v>10.46</v>
      </c>
      <c r="F3613" s="1">
        <v>44891</v>
      </c>
      <c r="G3613" t="s">
        <v>2004</v>
      </c>
      <c r="H3613">
        <v>1</v>
      </c>
      <c r="I3613" s="12">
        <f>Table16[[#This Row],[price]]*Table16[[#This Row],[quantity]]</f>
        <v>20.92</v>
      </c>
    </row>
    <row r="3614" spans="1:9" x14ac:dyDescent="0.3">
      <c r="A3614" t="s">
        <v>5636</v>
      </c>
      <c r="B3614" t="s">
        <v>710</v>
      </c>
      <c r="C3614" t="s">
        <v>2011</v>
      </c>
      <c r="D3614">
        <v>3</v>
      </c>
      <c r="E3614" s="16">
        <v>121.98</v>
      </c>
      <c r="F3614" s="1">
        <v>44262</v>
      </c>
      <c r="G3614" t="s">
        <v>2004</v>
      </c>
      <c r="H3614">
        <v>5</v>
      </c>
      <c r="I3614" s="12">
        <f>Table16[[#This Row],[price]]*Table16[[#This Row],[quantity]]</f>
        <v>365.94</v>
      </c>
    </row>
    <row r="3615" spans="1:9" x14ac:dyDescent="0.3">
      <c r="A3615" t="s">
        <v>5630</v>
      </c>
      <c r="B3615" t="s">
        <v>710</v>
      </c>
      <c r="C3615" t="s">
        <v>2008</v>
      </c>
      <c r="D3615">
        <v>5</v>
      </c>
      <c r="E3615" s="16">
        <v>26.15</v>
      </c>
      <c r="F3615" s="1">
        <v>44320</v>
      </c>
      <c r="G3615" t="s">
        <v>2018</v>
      </c>
      <c r="H3615">
        <v>4</v>
      </c>
      <c r="I3615" s="12">
        <f>Table16[[#This Row],[price]]*Table16[[#This Row],[quantity]]</f>
        <v>130.75</v>
      </c>
    </row>
    <row r="3616" spans="1:9" x14ac:dyDescent="0.3">
      <c r="A3616" t="s">
        <v>5631</v>
      </c>
      <c r="B3616" t="s">
        <v>710</v>
      </c>
      <c r="C3616" t="s">
        <v>2011</v>
      </c>
      <c r="D3616">
        <v>5</v>
      </c>
      <c r="E3616" s="16">
        <v>203.3</v>
      </c>
      <c r="F3616" s="1">
        <v>44349</v>
      </c>
      <c r="G3616" t="s">
        <v>2009</v>
      </c>
      <c r="H3616">
        <v>3</v>
      </c>
      <c r="I3616" s="12">
        <f>Table16[[#This Row],[price]]*Table16[[#This Row],[quantity]]</f>
        <v>1016.5</v>
      </c>
    </row>
    <row r="3617" spans="1:9" x14ac:dyDescent="0.3">
      <c r="A3617" t="s">
        <v>5632</v>
      </c>
      <c r="B3617" t="s">
        <v>710</v>
      </c>
      <c r="C3617" t="s">
        <v>2008</v>
      </c>
      <c r="D3617">
        <v>4</v>
      </c>
      <c r="E3617" s="16">
        <v>20.92</v>
      </c>
      <c r="F3617" s="1">
        <v>44462</v>
      </c>
      <c r="G3617" t="s">
        <v>2041</v>
      </c>
      <c r="H3617">
        <v>3</v>
      </c>
      <c r="I3617" s="12">
        <f>Table16[[#This Row],[price]]*Table16[[#This Row],[quantity]]</f>
        <v>83.68</v>
      </c>
    </row>
    <row r="3618" spans="1:9" x14ac:dyDescent="0.3">
      <c r="A3618" t="s">
        <v>5633</v>
      </c>
      <c r="B3618" t="s">
        <v>710</v>
      </c>
      <c r="C3618" t="s">
        <v>2006</v>
      </c>
      <c r="D3618">
        <v>1</v>
      </c>
      <c r="E3618" s="16">
        <v>15.15</v>
      </c>
      <c r="F3618" s="1">
        <v>44506</v>
      </c>
      <c r="G3618" t="s">
        <v>2058</v>
      </c>
      <c r="H3618">
        <v>2</v>
      </c>
      <c r="I3618" s="12">
        <f>Table16[[#This Row],[price]]*Table16[[#This Row],[quantity]]</f>
        <v>15.15</v>
      </c>
    </row>
    <row r="3619" spans="1:9" x14ac:dyDescent="0.3">
      <c r="A3619" t="s">
        <v>5637</v>
      </c>
      <c r="B3619" t="s">
        <v>710</v>
      </c>
      <c r="C3619" t="s">
        <v>2015</v>
      </c>
      <c r="D3619">
        <v>1</v>
      </c>
      <c r="E3619" s="16">
        <v>600.16999999999996</v>
      </c>
      <c r="F3619" s="1">
        <v>44598</v>
      </c>
      <c r="G3619" t="s">
        <v>2027</v>
      </c>
      <c r="H3619">
        <v>4</v>
      </c>
      <c r="I3619" s="12">
        <f>Table16[[#This Row],[price]]*Table16[[#This Row],[quantity]]</f>
        <v>600.16999999999996</v>
      </c>
    </row>
    <row r="3620" spans="1:9" x14ac:dyDescent="0.3">
      <c r="A3620" t="s">
        <v>5635</v>
      </c>
      <c r="B3620" t="s">
        <v>710</v>
      </c>
      <c r="C3620" t="s">
        <v>2008</v>
      </c>
      <c r="D3620">
        <v>4</v>
      </c>
      <c r="E3620" s="16">
        <v>20.92</v>
      </c>
      <c r="F3620" s="1">
        <v>44628</v>
      </c>
      <c r="G3620" t="s">
        <v>2020</v>
      </c>
      <c r="H3620">
        <v>3</v>
      </c>
      <c r="I3620" s="12">
        <f>Table16[[#This Row],[price]]*Table16[[#This Row],[quantity]]</f>
        <v>83.68</v>
      </c>
    </row>
    <row r="3621" spans="1:9" x14ac:dyDescent="0.3">
      <c r="A3621" t="s">
        <v>5634</v>
      </c>
      <c r="B3621" t="s">
        <v>710</v>
      </c>
      <c r="C3621" t="s">
        <v>2008</v>
      </c>
      <c r="D3621">
        <v>5</v>
      </c>
      <c r="E3621" s="16">
        <v>26.15</v>
      </c>
      <c r="F3621" s="1">
        <v>44698</v>
      </c>
      <c r="G3621" t="s">
        <v>2018</v>
      </c>
      <c r="H3621">
        <v>1</v>
      </c>
      <c r="I3621" s="12">
        <f>Table16[[#This Row],[price]]*Table16[[#This Row],[quantity]]</f>
        <v>130.75</v>
      </c>
    </row>
    <row r="3622" spans="1:9" x14ac:dyDescent="0.3">
      <c r="A3622" t="s">
        <v>5638</v>
      </c>
      <c r="B3622" t="s">
        <v>711</v>
      </c>
      <c r="C3622" t="s">
        <v>2001</v>
      </c>
      <c r="D3622">
        <v>2</v>
      </c>
      <c r="E3622" s="16">
        <v>600.16</v>
      </c>
      <c r="F3622" s="1">
        <v>44348</v>
      </c>
      <c r="G3622" t="s">
        <v>2027</v>
      </c>
      <c r="H3622">
        <v>3</v>
      </c>
      <c r="I3622" s="12">
        <f>Table16[[#This Row],[price]]*Table16[[#This Row],[quantity]]</f>
        <v>1200.32</v>
      </c>
    </row>
    <row r="3623" spans="1:9" x14ac:dyDescent="0.3">
      <c r="A3623" t="s">
        <v>5640</v>
      </c>
      <c r="B3623" t="s">
        <v>711</v>
      </c>
      <c r="C3623" t="s">
        <v>2011</v>
      </c>
      <c r="D3623">
        <v>1</v>
      </c>
      <c r="E3623" s="16">
        <v>40.659999999999997</v>
      </c>
      <c r="F3623" s="1">
        <v>44800</v>
      </c>
      <c r="G3623" t="s">
        <v>2004</v>
      </c>
      <c r="H3623">
        <v>3</v>
      </c>
      <c r="I3623" s="12">
        <f>Table16[[#This Row],[price]]*Table16[[#This Row],[quantity]]</f>
        <v>40.659999999999997</v>
      </c>
    </row>
    <row r="3624" spans="1:9" x14ac:dyDescent="0.3">
      <c r="A3624" t="s">
        <v>5641</v>
      </c>
      <c r="B3624" t="s">
        <v>711</v>
      </c>
      <c r="C3624" t="s">
        <v>2001</v>
      </c>
      <c r="D3624">
        <v>3</v>
      </c>
      <c r="E3624" s="16">
        <v>900.24</v>
      </c>
      <c r="F3624" s="1">
        <v>44890</v>
      </c>
      <c r="G3624" t="s">
        <v>2020</v>
      </c>
      <c r="H3624">
        <v>4</v>
      </c>
      <c r="I3624" s="12">
        <f>Table16[[#This Row],[price]]*Table16[[#This Row],[quantity]]</f>
        <v>2700.7200000000003</v>
      </c>
    </row>
    <row r="3625" spans="1:9" x14ac:dyDescent="0.3">
      <c r="A3625" t="s">
        <v>5639</v>
      </c>
      <c r="B3625" t="s">
        <v>711</v>
      </c>
      <c r="C3625" t="s">
        <v>2015</v>
      </c>
      <c r="D3625">
        <v>3</v>
      </c>
      <c r="E3625" s="16">
        <v>1800.51</v>
      </c>
      <c r="F3625" s="1">
        <v>44910</v>
      </c>
      <c r="G3625" t="s">
        <v>2058</v>
      </c>
      <c r="H3625">
        <v>5</v>
      </c>
      <c r="I3625" s="12">
        <f>Table16[[#This Row],[price]]*Table16[[#This Row],[quantity]]</f>
        <v>5401.53</v>
      </c>
    </row>
    <row r="3626" spans="1:9" x14ac:dyDescent="0.3">
      <c r="A3626" t="s">
        <v>5648</v>
      </c>
      <c r="B3626" t="s">
        <v>712</v>
      </c>
      <c r="C3626" t="s">
        <v>2001</v>
      </c>
      <c r="D3626">
        <v>1</v>
      </c>
      <c r="E3626" s="16">
        <v>300.08</v>
      </c>
      <c r="F3626" s="1">
        <v>44444</v>
      </c>
      <c r="G3626" t="s">
        <v>2027</v>
      </c>
      <c r="H3626">
        <v>2</v>
      </c>
      <c r="I3626" s="12">
        <f>Table16[[#This Row],[price]]*Table16[[#This Row],[quantity]]</f>
        <v>300.08</v>
      </c>
    </row>
    <row r="3627" spans="1:9" x14ac:dyDescent="0.3">
      <c r="A3627" t="s">
        <v>5646</v>
      </c>
      <c r="B3627" t="s">
        <v>712</v>
      </c>
      <c r="C3627" t="s">
        <v>2008</v>
      </c>
      <c r="D3627">
        <v>1</v>
      </c>
      <c r="E3627" s="16">
        <v>5.23</v>
      </c>
      <c r="F3627" s="1">
        <v>44500</v>
      </c>
      <c r="G3627" t="s">
        <v>2009</v>
      </c>
      <c r="H3627">
        <v>4</v>
      </c>
      <c r="I3627" s="12">
        <f>Table16[[#This Row],[price]]*Table16[[#This Row],[quantity]]</f>
        <v>5.23</v>
      </c>
    </row>
    <row r="3628" spans="1:9" x14ac:dyDescent="0.3">
      <c r="A3628" t="s">
        <v>5647</v>
      </c>
      <c r="B3628" t="s">
        <v>712</v>
      </c>
      <c r="C3628" t="s">
        <v>2001</v>
      </c>
      <c r="D3628">
        <v>2</v>
      </c>
      <c r="E3628" s="16">
        <v>600.16</v>
      </c>
      <c r="F3628" s="1">
        <v>44533</v>
      </c>
      <c r="G3628" t="s">
        <v>2009</v>
      </c>
      <c r="H3628">
        <v>1</v>
      </c>
      <c r="I3628" s="12">
        <f>Table16[[#This Row],[price]]*Table16[[#This Row],[quantity]]</f>
        <v>1200.32</v>
      </c>
    </row>
    <row r="3629" spans="1:9" x14ac:dyDescent="0.3">
      <c r="A3629" t="s">
        <v>5645</v>
      </c>
      <c r="B3629" t="s">
        <v>712</v>
      </c>
      <c r="C3629" t="s">
        <v>2006</v>
      </c>
      <c r="D3629">
        <v>2</v>
      </c>
      <c r="E3629" s="16">
        <v>30.3</v>
      </c>
      <c r="F3629" s="1">
        <v>44624</v>
      </c>
      <c r="G3629" t="s">
        <v>2018</v>
      </c>
      <c r="H3629">
        <v>4</v>
      </c>
      <c r="I3629" s="12">
        <f>Table16[[#This Row],[price]]*Table16[[#This Row],[quantity]]</f>
        <v>60.6</v>
      </c>
    </row>
    <row r="3630" spans="1:9" x14ac:dyDescent="0.3">
      <c r="A3630" t="s">
        <v>5644</v>
      </c>
      <c r="B3630" t="s">
        <v>712</v>
      </c>
      <c r="C3630" t="s">
        <v>2015</v>
      </c>
      <c r="D3630">
        <v>5</v>
      </c>
      <c r="E3630" s="16">
        <v>3000.85</v>
      </c>
      <c r="F3630" s="1">
        <v>44635</v>
      </c>
      <c r="G3630" t="s">
        <v>2020</v>
      </c>
      <c r="H3630">
        <v>2</v>
      </c>
      <c r="I3630" s="12">
        <f>Table16[[#This Row],[price]]*Table16[[#This Row],[quantity]]</f>
        <v>15004.25</v>
      </c>
    </row>
    <row r="3631" spans="1:9" x14ac:dyDescent="0.3">
      <c r="A3631" t="s">
        <v>5643</v>
      </c>
      <c r="B3631" t="s">
        <v>712</v>
      </c>
      <c r="C3631" t="s">
        <v>2024</v>
      </c>
      <c r="D3631">
        <v>5</v>
      </c>
      <c r="E3631" s="16">
        <v>179.2</v>
      </c>
      <c r="F3631" s="1">
        <v>44907</v>
      </c>
      <c r="G3631" t="s">
        <v>2002</v>
      </c>
      <c r="H3631">
        <v>1</v>
      </c>
      <c r="I3631" s="12">
        <f>Table16[[#This Row],[price]]*Table16[[#This Row],[quantity]]</f>
        <v>896</v>
      </c>
    </row>
    <row r="3632" spans="1:9" x14ac:dyDescent="0.3">
      <c r="A3632" t="s">
        <v>5642</v>
      </c>
      <c r="B3632" t="s">
        <v>712</v>
      </c>
      <c r="C3632" t="s">
        <v>2024</v>
      </c>
      <c r="D3632">
        <v>4</v>
      </c>
      <c r="E3632" s="16">
        <v>143.36000000000001</v>
      </c>
      <c r="F3632" s="1">
        <v>44979</v>
      </c>
      <c r="G3632" t="s">
        <v>2058</v>
      </c>
      <c r="H3632">
        <v>3</v>
      </c>
      <c r="I3632" s="12">
        <f>Table16[[#This Row],[price]]*Table16[[#This Row],[quantity]]</f>
        <v>573.44000000000005</v>
      </c>
    </row>
    <row r="3633" spans="1:9" x14ac:dyDescent="0.3">
      <c r="A3633" t="s">
        <v>5649</v>
      </c>
      <c r="B3633" t="s">
        <v>712</v>
      </c>
      <c r="C3633" t="s">
        <v>2017</v>
      </c>
      <c r="D3633">
        <v>4</v>
      </c>
      <c r="E3633" s="16">
        <v>4200</v>
      </c>
      <c r="F3633" s="1">
        <v>44983</v>
      </c>
      <c r="G3633" t="s">
        <v>2002</v>
      </c>
      <c r="H3633">
        <v>1</v>
      </c>
      <c r="I3633" s="12">
        <f>Table16[[#This Row],[price]]*Table16[[#This Row],[quantity]]</f>
        <v>16800</v>
      </c>
    </row>
    <row r="3634" spans="1:9" x14ac:dyDescent="0.3">
      <c r="A3634" t="s">
        <v>5651</v>
      </c>
      <c r="B3634" t="s">
        <v>713</v>
      </c>
      <c r="C3634" t="s">
        <v>2024</v>
      </c>
      <c r="D3634">
        <v>2</v>
      </c>
      <c r="E3634" s="16">
        <v>71.680000000000007</v>
      </c>
      <c r="F3634" s="1">
        <v>44385</v>
      </c>
      <c r="G3634" t="s">
        <v>2002</v>
      </c>
      <c r="H3634">
        <v>5</v>
      </c>
      <c r="I3634" s="12">
        <f>Table16[[#This Row],[price]]*Table16[[#This Row],[quantity]]</f>
        <v>143.36000000000001</v>
      </c>
    </row>
    <row r="3635" spans="1:9" x14ac:dyDescent="0.3">
      <c r="A3635" t="s">
        <v>5652</v>
      </c>
      <c r="B3635" t="s">
        <v>713</v>
      </c>
      <c r="C3635" t="s">
        <v>2015</v>
      </c>
      <c r="D3635">
        <v>2</v>
      </c>
      <c r="E3635" s="16">
        <v>1200.3399999999999</v>
      </c>
      <c r="F3635" s="1">
        <v>44577</v>
      </c>
      <c r="G3635" t="s">
        <v>2027</v>
      </c>
      <c r="H3635">
        <v>5</v>
      </c>
      <c r="I3635" s="12">
        <f>Table16[[#This Row],[price]]*Table16[[#This Row],[quantity]]</f>
        <v>2400.6799999999998</v>
      </c>
    </row>
    <row r="3636" spans="1:9" x14ac:dyDescent="0.3">
      <c r="A3636" t="s">
        <v>5650</v>
      </c>
      <c r="B3636" t="s">
        <v>713</v>
      </c>
      <c r="C3636" t="s">
        <v>2006</v>
      </c>
      <c r="D3636">
        <v>4</v>
      </c>
      <c r="E3636" s="16">
        <v>60.6</v>
      </c>
      <c r="F3636" s="1">
        <v>44969</v>
      </c>
      <c r="G3636" t="s">
        <v>2020</v>
      </c>
      <c r="H3636">
        <v>1</v>
      </c>
      <c r="I3636" s="12">
        <f>Table16[[#This Row],[price]]*Table16[[#This Row],[quantity]]</f>
        <v>242.4</v>
      </c>
    </row>
    <row r="3637" spans="1:9" x14ac:dyDescent="0.3">
      <c r="A3637" t="s">
        <v>5653</v>
      </c>
      <c r="B3637" t="s">
        <v>714</v>
      </c>
      <c r="C3637" t="s">
        <v>2011</v>
      </c>
      <c r="D3637">
        <v>4</v>
      </c>
      <c r="E3637" s="16">
        <v>162.63999999999999</v>
      </c>
      <c r="F3637" s="1">
        <v>44246</v>
      </c>
      <c r="G3637" t="s">
        <v>2004</v>
      </c>
      <c r="H3637">
        <v>1</v>
      </c>
      <c r="I3637" s="12">
        <f>Table16[[#This Row],[price]]*Table16[[#This Row],[quantity]]</f>
        <v>650.55999999999995</v>
      </c>
    </row>
    <row r="3638" spans="1:9" x14ac:dyDescent="0.3">
      <c r="A3638" t="s">
        <v>5655</v>
      </c>
      <c r="B3638" t="s">
        <v>714</v>
      </c>
      <c r="C3638" t="s">
        <v>2057</v>
      </c>
      <c r="D3638">
        <v>1</v>
      </c>
      <c r="E3638" s="16">
        <v>11.73</v>
      </c>
      <c r="F3638" s="1">
        <v>44316</v>
      </c>
      <c r="G3638" t="s">
        <v>2027</v>
      </c>
      <c r="H3638">
        <v>4</v>
      </c>
      <c r="I3638" s="12">
        <f>Table16[[#This Row],[price]]*Table16[[#This Row],[quantity]]</f>
        <v>11.73</v>
      </c>
    </row>
    <row r="3639" spans="1:9" x14ac:dyDescent="0.3">
      <c r="A3639" t="s">
        <v>5654</v>
      </c>
      <c r="B3639" t="s">
        <v>714</v>
      </c>
      <c r="C3639" t="s">
        <v>2001</v>
      </c>
      <c r="D3639">
        <v>5</v>
      </c>
      <c r="E3639" s="16">
        <v>1500.4</v>
      </c>
      <c r="F3639" s="1">
        <v>44411</v>
      </c>
      <c r="G3639" t="s">
        <v>2004</v>
      </c>
      <c r="H3639">
        <v>2</v>
      </c>
      <c r="I3639" s="12">
        <f>Table16[[#This Row],[price]]*Table16[[#This Row],[quantity]]</f>
        <v>7502</v>
      </c>
    </row>
    <row r="3640" spans="1:9" x14ac:dyDescent="0.3">
      <c r="A3640" t="s">
        <v>5656</v>
      </c>
      <c r="B3640" t="s">
        <v>715</v>
      </c>
      <c r="C3640" t="s">
        <v>2001</v>
      </c>
      <c r="D3640">
        <v>2</v>
      </c>
      <c r="E3640" s="16">
        <v>600.16</v>
      </c>
      <c r="F3640" s="1">
        <v>44784</v>
      </c>
      <c r="G3640" t="s">
        <v>2027</v>
      </c>
      <c r="H3640">
        <v>1</v>
      </c>
      <c r="I3640" s="12">
        <f>Table16[[#This Row],[price]]*Table16[[#This Row],[quantity]]</f>
        <v>1200.32</v>
      </c>
    </row>
    <row r="3641" spans="1:9" x14ac:dyDescent="0.3">
      <c r="A3641" t="s">
        <v>5657</v>
      </c>
      <c r="B3641" t="s">
        <v>715</v>
      </c>
      <c r="C3641" t="s">
        <v>2001</v>
      </c>
      <c r="D3641">
        <v>1</v>
      </c>
      <c r="E3641" s="16">
        <v>300.08</v>
      </c>
      <c r="F3641" s="1">
        <v>44909</v>
      </c>
      <c r="G3641" t="s">
        <v>2020</v>
      </c>
      <c r="H3641">
        <v>4</v>
      </c>
      <c r="I3641" s="12">
        <f>Table16[[#This Row],[price]]*Table16[[#This Row],[quantity]]</f>
        <v>300.08</v>
      </c>
    </row>
    <row r="3642" spans="1:9" x14ac:dyDescent="0.3">
      <c r="A3642" t="s">
        <v>5660</v>
      </c>
      <c r="B3642" t="s">
        <v>716</v>
      </c>
      <c r="C3642" t="s">
        <v>2024</v>
      </c>
      <c r="D3642">
        <v>2</v>
      </c>
      <c r="E3642" s="16">
        <v>71.680000000000007</v>
      </c>
      <c r="F3642" s="1">
        <v>44526</v>
      </c>
      <c r="G3642" t="s">
        <v>2004</v>
      </c>
      <c r="H3642">
        <v>4</v>
      </c>
      <c r="I3642" s="12">
        <f>Table16[[#This Row],[price]]*Table16[[#This Row],[quantity]]</f>
        <v>143.36000000000001</v>
      </c>
    </row>
    <row r="3643" spans="1:9" x14ac:dyDescent="0.3">
      <c r="A3643" t="s">
        <v>5661</v>
      </c>
      <c r="B3643" t="s">
        <v>716</v>
      </c>
      <c r="C3643" t="s">
        <v>2008</v>
      </c>
      <c r="D3643">
        <v>1</v>
      </c>
      <c r="E3643" s="16">
        <v>5.23</v>
      </c>
      <c r="F3643" s="1">
        <v>44560</v>
      </c>
      <c r="G3643" t="s">
        <v>2004</v>
      </c>
      <c r="H3643">
        <v>4</v>
      </c>
      <c r="I3643" s="12">
        <f>Table16[[#This Row],[price]]*Table16[[#This Row],[quantity]]</f>
        <v>5.23</v>
      </c>
    </row>
    <row r="3644" spans="1:9" x14ac:dyDescent="0.3">
      <c r="A3644" t="s">
        <v>5659</v>
      </c>
      <c r="B3644" t="s">
        <v>716</v>
      </c>
      <c r="C3644" t="s">
        <v>2017</v>
      </c>
      <c r="D3644">
        <v>1</v>
      </c>
      <c r="E3644" s="16">
        <v>1050</v>
      </c>
      <c r="F3644" s="1">
        <v>44586</v>
      </c>
      <c r="G3644" t="s">
        <v>2064</v>
      </c>
      <c r="H3644">
        <v>4</v>
      </c>
      <c r="I3644" s="12">
        <f>Table16[[#This Row],[price]]*Table16[[#This Row],[quantity]]</f>
        <v>1050</v>
      </c>
    </row>
    <row r="3645" spans="1:9" x14ac:dyDescent="0.3">
      <c r="A3645" t="s">
        <v>5658</v>
      </c>
      <c r="B3645" t="s">
        <v>716</v>
      </c>
      <c r="C3645" t="s">
        <v>2001</v>
      </c>
      <c r="D3645">
        <v>3</v>
      </c>
      <c r="E3645" s="16">
        <v>900.24</v>
      </c>
      <c r="F3645" s="1">
        <v>44781</v>
      </c>
      <c r="G3645" t="s">
        <v>2018</v>
      </c>
      <c r="H3645">
        <v>3</v>
      </c>
      <c r="I3645" s="12">
        <f>Table16[[#This Row],[price]]*Table16[[#This Row],[quantity]]</f>
        <v>2700.7200000000003</v>
      </c>
    </row>
    <row r="3646" spans="1:9" x14ac:dyDescent="0.3">
      <c r="A3646" t="s">
        <v>5663</v>
      </c>
      <c r="B3646" t="s">
        <v>717</v>
      </c>
      <c r="C3646" t="s">
        <v>2011</v>
      </c>
      <c r="D3646">
        <v>5</v>
      </c>
      <c r="E3646" s="16">
        <v>203.3</v>
      </c>
      <c r="F3646" s="1">
        <v>44300</v>
      </c>
      <c r="G3646" t="s">
        <v>2009</v>
      </c>
      <c r="H3646">
        <v>2</v>
      </c>
      <c r="I3646" s="12">
        <f>Table16[[#This Row],[price]]*Table16[[#This Row],[quantity]]</f>
        <v>1016.5</v>
      </c>
    </row>
    <row r="3647" spans="1:9" x14ac:dyDescent="0.3">
      <c r="A3647" t="s">
        <v>5664</v>
      </c>
      <c r="B3647" t="s">
        <v>717</v>
      </c>
      <c r="C3647" t="s">
        <v>2001</v>
      </c>
      <c r="D3647">
        <v>4</v>
      </c>
      <c r="E3647" s="16">
        <v>1200.32</v>
      </c>
      <c r="F3647" s="1">
        <v>44330</v>
      </c>
      <c r="G3647" t="s">
        <v>2064</v>
      </c>
      <c r="H3647">
        <v>2</v>
      </c>
      <c r="I3647" s="12">
        <f>Table16[[#This Row],[price]]*Table16[[#This Row],[quantity]]</f>
        <v>4801.28</v>
      </c>
    </row>
    <row r="3648" spans="1:9" x14ac:dyDescent="0.3">
      <c r="A3648" t="s">
        <v>5665</v>
      </c>
      <c r="B3648" t="s">
        <v>717</v>
      </c>
      <c r="C3648" t="s">
        <v>2008</v>
      </c>
      <c r="D3648">
        <v>5</v>
      </c>
      <c r="E3648" s="16">
        <v>26.15</v>
      </c>
      <c r="F3648" s="1">
        <v>44331</v>
      </c>
      <c r="G3648" t="s">
        <v>2004</v>
      </c>
      <c r="H3648">
        <v>2</v>
      </c>
      <c r="I3648" s="12">
        <f>Table16[[#This Row],[price]]*Table16[[#This Row],[quantity]]</f>
        <v>130.75</v>
      </c>
    </row>
    <row r="3649" spans="1:9" x14ac:dyDescent="0.3">
      <c r="A3649" t="s">
        <v>5662</v>
      </c>
      <c r="B3649" t="s">
        <v>717</v>
      </c>
      <c r="C3649" t="s">
        <v>2008</v>
      </c>
      <c r="D3649">
        <v>1</v>
      </c>
      <c r="E3649" s="16">
        <v>5.23</v>
      </c>
      <c r="F3649" s="1">
        <v>44435</v>
      </c>
      <c r="G3649" t="s">
        <v>2027</v>
      </c>
      <c r="H3649">
        <v>2</v>
      </c>
      <c r="I3649" s="12">
        <f>Table16[[#This Row],[price]]*Table16[[#This Row],[quantity]]</f>
        <v>5.23</v>
      </c>
    </row>
    <row r="3650" spans="1:9" x14ac:dyDescent="0.3">
      <c r="A3650" t="s">
        <v>5668</v>
      </c>
      <c r="B3650" t="s">
        <v>718</v>
      </c>
      <c r="C3650" t="s">
        <v>2057</v>
      </c>
      <c r="D3650">
        <v>3</v>
      </c>
      <c r="E3650" s="16">
        <v>35.19</v>
      </c>
      <c r="F3650" s="1">
        <v>44242</v>
      </c>
      <c r="G3650" t="s">
        <v>2009</v>
      </c>
      <c r="H3650">
        <v>3</v>
      </c>
      <c r="I3650" s="12">
        <f>Table16[[#This Row],[price]]*Table16[[#This Row],[quantity]]</f>
        <v>105.57</v>
      </c>
    </row>
    <row r="3651" spans="1:9" x14ac:dyDescent="0.3">
      <c r="A3651" t="s">
        <v>5667</v>
      </c>
      <c r="B3651" t="s">
        <v>718</v>
      </c>
      <c r="C3651" t="s">
        <v>2001</v>
      </c>
      <c r="D3651">
        <v>5</v>
      </c>
      <c r="E3651" s="16">
        <v>1500.4</v>
      </c>
      <c r="F3651" s="1">
        <v>44272</v>
      </c>
      <c r="G3651" t="s">
        <v>2027</v>
      </c>
      <c r="H3651">
        <v>1</v>
      </c>
      <c r="I3651" s="12">
        <f>Table16[[#This Row],[price]]*Table16[[#This Row],[quantity]]</f>
        <v>7502</v>
      </c>
    </row>
    <row r="3652" spans="1:9" x14ac:dyDescent="0.3">
      <c r="A3652" t="s">
        <v>5669</v>
      </c>
      <c r="B3652" t="s">
        <v>718</v>
      </c>
      <c r="C3652" t="s">
        <v>2001</v>
      </c>
      <c r="D3652">
        <v>5</v>
      </c>
      <c r="E3652" s="16">
        <v>1500.4</v>
      </c>
      <c r="F3652" s="1">
        <v>44332</v>
      </c>
      <c r="G3652" t="s">
        <v>2027</v>
      </c>
      <c r="H3652">
        <v>2</v>
      </c>
      <c r="I3652" s="12">
        <f>Table16[[#This Row],[price]]*Table16[[#This Row],[quantity]]</f>
        <v>7502</v>
      </c>
    </row>
    <row r="3653" spans="1:9" x14ac:dyDescent="0.3">
      <c r="A3653" t="s">
        <v>5666</v>
      </c>
      <c r="B3653" t="s">
        <v>718</v>
      </c>
      <c r="C3653" t="s">
        <v>2024</v>
      </c>
      <c r="D3653">
        <v>2</v>
      </c>
      <c r="E3653" s="16">
        <v>71.680000000000007</v>
      </c>
      <c r="F3653" s="1">
        <v>44534</v>
      </c>
      <c r="G3653" t="s">
        <v>2041</v>
      </c>
      <c r="H3653">
        <v>4</v>
      </c>
      <c r="I3653" s="12">
        <f>Table16[[#This Row],[price]]*Table16[[#This Row],[quantity]]</f>
        <v>143.36000000000001</v>
      </c>
    </row>
    <row r="3654" spans="1:9" x14ac:dyDescent="0.3">
      <c r="A3654" t="s">
        <v>5670</v>
      </c>
      <c r="B3654" t="s">
        <v>718</v>
      </c>
      <c r="C3654" t="s">
        <v>2017</v>
      </c>
      <c r="D3654">
        <v>5</v>
      </c>
      <c r="E3654" s="16">
        <v>5250</v>
      </c>
      <c r="F3654" s="1">
        <v>44671</v>
      </c>
      <c r="G3654" t="s">
        <v>2012</v>
      </c>
      <c r="H3654">
        <v>2</v>
      </c>
      <c r="I3654" s="12">
        <f>Table16[[#This Row],[price]]*Table16[[#This Row],[quantity]]</f>
        <v>26250</v>
      </c>
    </row>
    <row r="3655" spans="1:9" x14ac:dyDescent="0.3">
      <c r="A3655" t="s">
        <v>5671</v>
      </c>
      <c r="B3655" t="s">
        <v>719</v>
      </c>
      <c r="C3655" t="s">
        <v>2011</v>
      </c>
      <c r="D3655">
        <v>4</v>
      </c>
      <c r="E3655" s="16">
        <v>162.63999999999999</v>
      </c>
      <c r="F3655" s="1">
        <v>44498</v>
      </c>
      <c r="G3655" t="s">
        <v>2027</v>
      </c>
      <c r="H3655">
        <v>1</v>
      </c>
      <c r="I3655" s="12">
        <f>Table16[[#This Row],[price]]*Table16[[#This Row],[quantity]]</f>
        <v>650.55999999999995</v>
      </c>
    </row>
    <row r="3656" spans="1:9" x14ac:dyDescent="0.3">
      <c r="A3656" t="s">
        <v>5673</v>
      </c>
      <c r="B3656" t="s">
        <v>719</v>
      </c>
      <c r="C3656" t="s">
        <v>2024</v>
      </c>
      <c r="D3656">
        <v>1</v>
      </c>
      <c r="E3656" s="16">
        <v>35.840000000000003</v>
      </c>
      <c r="F3656" s="1">
        <v>44700</v>
      </c>
      <c r="G3656" t="s">
        <v>2004</v>
      </c>
      <c r="H3656">
        <v>4</v>
      </c>
      <c r="I3656" s="12">
        <f>Table16[[#This Row],[price]]*Table16[[#This Row],[quantity]]</f>
        <v>35.840000000000003</v>
      </c>
    </row>
    <row r="3657" spans="1:9" x14ac:dyDescent="0.3">
      <c r="A3657" t="s">
        <v>5672</v>
      </c>
      <c r="B3657" t="s">
        <v>719</v>
      </c>
      <c r="C3657" t="s">
        <v>2001</v>
      </c>
      <c r="D3657">
        <v>2</v>
      </c>
      <c r="E3657" s="16">
        <v>600.16</v>
      </c>
      <c r="F3657" s="1">
        <v>44828</v>
      </c>
      <c r="G3657" t="s">
        <v>2027</v>
      </c>
      <c r="H3657">
        <v>4</v>
      </c>
      <c r="I3657" s="12">
        <f>Table16[[#This Row],[price]]*Table16[[#This Row],[quantity]]</f>
        <v>1200.32</v>
      </c>
    </row>
    <row r="3658" spans="1:9" x14ac:dyDescent="0.3">
      <c r="A3658" t="s">
        <v>5679</v>
      </c>
      <c r="B3658" t="s">
        <v>720</v>
      </c>
      <c r="C3658" t="s">
        <v>2015</v>
      </c>
      <c r="D3658">
        <v>2</v>
      </c>
      <c r="E3658" s="16">
        <v>1200.3399999999999</v>
      </c>
      <c r="F3658" s="1">
        <v>44228</v>
      </c>
      <c r="G3658" t="s">
        <v>2027</v>
      </c>
      <c r="H3658">
        <v>2</v>
      </c>
      <c r="I3658" s="12">
        <f>Table16[[#This Row],[price]]*Table16[[#This Row],[quantity]]</f>
        <v>2400.6799999999998</v>
      </c>
    </row>
    <row r="3659" spans="1:9" x14ac:dyDescent="0.3">
      <c r="A3659" t="s">
        <v>5676</v>
      </c>
      <c r="B3659" t="s">
        <v>720</v>
      </c>
      <c r="C3659" t="s">
        <v>2008</v>
      </c>
      <c r="D3659">
        <v>4</v>
      </c>
      <c r="E3659" s="16">
        <v>20.92</v>
      </c>
      <c r="F3659" s="1">
        <v>44475</v>
      </c>
      <c r="G3659" t="s">
        <v>2002</v>
      </c>
      <c r="H3659">
        <v>4</v>
      </c>
      <c r="I3659" s="12">
        <f>Table16[[#This Row],[price]]*Table16[[#This Row],[quantity]]</f>
        <v>83.68</v>
      </c>
    </row>
    <row r="3660" spans="1:9" x14ac:dyDescent="0.3">
      <c r="A3660" t="s">
        <v>5680</v>
      </c>
      <c r="B3660" t="s">
        <v>720</v>
      </c>
      <c r="C3660" t="s">
        <v>2001</v>
      </c>
      <c r="D3660">
        <v>2</v>
      </c>
      <c r="E3660" s="16">
        <v>600.16</v>
      </c>
      <c r="F3660" s="1">
        <v>44780</v>
      </c>
      <c r="G3660" t="s">
        <v>2012</v>
      </c>
      <c r="H3660">
        <v>4</v>
      </c>
      <c r="I3660" s="12">
        <f>Table16[[#This Row],[price]]*Table16[[#This Row],[quantity]]</f>
        <v>1200.32</v>
      </c>
    </row>
    <row r="3661" spans="1:9" x14ac:dyDescent="0.3">
      <c r="A3661" t="s">
        <v>5677</v>
      </c>
      <c r="B3661" t="s">
        <v>720</v>
      </c>
      <c r="C3661" t="s">
        <v>2001</v>
      </c>
      <c r="D3661">
        <v>3</v>
      </c>
      <c r="E3661" s="16">
        <v>900.24</v>
      </c>
      <c r="F3661" s="1">
        <v>44783</v>
      </c>
      <c r="G3661" t="s">
        <v>2009</v>
      </c>
      <c r="H3661">
        <v>4</v>
      </c>
      <c r="I3661" s="12">
        <f>Table16[[#This Row],[price]]*Table16[[#This Row],[quantity]]</f>
        <v>2700.7200000000003</v>
      </c>
    </row>
    <row r="3662" spans="1:9" x14ac:dyDescent="0.3">
      <c r="A3662" t="s">
        <v>5674</v>
      </c>
      <c r="B3662" t="s">
        <v>720</v>
      </c>
      <c r="C3662" t="s">
        <v>2015</v>
      </c>
      <c r="D3662">
        <v>1</v>
      </c>
      <c r="E3662" s="16">
        <v>600.16999999999996</v>
      </c>
      <c r="F3662" s="1">
        <v>44837</v>
      </c>
      <c r="G3662" t="s">
        <v>2018</v>
      </c>
      <c r="H3662">
        <v>3</v>
      </c>
      <c r="I3662" s="12">
        <f>Table16[[#This Row],[price]]*Table16[[#This Row],[quantity]]</f>
        <v>600.16999999999996</v>
      </c>
    </row>
    <row r="3663" spans="1:9" x14ac:dyDescent="0.3">
      <c r="A3663" t="s">
        <v>5678</v>
      </c>
      <c r="B3663" t="s">
        <v>720</v>
      </c>
      <c r="C3663" t="s">
        <v>2008</v>
      </c>
      <c r="D3663">
        <v>4</v>
      </c>
      <c r="E3663" s="16">
        <v>20.92</v>
      </c>
      <c r="F3663" s="1">
        <v>44871</v>
      </c>
      <c r="G3663" t="s">
        <v>2064</v>
      </c>
      <c r="H3663">
        <v>4</v>
      </c>
      <c r="I3663" s="12">
        <f>Table16[[#This Row],[price]]*Table16[[#This Row],[quantity]]</f>
        <v>83.68</v>
      </c>
    </row>
    <row r="3664" spans="1:9" x14ac:dyDescent="0.3">
      <c r="A3664" t="s">
        <v>5675</v>
      </c>
      <c r="B3664" t="s">
        <v>720</v>
      </c>
      <c r="C3664" t="s">
        <v>2024</v>
      </c>
      <c r="D3664">
        <v>4</v>
      </c>
      <c r="E3664" s="16">
        <v>143.36000000000001</v>
      </c>
      <c r="F3664" s="1">
        <v>44990</v>
      </c>
      <c r="G3664" t="s">
        <v>2004</v>
      </c>
      <c r="H3664">
        <v>1</v>
      </c>
      <c r="I3664" s="12">
        <f>Table16[[#This Row],[price]]*Table16[[#This Row],[quantity]]</f>
        <v>573.44000000000005</v>
      </c>
    </row>
    <row r="3665" spans="1:9" x14ac:dyDescent="0.3">
      <c r="A3665" t="s">
        <v>5688</v>
      </c>
      <c r="B3665" t="s">
        <v>721</v>
      </c>
      <c r="C3665" t="s">
        <v>2024</v>
      </c>
      <c r="D3665">
        <v>4</v>
      </c>
      <c r="E3665" s="16">
        <v>143.36000000000001</v>
      </c>
      <c r="F3665" s="1">
        <v>44244</v>
      </c>
      <c r="G3665" t="s">
        <v>2004</v>
      </c>
      <c r="H3665">
        <v>4</v>
      </c>
      <c r="I3665" s="12">
        <f>Table16[[#This Row],[price]]*Table16[[#This Row],[quantity]]</f>
        <v>573.44000000000005</v>
      </c>
    </row>
    <row r="3666" spans="1:9" x14ac:dyDescent="0.3">
      <c r="A3666" t="s">
        <v>5683</v>
      </c>
      <c r="B3666" t="s">
        <v>721</v>
      </c>
      <c r="C3666" t="s">
        <v>2024</v>
      </c>
      <c r="D3666">
        <v>2</v>
      </c>
      <c r="E3666" s="16">
        <v>71.680000000000007</v>
      </c>
      <c r="F3666" s="1">
        <v>44390</v>
      </c>
      <c r="G3666" t="s">
        <v>2002</v>
      </c>
      <c r="H3666">
        <v>5</v>
      </c>
      <c r="I3666" s="12">
        <f>Table16[[#This Row],[price]]*Table16[[#This Row],[quantity]]</f>
        <v>143.36000000000001</v>
      </c>
    </row>
    <row r="3667" spans="1:9" x14ac:dyDescent="0.3">
      <c r="A3667" t="s">
        <v>5684</v>
      </c>
      <c r="B3667" t="s">
        <v>721</v>
      </c>
      <c r="C3667" t="s">
        <v>2011</v>
      </c>
      <c r="D3667">
        <v>5</v>
      </c>
      <c r="E3667" s="16">
        <v>203.3</v>
      </c>
      <c r="F3667" s="1">
        <v>44579</v>
      </c>
      <c r="G3667" t="s">
        <v>2002</v>
      </c>
      <c r="H3667">
        <v>1</v>
      </c>
      <c r="I3667" s="12">
        <f>Table16[[#This Row],[price]]*Table16[[#This Row],[quantity]]</f>
        <v>1016.5</v>
      </c>
    </row>
    <row r="3668" spans="1:9" x14ac:dyDescent="0.3">
      <c r="A3668" t="s">
        <v>5687</v>
      </c>
      <c r="B3668" t="s">
        <v>721</v>
      </c>
      <c r="C3668" t="s">
        <v>2024</v>
      </c>
      <c r="D3668">
        <v>3</v>
      </c>
      <c r="E3668" s="16">
        <v>107.52</v>
      </c>
      <c r="F3668" s="1">
        <v>44741</v>
      </c>
      <c r="G3668" t="s">
        <v>2027</v>
      </c>
      <c r="H3668">
        <v>3</v>
      </c>
      <c r="I3668" s="12">
        <f>Table16[[#This Row],[price]]*Table16[[#This Row],[quantity]]</f>
        <v>322.56</v>
      </c>
    </row>
    <row r="3669" spans="1:9" x14ac:dyDescent="0.3">
      <c r="A3669" t="s">
        <v>5681</v>
      </c>
      <c r="B3669" t="s">
        <v>721</v>
      </c>
      <c r="C3669" t="s">
        <v>2015</v>
      </c>
      <c r="D3669">
        <v>3</v>
      </c>
      <c r="E3669" s="16">
        <v>1800.51</v>
      </c>
      <c r="F3669" s="1">
        <v>44748</v>
      </c>
      <c r="G3669" t="s">
        <v>2020</v>
      </c>
      <c r="H3669">
        <v>5</v>
      </c>
      <c r="I3669" s="12">
        <f>Table16[[#This Row],[price]]*Table16[[#This Row],[quantity]]</f>
        <v>5401.53</v>
      </c>
    </row>
    <row r="3670" spans="1:9" x14ac:dyDescent="0.3">
      <c r="A3670" t="s">
        <v>5686</v>
      </c>
      <c r="B3670" t="s">
        <v>721</v>
      </c>
      <c r="C3670" t="s">
        <v>2001</v>
      </c>
      <c r="D3670">
        <v>2</v>
      </c>
      <c r="E3670" s="16">
        <v>600.16</v>
      </c>
      <c r="F3670" s="1">
        <v>44802</v>
      </c>
      <c r="G3670" t="s">
        <v>2004</v>
      </c>
      <c r="H3670">
        <v>5</v>
      </c>
      <c r="I3670" s="12">
        <f>Table16[[#This Row],[price]]*Table16[[#This Row],[quantity]]</f>
        <v>1200.32</v>
      </c>
    </row>
    <row r="3671" spans="1:9" x14ac:dyDescent="0.3">
      <c r="A3671" t="s">
        <v>5685</v>
      </c>
      <c r="B3671" t="s">
        <v>721</v>
      </c>
      <c r="C3671" t="s">
        <v>2057</v>
      </c>
      <c r="D3671">
        <v>3</v>
      </c>
      <c r="E3671" s="16">
        <v>35.19</v>
      </c>
      <c r="F3671" s="1">
        <v>44810</v>
      </c>
      <c r="G3671" t="s">
        <v>2027</v>
      </c>
      <c r="H3671">
        <v>5</v>
      </c>
      <c r="I3671" s="12">
        <f>Table16[[#This Row],[price]]*Table16[[#This Row],[quantity]]</f>
        <v>105.57</v>
      </c>
    </row>
    <row r="3672" spans="1:9" x14ac:dyDescent="0.3">
      <c r="A3672" t="s">
        <v>5682</v>
      </c>
      <c r="B3672" t="s">
        <v>721</v>
      </c>
      <c r="C3672" t="s">
        <v>2011</v>
      </c>
      <c r="D3672">
        <v>1</v>
      </c>
      <c r="E3672" s="16">
        <v>40.659999999999997</v>
      </c>
      <c r="F3672" s="1">
        <v>44820</v>
      </c>
      <c r="G3672" t="s">
        <v>2018</v>
      </c>
      <c r="H3672">
        <v>4</v>
      </c>
      <c r="I3672" s="12">
        <f>Table16[[#This Row],[price]]*Table16[[#This Row],[quantity]]</f>
        <v>40.659999999999997</v>
      </c>
    </row>
    <row r="3673" spans="1:9" x14ac:dyDescent="0.3">
      <c r="A3673" t="s">
        <v>5690</v>
      </c>
      <c r="B3673" t="s">
        <v>722</v>
      </c>
      <c r="C3673" t="s">
        <v>2001</v>
      </c>
      <c r="D3673">
        <v>5</v>
      </c>
      <c r="E3673" s="16">
        <v>1500.4</v>
      </c>
      <c r="F3673" s="1">
        <v>44259</v>
      </c>
      <c r="G3673" t="s">
        <v>2002</v>
      </c>
      <c r="H3673">
        <v>1</v>
      </c>
      <c r="I3673" s="12">
        <f>Table16[[#This Row],[price]]*Table16[[#This Row],[quantity]]</f>
        <v>7502</v>
      </c>
    </row>
    <row r="3674" spans="1:9" x14ac:dyDescent="0.3">
      <c r="A3674" t="s">
        <v>5692</v>
      </c>
      <c r="B3674" t="s">
        <v>722</v>
      </c>
      <c r="C3674" t="s">
        <v>2057</v>
      </c>
      <c r="D3674">
        <v>3</v>
      </c>
      <c r="E3674" s="16">
        <v>35.19</v>
      </c>
      <c r="F3674" s="1">
        <v>44633</v>
      </c>
      <c r="G3674" t="s">
        <v>2004</v>
      </c>
      <c r="H3674">
        <v>5</v>
      </c>
      <c r="I3674" s="12">
        <f>Table16[[#This Row],[price]]*Table16[[#This Row],[quantity]]</f>
        <v>105.57</v>
      </c>
    </row>
    <row r="3675" spans="1:9" x14ac:dyDescent="0.3">
      <c r="A3675" t="s">
        <v>5694</v>
      </c>
      <c r="B3675" t="s">
        <v>722</v>
      </c>
      <c r="C3675" t="s">
        <v>2015</v>
      </c>
      <c r="D3675">
        <v>5</v>
      </c>
      <c r="E3675" s="16">
        <v>3000.85</v>
      </c>
      <c r="F3675" s="1">
        <v>44788</v>
      </c>
      <c r="G3675" t="s">
        <v>2041</v>
      </c>
      <c r="H3675">
        <v>5</v>
      </c>
      <c r="I3675" s="12">
        <f>Table16[[#This Row],[price]]*Table16[[#This Row],[quantity]]</f>
        <v>15004.25</v>
      </c>
    </row>
    <row r="3676" spans="1:9" x14ac:dyDescent="0.3">
      <c r="A3676" t="s">
        <v>5689</v>
      </c>
      <c r="B3676" t="s">
        <v>722</v>
      </c>
      <c r="C3676" t="s">
        <v>2024</v>
      </c>
      <c r="D3676">
        <v>1</v>
      </c>
      <c r="E3676" s="16">
        <v>35.840000000000003</v>
      </c>
      <c r="F3676" s="1">
        <v>44812</v>
      </c>
      <c r="G3676" t="s">
        <v>2064</v>
      </c>
      <c r="H3676">
        <v>3</v>
      </c>
      <c r="I3676" s="12">
        <f>Table16[[#This Row],[price]]*Table16[[#This Row],[quantity]]</f>
        <v>35.840000000000003</v>
      </c>
    </row>
    <row r="3677" spans="1:9" x14ac:dyDescent="0.3">
      <c r="A3677" t="s">
        <v>5695</v>
      </c>
      <c r="B3677" t="s">
        <v>722</v>
      </c>
      <c r="C3677" t="s">
        <v>2011</v>
      </c>
      <c r="D3677">
        <v>1</v>
      </c>
      <c r="E3677" s="16">
        <v>40.659999999999997</v>
      </c>
      <c r="F3677" s="1">
        <v>44874</v>
      </c>
      <c r="G3677" t="s">
        <v>2004</v>
      </c>
      <c r="H3677">
        <v>2</v>
      </c>
      <c r="I3677" s="12">
        <f>Table16[[#This Row],[price]]*Table16[[#This Row],[quantity]]</f>
        <v>40.659999999999997</v>
      </c>
    </row>
    <row r="3678" spans="1:9" x14ac:dyDescent="0.3">
      <c r="A3678" t="s">
        <v>5693</v>
      </c>
      <c r="B3678" t="s">
        <v>722</v>
      </c>
      <c r="C3678" t="s">
        <v>2024</v>
      </c>
      <c r="D3678">
        <v>5</v>
      </c>
      <c r="E3678" s="16">
        <v>179.2</v>
      </c>
      <c r="F3678" s="1">
        <v>44913</v>
      </c>
      <c r="G3678" t="s">
        <v>2027</v>
      </c>
      <c r="H3678">
        <v>3</v>
      </c>
      <c r="I3678" s="12">
        <f>Table16[[#This Row],[price]]*Table16[[#This Row],[quantity]]</f>
        <v>896</v>
      </c>
    </row>
    <row r="3679" spans="1:9" x14ac:dyDescent="0.3">
      <c r="A3679" t="s">
        <v>5691</v>
      </c>
      <c r="B3679" t="s">
        <v>722</v>
      </c>
      <c r="C3679" t="s">
        <v>2057</v>
      </c>
      <c r="D3679">
        <v>3</v>
      </c>
      <c r="E3679" s="16">
        <v>35.19</v>
      </c>
      <c r="F3679" s="1">
        <v>44971</v>
      </c>
      <c r="G3679" t="s">
        <v>2020</v>
      </c>
      <c r="H3679">
        <v>1</v>
      </c>
      <c r="I3679" s="12">
        <f>Table16[[#This Row],[price]]*Table16[[#This Row],[quantity]]</f>
        <v>105.57</v>
      </c>
    </row>
    <row r="3680" spans="1:9" x14ac:dyDescent="0.3">
      <c r="A3680" t="s">
        <v>5702</v>
      </c>
      <c r="B3680" t="s">
        <v>723</v>
      </c>
      <c r="C3680" t="s">
        <v>2001</v>
      </c>
      <c r="D3680">
        <v>3</v>
      </c>
      <c r="E3680" s="16">
        <v>900.24</v>
      </c>
      <c r="F3680" s="1">
        <v>44267</v>
      </c>
      <c r="G3680" t="s">
        <v>2027</v>
      </c>
      <c r="H3680">
        <v>5</v>
      </c>
      <c r="I3680" s="12">
        <f>Table16[[#This Row],[price]]*Table16[[#This Row],[quantity]]</f>
        <v>2700.7200000000003</v>
      </c>
    </row>
    <row r="3681" spans="1:9" x14ac:dyDescent="0.3">
      <c r="A3681" t="s">
        <v>5701</v>
      </c>
      <c r="B3681" t="s">
        <v>723</v>
      </c>
      <c r="C3681" t="s">
        <v>2057</v>
      </c>
      <c r="D3681">
        <v>5</v>
      </c>
      <c r="E3681" s="16">
        <v>58.65</v>
      </c>
      <c r="F3681" s="1">
        <v>44423</v>
      </c>
      <c r="G3681" t="s">
        <v>2012</v>
      </c>
      <c r="H3681">
        <v>4</v>
      </c>
      <c r="I3681" s="12">
        <f>Table16[[#This Row],[price]]*Table16[[#This Row],[quantity]]</f>
        <v>293.25</v>
      </c>
    </row>
    <row r="3682" spans="1:9" x14ac:dyDescent="0.3">
      <c r="A3682" t="s">
        <v>5698</v>
      </c>
      <c r="B3682" t="s">
        <v>723</v>
      </c>
      <c r="C3682" t="s">
        <v>2001</v>
      </c>
      <c r="D3682">
        <v>1</v>
      </c>
      <c r="E3682" s="16">
        <v>300.08</v>
      </c>
      <c r="F3682" s="1">
        <v>44484</v>
      </c>
      <c r="G3682" t="s">
        <v>2064</v>
      </c>
      <c r="H3682">
        <v>2</v>
      </c>
      <c r="I3682" s="12">
        <f>Table16[[#This Row],[price]]*Table16[[#This Row],[quantity]]</f>
        <v>300.08</v>
      </c>
    </row>
    <row r="3683" spans="1:9" x14ac:dyDescent="0.3">
      <c r="A3683" t="s">
        <v>5696</v>
      </c>
      <c r="B3683" t="s">
        <v>723</v>
      </c>
      <c r="C3683" t="s">
        <v>2001</v>
      </c>
      <c r="D3683">
        <v>1</v>
      </c>
      <c r="E3683" s="16">
        <v>300.08</v>
      </c>
      <c r="F3683" s="1">
        <v>44604</v>
      </c>
      <c r="G3683" t="s">
        <v>2064</v>
      </c>
      <c r="H3683">
        <v>2</v>
      </c>
      <c r="I3683" s="12">
        <f>Table16[[#This Row],[price]]*Table16[[#This Row],[quantity]]</f>
        <v>300.08</v>
      </c>
    </row>
    <row r="3684" spans="1:9" x14ac:dyDescent="0.3">
      <c r="A3684" t="s">
        <v>5700</v>
      </c>
      <c r="B3684" t="s">
        <v>723</v>
      </c>
      <c r="C3684" t="s">
        <v>2015</v>
      </c>
      <c r="D3684">
        <v>5</v>
      </c>
      <c r="E3684" s="16">
        <v>3000.85</v>
      </c>
      <c r="F3684" s="1">
        <v>44662</v>
      </c>
      <c r="G3684" t="s">
        <v>2004</v>
      </c>
      <c r="H3684">
        <v>5</v>
      </c>
      <c r="I3684" s="12">
        <f>Table16[[#This Row],[price]]*Table16[[#This Row],[quantity]]</f>
        <v>15004.25</v>
      </c>
    </row>
    <row r="3685" spans="1:9" x14ac:dyDescent="0.3">
      <c r="A3685" t="s">
        <v>5699</v>
      </c>
      <c r="B3685" t="s">
        <v>723</v>
      </c>
      <c r="C3685" t="s">
        <v>2001</v>
      </c>
      <c r="D3685">
        <v>5</v>
      </c>
      <c r="E3685" s="16">
        <v>1500.4</v>
      </c>
      <c r="F3685" s="1">
        <v>44799</v>
      </c>
      <c r="G3685" t="s">
        <v>2004</v>
      </c>
      <c r="H3685">
        <v>5</v>
      </c>
      <c r="I3685" s="12">
        <f>Table16[[#This Row],[price]]*Table16[[#This Row],[quantity]]</f>
        <v>7502</v>
      </c>
    </row>
    <row r="3686" spans="1:9" x14ac:dyDescent="0.3">
      <c r="A3686" t="s">
        <v>5697</v>
      </c>
      <c r="B3686" t="s">
        <v>723</v>
      </c>
      <c r="C3686" t="s">
        <v>2024</v>
      </c>
      <c r="D3686">
        <v>1</v>
      </c>
      <c r="E3686" s="16">
        <v>35.840000000000003</v>
      </c>
      <c r="F3686" s="1">
        <v>44839</v>
      </c>
      <c r="G3686" t="s">
        <v>2027</v>
      </c>
      <c r="H3686">
        <v>5</v>
      </c>
      <c r="I3686" s="12">
        <f>Table16[[#This Row],[price]]*Table16[[#This Row],[quantity]]</f>
        <v>35.840000000000003</v>
      </c>
    </row>
    <row r="3687" spans="1:9" x14ac:dyDescent="0.3">
      <c r="A3687" t="s">
        <v>5709</v>
      </c>
      <c r="B3687" t="s">
        <v>724</v>
      </c>
      <c r="C3687" t="s">
        <v>2001</v>
      </c>
      <c r="D3687">
        <v>4</v>
      </c>
      <c r="E3687" s="16">
        <v>1200.32</v>
      </c>
      <c r="F3687" s="1">
        <v>44205</v>
      </c>
      <c r="G3687" t="s">
        <v>2004</v>
      </c>
      <c r="H3687">
        <v>2</v>
      </c>
      <c r="I3687" s="12">
        <f>Table16[[#This Row],[price]]*Table16[[#This Row],[quantity]]</f>
        <v>4801.28</v>
      </c>
    </row>
    <row r="3688" spans="1:9" x14ac:dyDescent="0.3">
      <c r="A3688" t="s">
        <v>5707</v>
      </c>
      <c r="B3688" t="s">
        <v>724</v>
      </c>
      <c r="C3688" t="s">
        <v>2008</v>
      </c>
      <c r="D3688">
        <v>3</v>
      </c>
      <c r="E3688" s="16">
        <v>15.69</v>
      </c>
      <c r="F3688" s="1">
        <v>44298</v>
      </c>
      <c r="G3688" t="s">
        <v>2002</v>
      </c>
      <c r="H3688">
        <v>4</v>
      </c>
      <c r="I3688" s="12">
        <f>Table16[[#This Row],[price]]*Table16[[#This Row],[quantity]]</f>
        <v>47.07</v>
      </c>
    </row>
    <row r="3689" spans="1:9" x14ac:dyDescent="0.3">
      <c r="A3689" t="s">
        <v>5704</v>
      </c>
      <c r="B3689" t="s">
        <v>724</v>
      </c>
      <c r="C3689" t="s">
        <v>2008</v>
      </c>
      <c r="D3689">
        <v>1</v>
      </c>
      <c r="E3689" s="16">
        <v>5.23</v>
      </c>
      <c r="F3689" s="1">
        <v>44422</v>
      </c>
      <c r="G3689" t="s">
        <v>2027</v>
      </c>
      <c r="H3689">
        <v>5</v>
      </c>
      <c r="I3689" s="12">
        <f>Table16[[#This Row],[price]]*Table16[[#This Row],[quantity]]</f>
        <v>5.23</v>
      </c>
    </row>
    <row r="3690" spans="1:9" x14ac:dyDescent="0.3">
      <c r="A3690" t="s">
        <v>5711</v>
      </c>
      <c r="B3690" t="s">
        <v>724</v>
      </c>
      <c r="C3690" t="s">
        <v>2011</v>
      </c>
      <c r="D3690">
        <v>3</v>
      </c>
      <c r="E3690" s="16">
        <v>121.98</v>
      </c>
      <c r="F3690" s="1">
        <v>44468</v>
      </c>
      <c r="G3690" t="s">
        <v>2002</v>
      </c>
      <c r="H3690">
        <v>4</v>
      </c>
      <c r="I3690" s="12">
        <f>Table16[[#This Row],[price]]*Table16[[#This Row],[quantity]]</f>
        <v>365.94</v>
      </c>
    </row>
    <row r="3691" spans="1:9" x14ac:dyDescent="0.3">
      <c r="A3691" t="s">
        <v>5706</v>
      </c>
      <c r="B3691" t="s">
        <v>724</v>
      </c>
      <c r="C3691" t="s">
        <v>2001</v>
      </c>
      <c r="D3691">
        <v>5</v>
      </c>
      <c r="E3691" s="16">
        <v>1500.4</v>
      </c>
      <c r="F3691" s="1">
        <v>44511</v>
      </c>
      <c r="G3691" t="s">
        <v>2020</v>
      </c>
      <c r="H3691">
        <v>2</v>
      </c>
      <c r="I3691" s="12">
        <f>Table16[[#This Row],[price]]*Table16[[#This Row],[quantity]]</f>
        <v>7502</v>
      </c>
    </row>
    <row r="3692" spans="1:9" x14ac:dyDescent="0.3">
      <c r="A3692" t="s">
        <v>5705</v>
      </c>
      <c r="B3692" t="s">
        <v>724</v>
      </c>
      <c r="C3692" t="s">
        <v>2024</v>
      </c>
      <c r="D3692">
        <v>5</v>
      </c>
      <c r="E3692" s="16">
        <v>179.2</v>
      </c>
      <c r="F3692" s="1">
        <v>44540</v>
      </c>
      <c r="G3692" t="s">
        <v>2027</v>
      </c>
      <c r="H3692">
        <v>5</v>
      </c>
      <c r="I3692" s="12">
        <f>Table16[[#This Row],[price]]*Table16[[#This Row],[quantity]]</f>
        <v>896</v>
      </c>
    </row>
    <row r="3693" spans="1:9" x14ac:dyDescent="0.3">
      <c r="A3693" t="s">
        <v>5708</v>
      </c>
      <c r="B3693" t="s">
        <v>724</v>
      </c>
      <c r="C3693" t="s">
        <v>2001</v>
      </c>
      <c r="D3693">
        <v>3</v>
      </c>
      <c r="E3693" s="16">
        <v>900.24</v>
      </c>
      <c r="F3693" s="1">
        <v>44581</v>
      </c>
      <c r="G3693" t="s">
        <v>2012</v>
      </c>
      <c r="H3693">
        <v>3</v>
      </c>
      <c r="I3693" s="12">
        <f>Table16[[#This Row],[price]]*Table16[[#This Row],[quantity]]</f>
        <v>2700.7200000000003</v>
      </c>
    </row>
    <row r="3694" spans="1:9" x14ac:dyDescent="0.3">
      <c r="A3694" t="s">
        <v>5703</v>
      </c>
      <c r="B3694" t="s">
        <v>724</v>
      </c>
      <c r="C3694" t="s">
        <v>2008</v>
      </c>
      <c r="D3694">
        <v>2</v>
      </c>
      <c r="E3694" s="16">
        <v>10.46</v>
      </c>
      <c r="F3694" s="1">
        <v>44772</v>
      </c>
      <c r="G3694" t="s">
        <v>2002</v>
      </c>
      <c r="H3694">
        <v>5</v>
      </c>
      <c r="I3694" s="12">
        <f>Table16[[#This Row],[price]]*Table16[[#This Row],[quantity]]</f>
        <v>20.92</v>
      </c>
    </row>
    <row r="3695" spans="1:9" x14ac:dyDescent="0.3">
      <c r="A3695" t="s">
        <v>5712</v>
      </c>
      <c r="B3695" t="s">
        <v>724</v>
      </c>
      <c r="C3695" t="s">
        <v>2011</v>
      </c>
      <c r="D3695">
        <v>4</v>
      </c>
      <c r="E3695" s="16">
        <v>162.63999999999999</v>
      </c>
      <c r="F3695" s="1">
        <v>44801</v>
      </c>
      <c r="G3695" t="s">
        <v>2004</v>
      </c>
      <c r="H3695">
        <v>5</v>
      </c>
      <c r="I3695" s="12">
        <f>Table16[[#This Row],[price]]*Table16[[#This Row],[quantity]]</f>
        <v>650.55999999999995</v>
      </c>
    </row>
    <row r="3696" spans="1:9" x14ac:dyDescent="0.3">
      <c r="A3696" t="s">
        <v>5710</v>
      </c>
      <c r="B3696" t="s">
        <v>724</v>
      </c>
      <c r="C3696" t="s">
        <v>2001</v>
      </c>
      <c r="D3696">
        <v>1</v>
      </c>
      <c r="E3696" s="16">
        <v>300.08</v>
      </c>
      <c r="F3696" s="1">
        <v>44953</v>
      </c>
      <c r="G3696" t="s">
        <v>2064</v>
      </c>
      <c r="H3696">
        <v>2</v>
      </c>
      <c r="I3696" s="12">
        <f>Table16[[#This Row],[price]]*Table16[[#This Row],[quantity]]</f>
        <v>300.08</v>
      </c>
    </row>
    <row r="3697" spans="1:9" x14ac:dyDescent="0.3">
      <c r="A3697" t="s">
        <v>5718</v>
      </c>
      <c r="B3697" t="s">
        <v>725</v>
      </c>
      <c r="C3697" t="s">
        <v>2008</v>
      </c>
      <c r="D3697">
        <v>2</v>
      </c>
      <c r="E3697" s="16">
        <v>10.46</v>
      </c>
      <c r="F3697" s="1">
        <v>44204</v>
      </c>
      <c r="G3697" t="s">
        <v>2004</v>
      </c>
      <c r="H3697">
        <v>4</v>
      </c>
      <c r="I3697" s="12">
        <f>Table16[[#This Row],[price]]*Table16[[#This Row],[quantity]]</f>
        <v>20.92</v>
      </c>
    </row>
    <row r="3698" spans="1:9" x14ac:dyDescent="0.3">
      <c r="A3698" t="s">
        <v>5713</v>
      </c>
      <c r="B3698" t="s">
        <v>725</v>
      </c>
      <c r="C3698" t="s">
        <v>2008</v>
      </c>
      <c r="D3698">
        <v>2</v>
      </c>
      <c r="E3698" s="16">
        <v>10.46</v>
      </c>
      <c r="F3698" s="1">
        <v>44422</v>
      </c>
      <c r="G3698" t="s">
        <v>2002</v>
      </c>
      <c r="H3698">
        <v>3</v>
      </c>
      <c r="I3698" s="12">
        <f>Table16[[#This Row],[price]]*Table16[[#This Row],[quantity]]</f>
        <v>20.92</v>
      </c>
    </row>
    <row r="3699" spans="1:9" x14ac:dyDescent="0.3">
      <c r="A3699" t="s">
        <v>5716</v>
      </c>
      <c r="B3699" t="s">
        <v>725</v>
      </c>
      <c r="C3699" t="s">
        <v>2024</v>
      </c>
      <c r="D3699">
        <v>2</v>
      </c>
      <c r="E3699" s="16">
        <v>71.680000000000007</v>
      </c>
      <c r="F3699" s="1">
        <v>44480</v>
      </c>
      <c r="G3699" t="s">
        <v>2002</v>
      </c>
      <c r="H3699">
        <v>1</v>
      </c>
      <c r="I3699" s="12">
        <f>Table16[[#This Row],[price]]*Table16[[#This Row],[quantity]]</f>
        <v>143.36000000000001</v>
      </c>
    </row>
    <row r="3700" spans="1:9" x14ac:dyDescent="0.3">
      <c r="A3700" t="s">
        <v>5714</v>
      </c>
      <c r="B3700" t="s">
        <v>725</v>
      </c>
      <c r="C3700" t="s">
        <v>2008</v>
      </c>
      <c r="D3700">
        <v>1</v>
      </c>
      <c r="E3700" s="16">
        <v>5.23</v>
      </c>
      <c r="F3700" s="1">
        <v>44668</v>
      </c>
      <c r="G3700" t="s">
        <v>2004</v>
      </c>
      <c r="H3700">
        <v>1</v>
      </c>
      <c r="I3700" s="12">
        <f>Table16[[#This Row],[price]]*Table16[[#This Row],[quantity]]</f>
        <v>5.23</v>
      </c>
    </row>
    <row r="3701" spans="1:9" x14ac:dyDescent="0.3">
      <c r="A3701" t="s">
        <v>5715</v>
      </c>
      <c r="B3701" t="s">
        <v>725</v>
      </c>
      <c r="C3701" t="s">
        <v>2008</v>
      </c>
      <c r="D3701">
        <v>4</v>
      </c>
      <c r="E3701" s="16">
        <v>20.92</v>
      </c>
      <c r="F3701" s="1">
        <v>44726</v>
      </c>
      <c r="G3701" t="s">
        <v>2027</v>
      </c>
      <c r="H3701">
        <v>4</v>
      </c>
      <c r="I3701" s="12">
        <f>Table16[[#This Row],[price]]*Table16[[#This Row],[quantity]]</f>
        <v>83.68</v>
      </c>
    </row>
    <row r="3702" spans="1:9" x14ac:dyDescent="0.3">
      <c r="A3702" t="s">
        <v>5717</v>
      </c>
      <c r="B3702" t="s">
        <v>725</v>
      </c>
      <c r="C3702" t="s">
        <v>2011</v>
      </c>
      <c r="D3702">
        <v>5</v>
      </c>
      <c r="E3702" s="16">
        <v>203.3</v>
      </c>
      <c r="F3702" s="1">
        <v>44971</v>
      </c>
      <c r="G3702" t="s">
        <v>2004</v>
      </c>
      <c r="H3702">
        <v>1</v>
      </c>
      <c r="I3702" s="12">
        <f>Table16[[#This Row],[price]]*Table16[[#This Row],[quantity]]</f>
        <v>1016.5</v>
      </c>
    </row>
    <row r="3703" spans="1:9" x14ac:dyDescent="0.3">
      <c r="A3703" t="s">
        <v>5721</v>
      </c>
      <c r="B3703" t="s">
        <v>726</v>
      </c>
      <c r="C3703" t="s">
        <v>2011</v>
      </c>
      <c r="D3703">
        <v>4</v>
      </c>
      <c r="E3703" s="16">
        <v>162.63999999999999</v>
      </c>
      <c r="F3703" s="1">
        <v>44351</v>
      </c>
      <c r="G3703" t="s">
        <v>2012</v>
      </c>
      <c r="H3703">
        <v>3</v>
      </c>
      <c r="I3703" s="12">
        <f>Table16[[#This Row],[price]]*Table16[[#This Row],[quantity]]</f>
        <v>650.55999999999995</v>
      </c>
    </row>
    <row r="3704" spans="1:9" x14ac:dyDescent="0.3">
      <c r="A3704" t="s">
        <v>5722</v>
      </c>
      <c r="B3704" t="s">
        <v>726</v>
      </c>
      <c r="C3704" t="s">
        <v>2017</v>
      </c>
      <c r="D3704">
        <v>2</v>
      </c>
      <c r="E3704" s="16">
        <v>2100</v>
      </c>
      <c r="F3704" s="1">
        <v>44352</v>
      </c>
      <c r="G3704" t="s">
        <v>2058</v>
      </c>
      <c r="H3704">
        <v>5</v>
      </c>
      <c r="I3704" s="12">
        <f>Table16[[#This Row],[price]]*Table16[[#This Row],[quantity]]</f>
        <v>4200</v>
      </c>
    </row>
    <row r="3705" spans="1:9" x14ac:dyDescent="0.3">
      <c r="A3705" t="s">
        <v>5719</v>
      </c>
      <c r="B3705" t="s">
        <v>726</v>
      </c>
      <c r="C3705" t="s">
        <v>2011</v>
      </c>
      <c r="D3705">
        <v>3</v>
      </c>
      <c r="E3705" s="16">
        <v>121.98</v>
      </c>
      <c r="F3705" s="1">
        <v>44433</v>
      </c>
      <c r="G3705" t="s">
        <v>2064</v>
      </c>
      <c r="H3705">
        <v>4</v>
      </c>
      <c r="I3705" s="12">
        <f>Table16[[#This Row],[price]]*Table16[[#This Row],[quantity]]</f>
        <v>365.94</v>
      </c>
    </row>
    <row r="3706" spans="1:9" x14ac:dyDescent="0.3">
      <c r="A3706" t="s">
        <v>5720</v>
      </c>
      <c r="B3706" t="s">
        <v>726</v>
      </c>
      <c r="C3706" t="s">
        <v>2024</v>
      </c>
      <c r="D3706">
        <v>1</v>
      </c>
      <c r="E3706" s="16">
        <v>35.840000000000003</v>
      </c>
      <c r="F3706" s="1">
        <v>44522</v>
      </c>
      <c r="G3706" t="s">
        <v>2018</v>
      </c>
      <c r="H3706">
        <v>1</v>
      </c>
      <c r="I3706" s="12">
        <f>Table16[[#This Row],[price]]*Table16[[#This Row],[quantity]]</f>
        <v>35.840000000000003</v>
      </c>
    </row>
    <row r="3707" spans="1:9" x14ac:dyDescent="0.3">
      <c r="A3707" t="s">
        <v>5723</v>
      </c>
      <c r="B3707" t="s">
        <v>726</v>
      </c>
      <c r="C3707" t="s">
        <v>2001</v>
      </c>
      <c r="D3707">
        <v>5</v>
      </c>
      <c r="E3707" s="16">
        <v>1500.4</v>
      </c>
      <c r="F3707" s="1">
        <v>44840</v>
      </c>
      <c r="G3707" t="s">
        <v>2020</v>
      </c>
      <c r="H3707">
        <v>5</v>
      </c>
      <c r="I3707" s="12">
        <f>Table16[[#This Row],[price]]*Table16[[#This Row],[quantity]]</f>
        <v>7502</v>
      </c>
    </row>
    <row r="3708" spans="1:9" x14ac:dyDescent="0.3">
      <c r="A3708" t="s">
        <v>5727</v>
      </c>
      <c r="B3708" t="s">
        <v>727</v>
      </c>
      <c r="C3708" t="s">
        <v>2006</v>
      </c>
      <c r="D3708">
        <v>5</v>
      </c>
      <c r="E3708" s="16">
        <v>75.75</v>
      </c>
      <c r="F3708" s="1">
        <v>44218</v>
      </c>
      <c r="G3708" t="s">
        <v>2041</v>
      </c>
      <c r="H3708">
        <v>4</v>
      </c>
      <c r="I3708" s="12">
        <f>Table16[[#This Row],[price]]*Table16[[#This Row],[quantity]]</f>
        <v>378.75</v>
      </c>
    </row>
    <row r="3709" spans="1:9" x14ac:dyDescent="0.3">
      <c r="A3709" t="s">
        <v>5725</v>
      </c>
      <c r="B3709" t="s">
        <v>727</v>
      </c>
      <c r="C3709" t="s">
        <v>2001</v>
      </c>
      <c r="D3709">
        <v>5</v>
      </c>
      <c r="E3709" s="16">
        <v>1500.4</v>
      </c>
      <c r="F3709" s="1">
        <v>44229</v>
      </c>
      <c r="G3709" t="s">
        <v>2064</v>
      </c>
      <c r="H3709">
        <v>5</v>
      </c>
      <c r="I3709" s="12">
        <f>Table16[[#This Row],[price]]*Table16[[#This Row],[quantity]]</f>
        <v>7502</v>
      </c>
    </row>
    <row r="3710" spans="1:9" x14ac:dyDescent="0.3">
      <c r="A3710" t="s">
        <v>5728</v>
      </c>
      <c r="B3710" t="s">
        <v>727</v>
      </c>
      <c r="C3710" t="s">
        <v>2001</v>
      </c>
      <c r="D3710">
        <v>5</v>
      </c>
      <c r="E3710" s="16">
        <v>1500.4</v>
      </c>
      <c r="F3710" s="1">
        <v>44463</v>
      </c>
      <c r="G3710" t="s">
        <v>2027</v>
      </c>
      <c r="H3710">
        <v>2</v>
      </c>
      <c r="I3710" s="12">
        <f>Table16[[#This Row],[price]]*Table16[[#This Row],[quantity]]</f>
        <v>7502</v>
      </c>
    </row>
    <row r="3711" spans="1:9" x14ac:dyDescent="0.3">
      <c r="A3711" t="s">
        <v>5726</v>
      </c>
      <c r="B3711" t="s">
        <v>727</v>
      </c>
      <c r="C3711" t="s">
        <v>2001</v>
      </c>
      <c r="D3711">
        <v>3</v>
      </c>
      <c r="E3711" s="16">
        <v>900.24</v>
      </c>
      <c r="F3711" s="1">
        <v>44622</v>
      </c>
      <c r="G3711" t="s">
        <v>2041</v>
      </c>
      <c r="H3711">
        <v>3</v>
      </c>
      <c r="I3711" s="12">
        <f>Table16[[#This Row],[price]]*Table16[[#This Row],[quantity]]</f>
        <v>2700.7200000000003</v>
      </c>
    </row>
    <row r="3712" spans="1:9" x14ac:dyDescent="0.3">
      <c r="A3712" t="s">
        <v>5724</v>
      </c>
      <c r="B3712" t="s">
        <v>727</v>
      </c>
      <c r="C3712" t="s">
        <v>2015</v>
      </c>
      <c r="D3712">
        <v>1</v>
      </c>
      <c r="E3712" s="16">
        <v>600.16999999999996</v>
      </c>
      <c r="F3712" s="1">
        <v>44699</v>
      </c>
      <c r="G3712" t="s">
        <v>2058</v>
      </c>
      <c r="H3712">
        <v>1</v>
      </c>
      <c r="I3712" s="12">
        <f>Table16[[#This Row],[price]]*Table16[[#This Row],[quantity]]</f>
        <v>600.16999999999996</v>
      </c>
    </row>
    <row r="3713" spans="1:9" x14ac:dyDescent="0.3">
      <c r="A3713" t="s">
        <v>5734</v>
      </c>
      <c r="B3713" t="s">
        <v>728</v>
      </c>
      <c r="C3713" t="s">
        <v>2008</v>
      </c>
      <c r="D3713">
        <v>5</v>
      </c>
      <c r="E3713" s="16">
        <v>26.15</v>
      </c>
      <c r="F3713" s="1">
        <v>44213</v>
      </c>
      <c r="G3713" t="s">
        <v>2058</v>
      </c>
      <c r="H3713">
        <v>1</v>
      </c>
      <c r="I3713" s="12">
        <f>Table16[[#This Row],[price]]*Table16[[#This Row],[quantity]]</f>
        <v>130.75</v>
      </c>
    </row>
    <row r="3714" spans="1:9" x14ac:dyDescent="0.3">
      <c r="A3714" t="s">
        <v>5735</v>
      </c>
      <c r="B3714" t="s">
        <v>728</v>
      </c>
      <c r="C3714" t="s">
        <v>2001</v>
      </c>
      <c r="D3714">
        <v>5</v>
      </c>
      <c r="E3714" s="16">
        <v>1500.4</v>
      </c>
      <c r="F3714" s="1">
        <v>44266</v>
      </c>
      <c r="G3714" t="s">
        <v>2020</v>
      </c>
      <c r="H3714">
        <v>2</v>
      </c>
      <c r="I3714" s="12">
        <f>Table16[[#This Row],[price]]*Table16[[#This Row],[quantity]]</f>
        <v>7502</v>
      </c>
    </row>
    <row r="3715" spans="1:9" x14ac:dyDescent="0.3">
      <c r="A3715" t="s">
        <v>5731</v>
      </c>
      <c r="B3715" t="s">
        <v>728</v>
      </c>
      <c r="C3715" t="s">
        <v>2001</v>
      </c>
      <c r="D3715">
        <v>1</v>
      </c>
      <c r="E3715" s="16">
        <v>300.08</v>
      </c>
      <c r="F3715" s="1">
        <v>44325</v>
      </c>
      <c r="G3715" t="s">
        <v>2004</v>
      </c>
      <c r="H3715">
        <v>3</v>
      </c>
      <c r="I3715" s="12">
        <f>Table16[[#This Row],[price]]*Table16[[#This Row],[quantity]]</f>
        <v>300.08</v>
      </c>
    </row>
    <row r="3716" spans="1:9" x14ac:dyDescent="0.3">
      <c r="A3716" t="s">
        <v>5730</v>
      </c>
      <c r="B3716" t="s">
        <v>728</v>
      </c>
      <c r="C3716" t="s">
        <v>2024</v>
      </c>
      <c r="D3716">
        <v>2</v>
      </c>
      <c r="E3716" s="16">
        <v>71.680000000000007</v>
      </c>
      <c r="F3716" s="1">
        <v>44328</v>
      </c>
      <c r="G3716" t="s">
        <v>2012</v>
      </c>
      <c r="H3716">
        <v>3</v>
      </c>
      <c r="I3716" s="12">
        <f>Table16[[#This Row],[price]]*Table16[[#This Row],[quantity]]</f>
        <v>143.36000000000001</v>
      </c>
    </row>
    <row r="3717" spans="1:9" x14ac:dyDescent="0.3">
      <c r="A3717" t="s">
        <v>5732</v>
      </c>
      <c r="B3717" t="s">
        <v>728</v>
      </c>
      <c r="C3717" t="s">
        <v>2001</v>
      </c>
      <c r="D3717">
        <v>5</v>
      </c>
      <c r="E3717" s="16">
        <v>1500.4</v>
      </c>
      <c r="F3717" s="1">
        <v>44631</v>
      </c>
      <c r="G3717" t="s">
        <v>2041</v>
      </c>
      <c r="H3717">
        <v>1</v>
      </c>
      <c r="I3717" s="12">
        <f>Table16[[#This Row],[price]]*Table16[[#This Row],[quantity]]</f>
        <v>7502</v>
      </c>
    </row>
    <row r="3718" spans="1:9" x14ac:dyDescent="0.3">
      <c r="A3718" t="s">
        <v>5733</v>
      </c>
      <c r="B3718" t="s">
        <v>728</v>
      </c>
      <c r="C3718" t="s">
        <v>2008</v>
      </c>
      <c r="D3718">
        <v>2</v>
      </c>
      <c r="E3718" s="16">
        <v>10.46</v>
      </c>
      <c r="F3718" s="1">
        <v>44661</v>
      </c>
      <c r="G3718" t="s">
        <v>2027</v>
      </c>
      <c r="H3718">
        <v>2</v>
      </c>
      <c r="I3718" s="12">
        <f>Table16[[#This Row],[price]]*Table16[[#This Row],[quantity]]</f>
        <v>20.92</v>
      </c>
    </row>
    <row r="3719" spans="1:9" x14ac:dyDescent="0.3">
      <c r="A3719" t="s">
        <v>5729</v>
      </c>
      <c r="B3719" t="s">
        <v>728</v>
      </c>
      <c r="C3719" t="s">
        <v>2001</v>
      </c>
      <c r="D3719">
        <v>3</v>
      </c>
      <c r="E3719" s="16">
        <v>900.24</v>
      </c>
      <c r="F3719" s="1">
        <v>44935</v>
      </c>
      <c r="G3719" t="s">
        <v>2064</v>
      </c>
      <c r="H3719">
        <v>3</v>
      </c>
      <c r="I3719" s="12">
        <f>Table16[[#This Row],[price]]*Table16[[#This Row],[quantity]]</f>
        <v>2700.7200000000003</v>
      </c>
    </row>
    <row r="3720" spans="1:9" x14ac:dyDescent="0.3">
      <c r="A3720" t="s">
        <v>5736</v>
      </c>
      <c r="B3720" t="s">
        <v>729</v>
      </c>
      <c r="C3720" t="s">
        <v>2057</v>
      </c>
      <c r="D3720">
        <v>5</v>
      </c>
      <c r="E3720" s="16">
        <v>58.65</v>
      </c>
      <c r="F3720" s="1">
        <v>44230</v>
      </c>
      <c r="G3720" t="s">
        <v>2009</v>
      </c>
      <c r="H3720">
        <v>1</v>
      </c>
      <c r="I3720" s="12">
        <f>Table16[[#This Row],[price]]*Table16[[#This Row],[quantity]]</f>
        <v>293.25</v>
      </c>
    </row>
    <row r="3721" spans="1:9" x14ac:dyDescent="0.3">
      <c r="A3721" t="s">
        <v>5738</v>
      </c>
      <c r="B3721" t="s">
        <v>729</v>
      </c>
      <c r="C3721" t="s">
        <v>2024</v>
      </c>
      <c r="D3721">
        <v>4</v>
      </c>
      <c r="E3721" s="16">
        <v>143.36000000000001</v>
      </c>
      <c r="F3721" s="1">
        <v>44698</v>
      </c>
      <c r="G3721" t="s">
        <v>2009</v>
      </c>
      <c r="H3721">
        <v>4</v>
      </c>
      <c r="I3721" s="12">
        <f>Table16[[#This Row],[price]]*Table16[[#This Row],[quantity]]</f>
        <v>573.44000000000005</v>
      </c>
    </row>
    <row r="3722" spans="1:9" x14ac:dyDescent="0.3">
      <c r="A3722" t="s">
        <v>5737</v>
      </c>
      <c r="B3722" t="s">
        <v>729</v>
      </c>
      <c r="C3722" t="s">
        <v>2001</v>
      </c>
      <c r="D3722">
        <v>1</v>
      </c>
      <c r="E3722" s="16">
        <v>300.08</v>
      </c>
      <c r="F3722" s="1">
        <v>44792</v>
      </c>
      <c r="G3722" t="s">
        <v>2020</v>
      </c>
      <c r="H3722">
        <v>3</v>
      </c>
      <c r="I3722" s="12">
        <f>Table16[[#This Row],[price]]*Table16[[#This Row],[quantity]]</f>
        <v>300.08</v>
      </c>
    </row>
    <row r="3723" spans="1:9" x14ac:dyDescent="0.3">
      <c r="A3723" t="s">
        <v>5740</v>
      </c>
      <c r="B3723" t="s">
        <v>730</v>
      </c>
      <c r="C3723" t="s">
        <v>2001</v>
      </c>
      <c r="D3723">
        <v>4</v>
      </c>
      <c r="E3723" s="16">
        <v>1200.32</v>
      </c>
      <c r="F3723" s="1">
        <v>44573</v>
      </c>
      <c r="G3723" t="s">
        <v>2004</v>
      </c>
      <c r="H3723">
        <v>3</v>
      </c>
      <c r="I3723" s="12">
        <f>Table16[[#This Row],[price]]*Table16[[#This Row],[quantity]]</f>
        <v>4801.28</v>
      </c>
    </row>
    <row r="3724" spans="1:9" x14ac:dyDescent="0.3">
      <c r="A3724" t="s">
        <v>5739</v>
      </c>
      <c r="B3724" t="s">
        <v>730</v>
      </c>
      <c r="C3724" t="s">
        <v>2001</v>
      </c>
      <c r="D3724">
        <v>5</v>
      </c>
      <c r="E3724" s="16">
        <v>1500.4</v>
      </c>
      <c r="F3724" s="1">
        <v>44593</v>
      </c>
      <c r="G3724" t="s">
        <v>2058</v>
      </c>
      <c r="H3724">
        <v>2</v>
      </c>
      <c r="I3724" s="12">
        <f>Table16[[#This Row],[price]]*Table16[[#This Row],[quantity]]</f>
        <v>7502</v>
      </c>
    </row>
    <row r="3725" spans="1:9" x14ac:dyDescent="0.3">
      <c r="A3725" t="s">
        <v>5741</v>
      </c>
      <c r="B3725" t="s">
        <v>730</v>
      </c>
      <c r="C3725" t="s">
        <v>2015</v>
      </c>
      <c r="D3725">
        <v>2</v>
      </c>
      <c r="E3725" s="16">
        <v>1200.3399999999999</v>
      </c>
      <c r="F3725" s="1">
        <v>44916</v>
      </c>
      <c r="G3725" t="s">
        <v>2058</v>
      </c>
      <c r="H3725">
        <v>4</v>
      </c>
      <c r="I3725" s="12">
        <f>Table16[[#This Row],[price]]*Table16[[#This Row],[quantity]]</f>
        <v>2400.6799999999998</v>
      </c>
    </row>
    <row r="3726" spans="1:9" x14ac:dyDescent="0.3">
      <c r="A3726" t="s">
        <v>5743</v>
      </c>
      <c r="B3726" t="s">
        <v>731</v>
      </c>
      <c r="C3726" t="s">
        <v>2011</v>
      </c>
      <c r="D3726">
        <v>4</v>
      </c>
      <c r="E3726" s="16">
        <v>162.63999999999999</v>
      </c>
      <c r="F3726" s="1">
        <v>44332</v>
      </c>
      <c r="G3726" t="s">
        <v>2012</v>
      </c>
      <c r="H3726">
        <v>5</v>
      </c>
      <c r="I3726" s="12">
        <f>Table16[[#This Row],[price]]*Table16[[#This Row],[quantity]]</f>
        <v>650.55999999999995</v>
      </c>
    </row>
    <row r="3727" spans="1:9" x14ac:dyDescent="0.3">
      <c r="A3727" t="s">
        <v>5742</v>
      </c>
      <c r="B3727" t="s">
        <v>731</v>
      </c>
      <c r="C3727" t="s">
        <v>2015</v>
      </c>
      <c r="D3727">
        <v>2</v>
      </c>
      <c r="E3727" s="16">
        <v>1200.3399999999999</v>
      </c>
      <c r="F3727" s="1">
        <v>44431</v>
      </c>
      <c r="G3727" t="s">
        <v>2027</v>
      </c>
      <c r="H3727">
        <v>1</v>
      </c>
      <c r="I3727" s="12">
        <f>Table16[[#This Row],[price]]*Table16[[#This Row],[quantity]]</f>
        <v>2400.6799999999998</v>
      </c>
    </row>
    <row r="3728" spans="1:9" x14ac:dyDescent="0.3">
      <c r="A3728" t="s">
        <v>5744</v>
      </c>
      <c r="B3728" t="s">
        <v>731</v>
      </c>
      <c r="C3728" t="s">
        <v>2015</v>
      </c>
      <c r="D3728">
        <v>3</v>
      </c>
      <c r="E3728" s="16">
        <v>1800.51</v>
      </c>
      <c r="F3728" s="1">
        <v>44653</v>
      </c>
      <c r="G3728" t="s">
        <v>2064</v>
      </c>
      <c r="H3728">
        <v>4</v>
      </c>
      <c r="I3728" s="12">
        <f>Table16[[#This Row],[price]]*Table16[[#This Row],[quantity]]</f>
        <v>5401.53</v>
      </c>
    </row>
    <row r="3729" spans="1:9" x14ac:dyDescent="0.3">
      <c r="A3729" t="s">
        <v>5745</v>
      </c>
      <c r="B3729" t="s">
        <v>731</v>
      </c>
      <c r="C3729" t="s">
        <v>2057</v>
      </c>
      <c r="D3729">
        <v>2</v>
      </c>
      <c r="E3729" s="16">
        <v>23.46</v>
      </c>
      <c r="F3729" s="1">
        <v>44985</v>
      </c>
      <c r="G3729" t="s">
        <v>2027</v>
      </c>
      <c r="H3729">
        <v>5</v>
      </c>
      <c r="I3729" s="12">
        <f>Table16[[#This Row],[price]]*Table16[[#This Row],[quantity]]</f>
        <v>46.92</v>
      </c>
    </row>
    <row r="3730" spans="1:9" x14ac:dyDescent="0.3">
      <c r="A3730" t="s">
        <v>5746</v>
      </c>
      <c r="B3730" t="s">
        <v>732</v>
      </c>
      <c r="C3730" t="s">
        <v>2015</v>
      </c>
      <c r="D3730">
        <v>3</v>
      </c>
      <c r="E3730" s="16">
        <v>1800.51</v>
      </c>
      <c r="F3730" s="1">
        <v>44260</v>
      </c>
      <c r="G3730" t="s">
        <v>2002</v>
      </c>
      <c r="H3730">
        <v>3</v>
      </c>
      <c r="I3730" s="12">
        <f>Table16[[#This Row],[price]]*Table16[[#This Row],[quantity]]</f>
        <v>5401.53</v>
      </c>
    </row>
    <row r="3731" spans="1:9" x14ac:dyDescent="0.3">
      <c r="A3731" t="s">
        <v>5747</v>
      </c>
      <c r="B3731" t="s">
        <v>732</v>
      </c>
      <c r="C3731" t="s">
        <v>2011</v>
      </c>
      <c r="D3731">
        <v>1</v>
      </c>
      <c r="E3731" s="16">
        <v>40.659999999999997</v>
      </c>
      <c r="F3731" s="1">
        <v>44287</v>
      </c>
      <c r="G3731" t="s">
        <v>2064</v>
      </c>
      <c r="H3731">
        <v>5</v>
      </c>
      <c r="I3731" s="12">
        <f>Table16[[#This Row],[price]]*Table16[[#This Row],[quantity]]</f>
        <v>40.659999999999997</v>
      </c>
    </row>
    <row r="3732" spans="1:9" x14ac:dyDescent="0.3">
      <c r="A3732" t="s">
        <v>5749</v>
      </c>
      <c r="B3732" t="s">
        <v>733</v>
      </c>
      <c r="C3732" t="s">
        <v>2015</v>
      </c>
      <c r="D3732">
        <v>5</v>
      </c>
      <c r="E3732" s="16">
        <v>3000.85</v>
      </c>
      <c r="F3732" s="1">
        <v>44220</v>
      </c>
      <c r="G3732" t="s">
        <v>2009</v>
      </c>
      <c r="H3732">
        <v>4</v>
      </c>
      <c r="I3732" s="12">
        <f>Table16[[#This Row],[price]]*Table16[[#This Row],[quantity]]</f>
        <v>15004.25</v>
      </c>
    </row>
    <row r="3733" spans="1:9" x14ac:dyDescent="0.3">
      <c r="A3733" t="s">
        <v>5750</v>
      </c>
      <c r="B3733" t="s">
        <v>733</v>
      </c>
      <c r="C3733" t="s">
        <v>2011</v>
      </c>
      <c r="D3733">
        <v>4</v>
      </c>
      <c r="E3733" s="16">
        <v>162.63999999999999</v>
      </c>
      <c r="F3733" s="1">
        <v>44499</v>
      </c>
      <c r="G3733" t="s">
        <v>2027</v>
      </c>
      <c r="H3733">
        <v>2</v>
      </c>
      <c r="I3733" s="12">
        <f>Table16[[#This Row],[price]]*Table16[[#This Row],[quantity]]</f>
        <v>650.55999999999995</v>
      </c>
    </row>
    <row r="3734" spans="1:9" x14ac:dyDescent="0.3">
      <c r="A3734" t="s">
        <v>5751</v>
      </c>
      <c r="B3734" t="s">
        <v>733</v>
      </c>
      <c r="C3734" t="s">
        <v>2001</v>
      </c>
      <c r="D3734">
        <v>2</v>
      </c>
      <c r="E3734" s="16">
        <v>600.16</v>
      </c>
      <c r="F3734" s="1">
        <v>44550</v>
      </c>
      <c r="G3734" t="s">
        <v>2064</v>
      </c>
      <c r="H3734">
        <v>4</v>
      </c>
      <c r="I3734" s="12">
        <f>Table16[[#This Row],[price]]*Table16[[#This Row],[quantity]]</f>
        <v>1200.32</v>
      </c>
    </row>
    <row r="3735" spans="1:9" x14ac:dyDescent="0.3">
      <c r="A3735" t="s">
        <v>5752</v>
      </c>
      <c r="B3735" t="s">
        <v>733</v>
      </c>
      <c r="C3735" t="s">
        <v>2008</v>
      </c>
      <c r="D3735">
        <v>1</v>
      </c>
      <c r="E3735" s="16">
        <v>5.23</v>
      </c>
      <c r="F3735" s="1">
        <v>44621</v>
      </c>
      <c r="G3735" t="s">
        <v>2018</v>
      </c>
      <c r="H3735">
        <v>3</v>
      </c>
      <c r="I3735" s="12">
        <f>Table16[[#This Row],[price]]*Table16[[#This Row],[quantity]]</f>
        <v>5.23</v>
      </c>
    </row>
    <row r="3736" spans="1:9" x14ac:dyDescent="0.3">
      <c r="A3736" t="s">
        <v>5748</v>
      </c>
      <c r="B3736" t="s">
        <v>733</v>
      </c>
      <c r="C3736" t="s">
        <v>2011</v>
      </c>
      <c r="D3736">
        <v>4</v>
      </c>
      <c r="E3736" s="16">
        <v>162.63999999999999</v>
      </c>
      <c r="F3736" s="1">
        <v>44644</v>
      </c>
      <c r="G3736" t="s">
        <v>2018</v>
      </c>
      <c r="H3736">
        <v>4</v>
      </c>
      <c r="I3736" s="12">
        <f>Table16[[#This Row],[price]]*Table16[[#This Row],[quantity]]</f>
        <v>650.55999999999995</v>
      </c>
    </row>
    <row r="3737" spans="1:9" x14ac:dyDescent="0.3">
      <c r="A3737" t="s">
        <v>5753</v>
      </c>
      <c r="B3737" t="s">
        <v>733</v>
      </c>
      <c r="C3737" t="s">
        <v>2001</v>
      </c>
      <c r="D3737">
        <v>3</v>
      </c>
      <c r="E3737" s="16">
        <v>900.24</v>
      </c>
      <c r="F3737" s="1">
        <v>44953</v>
      </c>
      <c r="G3737" t="s">
        <v>2027</v>
      </c>
      <c r="H3737">
        <v>2</v>
      </c>
      <c r="I3737" s="12">
        <f>Table16[[#This Row],[price]]*Table16[[#This Row],[quantity]]</f>
        <v>2700.7200000000003</v>
      </c>
    </row>
    <row r="3738" spans="1:9" x14ac:dyDescent="0.3">
      <c r="A3738" t="s">
        <v>5759</v>
      </c>
      <c r="B3738" t="s">
        <v>734</v>
      </c>
      <c r="C3738" t="s">
        <v>2015</v>
      </c>
      <c r="D3738">
        <v>4</v>
      </c>
      <c r="E3738" s="16">
        <v>2400.6799999999998</v>
      </c>
      <c r="F3738" s="1">
        <v>44318</v>
      </c>
      <c r="G3738" t="s">
        <v>2041</v>
      </c>
      <c r="H3738">
        <v>1</v>
      </c>
      <c r="I3738" s="12">
        <f>Table16[[#This Row],[price]]*Table16[[#This Row],[quantity]]</f>
        <v>9602.7199999999993</v>
      </c>
    </row>
    <row r="3739" spans="1:9" x14ac:dyDescent="0.3">
      <c r="A3739" t="s">
        <v>5754</v>
      </c>
      <c r="B3739" t="s">
        <v>734</v>
      </c>
      <c r="C3739" t="s">
        <v>2001</v>
      </c>
      <c r="D3739">
        <v>4</v>
      </c>
      <c r="E3739" s="16">
        <v>1200.32</v>
      </c>
      <c r="F3739" s="1">
        <v>44383</v>
      </c>
      <c r="G3739" t="s">
        <v>2002</v>
      </c>
      <c r="H3739">
        <v>2</v>
      </c>
      <c r="I3739" s="12">
        <f>Table16[[#This Row],[price]]*Table16[[#This Row],[quantity]]</f>
        <v>4801.28</v>
      </c>
    </row>
    <row r="3740" spans="1:9" x14ac:dyDescent="0.3">
      <c r="A3740" t="s">
        <v>5756</v>
      </c>
      <c r="B3740" t="s">
        <v>734</v>
      </c>
      <c r="C3740" t="s">
        <v>2008</v>
      </c>
      <c r="D3740">
        <v>3</v>
      </c>
      <c r="E3740" s="16">
        <v>15.69</v>
      </c>
      <c r="F3740" s="1">
        <v>44403</v>
      </c>
      <c r="G3740" t="s">
        <v>2064</v>
      </c>
      <c r="H3740">
        <v>1</v>
      </c>
      <c r="I3740" s="12">
        <f>Table16[[#This Row],[price]]*Table16[[#This Row],[quantity]]</f>
        <v>47.07</v>
      </c>
    </row>
    <row r="3741" spans="1:9" x14ac:dyDescent="0.3">
      <c r="A3741" t="s">
        <v>5755</v>
      </c>
      <c r="B3741" t="s">
        <v>734</v>
      </c>
      <c r="C3741" t="s">
        <v>2001</v>
      </c>
      <c r="D3741">
        <v>4</v>
      </c>
      <c r="E3741" s="16">
        <v>1200.32</v>
      </c>
      <c r="F3741" s="1">
        <v>44681</v>
      </c>
      <c r="G3741" t="s">
        <v>2020</v>
      </c>
      <c r="H3741">
        <v>3</v>
      </c>
      <c r="I3741" s="12">
        <f>Table16[[#This Row],[price]]*Table16[[#This Row],[quantity]]</f>
        <v>4801.28</v>
      </c>
    </row>
    <row r="3742" spans="1:9" x14ac:dyDescent="0.3">
      <c r="A3742" t="s">
        <v>5758</v>
      </c>
      <c r="B3742" t="s">
        <v>734</v>
      </c>
      <c r="C3742" t="s">
        <v>2001</v>
      </c>
      <c r="D3742">
        <v>5</v>
      </c>
      <c r="E3742" s="16">
        <v>1500.4</v>
      </c>
      <c r="F3742" s="1">
        <v>44683</v>
      </c>
      <c r="G3742" t="s">
        <v>2018</v>
      </c>
      <c r="H3742">
        <v>4</v>
      </c>
      <c r="I3742" s="12">
        <f>Table16[[#This Row],[price]]*Table16[[#This Row],[quantity]]</f>
        <v>7502</v>
      </c>
    </row>
    <row r="3743" spans="1:9" x14ac:dyDescent="0.3">
      <c r="A3743" t="s">
        <v>5757</v>
      </c>
      <c r="B3743" t="s">
        <v>734</v>
      </c>
      <c r="C3743" t="s">
        <v>2001</v>
      </c>
      <c r="D3743">
        <v>5</v>
      </c>
      <c r="E3743" s="16">
        <v>1500.4</v>
      </c>
      <c r="F3743" s="1">
        <v>44967</v>
      </c>
      <c r="G3743" t="s">
        <v>2020</v>
      </c>
      <c r="H3743">
        <v>4</v>
      </c>
      <c r="I3743" s="12">
        <f>Table16[[#This Row],[price]]*Table16[[#This Row],[quantity]]</f>
        <v>7502</v>
      </c>
    </row>
    <row r="3744" spans="1:9" x14ac:dyDescent="0.3">
      <c r="A3744" t="s">
        <v>5760</v>
      </c>
      <c r="B3744" t="s">
        <v>735</v>
      </c>
      <c r="C3744" t="s">
        <v>2001</v>
      </c>
      <c r="D3744">
        <v>3</v>
      </c>
      <c r="E3744" s="16">
        <v>900.24</v>
      </c>
      <c r="F3744" s="1">
        <v>44788</v>
      </c>
      <c r="G3744" t="s">
        <v>2018</v>
      </c>
      <c r="H3744">
        <v>2</v>
      </c>
      <c r="I3744" s="12">
        <f>Table16[[#This Row],[price]]*Table16[[#This Row],[quantity]]</f>
        <v>2700.7200000000003</v>
      </c>
    </row>
    <row r="3745" spans="1:9" x14ac:dyDescent="0.3">
      <c r="A3745" t="s">
        <v>5763</v>
      </c>
      <c r="B3745" t="s">
        <v>736</v>
      </c>
      <c r="C3745" t="s">
        <v>2024</v>
      </c>
      <c r="D3745">
        <v>4</v>
      </c>
      <c r="E3745" s="16">
        <v>143.36000000000001</v>
      </c>
      <c r="F3745" s="1">
        <v>44434</v>
      </c>
      <c r="G3745" t="s">
        <v>2041</v>
      </c>
      <c r="H3745">
        <v>2</v>
      </c>
      <c r="I3745" s="12">
        <f>Table16[[#This Row],[price]]*Table16[[#This Row],[quantity]]</f>
        <v>573.44000000000005</v>
      </c>
    </row>
    <row r="3746" spans="1:9" x14ac:dyDescent="0.3">
      <c r="A3746" t="s">
        <v>5761</v>
      </c>
      <c r="B3746" t="s">
        <v>736</v>
      </c>
      <c r="C3746" t="s">
        <v>2001</v>
      </c>
      <c r="D3746">
        <v>3</v>
      </c>
      <c r="E3746" s="16">
        <v>900.24</v>
      </c>
      <c r="F3746" s="1">
        <v>44491</v>
      </c>
      <c r="G3746" t="s">
        <v>2012</v>
      </c>
      <c r="H3746">
        <v>2</v>
      </c>
      <c r="I3746" s="12">
        <f>Table16[[#This Row],[price]]*Table16[[#This Row],[quantity]]</f>
        <v>2700.7200000000003</v>
      </c>
    </row>
    <row r="3747" spans="1:9" x14ac:dyDescent="0.3">
      <c r="A3747" t="s">
        <v>5762</v>
      </c>
      <c r="B3747" t="s">
        <v>736</v>
      </c>
      <c r="C3747" t="s">
        <v>2006</v>
      </c>
      <c r="D3747">
        <v>3</v>
      </c>
      <c r="E3747" s="16">
        <v>45.45</v>
      </c>
      <c r="F3747" s="1">
        <v>44692</v>
      </c>
      <c r="G3747" t="s">
        <v>2027</v>
      </c>
      <c r="H3747">
        <v>2</v>
      </c>
      <c r="I3747" s="12">
        <f>Table16[[#This Row],[price]]*Table16[[#This Row],[quantity]]</f>
        <v>136.35000000000002</v>
      </c>
    </row>
    <row r="3748" spans="1:9" x14ac:dyDescent="0.3">
      <c r="A3748" t="s">
        <v>5764</v>
      </c>
      <c r="B3748" t="s">
        <v>736</v>
      </c>
      <c r="C3748" t="s">
        <v>2001</v>
      </c>
      <c r="D3748">
        <v>3</v>
      </c>
      <c r="E3748" s="16">
        <v>900.24</v>
      </c>
      <c r="F3748" s="1">
        <v>44922</v>
      </c>
      <c r="G3748" t="s">
        <v>2041</v>
      </c>
      <c r="H3748">
        <v>2</v>
      </c>
      <c r="I3748" s="12">
        <f>Table16[[#This Row],[price]]*Table16[[#This Row],[quantity]]</f>
        <v>2700.7200000000003</v>
      </c>
    </row>
    <row r="3749" spans="1:9" x14ac:dyDescent="0.3">
      <c r="A3749" t="s">
        <v>5770</v>
      </c>
      <c r="B3749" t="s">
        <v>737</v>
      </c>
      <c r="C3749" t="s">
        <v>2008</v>
      </c>
      <c r="D3749">
        <v>1</v>
      </c>
      <c r="E3749" s="16">
        <v>5.23</v>
      </c>
      <c r="F3749" s="1">
        <v>44260</v>
      </c>
      <c r="G3749" t="s">
        <v>2058</v>
      </c>
      <c r="H3749">
        <v>3</v>
      </c>
      <c r="I3749" s="12">
        <f>Table16[[#This Row],[price]]*Table16[[#This Row],[quantity]]</f>
        <v>5.23</v>
      </c>
    </row>
    <row r="3750" spans="1:9" x14ac:dyDescent="0.3">
      <c r="A3750" t="s">
        <v>5766</v>
      </c>
      <c r="B3750" t="s">
        <v>737</v>
      </c>
      <c r="C3750" t="s">
        <v>2011</v>
      </c>
      <c r="D3750">
        <v>1</v>
      </c>
      <c r="E3750" s="16">
        <v>40.659999999999997</v>
      </c>
      <c r="F3750" s="1">
        <v>44453</v>
      </c>
      <c r="G3750" t="s">
        <v>2002</v>
      </c>
      <c r="H3750">
        <v>3</v>
      </c>
      <c r="I3750" s="12">
        <f>Table16[[#This Row],[price]]*Table16[[#This Row],[quantity]]</f>
        <v>40.659999999999997</v>
      </c>
    </row>
    <row r="3751" spans="1:9" x14ac:dyDescent="0.3">
      <c r="A3751" t="s">
        <v>5767</v>
      </c>
      <c r="B3751" t="s">
        <v>737</v>
      </c>
      <c r="C3751" t="s">
        <v>2001</v>
      </c>
      <c r="D3751">
        <v>3</v>
      </c>
      <c r="E3751" s="16">
        <v>900.24</v>
      </c>
      <c r="F3751" s="1">
        <v>44464</v>
      </c>
      <c r="G3751" t="s">
        <v>2027</v>
      </c>
      <c r="H3751">
        <v>4</v>
      </c>
      <c r="I3751" s="12">
        <f>Table16[[#This Row],[price]]*Table16[[#This Row],[quantity]]</f>
        <v>2700.7200000000003</v>
      </c>
    </row>
    <row r="3752" spans="1:9" x14ac:dyDescent="0.3">
      <c r="A3752" t="s">
        <v>5771</v>
      </c>
      <c r="B3752" t="s">
        <v>737</v>
      </c>
      <c r="C3752" t="s">
        <v>2011</v>
      </c>
      <c r="D3752">
        <v>1</v>
      </c>
      <c r="E3752" s="16">
        <v>40.659999999999997</v>
      </c>
      <c r="F3752" s="1">
        <v>44727</v>
      </c>
      <c r="G3752" t="s">
        <v>2064</v>
      </c>
      <c r="H3752">
        <v>4</v>
      </c>
      <c r="I3752" s="12">
        <f>Table16[[#This Row],[price]]*Table16[[#This Row],[quantity]]</f>
        <v>40.659999999999997</v>
      </c>
    </row>
    <row r="3753" spans="1:9" x14ac:dyDescent="0.3">
      <c r="A3753" t="s">
        <v>5765</v>
      </c>
      <c r="B3753" t="s">
        <v>737</v>
      </c>
      <c r="C3753" t="s">
        <v>2001</v>
      </c>
      <c r="D3753">
        <v>2</v>
      </c>
      <c r="E3753" s="16">
        <v>600.16</v>
      </c>
      <c r="F3753" s="1">
        <v>44919</v>
      </c>
      <c r="G3753" t="s">
        <v>2027</v>
      </c>
      <c r="H3753">
        <v>2</v>
      </c>
      <c r="I3753" s="12">
        <f>Table16[[#This Row],[price]]*Table16[[#This Row],[quantity]]</f>
        <v>1200.32</v>
      </c>
    </row>
    <row r="3754" spans="1:9" x14ac:dyDescent="0.3">
      <c r="A3754" t="s">
        <v>5768</v>
      </c>
      <c r="B3754" t="s">
        <v>737</v>
      </c>
      <c r="C3754" t="s">
        <v>2008</v>
      </c>
      <c r="D3754">
        <v>2</v>
      </c>
      <c r="E3754" s="16">
        <v>10.46</v>
      </c>
      <c r="F3754" s="1">
        <v>44931</v>
      </c>
      <c r="G3754" t="s">
        <v>2027</v>
      </c>
      <c r="H3754">
        <v>3</v>
      </c>
      <c r="I3754" s="12">
        <f>Table16[[#This Row],[price]]*Table16[[#This Row],[quantity]]</f>
        <v>20.92</v>
      </c>
    </row>
    <row r="3755" spans="1:9" x14ac:dyDescent="0.3">
      <c r="A3755" t="s">
        <v>5769</v>
      </c>
      <c r="B3755" t="s">
        <v>737</v>
      </c>
      <c r="C3755" t="s">
        <v>2008</v>
      </c>
      <c r="D3755">
        <v>2</v>
      </c>
      <c r="E3755" s="16">
        <v>10.46</v>
      </c>
      <c r="F3755" s="1">
        <v>44965</v>
      </c>
      <c r="G3755" t="s">
        <v>2002</v>
      </c>
      <c r="H3755">
        <v>1</v>
      </c>
      <c r="I3755" s="12">
        <f>Table16[[#This Row],[price]]*Table16[[#This Row],[quantity]]</f>
        <v>20.92</v>
      </c>
    </row>
    <row r="3756" spans="1:9" x14ac:dyDescent="0.3">
      <c r="A3756" t="s">
        <v>5774</v>
      </c>
      <c r="B3756" t="s">
        <v>738</v>
      </c>
      <c r="C3756" t="s">
        <v>2008</v>
      </c>
      <c r="D3756">
        <v>4</v>
      </c>
      <c r="E3756" s="16">
        <v>20.92</v>
      </c>
      <c r="F3756" s="1">
        <v>44214</v>
      </c>
      <c r="G3756" t="s">
        <v>2002</v>
      </c>
      <c r="H3756">
        <v>1</v>
      </c>
      <c r="I3756" s="12">
        <f>Table16[[#This Row],[price]]*Table16[[#This Row],[quantity]]</f>
        <v>83.68</v>
      </c>
    </row>
    <row r="3757" spans="1:9" x14ac:dyDescent="0.3">
      <c r="A3757" t="s">
        <v>5776</v>
      </c>
      <c r="B3757" t="s">
        <v>738</v>
      </c>
      <c r="C3757" t="s">
        <v>2011</v>
      </c>
      <c r="D3757">
        <v>4</v>
      </c>
      <c r="E3757" s="16">
        <v>162.63999999999999</v>
      </c>
      <c r="F3757" s="1">
        <v>44380</v>
      </c>
      <c r="G3757" t="s">
        <v>2027</v>
      </c>
      <c r="H3757">
        <v>1</v>
      </c>
      <c r="I3757" s="12">
        <f>Table16[[#This Row],[price]]*Table16[[#This Row],[quantity]]</f>
        <v>650.55999999999995</v>
      </c>
    </row>
    <row r="3758" spans="1:9" x14ac:dyDescent="0.3">
      <c r="A3758" t="s">
        <v>5775</v>
      </c>
      <c r="B3758" t="s">
        <v>738</v>
      </c>
      <c r="C3758" t="s">
        <v>2011</v>
      </c>
      <c r="D3758">
        <v>5</v>
      </c>
      <c r="E3758" s="16">
        <v>203.3</v>
      </c>
      <c r="F3758" s="1">
        <v>44581</v>
      </c>
      <c r="G3758" t="s">
        <v>2020</v>
      </c>
      <c r="H3758">
        <v>4</v>
      </c>
      <c r="I3758" s="12">
        <f>Table16[[#This Row],[price]]*Table16[[#This Row],[quantity]]</f>
        <v>1016.5</v>
      </c>
    </row>
    <row r="3759" spans="1:9" x14ac:dyDescent="0.3">
      <c r="A3759" t="s">
        <v>5773</v>
      </c>
      <c r="B3759" t="s">
        <v>738</v>
      </c>
      <c r="C3759" t="s">
        <v>2008</v>
      </c>
      <c r="D3759">
        <v>3</v>
      </c>
      <c r="E3759" s="16">
        <v>15.69</v>
      </c>
      <c r="F3759" s="1">
        <v>44613</v>
      </c>
      <c r="G3759" t="s">
        <v>2027</v>
      </c>
      <c r="H3759">
        <v>1</v>
      </c>
      <c r="I3759" s="12">
        <f>Table16[[#This Row],[price]]*Table16[[#This Row],[quantity]]</f>
        <v>47.07</v>
      </c>
    </row>
    <row r="3760" spans="1:9" x14ac:dyDescent="0.3">
      <c r="A3760" t="s">
        <v>5772</v>
      </c>
      <c r="B3760" t="s">
        <v>738</v>
      </c>
      <c r="C3760" t="s">
        <v>2015</v>
      </c>
      <c r="D3760">
        <v>1</v>
      </c>
      <c r="E3760" s="16">
        <v>600.16999999999996</v>
      </c>
      <c r="F3760" s="1">
        <v>44858</v>
      </c>
      <c r="G3760" t="s">
        <v>2027</v>
      </c>
      <c r="H3760">
        <v>3</v>
      </c>
      <c r="I3760" s="12">
        <f>Table16[[#This Row],[price]]*Table16[[#This Row],[quantity]]</f>
        <v>600.16999999999996</v>
      </c>
    </row>
    <row r="3761" spans="1:9" x14ac:dyDescent="0.3">
      <c r="A3761" t="s">
        <v>5777</v>
      </c>
      <c r="B3761" t="s">
        <v>738</v>
      </c>
      <c r="C3761" t="s">
        <v>2008</v>
      </c>
      <c r="D3761">
        <v>2</v>
      </c>
      <c r="E3761" s="16">
        <v>10.46</v>
      </c>
      <c r="F3761" s="1">
        <v>44889</v>
      </c>
      <c r="G3761" t="s">
        <v>2002</v>
      </c>
      <c r="H3761">
        <v>1</v>
      </c>
      <c r="I3761" s="12">
        <f>Table16[[#This Row],[price]]*Table16[[#This Row],[quantity]]</f>
        <v>20.92</v>
      </c>
    </row>
    <row r="3762" spans="1:9" x14ac:dyDescent="0.3">
      <c r="A3762" t="s">
        <v>5780</v>
      </c>
      <c r="B3762" t="s">
        <v>739</v>
      </c>
      <c r="C3762" t="s">
        <v>2017</v>
      </c>
      <c r="D3762">
        <v>5</v>
      </c>
      <c r="E3762" s="16">
        <v>5250</v>
      </c>
      <c r="F3762" s="1">
        <v>44339</v>
      </c>
      <c r="G3762" t="s">
        <v>2004</v>
      </c>
      <c r="H3762">
        <v>5</v>
      </c>
      <c r="I3762" s="12">
        <f>Table16[[#This Row],[price]]*Table16[[#This Row],[quantity]]</f>
        <v>26250</v>
      </c>
    </row>
    <row r="3763" spans="1:9" x14ac:dyDescent="0.3">
      <c r="A3763" t="s">
        <v>5778</v>
      </c>
      <c r="B3763" t="s">
        <v>739</v>
      </c>
      <c r="C3763" t="s">
        <v>2001</v>
      </c>
      <c r="D3763">
        <v>5</v>
      </c>
      <c r="E3763" s="16">
        <v>1500.4</v>
      </c>
      <c r="F3763" s="1">
        <v>44361</v>
      </c>
      <c r="G3763" t="s">
        <v>2064</v>
      </c>
      <c r="H3763">
        <v>2</v>
      </c>
      <c r="I3763" s="12">
        <f>Table16[[#This Row],[price]]*Table16[[#This Row],[quantity]]</f>
        <v>7502</v>
      </c>
    </row>
    <row r="3764" spans="1:9" x14ac:dyDescent="0.3">
      <c r="A3764" t="s">
        <v>5779</v>
      </c>
      <c r="B3764" t="s">
        <v>739</v>
      </c>
      <c r="C3764" t="s">
        <v>2001</v>
      </c>
      <c r="D3764">
        <v>3</v>
      </c>
      <c r="E3764" s="16">
        <v>900.24</v>
      </c>
      <c r="F3764" s="1">
        <v>44486</v>
      </c>
      <c r="G3764" t="s">
        <v>2018</v>
      </c>
      <c r="H3764">
        <v>5</v>
      </c>
      <c r="I3764" s="12">
        <f>Table16[[#This Row],[price]]*Table16[[#This Row],[quantity]]</f>
        <v>2700.7200000000003</v>
      </c>
    </row>
    <row r="3765" spans="1:9" x14ac:dyDescent="0.3">
      <c r="A3765" t="s">
        <v>5783</v>
      </c>
      <c r="B3765" t="s">
        <v>739</v>
      </c>
      <c r="C3765" t="s">
        <v>2008</v>
      </c>
      <c r="D3765">
        <v>3</v>
      </c>
      <c r="E3765" s="16">
        <v>15.69</v>
      </c>
      <c r="F3765" s="1">
        <v>44740</v>
      </c>
      <c r="G3765" t="s">
        <v>2002</v>
      </c>
      <c r="H3765">
        <v>3</v>
      </c>
      <c r="I3765" s="12">
        <f>Table16[[#This Row],[price]]*Table16[[#This Row],[quantity]]</f>
        <v>47.07</v>
      </c>
    </row>
    <row r="3766" spans="1:9" x14ac:dyDescent="0.3">
      <c r="A3766" t="s">
        <v>5782</v>
      </c>
      <c r="B3766" t="s">
        <v>739</v>
      </c>
      <c r="C3766" t="s">
        <v>2024</v>
      </c>
      <c r="D3766">
        <v>3</v>
      </c>
      <c r="E3766" s="16">
        <v>107.52</v>
      </c>
      <c r="F3766" s="1">
        <v>44761</v>
      </c>
      <c r="G3766" t="s">
        <v>2027</v>
      </c>
      <c r="H3766">
        <v>1</v>
      </c>
      <c r="I3766" s="12">
        <f>Table16[[#This Row],[price]]*Table16[[#This Row],[quantity]]</f>
        <v>322.56</v>
      </c>
    </row>
    <row r="3767" spans="1:9" x14ac:dyDescent="0.3">
      <c r="A3767" t="s">
        <v>5781</v>
      </c>
      <c r="B3767" t="s">
        <v>739</v>
      </c>
      <c r="C3767" t="s">
        <v>2015</v>
      </c>
      <c r="D3767">
        <v>3</v>
      </c>
      <c r="E3767" s="16">
        <v>1800.51</v>
      </c>
      <c r="F3767" s="1">
        <v>44977</v>
      </c>
      <c r="G3767" t="s">
        <v>2041</v>
      </c>
      <c r="H3767">
        <v>5</v>
      </c>
      <c r="I3767" s="12">
        <f>Table16[[#This Row],[price]]*Table16[[#This Row],[quantity]]</f>
        <v>5401.53</v>
      </c>
    </row>
    <row r="3768" spans="1:9" x14ac:dyDescent="0.3">
      <c r="A3768" t="s">
        <v>5786</v>
      </c>
      <c r="B3768" t="s">
        <v>740</v>
      </c>
      <c r="C3768" t="s">
        <v>2011</v>
      </c>
      <c r="D3768">
        <v>2</v>
      </c>
      <c r="E3768" s="16">
        <v>81.319999999999993</v>
      </c>
      <c r="F3768" s="1">
        <v>44197</v>
      </c>
      <c r="G3768" t="s">
        <v>2027</v>
      </c>
      <c r="H3768">
        <v>1</v>
      </c>
      <c r="I3768" s="12">
        <f>Table16[[#This Row],[price]]*Table16[[#This Row],[quantity]]</f>
        <v>162.63999999999999</v>
      </c>
    </row>
    <row r="3769" spans="1:9" x14ac:dyDescent="0.3">
      <c r="A3769" t="s">
        <v>5785</v>
      </c>
      <c r="B3769" t="s">
        <v>740</v>
      </c>
      <c r="C3769" t="s">
        <v>2015</v>
      </c>
      <c r="D3769">
        <v>4</v>
      </c>
      <c r="E3769" s="16">
        <v>2400.6799999999998</v>
      </c>
      <c r="F3769" s="1">
        <v>44254</v>
      </c>
      <c r="G3769" t="s">
        <v>2064</v>
      </c>
      <c r="H3769">
        <v>5</v>
      </c>
      <c r="I3769" s="12">
        <f>Table16[[#This Row],[price]]*Table16[[#This Row],[quantity]]</f>
        <v>9602.7199999999993</v>
      </c>
    </row>
    <row r="3770" spans="1:9" x14ac:dyDescent="0.3">
      <c r="A3770" t="s">
        <v>5788</v>
      </c>
      <c r="B3770" t="s">
        <v>740</v>
      </c>
      <c r="C3770" t="s">
        <v>2001</v>
      </c>
      <c r="D3770">
        <v>5</v>
      </c>
      <c r="E3770" s="16">
        <v>1500.4</v>
      </c>
      <c r="F3770" s="1">
        <v>44289</v>
      </c>
      <c r="G3770" t="s">
        <v>2064</v>
      </c>
      <c r="H3770">
        <v>5</v>
      </c>
      <c r="I3770" s="12">
        <f>Table16[[#This Row],[price]]*Table16[[#This Row],[quantity]]</f>
        <v>7502</v>
      </c>
    </row>
    <row r="3771" spans="1:9" x14ac:dyDescent="0.3">
      <c r="A3771" t="s">
        <v>5787</v>
      </c>
      <c r="B3771" t="s">
        <v>740</v>
      </c>
      <c r="C3771" t="s">
        <v>2011</v>
      </c>
      <c r="D3771">
        <v>5</v>
      </c>
      <c r="E3771" s="16">
        <v>203.3</v>
      </c>
      <c r="F3771" s="1">
        <v>44493</v>
      </c>
      <c r="G3771" t="s">
        <v>2004</v>
      </c>
      <c r="H3771">
        <v>5</v>
      </c>
      <c r="I3771" s="12">
        <f>Table16[[#This Row],[price]]*Table16[[#This Row],[quantity]]</f>
        <v>1016.5</v>
      </c>
    </row>
    <row r="3772" spans="1:9" x14ac:dyDescent="0.3">
      <c r="A3772" t="s">
        <v>5784</v>
      </c>
      <c r="B3772" t="s">
        <v>740</v>
      </c>
      <c r="C3772" t="s">
        <v>2015</v>
      </c>
      <c r="D3772">
        <v>2</v>
      </c>
      <c r="E3772" s="16">
        <v>1200.3399999999999</v>
      </c>
      <c r="F3772" s="1">
        <v>44498</v>
      </c>
      <c r="G3772" t="s">
        <v>2027</v>
      </c>
      <c r="H3772">
        <v>5</v>
      </c>
      <c r="I3772" s="12">
        <f>Table16[[#This Row],[price]]*Table16[[#This Row],[quantity]]</f>
        <v>2400.6799999999998</v>
      </c>
    </row>
    <row r="3773" spans="1:9" x14ac:dyDescent="0.3">
      <c r="A3773" t="s">
        <v>5789</v>
      </c>
      <c r="B3773" t="s">
        <v>740</v>
      </c>
      <c r="C3773" t="s">
        <v>2001</v>
      </c>
      <c r="D3773">
        <v>5</v>
      </c>
      <c r="E3773" s="16">
        <v>1500.4</v>
      </c>
      <c r="F3773" s="1">
        <v>44545</v>
      </c>
      <c r="G3773" t="s">
        <v>2027</v>
      </c>
      <c r="H3773">
        <v>4</v>
      </c>
      <c r="I3773" s="12">
        <f>Table16[[#This Row],[price]]*Table16[[#This Row],[quantity]]</f>
        <v>7502</v>
      </c>
    </row>
    <row r="3774" spans="1:9" x14ac:dyDescent="0.3">
      <c r="A3774" t="s">
        <v>5791</v>
      </c>
      <c r="B3774" t="s">
        <v>741</v>
      </c>
      <c r="C3774" t="s">
        <v>2001</v>
      </c>
      <c r="D3774">
        <v>4</v>
      </c>
      <c r="E3774" s="16">
        <v>1200.32</v>
      </c>
      <c r="F3774" s="1">
        <v>44214</v>
      </c>
      <c r="G3774" t="s">
        <v>2027</v>
      </c>
      <c r="H3774">
        <v>1</v>
      </c>
      <c r="I3774" s="12">
        <f>Table16[[#This Row],[price]]*Table16[[#This Row],[quantity]]</f>
        <v>4801.28</v>
      </c>
    </row>
    <row r="3775" spans="1:9" x14ac:dyDescent="0.3">
      <c r="A3775" t="s">
        <v>5790</v>
      </c>
      <c r="B3775" t="s">
        <v>741</v>
      </c>
      <c r="C3775" t="s">
        <v>2008</v>
      </c>
      <c r="D3775">
        <v>4</v>
      </c>
      <c r="E3775" s="16">
        <v>20.92</v>
      </c>
      <c r="F3775" s="1">
        <v>44715</v>
      </c>
      <c r="G3775" t="s">
        <v>2027</v>
      </c>
      <c r="H3775">
        <v>4</v>
      </c>
      <c r="I3775" s="12">
        <f>Table16[[#This Row],[price]]*Table16[[#This Row],[quantity]]</f>
        <v>83.68</v>
      </c>
    </row>
    <row r="3776" spans="1:9" x14ac:dyDescent="0.3">
      <c r="A3776" t="s">
        <v>5792</v>
      </c>
      <c r="B3776" t="s">
        <v>741</v>
      </c>
      <c r="C3776" t="s">
        <v>2017</v>
      </c>
      <c r="D3776">
        <v>1</v>
      </c>
      <c r="E3776" s="16">
        <v>1050</v>
      </c>
      <c r="F3776" s="1">
        <v>44752</v>
      </c>
      <c r="G3776" t="s">
        <v>2020</v>
      </c>
      <c r="H3776">
        <v>1</v>
      </c>
      <c r="I3776" s="12">
        <f>Table16[[#This Row],[price]]*Table16[[#This Row],[quantity]]</f>
        <v>1050</v>
      </c>
    </row>
    <row r="3777" spans="1:9" x14ac:dyDescent="0.3">
      <c r="A3777" t="s">
        <v>5799</v>
      </c>
      <c r="B3777" t="s">
        <v>742</v>
      </c>
      <c r="C3777" t="s">
        <v>2008</v>
      </c>
      <c r="D3777">
        <v>2</v>
      </c>
      <c r="E3777" s="16">
        <v>10.46</v>
      </c>
      <c r="F3777" s="1">
        <v>44218</v>
      </c>
      <c r="G3777" t="s">
        <v>2009</v>
      </c>
      <c r="H3777">
        <v>5</v>
      </c>
      <c r="I3777" s="12">
        <f>Table16[[#This Row],[price]]*Table16[[#This Row],[quantity]]</f>
        <v>20.92</v>
      </c>
    </row>
    <row r="3778" spans="1:9" x14ac:dyDescent="0.3">
      <c r="A3778" t="s">
        <v>5796</v>
      </c>
      <c r="B3778" t="s">
        <v>742</v>
      </c>
      <c r="C3778" t="s">
        <v>2001</v>
      </c>
      <c r="D3778">
        <v>4</v>
      </c>
      <c r="E3778" s="16">
        <v>1200.32</v>
      </c>
      <c r="F3778" s="1">
        <v>44231</v>
      </c>
      <c r="G3778" t="s">
        <v>2004</v>
      </c>
      <c r="H3778">
        <v>3</v>
      </c>
      <c r="I3778" s="12">
        <f>Table16[[#This Row],[price]]*Table16[[#This Row],[quantity]]</f>
        <v>4801.28</v>
      </c>
    </row>
    <row r="3779" spans="1:9" x14ac:dyDescent="0.3">
      <c r="A3779" t="s">
        <v>5794</v>
      </c>
      <c r="B3779" t="s">
        <v>742</v>
      </c>
      <c r="C3779" t="s">
        <v>2001</v>
      </c>
      <c r="D3779">
        <v>1</v>
      </c>
      <c r="E3779" s="16">
        <v>300.08</v>
      </c>
      <c r="F3779" s="1">
        <v>44449</v>
      </c>
      <c r="G3779" t="s">
        <v>2064</v>
      </c>
      <c r="H3779">
        <v>1</v>
      </c>
      <c r="I3779" s="12">
        <f>Table16[[#This Row],[price]]*Table16[[#This Row],[quantity]]</f>
        <v>300.08</v>
      </c>
    </row>
    <row r="3780" spans="1:9" x14ac:dyDescent="0.3">
      <c r="A3780" t="s">
        <v>5797</v>
      </c>
      <c r="B3780" t="s">
        <v>742</v>
      </c>
      <c r="C3780" t="s">
        <v>2001</v>
      </c>
      <c r="D3780">
        <v>4</v>
      </c>
      <c r="E3780" s="16">
        <v>1200.32</v>
      </c>
      <c r="F3780" s="1">
        <v>44579</v>
      </c>
      <c r="G3780" t="s">
        <v>2004</v>
      </c>
      <c r="H3780">
        <v>4</v>
      </c>
      <c r="I3780" s="12">
        <f>Table16[[#This Row],[price]]*Table16[[#This Row],[quantity]]</f>
        <v>4801.28</v>
      </c>
    </row>
    <row r="3781" spans="1:9" x14ac:dyDescent="0.3">
      <c r="A3781" t="s">
        <v>5800</v>
      </c>
      <c r="B3781" t="s">
        <v>742</v>
      </c>
      <c r="C3781" t="s">
        <v>2015</v>
      </c>
      <c r="D3781">
        <v>3</v>
      </c>
      <c r="E3781" s="16">
        <v>1800.51</v>
      </c>
      <c r="F3781" s="1">
        <v>44633</v>
      </c>
      <c r="G3781" t="s">
        <v>2027</v>
      </c>
      <c r="H3781">
        <v>2</v>
      </c>
      <c r="I3781" s="12">
        <f>Table16[[#This Row],[price]]*Table16[[#This Row],[quantity]]</f>
        <v>5401.53</v>
      </c>
    </row>
    <row r="3782" spans="1:9" x14ac:dyDescent="0.3">
      <c r="A3782" t="s">
        <v>5795</v>
      </c>
      <c r="B3782" t="s">
        <v>742</v>
      </c>
      <c r="C3782" t="s">
        <v>2015</v>
      </c>
      <c r="D3782">
        <v>5</v>
      </c>
      <c r="E3782" s="16">
        <v>3000.85</v>
      </c>
      <c r="F3782" s="1">
        <v>44864</v>
      </c>
      <c r="G3782" t="s">
        <v>2041</v>
      </c>
      <c r="H3782">
        <v>4</v>
      </c>
      <c r="I3782" s="12">
        <f>Table16[[#This Row],[price]]*Table16[[#This Row],[quantity]]</f>
        <v>15004.25</v>
      </c>
    </row>
    <row r="3783" spans="1:9" x14ac:dyDescent="0.3">
      <c r="A3783" t="s">
        <v>5798</v>
      </c>
      <c r="B3783" t="s">
        <v>742</v>
      </c>
      <c r="C3783" t="s">
        <v>2017</v>
      </c>
      <c r="D3783">
        <v>3</v>
      </c>
      <c r="E3783" s="16">
        <v>3150</v>
      </c>
      <c r="F3783" s="1">
        <v>44884</v>
      </c>
      <c r="G3783" t="s">
        <v>2002</v>
      </c>
      <c r="H3783">
        <v>4</v>
      </c>
      <c r="I3783" s="12">
        <f>Table16[[#This Row],[price]]*Table16[[#This Row],[quantity]]</f>
        <v>9450</v>
      </c>
    </row>
    <row r="3784" spans="1:9" x14ac:dyDescent="0.3">
      <c r="A3784" t="s">
        <v>5793</v>
      </c>
      <c r="B3784" t="s">
        <v>742</v>
      </c>
      <c r="C3784" t="s">
        <v>2008</v>
      </c>
      <c r="D3784">
        <v>5</v>
      </c>
      <c r="E3784" s="16">
        <v>26.15</v>
      </c>
      <c r="F3784" s="1">
        <v>44913</v>
      </c>
      <c r="G3784" t="s">
        <v>2002</v>
      </c>
      <c r="H3784">
        <v>4</v>
      </c>
      <c r="I3784" s="12">
        <f>Table16[[#This Row],[price]]*Table16[[#This Row],[quantity]]</f>
        <v>130.75</v>
      </c>
    </row>
    <row r="3785" spans="1:9" x14ac:dyDescent="0.3">
      <c r="A3785" t="s">
        <v>5802</v>
      </c>
      <c r="B3785" t="s">
        <v>743</v>
      </c>
      <c r="C3785" t="s">
        <v>2015</v>
      </c>
      <c r="D3785">
        <v>5</v>
      </c>
      <c r="E3785" s="16">
        <v>3000.85</v>
      </c>
      <c r="F3785" s="1">
        <v>44209</v>
      </c>
      <c r="G3785" t="s">
        <v>2004</v>
      </c>
      <c r="H3785">
        <v>3</v>
      </c>
      <c r="I3785" s="12">
        <f>Table16[[#This Row],[price]]*Table16[[#This Row],[quantity]]</f>
        <v>15004.25</v>
      </c>
    </row>
    <row r="3786" spans="1:9" x14ac:dyDescent="0.3">
      <c r="A3786" t="s">
        <v>5801</v>
      </c>
      <c r="B3786" t="s">
        <v>743</v>
      </c>
      <c r="C3786" t="s">
        <v>2015</v>
      </c>
      <c r="D3786">
        <v>5</v>
      </c>
      <c r="E3786" s="16">
        <v>3000.85</v>
      </c>
      <c r="F3786" s="1">
        <v>44662</v>
      </c>
      <c r="G3786" t="s">
        <v>2002</v>
      </c>
      <c r="H3786">
        <v>5</v>
      </c>
      <c r="I3786" s="12">
        <f>Table16[[#This Row],[price]]*Table16[[#This Row],[quantity]]</f>
        <v>15004.25</v>
      </c>
    </row>
    <row r="3787" spans="1:9" x14ac:dyDescent="0.3">
      <c r="A3787" t="s">
        <v>5803</v>
      </c>
      <c r="B3787" t="s">
        <v>743</v>
      </c>
      <c r="C3787" t="s">
        <v>2015</v>
      </c>
      <c r="D3787">
        <v>2</v>
      </c>
      <c r="E3787" s="16">
        <v>1200.3399999999999</v>
      </c>
      <c r="F3787" s="1">
        <v>44894</v>
      </c>
      <c r="G3787" t="s">
        <v>2020</v>
      </c>
      <c r="H3787">
        <v>1</v>
      </c>
      <c r="I3787" s="12">
        <f>Table16[[#This Row],[price]]*Table16[[#This Row],[quantity]]</f>
        <v>2400.6799999999998</v>
      </c>
    </row>
    <row r="3788" spans="1:9" x14ac:dyDescent="0.3">
      <c r="A3788" t="s">
        <v>5809</v>
      </c>
      <c r="B3788" t="s">
        <v>744</v>
      </c>
      <c r="C3788" t="s">
        <v>2024</v>
      </c>
      <c r="D3788">
        <v>1</v>
      </c>
      <c r="E3788" s="16">
        <v>35.840000000000003</v>
      </c>
      <c r="F3788" s="1">
        <v>44199</v>
      </c>
      <c r="G3788" t="s">
        <v>2002</v>
      </c>
      <c r="H3788">
        <v>1</v>
      </c>
      <c r="I3788" s="12">
        <f>Table16[[#This Row],[price]]*Table16[[#This Row],[quantity]]</f>
        <v>35.840000000000003</v>
      </c>
    </row>
    <row r="3789" spans="1:9" x14ac:dyDescent="0.3">
      <c r="A3789" t="s">
        <v>5813</v>
      </c>
      <c r="B3789" t="s">
        <v>744</v>
      </c>
      <c r="C3789" t="s">
        <v>2011</v>
      </c>
      <c r="D3789">
        <v>4</v>
      </c>
      <c r="E3789" s="16">
        <v>162.63999999999999</v>
      </c>
      <c r="F3789" s="1">
        <v>44202</v>
      </c>
      <c r="G3789" t="s">
        <v>2027</v>
      </c>
      <c r="H3789">
        <v>2</v>
      </c>
      <c r="I3789" s="12">
        <f>Table16[[#This Row],[price]]*Table16[[#This Row],[quantity]]</f>
        <v>650.55999999999995</v>
      </c>
    </row>
    <row r="3790" spans="1:9" x14ac:dyDescent="0.3">
      <c r="A3790" t="s">
        <v>5806</v>
      </c>
      <c r="B3790" t="s">
        <v>744</v>
      </c>
      <c r="C3790" t="s">
        <v>2024</v>
      </c>
      <c r="D3790">
        <v>3</v>
      </c>
      <c r="E3790" s="16">
        <v>107.52</v>
      </c>
      <c r="F3790" s="1">
        <v>44248</v>
      </c>
      <c r="G3790" t="s">
        <v>2002</v>
      </c>
      <c r="H3790">
        <v>4</v>
      </c>
      <c r="I3790" s="12">
        <f>Table16[[#This Row],[price]]*Table16[[#This Row],[quantity]]</f>
        <v>322.56</v>
      </c>
    </row>
    <row r="3791" spans="1:9" x14ac:dyDescent="0.3">
      <c r="A3791" t="s">
        <v>5810</v>
      </c>
      <c r="B3791" t="s">
        <v>744</v>
      </c>
      <c r="C3791" t="s">
        <v>2001</v>
      </c>
      <c r="D3791">
        <v>4</v>
      </c>
      <c r="E3791" s="16">
        <v>1200.32</v>
      </c>
      <c r="F3791" s="1">
        <v>44384</v>
      </c>
      <c r="G3791" t="s">
        <v>2002</v>
      </c>
      <c r="H3791">
        <v>1</v>
      </c>
      <c r="I3791" s="12">
        <f>Table16[[#This Row],[price]]*Table16[[#This Row],[quantity]]</f>
        <v>4801.28</v>
      </c>
    </row>
    <row r="3792" spans="1:9" x14ac:dyDescent="0.3">
      <c r="A3792" t="s">
        <v>5805</v>
      </c>
      <c r="B3792" t="s">
        <v>744</v>
      </c>
      <c r="C3792" t="s">
        <v>2008</v>
      </c>
      <c r="D3792">
        <v>5</v>
      </c>
      <c r="E3792" s="16">
        <v>26.15</v>
      </c>
      <c r="F3792" s="1">
        <v>44447</v>
      </c>
      <c r="G3792" t="s">
        <v>2004</v>
      </c>
      <c r="H3792">
        <v>4</v>
      </c>
      <c r="I3792" s="12">
        <f>Table16[[#This Row],[price]]*Table16[[#This Row],[quantity]]</f>
        <v>130.75</v>
      </c>
    </row>
    <row r="3793" spans="1:9" x14ac:dyDescent="0.3">
      <c r="A3793" t="s">
        <v>5807</v>
      </c>
      <c r="B3793" t="s">
        <v>744</v>
      </c>
      <c r="C3793" t="s">
        <v>2001</v>
      </c>
      <c r="D3793">
        <v>1</v>
      </c>
      <c r="E3793" s="16">
        <v>300.08</v>
      </c>
      <c r="F3793" s="1">
        <v>44588</v>
      </c>
      <c r="G3793" t="s">
        <v>2004</v>
      </c>
      <c r="H3793">
        <v>3</v>
      </c>
      <c r="I3793" s="12">
        <f>Table16[[#This Row],[price]]*Table16[[#This Row],[quantity]]</f>
        <v>300.08</v>
      </c>
    </row>
    <row r="3794" spans="1:9" x14ac:dyDescent="0.3">
      <c r="A3794" t="s">
        <v>5812</v>
      </c>
      <c r="B3794" t="s">
        <v>744</v>
      </c>
      <c r="C3794" t="s">
        <v>2001</v>
      </c>
      <c r="D3794">
        <v>3</v>
      </c>
      <c r="E3794" s="16">
        <v>900.24</v>
      </c>
      <c r="F3794" s="1">
        <v>44642</v>
      </c>
      <c r="G3794" t="s">
        <v>2020</v>
      </c>
      <c r="H3794">
        <v>2</v>
      </c>
      <c r="I3794" s="12">
        <f>Table16[[#This Row],[price]]*Table16[[#This Row],[quantity]]</f>
        <v>2700.7200000000003</v>
      </c>
    </row>
    <row r="3795" spans="1:9" x14ac:dyDescent="0.3">
      <c r="A3795" t="s">
        <v>5808</v>
      </c>
      <c r="B3795" t="s">
        <v>744</v>
      </c>
      <c r="C3795" t="s">
        <v>2001</v>
      </c>
      <c r="D3795">
        <v>5</v>
      </c>
      <c r="E3795" s="16">
        <v>1500.4</v>
      </c>
      <c r="F3795" s="1">
        <v>44732</v>
      </c>
      <c r="G3795" t="s">
        <v>2064</v>
      </c>
      <c r="H3795">
        <v>4</v>
      </c>
      <c r="I3795" s="12">
        <f>Table16[[#This Row],[price]]*Table16[[#This Row],[quantity]]</f>
        <v>7502</v>
      </c>
    </row>
    <row r="3796" spans="1:9" x14ac:dyDescent="0.3">
      <c r="A3796" t="s">
        <v>5804</v>
      </c>
      <c r="B3796" t="s">
        <v>744</v>
      </c>
      <c r="C3796" t="s">
        <v>2008</v>
      </c>
      <c r="D3796">
        <v>1</v>
      </c>
      <c r="E3796" s="16">
        <v>5.23</v>
      </c>
      <c r="F3796" s="1">
        <v>44783</v>
      </c>
      <c r="G3796" t="s">
        <v>2027</v>
      </c>
      <c r="H3796">
        <v>3</v>
      </c>
      <c r="I3796" s="12">
        <f>Table16[[#This Row],[price]]*Table16[[#This Row],[quantity]]</f>
        <v>5.23</v>
      </c>
    </row>
    <row r="3797" spans="1:9" x14ac:dyDescent="0.3">
      <c r="A3797" t="s">
        <v>5811</v>
      </c>
      <c r="B3797" t="s">
        <v>744</v>
      </c>
      <c r="C3797" t="s">
        <v>2015</v>
      </c>
      <c r="D3797">
        <v>1</v>
      </c>
      <c r="E3797" s="16">
        <v>600.16999999999996</v>
      </c>
      <c r="F3797" s="1">
        <v>44904</v>
      </c>
      <c r="G3797" t="s">
        <v>2020</v>
      </c>
      <c r="H3797">
        <v>5</v>
      </c>
      <c r="I3797" s="12">
        <f>Table16[[#This Row],[price]]*Table16[[#This Row],[quantity]]</f>
        <v>600.16999999999996</v>
      </c>
    </row>
    <row r="3798" spans="1:9" x14ac:dyDescent="0.3">
      <c r="A3798" t="s">
        <v>5814</v>
      </c>
      <c r="B3798" t="s">
        <v>744</v>
      </c>
      <c r="C3798" t="s">
        <v>2011</v>
      </c>
      <c r="D3798">
        <v>3</v>
      </c>
      <c r="E3798" s="16">
        <v>121.98</v>
      </c>
      <c r="F3798" s="1">
        <v>44938</v>
      </c>
      <c r="G3798" t="s">
        <v>2020</v>
      </c>
      <c r="H3798">
        <v>2</v>
      </c>
      <c r="I3798" s="12">
        <f>Table16[[#This Row],[price]]*Table16[[#This Row],[quantity]]</f>
        <v>365.94</v>
      </c>
    </row>
    <row r="3799" spans="1:9" x14ac:dyDescent="0.3">
      <c r="A3799" t="s">
        <v>5815</v>
      </c>
      <c r="B3799" t="s">
        <v>745</v>
      </c>
      <c r="C3799" t="s">
        <v>2015</v>
      </c>
      <c r="D3799">
        <v>2</v>
      </c>
      <c r="E3799" s="16">
        <v>1200.3399999999999</v>
      </c>
      <c r="F3799" s="1">
        <v>44223</v>
      </c>
      <c r="G3799" t="s">
        <v>2009</v>
      </c>
      <c r="H3799">
        <v>1</v>
      </c>
      <c r="I3799" s="12">
        <f>Table16[[#This Row],[price]]*Table16[[#This Row],[quantity]]</f>
        <v>2400.6799999999998</v>
      </c>
    </row>
    <row r="3800" spans="1:9" x14ac:dyDescent="0.3">
      <c r="A3800" t="s">
        <v>5816</v>
      </c>
      <c r="B3800" t="s">
        <v>745</v>
      </c>
      <c r="C3800" t="s">
        <v>2011</v>
      </c>
      <c r="D3800">
        <v>5</v>
      </c>
      <c r="E3800" s="16">
        <v>203.3</v>
      </c>
      <c r="F3800" s="1">
        <v>44507</v>
      </c>
      <c r="G3800" t="s">
        <v>2002</v>
      </c>
      <c r="H3800">
        <v>4</v>
      </c>
      <c r="I3800" s="12">
        <f>Table16[[#This Row],[price]]*Table16[[#This Row],[quantity]]</f>
        <v>1016.5</v>
      </c>
    </row>
    <row r="3801" spans="1:9" x14ac:dyDescent="0.3">
      <c r="A3801" t="s">
        <v>5825</v>
      </c>
      <c r="B3801" t="s">
        <v>746</v>
      </c>
      <c r="C3801" t="s">
        <v>2057</v>
      </c>
      <c r="D3801">
        <v>5</v>
      </c>
      <c r="E3801" s="16">
        <v>58.65</v>
      </c>
      <c r="F3801" s="1">
        <v>44344</v>
      </c>
      <c r="G3801" t="s">
        <v>2064</v>
      </c>
      <c r="H3801">
        <v>3</v>
      </c>
      <c r="I3801" s="12">
        <f>Table16[[#This Row],[price]]*Table16[[#This Row],[quantity]]</f>
        <v>293.25</v>
      </c>
    </row>
    <row r="3802" spans="1:9" x14ac:dyDescent="0.3">
      <c r="A3802" t="s">
        <v>5819</v>
      </c>
      <c r="B3802" t="s">
        <v>746</v>
      </c>
      <c r="C3802" t="s">
        <v>2008</v>
      </c>
      <c r="D3802">
        <v>4</v>
      </c>
      <c r="E3802" s="16">
        <v>20.92</v>
      </c>
      <c r="F3802" s="1">
        <v>44393</v>
      </c>
      <c r="G3802" t="s">
        <v>2020</v>
      </c>
      <c r="H3802">
        <v>4</v>
      </c>
      <c r="I3802" s="12">
        <f>Table16[[#This Row],[price]]*Table16[[#This Row],[quantity]]</f>
        <v>83.68</v>
      </c>
    </row>
    <row r="3803" spans="1:9" x14ac:dyDescent="0.3">
      <c r="A3803" t="s">
        <v>5826</v>
      </c>
      <c r="B3803" t="s">
        <v>746</v>
      </c>
      <c r="C3803" t="s">
        <v>2001</v>
      </c>
      <c r="D3803">
        <v>2</v>
      </c>
      <c r="E3803" s="16">
        <v>600.16</v>
      </c>
      <c r="F3803" s="1">
        <v>44403</v>
      </c>
      <c r="G3803" t="s">
        <v>2020</v>
      </c>
      <c r="H3803">
        <v>1</v>
      </c>
      <c r="I3803" s="12">
        <f>Table16[[#This Row],[price]]*Table16[[#This Row],[quantity]]</f>
        <v>1200.32</v>
      </c>
    </row>
    <row r="3804" spans="1:9" x14ac:dyDescent="0.3">
      <c r="A3804" t="s">
        <v>5821</v>
      </c>
      <c r="B3804" t="s">
        <v>746</v>
      </c>
      <c r="C3804" t="s">
        <v>2006</v>
      </c>
      <c r="D3804">
        <v>3</v>
      </c>
      <c r="E3804" s="16">
        <v>45.45</v>
      </c>
      <c r="F3804" s="1">
        <v>44410</v>
      </c>
      <c r="G3804" t="s">
        <v>2027</v>
      </c>
      <c r="H3804">
        <v>3</v>
      </c>
      <c r="I3804" s="12">
        <f>Table16[[#This Row],[price]]*Table16[[#This Row],[quantity]]</f>
        <v>136.35000000000002</v>
      </c>
    </row>
    <row r="3805" spans="1:9" x14ac:dyDescent="0.3">
      <c r="A3805" t="s">
        <v>5822</v>
      </c>
      <c r="B3805" t="s">
        <v>746</v>
      </c>
      <c r="C3805" t="s">
        <v>2001</v>
      </c>
      <c r="D3805">
        <v>4</v>
      </c>
      <c r="E3805" s="16">
        <v>1200.32</v>
      </c>
      <c r="F3805" s="1">
        <v>44531</v>
      </c>
      <c r="G3805" t="s">
        <v>2064</v>
      </c>
      <c r="H3805">
        <v>5</v>
      </c>
      <c r="I3805" s="12">
        <f>Table16[[#This Row],[price]]*Table16[[#This Row],[quantity]]</f>
        <v>4801.28</v>
      </c>
    </row>
    <row r="3806" spans="1:9" x14ac:dyDescent="0.3">
      <c r="A3806" t="s">
        <v>5823</v>
      </c>
      <c r="B3806" t="s">
        <v>746</v>
      </c>
      <c r="C3806" t="s">
        <v>2001</v>
      </c>
      <c r="D3806">
        <v>2</v>
      </c>
      <c r="E3806" s="16">
        <v>600.16</v>
      </c>
      <c r="F3806" s="1">
        <v>44578</v>
      </c>
      <c r="G3806" t="s">
        <v>2027</v>
      </c>
      <c r="H3806">
        <v>5</v>
      </c>
      <c r="I3806" s="12">
        <f>Table16[[#This Row],[price]]*Table16[[#This Row],[quantity]]</f>
        <v>1200.32</v>
      </c>
    </row>
    <row r="3807" spans="1:9" x14ac:dyDescent="0.3">
      <c r="A3807" t="s">
        <v>5817</v>
      </c>
      <c r="B3807" t="s">
        <v>746</v>
      </c>
      <c r="C3807" t="s">
        <v>2006</v>
      </c>
      <c r="D3807">
        <v>4</v>
      </c>
      <c r="E3807" s="16">
        <v>60.6</v>
      </c>
      <c r="F3807" s="1">
        <v>44615</v>
      </c>
      <c r="G3807" t="s">
        <v>2027</v>
      </c>
      <c r="H3807">
        <v>5</v>
      </c>
      <c r="I3807" s="12">
        <f>Table16[[#This Row],[price]]*Table16[[#This Row],[quantity]]</f>
        <v>242.4</v>
      </c>
    </row>
    <row r="3808" spans="1:9" x14ac:dyDescent="0.3">
      <c r="A3808" t="s">
        <v>5824</v>
      </c>
      <c r="B3808" t="s">
        <v>746</v>
      </c>
      <c r="C3808" t="s">
        <v>2024</v>
      </c>
      <c r="D3808">
        <v>4</v>
      </c>
      <c r="E3808" s="16">
        <v>143.36000000000001</v>
      </c>
      <c r="F3808" s="1">
        <v>44823</v>
      </c>
      <c r="G3808" t="s">
        <v>2020</v>
      </c>
      <c r="H3808">
        <v>3</v>
      </c>
      <c r="I3808" s="12">
        <f>Table16[[#This Row],[price]]*Table16[[#This Row],[quantity]]</f>
        <v>573.44000000000005</v>
      </c>
    </row>
    <row r="3809" spans="1:9" x14ac:dyDescent="0.3">
      <c r="A3809" t="s">
        <v>5818</v>
      </c>
      <c r="B3809" t="s">
        <v>746</v>
      </c>
      <c r="C3809" t="s">
        <v>2017</v>
      </c>
      <c r="D3809">
        <v>4</v>
      </c>
      <c r="E3809" s="16">
        <v>4200</v>
      </c>
      <c r="F3809" s="1">
        <v>44839</v>
      </c>
      <c r="G3809" t="s">
        <v>2027</v>
      </c>
      <c r="H3809">
        <v>3</v>
      </c>
      <c r="I3809" s="12">
        <f>Table16[[#This Row],[price]]*Table16[[#This Row],[quantity]]</f>
        <v>16800</v>
      </c>
    </row>
    <row r="3810" spans="1:9" x14ac:dyDescent="0.3">
      <c r="A3810" t="s">
        <v>5820</v>
      </c>
      <c r="B3810" t="s">
        <v>746</v>
      </c>
      <c r="C3810" t="s">
        <v>2011</v>
      </c>
      <c r="D3810">
        <v>4</v>
      </c>
      <c r="E3810" s="16">
        <v>162.63999999999999</v>
      </c>
      <c r="F3810" s="1">
        <v>44957</v>
      </c>
      <c r="G3810" t="s">
        <v>2002</v>
      </c>
      <c r="H3810">
        <v>5</v>
      </c>
      <c r="I3810" s="12">
        <f>Table16[[#This Row],[price]]*Table16[[#This Row],[quantity]]</f>
        <v>650.55999999999995</v>
      </c>
    </row>
    <row r="3811" spans="1:9" x14ac:dyDescent="0.3">
      <c r="A3811" t="s">
        <v>5828</v>
      </c>
      <c r="B3811" t="s">
        <v>747</v>
      </c>
      <c r="C3811" t="s">
        <v>2001</v>
      </c>
      <c r="D3811">
        <v>1</v>
      </c>
      <c r="E3811" s="16">
        <v>300.08</v>
      </c>
      <c r="F3811" s="1">
        <v>44371</v>
      </c>
      <c r="G3811" t="s">
        <v>2027</v>
      </c>
      <c r="H3811">
        <v>5</v>
      </c>
      <c r="I3811" s="12">
        <f>Table16[[#This Row],[price]]*Table16[[#This Row],[quantity]]</f>
        <v>300.08</v>
      </c>
    </row>
    <row r="3812" spans="1:9" x14ac:dyDescent="0.3">
      <c r="A3812" t="s">
        <v>5827</v>
      </c>
      <c r="B3812" t="s">
        <v>747</v>
      </c>
      <c r="C3812" t="s">
        <v>2001</v>
      </c>
      <c r="D3812">
        <v>1</v>
      </c>
      <c r="E3812" s="16">
        <v>300.08</v>
      </c>
      <c r="F3812" s="1">
        <v>44776</v>
      </c>
      <c r="G3812" t="s">
        <v>2027</v>
      </c>
      <c r="H3812">
        <v>3</v>
      </c>
      <c r="I3812" s="12">
        <f>Table16[[#This Row],[price]]*Table16[[#This Row],[quantity]]</f>
        <v>300.08</v>
      </c>
    </row>
    <row r="3813" spans="1:9" x14ac:dyDescent="0.3">
      <c r="A3813" t="s">
        <v>5829</v>
      </c>
      <c r="B3813" t="s">
        <v>748</v>
      </c>
      <c r="C3813" t="s">
        <v>2001</v>
      </c>
      <c r="D3813">
        <v>1</v>
      </c>
      <c r="E3813" s="16">
        <v>300.08</v>
      </c>
      <c r="F3813" s="1">
        <v>44336</v>
      </c>
      <c r="G3813" t="s">
        <v>2004</v>
      </c>
      <c r="H3813">
        <v>1</v>
      </c>
      <c r="I3813" s="12">
        <f>Table16[[#This Row],[price]]*Table16[[#This Row],[quantity]]</f>
        <v>300.08</v>
      </c>
    </row>
    <row r="3814" spans="1:9" x14ac:dyDescent="0.3">
      <c r="A3814" t="s">
        <v>5830</v>
      </c>
      <c r="B3814" t="s">
        <v>748</v>
      </c>
      <c r="C3814" t="s">
        <v>2015</v>
      </c>
      <c r="D3814">
        <v>5</v>
      </c>
      <c r="E3814" s="16">
        <v>3000.85</v>
      </c>
      <c r="F3814" s="1">
        <v>44928</v>
      </c>
      <c r="G3814" t="s">
        <v>2027</v>
      </c>
      <c r="H3814">
        <v>5</v>
      </c>
      <c r="I3814" s="12">
        <f>Table16[[#This Row],[price]]*Table16[[#This Row],[quantity]]</f>
        <v>15004.25</v>
      </c>
    </row>
    <row r="3815" spans="1:9" x14ac:dyDescent="0.3">
      <c r="A3815" t="s">
        <v>5834</v>
      </c>
      <c r="B3815" t="s">
        <v>749</v>
      </c>
      <c r="C3815" t="s">
        <v>2001</v>
      </c>
      <c r="D3815">
        <v>5</v>
      </c>
      <c r="E3815" s="16">
        <v>1500.4</v>
      </c>
      <c r="F3815" s="1">
        <v>44259</v>
      </c>
      <c r="G3815" t="s">
        <v>2002</v>
      </c>
      <c r="H3815">
        <v>5</v>
      </c>
      <c r="I3815" s="12">
        <f>Table16[[#This Row],[price]]*Table16[[#This Row],[quantity]]</f>
        <v>7502</v>
      </c>
    </row>
    <row r="3816" spans="1:9" x14ac:dyDescent="0.3">
      <c r="A3816" t="s">
        <v>5835</v>
      </c>
      <c r="B3816" t="s">
        <v>749</v>
      </c>
      <c r="C3816" t="s">
        <v>2008</v>
      </c>
      <c r="D3816">
        <v>5</v>
      </c>
      <c r="E3816" s="16">
        <v>26.15</v>
      </c>
      <c r="F3816" s="1">
        <v>44267</v>
      </c>
      <c r="G3816" t="s">
        <v>2004</v>
      </c>
      <c r="H3816">
        <v>4</v>
      </c>
      <c r="I3816" s="12">
        <f>Table16[[#This Row],[price]]*Table16[[#This Row],[quantity]]</f>
        <v>130.75</v>
      </c>
    </row>
    <row r="3817" spans="1:9" x14ac:dyDescent="0.3">
      <c r="A3817" t="s">
        <v>5832</v>
      </c>
      <c r="B3817" t="s">
        <v>749</v>
      </c>
      <c r="C3817" t="s">
        <v>2001</v>
      </c>
      <c r="D3817">
        <v>2</v>
      </c>
      <c r="E3817" s="16">
        <v>600.16</v>
      </c>
      <c r="F3817" s="1">
        <v>44428</v>
      </c>
      <c r="G3817" t="s">
        <v>2002</v>
      </c>
      <c r="H3817">
        <v>2</v>
      </c>
      <c r="I3817" s="12">
        <f>Table16[[#This Row],[price]]*Table16[[#This Row],[quantity]]</f>
        <v>1200.32</v>
      </c>
    </row>
    <row r="3818" spans="1:9" x14ac:dyDescent="0.3">
      <c r="A3818" t="s">
        <v>5833</v>
      </c>
      <c r="B3818" t="s">
        <v>749</v>
      </c>
      <c r="C3818" t="s">
        <v>2015</v>
      </c>
      <c r="D3818">
        <v>5</v>
      </c>
      <c r="E3818" s="16">
        <v>3000.85</v>
      </c>
      <c r="F3818" s="1">
        <v>44783</v>
      </c>
      <c r="G3818" t="s">
        <v>2020</v>
      </c>
      <c r="H3818">
        <v>1</v>
      </c>
      <c r="I3818" s="12">
        <f>Table16[[#This Row],[price]]*Table16[[#This Row],[quantity]]</f>
        <v>15004.25</v>
      </c>
    </row>
    <row r="3819" spans="1:9" x14ac:dyDescent="0.3">
      <c r="A3819" t="s">
        <v>5831</v>
      </c>
      <c r="B3819" t="s">
        <v>749</v>
      </c>
      <c r="C3819" t="s">
        <v>2001</v>
      </c>
      <c r="D3819">
        <v>5</v>
      </c>
      <c r="E3819" s="16">
        <v>1500.4</v>
      </c>
      <c r="F3819" s="1">
        <v>44849</v>
      </c>
      <c r="G3819" t="s">
        <v>2012</v>
      </c>
      <c r="H3819">
        <v>3</v>
      </c>
      <c r="I3819" s="12">
        <f>Table16[[#This Row],[price]]*Table16[[#This Row],[quantity]]</f>
        <v>7502</v>
      </c>
    </row>
    <row r="3820" spans="1:9" x14ac:dyDescent="0.3">
      <c r="A3820" t="s">
        <v>5836</v>
      </c>
      <c r="B3820" t="s">
        <v>750</v>
      </c>
      <c r="C3820" t="s">
        <v>2011</v>
      </c>
      <c r="D3820">
        <v>2</v>
      </c>
      <c r="E3820" s="16">
        <v>81.319999999999993</v>
      </c>
      <c r="F3820" s="1">
        <v>44695</v>
      </c>
      <c r="G3820" t="s">
        <v>2058</v>
      </c>
      <c r="H3820">
        <v>5</v>
      </c>
      <c r="I3820" s="12">
        <f>Table16[[#This Row],[price]]*Table16[[#This Row],[quantity]]</f>
        <v>162.63999999999999</v>
      </c>
    </row>
    <row r="3821" spans="1:9" x14ac:dyDescent="0.3">
      <c r="A3821" t="s">
        <v>5837</v>
      </c>
      <c r="B3821" t="s">
        <v>750</v>
      </c>
      <c r="C3821" t="s">
        <v>2001</v>
      </c>
      <c r="D3821">
        <v>1</v>
      </c>
      <c r="E3821" s="16">
        <v>300.08</v>
      </c>
      <c r="F3821" s="1">
        <v>44869</v>
      </c>
      <c r="G3821" t="s">
        <v>2027</v>
      </c>
      <c r="H3821">
        <v>4</v>
      </c>
      <c r="I3821" s="12">
        <f>Table16[[#This Row],[price]]*Table16[[#This Row],[quantity]]</f>
        <v>300.08</v>
      </c>
    </row>
    <row r="3822" spans="1:9" x14ac:dyDescent="0.3">
      <c r="A3822" t="s">
        <v>5840</v>
      </c>
      <c r="B3822" t="s">
        <v>751</v>
      </c>
      <c r="C3822" t="s">
        <v>2024</v>
      </c>
      <c r="D3822">
        <v>1</v>
      </c>
      <c r="E3822" s="16">
        <v>35.840000000000003</v>
      </c>
      <c r="F3822" s="1">
        <v>44390</v>
      </c>
      <c r="G3822" t="s">
        <v>2018</v>
      </c>
      <c r="H3822">
        <v>3</v>
      </c>
      <c r="I3822" s="12">
        <f>Table16[[#This Row],[price]]*Table16[[#This Row],[quantity]]</f>
        <v>35.840000000000003</v>
      </c>
    </row>
    <row r="3823" spans="1:9" x14ac:dyDescent="0.3">
      <c r="A3823" t="s">
        <v>5842</v>
      </c>
      <c r="B3823" t="s">
        <v>751</v>
      </c>
      <c r="C3823" t="s">
        <v>2008</v>
      </c>
      <c r="D3823">
        <v>5</v>
      </c>
      <c r="E3823" s="16">
        <v>26.15</v>
      </c>
      <c r="F3823" s="1">
        <v>44478</v>
      </c>
      <c r="G3823" t="s">
        <v>2020</v>
      </c>
      <c r="H3823">
        <v>4</v>
      </c>
      <c r="I3823" s="12">
        <f>Table16[[#This Row],[price]]*Table16[[#This Row],[quantity]]</f>
        <v>130.75</v>
      </c>
    </row>
    <row r="3824" spans="1:9" x14ac:dyDescent="0.3">
      <c r="A3824" t="s">
        <v>5838</v>
      </c>
      <c r="B3824" t="s">
        <v>751</v>
      </c>
      <c r="C3824" t="s">
        <v>2001</v>
      </c>
      <c r="D3824">
        <v>1</v>
      </c>
      <c r="E3824" s="16">
        <v>300.08</v>
      </c>
      <c r="F3824" s="1">
        <v>44524</v>
      </c>
      <c r="G3824" t="s">
        <v>2020</v>
      </c>
      <c r="H3824">
        <v>5</v>
      </c>
      <c r="I3824" s="12">
        <f>Table16[[#This Row],[price]]*Table16[[#This Row],[quantity]]</f>
        <v>300.08</v>
      </c>
    </row>
    <row r="3825" spans="1:9" x14ac:dyDescent="0.3">
      <c r="A3825" t="s">
        <v>5839</v>
      </c>
      <c r="B3825" t="s">
        <v>751</v>
      </c>
      <c r="C3825" t="s">
        <v>2017</v>
      </c>
      <c r="D3825">
        <v>1</v>
      </c>
      <c r="E3825" s="16">
        <v>1050</v>
      </c>
      <c r="F3825" s="1">
        <v>44663</v>
      </c>
      <c r="G3825" t="s">
        <v>2020</v>
      </c>
      <c r="H3825">
        <v>5</v>
      </c>
      <c r="I3825" s="12">
        <f>Table16[[#This Row],[price]]*Table16[[#This Row],[quantity]]</f>
        <v>1050</v>
      </c>
    </row>
    <row r="3826" spans="1:9" x14ac:dyDescent="0.3">
      <c r="A3826" t="s">
        <v>5841</v>
      </c>
      <c r="B3826" t="s">
        <v>751</v>
      </c>
      <c r="C3826" t="s">
        <v>2024</v>
      </c>
      <c r="D3826">
        <v>5</v>
      </c>
      <c r="E3826" s="16">
        <v>179.2</v>
      </c>
      <c r="F3826" s="1">
        <v>44711</v>
      </c>
      <c r="G3826" t="s">
        <v>2027</v>
      </c>
      <c r="H3826">
        <v>3</v>
      </c>
      <c r="I3826" s="12">
        <f>Table16[[#This Row],[price]]*Table16[[#This Row],[quantity]]</f>
        <v>896</v>
      </c>
    </row>
    <row r="3827" spans="1:9" x14ac:dyDescent="0.3">
      <c r="A3827" t="s">
        <v>5843</v>
      </c>
      <c r="B3827" t="s">
        <v>751</v>
      </c>
      <c r="C3827" t="s">
        <v>2008</v>
      </c>
      <c r="D3827">
        <v>2</v>
      </c>
      <c r="E3827" s="16">
        <v>10.46</v>
      </c>
      <c r="F3827" s="1">
        <v>44839</v>
      </c>
      <c r="G3827" t="s">
        <v>2020</v>
      </c>
      <c r="H3827">
        <v>2</v>
      </c>
      <c r="I3827" s="12">
        <f>Table16[[#This Row],[price]]*Table16[[#This Row],[quantity]]</f>
        <v>20.92</v>
      </c>
    </row>
    <row r="3828" spans="1:9" x14ac:dyDescent="0.3">
      <c r="A3828" t="s">
        <v>5845</v>
      </c>
      <c r="B3828" t="s">
        <v>752</v>
      </c>
      <c r="C3828" t="s">
        <v>2001</v>
      </c>
      <c r="D3828">
        <v>4</v>
      </c>
      <c r="E3828" s="16">
        <v>1200.32</v>
      </c>
      <c r="F3828" s="1">
        <v>44265</v>
      </c>
      <c r="G3828" t="s">
        <v>2020</v>
      </c>
      <c r="H3828">
        <v>3</v>
      </c>
      <c r="I3828" s="12">
        <f>Table16[[#This Row],[price]]*Table16[[#This Row],[quantity]]</f>
        <v>4801.28</v>
      </c>
    </row>
    <row r="3829" spans="1:9" x14ac:dyDescent="0.3">
      <c r="A3829" t="s">
        <v>5844</v>
      </c>
      <c r="B3829" t="s">
        <v>752</v>
      </c>
      <c r="C3829" t="s">
        <v>2015</v>
      </c>
      <c r="D3829">
        <v>5</v>
      </c>
      <c r="E3829" s="16">
        <v>3000.85</v>
      </c>
      <c r="F3829" s="1">
        <v>44459</v>
      </c>
      <c r="G3829" t="s">
        <v>2064</v>
      </c>
      <c r="H3829">
        <v>5</v>
      </c>
      <c r="I3829" s="12">
        <f>Table16[[#This Row],[price]]*Table16[[#This Row],[quantity]]</f>
        <v>15004.25</v>
      </c>
    </row>
    <row r="3830" spans="1:9" x14ac:dyDescent="0.3">
      <c r="A3830" t="s">
        <v>5846</v>
      </c>
      <c r="B3830" t="s">
        <v>752</v>
      </c>
      <c r="C3830" t="s">
        <v>2057</v>
      </c>
      <c r="D3830">
        <v>2</v>
      </c>
      <c r="E3830" s="16">
        <v>23.46</v>
      </c>
      <c r="F3830" s="1">
        <v>44799</v>
      </c>
      <c r="G3830" t="s">
        <v>2027</v>
      </c>
      <c r="H3830">
        <v>1</v>
      </c>
      <c r="I3830" s="12">
        <f>Table16[[#This Row],[price]]*Table16[[#This Row],[quantity]]</f>
        <v>46.92</v>
      </c>
    </row>
    <row r="3831" spans="1:9" x14ac:dyDescent="0.3">
      <c r="A3831" t="s">
        <v>5847</v>
      </c>
      <c r="B3831" t="s">
        <v>752</v>
      </c>
      <c r="C3831" t="s">
        <v>2024</v>
      </c>
      <c r="D3831">
        <v>5</v>
      </c>
      <c r="E3831" s="16">
        <v>179.2</v>
      </c>
      <c r="F3831" s="1">
        <v>44951</v>
      </c>
      <c r="G3831" t="s">
        <v>2041</v>
      </c>
      <c r="H3831">
        <v>3</v>
      </c>
      <c r="I3831" s="12">
        <f>Table16[[#This Row],[price]]*Table16[[#This Row],[quantity]]</f>
        <v>896</v>
      </c>
    </row>
    <row r="3832" spans="1:9" x14ac:dyDescent="0.3">
      <c r="A3832" t="s">
        <v>5848</v>
      </c>
      <c r="B3832" t="s">
        <v>753</v>
      </c>
      <c r="C3832" t="s">
        <v>2008</v>
      </c>
      <c r="D3832">
        <v>5</v>
      </c>
      <c r="E3832" s="16">
        <v>26.15</v>
      </c>
      <c r="F3832" s="1">
        <v>44351</v>
      </c>
      <c r="G3832" t="s">
        <v>2041</v>
      </c>
      <c r="H3832">
        <v>4</v>
      </c>
      <c r="I3832" s="12">
        <f>Table16[[#This Row],[price]]*Table16[[#This Row],[quantity]]</f>
        <v>130.75</v>
      </c>
    </row>
    <row r="3833" spans="1:9" x14ac:dyDescent="0.3">
      <c r="A3833" t="s">
        <v>5851</v>
      </c>
      <c r="B3833" t="s">
        <v>753</v>
      </c>
      <c r="C3833" t="s">
        <v>2015</v>
      </c>
      <c r="D3833">
        <v>4</v>
      </c>
      <c r="E3833" s="16">
        <v>2400.6799999999998</v>
      </c>
      <c r="F3833" s="1">
        <v>44356</v>
      </c>
      <c r="G3833" t="s">
        <v>2027</v>
      </c>
      <c r="H3833">
        <v>2</v>
      </c>
      <c r="I3833" s="12">
        <f>Table16[[#This Row],[price]]*Table16[[#This Row],[quantity]]</f>
        <v>9602.7199999999993</v>
      </c>
    </row>
    <row r="3834" spans="1:9" x14ac:dyDescent="0.3">
      <c r="A3834" t="s">
        <v>5849</v>
      </c>
      <c r="B3834" t="s">
        <v>753</v>
      </c>
      <c r="C3834" t="s">
        <v>2024</v>
      </c>
      <c r="D3834">
        <v>4</v>
      </c>
      <c r="E3834" s="16">
        <v>143.36000000000001</v>
      </c>
      <c r="F3834" s="1">
        <v>44604</v>
      </c>
      <c r="G3834" t="s">
        <v>2058</v>
      </c>
      <c r="H3834">
        <v>2</v>
      </c>
      <c r="I3834" s="12">
        <f>Table16[[#This Row],[price]]*Table16[[#This Row],[quantity]]</f>
        <v>573.44000000000005</v>
      </c>
    </row>
    <row r="3835" spans="1:9" x14ac:dyDescent="0.3">
      <c r="A3835" t="s">
        <v>5850</v>
      </c>
      <c r="B3835" t="s">
        <v>753</v>
      </c>
      <c r="C3835" t="s">
        <v>2011</v>
      </c>
      <c r="D3835">
        <v>3</v>
      </c>
      <c r="E3835" s="16">
        <v>121.98</v>
      </c>
      <c r="F3835" s="1">
        <v>44770</v>
      </c>
      <c r="G3835" t="s">
        <v>2027</v>
      </c>
      <c r="H3835">
        <v>2</v>
      </c>
      <c r="I3835" s="12">
        <f>Table16[[#This Row],[price]]*Table16[[#This Row],[quantity]]</f>
        <v>365.94</v>
      </c>
    </row>
    <row r="3836" spans="1:9" x14ac:dyDescent="0.3">
      <c r="A3836" t="s">
        <v>5852</v>
      </c>
      <c r="B3836" t="s">
        <v>753</v>
      </c>
      <c r="C3836" t="s">
        <v>2001</v>
      </c>
      <c r="D3836">
        <v>4</v>
      </c>
      <c r="E3836" s="16">
        <v>1200.32</v>
      </c>
      <c r="F3836" s="1">
        <v>44925</v>
      </c>
      <c r="G3836" t="s">
        <v>2018</v>
      </c>
      <c r="H3836">
        <v>4</v>
      </c>
      <c r="I3836" s="12">
        <f>Table16[[#This Row],[price]]*Table16[[#This Row],[quantity]]</f>
        <v>4801.28</v>
      </c>
    </row>
    <row r="3837" spans="1:9" x14ac:dyDescent="0.3">
      <c r="A3837" t="s">
        <v>5853</v>
      </c>
      <c r="B3837" t="s">
        <v>754</v>
      </c>
      <c r="C3837" t="s">
        <v>2001</v>
      </c>
      <c r="D3837">
        <v>1</v>
      </c>
      <c r="E3837" s="16">
        <v>300.08</v>
      </c>
      <c r="F3837" s="1">
        <v>44405</v>
      </c>
      <c r="G3837" t="s">
        <v>2004</v>
      </c>
      <c r="H3837">
        <v>3</v>
      </c>
      <c r="I3837" s="12">
        <f>Table16[[#This Row],[price]]*Table16[[#This Row],[quantity]]</f>
        <v>300.08</v>
      </c>
    </row>
    <row r="3838" spans="1:9" x14ac:dyDescent="0.3">
      <c r="A3838" t="s">
        <v>5854</v>
      </c>
      <c r="B3838" t="s">
        <v>754</v>
      </c>
      <c r="C3838" t="s">
        <v>2001</v>
      </c>
      <c r="D3838">
        <v>1</v>
      </c>
      <c r="E3838" s="16">
        <v>300.08</v>
      </c>
      <c r="F3838" s="1">
        <v>44474</v>
      </c>
      <c r="G3838" t="s">
        <v>2027</v>
      </c>
      <c r="H3838">
        <v>4</v>
      </c>
      <c r="I3838" s="12">
        <f>Table16[[#This Row],[price]]*Table16[[#This Row],[quantity]]</f>
        <v>300.08</v>
      </c>
    </row>
    <row r="3839" spans="1:9" x14ac:dyDescent="0.3">
      <c r="A3839" t="s">
        <v>5855</v>
      </c>
      <c r="B3839" t="s">
        <v>754</v>
      </c>
      <c r="C3839" t="s">
        <v>2001</v>
      </c>
      <c r="D3839">
        <v>3</v>
      </c>
      <c r="E3839" s="16">
        <v>900.24</v>
      </c>
      <c r="F3839" s="1">
        <v>44871</v>
      </c>
      <c r="G3839" t="s">
        <v>2004</v>
      </c>
      <c r="H3839">
        <v>3</v>
      </c>
      <c r="I3839" s="12">
        <f>Table16[[#This Row],[price]]*Table16[[#This Row],[quantity]]</f>
        <v>2700.7200000000003</v>
      </c>
    </row>
    <row r="3840" spans="1:9" x14ac:dyDescent="0.3">
      <c r="A3840" t="s">
        <v>5858</v>
      </c>
      <c r="B3840" t="s">
        <v>755</v>
      </c>
      <c r="C3840" t="s">
        <v>2011</v>
      </c>
      <c r="D3840">
        <v>5</v>
      </c>
      <c r="E3840" s="16">
        <v>203.3</v>
      </c>
      <c r="F3840" s="1">
        <v>44215</v>
      </c>
      <c r="G3840" t="s">
        <v>2004</v>
      </c>
      <c r="H3840">
        <v>3</v>
      </c>
      <c r="I3840" s="12">
        <f>Table16[[#This Row],[price]]*Table16[[#This Row],[quantity]]</f>
        <v>1016.5</v>
      </c>
    </row>
    <row r="3841" spans="1:9" x14ac:dyDescent="0.3">
      <c r="A3841" t="s">
        <v>5857</v>
      </c>
      <c r="B3841" t="s">
        <v>755</v>
      </c>
      <c r="C3841" t="s">
        <v>2008</v>
      </c>
      <c r="D3841">
        <v>2</v>
      </c>
      <c r="E3841" s="16">
        <v>10.46</v>
      </c>
      <c r="F3841" s="1">
        <v>44245</v>
      </c>
      <c r="G3841" t="s">
        <v>2020</v>
      </c>
      <c r="H3841">
        <v>3</v>
      </c>
      <c r="I3841" s="12">
        <f>Table16[[#This Row],[price]]*Table16[[#This Row],[quantity]]</f>
        <v>20.92</v>
      </c>
    </row>
    <row r="3842" spans="1:9" x14ac:dyDescent="0.3">
      <c r="A3842" t="s">
        <v>5856</v>
      </c>
      <c r="B3842" t="s">
        <v>755</v>
      </c>
      <c r="C3842" t="s">
        <v>2017</v>
      </c>
      <c r="D3842">
        <v>5</v>
      </c>
      <c r="E3842" s="16">
        <v>5250</v>
      </c>
      <c r="F3842" s="1">
        <v>44581</v>
      </c>
      <c r="G3842" t="s">
        <v>2064</v>
      </c>
      <c r="H3842">
        <v>3</v>
      </c>
      <c r="I3842" s="12">
        <f>Table16[[#This Row],[price]]*Table16[[#This Row],[quantity]]</f>
        <v>26250</v>
      </c>
    </row>
    <row r="3843" spans="1:9" x14ac:dyDescent="0.3">
      <c r="A3843" t="s">
        <v>5862</v>
      </c>
      <c r="B3843" t="s">
        <v>756</v>
      </c>
      <c r="C3843" t="s">
        <v>2001</v>
      </c>
      <c r="D3843">
        <v>5</v>
      </c>
      <c r="E3843" s="16">
        <v>1500.4</v>
      </c>
      <c r="F3843" s="1">
        <v>44310</v>
      </c>
      <c r="G3843" t="s">
        <v>2009</v>
      </c>
      <c r="H3843">
        <v>4</v>
      </c>
      <c r="I3843" s="12">
        <f>Table16[[#This Row],[price]]*Table16[[#This Row],[quantity]]</f>
        <v>7502</v>
      </c>
    </row>
    <row r="3844" spans="1:9" x14ac:dyDescent="0.3">
      <c r="A3844" t="s">
        <v>5859</v>
      </c>
      <c r="B3844" t="s">
        <v>756</v>
      </c>
      <c r="C3844" t="s">
        <v>2001</v>
      </c>
      <c r="D3844">
        <v>2</v>
      </c>
      <c r="E3844" s="16">
        <v>600.16</v>
      </c>
      <c r="F3844" s="1">
        <v>44329</v>
      </c>
      <c r="G3844" t="s">
        <v>2012</v>
      </c>
      <c r="H3844">
        <v>1</v>
      </c>
      <c r="I3844" s="12">
        <f>Table16[[#This Row],[price]]*Table16[[#This Row],[quantity]]</f>
        <v>1200.32</v>
      </c>
    </row>
    <row r="3845" spans="1:9" x14ac:dyDescent="0.3">
      <c r="A3845" t="s">
        <v>5860</v>
      </c>
      <c r="B3845" t="s">
        <v>756</v>
      </c>
      <c r="C3845" t="s">
        <v>2024</v>
      </c>
      <c r="D3845">
        <v>2</v>
      </c>
      <c r="E3845" s="16">
        <v>71.680000000000007</v>
      </c>
      <c r="F3845" s="1">
        <v>44352</v>
      </c>
      <c r="G3845" t="s">
        <v>2027</v>
      </c>
      <c r="H3845">
        <v>2</v>
      </c>
      <c r="I3845" s="12">
        <f>Table16[[#This Row],[price]]*Table16[[#This Row],[quantity]]</f>
        <v>143.36000000000001</v>
      </c>
    </row>
    <row r="3846" spans="1:9" x14ac:dyDescent="0.3">
      <c r="A3846" t="s">
        <v>5861</v>
      </c>
      <c r="B3846" t="s">
        <v>756</v>
      </c>
      <c r="C3846" t="s">
        <v>2008</v>
      </c>
      <c r="D3846">
        <v>4</v>
      </c>
      <c r="E3846" s="16">
        <v>20.92</v>
      </c>
      <c r="F3846" s="1">
        <v>44837</v>
      </c>
      <c r="G3846" t="s">
        <v>2058</v>
      </c>
      <c r="H3846">
        <v>3</v>
      </c>
      <c r="I3846" s="12">
        <f>Table16[[#This Row],[price]]*Table16[[#This Row],[quantity]]</f>
        <v>83.68</v>
      </c>
    </row>
    <row r="3847" spans="1:9" x14ac:dyDescent="0.3">
      <c r="A3847" t="s">
        <v>5863</v>
      </c>
      <c r="B3847" t="s">
        <v>756</v>
      </c>
      <c r="C3847" t="s">
        <v>2024</v>
      </c>
      <c r="D3847">
        <v>1</v>
      </c>
      <c r="E3847" s="16">
        <v>35.840000000000003</v>
      </c>
      <c r="F3847" s="1">
        <v>44960</v>
      </c>
      <c r="G3847" t="s">
        <v>2018</v>
      </c>
      <c r="H3847">
        <v>2</v>
      </c>
      <c r="I3847" s="12">
        <f>Table16[[#This Row],[price]]*Table16[[#This Row],[quantity]]</f>
        <v>35.840000000000003</v>
      </c>
    </row>
    <row r="3848" spans="1:9" x14ac:dyDescent="0.3">
      <c r="A3848" t="s">
        <v>5868</v>
      </c>
      <c r="B3848" t="s">
        <v>757</v>
      </c>
      <c r="C3848" t="s">
        <v>2001</v>
      </c>
      <c r="D3848">
        <v>5</v>
      </c>
      <c r="E3848" s="16">
        <v>1500.4</v>
      </c>
      <c r="F3848" s="1">
        <v>44363</v>
      </c>
      <c r="G3848" t="s">
        <v>2002</v>
      </c>
      <c r="H3848">
        <v>5</v>
      </c>
      <c r="I3848" s="12">
        <f>Table16[[#This Row],[price]]*Table16[[#This Row],[quantity]]</f>
        <v>7502</v>
      </c>
    </row>
    <row r="3849" spans="1:9" x14ac:dyDescent="0.3">
      <c r="A3849" t="s">
        <v>5866</v>
      </c>
      <c r="B3849" t="s">
        <v>757</v>
      </c>
      <c r="C3849" t="s">
        <v>2024</v>
      </c>
      <c r="D3849">
        <v>5</v>
      </c>
      <c r="E3849" s="16">
        <v>179.2</v>
      </c>
      <c r="F3849" s="1">
        <v>44699</v>
      </c>
      <c r="G3849" t="s">
        <v>2027</v>
      </c>
      <c r="H3849">
        <v>4</v>
      </c>
      <c r="I3849" s="12">
        <f>Table16[[#This Row],[price]]*Table16[[#This Row],[quantity]]</f>
        <v>896</v>
      </c>
    </row>
    <row r="3850" spans="1:9" x14ac:dyDescent="0.3">
      <c r="A3850" t="s">
        <v>5864</v>
      </c>
      <c r="B3850" t="s">
        <v>757</v>
      </c>
      <c r="C3850" t="s">
        <v>2015</v>
      </c>
      <c r="D3850">
        <v>3</v>
      </c>
      <c r="E3850" s="16">
        <v>1800.51</v>
      </c>
      <c r="F3850" s="1">
        <v>44828</v>
      </c>
      <c r="G3850" t="s">
        <v>2004</v>
      </c>
      <c r="H3850">
        <v>3</v>
      </c>
      <c r="I3850" s="12">
        <f>Table16[[#This Row],[price]]*Table16[[#This Row],[quantity]]</f>
        <v>5401.53</v>
      </c>
    </row>
    <row r="3851" spans="1:9" x14ac:dyDescent="0.3">
      <c r="A3851" t="s">
        <v>5865</v>
      </c>
      <c r="B3851" t="s">
        <v>757</v>
      </c>
      <c r="C3851" t="s">
        <v>2006</v>
      </c>
      <c r="D3851">
        <v>4</v>
      </c>
      <c r="E3851" s="16">
        <v>60.6</v>
      </c>
      <c r="F3851" s="1">
        <v>44828</v>
      </c>
      <c r="G3851" t="s">
        <v>2009</v>
      </c>
      <c r="H3851">
        <v>3</v>
      </c>
      <c r="I3851" s="12">
        <f>Table16[[#This Row],[price]]*Table16[[#This Row],[quantity]]</f>
        <v>242.4</v>
      </c>
    </row>
    <row r="3852" spans="1:9" x14ac:dyDescent="0.3">
      <c r="A3852" t="s">
        <v>5867</v>
      </c>
      <c r="B3852" t="s">
        <v>757</v>
      </c>
      <c r="C3852" t="s">
        <v>2015</v>
      </c>
      <c r="D3852">
        <v>3</v>
      </c>
      <c r="E3852" s="16">
        <v>1800.51</v>
      </c>
      <c r="F3852" s="1">
        <v>44860</v>
      </c>
      <c r="G3852" t="s">
        <v>2004</v>
      </c>
      <c r="H3852">
        <v>5</v>
      </c>
      <c r="I3852" s="12">
        <f>Table16[[#This Row],[price]]*Table16[[#This Row],[quantity]]</f>
        <v>5401.53</v>
      </c>
    </row>
    <row r="3853" spans="1:9" x14ac:dyDescent="0.3">
      <c r="A3853" t="s">
        <v>5872</v>
      </c>
      <c r="B3853" t="s">
        <v>758</v>
      </c>
      <c r="C3853" t="s">
        <v>2001</v>
      </c>
      <c r="D3853">
        <v>3</v>
      </c>
      <c r="E3853" s="16">
        <v>900.24</v>
      </c>
      <c r="F3853" s="1">
        <v>44199</v>
      </c>
      <c r="G3853" t="s">
        <v>2004</v>
      </c>
      <c r="H3853">
        <v>1</v>
      </c>
      <c r="I3853" s="12">
        <f>Table16[[#This Row],[price]]*Table16[[#This Row],[quantity]]</f>
        <v>2700.7200000000003</v>
      </c>
    </row>
    <row r="3854" spans="1:9" x14ac:dyDescent="0.3">
      <c r="A3854" t="s">
        <v>5870</v>
      </c>
      <c r="B3854" t="s">
        <v>758</v>
      </c>
      <c r="C3854" t="s">
        <v>2015</v>
      </c>
      <c r="D3854">
        <v>2</v>
      </c>
      <c r="E3854" s="16">
        <v>1200.3399999999999</v>
      </c>
      <c r="F3854" s="1">
        <v>44583</v>
      </c>
      <c r="G3854" t="s">
        <v>2002</v>
      </c>
      <c r="H3854">
        <v>3</v>
      </c>
      <c r="I3854" s="12">
        <f>Table16[[#This Row],[price]]*Table16[[#This Row],[quantity]]</f>
        <v>2400.6799999999998</v>
      </c>
    </row>
    <row r="3855" spans="1:9" x14ac:dyDescent="0.3">
      <c r="A3855" t="s">
        <v>5869</v>
      </c>
      <c r="B3855" t="s">
        <v>758</v>
      </c>
      <c r="C3855" t="s">
        <v>2001</v>
      </c>
      <c r="D3855">
        <v>5</v>
      </c>
      <c r="E3855" s="16">
        <v>1500.4</v>
      </c>
      <c r="F3855" s="1">
        <v>44739</v>
      </c>
      <c r="G3855" t="s">
        <v>2002</v>
      </c>
      <c r="H3855">
        <v>5</v>
      </c>
      <c r="I3855" s="12">
        <f>Table16[[#This Row],[price]]*Table16[[#This Row],[quantity]]</f>
        <v>7502</v>
      </c>
    </row>
    <row r="3856" spans="1:9" x14ac:dyDescent="0.3">
      <c r="A3856" t="s">
        <v>5871</v>
      </c>
      <c r="B3856" t="s">
        <v>758</v>
      </c>
      <c r="C3856" t="s">
        <v>2011</v>
      </c>
      <c r="D3856">
        <v>3</v>
      </c>
      <c r="E3856" s="16">
        <v>121.98</v>
      </c>
      <c r="F3856" s="1">
        <v>44740</v>
      </c>
      <c r="G3856" t="s">
        <v>2018</v>
      </c>
      <c r="H3856">
        <v>1</v>
      </c>
      <c r="I3856" s="12">
        <f>Table16[[#This Row],[price]]*Table16[[#This Row],[quantity]]</f>
        <v>365.94</v>
      </c>
    </row>
    <row r="3857" spans="1:9" x14ac:dyDescent="0.3">
      <c r="A3857" t="s">
        <v>5874</v>
      </c>
      <c r="B3857" t="s">
        <v>759</v>
      </c>
      <c r="C3857" t="s">
        <v>2008</v>
      </c>
      <c r="D3857">
        <v>3</v>
      </c>
      <c r="E3857" s="16">
        <v>15.69</v>
      </c>
      <c r="F3857" s="1">
        <v>44257</v>
      </c>
      <c r="G3857" t="s">
        <v>2064</v>
      </c>
      <c r="H3857">
        <v>2</v>
      </c>
      <c r="I3857" s="12">
        <f>Table16[[#This Row],[price]]*Table16[[#This Row],[quantity]]</f>
        <v>47.07</v>
      </c>
    </row>
    <row r="3858" spans="1:9" x14ac:dyDescent="0.3">
      <c r="A3858" t="s">
        <v>5876</v>
      </c>
      <c r="B3858" t="s">
        <v>759</v>
      </c>
      <c r="C3858" t="s">
        <v>2024</v>
      </c>
      <c r="D3858">
        <v>1</v>
      </c>
      <c r="E3858" s="16">
        <v>35.840000000000003</v>
      </c>
      <c r="F3858" s="1">
        <v>44280</v>
      </c>
      <c r="G3858" t="s">
        <v>2020</v>
      </c>
      <c r="H3858">
        <v>3</v>
      </c>
      <c r="I3858" s="12">
        <f>Table16[[#This Row],[price]]*Table16[[#This Row],[quantity]]</f>
        <v>35.840000000000003</v>
      </c>
    </row>
    <row r="3859" spans="1:9" x14ac:dyDescent="0.3">
      <c r="A3859" t="s">
        <v>5873</v>
      </c>
      <c r="B3859" t="s">
        <v>759</v>
      </c>
      <c r="C3859" t="s">
        <v>2001</v>
      </c>
      <c r="D3859">
        <v>2</v>
      </c>
      <c r="E3859" s="16">
        <v>600.16</v>
      </c>
      <c r="F3859" s="1">
        <v>44714</v>
      </c>
      <c r="G3859" t="s">
        <v>2012</v>
      </c>
      <c r="H3859">
        <v>4</v>
      </c>
      <c r="I3859" s="12">
        <f>Table16[[#This Row],[price]]*Table16[[#This Row],[quantity]]</f>
        <v>1200.32</v>
      </c>
    </row>
    <row r="3860" spans="1:9" x14ac:dyDescent="0.3">
      <c r="A3860" t="s">
        <v>5877</v>
      </c>
      <c r="B3860" t="s">
        <v>759</v>
      </c>
      <c r="C3860" t="s">
        <v>2008</v>
      </c>
      <c r="D3860">
        <v>1</v>
      </c>
      <c r="E3860" s="16">
        <v>5.23</v>
      </c>
      <c r="F3860" s="1">
        <v>44798</v>
      </c>
      <c r="G3860" t="s">
        <v>2027</v>
      </c>
      <c r="H3860">
        <v>2</v>
      </c>
      <c r="I3860" s="12">
        <f>Table16[[#This Row],[price]]*Table16[[#This Row],[quantity]]</f>
        <v>5.23</v>
      </c>
    </row>
    <row r="3861" spans="1:9" x14ac:dyDescent="0.3">
      <c r="A3861" t="s">
        <v>5875</v>
      </c>
      <c r="B3861" t="s">
        <v>759</v>
      </c>
      <c r="C3861" t="s">
        <v>2001</v>
      </c>
      <c r="D3861">
        <v>3</v>
      </c>
      <c r="E3861" s="16">
        <v>900.24</v>
      </c>
      <c r="F3861" s="1">
        <v>44939</v>
      </c>
      <c r="G3861" t="s">
        <v>2058</v>
      </c>
      <c r="H3861">
        <v>1</v>
      </c>
      <c r="I3861" s="12">
        <f>Table16[[#This Row],[price]]*Table16[[#This Row],[quantity]]</f>
        <v>2700.7200000000003</v>
      </c>
    </row>
    <row r="3862" spans="1:9" x14ac:dyDescent="0.3">
      <c r="A3862" t="s">
        <v>5881</v>
      </c>
      <c r="B3862" t="s">
        <v>760</v>
      </c>
      <c r="C3862" t="s">
        <v>2001</v>
      </c>
      <c r="D3862">
        <v>3</v>
      </c>
      <c r="E3862" s="16">
        <v>900.24</v>
      </c>
      <c r="F3862" s="1">
        <v>44553</v>
      </c>
      <c r="G3862" t="s">
        <v>2012</v>
      </c>
      <c r="H3862">
        <v>4</v>
      </c>
      <c r="I3862" s="12">
        <f>Table16[[#This Row],[price]]*Table16[[#This Row],[quantity]]</f>
        <v>2700.7200000000003</v>
      </c>
    </row>
    <row r="3863" spans="1:9" x14ac:dyDescent="0.3">
      <c r="A3863" t="s">
        <v>5882</v>
      </c>
      <c r="B3863" t="s">
        <v>760</v>
      </c>
      <c r="C3863" t="s">
        <v>2006</v>
      </c>
      <c r="D3863">
        <v>3</v>
      </c>
      <c r="E3863" s="16">
        <v>45.45</v>
      </c>
      <c r="F3863" s="1">
        <v>44869</v>
      </c>
      <c r="G3863" t="s">
        <v>2002</v>
      </c>
      <c r="H3863">
        <v>2</v>
      </c>
      <c r="I3863" s="12">
        <f>Table16[[#This Row],[price]]*Table16[[#This Row],[quantity]]</f>
        <v>136.35000000000002</v>
      </c>
    </row>
    <row r="3864" spans="1:9" x14ac:dyDescent="0.3">
      <c r="A3864" t="s">
        <v>5878</v>
      </c>
      <c r="B3864" t="s">
        <v>760</v>
      </c>
      <c r="C3864" t="s">
        <v>2001</v>
      </c>
      <c r="D3864">
        <v>1</v>
      </c>
      <c r="E3864" s="16">
        <v>300.08</v>
      </c>
      <c r="F3864" s="1">
        <v>44941</v>
      </c>
      <c r="G3864" t="s">
        <v>2027</v>
      </c>
      <c r="H3864">
        <v>4</v>
      </c>
      <c r="I3864" s="12">
        <f>Table16[[#This Row],[price]]*Table16[[#This Row],[quantity]]</f>
        <v>300.08</v>
      </c>
    </row>
    <row r="3865" spans="1:9" x14ac:dyDescent="0.3">
      <c r="A3865" t="s">
        <v>5880</v>
      </c>
      <c r="B3865" t="s">
        <v>760</v>
      </c>
      <c r="C3865" t="s">
        <v>2011</v>
      </c>
      <c r="D3865">
        <v>3</v>
      </c>
      <c r="E3865" s="16">
        <v>121.98</v>
      </c>
      <c r="F3865" s="1">
        <v>44966</v>
      </c>
      <c r="G3865" t="s">
        <v>2064</v>
      </c>
      <c r="H3865">
        <v>3</v>
      </c>
      <c r="I3865" s="12">
        <f>Table16[[#This Row],[price]]*Table16[[#This Row],[quantity]]</f>
        <v>365.94</v>
      </c>
    </row>
    <row r="3866" spans="1:9" x14ac:dyDescent="0.3">
      <c r="A3866" t="s">
        <v>5879</v>
      </c>
      <c r="B3866" t="s">
        <v>760</v>
      </c>
      <c r="C3866" t="s">
        <v>2001</v>
      </c>
      <c r="D3866">
        <v>1</v>
      </c>
      <c r="E3866" s="16">
        <v>300.08</v>
      </c>
      <c r="F3866" s="1">
        <v>44972</v>
      </c>
      <c r="G3866" t="s">
        <v>2058</v>
      </c>
      <c r="H3866">
        <v>4</v>
      </c>
      <c r="I3866" s="12">
        <f>Table16[[#This Row],[price]]*Table16[[#This Row],[quantity]]</f>
        <v>300.08</v>
      </c>
    </row>
    <row r="3867" spans="1:9" x14ac:dyDescent="0.3">
      <c r="A3867" t="s">
        <v>5886</v>
      </c>
      <c r="B3867" t="s">
        <v>761</v>
      </c>
      <c r="C3867" t="s">
        <v>2017</v>
      </c>
      <c r="D3867">
        <v>4</v>
      </c>
      <c r="E3867" s="16">
        <v>4200</v>
      </c>
      <c r="F3867" s="1">
        <v>44305</v>
      </c>
      <c r="G3867" t="s">
        <v>2020</v>
      </c>
      <c r="H3867">
        <v>1</v>
      </c>
      <c r="I3867" s="12">
        <f>Table16[[#This Row],[price]]*Table16[[#This Row],[quantity]]</f>
        <v>16800</v>
      </c>
    </row>
    <row r="3868" spans="1:9" x14ac:dyDescent="0.3">
      <c r="A3868" t="s">
        <v>5885</v>
      </c>
      <c r="B3868" t="s">
        <v>761</v>
      </c>
      <c r="C3868" t="s">
        <v>2001</v>
      </c>
      <c r="D3868">
        <v>4</v>
      </c>
      <c r="E3868" s="16">
        <v>1200.32</v>
      </c>
      <c r="F3868" s="1">
        <v>44389</v>
      </c>
      <c r="G3868" t="s">
        <v>2018</v>
      </c>
      <c r="H3868">
        <v>2</v>
      </c>
      <c r="I3868" s="12">
        <f>Table16[[#This Row],[price]]*Table16[[#This Row],[quantity]]</f>
        <v>4801.28</v>
      </c>
    </row>
    <row r="3869" spans="1:9" x14ac:dyDescent="0.3">
      <c r="A3869" t="s">
        <v>5887</v>
      </c>
      <c r="B3869" t="s">
        <v>761</v>
      </c>
      <c r="C3869" t="s">
        <v>2001</v>
      </c>
      <c r="D3869">
        <v>1</v>
      </c>
      <c r="E3869" s="16">
        <v>300.08</v>
      </c>
      <c r="F3869" s="1">
        <v>44552</v>
      </c>
      <c r="G3869" t="s">
        <v>2004</v>
      </c>
      <c r="H3869">
        <v>1</v>
      </c>
      <c r="I3869" s="12">
        <f>Table16[[#This Row],[price]]*Table16[[#This Row],[quantity]]</f>
        <v>300.08</v>
      </c>
    </row>
    <row r="3870" spans="1:9" x14ac:dyDescent="0.3">
      <c r="A3870" t="s">
        <v>5883</v>
      </c>
      <c r="B3870" t="s">
        <v>761</v>
      </c>
      <c r="C3870" t="s">
        <v>2001</v>
      </c>
      <c r="D3870">
        <v>5</v>
      </c>
      <c r="E3870" s="16">
        <v>1500.4</v>
      </c>
      <c r="F3870" s="1">
        <v>44622</v>
      </c>
      <c r="G3870" t="s">
        <v>2027</v>
      </c>
      <c r="H3870">
        <v>2</v>
      </c>
      <c r="I3870" s="12">
        <f>Table16[[#This Row],[price]]*Table16[[#This Row],[quantity]]</f>
        <v>7502</v>
      </c>
    </row>
    <row r="3871" spans="1:9" x14ac:dyDescent="0.3">
      <c r="A3871" t="s">
        <v>5884</v>
      </c>
      <c r="B3871" t="s">
        <v>761</v>
      </c>
      <c r="C3871" t="s">
        <v>2015</v>
      </c>
      <c r="D3871">
        <v>2</v>
      </c>
      <c r="E3871" s="16">
        <v>1200.3399999999999</v>
      </c>
      <c r="F3871" s="1">
        <v>44881</v>
      </c>
      <c r="G3871" t="s">
        <v>2027</v>
      </c>
      <c r="H3871">
        <v>1</v>
      </c>
      <c r="I3871" s="12">
        <f>Table16[[#This Row],[price]]*Table16[[#This Row],[quantity]]</f>
        <v>2400.6799999999998</v>
      </c>
    </row>
    <row r="3872" spans="1:9" x14ac:dyDescent="0.3">
      <c r="A3872" t="s">
        <v>5894</v>
      </c>
      <c r="B3872" t="s">
        <v>762</v>
      </c>
      <c r="C3872" t="s">
        <v>2001</v>
      </c>
      <c r="D3872">
        <v>3</v>
      </c>
      <c r="E3872" s="16">
        <v>900.24</v>
      </c>
      <c r="F3872" s="1">
        <v>44331</v>
      </c>
      <c r="G3872" t="s">
        <v>2064</v>
      </c>
      <c r="H3872">
        <v>3</v>
      </c>
      <c r="I3872" s="12">
        <f>Table16[[#This Row],[price]]*Table16[[#This Row],[quantity]]</f>
        <v>2700.7200000000003</v>
      </c>
    </row>
    <row r="3873" spans="1:9" x14ac:dyDescent="0.3">
      <c r="A3873" t="s">
        <v>5896</v>
      </c>
      <c r="B3873" t="s">
        <v>762</v>
      </c>
      <c r="C3873" t="s">
        <v>2057</v>
      </c>
      <c r="D3873">
        <v>5</v>
      </c>
      <c r="E3873" s="16">
        <v>58.65</v>
      </c>
      <c r="F3873" s="1">
        <v>44407</v>
      </c>
      <c r="G3873" t="s">
        <v>2058</v>
      </c>
      <c r="H3873">
        <v>5</v>
      </c>
      <c r="I3873" s="12">
        <f>Table16[[#This Row],[price]]*Table16[[#This Row],[quantity]]</f>
        <v>293.25</v>
      </c>
    </row>
    <row r="3874" spans="1:9" x14ac:dyDescent="0.3">
      <c r="A3874" t="s">
        <v>5893</v>
      </c>
      <c r="B3874" t="s">
        <v>762</v>
      </c>
      <c r="C3874" t="s">
        <v>2008</v>
      </c>
      <c r="D3874">
        <v>4</v>
      </c>
      <c r="E3874" s="16">
        <v>20.92</v>
      </c>
      <c r="F3874" s="1">
        <v>44455</v>
      </c>
      <c r="G3874" t="s">
        <v>2027</v>
      </c>
      <c r="H3874">
        <v>5</v>
      </c>
      <c r="I3874" s="12">
        <f>Table16[[#This Row],[price]]*Table16[[#This Row],[quantity]]</f>
        <v>83.68</v>
      </c>
    </row>
    <row r="3875" spans="1:9" x14ac:dyDescent="0.3">
      <c r="A3875" t="s">
        <v>5892</v>
      </c>
      <c r="B3875" t="s">
        <v>762</v>
      </c>
      <c r="C3875" t="s">
        <v>2001</v>
      </c>
      <c r="D3875">
        <v>3</v>
      </c>
      <c r="E3875" s="16">
        <v>900.24</v>
      </c>
      <c r="F3875" s="1">
        <v>44462</v>
      </c>
      <c r="G3875" t="s">
        <v>2064</v>
      </c>
      <c r="H3875">
        <v>2</v>
      </c>
      <c r="I3875" s="12">
        <f>Table16[[#This Row],[price]]*Table16[[#This Row],[quantity]]</f>
        <v>2700.7200000000003</v>
      </c>
    </row>
    <row r="3876" spans="1:9" x14ac:dyDescent="0.3">
      <c r="A3876" t="s">
        <v>5895</v>
      </c>
      <c r="B3876" t="s">
        <v>762</v>
      </c>
      <c r="C3876" t="s">
        <v>2024</v>
      </c>
      <c r="D3876">
        <v>2</v>
      </c>
      <c r="E3876" s="16">
        <v>71.680000000000007</v>
      </c>
      <c r="F3876" s="1">
        <v>44563</v>
      </c>
      <c r="G3876" t="s">
        <v>2027</v>
      </c>
      <c r="H3876">
        <v>3</v>
      </c>
      <c r="I3876" s="12">
        <f>Table16[[#This Row],[price]]*Table16[[#This Row],[quantity]]</f>
        <v>143.36000000000001</v>
      </c>
    </row>
    <row r="3877" spans="1:9" x14ac:dyDescent="0.3">
      <c r="A3877" t="s">
        <v>5888</v>
      </c>
      <c r="B3877" t="s">
        <v>762</v>
      </c>
      <c r="C3877" t="s">
        <v>2024</v>
      </c>
      <c r="D3877">
        <v>2</v>
      </c>
      <c r="E3877" s="16">
        <v>71.680000000000007</v>
      </c>
      <c r="F3877" s="1">
        <v>44668</v>
      </c>
      <c r="G3877" t="s">
        <v>2020</v>
      </c>
      <c r="H3877">
        <v>4</v>
      </c>
      <c r="I3877" s="12">
        <f>Table16[[#This Row],[price]]*Table16[[#This Row],[quantity]]</f>
        <v>143.36000000000001</v>
      </c>
    </row>
    <row r="3878" spans="1:9" x14ac:dyDescent="0.3">
      <c r="A3878" t="s">
        <v>5890</v>
      </c>
      <c r="B3878" t="s">
        <v>762</v>
      </c>
      <c r="C3878" t="s">
        <v>2017</v>
      </c>
      <c r="D3878">
        <v>5</v>
      </c>
      <c r="E3878" s="16">
        <v>5250</v>
      </c>
      <c r="F3878" s="1">
        <v>44769</v>
      </c>
      <c r="G3878" t="s">
        <v>2012</v>
      </c>
      <c r="H3878">
        <v>2</v>
      </c>
      <c r="I3878" s="12">
        <f>Table16[[#This Row],[price]]*Table16[[#This Row],[quantity]]</f>
        <v>26250</v>
      </c>
    </row>
    <row r="3879" spans="1:9" x14ac:dyDescent="0.3">
      <c r="A3879" t="s">
        <v>5891</v>
      </c>
      <c r="B3879" t="s">
        <v>762</v>
      </c>
      <c r="C3879" t="s">
        <v>2001</v>
      </c>
      <c r="D3879">
        <v>1</v>
      </c>
      <c r="E3879" s="16">
        <v>300.08</v>
      </c>
      <c r="F3879" s="1">
        <v>44813</v>
      </c>
      <c r="G3879" t="s">
        <v>2064</v>
      </c>
      <c r="H3879">
        <v>1</v>
      </c>
      <c r="I3879" s="12">
        <f>Table16[[#This Row],[price]]*Table16[[#This Row],[quantity]]</f>
        <v>300.08</v>
      </c>
    </row>
    <row r="3880" spans="1:9" x14ac:dyDescent="0.3">
      <c r="A3880" t="s">
        <v>5889</v>
      </c>
      <c r="B3880" t="s">
        <v>762</v>
      </c>
      <c r="C3880" t="s">
        <v>2015</v>
      </c>
      <c r="D3880">
        <v>5</v>
      </c>
      <c r="E3880" s="16">
        <v>3000.85</v>
      </c>
      <c r="F3880" s="1">
        <v>44981</v>
      </c>
      <c r="G3880" t="s">
        <v>2064</v>
      </c>
      <c r="H3880">
        <v>1</v>
      </c>
      <c r="I3880" s="12">
        <f>Table16[[#This Row],[price]]*Table16[[#This Row],[quantity]]</f>
        <v>15004.25</v>
      </c>
    </row>
    <row r="3881" spans="1:9" x14ac:dyDescent="0.3">
      <c r="A3881" t="s">
        <v>5902</v>
      </c>
      <c r="B3881" t="s">
        <v>763</v>
      </c>
      <c r="C3881" t="s">
        <v>2024</v>
      </c>
      <c r="D3881">
        <v>4</v>
      </c>
      <c r="E3881" s="16">
        <v>143.36000000000001</v>
      </c>
      <c r="F3881" s="1">
        <v>44452</v>
      </c>
      <c r="G3881" t="s">
        <v>2002</v>
      </c>
      <c r="H3881">
        <v>1</v>
      </c>
      <c r="I3881" s="12">
        <f>Table16[[#This Row],[price]]*Table16[[#This Row],[quantity]]</f>
        <v>573.44000000000005</v>
      </c>
    </row>
    <row r="3882" spans="1:9" x14ac:dyDescent="0.3">
      <c r="A3882" t="s">
        <v>5898</v>
      </c>
      <c r="B3882" t="s">
        <v>763</v>
      </c>
      <c r="C3882" t="s">
        <v>2008</v>
      </c>
      <c r="D3882">
        <v>1</v>
      </c>
      <c r="E3882" s="16">
        <v>5.23</v>
      </c>
      <c r="F3882" s="1">
        <v>44605</v>
      </c>
      <c r="G3882" t="s">
        <v>2009</v>
      </c>
      <c r="H3882">
        <v>1</v>
      </c>
      <c r="I3882" s="12">
        <f>Table16[[#This Row],[price]]*Table16[[#This Row],[quantity]]</f>
        <v>5.23</v>
      </c>
    </row>
    <row r="3883" spans="1:9" x14ac:dyDescent="0.3">
      <c r="A3883" t="s">
        <v>5901</v>
      </c>
      <c r="B3883" t="s">
        <v>763</v>
      </c>
      <c r="C3883" t="s">
        <v>2015</v>
      </c>
      <c r="D3883">
        <v>5</v>
      </c>
      <c r="E3883" s="16">
        <v>3000.85</v>
      </c>
      <c r="F3883" s="1">
        <v>44826</v>
      </c>
      <c r="G3883" t="s">
        <v>2012</v>
      </c>
      <c r="H3883">
        <v>4</v>
      </c>
      <c r="I3883" s="12">
        <f>Table16[[#This Row],[price]]*Table16[[#This Row],[quantity]]</f>
        <v>15004.25</v>
      </c>
    </row>
    <row r="3884" spans="1:9" x14ac:dyDescent="0.3">
      <c r="A3884" t="s">
        <v>5897</v>
      </c>
      <c r="B3884" t="s">
        <v>763</v>
      </c>
      <c r="C3884" t="s">
        <v>2011</v>
      </c>
      <c r="D3884">
        <v>2</v>
      </c>
      <c r="E3884" s="16">
        <v>81.319999999999993</v>
      </c>
      <c r="F3884" s="1">
        <v>44908</v>
      </c>
      <c r="G3884" t="s">
        <v>2002</v>
      </c>
      <c r="H3884">
        <v>5</v>
      </c>
      <c r="I3884" s="12">
        <f>Table16[[#This Row],[price]]*Table16[[#This Row],[quantity]]</f>
        <v>162.63999999999999</v>
      </c>
    </row>
    <row r="3885" spans="1:9" x14ac:dyDescent="0.3">
      <c r="A3885" t="s">
        <v>5900</v>
      </c>
      <c r="B3885" t="s">
        <v>763</v>
      </c>
      <c r="C3885" t="s">
        <v>2001</v>
      </c>
      <c r="D3885">
        <v>1</v>
      </c>
      <c r="E3885" s="16">
        <v>300.08</v>
      </c>
      <c r="F3885" s="1">
        <v>44932</v>
      </c>
      <c r="G3885" t="s">
        <v>2009</v>
      </c>
      <c r="H3885">
        <v>4</v>
      </c>
      <c r="I3885" s="12">
        <f>Table16[[#This Row],[price]]*Table16[[#This Row],[quantity]]</f>
        <v>300.08</v>
      </c>
    </row>
    <row r="3886" spans="1:9" x14ac:dyDescent="0.3">
      <c r="A3886" t="s">
        <v>5899</v>
      </c>
      <c r="B3886" t="s">
        <v>763</v>
      </c>
      <c r="C3886" t="s">
        <v>2001</v>
      </c>
      <c r="D3886">
        <v>1</v>
      </c>
      <c r="E3886" s="16">
        <v>300.08</v>
      </c>
      <c r="F3886" s="1">
        <v>44953</v>
      </c>
      <c r="G3886" t="s">
        <v>2012</v>
      </c>
      <c r="H3886">
        <v>5</v>
      </c>
      <c r="I3886" s="12">
        <f>Table16[[#This Row],[price]]*Table16[[#This Row],[quantity]]</f>
        <v>300.08</v>
      </c>
    </row>
    <row r="3887" spans="1:9" x14ac:dyDescent="0.3">
      <c r="A3887" t="s">
        <v>5904</v>
      </c>
      <c r="B3887" t="s">
        <v>764</v>
      </c>
      <c r="C3887" t="s">
        <v>2001</v>
      </c>
      <c r="D3887">
        <v>1</v>
      </c>
      <c r="E3887" s="16">
        <v>300.08</v>
      </c>
      <c r="F3887" s="1">
        <v>44223</v>
      </c>
      <c r="G3887" t="s">
        <v>2027</v>
      </c>
      <c r="H3887">
        <v>2</v>
      </c>
      <c r="I3887" s="12">
        <f>Table16[[#This Row],[price]]*Table16[[#This Row],[quantity]]</f>
        <v>300.08</v>
      </c>
    </row>
    <row r="3888" spans="1:9" x14ac:dyDescent="0.3">
      <c r="A3888" t="s">
        <v>5903</v>
      </c>
      <c r="B3888" t="s">
        <v>764</v>
      </c>
      <c r="C3888" t="s">
        <v>2011</v>
      </c>
      <c r="D3888">
        <v>1</v>
      </c>
      <c r="E3888" s="16">
        <v>40.659999999999997</v>
      </c>
      <c r="F3888" s="1">
        <v>44446</v>
      </c>
      <c r="G3888" t="s">
        <v>2002</v>
      </c>
      <c r="H3888">
        <v>5</v>
      </c>
      <c r="I3888" s="12">
        <f>Table16[[#This Row],[price]]*Table16[[#This Row],[quantity]]</f>
        <v>40.659999999999997</v>
      </c>
    </row>
    <row r="3889" spans="1:9" x14ac:dyDescent="0.3">
      <c r="A3889" t="s">
        <v>5906</v>
      </c>
      <c r="B3889" t="s">
        <v>764</v>
      </c>
      <c r="C3889" t="s">
        <v>2024</v>
      </c>
      <c r="D3889">
        <v>2</v>
      </c>
      <c r="E3889" s="16">
        <v>71.680000000000007</v>
      </c>
      <c r="F3889" s="1">
        <v>44605</v>
      </c>
      <c r="G3889" t="s">
        <v>2020</v>
      </c>
      <c r="H3889">
        <v>3</v>
      </c>
      <c r="I3889" s="12">
        <f>Table16[[#This Row],[price]]*Table16[[#This Row],[quantity]]</f>
        <v>143.36000000000001</v>
      </c>
    </row>
    <row r="3890" spans="1:9" x14ac:dyDescent="0.3">
      <c r="A3890" t="s">
        <v>5905</v>
      </c>
      <c r="B3890" t="s">
        <v>764</v>
      </c>
      <c r="C3890" t="s">
        <v>2008</v>
      </c>
      <c r="D3890">
        <v>3</v>
      </c>
      <c r="E3890" s="16">
        <v>15.69</v>
      </c>
      <c r="F3890" s="1">
        <v>44873</v>
      </c>
      <c r="G3890" t="s">
        <v>2002</v>
      </c>
      <c r="H3890">
        <v>3</v>
      </c>
      <c r="I3890" s="12">
        <f>Table16[[#This Row],[price]]*Table16[[#This Row],[quantity]]</f>
        <v>47.07</v>
      </c>
    </row>
    <row r="3891" spans="1:9" x14ac:dyDescent="0.3">
      <c r="A3891" t="s">
        <v>5908</v>
      </c>
      <c r="B3891" t="s">
        <v>765</v>
      </c>
      <c r="C3891" t="s">
        <v>2001</v>
      </c>
      <c r="D3891">
        <v>5</v>
      </c>
      <c r="E3891" s="16">
        <v>1500.4</v>
      </c>
      <c r="F3891" s="1">
        <v>44227</v>
      </c>
      <c r="G3891" t="s">
        <v>2027</v>
      </c>
      <c r="H3891">
        <v>1</v>
      </c>
      <c r="I3891" s="12">
        <f>Table16[[#This Row],[price]]*Table16[[#This Row],[quantity]]</f>
        <v>7502</v>
      </c>
    </row>
    <row r="3892" spans="1:9" x14ac:dyDescent="0.3">
      <c r="A3892" t="s">
        <v>5909</v>
      </c>
      <c r="B3892" t="s">
        <v>765</v>
      </c>
      <c r="C3892" t="s">
        <v>2001</v>
      </c>
      <c r="D3892">
        <v>4</v>
      </c>
      <c r="E3892" s="16">
        <v>1200.32</v>
      </c>
      <c r="F3892" s="1">
        <v>44612</v>
      </c>
      <c r="G3892" t="s">
        <v>2004</v>
      </c>
      <c r="H3892">
        <v>3</v>
      </c>
      <c r="I3892" s="12">
        <f>Table16[[#This Row],[price]]*Table16[[#This Row],[quantity]]</f>
        <v>4801.28</v>
      </c>
    </row>
    <row r="3893" spans="1:9" x14ac:dyDescent="0.3">
      <c r="A3893" t="s">
        <v>5912</v>
      </c>
      <c r="B3893" t="s">
        <v>765</v>
      </c>
      <c r="C3893" t="s">
        <v>2001</v>
      </c>
      <c r="D3893">
        <v>2</v>
      </c>
      <c r="E3893" s="16">
        <v>600.16</v>
      </c>
      <c r="F3893" s="1">
        <v>44621</v>
      </c>
      <c r="G3893" t="s">
        <v>2064</v>
      </c>
      <c r="H3893">
        <v>5</v>
      </c>
      <c r="I3893" s="12">
        <f>Table16[[#This Row],[price]]*Table16[[#This Row],[quantity]]</f>
        <v>1200.32</v>
      </c>
    </row>
    <row r="3894" spans="1:9" x14ac:dyDescent="0.3">
      <c r="A3894" t="s">
        <v>5913</v>
      </c>
      <c r="B3894" t="s">
        <v>765</v>
      </c>
      <c r="C3894" t="s">
        <v>2001</v>
      </c>
      <c r="D3894">
        <v>1</v>
      </c>
      <c r="E3894" s="16">
        <v>300.08</v>
      </c>
      <c r="F3894" s="1">
        <v>44689</v>
      </c>
      <c r="G3894" t="s">
        <v>2027</v>
      </c>
      <c r="H3894">
        <v>1</v>
      </c>
      <c r="I3894" s="12">
        <f>Table16[[#This Row],[price]]*Table16[[#This Row],[quantity]]</f>
        <v>300.08</v>
      </c>
    </row>
    <row r="3895" spans="1:9" x14ac:dyDescent="0.3">
      <c r="A3895" t="s">
        <v>5907</v>
      </c>
      <c r="B3895" t="s">
        <v>765</v>
      </c>
      <c r="C3895" t="s">
        <v>2024</v>
      </c>
      <c r="D3895">
        <v>3</v>
      </c>
      <c r="E3895" s="16">
        <v>107.52</v>
      </c>
      <c r="F3895" s="1">
        <v>44888</v>
      </c>
      <c r="G3895" t="s">
        <v>2002</v>
      </c>
      <c r="H3895">
        <v>5</v>
      </c>
      <c r="I3895" s="12">
        <f>Table16[[#This Row],[price]]*Table16[[#This Row],[quantity]]</f>
        <v>322.56</v>
      </c>
    </row>
    <row r="3896" spans="1:9" x14ac:dyDescent="0.3">
      <c r="A3896" t="s">
        <v>5911</v>
      </c>
      <c r="B3896" t="s">
        <v>765</v>
      </c>
      <c r="C3896" t="s">
        <v>2015</v>
      </c>
      <c r="D3896">
        <v>2</v>
      </c>
      <c r="E3896" s="16">
        <v>1200.3399999999999</v>
      </c>
      <c r="F3896" s="1">
        <v>44905</v>
      </c>
      <c r="G3896" t="s">
        <v>2064</v>
      </c>
      <c r="H3896">
        <v>5</v>
      </c>
      <c r="I3896" s="12">
        <f>Table16[[#This Row],[price]]*Table16[[#This Row],[quantity]]</f>
        <v>2400.6799999999998</v>
      </c>
    </row>
    <row r="3897" spans="1:9" x14ac:dyDescent="0.3">
      <c r="A3897" t="s">
        <v>5910</v>
      </c>
      <c r="B3897" t="s">
        <v>765</v>
      </c>
      <c r="C3897" t="s">
        <v>2008</v>
      </c>
      <c r="D3897">
        <v>2</v>
      </c>
      <c r="E3897" s="16">
        <v>10.46</v>
      </c>
      <c r="F3897" s="1">
        <v>44926</v>
      </c>
      <c r="G3897" t="s">
        <v>2027</v>
      </c>
      <c r="H3897">
        <v>1</v>
      </c>
      <c r="I3897" s="12">
        <f>Table16[[#This Row],[price]]*Table16[[#This Row],[quantity]]</f>
        <v>20.92</v>
      </c>
    </row>
    <row r="3898" spans="1:9" x14ac:dyDescent="0.3">
      <c r="A3898" t="s">
        <v>5917</v>
      </c>
      <c r="B3898" t="s">
        <v>766</v>
      </c>
      <c r="C3898" t="s">
        <v>2024</v>
      </c>
      <c r="D3898">
        <v>5</v>
      </c>
      <c r="E3898" s="16">
        <v>179.2</v>
      </c>
      <c r="F3898" s="1">
        <v>44381</v>
      </c>
      <c r="G3898" t="s">
        <v>2004</v>
      </c>
      <c r="H3898">
        <v>2</v>
      </c>
      <c r="I3898" s="12">
        <f>Table16[[#This Row],[price]]*Table16[[#This Row],[quantity]]</f>
        <v>896</v>
      </c>
    </row>
    <row r="3899" spans="1:9" x14ac:dyDescent="0.3">
      <c r="A3899" t="s">
        <v>5914</v>
      </c>
      <c r="B3899" t="s">
        <v>766</v>
      </c>
      <c r="C3899" t="s">
        <v>2008</v>
      </c>
      <c r="D3899">
        <v>5</v>
      </c>
      <c r="E3899" s="16">
        <v>26.15</v>
      </c>
      <c r="F3899" s="1">
        <v>44418</v>
      </c>
      <c r="G3899" t="s">
        <v>2027</v>
      </c>
      <c r="H3899">
        <v>1</v>
      </c>
      <c r="I3899" s="12">
        <f>Table16[[#This Row],[price]]*Table16[[#This Row],[quantity]]</f>
        <v>130.75</v>
      </c>
    </row>
    <row r="3900" spans="1:9" x14ac:dyDescent="0.3">
      <c r="A3900" t="s">
        <v>5916</v>
      </c>
      <c r="B3900" t="s">
        <v>766</v>
      </c>
      <c r="C3900" t="s">
        <v>2024</v>
      </c>
      <c r="D3900">
        <v>3</v>
      </c>
      <c r="E3900" s="16">
        <v>107.52</v>
      </c>
      <c r="F3900" s="1">
        <v>44479</v>
      </c>
      <c r="G3900" t="s">
        <v>2027</v>
      </c>
      <c r="H3900">
        <v>3</v>
      </c>
      <c r="I3900" s="12">
        <f>Table16[[#This Row],[price]]*Table16[[#This Row],[quantity]]</f>
        <v>322.56</v>
      </c>
    </row>
    <row r="3901" spans="1:9" x14ac:dyDescent="0.3">
      <c r="A3901" t="s">
        <v>5915</v>
      </c>
      <c r="B3901" t="s">
        <v>766</v>
      </c>
      <c r="C3901" t="s">
        <v>2015</v>
      </c>
      <c r="D3901">
        <v>4</v>
      </c>
      <c r="E3901" s="16">
        <v>2400.6799999999998</v>
      </c>
      <c r="F3901" s="1">
        <v>44981</v>
      </c>
      <c r="G3901" t="s">
        <v>2027</v>
      </c>
      <c r="H3901">
        <v>1</v>
      </c>
      <c r="I3901" s="12">
        <f>Table16[[#This Row],[price]]*Table16[[#This Row],[quantity]]</f>
        <v>9602.7199999999993</v>
      </c>
    </row>
    <row r="3902" spans="1:9" x14ac:dyDescent="0.3">
      <c r="A3902" t="s">
        <v>5924</v>
      </c>
      <c r="B3902" t="s">
        <v>767</v>
      </c>
      <c r="C3902" t="s">
        <v>2001</v>
      </c>
      <c r="D3902">
        <v>3</v>
      </c>
      <c r="E3902" s="16">
        <v>900.24</v>
      </c>
      <c r="F3902" s="1">
        <v>44349</v>
      </c>
      <c r="G3902" t="s">
        <v>2020</v>
      </c>
      <c r="H3902">
        <v>2</v>
      </c>
      <c r="I3902" s="12">
        <f>Table16[[#This Row],[price]]*Table16[[#This Row],[quantity]]</f>
        <v>2700.7200000000003</v>
      </c>
    </row>
    <row r="3903" spans="1:9" x14ac:dyDescent="0.3">
      <c r="A3903" t="s">
        <v>5919</v>
      </c>
      <c r="B3903" t="s">
        <v>767</v>
      </c>
      <c r="C3903" t="s">
        <v>2024</v>
      </c>
      <c r="D3903">
        <v>1</v>
      </c>
      <c r="E3903" s="16">
        <v>35.840000000000003</v>
      </c>
      <c r="F3903" s="1">
        <v>44467</v>
      </c>
      <c r="G3903" t="s">
        <v>2058</v>
      </c>
      <c r="H3903">
        <v>2</v>
      </c>
      <c r="I3903" s="12">
        <f>Table16[[#This Row],[price]]*Table16[[#This Row],[quantity]]</f>
        <v>35.840000000000003</v>
      </c>
    </row>
    <row r="3904" spans="1:9" x14ac:dyDescent="0.3">
      <c r="A3904" t="s">
        <v>5921</v>
      </c>
      <c r="B3904" t="s">
        <v>767</v>
      </c>
      <c r="C3904" t="s">
        <v>2017</v>
      </c>
      <c r="D3904">
        <v>1</v>
      </c>
      <c r="E3904" s="16">
        <v>1050</v>
      </c>
      <c r="F3904" s="1">
        <v>44567</v>
      </c>
      <c r="G3904" t="s">
        <v>2064</v>
      </c>
      <c r="H3904">
        <v>2</v>
      </c>
      <c r="I3904" s="12">
        <f>Table16[[#This Row],[price]]*Table16[[#This Row],[quantity]]</f>
        <v>1050</v>
      </c>
    </row>
    <row r="3905" spans="1:9" x14ac:dyDescent="0.3">
      <c r="A3905" t="s">
        <v>5920</v>
      </c>
      <c r="B3905" t="s">
        <v>767</v>
      </c>
      <c r="C3905" t="s">
        <v>2015</v>
      </c>
      <c r="D3905">
        <v>2</v>
      </c>
      <c r="E3905" s="16">
        <v>1200.3399999999999</v>
      </c>
      <c r="F3905" s="1">
        <v>44714</v>
      </c>
      <c r="G3905" t="s">
        <v>2002</v>
      </c>
      <c r="H3905">
        <v>4</v>
      </c>
      <c r="I3905" s="12">
        <f>Table16[[#This Row],[price]]*Table16[[#This Row],[quantity]]</f>
        <v>2400.6799999999998</v>
      </c>
    </row>
    <row r="3906" spans="1:9" x14ac:dyDescent="0.3">
      <c r="A3906" t="s">
        <v>5923</v>
      </c>
      <c r="B3906" t="s">
        <v>767</v>
      </c>
      <c r="C3906" t="s">
        <v>2011</v>
      </c>
      <c r="D3906">
        <v>3</v>
      </c>
      <c r="E3906" s="16">
        <v>121.98</v>
      </c>
      <c r="F3906" s="1">
        <v>44724</v>
      </c>
      <c r="G3906" t="s">
        <v>2004</v>
      </c>
      <c r="H3906">
        <v>2</v>
      </c>
      <c r="I3906" s="12">
        <f>Table16[[#This Row],[price]]*Table16[[#This Row],[quantity]]</f>
        <v>365.94</v>
      </c>
    </row>
    <row r="3907" spans="1:9" x14ac:dyDescent="0.3">
      <c r="A3907" t="s">
        <v>5922</v>
      </c>
      <c r="B3907" t="s">
        <v>767</v>
      </c>
      <c r="C3907" t="s">
        <v>2015</v>
      </c>
      <c r="D3907">
        <v>1</v>
      </c>
      <c r="E3907" s="16">
        <v>600.16999999999996</v>
      </c>
      <c r="F3907" s="1">
        <v>44951</v>
      </c>
      <c r="G3907" t="s">
        <v>2027</v>
      </c>
      <c r="H3907">
        <v>1</v>
      </c>
      <c r="I3907" s="12">
        <f>Table16[[#This Row],[price]]*Table16[[#This Row],[quantity]]</f>
        <v>600.16999999999996</v>
      </c>
    </row>
    <row r="3908" spans="1:9" x14ac:dyDescent="0.3">
      <c r="A3908" t="s">
        <v>5918</v>
      </c>
      <c r="B3908" t="s">
        <v>767</v>
      </c>
      <c r="C3908" t="s">
        <v>2001</v>
      </c>
      <c r="D3908">
        <v>2</v>
      </c>
      <c r="E3908" s="16">
        <v>600.16</v>
      </c>
      <c r="F3908" s="1">
        <v>44979</v>
      </c>
      <c r="G3908" t="s">
        <v>2004</v>
      </c>
      <c r="H3908">
        <v>4</v>
      </c>
      <c r="I3908" s="12">
        <f>Table16[[#This Row],[price]]*Table16[[#This Row],[quantity]]</f>
        <v>1200.32</v>
      </c>
    </row>
    <row r="3909" spans="1:9" x14ac:dyDescent="0.3">
      <c r="A3909" t="s">
        <v>5925</v>
      </c>
      <c r="B3909" t="s">
        <v>768</v>
      </c>
      <c r="C3909" t="s">
        <v>2001</v>
      </c>
      <c r="D3909">
        <v>1</v>
      </c>
      <c r="E3909" s="16">
        <v>300.08</v>
      </c>
      <c r="F3909" s="1">
        <v>44393</v>
      </c>
      <c r="G3909" t="s">
        <v>2018</v>
      </c>
      <c r="H3909">
        <v>2</v>
      </c>
      <c r="I3909" s="12">
        <f>Table16[[#This Row],[price]]*Table16[[#This Row],[quantity]]</f>
        <v>300.08</v>
      </c>
    </row>
    <row r="3910" spans="1:9" x14ac:dyDescent="0.3">
      <c r="A3910" t="s">
        <v>5926</v>
      </c>
      <c r="B3910" t="s">
        <v>768</v>
      </c>
      <c r="C3910" t="s">
        <v>2017</v>
      </c>
      <c r="D3910">
        <v>2</v>
      </c>
      <c r="E3910" s="16">
        <v>2100</v>
      </c>
      <c r="F3910" s="1">
        <v>44649</v>
      </c>
      <c r="G3910" t="s">
        <v>2041</v>
      </c>
      <c r="H3910">
        <v>1</v>
      </c>
      <c r="I3910" s="12">
        <f>Table16[[#This Row],[price]]*Table16[[#This Row],[quantity]]</f>
        <v>4200</v>
      </c>
    </row>
    <row r="3911" spans="1:9" x14ac:dyDescent="0.3">
      <c r="A3911" t="s">
        <v>5927</v>
      </c>
      <c r="B3911" t="s">
        <v>769</v>
      </c>
      <c r="C3911" t="s">
        <v>2001</v>
      </c>
      <c r="D3911">
        <v>1</v>
      </c>
      <c r="E3911" s="16">
        <v>300.08</v>
      </c>
      <c r="F3911" s="1">
        <v>44417</v>
      </c>
      <c r="G3911" t="s">
        <v>2004</v>
      </c>
      <c r="H3911">
        <v>1</v>
      </c>
      <c r="I3911" s="12">
        <f>Table16[[#This Row],[price]]*Table16[[#This Row],[quantity]]</f>
        <v>300.08</v>
      </c>
    </row>
    <row r="3912" spans="1:9" x14ac:dyDescent="0.3">
      <c r="A3912" t="s">
        <v>5928</v>
      </c>
      <c r="B3912" t="s">
        <v>769</v>
      </c>
      <c r="C3912" t="s">
        <v>2006</v>
      </c>
      <c r="D3912">
        <v>2</v>
      </c>
      <c r="E3912" s="16">
        <v>30.3</v>
      </c>
      <c r="F3912" s="1">
        <v>44569</v>
      </c>
      <c r="G3912" t="s">
        <v>2004</v>
      </c>
      <c r="H3912">
        <v>4</v>
      </c>
      <c r="I3912" s="12">
        <f>Table16[[#This Row],[price]]*Table16[[#This Row],[quantity]]</f>
        <v>60.6</v>
      </c>
    </row>
    <row r="3913" spans="1:9" x14ac:dyDescent="0.3">
      <c r="A3913" t="s">
        <v>5929</v>
      </c>
      <c r="B3913" t="s">
        <v>769</v>
      </c>
      <c r="C3913" t="s">
        <v>2011</v>
      </c>
      <c r="D3913">
        <v>5</v>
      </c>
      <c r="E3913" s="16">
        <v>203.3</v>
      </c>
      <c r="F3913" s="1">
        <v>44892</v>
      </c>
      <c r="G3913" t="s">
        <v>2041</v>
      </c>
      <c r="H3913">
        <v>5</v>
      </c>
      <c r="I3913" s="12">
        <f>Table16[[#This Row],[price]]*Table16[[#This Row],[quantity]]</f>
        <v>1016.5</v>
      </c>
    </row>
    <row r="3914" spans="1:9" x14ac:dyDescent="0.3">
      <c r="A3914" t="s">
        <v>5930</v>
      </c>
      <c r="B3914" t="s">
        <v>770</v>
      </c>
      <c r="C3914" t="s">
        <v>2008</v>
      </c>
      <c r="D3914">
        <v>4</v>
      </c>
      <c r="E3914" s="16">
        <v>20.92</v>
      </c>
      <c r="F3914" s="1">
        <v>44249</v>
      </c>
      <c r="G3914" t="s">
        <v>2002</v>
      </c>
      <c r="H3914">
        <v>1</v>
      </c>
      <c r="I3914" s="12">
        <f>Table16[[#This Row],[price]]*Table16[[#This Row],[quantity]]</f>
        <v>83.68</v>
      </c>
    </row>
    <row r="3915" spans="1:9" x14ac:dyDescent="0.3">
      <c r="A3915" t="s">
        <v>5934</v>
      </c>
      <c r="B3915" t="s">
        <v>770</v>
      </c>
      <c r="C3915" t="s">
        <v>2001</v>
      </c>
      <c r="D3915">
        <v>3</v>
      </c>
      <c r="E3915" s="16">
        <v>900.24</v>
      </c>
      <c r="F3915" s="1">
        <v>44312</v>
      </c>
      <c r="G3915" t="s">
        <v>2018</v>
      </c>
      <c r="H3915">
        <v>4</v>
      </c>
      <c r="I3915" s="12">
        <f>Table16[[#This Row],[price]]*Table16[[#This Row],[quantity]]</f>
        <v>2700.7200000000003</v>
      </c>
    </row>
    <row r="3916" spans="1:9" x14ac:dyDescent="0.3">
      <c r="A3916" t="s">
        <v>5933</v>
      </c>
      <c r="B3916" t="s">
        <v>770</v>
      </c>
      <c r="C3916" t="s">
        <v>2057</v>
      </c>
      <c r="D3916">
        <v>4</v>
      </c>
      <c r="E3916" s="16">
        <v>46.92</v>
      </c>
      <c r="F3916" s="1">
        <v>44341</v>
      </c>
      <c r="G3916" t="s">
        <v>2002</v>
      </c>
      <c r="H3916">
        <v>4</v>
      </c>
      <c r="I3916" s="12">
        <f>Table16[[#This Row],[price]]*Table16[[#This Row],[quantity]]</f>
        <v>187.68</v>
      </c>
    </row>
    <row r="3917" spans="1:9" x14ac:dyDescent="0.3">
      <c r="A3917" t="s">
        <v>5935</v>
      </c>
      <c r="B3917" t="s">
        <v>770</v>
      </c>
      <c r="C3917" t="s">
        <v>2011</v>
      </c>
      <c r="D3917">
        <v>2</v>
      </c>
      <c r="E3917" s="16">
        <v>81.319999999999993</v>
      </c>
      <c r="F3917" s="1">
        <v>44366</v>
      </c>
      <c r="G3917" t="s">
        <v>2004</v>
      </c>
      <c r="H3917">
        <v>3</v>
      </c>
      <c r="I3917" s="12">
        <f>Table16[[#This Row],[price]]*Table16[[#This Row],[quantity]]</f>
        <v>162.63999999999999</v>
      </c>
    </row>
    <row r="3918" spans="1:9" x14ac:dyDescent="0.3">
      <c r="A3918" t="s">
        <v>5931</v>
      </c>
      <c r="B3918" t="s">
        <v>770</v>
      </c>
      <c r="C3918" t="s">
        <v>2001</v>
      </c>
      <c r="D3918">
        <v>3</v>
      </c>
      <c r="E3918" s="16">
        <v>900.24</v>
      </c>
      <c r="F3918" s="1">
        <v>44507</v>
      </c>
      <c r="G3918" t="s">
        <v>2002</v>
      </c>
      <c r="H3918">
        <v>5</v>
      </c>
      <c r="I3918" s="12">
        <f>Table16[[#This Row],[price]]*Table16[[#This Row],[quantity]]</f>
        <v>2700.7200000000003</v>
      </c>
    </row>
    <row r="3919" spans="1:9" x14ac:dyDescent="0.3">
      <c r="A3919" t="s">
        <v>5937</v>
      </c>
      <c r="B3919" t="s">
        <v>770</v>
      </c>
      <c r="C3919" t="s">
        <v>2057</v>
      </c>
      <c r="D3919">
        <v>3</v>
      </c>
      <c r="E3919" s="16">
        <v>35.19</v>
      </c>
      <c r="F3919" s="1">
        <v>44614</v>
      </c>
      <c r="G3919" t="s">
        <v>2027</v>
      </c>
      <c r="H3919">
        <v>3</v>
      </c>
      <c r="I3919" s="12">
        <f>Table16[[#This Row],[price]]*Table16[[#This Row],[quantity]]</f>
        <v>105.57</v>
      </c>
    </row>
    <row r="3920" spans="1:9" x14ac:dyDescent="0.3">
      <c r="A3920" t="s">
        <v>5936</v>
      </c>
      <c r="B3920" t="s">
        <v>770</v>
      </c>
      <c r="C3920" t="s">
        <v>2015</v>
      </c>
      <c r="D3920">
        <v>1</v>
      </c>
      <c r="E3920" s="16">
        <v>600.16999999999996</v>
      </c>
      <c r="F3920" s="1">
        <v>44956</v>
      </c>
      <c r="G3920" t="s">
        <v>2018</v>
      </c>
      <c r="H3920">
        <v>4</v>
      </c>
      <c r="I3920" s="12">
        <f>Table16[[#This Row],[price]]*Table16[[#This Row],[quantity]]</f>
        <v>600.16999999999996</v>
      </c>
    </row>
    <row r="3921" spans="1:9" x14ac:dyDescent="0.3">
      <c r="A3921" t="s">
        <v>5932</v>
      </c>
      <c r="B3921" t="s">
        <v>770</v>
      </c>
      <c r="C3921" t="s">
        <v>2008</v>
      </c>
      <c r="D3921">
        <v>2</v>
      </c>
      <c r="E3921" s="16">
        <v>10.46</v>
      </c>
      <c r="F3921" s="1">
        <v>44979</v>
      </c>
      <c r="G3921" t="s">
        <v>2027</v>
      </c>
      <c r="H3921">
        <v>1</v>
      </c>
      <c r="I3921" s="12">
        <f>Table16[[#This Row],[price]]*Table16[[#This Row],[quantity]]</f>
        <v>20.92</v>
      </c>
    </row>
    <row r="3922" spans="1:9" x14ac:dyDescent="0.3">
      <c r="A3922" t="s">
        <v>5939</v>
      </c>
      <c r="B3922" t="s">
        <v>771</v>
      </c>
      <c r="C3922" t="s">
        <v>2011</v>
      </c>
      <c r="D3922">
        <v>2</v>
      </c>
      <c r="E3922" s="16">
        <v>81.319999999999993</v>
      </c>
      <c r="F3922" s="1">
        <v>44367</v>
      </c>
      <c r="G3922" t="s">
        <v>2027</v>
      </c>
      <c r="H3922">
        <v>1</v>
      </c>
      <c r="I3922" s="12">
        <f>Table16[[#This Row],[price]]*Table16[[#This Row],[quantity]]</f>
        <v>162.63999999999999</v>
      </c>
    </row>
    <row r="3923" spans="1:9" x14ac:dyDescent="0.3">
      <c r="A3923" t="s">
        <v>5938</v>
      </c>
      <c r="B3923" t="s">
        <v>771</v>
      </c>
      <c r="C3923" t="s">
        <v>2008</v>
      </c>
      <c r="D3923">
        <v>5</v>
      </c>
      <c r="E3923" s="16">
        <v>26.15</v>
      </c>
      <c r="F3923" s="1">
        <v>44454</v>
      </c>
      <c r="G3923" t="s">
        <v>2002</v>
      </c>
      <c r="H3923">
        <v>3</v>
      </c>
      <c r="I3923" s="12">
        <f>Table16[[#This Row],[price]]*Table16[[#This Row],[quantity]]</f>
        <v>130.75</v>
      </c>
    </row>
    <row r="3924" spans="1:9" x14ac:dyDescent="0.3">
      <c r="A3924" t="s">
        <v>5941</v>
      </c>
      <c r="B3924" t="s">
        <v>771</v>
      </c>
      <c r="C3924" t="s">
        <v>2001</v>
      </c>
      <c r="D3924">
        <v>4</v>
      </c>
      <c r="E3924" s="16">
        <v>1200.32</v>
      </c>
      <c r="F3924" s="1">
        <v>44585</v>
      </c>
      <c r="G3924" t="s">
        <v>2064</v>
      </c>
      <c r="H3924">
        <v>4</v>
      </c>
      <c r="I3924" s="12">
        <f>Table16[[#This Row],[price]]*Table16[[#This Row],[quantity]]</f>
        <v>4801.28</v>
      </c>
    </row>
    <row r="3925" spans="1:9" x14ac:dyDescent="0.3">
      <c r="A3925" t="s">
        <v>5944</v>
      </c>
      <c r="B3925" t="s">
        <v>771</v>
      </c>
      <c r="C3925" t="s">
        <v>2008</v>
      </c>
      <c r="D3925">
        <v>2</v>
      </c>
      <c r="E3925" s="16">
        <v>10.46</v>
      </c>
      <c r="F3925" s="1">
        <v>44592</v>
      </c>
      <c r="G3925" t="s">
        <v>2020</v>
      </c>
      <c r="H3925">
        <v>1</v>
      </c>
      <c r="I3925" s="12">
        <f>Table16[[#This Row],[price]]*Table16[[#This Row],[quantity]]</f>
        <v>20.92</v>
      </c>
    </row>
    <row r="3926" spans="1:9" x14ac:dyDescent="0.3">
      <c r="A3926" t="s">
        <v>5945</v>
      </c>
      <c r="B3926" t="s">
        <v>771</v>
      </c>
      <c r="C3926" t="s">
        <v>2024</v>
      </c>
      <c r="D3926">
        <v>3</v>
      </c>
      <c r="E3926" s="16">
        <v>107.52</v>
      </c>
      <c r="F3926" s="1">
        <v>44653</v>
      </c>
      <c r="G3926" t="s">
        <v>2020</v>
      </c>
      <c r="H3926">
        <v>4</v>
      </c>
      <c r="I3926" s="12">
        <f>Table16[[#This Row],[price]]*Table16[[#This Row],[quantity]]</f>
        <v>322.56</v>
      </c>
    </row>
    <row r="3927" spans="1:9" x14ac:dyDescent="0.3">
      <c r="A3927" t="s">
        <v>5942</v>
      </c>
      <c r="B3927" t="s">
        <v>771</v>
      </c>
      <c r="C3927" t="s">
        <v>2015</v>
      </c>
      <c r="D3927">
        <v>3</v>
      </c>
      <c r="E3927" s="16">
        <v>1800.51</v>
      </c>
      <c r="F3927" s="1">
        <v>44660</v>
      </c>
      <c r="G3927" t="s">
        <v>2064</v>
      </c>
      <c r="H3927">
        <v>4</v>
      </c>
      <c r="I3927" s="12">
        <f>Table16[[#This Row],[price]]*Table16[[#This Row],[quantity]]</f>
        <v>5401.53</v>
      </c>
    </row>
    <row r="3928" spans="1:9" x14ac:dyDescent="0.3">
      <c r="A3928" t="s">
        <v>5943</v>
      </c>
      <c r="B3928" t="s">
        <v>771</v>
      </c>
      <c r="C3928" t="s">
        <v>2057</v>
      </c>
      <c r="D3928">
        <v>1</v>
      </c>
      <c r="E3928" s="16">
        <v>11.73</v>
      </c>
      <c r="F3928" s="1">
        <v>44704</v>
      </c>
      <c r="G3928" t="s">
        <v>2018</v>
      </c>
      <c r="H3928">
        <v>4</v>
      </c>
      <c r="I3928" s="12">
        <f>Table16[[#This Row],[price]]*Table16[[#This Row],[quantity]]</f>
        <v>11.73</v>
      </c>
    </row>
    <row r="3929" spans="1:9" x14ac:dyDescent="0.3">
      <c r="A3929" t="s">
        <v>5940</v>
      </c>
      <c r="B3929" t="s">
        <v>771</v>
      </c>
      <c r="C3929" t="s">
        <v>2001</v>
      </c>
      <c r="D3929">
        <v>4</v>
      </c>
      <c r="E3929" s="16">
        <v>1200.32</v>
      </c>
      <c r="F3929" s="1">
        <v>44718</v>
      </c>
      <c r="G3929" t="s">
        <v>2027</v>
      </c>
      <c r="H3929">
        <v>2</v>
      </c>
      <c r="I3929" s="12">
        <f>Table16[[#This Row],[price]]*Table16[[#This Row],[quantity]]</f>
        <v>4801.28</v>
      </c>
    </row>
    <row r="3930" spans="1:9" x14ac:dyDescent="0.3">
      <c r="A3930" t="s">
        <v>5949</v>
      </c>
      <c r="B3930" t="s">
        <v>772</v>
      </c>
      <c r="C3930" t="s">
        <v>2015</v>
      </c>
      <c r="D3930">
        <v>2</v>
      </c>
      <c r="E3930" s="16">
        <v>1200.3399999999999</v>
      </c>
      <c r="F3930" s="1">
        <v>44348</v>
      </c>
      <c r="G3930" t="s">
        <v>2004</v>
      </c>
      <c r="H3930">
        <v>4</v>
      </c>
      <c r="I3930" s="12">
        <f>Table16[[#This Row],[price]]*Table16[[#This Row],[quantity]]</f>
        <v>2400.6799999999998</v>
      </c>
    </row>
    <row r="3931" spans="1:9" x14ac:dyDescent="0.3">
      <c r="A3931" t="s">
        <v>5950</v>
      </c>
      <c r="B3931" t="s">
        <v>772</v>
      </c>
      <c r="C3931" t="s">
        <v>2017</v>
      </c>
      <c r="D3931">
        <v>3</v>
      </c>
      <c r="E3931" s="16">
        <v>3150</v>
      </c>
      <c r="F3931" s="1">
        <v>44482</v>
      </c>
      <c r="G3931" t="s">
        <v>2009</v>
      </c>
      <c r="H3931">
        <v>5</v>
      </c>
      <c r="I3931" s="12">
        <f>Table16[[#This Row],[price]]*Table16[[#This Row],[quantity]]</f>
        <v>9450</v>
      </c>
    </row>
    <row r="3932" spans="1:9" x14ac:dyDescent="0.3">
      <c r="A3932" t="s">
        <v>5948</v>
      </c>
      <c r="B3932" t="s">
        <v>772</v>
      </c>
      <c r="C3932" t="s">
        <v>2024</v>
      </c>
      <c r="D3932">
        <v>3</v>
      </c>
      <c r="E3932" s="16">
        <v>107.52</v>
      </c>
      <c r="F3932" s="1">
        <v>44605</v>
      </c>
      <c r="G3932" t="s">
        <v>2018</v>
      </c>
      <c r="H3932">
        <v>3</v>
      </c>
      <c r="I3932" s="12">
        <f>Table16[[#This Row],[price]]*Table16[[#This Row],[quantity]]</f>
        <v>322.56</v>
      </c>
    </row>
    <row r="3933" spans="1:9" x14ac:dyDescent="0.3">
      <c r="A3933" t="s">
        <v>5946</v>
      </c>
      <c r="B3933" t="s">
        <v>772</v>
      </c>
      <c r="C3933" t="s">
        <v>2011</v>
      </c>
      <c r="D3933">
        <v>5</v>
      </c>
      <c r="E3933" s="16">
        <v>203.3</v>
      </c>
      <c r="F3933" s="1">
        <v>44645</v>
      </c>
      <c r="G3933" t="s">
        <v>2027</v>
      </c>
      <c r="H3933">
        <v>5</v>
      </c>
      <c r="I3933" s="12">
        <f>Table16[[#This Row],[price]]*Table16[[#This Row],[quantity]]</f>
        <v>1016.5</v>
      </c>
    </row>
    <row r="3934" spans="1:9" x14ac:dyDescent="0.3">
      <c r="A3934" t="s">
        <v>5947</v>
      </c>
      <c r="B3934" t="s">
        <v>772</v>
      </c>
      <c r="C3934" t="s">
        <v>2015</v>
      </c>
      <c r="D3934">
        <v>2</v>
      </c>
      <c r="E3934" s="16">
        <v>1200.3399999999999</v>
      </c>
      <c r="F3934" s="1">
        <v>44768</v>
      </c>
      <c r="G3934" t="s">
        <v>2004</v>
      </c>
      <c r="H3934">
        <v>2</v>
      </c>
      <c r="I3934" s="12">
        <f>Table16[[#This Row],[price]]*Table16[[#This Row],[quantity]]</f>
        <v>2400.6799999999998</v>
      </c>
    </row>
    <row r="3935" spans="1:9" x14ac:dyDescent="0.3">
      <c r="A3935" t="s">
        <v>5951</v>
      </c>
      <c r="B3935" t="s">
        <v>772</v>
      </c>
      <c r="C3935" t="s">
        <v>2057</v>
      </c>
      <c r="D3935">
        <v>2</v>
      </c>
      <c r="E3935" s="16">
        <v>23.46</v>
      </c>
      <c r="F3935" s="1">
        <v>44807</v>
      </c>
      <c r="G3935" t="s">
        <v>2004</v>
      </c>
      <c r="H3935">
        <v>1</v>
      </c>
      <c r="I3935" s="12">
        <f>Table16[[#This Row],[price]]*Table16[[#This Row],[quantity]]</f>
        <v>46.92</v>
      </c>
    </row>
    <row r="3936" spans="1:9" x14ac:dyDescent="0.3">
      <c r="A3936" t="s">
        <v>5954</v>
      </c>
      <c r="B3936" t="s">
        <v>773</v>
      </c>
      <c r="C3936" t="s">
        <v>2001</v>
      </c>
      <c r="D3936">
        <v>4</v>
      </c>
      <c r="E3936" s="16">
        <v>1200.32</v>
      </c>
      <c r="F3936" s="1">
        <v>44224</v>
      </c>
      <c r="G3936" t="s">
        <v>2002</v>
      </c>
      <c r="H3936">
        <v>2</v>
      </c>
      <c r="I3936" s="12">
        <f>Table16[[#This Row],[price]]*Table16[[#This Row],[quantity]]</f>
        <v>4801.28</v>
      </c>
    </row>
    <row r="3937" spans="1:9" x14ac:dyDescent="0.3">
      <c r="A3937" t="s">
        <v>5956</v>
      </c>
      <c r="B3937" t="s">
        <v>773</v>
      </c>
      <c r="C3937" t="s">
        <v>2001</v>
      </c>
      <c r="D3937">
        <v>2</v>
      </c>
      <c r="E3937" s="16">
        <v>600.16</v>
      </c>
      <c r="F3937" s="1">
        <v>44255</v>
      </c>
      <c r="G3937" t="s">
        <v>2064</v>
      </c>
      <c r="H3937">
        <v>5</v>
      </c>
      <c r="I3937" s="12">
        <f>Table16[[#This Row],[price]]*Table16[[#This Row],[quantity]]</f>
        <v>1200.32</v>
      </c>
    </row>
    <row r="3938" spans="1:9" x14ac:dyDescent="0.3">
      <c r="A3938" t="s">
        <v>5958</v>
      </c>
      <c r="B3938" t="s">
        <v>773</v>
      </c>
      <c r="C3938" t="s">
        <v>2001</v>
      </c>
      <c r="D3938">
        <v>1</v>
      </c>
      <c r="E3938" s="16">
        <v>300.08</v>
      </c>
      <c r="F3938" s="1">
        <v>44318</v>
      </c>
      <c r="G3938" t="s">
        <v>2027</v>
      </c>
      <c r="H3938">
        <v>5</v>
      </c>
      <c r="I3938" s="12">
        <f>Table16[[#This Row],[price]]*Table16[[#This Row],[quantity]]</f>
        <v>300.08</v>
      </c>
    </row>
    <row r="3939" spans="1:9" x14ac:dyDescent="0.3">
      <c r="A3939" t="s">
        <v>5955</v>
      </c>
      <c r="B3939" t="s">
        <v>773</v>
      </c>
      <c r="C3939" t="s">
        <v>2015</v>
      </c>
      <c r="D3939">
        <v>4</v>
      </c>
      <c r="E3939" s="16">
        <v>2400.6799999999998</v>
      </c>
      <c r="F3939" s="1">
        <v>44318</v>
      </c>
      <c r="G3939" t="s">
        <v>2020</v>
      </c>
      <c r="H3939">
        <v>1</v>
      </c>
      <c r="I3939" s="12">
        <f>Table16[[#This Row],[price]]*Table16[[#This Row],[quantity]]</f>
        <v>9602.7199999999993</v>
      </c>
    </row>
    <row r="3940" spans="1:9" x14ac:dyDescent="0.3">
      <c r="A3940" t="s">
        <v>5957</v>
      </c>
      <c r="B3940" t="s">
        <v>773</v>
      </c>
      <c r="C3940" t="s">
        <v>2001</v>
      </c>
      <c r="D3940">
        <v>5</v>
      </c>
      <c r="E3940" s="16">
        <v>1500.4</v>
      </c>
      <c r="F3940" s="1">
        <v>44326</v>
      </c>
      <c r="G3940" t="s">
        <v>2041</v>
      </c>
      <c r="H3940">
        <v>4</v>
      </c>
      <c r="I3940" s="12">
        <f>Table16[[#This Row],[price]]*Table16[[#This Row],[quantity]]</f>
        <v>7502</v>
      </c>
    </row>
    <row r="3941" spans="1:9" x14ac:dyDescent="0.3">
      <c r="A3941" t="s">
        <v>5960</v>
      </c>
      <c r="B3941" t="s">
        <v>773</v>
      </c>
      <c r="C3941" t="s">
        <v>2024</v>
      </c>
      <c r="D3941">
        <v>2</v>
      </c>
      <c r="E3941" s="16">
        <v>71.680000000000007</v>
      </c>
      <c r="F3941" s="1">
        <v>44485</v>
      </c>
      <c r="G3941" t="s">
        <v>2012</v>
      </c>
      <c r="H3941">
        <v>5</v>
      </c>
      <c r="I3941" s="12">
        <f>Table16[[#This Row],[price]]*Table16[[#This Row],[quantity]]</f>
        <v>143.36000000000001</v>
      </c>
    </row>
    <row r="3942" spans="1:9" x14ac:dyDescent="0.3">
      <c r="A3942" t="s">
        <v>5952</v>
      </c>
      <c r="B3942" t="s">
        <v>773</v>
      </c>
      <c r="C3942" t="s">
        <v>2011</v>
      </c>
      <c r="D3942">
        <v>4</v>
      </c>
      <c r="E3942" s="16">
        <v>162.63999999999999</v>
      </c>
      <c r="F3942" s="1">
        <v>44640</v>
      </c>
      <c r="G3942" t="s">
        <v>2012</v>
      </c>
      <c r="H3942">
        <v>3</v>
      </c>
      <c r="I3942" s="12">
        <f>Table16[[#This Row],[price]]*Table16[[#This Row],[quantity]]</f>
        <v>650.55999999999995</v>
      </c>
    </row>
    <row r="3943" spans="1:9" x14ac:dyDescent="0.3">
      <c r="A3943" t="s">
        <v>5959</v>
      </c>
      <c r="B3943" t="s">
        <v>773</v>
      </c>
      <c r="C3943" t="s">
        <v>2015</v>
      </c>
      <c r="D3943">
        <v>4</v>
      </c>
      <c r="E3943" s="16">
        <v>2400.6799999999998</v>
      </c>
      <c r="F3943" s="1">
        <v>44652</v>
      </c>
      <c r="G3943" t="s">
        <v>2027</v>
      </c>
      <c r="H3943">
        <v>1</v>
      </c>
      <c r="I3943" s="12">
        <f>Table16[[#This Row],[price]]*Table16[[#This Row],[quantity]]</f>
        <v>9602.7199999999993</v>
      </c>
    </row>
    <row r="3944" spans="1:9" x14ac:dyDescent="0.3">
      <c r="A3944" t="s">
        <v>5953</v>
      </c>
      <c r="B3944" t="s">
        <v>773</v>
      </c>
      <c r="C3944" t="s">
        <v>2011</v>
      </c>
      <c r="D3944">
        <v>1</v>
      </c>
      <c r="E3944" s="16">
        <v>40.659999999999997</v>
      </c>
      <c r="F3944" s="1">
        <v>44676</v>
      </c>
      <c r="G3944" t="s">
        <v>2002</v>
      </c>
      <c r="H3944">
        <v>3</v>
      </c>
      <c r="I3944" s="12">
        <f>Table16[[#This Row],[price]]*Table16[[#This Row],[quantity]]</f>
        <v>40.659999999999997</v>
      </c>
    </row>
    <row r="3945" spans="1:9" x14ac:dyDescent="0.3">
      <c r="A3945" t="s">
        <v>5961</v>
      </c>
      <c r="B3945" t="s">
        <v>773</v>
      </c>
      <c r="C3945" t="s">
        <v>2008</v>
      </c>
      <c r="D3945">
        <v>4</v>
      </c>
      <c r="E3945" s="16">
        <v>20.92</v>
      </c>
      <c r="F3945" s="1">
        <v>44913</v>
      </c>
      <c r="G3945" t="s">
        <v>2064</v>
      </c>
      <c r="H3945">
        <v>2</v>
      </c>
      <c r="I3945" s="12">
        <f>Table16[[#This Row],[price]]*Table16[[#This Row],[quantity]]</f>
        <v>83.68</v>
      </c>
    </row>
    <row r="3946" spans="1:9" x14ac:dyDescent="0.3">
      <c r="A3946" t="s">
        <v>5963</v>
      </c>
      <c r="B3946" t="s">
        <v>774</v>
      </c>
      <c r="C3946" t="s">
        <v>2011</v>
      </c>
      <c r="D3946">
        <v>4</v>
      </c>
      <c r="E3946" s="16">
        <v>162.63999999999999</v>
      </c>
      <c r="F3946" s="1">
        <v>44238</v>
      </c>
      <c r="G3946" t="s">
        <v>2004</v>
      </c>
      <c r="H3946">
        <v>1</v>
      </c>
      <c r="I3946" s="12">
        <f>Table16[[#This Row],[price]]*Table16[[#This Row],[quantity]]</f>
        <v>650.55999999999995</v>
      </c>
    </row>
    <row r="3947" spans="1:9" x14ac:dyDescent="0.3">
      <c r="A3947" t="s">
        <v>5964</v>
      </c>
      <c r="B3947" t="s">
        <v>774</v>
      </c>
      <c r="C3947" t="s">
        <v>2001</v>
      </c>
      <c r="D3947">
        <v>5</v>
      </c>
      <c r="E3947" s="16">
        <v>1500.4</v>
      </c>
      <c r="F3947" s="1">
        <v>44294</v>
      </c>
      <c r="G3947" t="s">
        <v>2004</v>
      </c>
      <c r="H3947">
        <v>4</v>
      </c>
      <c r="I3947" s="12">
        <f>Table16[[#This Row],[price]]*Table16[[#This Row],[quantity]]</f>
        <v>7502</v>
      </c>
    </row>
    <row r="3948" spans="1:9" x14ac:dyDescent="0.3">
      <c r="A3948" t="s">
        <v>5962</v>
      </c>
      <c r="B3948" t="s">
        <v>774</v>
      </c>
      <c r="C3948" t="s">
        <v>2015</v>
      </c>
      <c r="D3948">
        <v>4</v>
      </c>
      <c r="E3948" s="16">
        <v>2400.6799999999998</v>
      </c>
      <c r="F3948" s="1">
        <v>44335</v>
      </c>
      <c r="G3948" t="s">
        <v>2018</v>
      </c>
      <c r="H3948">
        <v>5</v>
      </c>
      <c r="I3948" s="12">
        <f>Table16[[#This Row],[price]]*Table16[[#This Row],[quantity]]</f>
        <v>9602.7199999999993</v>
      </c>
    </row>
    <row r="3949" spans="1:9" x14ac:dyDescent="0.3">
      <c r="A3949" t="s">
        <v>5966</v>
      </c>
      <c r="B3949" t="s">
        <v>774</v>
      </c>
      <c r="C3949" t="s">
        <v>2001</v>
      </c>
      <c r="D3949">
        <v>1</v>
      </c>
      <c r="E3949" s="16">
        <v>300.08</v>
      </c>
      <c r="F3949" s="1">
        <v>44389</v>
      </c>
      <c r="G3949" t="s">
        <v>2058</v>
      </c>
      <c r="H3949">
        <v>1</v>
      </c>
      <c r="I3949" s="12">
        <f>Table16[[#This Row],[price]]*Table16[[#This Row],[quantity]]</f>
        <v>300.08</v>
      </c>
    </row>
    <row r="3950" spans="1:9" x14ac:dyDescent="0.3">
      <c r="A3950" t="s">
        <v>5968</v>
      </c>
      <c r="B3950" t="s">
        <v>774</v>
      </c>
      <c r="C3950" t="s">
        <v>2006</v>
      </c>
      <c r="D3950">
        <v>4</v>
      </c>
      <c r="E3950" s="16">
        <v>60.6</v>
      </c>
      <c r="F3950" s="1">
        <v>44669</v>
      </c>
      <c r="G3950" t="s">
        <v>2002</v>
      </c>
      <c r="H3950">
        <v>4</v>
      </c>
      <c r="I3950" s="12">
        <f>Table16[[#This Row],[price]]*Table16[[#This Row],[quantity]]</f>
        <v>242.4</v>
      </c>
    </row>
    <row r="3951" spans="1:9" x14ac:dyDescent="0.3">
      <c r="A3951" t="s">
        <v>5967</v>
      </c>
      <c r="B3951" t="s">
        <v>774</v>
      </c>
      <c r="C3951" t="s">
        <v>2015</v>
      </c>
      <c r="D3951">
        <v>4</v>
      </c>
      <c r="E3951" s="16">
        <v>2400.6799999999998</v>
      </c>
      <c r="F3951" s="1">
        <v>44802</v>
      </c>
      <c r="G3951" t="s">
        <v>2004</v>
      </c>
      <c r="H3951">
        <v>3</v>
      </c>
      <c r="I3951" s="12">
        <f>Table16[[#This Row],[price]]*Table16[[#This Row],[quantity]]</f>
        <v>9602.7199999999993</v>
      </c>
    </row>
    <row r="3952" spans="1:9" x14ac:dyDescent="0.3">
      <c r="A3952" t="s">
        <v>5965</v>
      </c>
      <c r="B3952" t="s">
        <v>774</v>
      </c>
      <c r="C3952" t="s">
        <v>2057</v>
      </c>
      <c r="D3952">
        <v>5</v>
      </c>
      <c r="E3952" s="16">
        <v>58.65</v>
      </c>
      <c r="F3952" s="1">
        <v>44966</v>
      </c>
      <c r="G3952" t="s">
        <v>2004</v>
      </c>
      <c r="H3952">
        <v>3</v>
      </c>
      <c r="I3952" s="12">
        <f>Table16[[#This Row],[price]]*Table16[[#This Row],[quantity]]</f>
        <v>293.25</v>
      </c>
    </row>
    <row r="3953" spans="1:9" x14ac:dyDescent="0.3">
      <c r="A3953" t="s">
        <v>5969</v>
      </c>
      <c r="B3953" t="s">
        <v>775</v>
      </c>
      <c r="C3953" t="s">
        <v>2008</v>
      </c>
      <c r="D3953">
        <v>3</v>
      </c>
      <c r="E3953" s="16">
        <v>15.69</v>
      </c>
      <c r="F3953" s="1">
        <v>44242</v>
      </c>
      <c r="G3953" t="s">
        <v>2004</v>
      </c>
      <c r="H3953">
        <v>2</v>
      </c>
      <c r="I3953" s="12">
        <f>Table16[[#This Row],[price]]*Table16[[#This Row],[quantity]]</f>
        <v>47.07</v>
      </c>
    </row>
    <row r="3954" spans="1:9" x14ac:dyDescent="0.3">
      <c r="A3954" t="s">
        <v>5972</v>
      </c>
      <c r="B3954" t="s">
        <v>775</v>
      </c>
      <c r="C3954" t="s">
        <v>2011</v>
      </c>
      <c r="D3954">
        <v>3</v>
      </c>
      <c r="E3954" s="16">
        <v>121.98</v>
      </c>
      <c r="F3954" s="1">
        <v>44293</v>
      </c>
      <c r="G3954" t="s">
        <v>2027</v>
      </c>
      <c r="H3954">
        <v>3</v>
      </c>
      <c r="I3954" s="12">
        <f>Table16[[#This Row],[price]]*Table16[[#This Row],[quantity]]</f>
        <v>365.94</v>
      </c>
    </row>
    <row r="3955" spans="1:9" x14ac:dyDescent="0.3">
      <c r="A3955" t="s">
        <v>5971</v>
      </c>
      <c r="B3955" t="s">
        <v>775</v>
      </c>
      <c r="C3955" t="s">
        <v>2001</v>
      </c>
      <c r="D3955">
        <v>3</v>
      </c>
      <c r="E3955" s="16">
        <v>900.24</v>
      </c>
      <c r="F3955" s="1">
        <v>44421</v>
      </c>
      <c r="G3955" t="s">
        <v>2027</v>
      </c>
      <c r="H3955">
        <v>5</v>
      </c>
      <c r="I3955" s="12">
        <f>Table16[[#This Row],[price]]*Table16[[#This Row],[quantity]]</f>
        <v>2700.7200000000003</v>
      </c>
    </row>
    <row r="3956" spans="1:9" x14ac:dyDescent="0.3">
      <c r="A3956" t="s">
        <v>5973</v>
      </c>
      <c r="B3956" t="s">
        <v>775</v>
      </c>
      <c r="C3956" t="s">
        <v>2024</v>
      </c>
      <c r="D3956">
        <v>4</v>
      </c>
      <c r="E3956" s="16">
        <v>143.36000000000001</v>
      </c>
      <c r="F3956" s="1">
        <v>44464</v>
      </c>
      <c r="G3956" t="s">
        <v>2012</v>
      </c>
      <c r="H3956">
        <v>5</v>
      </c>
      <c r="I3956" s="12">
        <f>Table16[[#This Row],[price]]*Table16[[#This Row],[quantity]]</f>
        <v>573.44000000000005</v>
      </c>
    </row>
    <row r="3957" spans="1:9" x14ac:dyDescent="0.3">
      <c r="A3957" t="s">
        <v>5974</v>
      </c>
      <c r="B3957" t="s">
        <v>775</v>
      </c>
      <c r="C3957" t="s">
        <v>2057</v>
      </c>
      <c r="D3957">
        <v>3</v>
      </c>
      <c r="E3957" s="16">
        <v>35.19</v>
      </c>
      <c r="F3957" s="1">
        <v>44566</v>
      </c>
      <c r="G3957" t="s">
        <v>2058</v>
      </c>
      <c r="H3957">
        <v>4</v>
      </c>
      <c r="I3957" s="12">
        <f>Table16[[#This Row],[price]]*Table16[[#This Row],[quantity]]</f>
        <v>105.57</v>
      </c>
    </row>
    <row r="3958" spans="1:9" x14ac:dyDescent="0.3">
      <c r="A3958" t="s">
        <v>5970</v>
      </c>
      <c r="B3958" t="s">
        <v>775</v>
      </c>
      <c r="C3958" t="s">
        <v>2001</v>
      </c>
      <c r="D3958">
        <v>1</v>
      </c>
      <c r="E3958" s="16">
        <v>300.08</v>
      </c>
      <c r="F3958" s="1">
        <v>44961</v>
      </c>
      <c r="G3958" t="s">
        <v>2027</v>
      </c>
      <c r="H3958">
        <v>2</v>
      </c>
      <c r="I3958" s="12">
        <f>Table16[[#This Row],[price]]*Table16[[#This Row],[quantity]]</f>
        <v>300.08</v>
      </c>
    </row>
    <row r="3959" spans="1:9" x14ac:dyDescent="0.3">
      <c r="A3959" t="s">
        <v>5975</v>
      </c>
      <c r="B3959" t="s">
        <v>776</v>
      </c>
      <c r="C3959" t="s">
        <v>2001</v>
      </c>
      <c r="D3959">
        <v>2</v>
      </c>
      <c r="E3959" s="16">
        <v>600.16</v>
      </c>
      <c r="F3959" s="1">
        <v>44226</v>
      </c>
      <c r="G3959" t="s">
        <v>2058</v>
      </c>
      <c r="H3959">
        <v>2</v>
      </c>
      <c r="I3959" s="12">
        <f>Table16[[#This Row],[price]]*Table16[[#This Row],[quantity]]</f>
        <v>1200.32</v>
      </c>
    </row>
    <row r="3960" spans="1:9" x14ac:dyDescent="0.3">
      <c r="A3960" t="s">
        <v>5976</v>
      </c>
      <c r="B3960" t="s">
        <v>776</v>
      </c>
      <c r="C3960" t="s">
        <v>2001</v>
      </c>
      <c r="D3960">
        <v>5</v>
      </c>
      <c r="E3960" s="16">
        <v>1500.4</v>
      </c>
      <c r="F3960" s="1">
        <v>44436</v>
      </c>
      <c r="G3960" t="s">
        <v>2027</v>
      </c>
      <c r="H3960">
        <v>1</v>
      </c>
      <c r="I3960" s="12">
        <f>Table16[[#This Row],[price]]*Table16[[#This Row],[quantity]]</f>
        <v>7502</v>
      </c>
    </row>
    <row r="3961" spans="1:9" x14ac:dyDescent="0.3">
      <c r="A3961" t="s">
        <v>5977</v>
      </c>
      <c r="B3961" t="s">
        <v>776</v>
      </c>
      <c r="C3961" t="s">
        <v>2001</v>
      </c>
      <c r="D3961">
        <v>1</v>
      </c>
      <c r="E3961" s="16">
        <v>300.08</v>
      </c>
      <c r="F3961" s="1">
        <v>44616</v>
      </c>
      <c r="G3961" t="s">
        <v>2041</v>
      </c>
      <c r="H3961">
        <v>4</v>
      </c>
      <c r="I3961" s="12">
        <f>Table16[[#This Row],[price]]*Table16[[#This Row],[quantity]]</f>
        <v>300.08</v>
      </c>
    </row>
    <row r="3962" spans="1:9" x14ac:dyDescent="0.3">
      <c r="A3962" t="s">
        <v>5979</v>
      </c>
      <c r="B3962" t="s">
        <v>776</v>
      </c>
      <c r="C3962" t="s">
        <v>2011</v>
      </c>
      <c r="D3962">
        <v>3</v>
      </c>
      <c r="E3962" s="16">
        <v>121.98</v>
      </c>
      <c r="F3962" s="1">
        <v>44786</v>
      </c>
      <c r="G3962" t="s">
        <v>2020</v>
      </c>
      <c r="H3962">
        <v>4</v>
      </c>
      <c r="I3962" s="12">
        <f>Table16[[#This Row],[price]]*Table16[[#This Row],[quantity]]</f>
        <v>365.94</v>
      </c>
    </row>
    <row r="3963" spans="1:9" x14ac:dyDescent="0.3">
      <c r="A3963" t="s">
        <v>5978</v>
      </c>
      <c r="B3963" t="s">
        <v>776</v>
      </c>
      <c r="C3963" t="s">
        <v>2011</v>
      </c>
      <c r="D3963">
        <v>2</v>
      </c>
      <c r="E3963" s="16">
        <v>81.319999999999993</v>
      </c>
      <c r="F3963" s="1">
        <v>44855</v>
      </c>
      <c r="G3963" t="s">
        <v>2002</v>
      </c>
      <c r="H3963">
        <v>2</v>
      </c>
      <c r="I3963" s="12">
        <f>Table16[[#This Row],[price]]*Table16[[#This Row],[quantity]]</f>
        <v>162.63999999999999</v>
      </c>
    </row>
    <row r="3964" spans="1:9" x14ac:dyDescent="0.3">
      <c r="A3964" t="s">
        <v>5982</v>
      </c>
      <c r="B3964" t="s">
        <v>777</v>
      </c>
      <c r="C3964" t="s">
        <v>2001</v>
      </c>
      <c r="D3964">
        <v>4</v>
      </c>
      <c r="E3964" s="16">
        <v>1200.32</v>
      </c>
      <c r="F3964" s="1">
        <v>44504</v>
      </c>
      <c r="G3964" t="s">
        <v>2004</v>
      </c>
      <c r="H3964">
        <v>5</v>
      </c>
      <c r="I3964" s="12">
        <f>Table16[[#This Row],[price]]*Table16[[#This Row],[quantity]]</f>
        <v>4801.28</v>
      </c>
    </row>
    <row r="3965" spans="1:9" x14ac:dyDescent="0.3">
      <c r="A3965" t="s">
        <v>5983</v>
      </c>
      <c r="B3965" t="s">
        <v>777</v>
      </c>
      <c r="C3965" t="s">
        <v>2015</v>
      </c>
      <c r="D3965">
        <v>5</v>
      </c>
      <c r="E3965" s="16">
        <v>3000.85</v>
      </c>
      <c r="F3965" s="1">
        <v>44533</v>
      </c>
      <c r="G3965" t="s">
        <v>2027</v>
      </c>
      <c r="H3965">
        <v>4</v>
      </c>
      <c r="I3965" s="12">
        <f>Table16[[#This Row],[price]]*Table16[[#This Row],[quantity]]</f>
        <v>15004.25</v>
      </c>
    </row>
    <row r="3966" spans="1:9" x14ac:dyDescent="0.3">
      <c r="A3966" t="s">
        <v>5980</v>
      </c>
      <c r="B3966" t="s">
        <v>777</v>
      </c>
      <c r="C3966" t="s">
        <v>2001</v>
      </c>
      <c r="D3966">
        <v>2</v>
      </c>
      <c r="E3966" s="16">
        <v>600.16</v>
      </c>
      <c r="F3966" s="1">
        <v>44717</v>
      </c>
      <c r="G3966" t="s">
        <v>2004</v>
      </c>
      <c r="H3966">
        <v>4</v>
      </c>
      <c r="I3966" s="12">
        <f>Table16[[#This Row],[price]]*Table16[[#This Row],[quantity]]</f>
        <v>1200.32</v>
      </c>
    </row>
    <row r="3967" spans="1:9" x14ac:dyDescent="0.3">
      <c r="A3967" t="s">
        <v>5981</v>
      </c>
      <c r="B3967" t="s">
        <v>777</v>
      </c>
      <c r="C3967" t="s">
        <v>2001</v>
      </c>
      <c r="D3967">
        <v>2</v>
      </c>
      <c r="E3967" s="16">
        <v>600.16</v>
      </c>
      <c r="F3967" s="1">
        <v>44911</v>
      </c>
      <c r="G3967" t="s">
        <v>2002</v>
      </c>
      <c r="H3967">
        <v>4</v>
      </c>
      <c r="I3967" s="12">
        <f>Table16[[#This Row],[price]]*Table16[[#This Row],[quantity]]</f>
        <v>1200.32</v>
      </c>
    </row>
    <row r="3968" spans="1:9" x14ac:dyDescent="0.3">
      <c r="A3968" t="s">
        <v>5985</v>
      </c>
      <c r="B3968" t="s">
        <v>778</v>
      </c>
      <c r="C3968" t="s">
        <v>2024</v>
      </c>
      <c r="D3968">
        <v>2</v>
      </c>
      <c r="E3968" s="16">
        <v>71.680000000000007</v>
      </c>
      <c r="F3968" s="1">
        <v>44972</v>
      </c>
      <c r="G3968" t="s">
        <v>2012</v>
      </c>
      <c r="H3968">
        <v>4</v>
      </c>
      <c r="I3968" s="12">
        <f>Table16[[#This Row],[price]]*Table16[[#This Row],[quantity]]</f>
        <v>143.36000000000001</v>
      </c>
    </row>
    <row r="3969" spans="1:9" x14ac:dyDescent="0.3">
      <c r="A3969" t="s">
        <v>5984</v>
      </c>
      <c r="B3969" t="s">
        <v>778</v>
      </c>
      <c r="C3969" t="s">
        <v>2001</v>
      </c>
      <c r="D3969">
        <v>3</v>
      </c>
      <c r="E3969" s="16">
        <v>900.24</v>
      </c>
      <c r="F3969" s="1">
        <v>44993</v>
      </c>
      <c r="G3969" t="s">
        <v>2009</v>
      </c>
      <c r="H3969">
        <v>4</v>
      </c>
      <c r="I3969" s="12">
        <f>Table16[[#This Row],[price]]*Table16[[#This Row],[quantity]]</f>
        <v>2700.7200000000003</v>
      </c>
    </row>
    <row r="3970" spans="1:9" x14ac:dyDescent="0.3">
      <c r="A3970" t="s">
        <v>5988</v>
      </c>
      <c r="B3970" t="s">
        <v>779</v>
      </c>
      <c r="C3970" t="s">
        <v>2011</v>
      </c>
      <c r="D3970">
        <v>5</v>
      </c>
      <c r="E3970" s="16">
        <v>203.3</v>
      </c>
      <c r="F3970" s="1">
        <v>44285</v>
      </c>
      <c r="G3970" t="s">
        <v>2064</v>
      </c>
      <c r="H3970">
        <v>5</v>
      </c>
      <c r="I3970" s="12">
        <f>Table16[[#This Row],[price]]*Table16[[#This Row],[quantity]]</f>
        <v>1016.5</v>
      </c>
    </row>
    <row r="3971" spans="1:9" x14ac:dyDescent="0.3">
      <c r="A3971" t="s">
        <v>5986</v>
      </c>
      <c r="B3971" t="s">
        <v>779</v>
      </c>
      <c r="C3971" t="s">
        <v>2011</v>
      </c>
      <c r="D3971">
        <v>1</v>
      </c>
      <c r="E3971" s="16">
        <v>40.659999999999997</v>
      </c>
      <c r="F3971" s="1">
        <v>44389</v>
      </c>
      <c r="G3971" t="s">
        <v>2041</v>
      </c>
      <c r="H3971">
        <v>5</v>
      </c>
      <c r="I3971" s="12">
        <f>Table16[[#This Row],[price]]*Table16[[#This Row],[quantity]]</f>
        <v>40.659999999999997</v>
      </c>
    </row>
    <row r="3972" spans="1:9" x14ac:dyDescent="0.3">
      <c r="A3972" t="s">
        <v>5991</v>
      </c>
      <c r="B3972" t="s">
        <v>779</v>
      </c>
      <c r="C3972" t="s">
        <v>2057</v>
      </c>
      <c r="D3972">
        <v>2</v>
      </c>
      <c r="E3972" s="16">
        <v>23.46</v>
      </c>
      <c r="F3972" s="1">
        <v>44418</v>
      </c>
      <c r="G3972" t="s">
        <v>2064</v>
      </c>
      <c r="H3972">
        <v>2</v>
      </c>
      <c r="I3972" s="12">
        <f>Table16[[#This Row],[price]]*Table16[[#This Row],[quantity]]</f>
        <v>46.92</v>
      </c>
    </row>
    <row r="3973" spans="1:9" x14ac:dyDescent="0.3">
      <c r="A3973" t="s">
        <v>5989</v>
      </c>
      <c r="B3973" t="s">
        <v>779</v>
      </c>
      <c r="C3973" t="s">
        <v>2015</v>
      </c>
      <c r="D3973">
        <v>3</v>
      </c>
      <c r="E3973" s="16">
        <v>1800.51</v>
      </c>
      <c r="F3973" s="1">
        <v>44579</v>
      </c>
      <c r="G3973" t="s">
        <v>2020</v>
      </c>
      <c r="H3973">
        <v>5</v>
      </c>
      <c r="I3973" s="12">
        <f>Table16[[#This Row],[price]]*Table16[[#This Row],[quantity]]</f>
        <v>5401.53</v>
      </c>
    </row>
    <row r="3974" spans="1:9" x14ac:dyDescent="0.3">
      <c r="A3974" t="s">
        <v>5987</v>
      </c>
      <c r="B3974" t="s">
        <v>779</v>
      </c>
      <c r="C3974" t="s">
        <v>2001</v>
      </c>
      <c r="D3974">
        <v>4</v>
      </c>
      <c r="E3974" s="16">
        <v>1200.32</v>
      </c>
      <c r="F3974" s="1">
        <v>44682</v>
      </c>
      <c r="G3974" t="s">
        <v>2020</v>
      </c>
      <c r="H3974">
        <v>5</v>
      </c>
      <c r="I3974" s="12">
        <f>Table16[[#This Row],[price]]*Table16[[#This Row],[quantity]]</f>
        <v>4801.28</v>
      </c>
    </row>
    <row r="3975" spans="1:9" x14ac:dyDescent="0.3">
      <c r="A3975" t="s">
        <v>5990</v>
      </c>
      <c r="B3975" t="s">
        <v>779</v>
      </c>
      <c r="C3975" t="s">
        <v>2011</v>
      </c>
      <c r="D3975">
        <v>5</v>
      </c>
      <c r="E3975" s="16">
        <v>203.3</v>
      </c>
      <c r="F3975" s="1">
        <v>44834</v>
      </c>
      <c r="G3975" t="s">
        <v>2064</v>
      </c>
      <c r="H3975">
        <v>4</v>
      </c>
      <c r="I3975" s="12">
        <f>Table16[[#This Row],[price]]*Table16[[#This Row],[quantity]]</f>
        <v>1016.5</v>
      </c>
    </row>
    <row r="3976" spans="1:9" x14ac:dyDescent="0.3">
      <c r="A3976" t="s">
        <v>5995</v>
      </c>
      <c r="B3976" t="s">
        <v>780</v>
      </c>
      <c r="C3976" t="s">
        <v>2011</v>
      </c>
      <c r="D3976">
        <v>5</v>
      </c>
      <c r="E3976" s="16">
        <v>203.3</v>
      </c>
      <c r="F3976" s="1">
        <v>44231</v>
      </c>
      <c r="G3976" t="s">
        <v>2004</v>
      </c>
      <c r="H3976">
        <v>5</v>
      </c>
      <c r="I3976" s="12">
        <f>Table16[[#This Row],[price]]*Table16[[#This Row],[quantity]]</f>
        <v>1016.5</v>
      </c>
    </row>
    <row r="3977" spans="1:9" x14ac:dyDescent="0.3">
      <c r="A3977" t="s">
        <v>5994</v>
      </c>
      <c r="B3977" t="s">
        <v>780</v>
      </c>
      <c r="C3977" t="s">
        <v>2011</v>
      </c>
      <c r="D3977">
        <v>1</v>
      </c>
      <c r="E3977" s="16">
        <v>40.659999999999997</v>
      </c>
      <c r="F3977" s="1">
        <v>44275</v>
      </c>
      <c r="G3977" t="s">
        <v>2004</v>
      </c>
      <c r="H3977">
        <v>3</v>
      </c>
      <c r="I3977" s="12">
        <f>Table16[[#This Row],[price]]*Table16[[#This Row],[quantity]]</f>
        <v>40.659999999999997</v>
      </c>
    </row>
    <row r="3978" spans="1:9" x14ac:dyDescent="0.3">
      <c r="A3978" t="s">
        <v>5992</v>
      </c>
      <c r="B3978" t="s">
        <v>780</v>
      </c>
      <c r="C3978" t="s">
        <v>2011</v>
      </c>
      <c r="D3978">
        <v>4</v>
      </c>
      <c r="E3978" s="16">
        <v>162.63999999999999</v>
      </c>
      <c r="F3978" s="1">
        <v>44357</v>
      </c>
      <c r="G3978" t="s">
        <v>2018</v>
      </c>
      <c r="H3978">
        <v>1</v>
      </c>
      <c r="I3978" s="12">
        <f>Table16[[#This Row],[price]]*Table16[[#This Row],[quantity]]</f>
        <v>650.55999999999995</v>
      </c>
    </row>
    <row r="3979" spans="1:9" x14ac:dyDescent="0.3">
      <c r="A3979" t="s">
        <v>5997</v>
      </c>
      <c r="B3979" t="s">
        <v>780</v>
      </c>
      <c r="C3979" t="s">
        <v>2008</v>
      </c>
      <c r="D3979">
        <v>3</v>
      </c>
      <c r="E3979" s="16">
        <v>15.69</v>
      </c>
      <c r="F3979" s="1">
        <v>44633</v>
      </c>
      <c r="G3979" t="s">
        <v>2002</v>
      </c>
      <c r="H3979">
        <v>2</v>
      </c>
      <c r="I3979" s="12">
        <f>Table16[[#This Row],[price]]*Table16[[#This Row],[quantity]]</f>
        <v>47.07</v>
      </c>
    </row>
    <row r="3980" spans="1:9" x14ac:dyDescent="0.3">
      <c r="A3980" t="s">
        <v>5993</v>
      </c>
      <c r="B3980" t="s">
        <v>780</v>
      </c>
      <c r="C3980" t="s">
        <v>2015</v>
      </c>
      <c r="D3980">
        <v>4</v>
      </c>
      <c r="E3980" s="16">
        <v>2400.6799999999998</v>
      </c>
      <c r="F3980" s="1">
        <v>44656</v>
      </c>
      <c r="G3980" t="s">
        <v>2027</v>
      </c>
      <c r="H3980">
        <v>4</v>
      </c>
      <c r="I3980" s="12">
        <f>Table16[[#This Row],[price]]*Table16[[#This Row],[quantity]]</f>
        <v>9602.7199999999993</v>
      </c>
    </row>
    <row r="3981" spans="1:9" x14ac:dyDescent="0.3">
      <c r="A3981" t="s">
        <v>5996</v>
      </c>
      <c r="B3981" t="s">
        <v>780</v>
      </c>
      <c r="C3981" t="s">
        <v>2001</v>
      </c>
      <c r="D3981">
        <v>4</v>
      </c>
      <c r="E3981" s="16">
        <v>1200.32</v>
      </c>
      <c r="F3981" s="1">
        <v>44846</v>
      </c>
      <c r="G3981" t="s">
        <v>2020</v>
      </c>
      <c r="H3981">
        <v>3</v>
      </c>
      <c r="I3981" s="12">
        <f>Table16[[#This Row],[price]]*Table16[[#This Row],[quantity]]</f>
        <v>4801.28</v>
      </c>
    </row>
    <row r="3982" spans="1:9" x14ac:dyDescent="0.3">
      <c r="A3982" t="s">
        <v>6001</v>
      </c>
      <c r="B3982" t="s">
        <v>781</v>
      </c>
      <c r="C3982" t="s">
        <v>2001</v>
      </c>
      <c r="D3982">
        <v>5</v>
      </c>
      <c r="E3982" s="16">
        <v>1500.4</v>
      </c>
      <c r="F3982" s="1">
        <v>44408</v>
      </c>
      <c r="G3982" t="s">
        <v>2004</v>
      </c>
      <c r="H3982">
        <v>3</v>
      </c>
      <c r="I3982" s="12">
        <f>Table16[[#This Row],[price]]*Table16[[#This Row],[quantity]]</f>
        <v>7502</v>
      </c>
    </row>
    <row r="3983" spans="1:9" x14ac:dyDescent="0.3">
      <c r="A3983" t="s">
        <v>5999</v>
      </c>
      <c r="B3983" t="s">
        <v>781</v>
      </c>
      <c r="C3983" t="s">
        <v>2001</v>
      </c>
      <c r="D3983">
        <v>4</v>
      </c>
      <c r="E3983" s="16">
        <v>1200.32</v>
      </c>
      <c r="F3983" s="1">
        <v>44507</v>
      </c>
      <c r="G3983" t="s">
        <v>2020</v>
      </c>
      <c r="H3983">
        <v>4</v>
      </c>
      <c r="I3983" s="12">
        <f>Table16[[#This Row],[price]]*Table16[[#This Row],[quantity]]</f>
        <v>4801.28</v>
      </c>
    </row>
    <row r="3984" spans="1:9" x14ac:dyDescent="0.3">
      <c r="A3984" t="s">
        <v>6000</v>
      </c>
      <c r="B3984" t="s">
        <v>781</v>
      </c>
      <c r="C3984" t="s">
        <v>2001</v>
      </c>
      <c r="D3984">
        <v>2</v>
      </c>
      <c r="E3984" s="16">
        <v>600.16</v>
      </c>
      <c r="F3984" s="1">
        <v>44722</v>
      </c>
      <c r="G3984" t="s">
        <v>2064</v>
      </c>
      <c r="H3984">
        <v>2</v>
      </c>
      <c r="I3984" s="12">
        <f>Table16[[#This Row],[price]]*Table16[[#This Row],[quantity]]</f>
        <v>1200.32</v>
      </c>
    </row>
    <row r="3985" spans="1:9" x14ac:dyDescent="0.3">
      <c r="A3985" t="s">
        <v>6004</v>
      </c>
      <c r="B3985" t="s">
        <v>781</v>
      </c>
      <c r="C3985" t="s">
        <v>2015</v>
      </c>
      <c r="D3985">
        <v>1</v>
      </c>
      <c r="E3985" s="16">
        <v>600.16999999999996</v>
      </c>
      <c r="F3985" s="1">
        <v>44802</v>
      </c>
      <c r="G3985" t="s">
        <v>2064</v>
      </c>
      <c r="H3985">
        <v>2</v>
      </c>
      <c r="I3985" s="12">
        <f>Table16[[#This Row],[price]]*Table16[[#This Row],[quantity]]</f>
        <v>600.16999999999996</v>
      </c>
    </row>
    <row r="3986" spans="1:9" x14ac:dyDescent="0.3">
      <c r="A3986" t="s">
        <v>5998</v>
      </c>
      <c r="B3986" t="s">
        <v>781</v>
      </c>
      <c r="C3986" t="s">
        <v>2001</v>
      </c>
      <c r="D3986">
        <v>3</v>
      </c>
      <c r="E3986" s="16">
        <v>900.24</v>
      </c>
      <c r="F3986" s="1">
        <v>44817</v>
      </c>
      <c r="G3986" t="s">
        <v>2002</v>
      </c>
      <c r="H3986">
        <v>5</v>
      </c>
      <c r="I3986" s="12">
        <f>Table16[[#This Row],[price]]*Table16[[#This Row],[quantity]]</f>
        <v>2700.7200000000003</v>
      </c>
    </row>
    <row r="3987" spans="1:9" x14ac:dyDescent="0.3">
      <c r="A3987" t="s">
        <v>6003</v>
      </c>
      <c r="B3987" t="s">
        <v>781</v>
      </c>
      <c r="C3987" t="s">
        <v>2024</v>
      </c>
      <c r="D3987">
        <v>4</v>
      </c>
      <c r="E3987" s="16">
        <v>143.36000000000001</v>
      </c>
      <c r="F3987" s="1">
        <v>44864</v>
      </c>
      <c r="G3987" t="s">
        <v>2004</v>
      </c>
      <c r="H3987">
        <v>3</v>
      </c>
      <c r="I3987" s="12">
        <f>Table16[[#This Row],[price]]*Table16[[#This Row],[quantity]]</f>
        <v>573.44000000000005</v>
      </c>
    </row>
    <row r="3988" spans="1:9" x14ac:dyDescent="0.3">
      <c r="A3988" t="s">
        <v>6002</v>
      </c>
      <c r="B3988" t="s">
        <v>781</v>
      </c>
      <c r="C3988" t="s">
        <v>2011</v>
      </c>
      <c r="D3988">
        <v>3</v>
      </c>
      <c r="E3988" s="16">
        <v>121.98</v>
      </c>
      <c r="F3988" s="1">
        <v>44961</v>
      </c>
      <c r="G3988" t="s">
        <v>2064</v>
      </c>
      <c r="H3988">
        <v>4</v>
      </c>
      <c r="I3988" s="12">
        <f>Table16[[#This Row],[price]]*Table16[[#This Row],[quantity]]</f>
        <v>365.94</v>
      </c>
    </row>
    <row r="3989" spans="1:9" x14ac:dyDescent="0.3">
      <c r="A3989" t="s">
        <v>6011</v>
      </c>
      <c r="B3989" t="s">
        <v>782</v>
      </c>
      <c r="C3989" t="s">
        <v>2011</v>
      </c>
      <c r="D3989">
        <v>5</v>
      </c>
      <c r="E3989" s="16">
        <v>203.3</v>
      </c>
      <c r="F3989" s="1">
        <v>44367</v>
      </c>
      <c r="G3989" t="s">
        <v>2020</v>
      </c>
      <c r="H3989">
        <v>4</v>
      </c>
      <c r="I3989" s="12">
        <f>Table16[[#This Row],[price]]*Table16[[#This Row],[quantity]]</f>
        <v>1016.5</v>
      </c>
    </row>
    <row r="3990" spans="1:9" x14ac:dyDescent="0.3">
      <c r="A3990" t="s">
        <v>6005</v>
      </c>
      <c r="B3990" t="s">
        <v>782</v>
      </c>
      <c r="C3990" t="s">
        <v>2057</v>
      </c>
      <c r="D3990">
        <v>2</v>
      </c>
      <c r="E3990" s="16">
        <v>23.46</v>
      </c>
      <c r="F3990" s="1">
        <v>44479</v>
      </c>
      <c r="G3990" t="s">
        <v>2027</v>
      </c>
      <c r="H3990">
        <v>3</v>
      </c>
      <c r="I3990" s="12">
        <f>Table16[[#This Row],[price]]*Table16[[#This Row],[quantity]]</f>
        <v>46.92</v>
      </c>
    </row>
    <row r="3991" spans="1:9" x14ac:dyDescent="0.3">
      <c r="A3991" t="s">
        <v>6007</v>
      </c>
      <c r="B3991" t="s">
        <v>782</v>
      </c>
      <c r="C3991" t="s">
        <v>2008</v>
      </c>
      <c r="D3991">
        <v>3</v>
      </c>
      <c r="E3991" s="16">
        <v>15.69</v>
      </c>
      <c r="F3991" s="1">
        <v>44497</v>
      </c>
      <c r="G3991" t="s">
        <v>2064</v>
      </c>
      <c r="H3991">
        <v>1</v>
      </c>
      <c r="I3991" s="12">
        <f>Table16[[#This Row],[price]]*Table16[[#This Row],[quantity]]</f>
        <v>47.07</v>
      </c>
    </row>
    <row r="3992" spans="1:9" x14ac:dyDescent="0.3">
      <c r="A3992" t="s">
        <v>6008</v>
      </c>
      <c r="B3992" t="s">
        <v>782</v>
      </c>
      <c r="C3992" t="s">
        <v>2024</v>
      </c>
      <c r="D3992">
        <v>2</v>
      </c>
      <c r="E3992" s="16">
        <v>71.680000000000007</v>
      </c>
      <c r="F3992" s="1">
        <v>44518</v>
      </c>
      <c r="G3992" t="s">
        <v>2004</v>
      </c>
      <c r="H3992">
        <v>4</v>
      </c>
      <c r="I3992" s="12">
        <f>Table16[[#This Row],[price]]*Table16[[#This Row],[quantity]]</f>
        <v>143.36000000000001</v>
      </c>
    </row>
    <row r="3993" spans="1:9" x14ac:dyDescent="0.3">
      <c r="A3993" t="s">
        <v>6009</v>
      </c>
      <c r="B3993" t="s">
        <v>782</v>
      </c>
      <c r="C3993" t="s">
        <v>2001</v>
      </c>
      <c r="D3993">
        <v>4</v>
      </c>
      <c r="E3993" s="16">
        <v>1200.32</v>
      </c>
      <c r="F3993" s="1">
        <v>44542</v>
      </c>
      <c r="G3993" t="s">
        <v>2004</v>
      </c>
      <c r="H3993">
        <v>4</v>
      </c>
      <c r="I3993" s="12">
        <f>Table16[[#This Row],[price]]*Table16[[#This Row],[quantity]]</f>
        <v>4801.28</v>
      </c>
    </row>
    <row r="3994" spans="1:9" x14ac:dyDescent="0.3">
      <c r="A3994" t="s">
        <v>6010</v>
      </c>
      <c r="B3994" t="s">
        <v>782</v>
      </c>
      <c r="C3994" t="s">
        <v>2001</v>
      </c>
      <c r="D3994">
        <v>1</v>
      </c>
      <c r="E3994" s="16">
        <v>300.08</v>
      </c>
      <c r="F3994" s="1">
        <v>44647</v>
      </c>
      <c r="G3994" t="s">
        <v>2004</v>
      </c>
      <c r="H3994">
        <v>4</v>
      </c>
      <c r="I3994" s="12">
        <f>Table16[[#This Row],[price]]*Table16[[#This Row],[quantity]]</f>
        <v>300.08</v>
      </c>
    </row>
    <row r="3995" spans="1:9" x14ac:dyDescent="0.3">
      <c r="A3995" t="s">
        <v>6006</v>
      </c>
      <c r="B3995" t="s">
        <v>782</v>
      </c>
      <c r="C3995" t="s">
        <v>2001</v>
      </c>
      <c r="D3995">
        <v>2</v>
      </c>
      <c r="E3995" s="16">
        <v>600.16</v>
      </c>
      <c r="F3995" s="1">
        <v>44958</v>
      </c>
      <c r="G3995" t="s">
        <v>2004</v>
      </c>
      <c r="H3995">
        <v>3</v>
      </c>
      <c r="I3995" s="12">
        <f>Table16[[#This Row],[price]]*Table16[[#This Row],[quantity]]</f>
        <v>1200.32</v>
      </c>
    </row>
    <row r="3996" spans="1:9" x14ac:dyDescent="0.3">
      <c r="A3996" t="s">
        <v>6012</v>
      </c>
      <c r="B3996" t="s">
        <v>783</v>
      </c>
      <c r="C3996" t="s">
        <v>2015</v>
      </c>
      <c r="D3996">
        <v>2</v>
      </c>
      <c r="E3996" s="16">
        <v>1200.3399999999999</v>
      </c>
      <c r="F3996" s="1">
        <v>44225</v>
      </c>
      <c r="G3996" t="s">
        <v>2020</v>
      </c>
      <c r="H3996">
        <v>1</v>
      </c>
      <c r="I3996" s="12">
        <f>Table16[[#This Row],[price]]*Table16[[#This Row],[quantity]]</f>
        <v>2400.6799999999998</v>
      </c>
    </row>
    <row r="3997" spans="1:9" x14ac:dyDescent="0.3">
      <c r="A3997" t="s">
        <v>6013</v>
      </c>
      <c r="B3997" t="s">
        <v>783</v>
      </c>
      <c r="C3997" t="s">
        <v>2011</v>
      </c>
      <c r="D3997">
        <v>5</v>
      </c>
      <c r="E3997" s="16">
        <v>203.3</v>
      </c>
      <c r="F3997" s="1">
        <v>44553</v>
      </c>
      <c r="G3997" t="s">
        <v>2004</v>
      </c>
      <c r="H3997">
        <v>1</v>
      </c>
      <c r="I3997" s="12">
        <f>Table16[[#This Row],[price]]*Table16[[#This Row],[quantity]]</f>
        <v>1016.5</v>
      </c>
    </row>
    <row r="3998" spans="1:9" x14ac:dyDescent="0.3">
      <c r="A3998" t="s">
        <v>6014</v>
      </c>
      <c r="B3998" t="s">
        <v>783</v>
      </c>
      <c r="C3998" t="s">
        <v>2001</v>
      </c>
      <c r="D3998">
        <v>5</v>
      </c>
      <c r="E3998" s="16">
        <v>1500.4</v>
      </c>
      <c r="F3998" s="1">
        <v>44722</v>
      </c>
      <c r="G3998" t="s">
        <v>2027</v>
      </c>
      <c r="H3998">
        <v>4</v>
      </c>
      <c r="I3998" s="12">
        <f>Table16[[#This Row],[price]]*Table16[[#This Row],[quantity]]</f>
        <v>7502</v>
      </c>
    </row>
    <row r="3999" spans="1:9" x14ac:dyDescent="0.3">
      <c r="A3999" t="s">
        <v>6017</v>
      </c>
      <c r="B3999" t="s">
        <v>784</v>
      </c>
      <c r="C3999" t="s">
        <v>2011</v>
      </c>
      <c r="D3999">
        <v>1</v>
      </c>
      <c r="E3999" s="16">
        <v>40.659999999999997</v>
      </c>
      <c r="F3999" s="1">
        <v>44217</v>
      </c>
      <c r="G3999" t="s">
        <v>2004</v>
      </c>
      <c r="H3999">
        <v>2</v>
      </c>
      <c r="I3999" s="12">
        <f>Table16[[#This Row],[price]]*Table16[[#This Row],[quantity]]</f>
        <v>40.659999999999997</v>
      </c>
    </row>
    <row r="4000" spans="1:9" x14ac:dyDescent="0.3">
      <c r="A4000" t="s">
        <v>6015</v>
      </c>
      <c r="B4000" t="s">
        <v>784</v>
      </c>
      <c r="C4000" t="s">
        <v>2001</v>
      </c>
      <c r="D4000">
        <v>1</v>
      </c>
      <c r="E4000" s="16">
        <v>300.08</v>
      </c>
      <c r="F4000" s="1">
        <v>44541</v>
      </c>
      <c r="G4000" t="s">
        <v>2020</v>
      </c>
      <c r="H4000">
        <v>4</v>
      </c>
      <c r="I4000" s="12">
        <f>Table16[[#This Row],[price]]*Table16[[#This Row],[quantity]]</f>
        <v>300.08</v>
      </c>
    </row>
    <row r="4001" spans="1:9" x14ac:dyDescent="0.3">
      <c r="A4001" t="s">
        <v>6020</v>
      </c>
      <c r="B4001" t="s">
        <v>784</v>
      </c>
      <c r="C4001" t="s">
        <v>2057</v>
      </c>
      <c r="D4001">
        <v>2</v>
      </c>
      <c r="E4001" s="16">
        <v>23.46</v>
      </c>
      <c r="F4001" s="1">
        <v>44597</v>
      </c>
      <c r="G4001" t="s">
        <v>2004</v>
      </c>
      <c r="H4001">
        <v>1</v>
      </c>
      <c r="I4001" s="12">
        <f>Table16[[#This Row],[price]]*Table16[[#This Row],[quantity]]</f>
        <v>46.92</v>
      </c>
    </row>
    <row r="4002" spans="1:9" x14ac:dyDescent="0.3">
      <c r="A4002" t="s">
        <v>6016</v>
      </c>
      <c r="B4002" t="s">
        <v>784</v>
      </c>
      <c r="C4002" t="s">
        <v>2011</v>
      </c>
      <c r="D4002">
        <v>3</v>
      </c>
      <c r="E4002" s="16">
        <v>121.98</v>
      </c>
      <c r="F4002" s="1">
        <v>44618</v>
      </c>
      <c r="G4002" t="s">
        <v>2018</v>
      </c>
      <c r="H4002">
        <v>2</v>
      </c>
      <c r="I4002" s="12">
        <f>Table16[[#This Row],[price]]*Table16[[#This Row],[quantity]]</f>
        <v>365.94</v>
      </c>
    </row>
    <row r="4003" spans="1:9" x14ac:dyDescent="0.3">
      <c r="A4003" t="s">
        <v>6018</v>
      </c>
      <c r="B4003" t="s">
        <v>784</v>
      </c>
      <c r="C4003" t="s">
        <v>2001</v>
      </c>
      <c r="D4003">
        <v>3</v>
      </c>
      <c r="E4003" s="16">
        <v>900.24</v>
      </c>
      <c r="F4003" s="1">
        <v>44791</v>
      </c>
      <c r="G4003" t="s">
        <v>2004</v>
      </c>
      <c r="H4003">
        <v>3</v>
      </c>
      <c r="I4003" s="12">
        <f>Table16[[#This Row],[price]]*Table16[[#This Row],[quantity]]</f>
        <v>2700.7200000000003</v>
      </c>
    </row>
    <row r="4004" spans="1:9" x14ac:dyDescent="0.3">
      <c r="A4004" t="s">
        <v>6019</v>
      </c>
      <c r="B4004" t="s">
        <v>784</v>
      </c>
      <c r="C4004" t="s">
        <v>2001</v>
      </c>
      <c r="D4004">
        <v>2</v>
      </c>
      <c r="E4004" s="16">
        <v>600.16</v>
      </c>
      <c r="F4004" s="1">
        <v>44905</v>
      </c>
      <c r="G4004" t="s">
        <v>2041</v>
      </c>
      <c r="H4004">
        <v>3</v>
      </c>
      <c r="I4004" s="12">
        <f>Table16[[#This Row],[price]]*Table16[[#This Row],[quantity]]</f>
        <v>1200.32</v>
      </c>
    </row>
    <row r="4005" spans="1:9" x14ac:dyDescent="0.3">
      <c r="A4005" t="s">
        <v>6023</v>
      </c>
      <c r="B4005" t="s">
        <v>785</v>
      </c>
      <c r="C4005" t="s">
        <v>2001</v>
      </c>
      <c r="D4005">
        <v>3</v>
      </c>
      <c r="E4005" s="16">
        <v>900.24</v>
      </c>
      <c r="F4005" s="1">
        <v>44236</v>
      </c>
      <c r="G4005" t="s">
        <v>2027</v>
      </c>
      <c r="H4005">
        <v>3</v>
      </c>
      <c r="I4005" s="12">
        <f>Table16[[#This Row],[price]]*Table16[[#This Row],[quantity]]</f>
        <v>2700.7200000000003</v>
      </c>
    </row>
    <row r="4006" spans="1:9" x14ac:dyDescent="0.3">
      <c r="A4006" t="s">
        <v>6021</v>
      </c>
      <c r="B4006" t="s">
        <v>785</v>
      </c>
      <c r="C4006" t="s">
        <v>2024</v>
      </c>
      <c r="D4006">
        <v>2</v>
      </c>
      <c r="E4006" s="16">
        <v>71.680000000000007</v>
      </c>
      <c r="F4006" s="1">
        <v>44314</v>
      </c>
      <c r="G4006" t="s">
        <v>2012</v>
      </c>
      <c r="H4006">
        <v>3</v>
      </c>
      <c r="I4006" s="12">
        <f>Table16[[#This Row],[price]]*Table16[[#This Row],[quantity]]</f>
        <v>143.36000000000001</v>
      </c>
    </row>
    <row r="4007" spans="1:9" x14ac:dyDescent="0.3">
      <c r="A4007" t="s">
        <v>6025</v>
      </c>
      <c r="B4007" t="s">
        <v>785</v>
      </c>
      <c r="C4007" t="s">
        <v>2001</v>
      </c>
      <c r="D4007">
        <v>1</v>
      </c>
      <c r="E4007" s="16">
        <v>300.08</v>
      </c>
      <c r="F4007" s="1">
        <v>44434</v>
      </c>
      <c r="G4007" t="s">
        <v>2064</v>
      </c>
      <c r="H4007">
        <v>5</v>
      </c>
      <c r="I4007" s="12">
        <f>Table16[[#This Row],[price]]*Table16[[#This Row],[quantity]]</f>
        <v>300.08</v>
      </c>
    </row>
    <row r="4008" spans="1:9" x14ac:dyDescent="0.3">
      <c r="A4008" t="s">
        <v>6026</v>
      </c>
      <c r="B4008" t="s">
        <v>785</v>
      </c>
      <c r="C4008" t="s">
        <v>2057</v>
      </c>
      <c r="D4008">
        <v>2</v>
      </c>
      <c r="E4008" s="16">
        <v>23.46</v>
      </c>
      <c r="F4008" s="1">
        <v>44483</v>
      </c>
      <c r="G4008" t="s">
        <v>2004</v>
      </c>
      <c r="H4008">
        <v>4</v>
      </c>
      <c r="I4008" s="12">
        <f>Table16[[#This Row],[price]]*Table16[[#This Row],[quantity]]</f>
        <v>46.92</v>
      </c>
    </row>
    <row r="4009" spans="1:9" x14ac:dyDescent="0.3">
      <c r="A4009" t="s">
        <v>6024</v>
      </c>
      <c r="B4009" t="s">
        <v>785</v>
      </c>
      <c r="C4009" t="s">
        <v>2008</v>
      </c>
      <c r="D4009">
        <v>4</v>
      </c>
      <c r="E4009" s="16">
        <v>20.92</v>
      </c>
      <c r="F4009" s="1">
        <v>44596</v>
      </c>
      <c r="G4009" t="s">
        <v>2064</v>
      </c>
      <c r="H4009">
        <v>2</v>
      </c>
      <c r="I4009" s="12">
        <f>Table16[[#This Row],[price]]*Table16[[#This Row],[quantity]]</f>
        <v>83.68</v>
      </c>
    </row>
    <row r="4010" spans="1:9" x14ac:dyDescent="0.3">
      <c r="A4010" t="s">
        <v>6022</v>
      </c>
      <c r="B4010" t="s">
        <v>785</v>
      </c>
      <c r="C4010" t="s">
        <v>2024</v>
      </c>
      <c r="D4010">
        <v>2</v>
      </c>
      <c r="E4010" s="16">
        <v>71.680000000000007</v>
      </c>
      <c r="F4010" s="1">
        <v>44674</v>
      </c>
      <c r="G4010" t="s">
        <v>2027</v>
      </c>
      <c r="H4010">
        <v>1</v>
      </c>
      <c r="I4010" s="12">
        <f>Table16[[#This Row],[price]]*Table16[[#This Row],[quantity]]</f>
        <v>143.36000000000001</v>
      </c>
    </row>
    <row r="4011" spans="1:9" x14ac:dyDescent="0.3">
      <c r="A4011" t="s">
        <v>6027</v>
      </c>
      <c r="B4011" t="s">
        <v>785</v>
      </c>
      <c r="C4011" t="s">
        <v>2024</v>
      </c>
      <c r="D4011">
        <v>3</v>
      </c>
      <c r="E4011" s="16">
        <v>107.52</v>
      </c>
      <c r="F4011" s="1">
        <v>44693</v>
      </c>
      <c r="G4011" t="s">
        <v>2064</v>
      </c>
      <c r="H4011">
        <v>4</v>
      </c>
      <c r="I4011" s="12">
        <f>Table16[[#This Row],[price]]*Table16[[#This Row],[quantity]]</f>
        <v>322.56</v>
      </c>
    </row>
    <row r="4012" spans="1:9" x14ac:dyDescent="0.3">
      <c r="A4012" t="s">
        <v>6028</v>
      </c>
      <c r="B4012" t="s">
        <v>786</v>
      </c>
      <c r="C4012" t="s">
        <v>2008</v>
      </c>
      <c r="D4012">
        <v>1</v>
      </c>
      <c r="E4012" s="16">
        <v>5.23</v>
      </c>
      <c r="F4012" s="1">
        <v>44700</v>
      </c>
      <c r="G4012" t="s">
        <v>2004</v>
      </c>
      <c r="H4012">
        <v>5</v>
      </c>
      <c r="I4012" s="12">
        <f>Table16[[#This Row],[price]]*Table16[[#This Row],[quantity]]</f>
        <v>5.23</v>
      </c>
    </row>
    <row r="4013" spans="1:9" x14ac:dyDescent="0.3">
      <c r="A4013" t="s">
        <v>6032</v>
      </c>
      <c r="B4013" t="s">
        <v>787</v>
      </c>
      <c r="C4013" t="s">
        <v>2001</v>
      </c>
      <c r="D4013">
        <v>3</v>
      </c>
      <c r="E4013" s="16">
        <v>900.24</v>
      </c>
      <c r="F4013" s="1">
        <v>44415</v>
      </c>
      <c r="G4013" t="s">
        <v>2064</v>
      </c>
      <c r="H4013">
        <v>1</v>
      </c>
      <c r="I4013" s="12">
        <f>Table16[[#This Row],[price]]*Table16[[#This Row],[quantity]]</f>
        <v>2700.7200000000003</v>
      </c>
    </row>
    <row r="4014" spans="1:9" x14ac:dyDescent="0.3">
      <c r="A4014" t="s">
        <v>6033</v>
      </c>
      <c r="B4014" t="s">
        <v>787</v>
      </c>
      <c r="C4014" t="s">
        <v>2008</v>
      </c>
      <c r="D4014">
        <v>5</v>
      </c>
      <c r="E4014" s="16">
        <v>26.15</v>
      </c>
      <c r="F4014" s="1">
        <v>44468</v>
      </c>
      <c r="G4014" t="s">
        <v>2064</v>
      </c>
      <c r="H4014">
        <v>1</v>
      </c>
      <c r="I4014" s="12">
        <f>Table16[[#This Row],[price]]*Table16[[#This Row],[quantity]]</f>
        <v>130.75</v>
      </c>
    </row>
    <row r="4015" spans="1:9" x14ac:dyDescent="0.3">
      <c r="A4015" t="s">
        <v>6029</v>
      </c>
      <c r="B4015" t="s">
        <v>787</v>
      </c>
      <c r="C4015" t="s">
        <v>2008</v>
      </c>
      <c r="D4015">
        <v>4</v>
      </c>
      <c r="E4015" s="16">
        <v>20.92</v>
      </c>
      <c r="F4015" s="1">
        <v>44552</v>
      </c>
      <c r="G4015" t="s">
        <v>2027</v>
      </c>
      <c r="H4015">
        <v>3</v>
      </c>
      <c r="I4015" s="12">
        <f>Table16[[#This Row],[price]]*Table16[[#This Row],[quantity]]</f>
        <v>83.68</v>
      </c>
    </row>
    <row r="4016" spans="1:9" x14ac:dyDescent="0.3">
      <c r="A4016" t="s">
        <v>6031</v>
      </c>
      <c r="B4016" t="s">
        <v>787</v>
      </c>
      <c r="C4016" t="s">
        <v>2024</v>
      </c>
      <c r="D4016">
        <v>4</v>
      </c>
      <c r="E4016" s="16">
        <v>143.36000000000001</v>
      </c>
      <c r="F4016" s="1">
        <v>44688</v>
      </c>
      <c r="G4016" t="s">
        <v>2012</v>
      </c>
      <c r="H4016">
        <v>2</v>
      </c>
      <c r="I4016" s="12">
        <f>Table16[[#This Row],[price]]*Table16[[#This Row],[quantity]]</f>
        <v>573.44000000000005</v>
      </c>
    </row>
    <row r="4017" spans="1:9" x14ac:dyDescent="0.3">
      <c r="A4017" t="s">
        <v>6030</v>
      </c>
      <c r="B4017" t="s">
        <v>787</v>
      </c>
      <c r="C4017" t="s">
        <v>2011</v>
      </c>
      <c r="D4017">
        <v>2</v>
      </c>
      <c r="E4017" s="16">
        <v>81.319999999999993</v>
      </c>
      <c r="F4017" s="1">
        <v>44841</v>
      </c>
      <c r="G4017" t="s">
        <v>2027</v>
      </c>
      <c r="H4017">
        <v>5</v>
      </c>
      <c r="I4017" s="12">
        <f>Table16[[#This Row],[price]]*Table16[[#This Row],[quantity]]</f>
        <v>162.63999999999999</v>
      </c>
    </row>
    <row r="4018" spans="1:9" x14ac:dyDescent="0.3">
      <c r="A4018" t="s">
        <v>6036</v>
      </c>
      <c r="B4018" t="s">
        <v>788</v>
      </c>
      <c r="C4018" t="s">
        <v>2001</v>
      </c>
      <c r="D4018">
        <v>1</v>
      </c>
      <c r="E4018" s="16">
        <v>300.08</v>
      </c>
      <c r="F4018" s="1">
        <v>44200</v>
      </c>
      <c r="G4018" t="s">
        <v>2002</v>
      </c>
      <c r="H4018">
        <v>1</v>
      </c>
      <c r="I4018" s="12">
        <f>Table16[[#This Row],[price]]*Table16[[#This Row],[quantity]]</f>
        <v>300.08</v>
      </c>
    </row>
    <row r="4019" spans="1:9" x14ac:dyDescent="0.3">
      <c r="A4019" t="s">
        <v>6034</v>
      </c>
      <c r="B4019" t="s">
        <v>788</v>
      </c>
      <c r="C4019" t="s">
        <v>2001</v>
      </c>
      <c r="D4019">
        <v>2</v>
      </c>
      <c r="E4019" s="16">
        <v>600.16</v>
      </c>
      <c r="F4019" s="1">
        <v>44247</v>
      </c>
      <c r="G4019" t="s">
        <v>2009</v>
      </c>
      <c r="H4019">
        <v>3</v>
      </c>
      <c r="I4019" s="12">
        <f>Table16[[#This Row],[price]]*Table16[[#This Row],[quantity]]</f>
        <v>1200.32</v>
      </c>
    </row>
    <row r="4020" spans="1:9" x14ac:dyDescent="0.3">
      <c r="A4020" t="s">
        <v>6037</v>
      </c>
      <c r="B4020" t="s">
        <v>788</v>
      </c>
      <c r="C4020" t="s">
        <v>2006</v>
      </c>
      <c r="D4020">
        <v>4</v>
      </c>
      <c r="E4020" s="16">
        <v>60.6</v>
      </c>
      <c r="F4020" s="1">
        <v>44401</v>
      </c>
      <c r="G4020" t="s">
        <v>2002</v>
      </c>
      <c r="H4020">
        <v>3</v>
      </c>
      <c r="I4020" s="12">
        <f>Table16[[#This Row],[price]]*Table16[[#This Row],[quantity]]</f>
        <v>242.4</v>
      </c>
    </row>
    <row r="4021" spans="1:9" x14ac:dyDescent="0.3">
      <c r="A4021" t="s">
        <v>6035</v>
      </c>
      <c r="B4021" t="s">
        <v>788</v>
      </c>
      <c r="C4021" t="s">
        <v>2001</v>
      </c>
      <c r="D4021">
        <v>5</v>
      </c>
      <c r="E4021" s="16">
        <v>1500.4</v>
      </c>
      <c r="F4021" s="1">
        <v>44519</v>
      </c>
      <c r="G4021" t="s">
        <v>2064</v>
      </c>
      <c r="H4021">
        <v>4</v>
      </c>
      <c r="I4021" s="12">
        <f>Table16[[#This Row],[price]]*Table16[[#This Row],[quantity]]</f>
        <v>7502</v>
      </c>
    </row>
    <row r="4022" spans="1:9" x14ac:dyDescent="0.3">
      <c r="A4022" t="s">
        <v>6038</v>
      </c>
      <c r="B4022" t="s">
        <v>789</v>
      </c>
      <c r="C4022" t="s">
        <v>2001</v>
      </c>
      <c r="D4022">
        <v>3</v>
      </c>
      <c r="E4022" s="16">
        <v>900.24</v>
      </c>
      <c r="F4022" s="1">
        <v>44227</v>
      </c>
      <c r="G4022" t="s">
        <v>2027</v>
      </c>
      <c r="H4022">
        <v>4</v>
      </c>
      <c r="I4022" s="12">
        <f>Table16[[#This Row],[price]]*Table16[[#This Row],[quantity]]</f>
        <v>2700.7200000000003</v>
      </c>
    </row>
    <row r="4023" spans="1:9" x14ac:dyDescent="0.3">
      <c r="A4023" t="s">
        <v>6039</v>
      </c>
      <c r="B4023" t="s">
        <v>789</v>
      </c>
      <c r="C4023" t="s">
        <v>2011</v>
      </c>
      <c r="D4023">
        <v>4</v>
      </c>
      <c r="E4023" s="16">
        <v>162.63999999999999</v>
      </c>
      <c r="F4023" s="1">
        <v>44690</v>
      </c>
      <c r="G4023" t="s">
        <v>2020</v>
      </c>
      <c r="H4023">
        <v>4</v>
      </c>
      <c r="I4023" s="12">
        <f>Table16[[#This Row],[price]]*Table16[[#This Row],[quantity]]</f>
        <v>650.55999999999995</v>
      </c>
    </row>
    <row r="4024" spans="1:9" x14ac:dyDescent="0.3">
      <c r="A4024" t="s">
        <v>6041</v>
      </c>
      <c r="B4024" t="s">
        <v>789</v>
      </c>
      <c r="C4024" t="s">
        <v>2024</v>
      </c>
      <c r="D4024">
        <v>4</v>
      </c>
      <c r="E4024" s="16">
        <v>143.36000000000001</v>
      </c>
      <c r="F4024" s="1">
        <v>44951</v>
      </c>
      <c r="G4024" t="s">
        <v>2027</v>
      </c>
      <c r="H4024">
        <v>2</v>
      </c>
      <c r="I4024" s="12">
        <f>Table16[[#This Row],[price]]*Table16[[#This Row],[quantity]]</f>
        <v>573.44000000000005</v>
      </c>
    </row>
    <row r="4025" spans="1:9" x14ac:dyDescent="0.3">
      <c r="A4025" t="s">
        <v>6040</v>
      </c>
      <c r="B4025" t="s">
        <v>789</v>
      </c>
      <c r="C4025" t="s">
        <v>2011</v>
      </c>
      <c r="D4025">
        <v>2</v>
      </c>
      <c r="E4025" s="16">
        <v>81.319999999999993</v>
      </c>
      <c r="F4025" s="1">
        <v>44991</v>
      </c>
      <c r="G4025" t="s">
        <v>2002</v>
      </c>
      <c r="H4025">
        <v>4</v>
      </c>
      <c r="I4025" s="12">
        <f>Table16[[#This Row],[price]]*Table16[[#This Row],[quantity]]</f>
        <v>162.63999999999999</v>
      </c>
    </row>
    <row r="4026" spans="1:9" x14ac:dyDescent="0.3">
      <c r="A4026" t="s">
        <v>6042</v>
      </c>
      <c r="B4026" t="s">
        <v>790</v>
      </c>
      <c r="C4026" t="s">
        <v>2011</v>
      </c>
      <c r="D4026">
        <v>3</v>
      </c>
      <c r="E4026" s="16">
        <v>121.98</v>
      </c>
      <c r="F4026" s="1">
        <v>44318</v>
      </c>
      <c r="G4026" t="s">
        <v>2041</v>
      </c>
      <c r="H4026">
        <v>1</v>
      </c>
      <c r="I4026" s="12">
        <f>Table16[[#This Row],[price]]*Table16[[#This Row],[quantity]]</f>
        <v>365.94</v>
      </c>
    </row>
    <row r="4027" spans="1:9" x14ac:dyDescent="0.3">
      <c r="A4027" t="s">
        <v>6045</v>
      </c>
      <c r="B4027" t="s">
        <v>790</v>
      </c>
      <c r="C4027" t="s">
        <v>2024</v>
      </c>
      <c r="D4027">
        <v>1</v>
      </c>
      <c r="E4027" s="16">
        <v>35.840000000000003</v>
      </c>
      <c r="F4027" s="1">
        <v>44457</v>
      </c>
      <c r="G4027" t="s">
        <v>2004</v>
      </c>
      <c r="H4027">
        <v>1</v>
      </c>
      <c r="I4027" s="12">
        <f>Table16[[#This Row],[price]]*Table16[[#This Row],[quantity]]</f>
        <v>35.840000000000003</v>
      </c>
    </row>
    <row r="4028" spans="1:9" x14ac:dyDescent="0.3">
      <c r="A4028" t="s">
        <v>6046</v>
      </c>
      <c r="B4028" t="s">
        <v>790</v>
      </c>
      <c r="C4028" t="s">
        <v>2006</v>
      </c>
      <c r="D4028">
        <v>5</v>
      </c>
      <c r="E4028" s="16">
        <v>75.75</v>
      </c>
      <c r="F4028" s="1">
        <v>44770</v>
      </c>
      <c r="G4028" t="s">
        <v>2064</v>
      </c>
      <c r="H4028">
        <v>5</v>
      </c>
      <c r="I4028" s="12">
        <f>Table16[[#This Row],[price]]*Table16[[#This Row],[quantity]]</f>
        <v>378.75</v>
      </c>
    </row>
    <row r="4029" spans="1:9" x14ac:dyDescent="0.3">
      <c r="A4029" t="s">
        <v>6043</v>
      </c>
      <c r="B4029" t="s">
        <v>790</v>
      </c>
      <c r="C4029" t="s">
        <v>2001</v>
      </c>
      <c r="D4029">
        <v>2</v>
      </c>
      <c r="E4029" s="16">
        <v>600.16</v>
      </c>
      <c r="F4029" s="1">
        <v>44852</v>
      </c>
      <c r="G4029" t="s">
        <v>2027</v>
      </c>
      <c r="H4029">
        <v>5</v>
      </c>
      <c r="I4029" s="12">
        <f>Table16[[#This Row],[price]]*Table16[[#This Row],[quantity]]</f>
        <v>1200.32</v>
      </c>
    </row>
    <row r="4030" spans="1:9" x14ac:dyDescent="0.3">
      <c r="A4030" t="s">
        <v>6047</v>
      </c>
      <c r="B4030" t="s">
        <v>790</v>
      </c>
      <c r="C4030" t="s">
        <v>2011</v>
      </c>
      <c r="D4030">
        <v>1</v>
      </c>
      <c r="E4030" s="16">
        <v>40.659999999999997</v>
      </c>
      <c r="F4030" s="1">
        <v>44876</v>
      </c>
      <c r="G4030" t="s">
        <v>2064</v>
      </c>
      <c r="H4030">
        <v>5</v>
      </c>
      <c r="I4030" s="12">
        <f>Table16[[#This Row],[price]]*Table16[[#This Row],[quantity]]</f>
        <v>40.659999999999997</v>
      </c>
    </row>
    <row r="4031" spans="1:9" x14ac:dyDescent="0.3">
      <c r="A4031" t="s">
        <v>6044</v>
      </c>
      <c r="B4031" t="s">
        <v>790</v>
      </c>
      <c r="C4031" t="s">
        <v>2008</v>
      </c>
      <c r="D4031">
        <v>3</v>
      </c>
      <c r="E4031" s="16">
        <v>15.69</v>
      </c>
      <c r="F4031" s="1">
        <v>44901</v>
      </c>
      <c r="G4031" t="s">
        <v>2064</v>
      </c>
      <c r="H4031">
        <v>4</v>
      </c>
      <c r="I4031" s="12">
        <f>Table16[[#This Row],[price]]*Table16[[#This Row],[quantity]]</f>
        <v>47.07</v>
      </c>
    </row>
    <row r="4032" spans="1:9" x14ac:dyDescent="0.3">
      <c r="A4032" t="s">
        <v>6050</v>
      </c>
      <c r="B4032" t="s">
        <v>791</v>
      </c>
      <c r="C4032" t="s">
        <v>2015</v>
      </c>
      <c r="D4032">
        <v>1</v>
      </c>
      <c r="E4032" s="16">
        <v>600.16999999999996</v>
      </c>
      <c r="F4032" s="1">
        <v>44510</v>
      </c>
      <c r="G4032" t="s">
        <v>2027</v>
      </c>
      <c r="H4032">
        <v>3</v>
      </c>
      <c r="I4032" s="12">
        <f>Table16[[#This Row],[price]]*Table16[[#This Row],[quantity]]</f>
        <v>600.16999999999996</v>
      </c>
    </row>
    <row r="4033" spans="1:9" x14ac:dyDescent="0.3">
      <c r="A4033" t="s">
        <v>6048</v>
      </c>
      <c r="B4033" t="s">
        <v>791</v>
      </c>
      <c r="C4033" t="s">
        <v>2008</v>
      </c>
      <c r="D4033">
        <v>4</v>
      </c>
      <c r="E4033" s="16">
        <v>20.92</v>
      </c>
      <c r="F4033" s="1">
        <v>44637</v>
      </c>
      <c r="G4033" t="s">
        <v>2020</v>
      </c>
      <c r="H4033">
        <v>3</v>
      </c>
      <c r="I4033" s="12">
        <f>Table16[[#This Row],[price]]*Table16[[#This Row],[quantity]]</f>
        <v>83.68</v>
      </c>
    </row>
    <row r="4034" spans="1:9" x14ac:dyDescent="0.3">
      <c r="A4034" t="s">
        <v>6051</v>
      </c>
      <c r="B4034" t="s">
        <v>791</v>
      </c>
      <c r="C4034" t="s">
        <v>2008</v>
      </c>
      <c r="D4034">
        <v>2</v>
      </c>
      <c r="E4034" s="16">
        <v>10.46</v>
      </c>
      <c r="F4034" s="1">
        <v>44638</v>
      </c>
      <c r="G4034" t="s">
        <v>2004</v>
      </c>
      <c r="H4034">
        <v>1</v>
      </c>
      <c r="I4034" s="12">
        <f>Table16[[#This Row],[price]]*Table16[[#This Row],[quantity]]</f>
        <v>20.92</v>
      </c>
    </row>
    <row r="4035" spans="1:9" x14ac:dyDescent="0.3">
      <c r="A4035" t="s">
        <v>6049</v>
      </c>
      <c r="B4035" t="s">
        <v>791</v>
      </c>
      <c r="C4035" t="s">
        <v>2015</v>
      </c>
      <c r="D4035">
        <v>1</v>
      </c>
      <c r="E4035" s="16">
        <v>600.16999999999996</v>
      </c>
      <c r="F4035" s="1">
        <v>44645</v>
      </c>
      <c r="G4035" t="s">
        <v>2020</v>
      </c>
      <c r="H4035">
        <v>3</v>
      </c>
      <c r="I4035" s="12">
        <f>Table16[[#This Row],[price]]*Table16[[#This Row],[quantity]]</f>
        <v>600.16999999999996</v>
      </c>
    </row>
    <row r="4036" spans="1:9" x14ac:dyDescent="0.3">
      <c r="A4036" t="s">
        <v>6053</v>
      </c>
      <c r="B4036" t="s">
        <v>792</v>
      </c>
      <c r="C4036" t="s">
        <v>2001</v>
      </c>
      <c r="D4036">
        <v>5</v>
      </c>
      <c r="E4036" s="16">
        <v>1500.4</v>
      </c>
      <c r="F4036" s="1">
        <v>44342</v>
      </c>
      <c r="G4036" t="s">
        <v>2004</v>
      </c>
      <c r="H4036">
        <v>1</v>
      </c>
      <c r="I4036" s="12">
        <f>Table16[[#This Row],[price]]*Table16[[#This Row],[quantity]]</f>
        <v>7502</v>
      </c>
    </row>
    <row r="4037" spans="1:9" x14ac:dyDescent="0.3">
      <c r="A4037" t="s">
        <v>6054</v>
      </c>
      <c r="B4037" t="s">
        <v>792</v>
      </c>
      <c r="C4037" t="s">
        <v>2024</v>
      </c>
      <c r="D4037">
        <v>5</v>
      </c>
      <c r="E4037" s="16">
        <v>179.2</v>
      </c>
      <c r="F4037" s="1">
        <v>44460</v>
      </c>
      <c r="G4037" t="s">
        <v>2002</v>
      </c>
      <c r="H4037">
        <v>4</v>
      </c>
      <c r="I4037" s="12">
        <f>Table16[[#This Row],[price]]*Table16[[#This Row],[quantity]]</f>
        <v>896</v>
      </c>
    </row>
    <row r="4038" spans="1:9" x14ac:dyDescent="0.3">
      <c r="A4038" t="s">
        <v>6056</v>
      </c>
      <c r="B4038" t="s">
        <v>792</v>
      </c>
      <c r="C4038" t="s">
        <v>2006</v>
      </c>
      <c r="D4038">
        <v>1</v>
      </c>
      <c r="E4038" s="16">
        <v>15.15</v>
      </c>
      <c r="F4038" s="1">
        <v>44534</v>
      </c>
      <c r="G4038" t="s">
        <v>2004</v>
      </c>
      <c r="H4038">
        <v>3</v>
      </c>
      <c r="I4038" s="12">
        <f>Table16[[#This Row],[price]]*Table16[[#This Row],[quantity]]</f>
        <v>15.15</v>
      </c>
    </row>
    <row r="4039" spans="1:9" x14ac:dyDescent="0.3">
      <c r="A4039" t="s">
        <v>6052</v>
      </c>
      <c r="B4039" t="s">
        <v>792</v>
      </c>
      <c r="C4039" t="s">
        <v>2001</v>
      </c>
      <c r="D4039">
        <v>5</v>
      </c>
      <c r="E4039" s="16">
        <v>1500.4</v>
      </c>
      <c r="F4039" s="1">
        <v>44573</v>
      </c>
      <c r="G4039" t="s">
        <v>2020</v>
      </c>
      <c r="H4039">
        <v>4</v>
      </c>
      <c r="I4039" s="12">
        <f>Table16[[#This Row],[price]]*Table16[[#This Row],[quantity]]</f>
        <v>7502</v>
      </c>
    </row>
    <row r="4040" spans="1:9" x14ac:dyDescent="0.3">
      <c r="A4040" t="s">
        <v>6058</v>
      </c>
      <c r="B4040" t="s">
        <v>792</v>
      </c>
      <c r="C4040" t="s">
        <v>2011</v>
      </c>
      <c r="D4040">
        <v>2</v>
      </c>
      <c r="E4040" s="16">
        <v>81.319999999999993</v>
      </c>
      <c r="F4040" s="1">
        <v>44807</v>
      </c>
      <c r="G4040" t="s">
        <v>2020</v>
      </c>
      <c r="H4040">
        <v>4</v>
      </c>
      <c r="I4040" s="12">
        <f>Table16[[#This Row],[price]]*Table16[[#This Row],[quantity]]</f>
        <v>162.63999999999999</v>
      </c>
    </row>
    <row r="4041" spans="1:9" x14ac:dyDescent="0.3">
      <c r="A4041" t="s">
        <v>6057</v>
      </c>
      <c r="B4041" t="s">
        <v>792</v>
      </c>
      <c r="C4041" t="s">
        <v>2008</v>
      </c>
      <c r="D4041">
        <v>2</v>
      </c>
      <c r="E4041" s="16">
        <v>10.46</v>
      </c>
      <c r="F4041" s="1">
        <v>44918</v>
      </c>
      <c r="G4041" t="s">
        <v>2064</v>
      </c>
      <c r="H4041">
        <v>1</v>
      </c>
      <c r="I4041" s="12">
        <f>Table16[[#This Row],[price]]*Table16[[#This Row],[quantity]]</f>
        <v>20.92</v>
      </c>
    </row>
    <row r="4042" spans="1:9" x14ac:dyDescent="0.3">
      <c r="A4042" t="s">
        <v>6055</v>
      </c>
      <c r="B4042" t="s">
        <v>792</v>
      </c>
      <c r="C4042" t="s">
        <v>2017</v>
      </c>
      <c r="D4042">
        <v>3</v>
      </c>
      <c r="E4042" s="16">
        <v>3150</v>
      </c>
      <c r="F4042" s="1">
        <v>44978</v>
      </c>
      <c r="G4042" t="s">
        <v>2020</v>
      </c>
      <c r="H4042">
        <v>2</v>
      </c>
      <c r="I4042" s="12">
        <f>Table16[[#This Row],[price]]*Table16[[#This Row],[quantity]]</f>
        <v>9450</v>
      </c>
    </row>
    <row r="4043" spans="1:9" x14ac:dyDescent="0.3">
      <c r="A4043" t="s">
        <v>6061</v>
      </c>
      <c r="B4043" t="s">
        <v>793</v>
      </c>
      <c r="C4043" t="s">
        <v>2057</v>
      </c>
      <c r="D4043">
        <v>3</v>
      </c>
      <c r="E4043" s="16">
        <v>35.19</v>
      </c>
      <c r="F4043" s="1">
        <v>44231</v>
      </c>
      <c r="G4043" t="s">
        <v>2004</v>
      </c>
      <c r="H4043">
        <v>3</v>
      </c>
      <c r="I4043" s="12">
        <f>Table16[[#This Row],[price]]*Table16[[#This Row],[quantity]]</f>
        <v>105.57</v>
      </c>
    </row>
    <row r="4044" spans="1:9" x14ac:dyDescent="0.3">
      <c r="A4044" t="s">
        <v>6064</v>
      </c>
      <c r="B4044" t="s">
        <v>793</v>
      </c>
      <c r="C4044" t="s">
        <v>2057</v>
      </c>
      <c r="D4044">
        <v>3</v>
      </c>
      <c r="E4044" s="16">
        <v>35.19</v>
      </c>
      <c r="F4044" s="1">
        <v>44489</v>
      </c>
      <c r="G4044" t="s">
        <v>2012</v>
      </c>
      <c r="H4044">
        <v>5</v>
      </c>
      <c r="I4044" s="12">
        <f>Table16[[#This Row],[price]]*Table16[[#This Row],[quantity]]</f>
        <v>105.57</v>
      </c>
    </row>
    <row r="4045" spans="1:9" x14ac:dyDescent="0.3">
      <c r="A4045" t="s">
        <v>6059</v>
      </c>
      <c r="B4045" t="s">
        <v>793</v>
      </c>
      <c r="C4045" t="s">
        <v>2011</v>
      </c>
      <c r="D4045">
        <v>4</v>
      </c>
      <c r="E4045" s="16">
        <v>162.63999999999999</v>
      </c>
      <c r="F4045" s="1">
        <v>44688</v>
      </c>
      <c r="G4045" t="s">
        <v>2002</v>
      </c>
      <c r="H4045">
        <v>3</v>
      </c>
      <c r="I4045" s="12">
        <f>Table16[[#This Row],[price]]*Table16[[#This Row],[quantity]]</f>
        <v>650.55999999999995</v>
      </c>
    </row>
    <row r="4046" spans="1:9" x14ac:dyDescent="0.3">
      <c r="A4046" t="s">
        <v>6060</v>
      </c>
      <c r="B4046" t="s">
        <v>793</v>
      </c>
      <c r="C4046" t="s">
        <v>2011</v>
      </c>
      <c r="D4046">
        <v>5</v>
      </c>
      <c r="E4046" s="16">
        <v>203.3</v>
      </c>
      <c r="F4046" s="1">
        <v>44708</v>
      </c>
      <c r="G4046" t="s">
        <v>2004</v>
      </c>
      <c r="H4046">
        <v>3</v>
      </c>
      <c r="I4046" s="12">
        <f>Table16[[#This Row],[price]]*Table16[[#This Row],[quantity]]</f>
        <v>1016.5</v>
      </c>
    </row>
    <row r="4047" spans="1:9" x14ac:dyDescent="0.3">
      <c r="A4047" t="s">
        <v>6062</v>
      </c>
      <c r="B4047" t="s">
        <v>793</v>
      </c>
      <c r="C4047" t="s">
        <v>2001</v>
      </c>
      <c r="D4047">
        <v>4</v>
      </c>
      <c r="E4047" s="16">
        <v>1200.32</v>
      </c>
      <c r="F4047" s="1">
        <v>44754</v>
      </c>
      <c r="G4047" t="s">
        <v>2064</v>
      </c>
      <c r="H4047">
        <v>2</v>
      </c>
      <c r="I4047" s="12">
        <f>Table16[[#This Row],[price]]*Table16[[#This Row],[quantity]]</f>
        <v>4801.28</v>
      </c>
    </row>
    <row r="4048" spans="1:9" x14ac:dyDescent="0.3">
      <c r="A4048" t="s">
        <v>6065</v>
      </c>
      <c r="B4048" t="s">
        <v>793</v>
      </c>
      <c r="C4048" t="s">
        <v>2001</v>
      </c>
      <c r="D4048">
        <v>3</v>
      </c>
      <c r="E4048" s="16">
        <v>900.24</v>
      </c>
      <c r="F4048" s="1">
        <v>44828</v>
      </c>
      <c r="G4048" t="s">
        <v>2004</v>
      </c>
      <c r="H4048">
        <v>2</v>
      </c>
      <c r="I4048" s="12">
        <f>Table16[[#This Row],[price]]*Table16[[#This Row],[quantity]]</f>
        <v>2700.7200000000003</v>
      </c>
    </row>
    <row r="4049" spans="1:9" x14ac:dyDescent="0.3">
      <c r="A4049" t="s">
        <v>6063</v>
      </c>
      <c r="B4049" t="s">
        <v>793</v>
      </c>
      <c r="C4049" t="s">
        <v>2011</v>
      </c>
      <c r="D4049">
        <v>1</v>
      </c>
      <c r="E4049" s="16">
        <v>40.659999999999997</v>
      </c>
      <c r="F4049" s="1">
        <v>44923</v>
      </c>
      <c r="G4049" t="s">
        <v>2018</v>
      </c>
      <c r="H4049">
        <v>1</v>
      </c>
      <c r="I4049" s="12">
        <f>Table16[[#This Row],[price]]*Table16[[#This Row],[quantity]]</f>
        <v>40.659999999999997</v>
      </c>
    </row>
    <row r="4050" spans="1:9" x14ac:dyDescent="0.3">
      <c r="A4050" t="s">
        <v>6068</v>
      </c>
      <c r="B4050" t="s">
        <v>794</v>
      </c>
      <c r="C4050" t="s">
        <v>2001</v>
      </c>
      <c r="D4050">
        <v>4</v>
      </c>
      <c r="E4050" s="16">
        <v>1200.32</v>
      </c>
      <c r="F4050" s="1">
        <v>44785</v>
      </c>
      <c r="G4050" t="s">
        <v>2004</v>
      </c>
      <c r="H4050">
        <v>4</v>
      </c>
      <c r="I4050" s="12">
        <f>Table16[[#This Row],[price]]*Table16[[#This Row],[quantity]]</f>
        <v>4801.28</v>
      </c>
    </row>
    <row r="4051" spans="1:9" x14ac:dyDescent="0.3">
      <c r="A4051" t="s">
        <v>6066</v>
      </c>
      <c r="B4051" t="s">
        <v>794</v>
      </c>
      <c r="C4051" t="s">
        <v>2001</v>
      </c>
      <c r="D4051">
        <v>5</v>
      </c>
      <c r="E4051" s="16">
        <v>1500.4</v>
      </c>
      <c r="F4051" s="1">
        <v>44964</v>
      </c>
      <c r="G4051" t="s">
        <v>2064</v>
      </c>
      <c r="H4051">
        <v>5</v>
      </c>
      <c r="I4051" s="12">
        <f>Table16[[#This Row],[price]]*Table16[[#This Row],[quantity]]</f>
        <v>7502</v>
      </c>
    </row>
    <row r="4052" spans="1:9" x14ac:dyDescent="0.3">
      <c r="A4052" t="s">
        <v>6067</v>
      </c>
      <c r="B4052" t="s">
        <v>794</v>
      </c>
      <c r="C4052" t="s">
        <v>2008</v>
      </c>
      <c r="D4052">
        <v>2</v>
      </c>
      <c r="E4052" s="16">
        <v>10.46</v>
      </c>
      <c r="F4052" s="1">
        <v>44965</v>
      </c>
      <c r="G4052" t="s">
        <v>2027</v>
      </c>
      <c r="H4052">
        <v>5</v>
      </c>
      <c r="I4052" s="12">
        <f>Table16[[#This Row],[price]]*Table16[[#This Row],[quantity]]</f>
        <v>20.92</v>
      </c>
    </row>
    <row r="4053" spans="1:9" x14ac:dyDescent="0.3">
      <c r="A4053" t="s">
        <v>6070</v>
      </c>
      <c r="B4053" t="s">
        <v>795</v>
      </c>
      <c r="C4053" t="s">
        <v>2006</v>
      </c>
      <c r="D4053">
        <v>2</v>
      </c>
      <c r="E4053" s="16">
        <v>30.3</v>
      </c>
      <c r="F4053" s="1">
        <v>44687</v>
      </c>
      <c r="G4053" t="s">
        <v>2027</v>
      </c>
      <c r="H4053">
        <v>5</v>
      </c>
      <c r="I4053" s="12">
        <f>Table16[[#This Row],[price]]*Table16[[#This Row],[quantity]]</f>
        <v>60.6</v>
      </c>
    </row>
    <row r="4054" spans="1:9" x14ac:dyDescent="0.3">
      <c r="A4054" t="s">
        <v>6069</v>
      </c>
      <c r="B4054" t="s">
        <v>795</v>
      </c>
      <c r="C4054" t="s">
        <v>2006</v>
      </c>
      <c r="D4054">
        <v>1</v>
      </c>
      <c r="E4054" s="16">
        <v>15.15</v>
      </c>
      <c r="F4054" s="1">
        <v>44877</v>
      </c>
      <c r="G4054" t="s">
        <v>2041</v>
      </c>
      <c r="H4054">
        <v>4</v>
      </c>
      <c r="I4054" s="12">
        <f>Table16[[#This Row],[price]]*Table16[[#This Row],[quantity]]</f>
        <v>15.15</v>
      </c>
    </row>
    <row r="4055" spans="1:9" x14ac:dyDescent="0.3">
      <c r="A4055" t="s">
        <v>6072</v>
      </c>
      <c r="B4055" t="s">
        <v>796</v>
      </c>
      <c r="C4055" t="s">
        <v>2008</v>
      </c>
      <c r="D4055">
        <v>4</v>
      </c>
      <c r="E4055" s="16">
        <v>20.92</v>
      </c>
      <c r="F4055" s="1">
        <v>44591</v>
      </c>
      <c r="G4055" t="s">
        <v>2064</v>
      </c>
      <c r="H4055">
        <v>4</v>
      </c>
      <c r="I4055" s="12">
        <f>Table16[[#This Row],[price]]*Table16[[#This Row],[quantity]]</f>
        <v>83.68</v>
      </c>
    </row>
    <row r="4056" spans="1:9" x14ac:dyDescent="0.3">
      <c r="A4056" t="s">
        <v>6071</v>
      </c>
      <c r="B4056" t="s">
        <v>796</v>
      </c>
      <c r="C4056" t="s">
        <v>2001</v>
      </c>
      <c r="D4056">
        <v>2</v>
      </c>
      <c r="E4056" s="16">
        <v>600.16</v>
      </c>
      <c r="F4056" s="1">
        <v>44671</v>
      </c>
      <c r="G4056" t="s">
        <v>2002</v>
      </c>
      <c r="H4056">
        <v>5</v>
      </c>
      <c r="I4056" s="12">
        <f>Table16[[#This Row],[price]]*Table16[[#This Row],[quantity]]</f>
        <v>1200.32</v>
      </c>
    </row>
    <row r="4057" spans="1:9" x14ac:dyDescent="0.3">
      <c r="A4057" t="s">
        <v>6073</v>
      </c>
      <c r="B4057" t="s">
        <v>796</v>
      </c>
      <c r="C4057" t="s">
        <v>2057</v>
      </c>
      <c r="D4057">
        <v>3</v>
      </c>
      <c r="E4057" s="16">
        <v>35.19</v>
      </c>
      <c r="F4057" s="1">
        <v>44715</v>
      </c>
      <c r="G4057" t="s">
        <v>2027</v>
      </c>
      <c r="H4057">
        <v>5</v>
      </c>
      <c r="I4057" s="12">
        <f>Table16[[#This Row],[price]]*Table16[[#This Row],[quantity]]</f>
        <v>105.57</v>
      </c>
    </row>
    <row r="4058" spans="1:9" x14ac:dyDescent="0.3">
      <c r="A4058" t="s">
        <v>6074</v>
      </c>
      <c r="B4058" t="s">
        <v>796</v>
      </c>
      <c r="C4058" t="s">
        <v>2024</v>
      </c>
      <c r="D4058">
        <v>3</v>
      </c>
      <c r="E4058" s="16">
        <v>107.52</v>
      </c>
      <c r="F4058" s="1">
        <v>44748</v>
      </c>
      <c r="G4058" t="s">
        <v>2002</v>
      </c>
      <c r="H4058">
        <v>3</v>
      </c>
      <c r="I4058" s="12">
        <f>Table16[[#This Row],[price]]*Table16[[#This Row],[quantity]]</f>
        <v>322.56</v>
      </c>
    </row>
    <row r="4059" spans="1:9" x14ac:dyDescent="0.3">
      <c r="A4059" t="s">
        <v>6075</v>
      </c>
      <c r="B4059" t="s">
        <v>797</v>
      </c>
      <c r="C4059" t="s">
        <v>2011</v>
      </c>
      <c r="D4059">
        <v>1</v>
      </c>
      <c r="E4059" s="16">
        <v>40.659999999999997</v>
      </c>
      <c r="F4059" s="1">
        <v>44232</v>
      </c>
      <c r="G4059" t="s">
        <v>2004</v>
      </c>
      <c r="H4059">
        <v>2</v>
      </c>
      <c r="I4059" s="12">
        <f>Table16[[#This Row],[price]]*Table16[[#This Row],[quantity]]</f>
        <v>40.659999999999997</v>
      </c>
    </row>
    <row r="4060" spans="1:9" x14ac:dyDescent="0.3">
      <c r="A4060" t="s">
        <v>6081</v>
      </c>
      <c r="B4060" t="s">
        <v>797</v>
      </c>
      <c r="C4060" t="s">
        <v>2011</v>
      </c>
      <c r="D4060">
        <v>1</v>
      </c>
      <c r="E4060" s="16">
        <v>40.659999999999997</v>
      </c>
      <c r="F4060" s="1">
        <v>44237</v>
      </c>
      <c r="G4060" t="s">
        <v>2027</v>
      </c>
      <c r="H4060">
        <v>5</v>
      </c>
      <c r="I4060" s="12">
        <f>Table16[[#This Row],[price]]*Table16[[#This Row],[quantity]]</f>
        <v>40.659999999999997</v>
      </c>
    </row>
    <row r="4061" spans="1:9" x14ac:dyDescent="0.3">
      <c r="A4061" t="s">
        <v>6080</v>
      </c>
      <c r="B4061" t="s">
        <v>797</v>
      </c>
      <c r="C4061" t="s">
        <v>2024</v>
      </c>
      <c r="D4061">
        <v>1</v>
      </c>
      <c r="E4061" s="16">
        <v>35.840000000000003</v>
      </c>
      <c r="F4061" s="1">
        <v>44437</v>
      </c>
      <c r="G4061" t="s">
        <v>2009</v>
      </c>
      <c r="H4061">
        <v>2</v>
      </c>
      <c r="I4061" s="12">
        <f>Table16[[#This Row],[price]]*Table16[[#This Row],[quantity]]</f>
        <v>35.840000000000003</v>
      </c>
    </row>
    <row r="4062" spans="1:9" x14ac:dyDescent="0.3">
      <c r="A4062" t="s">
        <v>6078</v>
      </c>
      <c r="B4062" t="s">
        <v>797</v>
      </c>
      <c r="C4062" t="s">
        <v>2006</v>
      </c>
      <c r="D4062">
        <v>2</v>
      </c>
      <c r="E4062" s="16">
        <v>30.3</v>
      </c>
      <c r="F4062" s="1">
        <v>44644</v>
      </c>
      <c r="G4062" t="s">
        <v>2004</v>
      </c>
      <c r="H4062">
        <v>5</v>
      </c>
      <c r="I4062" s="12">
        <f>Table16[[#This Row],[price]]*Table16[[#This Row],[quantity]]</f>
        <v>60.6</v>
      </c>
    </row>
    <row r="4063" spans="1:9" x14ac:dyDescent="0.3">
      <c r="A4063" t="s">
        <v>6077</v>
      </c>
      <c r="B4063" t="s">
        <v>797</v>
      </c>
      <c r="C4063" t="s">
        <v>2001</v>
      </c>
      <c r="D4063">
        <v>2</v>
      </c>
      <c r="E4063" s="16">
        <v>600.16</v>
      </c>
      <c r="F4063" s="1">
        <v>44646</v>
      </c>
      <c r="G4063" t="s">
        <v>2027</v>
      </c>
      <c r="H4063">
        <v>1</v>
      </c>
      <c r="I4063" s="12">
        <f>Table16[[#This Row],[price]]*Table16[[#This Row],[quantity]]</f>
        <v>1200.32</v>
      </c>
    </row>
    <row r="4064" spans="1:9" x14ac:dyDescent="0.3">
      <c r="A4064" t="s">
        <v>6079</v>
      </c>
      <c r="B4064" t="s">
        <v>797</v>
      </c>
      <c r="C4064" t="s">
        <v>2015</v>
      </c>
      <c r="D4064">
        <v>4</v>
      </c>
      <c r="E4064" s="16">
        <v>2400.6799999999998</v>
      </c>
      <c r="F4064" s="1">
        <v>44747</v>
      </c>
      <c r="G4064" t="s">
        <v>2012</v>
      </c>
      <c r="H4064">
        <v>2</v>
      </c>
      <c r="I4064" s="12">
        <f>Table16[[#This Row],[price]]*Table16[[#This Row],[quantity]]</f>
        <v>9602.7199999999993</v>
      </c>
    </row>
    <row r="4065" spans="1:9" x14ac:dyDescent="0.3">
      <c r="A4065" t="s">
        <v>6082</v>
      </c>
      <c r="B4065" t="s">
        <v>797</v>
      </c>
      <c r="C4065" t="s">
        <v>2024</v>
      </c>
      <c r="D4065">
        <v>4</v>
      </c>
      <c r="E4065" s="16">
        <v>143.36000000000001</v>
      </c>
      <c r="F4065" s="1">
        <v>44773</v>
      </c>
      <c r="G4065" t="s">
        <v>2002</v>
      </c>
      <c r="H4065">
        <v>1</v>
      </c>
      <c r="I4065" s="12">
        <f>Table16[[#This Row],[price]]*Table16[[#This Row],[quantity]]</f>
        <v>573.44000000000005</v>
      </c>
    </row>
    <row r="4066" spans="1:9" x14ac:dyDescent="0.3">
      <c r="A4066" t="s">
        <v>6076</v>
      </c>
      <c r="B4066" t="s">
        <v>797</v>
      </c>
      <c r="C4066" t="s">
        <v>2008</v>
      </c>
      <c r="D4066">
        <v>2</v>
      </c>
      <c r="E4066" s="16">
        <v>10.46</v>
      </c>
      <c r="F4066" s="1">
        <v>44964</v>
      </c>
      <c r="G4066" t="s">
        <v>2027</v>
      </c>
      <c r="H4066">
        <v>2</v>
      </c>
      <c r="I4066" s="12">
        <f>Table16[[#This Row],[price]]*Table16[[#This Row],[quantity]]</f>
        <v>20.92</v>
      </c>
    </row>
    <row r="4067" spans="1:9" x14ac:dyDescent="0.3">
      <c r="A4067" t="s">
        <v>6084</v>
      </c>
      <c r="B4067" t="s">
        <v>798</v>
      </c>
      <c r="C4067" t="s">
        <v>2011</v>
      </c>
      <c r="D4067">
        <v>5</v>
      </c>
      <c r="E4067" s="16">
        <v>203.3</v>
      </c>
      <c r="F4067" s="1">
        <v>44315</v>
      </c>
      <c r="G4067" t="s">
        <v>2002</v>
      </c>
      <c r="H4067">
        <v>3</v>
      </c>
      <c r="I4067" s="12">
        <f>Table16[[#This Row],[price]]*Table16[[#This Row],[quantity]]</f>
        <v>1016.5</v>
      </c>
    </row>
    <row r="4068" spans="1:9" x14ac:dyDescent="0.3">
      <c r="A4068" t="s">
        <v>6083</v>
      </c>
      <c r="B4068" t="s">
        <v>798</v>
      </c>
      <c r="C4068" t="s">
        <v>2001</v>
      </c>
      <c r="D4068">
        <v>1</v>
      </c>
      <c r="E4068" s="16">
        <v>300.08</v>
      </c>
      <c r="F4068" s="1">
        <v>44912</v>
      </c>
      <c r="G4068" t="s">
        <v>2020</v>
      </c>
      <c r="H4068">
        <v>2</v>
      </c>
      <c r="I4068" s="12">
        <f>Table16[[#This Row],[price]]*Table16[[#This Row],[quantity]]</f>
        <v>300.08</v>
      </c>
    </row>
    <row r="4069" spans="1:9" x14ac:dyDescent="0.3">
      <c r="A4069" t="s">
        <v>6087</v>
      </c>
      <c r="B4069" t="s">
        <v>799</v>
      </c>
      <c r="C4069" t="s">
        <v>2001</v>
      </c>
      <c r="D4069">
        <v>2</v>
      </c>
      <c r="E4069" s="16">
        <v>600.16</v>
      </c>
      <c r="F4069" s="1">
        <v>44294</v>
      </c>
      <c r="G4069" t="s">
        <v>2004</v>
      </c>
      <c r="H4069">
        <v>2</v>
      </c>
      <c r="I4069" s="12">
        <f>Table16[[#This Row],[price]]*Table16[[#This Row],[quantity]]</f>
        <v>1200.32</v>
      </c>
    </row>
    <row r="4070" spans="1:9" x14ac:dyDescent="0.3">
      <c r="A4070" t="s">
        <v>6085</v>
      </c>
      <c r="B4070" t="s">
        <v>799</v>
      </c>
      <c r="C4070" t="s">
        <v>2024</v>
      </c>
      <c r="D4070">
        <v>1</v>
      </c>
      <c r="E4070" s="16">
        <v>35.840000000000003</v>
      </c>
      <c r="F4070" s="1">
        <v>44406</v>
      </c>
      <c r="G4070" t="s">
        <v>2004</v>
      </c>
      <c r="H4070">
        <v>3</v>
      </c>
      <c r="I4070" s="12">
        <f>Table16[[#This Row],[price]]*Table16[[#This Row],[quantity]]</f>
        <v>35.840000000000003</v>
      </c>
    </row>
    <row r="4071" spans="1:9" x14ac:dyDescent="0.3">
      <c r="A4071" t="s">
        <v>6089</v>
      </c>
      <c r="B4071" t="s">
        <v>799</v>
      </c>
      <c r="C4071" t="s">
        <v>2024</v>
      </c>
      <c r="D4071">
        <v>5</v>
      </c>
      <c r="E4071" s="16">
        <v>179.2</v>
      </c>
      <c r="F4071" s="1">
        <v>44962</v>
      </c>
      <c r="G4071" t="s">
        <v>2002</v>
      </c>
      <c r="H4071">
        <v>1</v>
      </c>
      <c r="I4071" s="12">
        <f>Table16[[#This Row],[price]]*Table16[[#This Row],[quantity]]</f>
        <v>896</v>
      </c>
    </row>
    <row r="4072" spans="1:9" x14ac:dyDescent="0.3">
      <c r="A4072" t="s">
        <v>6086</v>
      </c>
      <c r="B4072" t="s">
        <v>799</v>
      </c>
      <c r="C4072" t="s">
        <v>2001</v>
      </c>
      <c r="D4072">
        <v>3</v>
      </c>
      <c r="E4072" s="16">
        <v>900.24</v>
      </c>
      <c r="F4072" s="1">
        <v>44963</v>
      </c>
      <c r="G4072" t="s">
        <v>2027</v>
      </c>
      <c r="H4072">
        <v>2</v>
      </c>
      <c r="I4072" s="12">
        <f>Table16[[#This Row],[price]]*Table16[[#This Row],[quantity]]</f>
        <v>2700.7200000000003</v>
      </c>
    </row>
    <row r="4073" spans="1:9" x14ac:dyDescent="0.3">
      <c r="A4073" t="s">
        <v>6088</v>
      </c>
      <c r="B4073" t="s">
        <v>799</v>
      </c>
      <c r="C4073" t="s">
        <v>2001</v>
      </c>
      <c r="D4073">
        <v>3</v>
      </c>
      <c r="E4073" s="16">
        <v>900.24</v>
      </c>
      <c r="F4073" s="1">
        <v>44974</v>
      </c>
      <c r="G4073" t="s">
        <v>2018</v>
      </c>
      <c r="H4073">
        <v>2</v>
      </c>
      <c r="I4073" s="12">
        <f>Table16[[#This Row],[price]]*Table16[[#This Row],[quantity]]</f>
        <v>2700.7200000000003</v>
      </c>
    </row>
    <row r="4074" spans="1:9" x14ac:dyDescent="0.3">
      <c r="A4074" t="s">
        <v>6092</v>
      </c>
      <c r="B4074" t="s">
        <v>800</v>
      </c>
      <c r="C4074" t="s">
        <v>2017</v>
      </c>
      <c r="D4074">
        <v>3</v>
      </c>
      <c r="E4074" s="16">
        <v>3150</v>
      </c>
      <c r="F4074" s="1">
        <v>44279</v>
      </c>
      <c r="G4074" t="s">
        <v>2064</v>
      </c>
      <c r="H4074">
        <v>4</v>
      </c>
      <c r="I4074" s="12">
        <f>Table16[[#This Row],[price]]*Table16[[#This Row],[quantity]]</f>
        <v>9450</v>
      </c>
    </row>
    <row r="4075" spans="1:9" x14ac:dyDescent="0.3">
      <c r="A4075" t="s">
        <v>6093</v>
      </c>
      <c r="B4075" t="s">
        <v>800</v>
      </c>
      <c r="C4075" t="s">
        <v>2024</v>
      </c>
      <c r="D4075">
        <v>2</v>
      </c>
      <c r="E4075" s="16">
        <v>71.680000000000007</v>
      </c>
      <c r="F4075" s="1">
        <v>44389</v>
      </c>
      <c r="G4075" t="s">
        <v>2004</v>
      </c>
      <c r="H4075">
        <v>3</v>
      </c>
      <c r="I4075" s="12">
        <f>Table16[[#This Row],[price]]*Table16[[#This Row],[quantity]]</f>
        <v>143.36000000000001</v>
      </c>
    </row>
    <row r="4076" spans="1:9" x14ac:dyDescent="0.3">
      <c r="A4076" t="s">
        <v>6090</v>
      </c>
      <c r="B4076" t="s">
        <v>800</v>
      </c>
      <c r="C4076" t="s">
        <v>2008</v>
      </c>
      <c r="D4076">
        <v>4</v>
      </c>
      <c r="E4076" s="16">
        <v>20.92</v>
      </c>
      <c r="F4076" s="1">
        <v>44605</v>
      </c>
      <c r="G4076" t="s">
        <v>2012</v>
      </c>
      <c r="H4076">
        <v>5</v>
      </c>
      <c r="I4076" s="12">
        <f>Table16[[#This Row],[price]]*Table16[[#This Row],[quantity]]</f>
        <v>83.68</v>
      </c>
    </row>
    <row r="4077" spans="1:9" x14ac:dyDescent="0.3">
      <c r="A4077" t="s">
        <v>6091</v>
      </c>
      <c r="B4077" t="s">
        <v>800</v>
      </c>
      <c r="C4077" t="s">
        <v>2001</v>
      </c>
      <c r="D4077">
        <v>1</v>
      </c>
      <c r="E4077" s="16">
        <v>300.08</v>
      </c>
      <c r="F4077" s="1">
        <v>44773</v>
      </c>
      <c r="G4077" t="s">
        <v>2004</v>
      </c>
      <c r="H4077">
        <v>3</v>
      </c>
      <c r="I4077" s="12">
        <f>Table16[[#This Row],[price]]*Table16[[#This Row],[quantity]]</f>
        <v>300.08</v>
      </c>
    </row>
    <row r="4078" spans="1:9" x14ac:dyDescent="0.3">
      <c r="A4078" t="s">
        <v>6099</v>
      </c>
      <c r="B4078" t="s">
        <v>801</v>
      </c>
      <c r="C4078" t="s">
        <v>2024</v>
      </c>
      <c r="D4078">
        <v>3</v>
      </c>
      <c r="E4078" s="16">
        <v>107.52</v>
      </c>
      <c r="F4078" s="1">
        <v>44312</v>
      </c>
      <c r="G4078" t="s">
        <v>2027</v>
      </c>
      <c r="H4078">
        <v>4</v>
      </c>
      <c r="I4078" s="12">
        <f>Table16[[#This Row],[price]]*Table16[[#This Row],[quantity]]</f>
        <v>322.56</v>
      </c>
    </row>
    <row r="4079" spans="1:9" x14ac:dyDescent="0.3">
      <c r="A4079" t="s">
        <v>6100</v>
      </c>
      <c r="B4079" t="s">
        <v>801</v>
      </c>
      <c r="C4079" t="s">
        <v>2011</v>
      </c>
      <c r="D4079">
        <v>1</v>
      </c>
      <c r="E4079" s="16">
        <v>40.659999999999997</v>
      </c>
      <c r="F4079" s="1">
        <v>44443</v>
      </c>
      <c r="G4079" t="s">
        <v>2002</v>
      </c>
      <c r="H4079">
        <v>3</v>
      </c>
      <c r="I4079" s="12">
        <f>Table16[[#This Row],[price]]*Table16[[#This Row],[quantity]]</f>
        <v>40.659999999999997</v>
      </c>
    </row>
    <row r="4080" spans="1:9" x14ac:dyDescent="0.3">
      <c r="A4080" t="s">
        <v>6095</v>
      </c>
      <c r="B4080" t="s">
        <v>801</v>
      </c>
      <c r="C4080" t="s">
        <v>2001</v>
      </c>
      <c r="D4080">
        <v>3</v>
      </c>
      <c r="E4080" s="16">
        <v>900.24</v>
      </c>
      <c r="F4080" s="1">
        <v>44523</v>
      </c>
      <c r="G4080" t="s">
        <v>2027</v>
      </c>
      <c r="H4080">
        <v>1</v>
      </c>
      <c r="I4080" s="12">
        <f>Table16[[#This Row],[price]]*Table16[[#This Row],[quantity]]</f>
        <v>2700.7200000000003</v>
      </c>
    </row>
    <row r="4081" spans="1:9" x14ac:dyDescent="0.3">
      <c r="A4081" t="s">
        <v>6094</v>
      </c>
      <c r="B4081" t="s">
        <v>801</v>
      </c>
      <c r="C4081" t="s">
        <v>2017</v>
      </c>
      <c r="D4081">
        <v>4</v>
      </c>
      <c r="E4081" s="16">
        <v>4200</v>
      </c>
      <c r="F4081" s="1">
        <v>44753</v>
      </c>
      <c r="G4081" t="s">
        <v>2027</v>
      </c>
      <c r="H4081">
        <v>2</v>
      </c>
      <c r="I4081" s="12">
        <f>Table16[[#This Row],[price]]*Table16[[#This Row],[quantity]]</f>
        <v>16800</v>
      </c>
    </row>
    <row r="4082" spans="1:9" x14ac:dyDescent="0.3">
      <c r="A4082" t="s">
        <v>6098</v>
      </c>
      <c r="B4082" t="s">
        <v>801</v>
      </c>
      <c r="C4082" t="s">
        <v>2017</v>
      </c>
      <c r="D4082">
        <v>3</v>
      </c>
      <c r="E4082" s="16">
        <v>3150</v>
      </c>
      <c r="F4082" s="1">
        <v>44835</v>
      </c>
      <c r="G4082" t="s">
        <v>2012</v>
      </c>
      <c r="H4082">
        <v>1</v>
      </c>
      <c r="I4082" s="12">
        <f>Table16[[#This Row],[price]]*Table16[[#This Row],[quantity]]</f>
        <v>9450</v>
      </c>
    </row>
    <row r="4083" spans="1:9" x14ac:dyDescent="0.3">
      <c r="A4083" t="s">
        <v>6097</v>
      </c>
      <c r="B4083" t="s">
        <v>801</v>
      </c>
      <c r="C4083" t="s">
        <v>2001</v>
      </c>
      <c r="D4083">
        <v>1</v>
      </c>
      <c r="E4083" s="16">
        <v>300.08</v>
      </c>
      <c r="F4083" s="1">
        <v>44891</v>
      </c>
      <c r="G4083" t="s">
        <v>2002</v>
      </c>
      <c r="H4083">
        <v>4</v>
      </c>
      <c r="I4083" s="12">
        <f>Table16[[#This Row],[price]]*Table16[[#This Row],[quantity]]</f>
        <v>300.08</v>
      </c>
    </row>
    <row r="4084" spans="1:9" x14ac:dyDescent="0.3">
      <c r="A4084" t="s">
        <v>6096</v>
      </c>
      <c r="B4084" t="s">
        <v>801</v>
      </c>
      <c r="C4084" t="s">
        <v>2011</v>
      </c>
      <c r="D4084">
        <v>5</v>
      </c>
      <c r="E4084" s="16">
        <v>203.3</v>
      </c>
      <c r="F4084" s="1">
        <v>44983</v>
      </c>
      <c r="G4084" t="s">
        <v>2027</v>
      </c>
      <c r="H4084">
        <v>5</v>
      </c>
      <c r="I4084" s="12">
        <f>Table16[[#This Row],[price]]*Table16[[#This Row],[quantity]]</f>
        <v>1016.5</v>
      </c>
    </row>
    <row r="4085" spans="1:9" x14ac:dyDescent="0.3">
      <c r="A4085" t="s">
        <v>6104</v>
      </c>
      <c r="B4085" t="s">
        <v>802</v>
      </c>
      <c r="C4085" t="s">
        <v>2011</v>
      </c>
      <c r="D4085">
        <v>1</v>
      </c>
      <c r="E4085" s="16">
        <v>40.659999999999997</v>
      </c>
      <c r="F4085" s="1">
        <v>44343</v>
      </c>
      <c r="G4085" t="s">
        <v>2041</v>
      </c>
      <c r="H4085">
        <v>2</v>
      </c>
      <c r="I4085" s="12">
        <f>Table16[[#This Row],[price]]*Table16[[#This Row],[quantity]]</f>
        <v>40.659999999999997</v>
      </c>
    </row>
    <row r="4086" spans="1:9" x14ac:dyDescent="0.3">
      <c r="A4086" t="s">
        <v>6102</v>
      </c>
      <c r="B4086" t="s">
        <v>802</v>
      </c>
      <c r="C4086" t="s">
        <v>2008</v>
      </c>
      <c r="D4086">
        <v>1</v>
      </c>
      <c r="E4086" s="16">
        <v>5.23</v>
      </c>
      <c r="F4086" s="1">
        <v>44405</v>
      </c>
      <c r="G4086" t="s">
        <v>2012</v>
      </c>
      <c r="H4086">
        <v>1</v>
      </c>
      <c r="I4086" s="12">
        <f>Table16[[#This Row],[price]]*Table16[[#This Row],[quantity]]</f>
        <v>5.23</v>
      </c>
    </row>
    <row r="4087" spans="1:9" x14ac:dyDescent="0.3">
      <c r="A4087" t="s">
        <v>6105</v>
      </c>
      <c r="B4087" t="s">
        <v>802</v>
      </c>
      <c r="C4087" t="s">
        <v>2024</v>
      </c>
      <c r="D4087">
        <v>1</v>
      </c>
      <c r="E4087" s="16">
        <v>35.840000000000003</v>
      </c>
      <c r="F4087" s="1">
        <v>44544</v>
      </c>
      <c r="G4087" t="s">
        <v>2009</v>
      </c>
      <c r="H4087">
        <v>3</v>
      </c>
      <c r="I4087" s="12">
        <f>Table16[[#This Row],[price]]*Table16[[#This Row],[quantity]]</f>
        <v>35.840000000000003</v>
      </c>
    </row>
    <row r="4088" spans="1:9" x14ac:dyDescent="0.3">
      <c r="A4088" t="s">
        <v>6103</v>
      </c>
      <c r="B4088" t="s">
        <v>802</v>
      </c>
      <c r="C4088" t="s">
        <v>2011</v>
      </c>
      <c r="D4088">
        <v>4</v>
      </c>
      <c r="E4088" s="16">
        <v>162.63999999999999</v>
      </c>
      <c r="F4088" s="1">
        <v>44598</v>
      </c>
      <c r="G4088" t="s">
        <v>2027</v>
      </c>
      <c r="H4088">
        <v>1</v>
      </c>
      <c r="I4088" s="12">
        <f>Table16[[#This Row],[price]]*Table16[[#This Row],[quantity]]</f>
        <v>650.55999999999995</v>
      </c>
    </row>
    <row r="4089" spans="1:9" x14ac:dyDescent="0.3">
      <c r="A4089" t="s">
        <v>6101</v>
      </c>
      <c r="B4089" t="s">
        <v>802</v>
      </c>
      <c r="C4089" t="s">
        <v>2011</v>
      </c>
      <c r="D4089">
        <v>5</v>
      </c>
      <c r="E4089" s="16">
        <v>203.3</v>
      </c>
      <c r="F4089" s="1">
        <v>44775</v>
      </c>
      <c r="G4089" t="s">
        <v>2002</v>
      </c>
      <c r="H4089">
        <v>3</v>
      </c>
      <c r="I4089" s="12">
        <f>Table16[[#This Row],[price]]*Table16[[#This Row],[quantity]]</f>
        <v>1016.5</v>
      </c>
    </row>
    <row r="4090" spans="1:9" x14ac:dyDescent="0.3">
      <c r="A4090" t="s">
        <v>6110</v>
      </c>
      <c r="B4090" t="s">
        <v>803</v>
      </c>
      <c r="C4090" t="s">
        <v>2057</v>
      </c>
      <c r="D4090">
        <v>4</v>
      </c>
      <c r="E4090" s="16">
        <v>46.92</v>
      </c>
      <c r="F4090" s="1">
        <v>44224</v>
      </c>
      <c r="G4090" t="s">
        <v>2004</v>
      </c>
      <c r="H4090">
        <v>5</v>
      </c>
      <c r="I4090" s="12">
        <f>Table16[[#This Row],[price]]*Table16[[#This Row],[quantity]]</f>
        <v>187.68</v>
      </c>
    </row>
    <row r="4091" spans="1:9" x14ac:dyDescent="0.3">
      <c r="A4091" t="s">
        <v>6108</v>
      </c>
      <c r="B4091" t="s">
        <v>803</v>
      </c>
      <c r="C4091" t="s">
        <v>2015</v>
      </c>
      <c r="D4091">
        <v>2</v>
      </c>
      <c r="E4091" s="16">
        <v>1200.3399999999999</v>
      </c>
      <c r="F4091" s="1">
        <v>44297</v>
      </c>
      <c r="G4091" t="s">
        <v>2020</v>
      </c>
      <c r="H4091">
        <v>5</v>
      </c>
      <c r="I4091" s="12">
        <f>Table16[[#This Row],[price]]*Table16[[#This Row],[quantity]]</f>
        <v>2400.6799999999998</v>
      </c>
    </row>
    <row r="4092" spans="1:9" x14ac:dyDescent="0.3">
      <c r="A4092" t="s">
        <v>6112</v>
      </c>
      <c r="B4092" t="s">
        <v>803</v>
      </c>
      <c r="C4092" t="s">
        <v>2008</v>
      </c>
      <c r="D4092">
        <v>3</v>
      </c>
      <c r="E4092" s="16">
        <v>15.69</v>
      </c>
      <c r="F4092" s="1">
        <v>44309</v>
      </c>
      <c r="G4092" t="s">
        <v>2020</v>
      </c>
      <c r="H4092">
        <v>2</v>
      </c>
      <c r="I4092" s="12">
        <f>Table16[[#This Row],[price]]*Table16[[#This Row],[quantity]]</f>
        <v>47.07</v>
      </c>
    </row>
    <row r="4093" spans="1:9" x14ac:dyDescent="0.3">
      <c r="A4093" t="s">
        <v>6106</v>
      </c>
      <c r="B4093" t="s">
        <v>803</v>
      </c>
      <c r="C4093" t="s">
        <v>2001</v>
      </c>
      <c r="D4093">
        <v>1</v>
      </c>
      <c r="E4093" s="16">
        <v>300.08</v>
      </c>
      <c r="F4093" s="1">
        <v>44319</v>
      </c>
      <c r="G4093" t="s">
        <v>2027</v>
      </c>
      <c r="H4093">
        <v>4</v>
      </c>
      <c r="I4093" s="12">
        <f>Table16[[#This Row],[price]]*Table16[[#This Row],[quantity]]</f>
        <v>300.08</v>
      </c>
    </row>
    <row r="4094" spans="1:9" x14ac:dyDescent="0.3">
      <c r="A4094" t="s">
        <v>6111</v>
      </c>
      <c r="B4094" t="s">
        <v>803</v>
      </c>
      <c r="C4094" t="s">
        <v>2015</v>
      </c>
      <c r="D4094">
        <v>2</v>
      </c>
      <c r="E4094" s="16">
        <v>1200.3399999999999</v>
      </c>
      <c r="F4094" s="1">
        <v>44424</v>
      </c>
      <c r="G4094" t="s">
        <v>2020</v>
      </c>
      <c r="H4094">
        <v>5</v>
      </c>
      <c r="I4094" s="12">
        <f>Table16[[#This Row],[price]]*Table16[[#This Row],[quantity]]</f>
        <v>2400.6799999999998</v>
      </c>
    </row>
    <row r="4095" spans="1:9" x14ac:dyDescent="0.3">
      <c r="A4095" t="s">
        <v>6109</v>
      </c>
      <c r="B4095" t="s">
        <v>803</v>
      </c>
      <c r="C4095" t="s">
        <v>2057</v>
      </c>
      <c r="D4095">
        <v>5</v>
      </c>
      <c r="E4095" s="16">
        <v>58.65</v>
      </c>
      <c r="F4095" s="1">
        <v>44489</v>
      </c>
      <c r="G4095" t="s">
        <v>2002</v>
      </c>
      <c r="H4095">
        <v>1</v>
      </c>
      <c r="I4095" s="12">
        <f>Table16[[#This Row],[price]]*Table16[[#This Row],[quantity]]</f>
        <v>293.25</v>
      </c>
    </row>
    <row r="4096" spans="1:9" x14ac:dyDescent="0.3">
      <c r="A4096" t="s">
        <v>6113</v>
      </c>
      <c r="B4096" t="s">
        <v>803</v>
      </c>
      <c r="C4096" t="s">
        <v>2001</v>
      </c>
      <c r="D4096">
        <v>5</v>
      </c>
      <c r="E4096" s="16">
        <v>1500.4</v>
      </c>
      <c r="F4096" s="1">
        <v>44494</v>
      </c>
      <c r="G4096" t="s">
        <v>2027</v>
      </c>
      <c r="H4096">
        <v>2</v>
      </c>
      <c r="I4096" s="12">
        <f>Table16[[#This Row],[price]]*Table16[[#This Row],[quantity]]</f>
        <v>7502</v>
      </c>
    </row>
    <row r="4097" spans="1:9" x14ac:dyDescent="0.3">
      <c r="A4097" t="s">
        <v>6107</v>
      </c>
      <c r="B4097" t="s">
        <v>803</v>
      </c>
      <c r="C4097" t="s">
        <v>2001</v>
      </c>
      <c r="D4097">
        <v>1</v>
      </c>
      <c r="E4097" s="16">
        <v>300.08</v>
      </c>
      <c r="F4097" s="1">
        <v>44604</v>
      </c>
      <c r="G4097" t="s">
        <v>2041</v>
      </c>
      <c r="H4097">
        <v>4</v>
      </c>
      <c r="I4097" s="12">
        <f>Table16[[#This Row],[price]]*Table16[[#This Row],[quantity]]</f>
        <v>300.08</v>
      </c>
    </row>
    <row r="4098" spans="1:9" x14ac:dyDescent="0.3">
      <c r="A4098" t="s">
        <v>6118</v>
      </c>
      <c r="B4098" t="s">
        <v>804</v>
      </c>
      <c r="C4098" t="s">
        <v>2001</v>
      </c>
      <c r="D4098">
        <v>3</v>
      </c>
      <c r="E4098" s="16">
        <v>900.24</v>
      </c>
      <c r="F4098" s="1">
        <v>44345</v>
      </c>
      <c r="G4098" t="s">
        <v>2018</v>
      </c>
      <c r="H4098">
        <v>1</v>
      </c>
      <c r="I4098" s="12">
        <f>Table16[[#This Row],[price]]*Table16[[#This Row],[quantity]]</f>
        <v>2700.7200000000003</v>
      </c>
    </row>
    <row r="4099" spans="1:9" x14ac:dyDescent="0.3">
      <c r="A4099" t="s">
        <v>6119</v>
      </c>
      <c r="B4099" t="s">
        <v>804</v>
      </c>
      <c r="C4099" t="s">
        <v>2024</v>
      </c>
      <c r="D4099">
        <v>1</v>
      </c>
      <c r="E4099" s="16">
        <v>35.840000000000003</v>
      </c>
      <c r="F4099" s="1">
        <v>44444</v>
      </c>
      <c r="G4099" t="s">
        <v>2027</v>
      </c>
      <c r="H4099">
        <v>3</v>
      </c>
      <c r="I4099" s="12">
        <f>Table16[[#This Row],[price]]*Table16[[#This Row],[quantity]]</f>
        <v>35.840000000000003</v>
      </c>
    </row>
    <row r="4100" spans="1:9" x14ac:dyDescent="0.3">
      <c r="A4100" t="s">
        <v>6120</v>
      </c>
      <c r="B4100" t="s">
        <v>804</v>
      </c>
      <c r="C4100" t="s">
        <v>2008</v>
      </c>
      <c r="D4100">
        <v>1</v>
      </c>
      <c r="E4100" s="16">
        <v>5.23</v>
      </c>
      <c r="F4100" s="1">
        <v>44550</v>
      </c>
      <c r="G4100" t="s">
        <v>2004</v>
      </c>
      <c r="H4100">
        <v>1</v>
      </c>
      <c r="I4100" s="12">
        <f>Table16[[#This Row],[price]]*Table16[[#This Row],[quantity]]</f>
        <v>5.23</v>
      </c>
    </row>
    <row r="4101" spans="1:9" x14ac:dyDescent="0.3">
      <c r="A4101" t="s">
        <v>6117</v>
      </c>
      <c r="B4101" t="s">
        <v>804</v>
      </c>
      <c r="C4101" t="s">
        <v>2011</v>
      </c>
      <c r="D4101">
        <v>4</v>
      </c>
      <c r="E4101" s="16">
        <v>162.63999999999999</v>
      </c>
      <c r="F4101" s="1">
        <v>44708</v>
      </c>
      <c r="G4101" t="s">
        <v>2020</v>
      </c>
      <c r="H4101">
        <v>1</v>
      </c>
      <c r="I4101" s="12">
        <f>Table16[[#This Row],[price]]*Table16[[#This Row],[quantity]]</f>
        <v>650.55999999999995</v>
      </c>
    </row>
    <row r="4102" spans="1:9" x14ac:dyDescent="0.3">
      <c r="A4102" t="s">
        <v>6114</v>
      </c>
      <c r="B4102" t="s">
        <v>804</v>
      </c>
      <c r="C4102" t="s">
        <v>2024</v>
      </c>
      <c r="D4102">
        <v>3</v>
      </c>
      <c r="E4102" s="16">
        <v>107.52</v>
      </c>
      <c r="F4102" s="1">
        <v>44801</v>
      </c>
      <c r="G4102" t="s">
        <v>2002</v>
      </c>
      <c r="H4102">
        <v>5</v>
      </c>
      <c r="I4102" s="12">
        <f>Table16[[#This Row],[price]]*Table16[[#This Row],[quantity]]</f>
        <v>322.56</v>
      </c>
    </row>
    <row r="4103" spans="1:9" x14ac:dyDescent="0.3">
      <c r="A4103" t="s">
        <v>6115</v>
      </c>
      <c r="B4103" t="s">
        <v>804</v>
      </c>
      <c r="C4103" t="s">
        <v>2001</v>
      </c>
      <c r="D4103">
        <v>2</v>
      </c>
      <c r="E4103" s="16">
        <v>600.16</v>
      </c>
      <c r="F4103" s="1">
        <v>44884</v>
      </c>
      <c r="G4103" t="s">
        <v>2002</v>
      </c>
      <c r="H4103">
        <v>5</v>
      </c>
      <c r="I4103" s="12">
        <f>Table16[[#This Row],[price]]*Table16[[#This Row],[quantity]]</f>
        <v>1200.32</v>
      </c>
    </row>
    <row r="4104" spans="1:9" x14ac:dyDescent="0.3">
      <c r="A4104" t="s">
        <v>6116</v>
      </c>
      <c r="B4104" t="s">
        <v>804</v>
      </c>
      <c r="C4104" t="s">
        <v>2001</v>
      </c>
      <c r="D4104">
        <v>5</v>
      </c>
      <c r="E4104" s="16">
        <v>1500.4</v>
      </c>
      <c r="F4104" s="1">
        <v>44961</v>
      </c>
      <c r="G4104" t="s">
        <v>2064</v>
      </c>
      <c r="H4104">
        <v>2</v>
      </c>
      <c r="I4104" s="12">
        <f>Table16[[#This Row],[price]]*Table16[[#This Row],[quantity]]</f>
        <v>7502</v>
      </c>
    </row>
    <row r="4105" spans="1:9" x14ac:dyDescent="0.3">
      <c r="A4105" t="s">
        <v>6121</v>
      </c>
      <c r="B4105" t="s">
        <v>804</v>
      </c>
      <c r="C4105" t="s">
        <v>2001</v>
      </c>
      <c r="D4105">
        <v>1</v>
      </c>
      <c r="E4105" s="16">
        <v>300.08</v>
      </c>
      <c r="F4105" s="1">
        <v>44989</v>
      </c>
      <c r="G4105" t="s">
        <v>2027</v>
      </c>
      <c r="H4105">
        <v>2</v>
      </c>
      <c r="I4105" s="12">
        <f>Table16[[#This Row],[price]]*Table16[[#This Row],[quantity]]</f>
        <v>300.08</v>
      </c>
    </row>
    <row r="4106" spans="1:9" x14ac:dyDescent="0.3">
      <c r="A4106" t="s">
        <v>6122</v>
      </c>
      <c r="B4106" t="s">
        <v>805</v>
      </c>
      <c r="C4106" t="s">
        <v>2001</v>
      </c>
      <c r="D4106">
        <v>2</v>
      </c>
      <c r="E4106" s="16">
        <v>600.16</v>
      </c>
      <c r="F4106" s="1">
        <v>44321</v>
      </c>
      <c r="G4106" t="s">
        <v>2020</v>
      </c>
      <c r="H4106">
        <v>5</v>
      </c>
      <c r="I4106" s="12">
        <f>Table16[[#This Row],[price]]*Table16[[#This Row],[quantity]]</f>
        <v>1200.32</v>
      </c>
    </row>
    <row r="4107" spans="1:9" x14ac:dyDescent="0.3">
      <c r="A4107" t="s">
        <v>6123</v>
      </c>
      <c r="B4107" t="s">
        <v>805</v>
      </c>
      <c r="C4107" t="s">
        <v>2001</v>
      </c>
      <c r="D4107">
        <v>5</v>
      </c>
      <c r="E4107" s="16">
        <v>1500.4</v>
      </c>
      <c r="F4107" s="1">
        <v>44558</v>
      </c>
      <c r="G4107" t="s">
        <v>2004</v>
      </c>
      <c r="H4107">
        <v>5</v>
      </c>
      <c r="I4107" s="12">
        <f>Table16[[#This Row],[price]]*Table16[[#This Row],[quantity]]</f>
        <v>7502</v>
      </c>
    </row>
    <row r="4108" spans="1:9" x14ac:dyDescent="0.3">
      <c r="A4108" t="s">
        <v>6124</v>
      </c>
      <c r="B4108" t="s">
        <v>805</v>
      </c>
      <c r="C4108" t="s">
        <v>2001</v>
      </c>
      <c r="D4108">
        <v>2</v>
      </c>
      <c r="E4108" s="16">
        <v>600.16</v>
      </c>
      <c r="F4108" s="1">
        <v>44592</v>
      </c>
      <c r="G4108" t="s">
        <v>2004</v>
      </c>
      <c r="H4108">
        <v>5</v>
      </c>
      <c r="I4108" s="12">
        <f>Table16[[#This Row],[price]]*Table16[[#This Row],[quantity]]</f>
        <v>1200.32</v>
      </c>
    </row>
    <row r="4109" spans="1:9" x14ac:dyDescent="0.3">
      <c r="A4109" t="s">
        <v>6127</v>
      </c>
      <c r="B4109" t="s">
        <v>806</v>
      </c>
      <c r="C4109" t="s">
        <v>2011</v>
      </c>
      <c r="D4109">
        <v>5</v>
      </c>
      <c r="E4109" s="16">
        <v>203.3</v>
      </c>
      <c r="F4109" s="1">
        <v>44431</v>
      </c>
      <c r="G4109" t="s">
        <v>2058</v>
      </c>
      <c r="H4109">
        <v>4</v>
      </c>
      <c r="I4109" s="12">
        <f>Table16[[#This Row],[price]]*Table16[[#This Row],[quantity]]</f>
        <v>1016.5</v>
      </c>
    </row>
    <row r="4110" spans="1:9" x14ac:dyDescent="0.3">
      <c r="A4110" t="s">
        <v>6126</v>
      </c>
      <c r="B4110" t="s">
        <v>806</v>
      </c>
      <c r="C4110" t="s">
        <v>2008</v>
      </c>
      <c r="D4110">
        <v>3</v>
      </c>
      <c r="E4110" s="16">
        <v>15.69</v>
      </c>
      <c r="F4110" s="1">
        <v>44512</v>
      </c>
      <c r="G4110" t="s">
        <v>2004</v>
      </c>
      <c r="H4110">
        <v>1</v>
      </c>
      <c r="I4110" s="12">
        <f>Table16[[#This Row],[price]]*Table16[[#This Row],[quantity]]</f>
        <v>47.07</v>
      </c>
    </row>
    <row r="4111" spans="1:9" x14ac:dyDescent="0.3">
      <c r="A4111" t="s">
        <v>6125</v>
      </c>
      <c r="B4111" t="s">
        <v>806</v>
      </c>
      <c r="C4111" t="s">
        <v>2011</v>
      </c>
      <c r="D4111">
        <v>5</v>
      </c>
      <c r="E4111" s="16">
        <v>203.3</v>
      </c>
      <c r="F4111" s="1">
        <v>44717</v>
      </c>
      <c r="G4111" t="s">
        <v>2004</v>
      </c>
      <c r="H4111">
        <v>1</v>
      </c>
      <c r="I4111" s="12">
        <f>Table16[[#This Row],[price]]*Table16[[#This Row],[quantity]]</f>
        <v>1016.5</v>
      </c>
    </row>
    <row r="4112" spans="1:9" x14ac:dyDescent="0.3">
      <c r="A4112" t="s">
        <v>6128</v>
      </c>
      <c r="B4112" t="s">
        <v>806</v>
      </c>
      <c r="C4112" t="s">
        <v>2011</v>
      </c>
      <c r="D4112">
        <v>3</v>
      </c>
      <c r="E4112" s="16">
        <v>121.98</v>
      </c>
      <c r="F4112" s="1">
        <v>44982</v>
      </c>
      <c r="G4112" t="s">
        <v>2002</v>
      </c>
      <c r="H4112">
        <v>1</v>
      </c>
      <c r="I4112" s="12">
        <f>Table16[[#This Row],[price]]*Table16[[#This Row],[quantity]]</f>
        <v>365.94</v>
      </c>
    </row>
    <row r="4113" spans="1:9" x14ac:dyDescent="0.3">
      <c r="A4113" t="s">
        <v>6129</v>
      </c>
      <c r="B4113" t="s">
        <v>807</v>
      </c>
      <c r="C4113" t="s">
        <v>2001</v>
      </c>
      <c r="D4113">
        <v>4</v>
      </c>
      <c r="E4113" s="16">
        <v>1200.32</v>
      </c>
      <c r="F4113" s="1">
        <v>44479</v>
      </c>
      <c r="G4113" t="s">
        <v>2002</v>
      </c>
      <c r="H4113">
        <v>2</v>
      </c>
      <c r="I4113" s="12">
        <f>Table16[[#This Row],[price]]*Table16[[#This Row],[quantity]]</f>
        <v>4801.28</v>
      </c>
    </row>
    <row r="4114" spans="1:9" x14ac:dyDescent="0.3">
      <c r="A4114" t="s">
        <v>6130</v>
      </c>
      <c r="B4114" t="s">
        <v>807</v>
      </c>
      <c r="C4114" t="s">
        <v>2057</v>
      </c>
      <c r="D4114">
        <v>5</v>
      </c>
      <c r="E4114" s="16">
        <v>58.65</v>
      </c>
      <c r="F4114" s="1">
        <v>44754</v>
      </c>
      <c r="G4114" t="s">
        <v>2020</v>
      </c>
      <c r="H4114">
        <v>2</v>
      </c>
      <c r="I4114" s="12">
        <f>Table16[[#This Row],[price]]*Table16[[#This Row],[quantity]]</f>
        <v>293.25</v>
      </c>
    </row>
    <row r="4115" spans="1:9" x14ac:dyDescent="0.3">
      <c r="A4115" t="s">
        <v>6136</v>
      </c>
      <c r="B4115" t="s">
        <v>808</v>
      </c>
      <c r="C4115" t="s">
        <v>2001</v>
      </c>
      <c r="D4115">
        <v>2</v>
      </c>
      <c r="E4115" s="16">
        <v>600.16</v>
      </c>
      <c r="F4115" s="1">
        <v>44433</v>
      </c>
      <c r="G4115" t="s">
        <v>2004</v>
      </c>
      <c r="H4115">
        <v>3</v>
      </c>
      <c r="I4115" s="12">
        <f>Table16[[#This Row],[price]]*Table16[[#This Row],[quantity]]</f>
        <v>1200.32</v>
      </c>
    </row>
    <row r="4116" spans="1:9" x14ac:dyDescent="0.3">
      <c r="A4116" t="s">
        <v>6134</v>
      </c>
      <c r="B4116" t="s">
        <v>808</v>
      </c>
      <c r="C4116" t="s">
        <v>2011</v>
      </c>
      <c r="D4116">
        <v>3</v>
      </c>
      <c r="E4116" s="16">
        <v>121.98</v>
      </c>
      <c r="F4116" s="1">
        <v>44448</v>
      </c>
      <c r="G4116" t="s">
        <v>2009</v>
      </c>
      <c r="H4116">
        <v>1</v>
      </c>
      <c r="I4116" s="12">
        <f>Table16[[#This Row],[price]]*Table16[[#This Row],[quantity]]</f>
        <v>365.94</v>
      </c>
    </row>
    <row r="4117" spans="1:9" x14ac:dyDescent="0.3">
      <c r="A4117" t="s">
        <v>6131</v>
      </c>
      <c r="B4117" t="s">
        <v>808</v>
      </c>
      <c r="C4117" t="s">
        <v>2001</v>
      </c>
      <c r="D4117">
        <v>1</v>
      </c>
      <c r="E4117" s="16">
        <v>300.08</v>
      </c>
      <c r="F4117" s="1">
        <v>44553</v>
      </c>
      <c r="G4117" t="s">
        <v>2027</v>
      </c>
      <c r="H4117">
        <v>1</v>
      </c>
      <c r="I4117" s="12">
        <f>Table16[[#This Row],[price]]*Table16[[#This Row],[quantity]]</f>
        <v>300.08</v>
      </c>
    </row>
    <row r="4118" spans="1:9" x14ac:dyDescent="0.3">
      <c r="A4118" t="s">
        <v>6137</v>
      </c>
      <c r="B4118" t="s">
        <v>808</v>
      </c>
      <c r="C4118" t="s">
        <v>2001</v>
      </c>
      <c r="D4118">
        <v>1</v>
      </c>
      <c r="E4118" s="16">
        <v>300.08</v>
      </c>
      <c r="F4118" s="1">
        <v>44661</v>
      </c>
      <c r="G4118" t="s">
        <v>2064</v>
      </c>
      <c r="H4118">
        <v>1</v>
      </c>
      <c r="I4118" s="12">
        <f>Table16[[#This Row],[price]]*Table16[[#This Row],[quantity]]</f>
        <v>300.08</v>
      </c>
    </row>
    <row r="4119" spans="1:9" x14ac:dyDescent="0.3">
      <c r="A4119" t="s">
        <v>6132</v>
      </c>
      <c r="B4119" t="s">
        <v>808</v>
      </c>
      <c r="C4119" t="s">
        <v>2001</v>
      </c>
      <c r="D4119">
        <v>3</v>
      </c>
      <c r="E4119" s="16">
        <v>900.24</v>
      </c>
      <c r="F4119" s="1">
        <v>44751</v>
      </c>
      <c r="G4119" t="s">
        <v>2020</v>
      </c>
      <c r="H4119">
        <v>2</v>
      </c>
      <c r="I4119" s="12">
        <f>Table16[[#This Row],[price]]*Table16[[#This Row],[quantity]]</f>
        <v>2700.7200000000003</v>
      </c>
    </row>
    <row r="4120" spans="1:9" x14ac:dyDescent="0.3">
      <c r="A4120" t="s">
        <v>6135</v>
      </c>
      <c r="B4120" t="s">
        <v>808</v>
      </c>
      <c r="C4120" t="s">
        <v>2015</v>
      </c>
      <c r="D4120">
        <v>3</v>
      </c>
      <c r="E4120" s="16">
        <v>1800.51</v>
      </c>
      <c r="F4120" s="1">
        <v>44807</v>
      </c>
      <c r="G4120" t="s">
        <v>2020</v>
      </c>
      <c r="H4120">
        <v>5</v>
      </c>
      <c r="I4120" s="12">
        <f>Table16[[#This Row],[price]]*Table16[[#This Row],[quantity]]</f>
        <v>5401.53</v>
      </c>
    </row>
    <row r="4121" spans="1:9" x14ac:dyDescent="0.3">
      <c r="A4121" t="s">
        <v>6133</v>
      </c>
      <c r="B4121" t="s">
        <v>808</v>
      </c>
      <c r="C4121" t="s">
        <v>2017</v>
      </c>
      <c r="D4121">
        <v>1</v>
      </c>
      <c r="E4121" s="16">
        <v>1050</v>
      </c>
      <c r="F4121" s="1">
        <v>44846</v>
      </c>
      <c r="G4121" t="s">
        <v>2027</v>
      </c>
      <c r="H4121">
        <v>2</v>
      </c>
      <c r="I4121" s="12">
        <f>Table16[[#This Row],[price]]*Table16[[#This Row],[quantity]]</f>
        <v>1050</v>
      </c>
    </row>
    <row r="4122" spans="1:9" x14ac:dyDescent="0.3">
      <c r="A4122" t="s">
        <v>6140</v>
      </c>
      <c r="B4122" t="s">
        <v>809</v>
      </c>
      <c r="C4122" t="s">
        <v>2001</v>
      </c>
      <c r="D4122">
        <v>1</v>
      </c>
      <c r="E4122" s="16">
        <v>300.08</v>
      </c>
      <c r="F4122" s="1">
        <v>44355</v>
      </c>
      <c r="G4122" t="s">
        <v>2027</v>
      </c>
      <c r="H4122">
        <v>2</v>
      </c>
      <c r="I4122" s="12">
        <f>Table16[[#This Row],[price]]*Table16[[#This Row],[quantity]]</f>
        <v>300.08</v>
      </c>
    </row>
    <row r="4123" spans="1:9" x14ac:dyDescent="0.3">
      <c r="A4123" t="s">
        <v>6143</v>
      </c>
      <c r="B4123" t="s">
        <v>809</v>
      </c>
      <c r="C4123" t="s">
        <v>2011</v>
      </c>
      <c r="D4123">
        <v>2</v>
      </c>
      <c r="E4123" s="16">
        <v>81.319999999999993</v>
      </c>
      <c r="F4123" s="1">
        <v>44368</v>
      </c>
      <c r="G4123" t="s">
        <v>2020</v>
      </c>
      <c r="H4123">
        <v>5</v>
      </c>
      <c r="I4123" s="12">
        <f>Table16[[#This Row],[price]]*Table16[[#This Row],[quantity]]</f>
        <v>162.63999999999999</v>
      </c>
    </row>
    <row r="4124" spans="1:9" x14ac:dyDescent="0.3">
      <c r="A4124" t="s">
        <v>6145</v>
      </c>
      <c r="B4124" t="s">
        <v>809</v>
      </c>
      <c r="C4124" t="s">
        <v>2015</v>
      </c>
      <c r="D4124">
        <v>5</v>
      </c>
      <c r="E4124" s="16">
        <v>3000.85</v>
      </c>
      <c r="F4124" s="1">
        <v>44389</v>
      </c>
      <c r="G4124" t="s">
        <v>2027</v>
      </c>
      <c r="H4124">
        <v>1</v>
      </c>
      <c r="I4124" s="12">
        <f>Table16[[#This Row],[price]]*Table16[[#This Row],[quantity]]</f>
        <v>15004.25</v>
      </c>
    </row>
    <row r="4125" spans="1:9" x14ac:dyDescent="0.3">
      <c r="A4125" t="s">
        <v>6139</v>
      </c>
      <c r="B4125" t="s">
        <v>809</v>
      </c>
      <c r="C4125" t="s">
        <v>2057</v>
      </c>
      <c r="D4125">
        <v>5</v>
      </c>
      <c r="E4125" s="16">
        <v>58.65</v>
      </c>
      <c r="F4125" s="1">
        <v>44396</v>
      </c>
      <c r="G4125" t="s">
        <v>2012</v>
      </c>
      <c r="H4125">
        <v>1</v>
      </c>
      <c r="I4125" s="12">
        <f>Table16[[#This Row],[price]]*Table16[[#This Row],[quantity]]</f>
        <v>293.25</v>
      </c>
    </row>
    <row r="4126" spans="1:9" x14ac:dyDescent="0.3">
      <c r="A4126" t="s">
        <v>6141</v>
      </c>
      <c r="B4126" t="s">
        <v>809</v>
      </c>
      <c r="C4126" t="s">
        <v>2001</v>
      </c>
      <c r="D4126">
        <v>4</v>
      </c>
      <c r="E4126" s="16">
        <v>1200.32</v>
      </c>
      <c r="F4126" s="1">
        <v>44455</v>
      </c>
      <c r="G4126" t="s">
        <v>2004</v>
      </c>
      <c r="H4126">
        <v>4</v>
      </c>
      <c r="I4126" s="12">
        <f>Table16[[#This Row],[price]]*Table16[[#This Row],[quantity]]</f>
        <v>4801.28</v>
      </c>
    </row>
    <row r="4127" spans="1:9" x14ac:dyDescent="0.3">
      <c r="A4127" t="s">
        <v>6144</v>
      </c>
      <c r="B4127" t="s">
        <v>809</v>
      </c>
      <c r="C4127" t="s">
        <v>2001</v>
      </c>
      <c r="D4127">
        <v>2</v>
      </c>
      <c r="E4127" s="16">
        <v>600.16</v>
      </c>
      <c r="F4127" s="1">
        <v>44516</v>
      </c>
      <c r="G4127" t="s">
        <v>2002</v>
      </c>
      <c r="H4127">
        <v>5</v>
      </c>
      <c r="I4127" s="12">
        <f>Table16[[#This Row],[price]]*Table16[[#This Row],[quantity]]</f>
        <v>1200.32</v>
      </c>
    </row>
    <row r="4128" spans="1:9" x14ac:dyDescent="0.3">
      <c r="A4128" t="s">
        <v>6138</v>
      </c>
      <c r="B4128" t="s">
        <v>809</v>
      </c>
      <c r="C4128" t="s">
        <v>2001</v>
      </c>
      <c r="D4128">
        <v>3</v>
      </c>
      <c r="E4128" s="16">
        <v>900.24</v>
      </c>
      <c r="F4128" s="1">
        <v>44671</v>
      </c>
      <c r="G4128" t="s">
        <v>2041</v>
      </c>
      <c r="H4128">
        <v>1</v>
      </c>
      <c r="I4128" s="12">
        <f>Table16[[#This Row],[price]]*Table16[[#This Row],[quantity]]</f>
        <v>2700.7200000000003</v>
      </c>
    </row>
    <row r="4129" spans="1:9" x14ac:dyDescent="0.3">
      <c r="A4129" t="s">
        <v>6142</v>
      </c>
      <c r="B4129" t="s">
        <v>809</v>
      </c>
      <c r="C4129" t="s">
        <v>2011</v>
      </c>
      <c r="D4129">
        <v>4</v>
      </c>
      <c r="E4129" s="16">
        <v>162.63999999999999</v>
      </c>
      <c r="F4129" s="1">
        <v>44847</v>
      </c>
      <c r="G4129" t="s">
        <v>2002</v>
      </c>
      <c r="H4129">
        <v>4</v>
      </c>
      <c r="I4129" s="12">
        <f>Table16[[#This Row],[price]]*Table16[[#This Row],[quantity]]</f>
        <v>650.55999999999995</v>
      </c>
    </row>
    <row r="4130" spans="1:9" x14ac:dyDescent="0.3">
      <c r="A4130" t="s">
        <v>6146</v>
      </c>
      <c r="B4130" t="s">
        <v>810</v>
      </c>
      <c r="C4130" t="s">
        <v>2011</v>
      </c>
      <c r="D4130">
        <v>4</v>
      </c>
      <c r="E4130" s="16">
        <v>162.63999999999999</v>
      </c>
      <c r="F4130" s="1">
        <v>44412</v>
      </c>
      <c r="G4130" t="s">
        <v>2058</v>
      </c>
      <c r="H4130">
        <v>2</v>
      </c>
      <c r="I4130" s="12">
        <f>Table16[[#This Row],[price]]*Table16[[#This Row],[quantity]]</f>
        <v>650.55999999999995</v>
      </c>
    </row>
    <row r="4131" spans="1:9" x14ac:dyDescent="0.3">
      <c r="A4131" t="s">
        <v>6148</v>
      </c>
      <c r="B4131" t="s">
        <v>810</v>
      </c>
      <c r="C4131" t="s">
        <v>2024</v>
      </c>
      <c r="D4131">
        <v>2</v>
      </c>
      <c r="E4131" s="16">
        <v>71.680000000000007</v>
      </c>
      <c r="F4131" s="1">
        <v>44446</v>
      </c>
      <c r="G4131" t="s">
        <v>2041</v>
      </c>
      <c r="H4131">
        <v>4</v>
      </c>
      <c r="I4131" s="12">
        <f>Table16[[#This Row],[price]]*Table16[[#This Row],[quantity]]</f>
        <v>143.36000000000001</v>
      </c>
    </row>
    <row r="4132" spans="1:9" x14ac:dyDescent="0.3">
      <c r="A4132" t="s">
        <v>6147</v>
      </c>
      <c r="B4132" t="s">
        <v>810</v>
      </c>
      <c r="C4132" t="s">
        <v>2011</v>
      </c>
      <c r="D4132">
        <v>4</v>
      </c>
      <c r="E4132" s="16">
        <v>162.63999999999999</v>
      </c>
      <c r="F4132" s="1">
        <v>44516</v>
      </c>
      <c r="G4132" t="s">
        <v>2009</v>
      </c>
      <c r="H4132">
        <v>1</v>
      </c>
      <c r="I4132" s="12">
        <f>Table16[[#This Row],[price]]*Table16[[#This Row],[quantity]]</f>
        <v>650.55999999999995</v>
      </c>
    </row>
    <row r="4133" spans="1:9" x14ac:dyDescent="0.3">
      <c r="A4133" t="s">
        <v>6149</v>
      </c>
      <c r="B4133" t="s">
        <v>810</v>
      </c>
      <c r="C4133" t="s">
        <v>2001</v>
      </c>
      <c r="D4133">
        <v>1</v>
      </c>
      <c r="E4133" s="16">
        <v>300.08</v>
      </c>
      <c r="F4133" s="1">
        <v>44546</v>
      </c>
      <c r="G4133" t="s">
        <v>2004</v>
      </c>
      <c r="H4133">
        <v>4</v>
      </c>
      <c r="I4133" s="12">
        <f>Table16[[#This Row],[price]]*Table16[[#This Row],[quantity]]</f>
        <v>300.08</v>
      </c>
    </row>
    <row r="4134" spans="1:9" x14ac:dyDescent="0.3">
      <c r="A4134" t="s">
        <v>6151</v>
      </c>
      <c r="B4134" t="s">
        <v>811</v>
      </c>
      <c r="C4134" t="s">
        <v>2008</v>
      </c>
      <c r="D4134">
        <v>2</v>
      </c>
      <c r="E4134" s="16">
        <v>10.46</v>
      </c>
      <c r="F4134" s="1">
        <v>44240</v>
      </c>
      <c r="G4134" t="s">
        <v>2064</v>
      </c>
      <c r="H4134">
        <v>2</v>
      </c>
      <c r="I4134" s="12">
        <f>Table16[[#This Row],[price]]*Table16[[#This Row],[quantity]]</f>
        <v>20.92</v>
      </c>
    </row>
    <row r="4135" spans="1:9" x14ac:dyDescent="0.3">
      <c r="A4135" t="s">
        <v>6152</v>
      </c>
      <c r="B4135" t="s">
        <v>811</v>
      </c>
      <c r="C4135" t="s">
        <v>2008</v>
      </c>
      <c r="D4135">
        <v>5</v>
      </c>
      <c r="E4135" s="16">
        <v>26.15</v>
      </c>
      <c r="F4135" s="1">
        <v>44412</v>
      </c>
      <c r="G4135" t="s">
        <v>2020</v>
      </c>
      <c r="H4135">
        <v>4</v>
      </c>
      <c r="I4135" s="12">
        <f>Table16[[#This Row],[price]]*Table16[[#This Row],[quantity]]</f>
        <v>130.75</v>
      </c>
    </row>
    <row r="4136" spans="1:9" x14ac:dyDescent="0.3">
      <c r="A4136" t="s">
        <v>6150</v>
      </c>
      <c r="B4136" t="s">
        <v>811</v>
      </c>
      <c r="C4136" t="s">
        <v>2024</v>
      </c>
      <c r="D4136">
        <v>5</v>
      </c>
      <c r="E4136" s="16">
        <v>179.2</v>
      </c>
      <c r="F4136" s="1">
        <v>44616</v>
      </c>
      <c r="G4136" t="s">
        <v>2027</v>
      </c>
      <c r="H4136">
        <v>2</v>
      </c>
      <c r="I4136" s="12">
        <f>Table16[[#This Row],[price]]*Table16[[#This Row],[quantity]]</f>
        <v>896</v>
      </c>
    </row>
    <row r="4137" spans="1:9" x14ac:dyDescent="0.3">
      <c r="A4137" t="s">
        <v>6153</v>
      </c>
      <c r="B4137" t="s">
        <v>812</v>
      </c>
      <c r="C4137" t="s">
        <v>2001</v>
      </c>
      <c r="D4137">
        <v>4</v>
      </c>
      <c r="E4137" s="16">
        <v>1200.32</v>
      </c>
      <c r="F4137" s="1">
        <v>44494</v>
      </c>
      <c r="G4137" t="s">
        <v>2002</v>
      </c>
      <c r="H4137">
        <v>2</v>
      </c>
      <c r="I4137" s="12">
        <f>Table16[[#This Row],[price]]*Table16[[#This Row],[quantity]]</f>
        <v>4801.28</v>
      </c>
    </row>
    <row r="4138" spans="1:9" x14ac:dyDescent="0.3">
      <c r="A4138" t="s">
        <v>6154</v>
      </c>
      <c r="B4138" t="s">
        <v>812</v>
      </c>
      <c r="C4138" t="s">
        <v>2001</v>
      </c>
      <c r="D4138">
        <v>2</v>
      </c>
      <c r="E4138" s="16">
        <v>600.16</v>
      </c>
      <c r="F4138" s="1">
        <v>44513</v>
      </c>
      <c r="G4138" t="s">
        <v>2004</v>
      </c>
      <c r="H4138">
        <v>5</v>
      </c>
      <c r="I4138" s="12">
        <f>Table16[[#This Row],[price]]*Table16[[#This Row],[quantity]]</f>
        <v>1200.32</v>
      </c>
    </row>
    <row r="4139" spans="1:9" x14ac:dyDescent="0.3">
      <c r="A4139" t="s">
        <v>6160</v>
      </c>
      <c r="B4139" t="s">
        <v>813</v>
      </c>
      <c r="C4139" t="s">
        <v>2001</v>
      </c>
      <c r="D4139">
        <v>2</v>
      </c>
      <c r="E4139" s="16">
        <v>600.16</v>
      </c>
      <c r="F4139" s="1">
        <v>44443</v>
      </c>
      <c r="G4139" t="s">
        <v>2004</v>
      </c>
      <c r="H4139">
        <v>1</v>
      </c>
      <c r="I4139" s="12">
        <f>Table16[[#This Row],[price]]*Table16[[#This Row],[quantity]]</f>
        <v>1200.32</v>
      </c>
    </row>
    <row r="4140" spans="1:9" x14ac:dyDescent="0.3">
      <c r="A4140" t="s">
        <v>6159</v>
      </c>
      <c r="B4140" t="s">
        <v>813</v>
      </c>
      <c r="C4140" t="s">
        <v>2017</v>
      </c>
      <c r="D4140">
        <v>3</v>
      </c>
      <c r="E4140" s="16">
        <v>3150</v>
      </c>
      <c r="F4140" s="1">
        <v>44466</v>
      </c>
      <c r="G4140" t="s">
        <v>2004</v>
      </c>
      <c r="H4140">
        <v>5</v>
      </c>
      <c r="I4140" s="12">
        <f>Table16[[#This Row],[price]]*Table16[[#This Row],[quantity]]</f>
        <v>9450</v>
      </c>
    </row>
    <row r="4141" spans="1:9" x14ac:dyDescent="0.3">
      <c r="A4141" t="s">
        <v>6156</v>
      </c>
      <c r="B4141" t="s">
        <v>813</v>
      </c>
      <c r="C4141" t="s">
        <v>2011</v>
      </c>
      <c r="D4141">
        <v>4</v>
      </c>
      <c r="E4141" s="16">
        <v>162.63999999999999</v>
      </c>
      <c r="F4141" s="1">
        <v>44468</v>
      </c>
      <c r="G4141" t="s">
        <v>2020</v>
      </c>
      <c r="H4141">
        <v>3</v>
      </c>
      <c r="I4141" s="12">
        <f>Table16[[#This Row],[price]]*Table16[[#This Row],[quantity]]</f>
        <v>650.55999999999995</v>
      </c>
    </row>
    <row r="4142" spans="1:9" x14ac:dyDescent="0.3">
      <c r="A4142" t="s">
        <v>6155</v>
      </c>
      <c r="B4142" t="s">
        <v>813</v>
      </c>
      <c r="C4142" t="s">
        <v>2011</v>
      </c>
      <c r="D4142">
        <v>3</v>
      </c>
      <c r="E4142" s="16">
        <v>121.98</v>
      </c>
      <c r="F4142" s="1">
        <v>44484</v>
      </c>
      <c r="G4142" t="s">
        <v>2004</v>
      </c>
      <c r="H4142">
        <v>5</v>
      </c>
      <c r="I4142" s="12">
        <f>Table16[[#This Row],[price]]*Table16[[#This Row],[quantity]]</f>
        <v>365.94</v>
      </c>
    </row>
    <row r="4143" spans="1:9" x14ac:dyDescent="0.3">
      <c r="A4143" t="s">
        <v>6158</v>
      </c>
      <c r="B4143" t="s">
        <v>813</v>
      </c>
      <c r="C4143" t="s">
        <v>2024</v>
      </c>
      <c r="D4143">
        <v>2</v>
      </c>
      <c r="E4143" s="16">
        <v>71.680000000000007</v>
      </c>
      <c r="F4143" s="1">
        <v>44526</v>
      </c>
      <c r="G4143" t="s">
        <v>2027</v>
      </c>
      <c r="H4143">
        <v>5</v>
      </c>
      <c r="I4143" s="12">
        <f>Table16[[#This Row],[price]]*Table16[[#This Row],[quantity]]</f>
        <v>143.36000000000001</v>
      </c>
    </row>
    <row r="4144" spans="1:9" x14ac:dyDescent="0.3">
      <c r="A4144" t="s">
        <v>6157</v>
      </c>
      <c r="B4144" t="s">
        <v>813</v>
      </c>
      <c r="C4144" t="s">
        <v>2057</v>
      </c>
      <c r="D4144">
        <v>1</v>
      </c>
      <c r="E4144" s="16">
        <v>11.73</v>
      </c>
      <c r="F4144" s="1">
        <v>44711</v>
      </c>
      <c r="G4144" t="s">
        <v>2012</v>
      </c>
      <c r="H4144">
        <v>3</v>
      </c>
      <c r="I4144" s="12">
        <f>Table16[[#This Row],[price]]*Table16[[#This Row],[quantity]]</f>
        <v>11.73</v>
      </c>
    </row>
    <row r="4145" spans="1:9" x14ac:dyDescent="0.3">
      <c r="A4145" t="s">
        <v>6163</v>
      </c>
      <c r="B4145" t="s">
        <v>814</v>
      </c>
      <c r="C4145" t="s">
        <v>2011</v>
      </c>
      <c r="D4145">
        <v>1</v>
      </c>
      <c r="E4145" s="16">
        <v>40.659999999999997</v>
      </c>
      <c r="F4145" s="1">
        <v>44257</v>
      </c>
      <c r="G4145" t="s">
        <v>2012</v>
      </c>
      <c r="H4145">
        <v>2</v>
      </c>
      <c r="I4145" s="12">
        <f>Table16[[#This Row],[price]]*Table16[[#This Row],[quantity]]</f>
        <v>40.659999999999997</v>
      </c>
    </row>
    <row r="4146" spans="1:9" x14ac:dyDescent="0.3">
      <c r="A4146" t="s">
        <v>6167</v>
      </c>
      <c r="B4146" t="s">
        <v>814</v>
      </c>
      <c r="C4146" t="s">
        <v>2001</v>
      </c>
      <c r="D4146">
        <v>1</v>
      </c>
      <c r="E4146" s="16">
        <v>300.08</v>
      </c>
      <c r="F4146" s="1">
        <v>44279</v>
      </c>
      <c r="G4146" t="s">
        <v>2002</v>
      </c>
      <c r="H4146">
        <v>1</v>
      </c>
      <c r="I4146" s="12">
        <f>Table16[[#This Row],[price]]*Table16[[#This Row],[quantity]]</f>
        <v>300.08</v>
      </c>
    </row>
    <row r="4147" spans="1:9" x14ac:dyDescent="0.3">
      <c r="A4147" t="s">
        <v>6165</v>
      </c>
      <c r="B4147" t="s">
        <v>814</v>
      </c>
      <c r="C4147" t="s">
        <v>2024</v>
      </c>
      <c r="D4147">
        <v>5</v>
      </c>
      <c r="E4147" s="16">
        <v>179.2</v>
      </c>
      <c r="F4147" s="1">
        <v>44445</v>
      </c>
      <c r="G4147" t="s">
        <v>2020</v>
      </c>
      <c r="H4147">
        <v>1</v>
      </c>
      <c r="I4147" s="12">
        <f>Table16[[#This Row],[price]]*Table16[[#This Row],[quantity]]</f>
        <v>896</v>
      </c>
    </row>
    <row r="4148" spans="1:9" x14ac:dyDescent="0.3">
      <c r="A4148" t="s">
        <v>6161</v>
      </c>
      <c r="B4148" t="s">
        <v>814</v>
      </c>
      <c r="C4148" t="s">
        <v>2024</v>
      </c>
      <c r="D4148">
        <v>5</v>
      </c>
      <c r="E4148" s="16">
        <v>179.2</v>
      </c>
      <c r="F4148" s="1">
        <v>44501</v>
      </c>
      <c r="G4148" t="s">
        <v>2012</v>
      </c>
      <c r="H4148">
        <v>1</v>
      </c>
      <c r="I4148" s="12">
        <f>Table16[[#This Row],[price]]*Table16[[#This Row],[quantity]]</f>
        <v>896</v>
      </c>
    </row>
    <row r="4149" spans="1:9" x14ac:dyDescent="0.3">
      <c r="A4149" t="s">
        <v>6166</v>
      </c>
      <c r="B4149" t="s">
        <v>814</v>
      </c>
      <c r="C4149" t="s">
        <v>2015</v>
      </c>
      <c r="D4149">
        <v>4</v>
      </c>
      <c r="E4149" s="16">
        <v>2400.6799999999998</v>
      </c>
      <c r="F4149" s="1">
        <v>44507</v>
      </c>
      <c r="G4149" t="s">
        <v>2009</v>
      </c>
      <c r="H4149">
        <v>4</v>
      </c>
      <c r="I4149" s="12">
        <f>Table16[[#This Row],[price]]*Table16[[#This Row],[quantity]]</f>
        <v>9602.7199999999993</v>
      </c>
    </row>
    <row r="4150" spans="1:9" x14ac:dyDescent="0.3">
      <c r="A4150" t="s">
        <v>6162</v>
      </c>
      <c r="B4150" t="s">
        <v>814</v>
      </c>
      <c r="C4150" t="s">
        <v>2008</v>
      </c>
      <c r="D4150">
        <v>4</v>
      </c>
      <c r="E4150" s="16">
        <v>20.92</v>
      </c>
      <c r="F4150" s="1">
        <v>44801</v>
      </c>
      <c r="G4150" t="s">
        <v>2004</v>
      </c>
      <c r="H4150">
        <v>4</v>
      </c>
      <c r="I4150" s="12">
        <f>Table16[[#This Row],[price]]*Table16[[#This Row],[quantity]]</f>
        <v>83.68</v>
      </c>
    </row>
    <row r="4151" spans="1:9" x14ac:dyDescent="0.3">
      <c r="A4151" t="s">
        <v>6168</v>
      </c>
      <c r="B4151" t="s">
        <v>814</v>
      </c>
      <c r="C4151" t="s">
        <v>2008</v>
      </c>
      <c r="D4151">
        <v>3</v>
      </c>
      <c r="E4151" s="16">
        <v>15.69</v>
      </c>
      <c r="F4151" s="1">
        <v>44807</v>
      </c>
      <c r="G4151" t="s">
        <v>2002</v>
      </c>
      <c r="H4151">
        <v>2</v>
      </c>
      <c r="I4151" s="12">
        <f>Table16[[#This Row],[price]]*Table16[[#This Row],[quantity]]</f>
        <v>47.07</v>
      </c>
    </row>
    <row r="4152" spans="1:9" x14ac:dyDescent="0.3">
      <c r="A4152" t="s">
        <v>6164</v>
      </c>
      <c r="B4152" t="s">
        <v>814</v>
      </c>
      <c r="C4152" t="s">
        <v>2001</v>
      </c>
      <c r="D4152">
        <v>4</v>
      </c>
      <c r="E4152" s="16">
        <v>1200.32</v>
      </c>
      <c r="F4152" s="1">
        <v>44891</v>
      </c>
      <c r="G4152" t="s">
        <v>2058</v>
      </c>
      <c r="H4152">
        <v>2</v>
      </c>
      <c r="I4152" s="12">
        <f>Table16[[#This Row],[price]]*Table16[[#This Row],[quantity]]</f>
        <v>4801.28</v>
      </c>
    </row>
    <row r="4153" spans="1:9" x14ac:dyDescent="0.3">
      <c r="A4153" t="s">
        <v>6171</v>
      </c>
      <c r="B4153" t="s">
        <v>815</v>
      </c>
      <c r="C4153" t="s">
        <v>2001</v>
      </c>
      <c r="D4153">
        <v>5</v>
      </c>
      <c r="E4153" s="16">
        <v>1500.4</v>
      </c>
      <c r="F4153" s="1">
        <v>44343</v>
      </c>
      <c r="G4153" t="s">
        <v>2009</v>
      </c>
      <c r="H4153">
        <v>5</v>
      </c>
      <c r="I4153" s="12">
        <f>Table16[[#This Row],[price]]*Table16[[#This Row],[quantity]]</f>
        <v>7502</v>
      </c>
    </row>
    <row r="4154" spans="1:9" x14ac:dyDescent="0.3">
      <c r="A4154" t="s">
        <v>6170</v>
      </c>
      <c r="B4154" t="s">
        <v>815</v>
      </c>
      <c r="C4154" t="s">
        <v>2001</v>
      </c>
      <c r="D4154">
        <v>1</v>
      </c>
      <c r="E4154" s="16">
        <v>300.08</v>
      </c>
      <c r="F4154" s="1">
        <v>44353</v>
      </c>
      <c r="G4154" t="s">
        <v>2004</v>
      </c>
      <c r="H4154">
        <v>1</v>
      </c>
      <c r="I4154" s="12">
        <f>Table16[[#This Row],[price]]*Table16[[#This Row],[quantity]]</f>
        <v>300.08</v>
      </c>
    </row>
    <row r="4155" spans="1:9" x14ac:dyDescent="0.3">
      <c r="A4155" t="s">
        <v>6172</v>
      </c>
      <c r="B4155" t="s">
        <v>815</v>
      </c>
      <c r="C4155" t="s">
        <v>2011</v>
      </c>
      <c r="D4155">
        <v>4</v>
      </c>
      <c r="E4155" s="16">
        <v>162.63999999999999</v>
      </c>
      <c r="F4155" s="1">
        <v>44548</v>
      </c>
      <c r="G4155" t="s">
        <v>2058</v>
      </c>
      <c r="H4155">
        <v>3</v>
      </c>
      <c r="I4155" s="12">
        <f>Table16[[#This Row],[price]]*Table16[[#This Row],[quantity]]</f>
        <v>650.55999999999995</v>
      </c>
    </row>
    <row r="4156" spans="1:9" x14ac:dyDescent="0.3">
      <c r="A4156" t="s">
        <v>6169</v>
      </c>
      <c r="B4156" t="s">
        <v>815</v>
      </c>
      <c r="C4156" t="s">
        <v>2001</v>
      </c>
      <c r="D4156">
        <v>2</v>
      </c>
      <c r="E4156" s="16">
        <v>600.16</v>
      </c>
      <c r="F4156" s="1">
        <v>44560</v>
      </c>
      <c r="G4156" t="s">
        <v>2020</v>
      </c>
      <c r="H4156">
        <v>3</v>
      </c>
      <c r="I4156" s="12">
        <f>Table16[[#This Row],[price]]*Table16[[#This Row],[quantity]]</f>
        <v>1200.32</v>
      </c>
    </row>
    <row r="4157" spans="1:9" x14ac:dyDescent="0.3">
      <c r="A4157" t="s">
        <v>6173</v>
      </c>
      <c r="B4157" t="s">
        <v>815</v>
      </c>
      <c r="C4157" t="s">
        <v>2008</v>
      </c>
      <c r="D4157">
        <v>2</v>
      </c>
      <c r="E4157" s="16">
        <v>10.46</v>
      </c>
      <c r="F4157" s="1">
        <v>44821</v>
      </c>
      <c r="G4157" t="s">
        <v>2041</v>
      </c>
      <c r="H4157">
        <v>1</v>
      </c>
      <c r="I4157" s="12">
        <f>Table16[[#This Row],[price]]*Table16[[#This Row],[quantity]]</f>
        <v>20.92</v>
      </c>
    </row>
    <row r="4158" spans="1:9" x14ac:dyDescent="0.3">
      <c r="A4158" t="s">
        <v>6178</v>
      </c>
      <c r="B4158" t="s">
        <v>816</v>
      </c>
      <c r="C4158" t="s">
        <v>2001</v>
      </c>
      <c r="D4158">
        <v>2</v>
      </c>
      <c r="E4158" s="16">
        <v>600.16</v>
      </c>
      <c r="F4158" s="1">
        <v>44252</v>
      </c>
      <c r="G4158" t="s">
        <v>2027</v>
      </c>
      <c r="H4158">
        <v>3</v>
      </c>
      <c r="I4158" s="12">
        <f>Table16[[#This Row],[price]]*Table16[[#This Row],[quantity]]</f>
        <v>1200.32</v>
      </c>
    </row>
    <row r="4159" spans="1:9" x14ac:dyDescent="0.3">
      <c r="A4159" t="s">
        <v>6176</v>
      </c>
      <c r="B4159" t="s">
        <v>816</v>
      </c>
      <c r="C4159" t="s">
        <v>2011</v>
      </c>
      <c r="D4159">
        <v>4</v>
      </c>
      <c r="E4159" s="16">
        <v>162.63999999999999</v>
      </c>
      <c r="F4159" s="1">
        <v>44716</v>
      </c>
      <c r="G4159" t="s">
        <v>2004</v>
      </c>
      <c r="H4159">
        <v>2</v>
      </c>
      <c r="I4159" s="12">
        <f>Table16[[#This Row],[price]]*Table16[[#This Row],[quantity]]</f>
        <v>650.55999999999995</v>
      </c>
    </row>
    <row r="4160" spans="1:9" x14ac:dyDescent="0.3">
      <c r="A4160" t="s">
        <v>6179</v>
      </c>
      <c r="B4160" t="s">
        <v>816</v>
      </c>
      <c r="C4160" t="s">
        <v>2001</v>
      </c>
      <c r="D4160">
        <v>5</v>
      </c>
      <c r="E4160" s="16">
        <v>1500.4</v>
      </c>
      <c r="F4160" s="1">
        <v>44745</v>
      </c>
      <c r="G4160" t="s">
        <v>2004</v>
      </c>
      <c r="H4160">
        <v>5</v>
      </c>
      <c r="I4160" s="12">
        <f>Table16[[#This Row],[price]]*Table16[[#This Row],[quantity]]</f>
        <v>7502</v>
      </c>
    </row>
    <row r="4161" spans="1:9" x14ac:dyDescent="0.3">
      <c r="A4161" t="s">
        <v>6175</v>
      </c>
      <c r="B4161" t="s">
        <v>816</v>
      </c>
      <c r="C4161" t="s">
        <v>2008</v>
      </c>
      <c r="D4161">
        <v>5</v>
      </c>
      <c r="E4161" s="16">
        <v>26.15</v>
      </c>
      <c r="F4161" s="1">
        <v>44831</v>
      </c>
      <c r="G4161" t="s">
        <v>2020</v>
      </c>
      <c r="H4161">
        <v>2</v>
      </c>
      <c r="I4161" s="12">
        <f>Table16[[#This Row],[price]]*Table16[[#This Row],[quantity]]</f>
        <v>130.75</v>
      </c>
    </row>
    <row r="4162" spans="1:9" x14ac:dyDescent="0.3">
      <c r="A4162" t="s">
        <v>6174</v>
      </c>
      <c r="B4162" t="s">
        <v>816</v>
      </c>
      <c r="C4162" t="s">
        <v>2008</v>
      </c>
      <c r="D4162">
        <v>4</v>
      </c>
      <c r="E4162" s="16">
        <v>20.92</v>
      </c>
      <c r="F4162" s="1">
        <v>44868</v>
      </c>
      <c r="G4162" t="s">
        <v>2064</v>
      </c>
      <c r="H4162">
        <v>4</v>
      </c>
      <c r="I4162" s="12">
        <f>Table16[[#This Row],[price]]*Table16[[#This Row],[quantity]]</f>
        <v>83.68</v>
      </c>
    </row>
    <row r="4163" spans="1:9" x14ac:dyDescent="0.3">
      <c r="A4163" t="s">
        <v>6177</v>
      </c>
      <c r="B4163" t="s">
        <v>816</v>
      </c>
      <c r="C4163" t="s">
        <v>2024</v>
      </c>
      <c r="D4163">
        <v>1</v>
      </c>
      <c r="E4163" s="16">
        <v>35.840000000000003</v>
      </c>
      <c r="F4163" s="1">
        <v>44935</v>
      </c>
      <c r="G4163" t="s">
        <v>2002</v>
      </c>
      <c r="H4163">
        <v>5</v>
      </c>
      <c r="I4163" s="12">
        <f>Table16[[#This Row],[price]]*Table16[[#This Row],[quantity]]</f>
        <v>35.840000000000003</v>
      </c>
    </row>
    <row r="4164" spans="1:9" x14ac:dyDescent="0.3">
      <c r="A4164" t="s">
        <v>6186</v>
      </c>
      <c r="B4164" t="s">
        <v>817</v>
      </c>
      <c r="C4164" t="s">
        <v>2001</v>
      </c>
      <c r="D4164">
        <v>5</v>
      </c>
      <c r="E4164" s="16">
        <v>1500.4</v>
      </c>
      <c r="F4164" s="1">
        <v>44200</v>
      </c>
      <c r="G4164" t="s">
        <v>2027</v>
      </c>
      <c r="H4164">
        <v>3</v>
      </c>
      <c r="I4164" s="12">
        <f>Table16[[#This Row],[price]]*Table16[[#This Row],[quantity]]</f>
        <v>7502</v>
      </c>
    </row>
    <row r="4165" spans="1:9" x14ac:dyDescent="0.3">
      <c r="A4165" t="s">
        <v>6187</v>
      </c>
      <c r="B4165" t="s">
        <v>817</v>
      </c>
      <c r="C4165" t="s">
        <v>2015</v>
      </c>
      <c r="D4165">
        <v>3</v>
      </c>
      <c r="E4165" s="16">
        <v>1800.51</v>
      </c>
      <c r="F4165" s="1">
        <v>44278</v>
      </c>
      <c r="G4165" t="s">
        <v>2004</v>
      </c>
      <c r="H4165">
        <v>3</v>
      </c>
      <c r="I4165" s="12">
        <f>Table16[[#This Row],[price]]*Table16[[#This Row],[quantity]]</f>
        <v>5401.53</v>
      </c>
    </row>
    <row r="4166" spans="1:9" x14ac:dyDescent="0.3">
      <c r="A4166" t="s">
        <v>6182</v>
      </c>
      <c r="B4166" t="s">
        <v>817</v>
      </c>
      <c r="C4166" t="s">
        <v>2011</v>
      </c>
      <c r="D4166">
        <v>2</v>
      </c>
      <c r="E4166" s="16">
        <v>81.319999999999993</v>
      </c>
      <c r="F4166" s="1">
        <v>44483</v>
      </c>
      <c r="G4166" t="s">
        <v>2064</v>
      </c>
      <c r="H4166">
        <v>3</v>
      </c>
      <c r="I4166" s="12">
        <f>Table16[[#This Row],[price]]*Table16[[#This Row],[quantity]]</f>
        <v>162.63999999999999</v>
      </c>
    </row>
    <row r="4167" spans="1:9" x14ac:dyDescent="0.3">
      <c r="A4167" t="s">
        <v>6185</v>
      </c>
      <c r="B4167" t="s">
        <v>817</v>
      </c>
      <c r="C4167" t="s">
        <v>2057</v>
      </c>
      <c r="D4167">
        <v>2</v>
      </c>
      <c r="E4167" s="16">
        <v>23.46</v>
      </c>
      <c r="F4167" s="1">
        <v>44503</v>
      </c>
      <c r="G4167" t="s">
        <v>2012</v>
      </c>
      <c r="H4167">
        <v>1</v>
      </c>
      <c r="I4167" s="12">
        <f>Table16[[#This Row],[price]]*Table16[[#This Row],[quantity]]</f>
        <v>46.92</v>
      </c>
    </row>
    <row r="4168" spans="1:9" x14ac:dyDescent="0.3">
      <c r="A4168" t="s">
        <v>6180</v>
      </c>
      <c r="B4168" t="s">
        <v>817</v>
      </c>
      <c r="C4168" t="s">
        <v>2008</v>
      </c>
      <c r="D4168">
        <v>4</v>
      </c>
      <c r="E4168" s="16">
        <v>20.92</v>
      </c>
      <c r="F4168" s="1">
        <v>44589</v>
      </c>
      <c r="G4168" t="s">
        <v>2012</v>
      </c>
      <c r="H4168">
        <v>3</v>
      </c>
      <c r="I4168" s="12">
        <f>Table16[[#This Row],[price]]*Table16[[#This Row],[quantity]]</f>
        <v>83.68</v>
      </c>
    </row>
    <row r="4169" spans="1:9" x14ac:dyDescent="0.3">
      <c r="A4169" t="s">
        <v>6184</v>
      </c>
      <c r="B4169" t="s">
        <v>817</v>
      </c>
      <c r="C4169" t="s">
        <v>2001</v>
      </c>
      <c r="D4169">
        <v>1</v>
      </c>
      <c r="E4169" s="16">
        <v>300.08</v>
      </c>
      <c r="F4169" s="1">
        <v>44655</v>
      </c>
      <c r="G4169" t="s">
        <v>2018</v>
      </c>
      <c r="H4169">
        <v>3</v>
      </c>
      <c r="I4169" s="12">
        <f>Table16[[#This Row],[price]]*Table16[[#This Row],[quantity]]</f>
        <v>300.08</v>
      </c>
    </row>
    <row r="4170" spans="1:9" x14ac:dyDescent="0.3">
      <c r="A4170" t="s">
        <v>6181</v>
      </c>
      <c r="B4170" t="s">
        <v>817</v>
      </c>
      <c r="C4170" t="s">
        <v>2008</v>
      </c>
      <c r="D4170">
        <v>2</v>
      </c>
      <c r="E4170" s="16">
        <v>10.46</v>
      </c>
      <c r="F4170" s="1">
        <v>44917</v>
      </c>
      <c r="G4170" t="s">
        <v>2064</v>
      </c>
      <c r="H4170">
        <v>3</v>
      </c>
      <c r="I4170" s="12">
        <f>Table16[[#This Row],[price]]*Table16[[#This Row],[quantity]]</f>
        <v>20.92</v>
      </c>
    </row>
    <row r="4171" spans="1:9" x14ac:dyDescent="0.3">
      <c r="A4171" t="s">
        <v>6183</v>
      </c>
      <c r="B4171" t="s">
        <v>817</v>
      </c>
      <c r="C4171" t="s">
        <v>2001</v>
      </c>
      <c r="D4171">
        <v>1</v>
      </c>
      <c r="E4171" s="16">
        <v>300.08</v>
      </c>
      <c r="F4171" s="1">
        <v>44964</v>
      </c>
      <c r="G4171" t="s">
        <v>2027</v>
      </c>
      <c r="H4171">
        <v>5</v>
      </c>
      <c r="I4171" s="12">
        <f>Table16[[#This Row],[price]]*Table16[[#This Row],[quantity]]</f>
        <v>300.08</v>
      </c>
    </row>
    <row r="4172" spans="1:9" x14ac:dyDescent="0.3">
      <c r="A4172" t="s">
        <v>6190</v>
      </c>
      <c r="B4172" t="s">
        <v>818</v>
      </c>
      <c r="C4172" t="s">
        <v>2001</v>
      </c>
      <c r="D4172">
        <v>5</v>
      </c>
      <c r="E4172" s="16">
        <v>1500.4</v>
      </c>
      <c r="F4172" s="1">
        <v>44291</v>
      </c>
      <c r="G4172" t="s">
        <v>2004</v>
      </c>
      <c r="H4172">
        <v>3</v>
      </c>
      <c r="I4172" s="12">
        <f>Table16[[#This Row],[price]]*Table16[[#This Row],[quantity]]</f>
        <v>7502</v>
      </c>
    </row>
    <row r="4173" spans="1:9" x14ac:dyDescent="0.3">
      <c r="A4173" t="s">
        <v>6189</v>
      </c>
      <c r="B4173" t="s">
        <v>818</v>
      </c>
      <c r="C4173" t="s">
        <v>2011</v>
      </c>
      <c r="D4173">
        <v>3</v>
      </c>
      <c r="E4173" s="16">
        <v>121.98</v>
      </c>
      <c r="F4173" s="1">
        <v>44293</v>
      </c>
      <c r="G4173" t="s">
        <v>2002</v>
      </c>
      <c r="H4173">
        <v>5</v>
      </c>
      <c r="I4173" s="12">
        <f>Table16[[#This Row],[price]]*Table16[[#This Row],[quantity]]</f>
        <v>365.94</v>
      </c>
    </row>
    <row r="4174" spans="1:9" x14ac:dyDescent="0.3">
      <c r="A4174" t="s">
        <v>6188</v>
      </c>
      <c r="B4174" t="s">
        <v>818</v>
      </c>
      <c r="C4174" t="s">
        <v>2017</v>
      </c>
      <c r="D4174">
        <v>4</v>
      </c>
      <c r="E4174" s="16">
        <v>4200</v>
      </c>
      <c r="F4174" s="1">
        <v>44504</v>
      </c>
      <c r="G4174" t="s">
        <v>2064</v>
      </c>
      <c r="H4174">
        <v>4</v>
      </c>
      <c r="I4174" s="12">
        <f>Table16[[#This Row],[price]]*Table16[[#This Row],[quantity]]</f>
        <v>16800</v>
      </c>
    </row>
    <row r="4175" spans="1:9" x14ac:dyDescent="0.3">
      <c r="A4175" t="s">
        <v>6192</v>
      </c>
      <c r="B4175" t="s">
        <v>819</v>
      </c>
      <c r="C4175" t="s">
        <v>2057</v>
      </c>
      <c r="D4175">
        <v>2</v>
      </c>
      <c r="E4175" s="16">
        <v>23.46</v>
      </c>
      <c r="F4175" s="1">
        <v>44216</v>
      </c>
      <c r="G4175" t="s">
        <v>2004</v>
      </c>
      <c r="H4175">
        <v>4</v>
      </c>
      <c r="I4175" s="12">
        <f>Table16[[#This Row],[price]]*Table16[[#This Row],[quantity]]</f>
        <v>46.92</v>
      </c>
    </row>
    <row r="4176" spans="1:9" x14ac:dyDescent="0.3">
      <c r="A4176" t="s">
        <v>6191</v>
      </c>
      <c r="B4176" t="s">
        <v>819</v>
      </c>
      <c r="C4176" t="s">
        <v>2008</v>
      </c>
      <c r="D4176">
        <v>1</v>
      </c>
      <c r="E4176" s="16">
        <v>5.23</v>
      </c>
      <c r="F4176" s="1">
        <v>44454</v>
      </c>
      <c r="G4176" t="s">
        <v>2004</v>
      </c>
      <c r="H4176">
        <v>4</v>
      </c>
      <c r="I4176" s="12">
        <f>Table16[[#This Row],[price]]*Table16[[#This Row],[quantity]]</f>
        <v>5.23</v>
      </c>
    </row>
    <row r="4177" spans="1:9" x14ac:dyDescent="0.3">
      <c r="A4177" t="s">
        <v>6193</v>
      </c>
      <c r="B4177" t="s">
        <v>819</v>
      </c>
      <c r="C4177" t="s">
        <v>2011</v>
      </c>
      <c r="D4177">
        <v>2</v>
      </c>
      <c r="E4177" s="16">
        <v>81.319999999999993</v>
      </c>
      <c r="F4177" s="1">
        <v>44472</v>
      </c>
      <c r="G4177" t="s">
        <v>2064</v>
      </c>
      <c r="H4177">
        <v>4</v>
      </c>
      <c r="I4177" s="12">
        <f>Table16[[#This Row],[price]]*Table16[[#This Row],[quantity]]</f>
        <v>162.63999999999999</v>
      </c>
    </row>
    <row r="4178" spans="1:9" x14ac:dyDescent="0.3">
      <c r="A4178" t="s">
        <v>6194</v>
      </c>
      <c r="B4178" t="s">
        <v>819</v>
      </c>
      <c r="C4178" t="s">
        <v>2001</v>
      </c>
      <c r="D4178">
        <v>4</v>
      </c>
      <c r="E4178" s="16">
        <v>1200.32</v>
      </c>
      <c r="F4178" s="1">
        <v>44611</v>
      </c>
      <c r="G4178" t="s">
        <v>2004</v>
      </c>
      <c r="H4178">
        <v>3</v>
      </c>
      <c r="I4178" s="12">
        <f>Table16[[#This Row],[price]]*Table16[[#This Row],[quantity]]</f>
        <v>4801.28</v>
      </c>
    </row>
    <row r="4179" spans="1:9" x14ac:dyDescent="0.3">
      <c r="A4179" t="s">
        <v>6196</v>
      </c>
      <c r="B4179" t="s">
        <v>820</v>
      </c>
      <c r="C4179" t="s">
        <v>2008</v>
      </c>
      <c r="D4179">
        <v>3</v>
      </c>
      <c r="E4179" s="16">
        <v>15.69</v>
      </c>
      <c r="F4179" s="1">
        <v>44480</v>
      </c>
      <c r="G4179" t="s">
        <v>2058</v>
      </c>
      <c r="H4179">
        <v>2</v>
      </c>
      <c r="I4179" s="12">
        <f>Table16[[#This Row],[price]]*Table16[[#This Row],[quantity]]</f>
        <v>47.07</v>
      </c>
    </row>
    <row r="4180" spans="1:9" x14ac:dyDescent="0.3">
      <c r="A4180" t="s">
        <v>6195</v>
      </c>
      <c r="B4180" t="s">
        <v>820</v>
      </c>
      <c r="C4180" t="s">
        <v>2001</v>
      </c>
      <c r="D4180">
        <v>1</v>
      </c>
      <c r="E4180" s="16">
        <v>300.08</v>
      </c>
      <c r="F4180" s="1">
        <v>44699</v>
      </c>
      <c r="G4180" t="s">
        <v>2027</v>
      </c>
      <c r="H4180">
        <v>4</v>
      </c>
      <c r="I4180" s="12">
        <f>Table16[[#This Row],[price]]*Table16[[#This Row],[quantity]]</f>
        <v>300.08</v>
      </c>
    </row>
    <row r="4181" spans="1:9" x14ac:dyDescent="0.3">
      <c r="A4181" t="s">
        <v>6197</v>
      </c>
      <c r="B4181" t="s">
        <v>820</v>
      </c>
      <c r="C4181" t="s">
        <v>2017</v>
      </c>
      <c r="D4181">
        <v>5</v>
      </c>
      <c r="E4181" s="16">
        <v>5250</v>
      </c>
      <c r="F4181" s="1">
        <v>44938</v>
      </c>
      <c r="G4181" t="s">
        <v>2004</v>
      </c>
      <c r="H4181">
        <v>1</v>
      </c>
      <c r="I4181" s="12">
        <f>Table16[[#This Row],[price]]*Table16[[#This Row],[quantity]]</f>
        <v>26250</v>
      </c>
    </row>
    <row r="4182" spans="1:9" x14ac:dyDescent="0.3">
      <c r="A4182" t="s">
        <v>6198</v>
      </c>
      <c r="B4182" t="s">
        <v>820</v>
      </c>
      <c r="C4182" t="s">
        <v>2008</v>
      </c>
      <c r="D4182">
        <v>3</v>
      </c>
      <c r="E4182" s="16">
        <v>15.69</v>
      </c>
      <c r="F4182" s="1">
        <v>44976</v>
      </c>
      <c r="G4182" t="s">
        <v>2064</v>
      </c>
      <c r="H4182">
        <v>5</v>
      </c>
      <c r="I4182" s="12">
        <f>Table16[[#This Row],[price]]*Table16[[#This Row],[quantity]]</f>
        <v>47.07</v>
      </c>
    </row>
    <row r="4183" spans="1:9" x14ac:dyDescent="0.3">
      <c r="A4183" t="s">
        <v>6204</v>
      </c>
      <c r="B4183" t="s">
        <v>821</v>
      </c>
      <c r="C4183" t="s">
        <v>2001</v>
      </c>
      <c r="D4183">
        <v>5</v>
      </c>
      <c r="E4183" s="16">
        <v>1500.4</v>
      </c>
      <c r="F4183" s="1">
        <v>44232</v>
      </c>
      <c r="G4183" t="s">
        <v>2012</v>
      </c>
      <c r="H4183">
        <v>5</v>
      </c>
      <c r="I4183" s="12">
        <f>Table16[[#This Row],[price]]*Table16[[#This Row],[quantity]]</f>
        <v>7502</v>
      </c>
    </row>
    <row r="4184" spans="1:9" x14ac:dyDescent="0.3">
      <c r="A4184" t="s">
        <v>6202</v>
      </c>
      <c r="B4184" t="s">
        <v>821</v>
      </c>
      <c r="C4184" t="s">
        <v>2001</v>
      </c>
      <c r="D4184">
        <v>3</v>
      </c>
      <c r="E4184" s="16">
        <v>900.24</v>
      </c>
      <c r="F4184" s="1">
        <v>44256</v>
      </c>
      <c r="G4184" t="s">
        <v>2002</v>
      </c>
      <c r="H4184">
        <v>2</v>
      </c>
      <c r="I4184" s="12">
        <f>Table16[[#This Row],[price]]*Table16[[#This Row],[quantity]]</f>
        <v>2700.7200000000003</v>
      </c>
    </row>
    <row r="4185" spans="1:9" x14ac:dyDescent="0.3">
      <c r="A4185" t="s">
        <v>6199</v>
      </c>
      <c r="B4185" t="s">
        <v>821</v>
      </c>
      <c r="C4185" t="s">
        <v>2001</v>
      </c>
      <c r="D4185">
        <v>4</v>
      </c>
      <c r="E4185" s="16">
        <v>1200.32</v>
      </c>
      <c r="F4185" s="1">
        <v>44324</v>
      </c>
      <c r="G4185" t="s">
        <v>2004</v>
      </c>
      <c r="H4185">
        <v>2</v>
      </c>
      <c r="I4185" s="12">
        <f>Table16[[#This Row],[price]]*Table16[[#This Row],[quantity]]</f>
        <v>4801.28</v>
      </c>
    </row>
    <row r="4186" spans="1:9" x14ac:dyDescent="0.3">
      <c r="A4186" t="s">
        <v>6201</v>
      </c>
      <c r="B4186" t="s">
        <v>821</v>
      </c>
      <c r="C4186" t="s">
        <v>2001</v>
      </c>
      <c r="D4186">
        <v>3</v>
      </c>
      <c r="E4186" s="16">
        <v>900.24</v>
      </c>
      <c r="F4186" s="1">
        <v>44360</v>
      </c>
      <c r="G4186" t="s">
        <v>2018</v>
      </c>
      <c r="H4186">
        <v>4</v>
      </c>
      <c r="I4186" s="12">
        <f>Table16[[#This Row],[price]]*Table16[[#This Row],[quantity]]</f>
        <v>2700.7200000000003</v>
      </c>
    </row>
    <row r="4187" spans="1:9" x14ac:dyDescent="0.3">
      <c r="A4187" t="s">
        <v>6203</v>
      </c>
      <c r="B4187" t="s">
        <v>821</v>
      </c>
      <c r="C4187" t="s">
        <v>2011</v>
      </c>
      <c r="D4187">
        <v>3</v>
      </c>
      <c r="E4187" s="16">
        <v>121.98</v>
      </c>
      <c r="F4187" s="1">
        <v>44579</v>
      </c>
      <c r="G4187" t="s">
        <v>2004</v>
      </c>
      <c r="H4187">
        <v>3</v>
      </c>
      <c r="I4187" s="12">
        <f>Table16[[#This Row],[price]]*Table16[[#This Row],[quantity]]</f>
        <v>365.94</v>
      </c>
    </row>
    <row r="4188" spans="1:9" x14ac:dyDescent="0.3">
      <c r="A4188" t="s">
        <v>6205</v>
      </c>
      <c r="B4188" t="s">
        <v>821</v>
      </c>
      <c r="C4188" t="s">
        <v>2015</v>
      </c>
      <c r="D4188">
        <v>2</v>
      </c>
      <c r="E4188" s="16">
        <v>1200.3399999999999</v>
      </c>
      <c r="F4188" s="1">
        <v>44613</v>
      </c>
      <c r="G4188" t="s">
        <v>2020</v>
      </c>
      <c r="H4188">
        <v>4</v>
      </c>
      <c r="I4188" s="12">
        <f>Table16[[#This Row],[price]]*Table16[[#This Row],[quantity]]</f>
        <v>2400.6799999999998</v>
      </c>
    </row>
    <row r="4189" spans="1:9" x14ac:dyDescent="0.3">
      <c r="A4189" t="s">
        <v>6200</v>
      </c>
      <c r="B4189" t="s">
        <v>821</v>
      </c>
      <c r="C4189" t="s">
        <v>2001</v>
      </c>
      <c r="D4189">
        <v>4</v>
      </c>
      <c r="E4189" s="16">
        <v>1200.32</v>
      </c>
      <c r="F4189" s="1">
        <v>44769</v>
      </c>
      <c r="G4189" t="s">
        <v>2027</v>
      </c>
      <c r="H4189">
        <v>4</v>
      </c>
      <c r="I4189" s="12">
        <f>Table16[[#This Row],[price]]*Table16[[#This Row],[quantity]]</f>
        <v>4801.28</v>
      </c>
    </row>
    <row r="4190" spans="1:9" x14ac:dyDescent="0.3">
      <c r="A4190" t="s">
        <v>6208</v>
      </c>
      <c r="B4190" t="s">
        <v>822</v>
      </c>
      <c r="C4190" t="s">
        <v>2024</v>
      </c>
      <c r="D4190">
        <v>2</v>
      </c>
      <c r="E4190" s="16">
        <v>71.680000000000007</v>
      </c>
      <c r="F4190" s="1">
        <v>44203</v>
      </c>
      <c r="G4190" t="s">
        <v>2020</v>
      </c>
      <c r="H4190">
        <v>1</v>
      </c>
      <c r="I4190" s="12">
        <f>Table16[[#This Row],[price]]*Table16[[#This Row],[quantity]]</f>
        <v>143.36000000000001</v>
      </c>
    </row>
    <row r="4191" spans="1:9" x14ac:dyDescent="0.3">
      <c r="A4191" t="s">
        <v>6211</v>
      </c>
      <c r="B4191" t="s">
        <v>822</v>
      </c>
      <c r="C4191" t="s">
        <v>2017</v>
      </c>
      <c r="D4191">
        <v>2</v>
      </c>
      <c r="E4191" s="16">
        <v>2100</v>
      </c>
      <c r="F4191" s="1">
        <v>44240</v>
      </c>
      <c r="G4191" t="s">
        <v>2018</v>
      </c>
      <c r="H4191">
        <v>5</v>
      </c>
      <c r="I4191" s="12">
        <f>Table16[[#This Row],[price]]*Table16[[#This Row],[quantity]]</f>
        <v>4200</v>
      </c>
    </row>
    <row r="4192" spans="1:9" x14ac:dyDescent="0.3">
      <c r="A4192" t="s">
        <v>6207</v>
      </c>
      <c r="B4192" t="s">
        <v>822</v>
      </c>
      <c r="C4192" t="s">
        <v>2001</v>
      </c>
      <c r="D4192">
        <v>2</v>
      </c>
      <c r="E4192" s="16">
        <v>600.16</v>
      </c>
      <c r="F4192" s="1">
        <v>44287</v>
      </c>
      <c r="G4192" t="s">
        <v>2012</v>
      </c>
      <c r="H4192">
        <v>3</v>
      </c>
      <c r="I4192" s="12">
        <f>Table16[[#This Row],[price]]*Table16[[#This Row],[quantity]]</f>
        <v>1200.32</v>
      </c>
    </row>
    <row r="4193" spans="1:9" x14ac:dyDescent="0.3">
      <c r="A4193" t="s">
        <v>6210</v>
      </c>
      <c r="B4193" t="s">
        <v>822</v>
      </c>
      <c r="C4193" t="s">
        <v>2008</v>
      </c>
      <c r="D4193">
        <v>4</v>
      </c>
      <c r="E4193" s="16">
        <v>20.92</v>
      </c>
      <c r="F4193" s="1">
        <v>44415</v>
      </c>
      <c r="G4193" t="s">
        <v>2002</v>
      </c>
      <c r="H4193">
        <v>5</v>
      </c>
      <c r="I4193" s="12">
        <f>Table16[[#This Row],[price]]*Table16[[#This Row],[quantity]]</f>
        <v>83.68</v>
      </c>
    </row>
    <row r="4194" spans="1:9" x14ac:dyDescent="0.3">
      <c r="A4194" t="s">
        <v>6213</v>
      </c>
      <c r="B4194" t="s">
        <v>822</v>
      </c>
      <c r="C4194" t="s">
        <v>2024</v>
      </c>
      <c r="D4194">
        <v>1</v>
      </c>
      <c r="E4194" s="16">
        <v>35.840000000000003</v>
      </c>
      <c r="F4194" s="1">
        <v>44556</v>
      </c>
      <c r="G4194" t="s">
        <v>2041</v>
      </c>
      <c r="H4194">
        <v>4</v>
      </c>
      <c r="I4194" s="12">
        <f>Table16[[#This Row],[price]]*Table16[[#This Row],[quantity]]</f>
        <v>35.840000000000003</v>
      </c>
    </row>
    <row r="4195" spans="1:9" x14ac:dyDescent="0.3">
      <c r="A4195" t="s">
        <v>6212</v>
      </c>
      <c r="B4195" t="s">
        <v>822</v>
      </c>
      <c r="C4195" t="s">
        <v>2001</v>
      </c>
      <c r="D4195">
        <v>4</v>
      </c>
      <c r="E4195" s="16">
        <v>1200.32</v>
      </c>
      <c r="F4195" s="1">
        <v>44731</v>
      </c>
      <c r="G4195" t="s">
        <v>2004</v>
      </c>
      <c r="H4195">
        <v>3</v>
      </c>
      <c r="I4195" s="12">
        <f>Table16[[#This Row],[price]]*Table16[[#This Row],[quantity]]</f>
        <v>4801.28</v>
      </c>
    </row>
    <row r="4196" spans="1:9" x14ac:dyDescent="0.3">
      <c r="A4196" t="s">
        <v>6209</v>
      </c>
      <c r="B4196" t="s">
        <v>822</v>
      </c>
      <c r="C4196" t="s">
        <v>2001</v>
      </c>
      <c r="D4196">
        <v>3</v>
      </c>
      <c r="E4196" s="16">
        <v>900.24</v>
      </c>
      <c r="F4196" s="1">
        <v>44856</v>
      </c>
      <c r="G4196" t="s">
        <v>2027</v>
      </c>
      <c r="H4196">
        <v>1</v>
      </c>
      <c r="I4196" s="12">
        <f>Table16[[#This Row],[price]]*Table16[[#This Row],[quantity]]</f>
        <v>2700.7200000000003</v>
      </c>
    </row>
    <row r="4197" spans="1:9" x14ac:dyDescent="0.3">
      <c r="A4197" t="s">
        <v>6206</v>
      </c>
      <c r="B4197" t="s">
        <v>822</v>
      </c>
      <c r="C4197" t="s">
        <v>2006</v>
      </c>
      <c r="D4197">
        <v>5</v>
      </c>
      <c r="E4197" s="16">
        <v>75.75</v>
      </c>
      <c r="F4197" s="1">
        <v>44877</v>
      </c>
      <c r="G4197" t="s">
        <v>2027</v>
      </c>
      <c r="H4197">
        <v>3</v>
      </c>
      <c r="I4197" s="12">
        <f>Table16[[#This Row],[price]]*Table16[[#This Row],[quantity]]</f>
        <v>378.75</v>
      </c>
    </row>
    <row r="4198" spans="1:9" x14ac:dyDescent="0.3">
      <c r="A4198" t="s">
        <v>6215</v>
      </c>
      <c r="B4198" t="s">
        <v>823</v>
      </c>
      <c r="C4198" t="s">
        <v>2011</v>
      </c>
      <c r="D4198">
        <v>3</v>
      </c>
      <c r="E4198" s="16">
        <v>121.98</v>
      </c>
      <c r="F4198" s="1">
        <v>44205</v>
      </c>
      <c r="G4198" t="s">
        <v>2009</v>
      </c>
      <c r="H4198">
        <v>1</v>
      </c>
      <c r="I4198" s="12">
        <f>Table16[[#This Row],[price]]*Table16[[#This Row],[quantity]]</f>
        <v>365.94</v>
      </c>
    </row>
    <row r="4199" spans="1:9" x14ac:dyDescent="0.3">
      <c r="A4199" t="s">
        <v>6218</v>
      </c>
      <c r="B4199" t="s">
        <v>823</v>
      </c>
      <c r="C4199" t="s">
        <v>2001</v>
      </c>
      <c r="D4199">
        <v>4</v>
      </c>
      <c r="E4199" s="16">
        <v>1200.32</v>
      </c>
      <c r="F4199" s="1">
        <v>44209</v>
      </c>
      <c r="G4199" t="s">
        <v>2004</v>
      </c>
      <c r="H4199">
        <v>4</v>
      </c>
      <c r="I4199" s="12">
        <f>Table16[[#This Row],[price]]*Table16[[#This Row],[quantity]]</f>
        <v>4801.28</v>
      </c>
    </row>
    <row r="4200" spans="1:9" x14ac:dyDescent="0.3">
      <c r="A4200" t="s">
        <v>6216</v>
      </c>
      <c r="B4200" t="s">
        <v>823</v>
      </c>
      <c r="C4200" t="s">
        <v>2011</v>
      </c>
      <c r="D4200">
        <v>1</v>
      </c>
      <c r="E4200" s="16">
        <v>40.659999999999997</v>
      </c>
      <c r="F4200" s="1">
        <v>44452</v>
      </c>
      <c r="G4200" t="s">
        <v>2002</v>
      </c>
      <c r="H4200">
        <v>3</v>
      </c>
      <c r="I4200" s="12">
        <f>Table16[[#This Row],[price]]*Table16[[#This Row],[quantity]]</f>
        <v>40.659999999999997</v>
      </c>
    </row>
    <row r="4201" spans="1:9" x14ac:dyDescent="0.3">
      <c r="A4201" t="s">
        <v>6219</v>
      </c>
      <c r="B4201" t="s">
        <v>823</v>
      </c>
      <c r="C4201" t="s">
        <v>2057</v>
      </c>
      <c r="D4201">
        <v>1</v>
      </c>
      <c r="E4201" s="16">
        <v>11.73</v>
      </c>
      <c r="F4201" s="1">
        <v>44678</v>
      </c>
      <c r="G4201" t="s">
        <v>2004</v>
      </c>
      <c r="H4201">
        <v>5</v>
      </c>
      <c r="I4201" s="12">
        <f>Table16[[#This Row],[price]]*Table16[[#This Row],[quantity]]</f>
        <v>11.73</v>
      </c>
    </row>
    <row r="4202" spans="1:9" x14ac:dyDescent="0.3">
      <c r="A4202" t="s">
        <v>6217</v>
      </c>
      <c r="B4202" t="s">
        <v>823</v>
      </c>
      <c r="C4202" t="s">
        <v>2057</v>
      </c>
      <c r="D4202">
        <v>3</v>
      </c>
      <c r="E4202" s="16">
        <v>35.19</v>
      </c>
      <c r="F4202" s="1">
        <v>44759</v>
      </c>
      <c r="G4202" t="s">
        <v>2041</v>
      </c>
      <c r="H4202">
        <v>5</v>
      </c>
      <c r="I4202" s="12">
        <f>Table16[[#This Row],[price]]*Table16[[#This Row],[quantity]]</f>
        <v>105.57</v>
      </c>
    </row>
    <row r="4203" spans="1:9" x14ac:dyDescent="0.3">
      <c r="A4203" t="s">
        <v>6214</v>
      </c>
      <c r="B4203" t="s">
        <v>823</v>
      </c>
      <c r="C4203" t="s">
        <v>2008</v>
      </c>
      <c r="D4203">
        <v>4</v>
      </c>
      <c r="E4203" s="16">
        <v>20.92</v>
      </c>
      <c r="F4203" s="1">
        <v>44919</v>
      </c>
      <c r="G4203" t="s">
        <v>2002</v>
      </c>
      <c r="H4203">
        <v>4</v>
      </c>
      <c r="I4203" s="12">
        <f>Table16[[#This Row],[price]]*Table16[[#This Row],[quantity]]</f>
        <v>83.68</v>
      </c>
    </row>
    <row r="4204" spans="1:9" x14ac:dyDescent="0.3">
      <c r="A4204" t="s">
        <v>6220</v>
      </c>
      <c r="B4204" t="s">
        <v>824</v>
      </c>
      <c r="C4204" t="s">
        <v>2001</v>
      </c>
      <c r="D4204">
        <v>5</v>
      </c>
      <c r="E4204" s="16">
        <v>1500.4</v>
      </c>
      <c r="F4204" s="1">
        <v>44279</v>
      </c>
      <c r="G4204" t="s">
        <v>2027</v>
      </c>
      <c r="H4204">
        <v>1</v>
      </c>
      <c r="I4204" s="12">
        <f>Table16[[#This Row],[price]]*Table16[[#This Row],[quantity]]</f>
        <v>7502</v>
      </c>
    </row>
    <row r="4205" spans="1:9" x14ac:dyDescent="0.3">
      <c r="A4205" t="s">
        <v>6224</v>
      </c>
      <c r="B4205" t="s">
        <v>824</v>
      </c>
      <c r="C4205" t="s">
        <v>2011</v>
      </c>
      <c r="D4205">
        <v>5</v>
      </c>
      <c r="E4205" s="16">
        <v>203.3</v>
      </c>
      <c r="F4205" s="1">
        <v>44444</v>
      </c>
      <c r="G4205" t="s">
        <v>2064</v>
      </c>
      <c r="H4205">
        <v>4</v>
      </c>
      <c r="I4205" s="12">
        <f>Table16[[#This Row],[price]]*Table16[[#This Row],[quantity]]</f>
        <v>1016.5</v>
      </c>
    </row>
    <row r="4206" spans="1:9" x14ac:dyDescent="0.3">
      <c r="A4206" t="s">
        <v>6223</v>
      </c>
      <c r="B4206" t="s">
        <v>824</v>
      </c>
      <c r="C4206" t="s">
        <v>2024</v>
      </c>
      <c r="D4206">
        <v>4</v>
      </c>
      <c r="E4206" s="16">
        <v>143.36000000000001</v>
      </c>
      <c r="F4206" s="1">
        <v>44456</v>
      </c>
      <c r="G4206" t="s">
        <v>2002</v>
      </c>
      <c r="H4206">
        <v>5</v>
      </c>
      <c r="I4206" s="12">
        <f>Table16[[#This Row],[price]]*Table16[[#This Row],[quantity]]</f>
        <v>573.44000000000005</v>
      </c>
    </row>
    <row r="4207" spans="1:9" x14ac:dyDescent="0.3">
      <c r="A4207" t="s">
        <v>6222</v>
      </c>
      <c r="B4207" t="s">
        <v>824</v>
      </c>
      <c r="C4207" t="s">
        <v>2011</v>
      </c>
      <c r="D4207">
        <v>4</v>
      </c>
      <c r="E4207" s="16">
        <v>162.63999999999999</v>
      </c>
      <c r="F4207" s="1">
        <v>44537</v>
      </c>
      <c r="G4207" t="s">
        <v>2004</v>
      </c>
      <c r="H4207">
        <v>3</v>
      </c>
      <c r="I4207" s="12">
        <f>Table16[[#This Row],[price]]*Table16[[#This Row],[quantity]]</f>
        <v>650.55999999999995</v>
      </c>
    </row>
    <row r="4208" spans="1:9" x14ac:dyDescent="0.3">
      <c r="A4208" t="s">
        <v>6221</v>
      </c>
      <c r="B4208" t="s">
        <v>824</v>
      </c>
      <c r="C4208" t="s">
        <v>2057</v>
      </c>
      <c r="D4208">
        <v>1</v>
      </c>
      <c r="E4208" s="16">
        <v>11.73</v>
      </c>
      <c r="F4208" s="1">
        <v>44843</v>
      </c>
      <c r="G4208" t="s">
        <v>2064</v>
      </c>
      <c r="H4208">
        <v>3</v>
      </c>
      <c r="I4208" s="12">
        <f>Table16[[#This Row],[price]]*Table16[[#This Row],[quantity]]</f>
        <v>11.73</v>
      </c>
    </row>
    <row r="4209" spans="1:9" x14ac:dyDescent="0.3">
      <c r="A4209" t="s">
        <v>6225</v>
      </c>
      <c r="B4209" t="s">
        <v>824</v>
      </c>
      <c r="C4209" t="s">
        <v>2001</v>
      </c>
      <c r="D4209">
        <v>3</v>
      </c>
      <c r="E4209" s="16">
        <v>900.24</v>
      </c>
      <c r="F4209" s="1">
        <v>44921</v>
      </c>
      <c r="G4209" t="s">
        <v>2009</v>
      </c>
      <c r="H4209">
        <v>3</v>
      </c>
      <c r="I4209" s="12">
        <f>Table16[[#This Row],[price]]*Table16[[#This Row],[quantity]]</f>
        <v>2700.7200000000003</v>
      </c>
    </row>
    <row r="4210" spans="1:9" x14ac:dyDescent="0.3">
      <c r="A4210" t="s">
        <v>6227</v>
      </c>
      <c r="B4210" t="s">
        <v>825</v>
      </c>
      <c r="C4210" t="s">
        <v>2057</v>
      </c>
      <c r="D4210">
        <v>2</v>
      </c>
      <c r="E4210" s="16">
        <v>23.46</v>
      </c>
      <c r="F4210" s="1">
        <v>44213</v>
      </c>
      <c r="G4210" t="s">
        <v>2018</v>
      </c>
      <c r="H4210">
        <v>1</v>
      </c>
      <c r="I4210" s="12">
        <f>Table16[[#This Row],[price]]*Table16[[#This Row],[quantity]]</f>
        <v>46.92</v>
      </c>
    </row>
    <row r="4211" spans="1:9" x14ac:dyDescent="0.3">
      <c r="A4211" t="s">
        <v>6229</v>
      </c>
      <c r="B4211" t="s">
        <v>825</v>
      </c>
      <c r="C4211" t="s">
        <v>2015</v>
      </c>
      <c r="D4211">
        <v>1</v>
      </c>
      <c r="E4211" s="16">
        <v>600.16999999999996</v>
      </c>
      <c r="F4211" s="1">
        <v>44249</v>
      </c>
      <c r="G4211" t="s">
        <v>2002</v>
      </c>
      <c r="H4211">
        <v>2</v>
      </c>
      <c r="I4211" s="12">
        <f>Table16[[#This Row],[price]]*Table16[[#This Row],[quantity]]</f>
        <v>600.16999999999996</v>
      </c>
    </row>
    <row r="4212" spans="1:9" x14ac:dyDescent="0.3">
      <c r="A4212" t="s">
        <v>6231</v>
      </c>
      <c r="B4212" t="s">
        <v>825</v>
      </c>
      <c r="C4212" t="s">
        <v>2015</v>
      </c>
      <c r="D4212">
        <v>3</v>
      </c>
      <c r="E4212" s="16">
        <v>1800.51</v>
      </c>
      <c r="F4212" s="1">
        <v>44371</v>
      </c>
      <c r="G4212" t="s">
        <v>2018</v>
      </c>
      <c r="H4212">
        <v>4</v>
      </c>
      <c r="I4212" s="12">
        <f>Table16[[#This Row],[price]]*Table16[[#This Row],[quantity]]</f>
        <v>5401.53</v>
      </c>
    </row>
    <row r="4213" spans="1:9" x14ac:dyDescent="0.3">
      <c r="A4213" t="s">
        <v>6228</v>
      </c>
      <c r="B4213" t="s">
        <v>825</v>
      </c>
      <c r="C4213" t="s">
        <v>2001</v>
      </c>
      <c r="D4213">
        <v>1</v>
      </c>
      <c r="E4213" s="16">
        <v>300.08</v>
      </c>
      <c r="F4213" s="1">
        <v>44441</v>
      </c>
      <c r="G4213" t="s">
        <v>2002</v>
      </c>
      <c r="H4213">
        <v>3</v>
      </c>
      <c r="I4213" s="12">
        <f>Table16[[#This Row],[price]]*Table16[[#This Row],[quantity]]</f>
        <v>300.08</v>
      </c>
    </row>
    <row r="4214" spans="1:9" x14ac:dyDescent="0.3">
      <c r="A4214" t="s">
        <v>6232</v>
      </c>
      <c r="B4214" t="s">
        <v>825</v>
      </c>
      <c r="C4214" t="s">
        <v>2008</v>
      </c>
      <c r="D4214">
        <v>4</v>
      </c>
      <c r="E4214" s="16">
        <v>20.92</v>
      </c>
      <c r="F4214" s="1">
        <v>44530</v>
      </c>
      <c r="G4214" t="s">
        <v>2004</v>
      </c>
      <c r="H4214">
        <v>3</v>
      </c>
      <c r="I4214" s="12">
        <f>Table16[[#This Row],[price]]*Table16[[#This Row],[quantity]]</f>
        <v>83.68</v>
      </c>
    </row>
    <row r="4215" spans="1:9" x14ac:dyDescent="0.3">
      <c r="A4215" t="s">
        <v>6226</v>
      </c>
      <c r="B4215" t="s">
        <v>825</v>
      </c>
      <c r="C4215" t="s">
        <v>2015</v>
      </c>
      <c r="D4215">
        <v>4</v>
      </c>
      <c r="E4215" s="16">
        <v>2400.6799999999998</v>
      </c>
      <c r="F4215" s="1">
        <v>44557</v>
      </c>
      <c r="G4215" t="s">
        <v>2002</v>
      </c>
      <c r="H4215">
        <v>2</v>
      </c>
      <c r="I4215" s="12">
        <f>Table16[[#This Row],[price]]*Table16[[#This Row],[quantity]]</f>
        <v>9602.7199999999993</v>
      </c>
    </row>
    <row r="4216" spans="1:9" x14ac:dyDescent="0.3">
      <c r="A4216" t="s">
        <v>6230</v>
      </c>
      <c r="B4216" t="s">
        <v>825</v>
      </c>
      <c r="C4216" t="s">
        <v>2001</v>
      </c>
      <c r="D4216">
        <v>2</v>
      </c>
      <c r="E4216" s="16">
        <v>600.16</v>
      </c>
      <c r="F4216" s="1">
        <v>44667</v>
      </c>
      <c r="G4216" t="s">
        <v>2018</v>
      </c>
      <c r="H4216">
        <v>1</v>
      </c>
      <c r="I4216" s="12">
        <f>Table16[[#This Row],[price]]*Table16[[#This Row],[quantity]]</f>
        <v>1200.32</v>
      </c>
    </row>
    <row r="4217" spans="1:9" x14ac:dyDescent="0.3">
      <c r="A4217" t="s">
        <v>6238</v>
      </c>
      <c r="B4217" t="s">
        <v>826</v>
      </c>
      <c r="C4217" t="s">
        <v>2008</v>
      </c>
      <c r="D4217">
        <v>4</v>
      </c>
      <c r="E4217" s="16">
        <v>20.92</v>
      </c>
      <c r="F4217" s="1">
        <v>44270</v>
      </c>
      <c r="G4217" t="s">
        <v>2009</v>
      </c>
      <c r="H4217">
        <v>3</v>
      </c>
      <c r="I4217" s="12">
        <f>Table16[[#This Row],[price]]*Table16[[#This Row],[quantity]]</f>
        <v>83.68</v>
      </c>
    </row>
    <row r="4218" spans="1:9" x14ac:dyDescent="0.3">
      <c r="A4218" t="s">
        <v>6240</v>
      </c>
      <c r="B4218" t="s">
        <v>826</v>
      </c>
      <c r="C4218" t="s">
        <v>2008</v>
      </c>
      <c r="D4218">
        <v>2</v>
      </c>
      <c r="E4218" s="16">
        <v>10.46</v>
      </c>
      <c r="F4218" s="1">
        <v>44326</v>
      </c>
      <c r="G4218" t="s">
        <v>2027</v>
      </c>
      <c r="H4218">
        <v>5</v>
      </c>
      <c r="I4218" s="12">
        <f>Table16[[#This Row],[price]]*Table16[[#This Row],[quantity]]</f>
        <v>20.92</v>
      </c>
    </row>
    <row r="4219" spans="1:9" x14ac:dyDescent="0.3">
      <c r="A4219" t="s">
        <v>6239</v>
      </c>
      <c r="B4219" t="s">
        <v>826</v>
      </c>
      <c r="C4219" t="s">
        <v>2057</v>
      </c>
      <c r="D4219">
        <v>2</v>
      </c>
      <c r="E4219" s="16">
        <v>23.46</v>
      </c>
      <c r="F4219" s="1">
        <v>44333</v>
      </c>
      <c r="G4219" t="s">
        <v>2064</v>
      </c>
      <c r="H4219">
        <v>2</v>
      </c>
      <c r="I4219" s="12">
        <f>Table16[[#This Row],[price]]*Table16[[#This Row],[quantity]]</f>
        <v>46.92</v>
      </c>
    </row>
    <row r="4220" spans="1:9" x14ac:dyDescent="0.3">
      <c r="A4220" t="s">
        <v>6235</v>
      </c>
      <c r="B4220" t="s">
        <v>826</v>
      </c>
      <c r="C4220" t="s">
        <v>2057</v>
      </c>
      <c r="D4220">
        <v>4</v>
      </c>
      <c r="E4220" s="16">
        <v>46.92</v>
      </c>
      <c r="F4220" s="1">
        <v>44498</v>
      </c>
      <c r="G4220" t="s">
        <v>2002</v>
      </c>
      <c r="H4220">
        <v>5</v>
      </c>
      <c r="I4220" s="12">
        <f>Table16[[#This Row],[price]]*Table16[[#This Row],[quantity]]</f>
        <v>187.68</v>
      </c>
    </row>
    <row r="4221" spans="1:9" x14ac:dyDescent="0.3">
      <c r="A4221" t="s">
        <v>6241</v>
      </c>
      <c r="B4221" t="s">
        <v>826</v>
      </c>
      <c r="C4221" t="s">
        <v>2001</v>
      </c>
      <c r="D4221">
        <v>5</v>
      </c>
      <c r="E4221" s="16">
        <v>1500.4</v>
      </c>
      <c r="F4221" s="1">
        <v>44585</v>
      </c>
      <c r="G4221" t="s">
        <v>2002</v>
      </c>
      <c r="H4221">
        <v>1</v>
      </c>
      <c r="I4221" s="12">
        <f>Table16[[#This Row],[price]]*Table16[[#This Row],[quantity]]</f>
        <v>7502</v>
      </c>
    </row>
    <row r="4222" spans="1:9" x14ac:dyDescent="0.3">
      <c r="A4222" t="s">
        <v>6237</v>
      </c>
      <c r="B4222" t="s">
        <v>826</v>
      </c>
      <c r="C4222" t="s">
        <v>2001</v>
      </c>
      <c r="D4222">
        <v>3</v>
      </c>
      <c r="E4222" s="16">
        <v>900.24</v>
      </c>
      <c r="F4222" s="1">
        <v>44761</v>
      </c>
      <c r="G4222" t="s">
        <v>2064</v>
      </c>
      <c r="H4222">
        <v>5</v>
      </c>
      <c r="I4222" s="12">
        <f>Table16[[#This Row],[price]]*Table16[[#This Row],[quantity]]</f>
        <v>2700.7200000000003</v>
      </c>
    </row>
    <row r="4223" spans="1:9" x14ac:dyDescent="0.3">
      <c r="A4223" t="s">
        <v>6233</v>
      </c>
      <c r="B4223" t="s">
        <v>826</v>
      </c>
      <c r="C4223" t="s">
        <v>2006</v>
      </c>
      <c r="D4223">
        <v>5</v>
      </c>
      <c r="E4223" s="16">
        <v>75.75</v>
      </c>
      <c r="F4223" s="1">
        <v>44898</v>
      </c>
      <c r="G4223" t="s">
        <v>2004</v>
      </c>
      <c r="H4223">
        <v>4</v>
      </c>
      <c r="I4223" s="12">
        <f>Table16[[#This Row],[price]]*Table16[[#This Row],[quantity]]</f>
        <v>378.75</v>
      </c>
    </row>
    <row r="4224" spans="1:9" x14ac:dyDescent="0.3">
      <c r="A4224" t="s">
        <v>6234</v>
      </c>
      <c r="B4224" t="s">
        <v>826</v>
      </c>
      <c r="C4224" t="s">
        <v>2001</v>
      </c>
      <c r="D4224">
        <v>2</v>
      </c>
      <c r="E4224" s="16">
        <v>600.16</v>
      </c>
      <c r="F4224" s="1">
        <v>44981</v>
      </c>
      <c r="G4224" t="s">
        <v>2020</v>
      </c>
      <c r="H4224">
        <v>3</v>
      </c>
      <c r="I4224" s="12">
        <f>Table16[[#This Row],[price]]*Table16[[#This Row],[quantity]]</f>
        <v>1200.32</v>
      </c>
    </row>
    <row r="4225" spans="1:9" x14ac:dyDescent="0.3">
      <c r="A4225" t="s">
        <v>6236</v>
      </c>
      <c r="B4225" t="s">
        <v>826</v>
      </c>
      <c r="C4225" t="s">
        <v>2017</v>
      </c>
      <c r="D4225">
        <v>2</v>
      </c>
      <c r="E4225" s="16">
        <v>2100</v>
      </c>
      <c r="F4225" s="1">
        <v>44982</v>
      </c>
      <c r="G4225" t="s">
        <v>2018</v>
      </c>
      <c r="H4225">
        <v>1</v>
      </c>
      <c r="I4225" s="12">
        <f>Table16[[#This Row],[price]]*Table16[[#This Row],[quantity]]</f>
        <v>4200</v>
      </c>
    </row>
    <row r="4226" spans="1:9" x14ac:dyDescent="0.3">
      <c r="A4226" t="s">
        <v>6243</v>
      </c>
      <c r="B4226" t="s">
        <v>827</v>
      </c>
      <c r="C4226" t="s">
        <v>2001</v>
      </c>
      <c r="D4226">
        <v>3</v>
      </c>
      <c r="E4226" s="16">
        <v>900.24</v>
      </c>
      <c r="F4226" s="1">
        <v>44319</v>
      </c>
      <c r="G4226" t="s">
        <v>2058</v>
      </c>
      <c r="H4226">
        <v>3</v>
      </c>
      <c r="I4226" s="12">
        <f>Table16[[#This Row],[price]]*Table16[[#This Row],[quantity]]</f>
        <v>2700.7200000000003</v>
      </c>
    </row>
    <row r="4227" spans="1:9" x14ac:dyDescent="0.3">
      <c r="A4227" t="s">
        <v>6247</v>
      </c>
      <c r="B4227" t="s">
        <v>827</v>
      </c>
      <c r="C4227" t="s">
        <v>2015</v>
      </c>
      <c r="D4227">
        <v>3</v>
      </c>
      <c r="E4227" s="16">
        <v>1800.51</v>
      </c>
      <c r="F4227" s="1">
        <v>44402</v>
      </c>
      <c r="G4227" t="s">
        <v>2020</v>
      </c>
      <c r="H4227">
        <v>1</v>
      </c>
      <c r="I4227" s="12">
        <f>Table16[[#This Row],[price]]*Table16[[#This Row],[quantity]]</f>
        <v>5401.53</v>
      </c>
    </row>
    <row r="4228" spans="1:9" x14ac:dyDescent="0.3">
      <c r="A4228" t="s">
        <v>6248</v>
      </c>
      <c r="B4228" t="s">
        <v>827</v>
      </c>
      <c r="C4228" t="s">
        <v>2001</v>
      </c>
      <c r="D4228">
        <v>4</v>
      </c>
      <c r="E4228" s="16">
        <v>1200.32</v>
      </c>
      <c r="F4228" s="1">
        <v>44528</v>
      </c>
      <c r="G4228" t="s">
        <v>2004</v>
      </c>
      <c r="H4228">
        <v>3</v>
      </c>
      <c r="I4228" s="12">
        <f>Table16[[#This Row],[price]]*Table16[[#This Row],[quantity]]</f>
        <v>4801.28</v>
      </c>
    </row>
    <row r="4229" spans="1:9" x14ac:dyDescent="0.3">
      <c r="A4229" t="s">
        <v>6246</v>
      </c>
      <c r="B4229" t="s">
        <v>827</v>
      </c>
      <c r="C4229" t="s">
        <v>2008</v>
      </c>
      <c r="D4229">
        <v>3</v>
      </c>
      <c r="E4229" s="16">
        <v>15.69</v>
      </c>
      <c r="F4229" s="1">
        <v>44536</v>
      </c>
      <c r="G4229" t="s">
        <v>2002</v>
      </c>
      <c r="H4229">
        <v>2</v>
      </c>
      <c r="I4229" s="12">
        <f>Table16[[#This Row],[price]]*Table16[[#This Row],[quantity]]</f>
        <v>47.07</v>
      </c>
    </row>
    <row r="4230" spans="1:9" x14ac:dyDescent="0.3">
      <c r="A4230" t="s">
        <v>6245</v>
      </c>
      <c r="B4230" t="s">
        <v>827</v>
      </c>
      <c r="C4230" t="s">
        <v>2001</v>
      </c>
      <c r="D4230">
        <v>2</v>
      </c>
      <c r="E4230" s="16">
        <v>600.16</v>
      </c>
      <c r="F4230" s="1">
        <v>44644</v>
      </c>
      <c r="G4230" t="s">
        <v>2064</v>
      </c>
      <c r="H4230">
        <v>3</v>
      </c>
      <c r="I4230" s="12">
        <f>Table16[[#This Row],[price]]*Table16[[#This Row],[quantity]]</f>
        <v>1200.32</v>
      </c>
    </row>
    <row r="4231" spans="1:9" x14ac:dyDescent="0.3">
      <c r="A4231" t="s">
        <v>6242</v>
      </c>
      <c r="B4231" t="s">
        <v>827</v>
      </c>
      <c r="C4231" t="s">
        <v>2011</v>
      </c>
      <c r="D4231">
        <v>1</v>
      </c>
      <c r="E4231" s="16">
        <v>40.659999999999997</v>
      </c>
      <c r="F4231" s="1">
        <v>44837</v>
      </c>
      <c r="G4231" t="s">
        <v>2020</v>
      </c>
      <c r="H4231">
        <v>5</v>
      </c>
      <c r="I4231" s="12">
        <f>Table16[[#This Row],[price]]*Table16[[#This Row],[quantity]]</f>
        <v>40.659999999999997</v>
      </c>
    </row>
    <row r="4232" spans="1:9" x14ac:dyDescent="0.3">
      <c r="A4232" t="s">
        <v>6244</v>
      </c>
      <c r="B4232" t="s">
        <v>827</v>
      </c>
      <c r="C4232" t="s">
        <v>2001</v>
      </c>
      <c r="D4232">
        <v>1</v>
      </c>
      <c r="E4232" s="16">
        <v>300.08</v>
      </c>
      <c r="F4232" s="1">
        <v>44965</v>
      </c>
      <c r="G4232" t="s">
        <v>2064</v>
      </c>
      <c r="H4232">
        <v>5</v>
      </c>
      <c r="I4232" s="12">
        <f>Table16[[#This Row],[price]]*Table16[[#This Row],[quantity]]</f>
        <v>300.08</v>
      </c>
    </row>
    <row r="4233" spans="1:9" x14ac:dyDescent="0.3">
      <c r="A4233" t="s">
        <v>6252</v>
      </c>
      <c r="B4233" t="s">
        <v>828</v>
      </c>
      <c r="C4233" t="s">
        <v>2015</v>
      </c>
      <c r="D4233">
        <v>2</v>
      </c>
      <c r="E4233" s="16">
        <v>1200.3399999999999</v>
      </c>
      <c r="F4233" s="1">
        <v>44474</v>
      </c>
      <c r="G4233" t="s">
        <v>2018</v>
      </c>
      <c r="H4233">
        <v>4</v>
      </c>
      <c r="I4233" s="12">
        <f>Table16[[#This Row],[price]]*Table16[[#This Row],[quantity]]</f>
        <v>2400.6799999999998</v>
      </c>
    </row>
    <row r="4234" spans="1:9" x14ac:dyDescent="0.3">
      <c r="A4234" t="s">
        <v>6251</v>
      </c>
      <c r="B4234" t="s">
        <v>828</v>
      </c>
      <c r="C4234" t="s">
        <v>2008</v>
      </c>
      <c r="D4234">
        <v>3</v>
      </c>
      <c r="E4234" s="16">
        <v>15.69</v>
      </c>
      <c r="F4234" s="1">
        <v>44761</v>
      </c>
      <c r="G4234" t="s">
        <v>2002</v>
      </c>
      <c r="H4234">
        <v>4</v>
      </c>
      <c r="I4234" s="12">
        <f>Table16[[#This Row],[price]]*Table16[[#This Row],[quantity]]</f>
        <v>47.07</v>
      </c>
    </row>
    <row r="4235" spans="1:9" x14ac:dyDescent="0.3">
      <c r="A4235" t="s">
        <v>6249</v>
      </c>
      <c r="B4235" t="s">
        <v>828</v>
      </c>
      <c r="C4235" t="s">
        <v>2011</v>
      </c>
      <c r="D4235">
        <v>4</v>
      </c>
      <c r="E4235" s="16">
        <v>162.63999999999999</v>
      </c>
      <c r="F4235" s="1">
        <v>44915</v>
      </c>
      <c r="G4235" t="s">
        <v>2020</v>
      </c>
      <c r="H4235">
        <v>1</v>
      </c>
      <c r="I4235" s="12">
        <f>Table16[[#This Row],[price]]*Table16[[#This Row],[quantity]]</f>
        <v>650.55999999999995</v>
      </c>
    </row>
    <row r="4236" spans="1:9" x14ac:dyDescent="0.3">
      <c r="A4236" t="s">
        <v>6250</v>
      </c>
      <c r="B4236" t="s">
        <v>828</v>
      </c>
      <c r="C4236" t="s">
        <v>2011</v>
      </c>
      <c r="D4236">
        <v>5</v>
      </c>
      <c r="E4236" s="16">
        <v>203.3</v>
      </c>
      <c r="F4236" s="1">
        <v>44963</v>
      </c>
      <c r="G4236" t="s">
        <v>2027</v>
      </c>
      <c r="H4236">
        <v>4</v>
      </c>
      <c r="I4236" s="12">
        <f>Table16[[#This Row],[price]]*Table16[[#This Row],[quantity]]</f>
        <v>1016.5</v>
      </c>
    </row>
    <row r="4237" spans="1:9" x14ac:dyDescent="0.3">
      <c r="A4237" t="s">
        <v>6255</v>
      </c>
      <c r="B4237" t="s">
        <v>829</v>
      </c>
      <c r="C4237" t="s">
        <v>2024</v>
      </c>
      <c r="D4237">
        <v>1</v>
      </c>
      <c r="E4237" s="16">
        <v>35.840000000000003</v>
      </c>
      <c r="F4237" s="1">
        <v>44217</v>
      </c>
      <c r="G4237" t="s">
        <v>2058</v>
      </c>
      <c r="H4237">
        <v>3</v>
      </c>
      <c r="I4237" s="12">
        <f>Table16[[#This Row],[price]]*Table16[[#This Row],[quantity]]</f>
        <v>35.840000000000003</v>
      </c>
    </row>
    <row r="4238" spans="1:9" x14ac:dyDescent="0.3">
      <c r="A4238" t="s">
        <v>6258</v>
      </c>
      <c r="B4238" t="s">
        <v>829</v>
      </c>
      <c r="C4238" t="s">
        <v>2011</v>
      </c>
      <c r="D4238">
        <v>5</v>
      </c>
      <c r="E4238" s="16">
        <v>203.3</v>
      </c>
      <c r="F4238" s="1">
        <v>44279</v>
      </c>
      <c r="G4238" t="s">
        <v>2041</v>
      </c>
      <c r="H4238">
        <v>1</v>
      </c>
      <c r="I4238" s="12">
        <f>Table16[[#This Row],[price]]*Table16[[#This Row],[quantity]]</f>
        <v>1016.5</v>
      </c>
    </row>
    <row r="4239" spans="1:9" x14ac:dyDescent="0.3">
      <c r="A4239" t="s">
        <v>6256</v>
      </c>
      <c r="B4239" t="s">
        <v>829</v>
      </c>
      <c r="C4239" t="s">
        <v>2006</v>
      </c>
      <c r="D4239">
        <v>3</v>
      </c>
      <c r="E4239" s="16">
        <v>45.45</v>
      </c>
      <c r="F4239" s="1">
        <v>44372</v>
      </c>
      <c r="G4239" t="s">
        <v>2004</v>
      </c>
      <c r="H4239">
        <v>1</v>
      </c>
      <c r="I4239" s="12">
        <f>Table16[[#This Row],[price]]*Table16[[#This Row],[quantity]]</f>
        <v>136.35000000000002</v>
      </c>
    </row>
    <row r="4240" spans="1:9" x14ac:dyDescent="0.3">
      <c r="A4240" t="s">
        <v>6257</v>
      </c>
      <c r="B4240" t="s">
        <v>829</v>
      </c>
      <c r="C4240" t="s">
        <v>2008</v>
      </c>
      <c r="D4240">
        <v>3</v>
      </c>
      <c r="E4240" s="16">
        <v>15.69</v>
      </c>
      <c r="F4240" s="1">
        <v>44725</v>
      </c>
      <c r="G4240" t="s">
        <v>2002</v>
      </c>
      <c r="H4240">
        <v>1</v>
      </c>
      <c r="I4240" s="12">
        <f>Table16[[#This Row],[price]]*Table16[[#This Row],[quantity]]</f>
        <v>47.07</v>
      </c>
    </row>
    <row r="4241" spans="1:9" x14ac:dyDescent="0.3">
      <c r="A4241" t="s">
        <v>6254</v>
      </c>
      <c r="B4241" t="s">
        <v>829</v>
      </c>
      <c r="C4241" t="s">
        <v>2001</v>
      </c>
      <c r="D4241">
        <v>2</v>
      </c>
      <c r="E4241" s="16">
        <v>600.16</v>
      </c>
      <c r="F4241" s="1">
        <v>44877</v>
      </c>
      <c r="G4241" t="s">
        <v>2004</v>
      </c>
      <c r="H4241">
        <v>2</v>
      </c>
      <c r="I4241" s="12">
        <f>Table16[[#This Row],[price]]*Table16[[#This Row],[quantity]]</f>
        <v>1200.32</v>
      </c>
    </row>
    <row r="4242" spans="1:9" x14ac:dyDescent="0.3">
      <c r="A4242" t="s">
        <v>6253</v>
      </c>
      <c r="B4242" t="s">
        <v>829</v>
      </c>
      <c r="C4242" t="s">
        <v>2011</v>
      </c>
      <c r="D4242">
        <v>3</v>
      </c>
      <c r="E4242" s="16">
        <v>121.98</v>
      </c>
      <c r="F4242" s="1">
        <v>44949</v>
      </c>
      <c r="G4242" t="s">
        <v>2058</v>
      </c>
      <c r="H4242">
        <v>5</v>
      </c>
      <c r="I4242" s="12">
        <f>Table16[[#This Row],[price]]*Table16[[#This Row],[quantity]]</f>
        <v>365.94</v>
      </c>
    </row>
    <row r="4243" spans="1:9" x14ac:dyDescent="0.3">
      <c r="A4243" t="s">
        <v>6261</v>
      </c>
      <c r="B4243" t="s">
        <v>830</v>
      </c>
      <c r="C4243" t="s">
        <v>2024</v>
      </c>
      <c r="D4243">
        <v>1</v>
      </c>
      <c r="E4243" s="16">
        <v>35.840000000000003</v>
      </c>
      <c r="F4243" s="1">
        <v>44439</v>
      </c>
      <c r="G4243" t="s">
        <v>2027</v>
      </c>
      <c r="H4243">
        <v>4</v>
      </c>
      <c r="I4243" s="12">
        <f>Table16[[#This Row],[price]]*Table16[[#This Row],[quantity]]</f>
        <v>35.840000000000003</v>
      </c>
    </row>
    <row r="4244" spans="1:9" x14ac:dyDescent="0.3">
      <c r="A4244" t="s">
        <v>6262</v>
      </c>
      <c r="B4244" t="s">
        <v>830</v>
      </c>
      <c r="C4244" t="s">
        <v>2008</v>
      </c>
      <c r="D4244">
        <v>5</v>
      </c>
      <c r="E4244" s="16">
        <v>26.15</v>
      </c>
      <c r="F4244" s="1">
        <v>44601</v>
      </c>
      <c r="G4244" t="s">
        <v>2064</v>
      </c>
      <c r="H4244">
        <v>4</v>
      </c>
      <c r="I4244" s="12">
        <f>Table16[[#This Row],[price]]*Table16[[#This Row],[quantity]]</f>
        <v>130.75</v>
      </c>
    </row>
    <row r="4245" spans="1:9" x14ac:dyDescent="0.3">
      <c r="A4245" t="s">
        <v>6260</v>
      </c>
      <c r="B4245" t="s">
        <v>830</v>
      </c>
      <c r="C4245" t="s">
        <v>2024</v>
      </c>
      <c r="D4245">
        <v>4</v>
      </c>
      <c r="E4245" s="16">
        <v>143.36000000000001</v>
      </c>
      <c r="F4245" s="1">
        <v>44719</v>
      </c>
      <c r="G4245" t="s">
        <v>2020</v>
      </c>
      <c r="H4245">
        <v>3</v>
      </c>
      <c r="I4245" s="12">
        <f>Table16[[#This Row],[price]]*Table16[[#This Row],[quantity]]</f>
        <v>573.44000000000005</v>
      </c>
    </row>
    <row r="4246" spans="1:9" x14ac:dyDescent="0.3">
      <c r="A4246" t="s">
        <v>6259</v>
      </c>
      <c r="B4246" t="s">
        <v>830</v>
      </c>
      <c r="C4246" t="s">
        <v>2001</v>
      </c>
      <c r="D4246">
        <v>4</v>
      </c>
      <c r="E4246" s="16">
        <v>1200.32</v>
      </c>
      <c r="F4246" s="1">
        <v>44745</v>
      </c>
      <c r="G4246" t="s">
        <v>2004</v>
      </c>
      <c r="H4246">
        <v>2</v>
      </c>
      <c r="I4246" s="12">
        <f>Table16[[#This Row],[price]]*Table16[[#This Row],[quantity]]</f>
        <v>4801.28</v>
      </c>
    </row>
    <row r="4247" spans="1:9" x14ac:dyDescent="0.3">
      <c r="A4247" t="s">
        <v>6268</v>
      </c>
      <c r="B4247" t="s">
        <v>831</v>
      </c>
      <c r="C4247" t="s">
        <v>2001</v>
      </c>
      <c r="D4247">
        <v>2</v>
      </c>
      <c r="E4247" s="16">
        <v>600.16</v>
      </c>
      <c r="F4247" s="1">
        <v>44382</v>
      </c>
      <c r="G4247" t="s">
        <v>2002</v>
      </c>
      <c r="H4247">
        <v>2</v>
      </c>
      <c r="I4247" s="12">
        <f>Table16[[#This Row],[price]]*Table16[[#This Row],[quantity]]</f>
        <v>1200.32</v>
      </c>
    </row>
    <row r="4248" spans="1:9" x14ac:dyDescent="0.3">
      <c r="A4248" t="s">
        <v>6265</v>
      </c>
      <c r="B4248" t="s">
        <v>831</v>
      </c>
      <c r="C4248" t="s">
        <v>2001</v>
      </c>
      <c r="D4248">
        <v>2</v>
      </c>
      <c r="E4248" s="16">
        <v>600.16</v>
      </c>
      <c r="F4248" s="1">
        <v>44494</v>
      </c>
      <c r="G4248" t="s">
        <v>2027</v>
      </c>
      <c r="H4248">
        <v>1</v>
      </c>
      <c r="I4248" s="12">
        <f>Table16[[#This Row],[price]]*Table16[[#This Row],[quantity]]</f>
        <v>1200.32</v>
      </c>
    </row>
    <row r="4249" spans="1:9" x14ac:dyDescent="0.3">
      <c r="A4249" t="s">
        <v>6264</v>
      </c>
      <c r="B4249" t="s">
        <v>831</v>
      </c>
      <c r="C4249" t="s">
        <v>2001</v>
      </c>
      <c r="D4249">
        <v>4</v>
      </c>
      <c r="E4249" s="16">
        <v>1200.32</v>
      </c>
      <c r="F4249" s="1">
        <v>44536</v>
      </c>
      <c r="G4249" t="s">
        <v>2002</v>
      </c>
      <c r="H4249">
        <v>1</v>
      </c>
      <c r="I4249" s="12">
        <f>Table16[[#This Row],[price]]*Table16[[#This Row],[quantity]]</f>
        <v>4801.28</v>
      </c>
    </row>
    <row r="4250" spans="1:9" x14ac:dyDescent="0.3">
      <c r="A4250" t="s">
        <v>6263</v>
      </c>
      <c r="B4250" t="s">
        <v>831</v>
      </c>
      <c r="C4250" t="s">
        <v>2011</v>
      </c>
      <c r="D4250">
        <v>5</v>
      </c>
      <c r="E4250" s="16">
        <v>203.3</v>
      </c>
      <c r="F4250" s="1">
        <v>44568</v>
      </c>
      <c r="G4250" t="s">
        <v>2020</v>
      </c>
      <c r="H4250">
        <v>4</v>
      </c>
      <c r="I4250" s="12">
        <f>Table16[[#This Row],[price]]*Table16[[#This Row],[quantity]]</f>
        <v>1016.5</v>
      </c>
    </row>
    <row r="4251" spans="1:9" x14ac:dyDescent="0.3">
      <c r="A4251" t="s">
        <v>6266</v>
      </c>
      <c r="B4251" t="s">
        <v>831</v>
      </c>
      <c r="C4251" t="s">
        <v>2001</v>
      </c>
      <c r="D4251">
        <v>5</v>
      </c>
      <c r="E4251" s="16">
        <v>1500.4</v>
      </c>
      <c r="F4251" s="1">
        <v>44568</v>
      </c>
      <c r="G4251" t="s">
        <v>2004</v>
      </c>
      <c r="H4251">
        <v>3</v>
      </c>
      <c r="I4251" s="12">
        <f>Table16[[#This Row],[price]]*Table16[[#This Row],[quantity]]</f>
        <v>7502</v>
      </c>
    </row>
    <row r="4252" spans="1:9" x14ac:dyDescent="0.3">
      <c r="A4252" t="s">
        <v>6269</v>
      </c>
      <c r="B4252" t="s">
        <v>831</v>
      </c>
      <c r="C4252" t="s">
        <v>2057</v>
      </c>
      <c r="D4252">
        <v>1</v>
      </c>
      <c r="E4252" s="16">
        <v>11.73</v>
      </c>
      <c r="F4252" s="1">
        <v>44579</v>
      </c>
      <c r="G4252" t="s">
        <v>2018</v>
      </c>
      <c r="H4252">
        <v>2</v>
      </c>
      <c r="I4252" s="12">
        <f>Table16[[#This Row],[price]]*Table16[[#This Row],[quantity]]</f>
        <v>11.73</v>
      </c>
    </row>
    <row r="4253" spans="1:9" x14ac:dyDescent="0.3">
      <c r="A4253" t="s">
        <v>6267</v>
      </c>
      <c r="B4253" t="s">
        <v>831</v>
      </c>
      <c r="C4253" t="s">
        <v>2001</v>
      </c>
      <c r="D4253">
        <v>1</v>
      </c>
      <c r="E4253" s="16">
        <v>300.08</v>
      </c>
      <c r="F4253" s="1">
        <v>44866</v>
      </c>
      <c r="G4253" t="s">
        <v>2058</v>
      </c>
      <c r="H4253">
        <v>2</v>
      </c>
      <c r="I4253" s="12">
        <f>Table16[[#This Row],[price]]*Table16[[#This Row],[quantity]]</f>
        <v>300.08</v>
      </c>
    </row>
    <row r="4254" spans="1:9" x14ac:dyDescent="0.3">
      <c r="A4254" t="s">
        <v>6270</v>
      </c>
      <c r="B4254" t="s">
        <v>831</v>
      </c>
      <c r="C4254" t="s">
        <v>2001</v>
      </c>
      <c r="D4254">
        <v>3</v>
      </c>
      <c r="E4254" s="16">
        <v>900.24</v>
      </c>
      <c r="F4254" s="1">
        <v>44874</v>
      </c>
      <c r="G4254" t="s">
        <v>2041</v>
      </c>
      <c r="H4254">
        <v>4</v>
      </c>
      <c r="I4254" s="12">
        <f>Table16[[#This Row],[price]]*Table16[[#This Row],[quantity]]</f>
        <v>2700.7200000000003</v>
      </c>
    </row>
    <row r="4255" spans="1:9" x14ac:dyDescent="0.3">
      <c r="A4255" t="s">
        <v>6271</v>
      </c>
      <c r="B4255" t="s">
        <v>832</v>
      </c>
      <c r="C4255" t="s">
        <v>2011</v>
      </c>
      <c r="D4255">
        <v>3</v>
      </c>
      <c r="E4255" s="16">
        <v>121.98</v>
      </c>
      <c r="F4255" s="1">
        <v>44536</v>
      </c>
      <c r="G4255" t="s">
        <v>2020</v>
      </c>
      <c r="H4255">
        <v>1</v>
      </c>
      <c r="I4255" s="12">
        <f>Table16[[#This Row],[price]]*Table16[[#This Row],[quantity]]</f>
        <v>365.94</v>
      </c>
    </row>
    <row r="4256" spans="1:9" x14ac:dyDescent="0.3">
      <c r="A4256" t="s">
        <v>6272</v>
      </c>
      <c r="B4256" t="s">
        <v>832</v>
      </c>
      <c r="C4256" t="s">
        <v>2001</v>
      </c>
      <c r="D4256">
        <v>1</v>
      </c>
      <c r="E4256" s="16">
        <v>300.08</v>
      </c>
      <c r="F4256" s="1">
        <v>44628</v>
      </c>
      <c r="G4256" t="s">
        <v>2027</v>
      </c>
      <c r="H4256">
        <v>2</v>
      </c>
      <c r="I4256" s="12">
        <f>Table16[[#This Row],[price]]*Table16[[#This Row],[quantity]]</f>
        <v>300.08</v>
      </c>
    </row>
    <row r="4257" spans="1:9" x14ac:dyDescent="0.3">
      <c r="A4257" t="s">
        <v>6273</v>
      </c>
      <c r="B4257" t="s">
        <v>832</v>
      </c>
      <c r="C4257" t="s">
        <v>2001</v>
      </c>
      <c r="D4257">
        <v>1</v>
      </c>
      <c r="E4257" s="16">
        <v>300.08</v>
      </c>
      <c r="F4257" s="1">
        <v>44789</v>
      </c>
      <c r="G4257" t="s">
        <v>2004</v>
      </c>
      <c r="H4257">
        <v>5</v>
      </c>
      <c r="I4257" s="12">
        <f>Table16[[#This Row],[price]]*Table16[[#This Row],[quantity]]</f>
        <v>300.08</v>
      </c>
    </row>
    <row r="4258" spans="1:9" x14ac:dyDescent="0.3">
      <c r="A4258" t="s">
        <v>6274</v>
      </c>
      <c r="B4258" t="s">
        <v>833</v>
      </c>
      <c r="C4258" t="s">
        <v>2011</v>
      </c>
      <c r="D4258">
        <v>1</v>
      </c>
      <c r="E4258" s="16">
        <v>40.659999999999997</v>
      </c>
      <c r="F4258" s="1">
        <v>44325</v>
      </c>
      <c r="G4258" t="s">
        <v>2004</v>
      </c>
      <c r="H4258">
        <v>1</v>
      </c>
      <c r="I4258" s="12">
        <f>Table16[[#This Row],[price]]*Table16[[#This Row],[quantity]]</f>
        <v>40.659999999999997</v>
      </c>
    </row>
    <row r="4259" spans="1:9" x14ac:dyDescent="0.3">
      <c r="A4259" t="s">
        <v>6276</v>
      </c>
      <c r="B4259" t="s">
        <v>833</v>
      </c>
      <c r="C4259" t="s">
        <v>2008</v>
      </c>
      <c r="D4259">
        <v>4</v>
      </c>
      <c r="E4259" s="16">
        <v>20.92</v>
      </c>
      <c r="F4259" s="1">
        <v>44649</v>
      </c>
      <c r="G4259" t="s">
        <v>2002</v>
      </c>
      <c r="H4259">
        <v>2</v>
      </c>
      <c r="I4259" s="12">
        <f>Table16[[#This Row],[price]]*Table16[[#This Row],[quantity]]</f>
        <v>83.68</v>
      </c>
    </row>
    <row r="4260" spans="1:9" x14ac:dyDescent="0.3">
      <c r="A4260" t="s">
        <v>6275</v>
      </c>
      <c r="B4260" t="s">
        <v>833</v>
      </c>
      <c r="C4260" t="s">
        <v>2008</v>
      </c>
      <c r="D4260">
        <v>3</v>
      </c>
      <c r="E4260" s="16">
        <v>15.69</v>
      </c>
      <c r="F4260" s="1">
        <v>44972</v>
      </c>
      <c r="G4260" t="s">
        <v>2027</v>
      </c>
      <c r="H4260">
        <v>4</v>
      </c>
      <c r="I4260" s="12">
        <f>Table16[[#This Row],[price]]*Table16[[#This Row],[quantity]]</f>
        <v>47.07</v>
      </c>
    </row>
    <row r="4261" spans="1:9" x14ac:dyDescent="0.3">
      <c r="A4261" t="s">
        <v>6281</v>
      </c>
      <c r="B4261" t="s">
        <v>834</v>
      </c>
      <c r="C4261" t="s">
        <v>2015</v>
      </c>
      <c r="D4261">
        <v>5</v>
      </c>
      <c r="E4261" s="16">
        <v>3000.85</v>
      </c>
      <c r="F4261" s="1">
        <v>44233</v>
      </c>
      <c r="G4261" t="s">
        <v>2064</v>
      </c>
      <c r="H4261">
        <v>2</v>
      </c>
      <c r="I4261" s="12">
        <f>Table16[[#This Row],[price]]*Table16[[#This Row],[quantity]]</f>
        <v>15004.25</v>
      </c>
    </row>
    <row r="4262" spans="1:9" x14ac:dyDescent="0.3">
      <c r="A4262" t="s">
        <v>6282</v>
      </c>
      <c r="B4262" t="s">
        <v>834</v>
      </c>
      <c r="C4262" t="s">
        <v>2001</v>
      </c>
      <c r="D4262">
        <v>1</v>
      </c>
      <c r="E4262" s="16">
        <v>300.08</v>
      </c>
      <c r="F4262" s="1">
        <v>44361</v>
      </c>
      <c r="G4262" t="s">
        <v>2004</v>
      </c>
      <c r="H4262">
        <v>3</v>
      </c>
      <c r="I4262" s="12">
        <f>Table16[[#This Row],[price]]*Table16[[#This Row],[quantity]]</f>
        <v>300.08</v>
      </c>
    </row>
    <row r="4263" spans="1:9" x14ac:dyDescent="0.3">
      <c r="A4263" t="s">
        <v>6277</v>
      </c>
      <c r="B4263" t="s">
        <v>834</v>
      </c>
      <c r="C4263" t="s">
        <v>2001</v>
      </c>
      <c r="D4263">
        <v>1</v>
      </c>
      <c r="E4263" s="16">
        <v>300.08</v>
      </c>
      <c r="F4263" s="1">
        <v>44376</v>
      </c>
      <c r="G4263" t="s">
        <v>2058</v>
      </c>
      <c r="H4263">
        <v>4</v>
      </c>
      <c r="I4263" s="12">
        <f>Table16[[#This Row],[price]]*Table16[[#This Row],[quantity]]</f>
        <v>300.08</v>
      </c>
    </row>
    <row r="4264" spans="1:9" x14ac:dyDescent="0.3">
      <c r="A4264" t="s">
        <v>6278</v>
      </c>
      <c r="B4264" t="s">
        <v>834</v>
      </c>
      <c r="C4264" t="s">
        <v>2001</v>
      </c>
      <c r="D4264">
        <v>3</v>
      </c>
      <c r="E4264" s="16">
        <v>900.24</v>
      </c>
      <c r="F4264" s="1">
        <v>44656</v>
      </c>
      <c r="G4264" t="s">
        <v>2004</v>
      </c>
      <c r="H4264">
        <v>2</v>
      </c>
      <c r="I4264" s="12">
        <f>Table16[[#This Row],[price]]*Table16[[#This Row],[quantity]]</f>
        <v>2700.7200000000003</v>
      </c>
    </row>
    <row r="4265" spans="1:9" x14ac:dyDescent="0.3">
      <c r="A4265" t="s">
        <v>6280</v>
      </c>
      <c r="B4265" t="s">
        <v>834</v>
      </c>
      <c r="C4265" t="s">
        <v>2008</v>
      </c>
      <c r="D4265">
        <v>3</v>
      </c>
      <c r="E4265" s="16">
        <v>15.69</v>
      </c>
      <c r="F4265" s="1">
        <v>44952</v>
      </c>
      <c r="G4265" t="s">
        <v>2004</v>
      </c>
      <c r="H4265">
        <v>2</v>
      </c>
      <c r="I4265" s="12">
        <f>Table16[[#This Row],[price]]*Table16[[#This Row],[quantity]]</f>
        <v>47.07</v>
      </c>
    </row>
    <row r="4266" spans="1:9" x14ac:dyDescent="0.3">
      <c r="A4266" t="s">
        <v>6279</v>
      </c>
      <c r="B4266" t="s">
        <v>834</v>
      </c>
      <c r="C4266" t="s">
        <v>2006</v>
      </c>
      <c r="D4266">
        <v>2</v>
      </c>
      <c r="E4266" s="16">
        <v>30.3</v>
      </c>
      <c r="F4266" s="1">
        <v>44993</v>
      </c>
      <c r="G4266" t="s">
        <v>2027</v>
      </c>
      <c r="H4266">
        <v>4</v>
      </c>
      <c r="I4266" s="12">
        <f>Table16[[#This Row],[price]]*Table16[[#This Row],[quantity]]</f>
        <v>60.6</v>
      </c>
    </row>
    <row r="4267" spans="1:9" x14ac:dyDescent="0.3">
      <c r="A4267" t="s">
        <v>6284</v>
      </c>
      <c r="B4267" t="s">
        <v>835</v>
      </c>
      <c r="C4267" t="s">
        <v>2001</v>
      </c>
      <c r="D4267">
        <v>3</v>
      </c>
      <c r="E4267" s="16">
        <v>900.24</v>
      </c>
      <c r="F4267" s="1">
        <v>44279</v>
      </c>
      <c r="G4267" t="s">
        <v>2009</v>
      </c>
      <c r="H4267">
        <v>2</v>
      </c>
      <c r="I4267" s="12">
        <f>Table16[[#This Row],[price]]*Table16[[#This Row],[quantity]]</f>
        <v>2700.7200000000003</v>
      </c>
    </row>
    <row r="4268" spans="1:9" x14ac:dyDescent="0.3">
      <c r="A4268" t="s">
        <v>6283</v>
      </c>
      <c r="B4268" t="s">
        <v>835</v>
      </c>
      <c r="C4268" t="s">
        <v>2011</v>
      </c>
      <c r="D4268">
        <v>3</v>
      </c>
      <c r="E4268" s="16">
        <v>121.98</v>
      </c>
      <c r="F4268" s="1">
        <v>44287</v>
      </c>
      <c r="G4268" t="s">
        <v>2041</v>
      </c>
      <c r="H4268">
        <v>2</v>
      </c>
      <c r="I4268" s="12">
        <f>Table16[[#This Row],[price]]*Table16[[#This Row],[quantity]]</f>
        <v>365.94</v>
      </c>
    </row>
    <row r="4269" spans="1:9" x14ac:dyDescent="0.3">
      <c r="A4269" t="s">
        <v>6285</v>
      </c>
      <c r="B4269" t="s">
        <v>836</v>
      </c>
      <c r="C4269" t="s">
        <v>2008</v>
      </c>
      <c r="D4269">
        <v>3</v>
      </c>
      <c r="E4269" s="16">
        <v>15.69</v>
      </c>
      <c r="F4269" s="1">
        <v>44201</v>
      </c>
      <c r="G4269" t="s">
        <v>2027</v>
      </c>
      <c r="H4269">
        <v>5</v>
      </c>
      <c r="I4269" s="12">
        <f>Table16[[#This Row],[price]]*Table16[[#This Row],[quantity]]</f>
        <v>47.07</v>
      </c>
    </row>
    <row r="4270" spans="1:9" x14ac:dyDescent="0.3">
      <c r="A4270" t="s">
        <v>6288</v>
      </c>
      <c r="B4270" t="s">
        <v>836</v>
      </c>
      <c r="C4270" t="s">
        <v>2001</v>
      </c>
      <c r="D4270">
        <v>2</v>
      </c>
      <c r="E4270" s="16">
        <v>600.16</v>
      </c>
      <c r="F4270" s="1">
        <v>44349</v>
      </c>
      <c r="G4270" t="s">
        <v>2002</v>
      </c>
      <c r="H4270">
        <v>5</v>
      </c>
      <c r="I4270" s="12">
        <f>Table16[[#This Row],[price]]*Table16[[#This Row],[quantity]]</f>
        <v>1200.32</v>
      </c>
    </row>
    <row r="4271" spans="1:9" x14ac:dyDescent="0.3">
      <c r="A4271" t="s">
        <v>6287</v>
      </c>
      <c r="B4271" t="s">
        <v>836</v>
      </c>
      <c r="C4271" t="s">
        <v>2015</v>
      </c>
      <c r="D4271">
        <v>2</v>
      </c>
      <c r="E4271" s="16">
        <v>1200.3399999999999</v>
      </c>
      <c r="F4271" s="1">
        <v>44490</v>
      </c>
      <c r="G4271" t="s">
        <v>2027</v>
      </c>
      <c r="H4271">
        <v>2</v>
      </c>
      <c r="I4271" s="12">
        <f>Table16[[#This Row],[price]]*Table16[[#This Row],[quantity]]</f>
        <v>2400.6799999999998</v>
      </c>
    </row>
    <row r="4272" spans="1:9" x14ac:dyDescent="0.3">
      <c r="A4272" t="s">
        <v>6286</v>
      </c>
      <c r="B4272" t="s">
        <v>836</v>
      </c>
      <c r="C4272" t="s">
        <v>2001</v>
      </c>
      <c r="D4272">
        <v>3</v>
      </c>
      <c r="E4272" s="16">
        <v>900.24</v>
      </c>
      <c r="F4272" s="1">
        <v>44622</v>
      </c>
      <c r="G4272" t="s">
        <v>2058</v>
      </c>
      <c r="H4272">
        <v>1</v>
      </c>
      <c r="I4272" s="12">
        <f>Table16[[#This Row],[price]]*Table16[[#This Row],[quantity]]</f>
        <v>2700.7200000000003</v>
      </c>
    </row>
    <row r="4273" spans="1:9" x14ac:dyDescent="0.3">
      <c r="A4273" t="s">
        <v>6289</v>
      </c>
      <c r="B4273" t="s">
        <v>836</v>
      </c>
      <c r="C4273" t="s">
        <v>2015</v>
      </c>
      <c r="D4273">
        <v>1</v>
      </c>
      <c r="E4273" s="16">
        <v>600.16999999999996</v>
      </c>
      <c r="F4273" s="1">
        <v>44868</v>
      </c>
      <c r="G4273" t="s">
        <v>2002</v>
      </c>
      <c r="H4273">
        <v>1</v>
      </c>
      <c r="I4273" s="12">
        <f>Table16[[#This Row],[price]]*Table16[[#This Row],[quantity]]</f>
        <v>600.16999999999996</v>
      </c>
    </row>
    <row r="4274" spans="1:9" x14ac:dyDescent="0.3">
      <c r="A4274" t="s">
        <v>6290</v>
      </c>
      <c r="B4274" t="s">
        <v>836</v>
      </c>
      <c r="C4274" t="s">
        <v>2001</v>
      </c>
      <c r="D4274">
        <v>2</v>
      </c>
      <c r="E4274" s="16">
        <v>600.16</v>
      </c>
      <c r="F4274" s="1">
        <v>44874</v>
      </c>
      <c r="G4274" t="s">
        <v>2002</v>
      </c>
      <c r="H4274">
        <v>4</v>
      </c>
      <c r="I4274" s="12">
        <f>Table16[[#This Row],[price]]*Table16[[#This Row],[quantity]]</f>
        <v>1200.32</v>
      </c>
    </row>
    <row r="4275" spans="1:9" x14ac:dyDescent="0.3">
      <c r="A4275" t="s">
        <v>6291</v>
      </c>
      <c r="B4275" t="s">
        <v>837</v>
      </c>
      <c r="C4275" t="s">
        <v>2001</v>
      </c>
      <c r="D4275">
        <v>2</v>
      </c>
      <c r="E4275" s="16">
        <v>600.16</v>
      </c>
      <c r="F4275" s="1">
        <v>44448</v>
      </c>
      <c r="G4275" t="s">
        <v>2064</v>
      </c>
      <c r="H4275">
        <v>5</v>
      </c>
      <c r="I4275" s="12">
        <f>Table16[[#This Row],[price]]*Table16[[#This Row],[quantity]]</f>
        <v>1200.32</v>
      </c>
    </row>
    <row r="4276" spans="1:9" x14ac:dyDescent="0.3">
      <c r="A4276" t="s">
        <v>6292</v>
      </c>
      <c r="B4276" t="s">
        <v>837</v>
      </c>
      <c r="C4276" t="s">
        <v>2011</v>
      </c>
      <c r="D4276">
        <v>4</v>
      </c>
      <c r="E4276" s="16">
        <v>162.63999999999999</v>
      </c>
      <c r="F4276" s="1">
        <v>44492</v>
      </c>
      <c r="G4276" t="s">
        <v>2027</v>
      </c>
      <c r="H4276">
        <v>5</v>
      </c>
      <c r="I4276" s="12">
        <f>Table16[[#This Row],[price]]*Table16[[#This Row],[quantity]]</f>
        <v>650.55999999999995</v>
      </c>
    </row>
    <row r="4277" spans="1:9" x14ac:dyDescent="0.3">
      <c r="A4277" t="s">
        <v>6294</v>
      </c>
      <c r="B4277" t="s">
        <v>837</v>
      </c>
      <c r="C4277" t="s">
        <v>2024</v>
      </c>
      <c r="D4277">
        <v>1</v>
      </c>
      <c r="E4277" s="16">
        <v>35.840000000000003</v>
      </c>
      <c r="F4277" s="1">
        <v>44824</v>
      </c>
      <c r="G4277" t="s">
        <v>2027</v>
      </c>
      <c r="H4277">
        <v>5</v>
      </c>
      <c r="I4277" s="12">
        <f>Table16[[#This Row],[price]]*Table16[[#This Row],[quantity]]</f>
        <v>35.840000000000003</v>
      </c>
    </row>
    <row r="4278" spans="1:9" x14ac:dyDescent="0.3">
      <c r="A4278" t="s">
        <v>6293</v>
      </c>
      <c r="B4278" t="s">
        <v>837</v>
      </c>
      <c r="C4278" t="s">
        <v>2057</v>
      </c>
      <c r="D4278">
        <v>1</v>
      </c>
      <c r="E4278" s="16">
        <v>11.73</v>
      </c>
      <c r="F4278" s="1">
        <v>44826</v>
      </c>
      <c r="G4278" t="s">
        <v>2058</v>
      </c>
      <c r="H4278">
        <v>1</v>
      </c>
      <c r="I4278" s="12">
        <f>Table16[[#This Row],[price]]*Table16[[#This Row],[quantity]]</f>
        <v>11.73</v>
      </c>
    </row>
    <row r="4279" spans="1:9" x14ac:dyDescent="0.3">
      <c r="A4279" t="s">
        <v>6297</v>
      </c>
      <c r="B4279" t="s">
        <v>838</v>
      </c>
      <c r="C4279" t="s">
        <v>2011</v>
      </c>
      <c r="D4279">
        <v>5</v>
      </c>
      <c r="E4279" s="16">
        <v>203.3</v>
      </c>
      <c r="F4279" s="1">
        <v>44350</v>
      </c>
      <c r="G4279" t="s">
        <v>2009</v>
      </c>
      <c r="H4279">
        <v>1</v>
      </c>
      <c r="I4279" s="12">
        <f>Table16[[#This Row],[price]]*Table16[[#This Row],[quantity]]</f>
        <v>1016.5</v>
      </c>
    </row>
    <row r="4280" spans="1:9" x14ac:dyDescent="0.3">
      <c r="A4280" t="s">
        <v>6296</v>
      </c>
      <c r="B4280" t="s">
        <v>838</v>
      </c>
      <c r="C4280" t="s">
        <v>2001</v>
      </c>
      <c r="D4280">
        <v>5</v>
      </c>
      <c r="E4280" s="16">
        <v>1500.4</v>
      </c>
      <c r="F4280" s="1">
        <v>44378</v>
      </c>
      <c r="G4280" t="s">
        <v>2004</v>
      </c>
      <c r="H4280">
        <v>5</v>
      </c>
      <c r="I4280" s="12">
        <f>Table16[[#This Row],[price]]*Table16[[#This Row],[quantity]]</f>
        <v>7502</v>
      </c>
    </row>
    <row r="4281" spans="1:9" x14ac:dyDescent="0.3">
      <c r="A4281" t="s">
        <v>6295</v>
      </c>
      <c r="B4281" t="s">
        <v>838</v>
      </c>
      <c r="C4281" t="s">
        <v>2001</v>
      </c>
      <c r="D4281">
        <v>4</v>
      </c>
      <c r="E4281" s="16">
        <v>1200.32</v>
      </c>
      <c r="F4281" s="1">
        <v>44388</v>
      </c>
      <c r="G4281" t="s">
        <v>2002</v>
      </c>
      <c r="H4281">
        <v>5</v>
      </c>
      <c r="I4281" s="12">
        <f>Table16[[#This Row],[price]]*Table16[[#This Row],[quantity]]</f>
        <v>4801.28</v>
      </c>
    </row>
    <row r="4282" spans="1:9" x14ac:dyDescent="0.3">
      <c r="A4282" t="s">
        <v>6298</v>
      </c>
      <c r="B4282" t="s">
        <v>838</v>
      </c>
      <c r="C4282" t="s">
        <v>2017</v>
      </c>
      <c r="D4282">
        <v>5</v>
      </c>
      <c r="E4282" s="16">
        <v>5250</v>
      </c>
      <c r="F4282" s="1">
        <v>44697</v>
      </c>
      <c r="G4282" t="s">
        <v>2041</v>
      </c>
      <c r="H4282">
        <v>3</v>
      </c>
      <c r="I4282" s="12">
        <f>Table16[[#This Row],[price]]*Table16[[#This Row],[quantity]]</f>
        <v>26250</v>
      </c>
    </row>
    <row r="4283" spans="1:9" x14ac:dyDescent="0.3">
      <c r="A4283" t="s">
        <v>6301</v>
      </c>
      <c r="B4283" t="s">
        <v>839</v>
      </c>
      <c r="C4283" t="s">
        <v>2015</v>
      </c>
      <c r="D4283">
        <v>4</v>
      </c>
      <c r="E4283" s="16">
        <v>2400.6799999999998</v>
      </c>
      <c r="F4283" s="1">
        <v>44217</v>
      </c>
      <c r="G4283" t="s">
        <v>2004</v>
      </c>
      <c r="H4283">
        <v>5</v>
      </c>
      <c r="I4283" s="12">
        <f>Table16[[#This Row],[price]]*Table16[[#This Row],[quantity]]</f>
        <v>9602.7199999999993</v>
      </c>
    </row>
    <row r="4284" spans="1:9" x14ac:dyDescent="0.3">
      <c r="A4284" t="s">
        <v>6299</v>
      </c>
      <c r="B4284" t="s">
        <v>839</v>
      </c>
      <c r="C4284" t="s">
        <v>2001</v>
      </c>
      <c r="D4284">
        <v>2</v>
      </c>
      <c r="E4284" s="16">
        <v>600.16</v>
      </c>
      <c r="F4284" s="1">
        <v>44385</v>
      </c>
      <c r="G4284" t="s">
        <v>2058</v>
      </c>
      <c r="H4284">
        <v>1</v>
      </c>
      <c r="I4284" s="12">
        <f>Table16[[#This Row],[price]]*Table16[[#This Row],[quantity]]</f>
        <v>1200.32</v>
      </c>
    </row>
    <row r="4285" spans="1:9" x14ac:dyDescent="0.3">
      <c r="A4285" t="s">
        <v>6300</v>
      </c>
      <c r="B4285" t="s">
        <v>839</v>
      </c>
      <c r="C4285" t="s">
        <v>2015</v>
      </c>
      <c r="D4285">
        <v>3</v>
      </c>
      <c r="E4285" s="16">
        <v>1800.51</v>
      </c>
      <c r="F4285" s="1">
        <v>44399</v>
      </c>
      <c r="G4285" t="s">
        <v>2027</v>
      </c>
      <c r="H4285">
        <v>1</v>
      </c>
      <c r="I4285" s="12">
        <f>Table16[[#This Row],[price]]*Table16[[#This Row],[quantity]]</f>
        <v>5401.53</v>
      </c>
    </row>
    <row r="4286" spans="1:9" x14ac:dyDescent="0.3">
      <c r="A4286" t="s">
        <v>6304</v>
      </c>
      <c r="B4286" t="s">
        <v>840</v>
      </c>
      <c r="C4286" t="s">
        <v>2015</v>
      </c>
      <c r="D4286">
        <v>2</v>
      </c>
      <c r="E4286" s="16">
        <v>1200.3399999999999</v>
      </c>
      <c r="F4286" s="1">
        <v>44376</v>
      </c>
      <c r="G4286" t="s">
        <v>2041</v>
      </c>
      <c r="H4286">
        <v>3</v>
      </c>
      <c r="I4286" s="12">
        <f>Table16[[#This Row],[price]]*Table16[[#This Row],[quantity]]</f>
        <v>2400.6799999999998</v>
      </c>
    </row>
    <row r="4287" spans="1:9" x14ac:dyDescent="0.3">
      <c r="A4287" t="s">
        <v>6302</v>
      </c>
      <c r="B4287" t="s">
        <v>840</v>
      </c>
      <c r="C4287" t="s">
        <v>2057</v>
      </c>
      <c r="D4287">
        <v>5</v>
      </c>
      <c r="E4287" s="16">
        <v>58.65</v>
      </c>
      <c r="F4287" s="1">
        <v>44503</v>
      </c>
      <c r="G4287" t="s">
        <v>2004</v>
      </c>
      <c r="H4287">
        <v>1</v>
      </c>
      <c r="I4287" s="12">
        <f>Table16[[#This Row],[price]]*Table16[[#This Row],[quantity]]</f>
        <v>293.25</v>
      </c>
    </row>
    <row r="4288" spans="1:9" x14ac:dyDescent="0.3">
      <c r="A4288" t="s">
        <v>6303</v>
      </c>
      <c r="B4288" t="s">
        <v>840</v>
      </c>
      <c r="C4288" t="s">
        <v>2008</v>
      </c>
      <c r="D4288">
        <v>2</v>
      </c>
      <c r="E4288" s="16">
        <v>10.46</v>
      </c>
      <c r="F4288" s="1">
        <v>44619</v>
      </c>
      <c r="G4288" t="s">
        <v>2002</v>
      </c>
      <c r="H4288">
        <v>1</v>
      </c>
      <c r="I4288" s="12">
        <f>Table16[[#This Row],[price]]*Table16[[#This Row],[quantity]]</f>
        <v>20.92</v>
      </c>
    </row>
    <row r="4289" spans="1:9" x14ac:dyDescent="0.3">
      <c r="A4289" t="s">
        <v>6308</v>
      </c>
      <c r="B4289" t="s">
        <v>841</v>
      </c>
      <c r="C4289" t="s">
        <v>2011</v>
      </c>
      <c r="D4289">
        <v>1</v>
      </c>
      <c r="E4289" s="16">
        <v>40.659999999999997</v>
      </c>
      <c r="F4289" s="1">
        <v>44201</v>
      </c>
      <c r="G4289" t="s">
        <v>2041</v>
      </c>
      <c r="H4289">
        <v>1</v>
      </c>
      <c r="I4289" s="12">
        <f>Table16[[#This Row],[price]]*Table16[[#This Row],[quantity]]</f>
        <v>40.659999999999997</v>
      </c>
    </row>
    <row r="4290" spans="1:9" x14ac:dyDescent="0.3">
      <c r="A4290" t="s">
        <v>6306</v>
      </c>
      <c r="B4290" t="s">
        <v>841</v>
      </c>
      <c r="C4290" t="s">
        <v>2001</v>
      </c>
      <c r="D4290">
        <v>4</v>
      </c>
      <c r="E4290" s="16">
        <v>1200.32</v>
      </c>
      <c r="F4290" s="1">
        <v>44612</v>
      </c>
      <c r="G4290" t="s">
        <v>2004</v>
      </c>
      <c r="H4290">
        <v>2</v>
      </c>
      <c r="I4290" s="12">
        <f>Table16[[#This Row],[price]]*Table16[[#This Row],[quantity]]</f>
        <v>4801.28</v>
      </c>
    </row>
    <row r="4291" spans="1:9" x14ac:dyDescent="0.3">
      <c r="A4291" t="s">
        <v>6305</v>
      </c>
      <c r="B4291" t="s">
        <v>841</v>
      </c>
      <c r="C4291" t="s">
        <v>2006</v>
      </c>
      <c r="D4291">
        <v>3</v>
      </c>
      <c r="E4291" s="16">
        <v>45.45</v>
      </c>
      <c r="F4291" s="1">
        <v>44879</v>
      </c>
      <c r="G4291" t="s">
        <v>2002</v>
      </c>
      <c r="H4291">
        <v>2</v>
      </c>
      <c r="I4291" s="12">
        <f>Table16[[#This Row],[price]]*Table16[[#This Row],[quantity]]</f>
        <v>136.35000000000002</v>
      </c>
    </row>
    <row r="4292" spans="1:9" x14ac:dyDescent="0.3">
      <c r="A4292" t="s">
        <v>6307</v>
      </c>
      <c r="B4292" t="s">
        <v>841</v>
      </c>
      <c r="C4292" t="s">
        <v>2008</v>
      </c>
      <c r="D4292">
        <v>5</v>
      </c>
      <c r="E4292" s="16">
        <v>26.15</v>
      </c>
      <c r="F4292" s="1">
        <v>44973</v>
      </c>
      <c r="G4292" t="s">
        <v>2002</v>
      </c>
      <c r="H4292">
        <v>4</v>
      </c>
      <c r="I4292" s="12">
        <f>Table16[[#This Row],[price]]*Table16[[#This Row],[quantity]]</f>
        <v>130.75</v>
      </c>
    </row>
    <row r="4293" spans="1:9" x14ac:dyDescent="0.3">
      <c r="A4293" t="s">
        <v>6310</v>
      </c>
      <c r="B4293" t="s">
        <v>842</v>
      </c>
      <c r="C4293" t="s">
        <v>2015</v>
      </c>
      <c r="D4293">
        <v>3</v>
      </c>
      <c r="E4293" s="16">
        <v>1800.51</v>
      </c>
      <c r="F4293" s="1">
        <v>44239</v>
      </c>
      <c r="G4293" t="s">
        <v>2027</v>
      </c>
      <c r="H4293">
        <v>1</v>
      </c>
      <c r="I4293" s="12">
        <f>Table16[[#This Row],[price]]*Table16[[#This Row],[quantity]]</f>
        <v>5401.53</v>
      </c>
    </row>
    <row r="4294" spans="1:9" x14ac:dyDescent="0.3">
      <c r="A4294" t="s">
        <v>6309</v>
      </c>
      <c r="B4294" t="s">
        <v>842</v>
      </c>
      <c r="C4294" t="s">
        <v>2001</v>
      </c>
      <c r="D4294">
        <v>4</v>
      </c>
      <c r="E4294" s="16">
        <v>1200.32</v>
      </c>
      <c r="F4294" s="1">
        <v>44531</v>
      </c>
      <c r="G4294" t="s">
        <v>2009</v>
      </c>
      <c r="H4294">
        <v>1</v>
      </c>
      <c r="I4294" s="12">
        <f>Table16[[#This Row],[price]]*Table16[[#This Row],[quantity]]</f>
        <v>4801.28</v>
      </c>
    </row>
    <row r="4295" spans="1:9" x14ac:dyDescent="0.3">
      <c r="A4295" t="s">
        <v>6312</v>
      </c>
      <c r="B4295" t="s">
        <v>842</v>
      </c>
      <c r="C4295" t="s">
        <v>2011</v>
      </c>
      <c r="D4295">
        <v>2</v>
      </c>
      <c r="E4295" s="16">
        <v>81.319999999999993</v>
      </c>
      <c r="F4295" s="1">
        <v>44559</v>
      </c>
      <c r="G4295" t="s">
        <v>2027</v>
      </c>
      <c r="H4295">
        <v>4</v>
      </c>
      <c r="I4295" s="12">
        <f>Table16[[#This Row],[price]]*Table16[[#This Row],[quantity]]</f>
        <v>162.63999999999999</v>
      </c>
    </row>
    <row r="4296" spans="1:9" x14ac:dyDescent="0.3">
      <c r="A4296" t="s">
        <v>6314</v>
      </c>
      <c r="B4296" t="s">
        <v>842</v>
      </c>
      <c r="C4296" t="s">
        <v>2011</v>
      </c>
      <c r="D4296">
        <v>4</v>
      </c>
      <c r="E4296" s="16">
        <v>162.63999999999999</v>
      </c>
      <c r="F4296" s="1">
        <v>44763</v>
      </c>
      <c r="G4296" t="s">
        <v>2058</v>
      </c>
      <c r="H4296">
        <v>1</v>
      </c>
      <c r="I4296" s="12">
        <f>Table16[[#This Row],[price]]*Table16[[#This Row],[quantity]]</f>
        <v>650.55999999999995</v>
      </c>
    </row>
    <row r="4297" spans="1:9" x14ac:dyDescent="0.3">
      <c r="A4297" t="s">
        <v>6311</v>
      </c>
      <c r="B4297" t="s">
        <v>842</v>
      </c>
      <c r="C4297" t="s">
        <v>2001</v>
      </c>
      <c r="D4297">
        <v>3</v>
      </c>
      <c r="E4297" s="16">
        <v>900.24</v>
      </c>
      <c r="F4297" s="1">
        <v>44776</v>
      </c>
      <c r="G4297" t="s">
        <v>2020</v>
      </c>
      <c r="H4297">
        <v>1</v>
      </c>
      <c r="I4297" s="12">
        <f>Table16[[#This Row],[price]]*Table16[[#This Row],[quantity]]</f>
        <v>2700.7200000000003</v>
      </c>
    </row>
    <row r="4298" spans="1:9" x14ac:dyDescent="0.3">
      <c r="A4298" t="s">
        <v>6313</v>
      </c>
      <c r="B4298" t="s">
        <v>842</v>
      </c>
      <c r="C4298" t="s">
        <v>2006</v>
      </c>
      <c r="D4298">
        <v>4</v>
      </c>
      <c r="E4298" s="16">
        <v>60.6</v>
      </c>
      <c r="F4298" s="1">
        <v>44898</v>
      </c>
      <c r="G4298" t="s">
        <v>2027</v>
      </c>
      <c r="H4298">
        <v>3</v>
      </c>
      <c r="I4298" s="12">
        <f>Table16[[#This Row],[price]]*Table16[[#This Row],[quantity]]</f>
        <v>242.4</v>
      </c>
    </row>
    <row r="4299" spans="1:9" x14ac:dyDescent="0.3">
      <c r="A4299" t="s">
        <v>6320</v>
      </c>
      <c r="B4299" t="s">
        <v>843</v>
      </c>
      <c r="C4299" t="s">
        <v>2024</v>
      </c>
      <c r="D4299">
        <v>3</v>
      </c>
      <c r="E4299" s="16">
        <v>107.52</v>
      </c>
      <c r="F4299" s="1">
        <v>44265</v>
      </c>
      <c r="G4299" t="s">
        <v>2027</v>
      </c>
      <c r="H4299">
        <v>2</v>
      </c>
      <c r="I4299" s="12">
        <f>Table16[[#This Row],[price]]*Table16[[#This Row],[quantity]]</f>
        <v>322.56</v>
      </c>
    </row>
    <row r="4300" spans="1:9" x14ac:dyDescent="0.3">
      <c r="A4300" t="s">
        <v>6315</v>
      </c>
      <c r="B4300" t="s">
        <v>843</v>
      </c>
      <c r="C4300" t="s">
        <v>2024</v>
      </c>
      <c r="D4300">
        <v>1</v>
      </c>
      <c r="E4300" s="16">
        <v>35.840000000000003</v>
      </c>
      <c r="F4300" s="1">
        <v>44494</v>
      </c>
      <c r="G4300" t="s">
        <v>2004</v>
      </c>
      <c r="H4300">
        <v>3</v>
      </c>
      <c r="I4300" s="12">
        <f>Table16[[#This Row],[price]]*Table16[[#This Row],[quantity]]</f>
        <v>35.840000000000003</v>
      </c>
    </row>
    <row r="4301" spans="1:9" x14ac:dyDescent="0.3">
      <c r="A4301" t="s">
        <v>6321</v>
      </c>
      <c r="B4301" t="s">
        <v>843</v>
      </c>
      <c r="C4301" t="s">
        <v>2011</v>
      </c>
      <c r="D4301">
        <v>3</v>
      </c>
      <c r="E4301" s="16">
        <v>121.98</v>
      </c>
      <c r="F4301" s="1">
        <v>44505</v>
      </c>
      <c r="G4301" t="s">
        <v>2027</v>
      </c>
      <c r="H4301">
        <v>1</v>
      </c>
      <c r="I4301" s="12">
        <f>Table16[[#This Row],[price]]*Table16[[#This Row],[quantity]]</f>
        <v>365.94</v>
      </c>
    </row>
    <row r="4302" spans="1:9" x14ac:dyDescent="0.3">
      <c r="A4302" t="s">
        <v>6317</v>
      </c>
      <c r="B4302" t="s">
        <v>843</v>
      </c>
      <c r="C4302" t="s">
        <v>2024</v>
      </c>
      <c r="D4302">
        <v>5</v>
      </c>
      <c r="E4302" s="16">
        <v>179.2</v>
      </c>
      <c r="F4302" s="1">
        <v>44705</v>
      </c>
      <c r="G4302" t="s">
        <v>2020</v>
      </c>
      <c r="H4302">
        <v>3</v>
      </c>
      <c r="I4302" s="12">
        <f>Table16[[#This Row],[price]]*Table16[[#This Row],[quantity]]</f>
        <v>896</v>
      </c>
    </row>
    <row r="4303" spans="1:9" x14ac:dyDescent="0.3">
      <c r="A4303" t="s">
        <v>6318</v>
      </c>
      <c r="B4303" t="s">
        <v>843</v>
      </c>
      <c r="C4303" t="s">
        <v>2001</v>
      </c>
      <c r="D4303">
        <v>1</v>
      </c>
      <c r="E4303" s="16">
        <v>300.08</v>
      </c>
      <c r="F4303" s="1">
        <v>44780</v>
      </c>
      <c r="G4303" t="s">
        <v>2027</v>
      </c>
      <c r="H4303">
        <v>3</v>
      </c>
      <c r="I4303" s="12">
        <f>Table16[[#This Row],[price]]*Table16[[#This Row],[quantity]]</f>
        <v>300.08</v>
      </c>
    </row>
    <row r="4304" spans="1:9" x14ac:dyDescent="0.3">
      <c r="A4304" t="s">
        <v>6319</v>
      </c>
      <c r="B4304" t="s">
        <v>843</v>
      </c>
      <c r="C4304" t="s">
        <v>2001</v>
      </c>
      <c r="D4304">
        <v>4</v>
      </c>
      <c r="E4304" s="16">
        <v>1200.32</v>
      </c>
      <c r="F4304" s="1">
        <v>44797</v>
      </c>
      <c r="G4304" t="s">
        <v>2027</v>
      </c>
      <c r="H4304">
        <v>2</v>
      </c>
      <c r="I4304" s="12">
        <f>Table16[[#This Row],[price]]*Table16[[#This Row],[quantity]]</f>
        <v>4801.28</v>
      </c>
    </row>
    <row r="4305" spans="1:9" x14ac:dyDescent="0.3">
      <c r="A4305" t="s">
        <v>6316</v>
      </c>
      <c r="B4305" t="s">
        <v>843</v>
      </c>
      <c r="C4305" t="s">
        <v>2006</v>
      </c>
      <c r="D4305">
        <v>5</v>
      </c>
      <c r="E4305" s="16">
        <v>75.75</v>
      </c>
      <c r="F4305" s="1">
        <v>44959</v>
      </c>
      <c r="G4305" t="s">
        <v>2027</v>
      </c>
      <c r="H4305">
        <v>2</v>
      </c>
      <c r="I4305" s="12">
        <f>Table16[[#This Row],[price]]*Table16[[#This Row],[quantity]]</f>
        <v>378.75</v>
      </c>
    </row>
    <row r="4306" spans="1:9" x14ac:dyDescent="0.3">
      <c r="A4306" t="s">
        <v>6325</v>
      </c>
      <c r="B4306" t="s">
        <v>844</v>
      </c>
      <c r="C4306" t="s">
        <v>2006</v>
      </c>
      <c r="D4306">
        <v>4</v>
      </c>
      <c r="E4306" s="16">
        <v>60.6</v>
      </c>
      <c r="F4306" s="1">
        <v>44310</v>
      </c>
      <c r="G4306" t="s">
        <v>2002</v>
      </c>
      <c r="H4306">
        <v>4</v>
      </c>
      <c r="I4306" s="12">
        <f>Table16[[#This Row],[price]]*Table16[[#This Row],[quantity]]</f>
        <v>242.4</v>
      </c>
    </row>
    <row r="4307" spans="1:9" x14ac:dyDescent="0.3">
      <c r="A4307" t="s">
        <v>6322</v>
      </c>
      <c r="B4307" t="s">
        <v>844</v>
      </c>
      <c r="C4307" t="s">
        <v>2015</v>
      </c>
      <c r="D4307">
        <v>2</v>
      </c>
      <c r="E4307" s="16">
        <v>1200.3399999999999</v>
      </c>
      <c r="F4307" s="1">
        <v>44362</v>
      </c>
      <c r="G4307" t="s">
        <v>2012</v>
      </c>
      <c r="H4307">
        <v>2</v>
      </c>
      <c r="I4307" s="12">
        <f>Table16[[#This Row],[price]]*Table16[[#This Row],[quantity]]</f>
        <v>2400.6799999999998</v>
      </c>
    </row>
    <row r="4308" spans="1:9" x14ac:dyDescent="0.3">
      <c r="A4308" t="s">
        <v>6326</v>
      </c>
      <c r="B4308" t="s">
        <v>844</v>
      </c>
      <c r="C4308" t="s">
        <v>2008</v>
      </c>
      <c r="D4308">
        <v>4</v>
      </c>
      <c r="E4308" s="16">
        <v>20.92</v>
      </c>
      <c r="F4308" s="1">
        <v>44551</v>
      </c>
      <c r="G4308" t="s">
        <v>2012</v>
      </c>
      <c r="H4308">
        <v>1</v>
      </c>
      <c r="I4308" s="12">
        <f>Table16[[#This Row],[price]]*Table16[[#This Row],[quantity]]</f>
        <v>83.68</v>
      </c>
    </row>
    <row r="4309" spans="1:9" x14ac:dyDescent="0.3">
      <c r="A4309" t="s">
        <v>6323</v>
      </c>
      <c r="B4309" t="s">
        <v>844</v>
      </c>
      <c r="C4309" t="s">
        <v>2011</v>
      </c>
      <c r="D4309">
        <v>3</v>
      </c>
      <c r="E4309" s="16">
        <v>121.98</v>
      </c>
      <c r="F4309" s="1">
        <v>44728</v>
      </c>
      <c r="G4309" t="s">
        <v>2004</v>
      </c>
      <c r="H4309">
        <v>1</v>
      </c>
      <c r="I4309" s="12">
        <f>Table16[[#This Row],[price]]*Table16[[#This Row],[quantity]]</f>
        <v>365.94</v>
      </c>
    </row>
    <row r="4310" spans="1:9" x14ac:dyDescent="0.3">
      <c r="A4310" t="s">
        <v>6324</v>
      </c>
      <c r="B4310" t="s">
        <v>844</v>
      </c>
      <c r="C4310" t="s">
        <v>2001</v>
      </c>
      <c r="D4310">
        <v>5</v>
      </c>
      <c r="E4310" s="16">
        <v>1500.4</v>
      </c>
      <c r="F4310" s="1">
        <v>44856</v>
      </c>
      <c r="G4310" t="s">
        <v>2041</v>
      </c>
      <c r="H4310">
        <v>5</v>
      </c>
      <c r="I4310" s="12">
        <f>Table16[[#This Row],[price]]*Table16[[#This Row],[quantity]]</f>
        <v>7502</v>
      </c>
    </row>
    <row r="4311" spans="1:9" x14ac:dyDescent="0.3">
      <c r="A4311" t="s">
        <v>6330</v>
      </c>
      <c r="B4311" t="s">
        <v>845</v>
      </c>
      <c r="C4311" t="s">
        <v>2001</v>
      </c>
      <c r="D4311">
        <v>5</v>
      </c>
      <c r="E4311" s="16">
        <v>1500.4</v>
      </c>
      <c r="F4311" s="1">
        <v>44303</v>
      </c>
      <c r="G4311" t="s">
        <v>2041</v>
      </c>
      <c r="H4311">
        <v>4</v>
      </c>
      <c r="I4311" s="12">
        <f>Table16[[#This Row],[price]]*Table16[[#This Row],[quantity]]</f>
        <v>7502</v>
      </c>
    </row>
    <row r="4312" spans="1:9" x14ac:dyDescent="0.3">
      <c r="A4312" t="s">
        <v>6328</v>
      </c>
      <c r="B4312" t="s">
        <v>845</v>
      </c>
      <c r="C4312" t="s">
        <v>2017</v>
      </c>
      <c r="D4312">
        <v>2</v>
      </c>
      <c r="E4312" s="16">
        <v>2100</v>
      </c>
      <c r="F4312" s="1">
        <v>44471</v>
      </c>
      <c r="G4312" t="s">
        <v>2027</v>
      </c>
      <c r="H4312">
        <v>5</v>
      </c>
      <c r="I4312" s="12">
        <f>Table16[[#This Row],[price]]*Table16[[#This Row],[quantity]]</f>
        <v>4200</v>
      </c>
    </row>
    <row r="4313" spans="1:9" x14ac:dyDescent="0.3">
      <c r="A4313" t="s">
        <v>6331</v>
      </c>
      <c r="B4313" t="s">
        <v>845</v>
      </c>
      <c r="C4313" t="s">
        <v>2001</v>
      </c>
      <c r="D4313">
        <v>3</v>
      </c>
      <c r="E4313" s="16">
        <v>900.24</v>
      </c>
      <c r="F4313" s="1">
        <v>44548</v>
      </c>
      <c r="G4313" t="s">
        <v>2004</v>
      </c>
      <c r="H4313">
        <v>3</v>
      </c>
      <c r="I4313" s="12">
        <f>Table16[[#This Row],[price]]*Table16[[#This Row],[quantity]]</f>
        <v>2700.7200000000003</v>
      </c>
    </row>
    <row r="4314" spans="1:9" x14ac:dyDescent="0.3">
      <c r="A4314" t="s">
        <v>6329</v>
      </c>
      <c r="B4314" t="s">
        <v>845</v>
      </c>
      <c r="C4314" t="s">
        <v>2057</v>
      </c>
      <c r="D4314">
        <v>2</v>
      </c>
      <c r="E4314" s="16">
        <v>23.46</v>
      </c>
      <c r="F4314" s="1">
        <v>44703</v>
      </c>
      <c r="G4314" t="s">
        <v>2018</v>
      </c>
      <c r="H4314">
        <v>2</v>
      </c>
      <c r="I4314" s="12">
        <f>Table16[[#This Row],[price]]*Table16[[#This Row],[quantity]]</f>
        <v>46.92</v>
      </c>
    </row>
    <row r="4315" spans="1:9" x14ac:dyDescent="0.3">
      <c r="A4315" t="s">
        <v>6327</v>
      </c>
      <c r="B4315" t="s">
        <v>845</v>
      </c>
      <c r="C4315" t="s">
        <v>2015</v>
      </c>
      <c r="D4315">
        <v>1</v>
      </c>
      <c r="E4315" s="16">
        <v>600.16999999999996</v>
      </c>
      <c r="F4315" s="1">
        <v>44745</v>
      </c>
      <c r="G4315" t="s">
        <v>2064</v>
      </c>
      <c r="H4315">
        <v>1</v>
      </c>
      <c r="I4315" s="12">
        <f>Table16[[#This Row],[price]]*Table16[[#This Row],[quantity]]</f>
        <v>600.16999999999996</v>
      </c>
    </row>
    <row r="4316" spans="1:9" x14ac:dyDescent="0.3">
      <c r="A4316" t="s">
        <v>6334</v>
      </c>
      <c r="B4316" t="s">
        <v>846</v>
      </c>
      <c r="C4316" t="s">
        <v>2001</v>
      </c>
      <c r="D4316">
        <v>1</v>
      </c>
      <c r="E4316" s="16">
        <v>300.08</v>
      </c>
      <c r="F4316" s="1">
        <v>44258</v>
      </c>
      <c r="G4316" t="s">
        <v>2020</v>
      </c>
      <c r="H4316">
        <v>5</v>
      </c>
      <c r="I4316" s="12">
        <f>Table16[[#This Row],[price]]*Table16[[#This Row],[quantity]]</f>
        <v>300.08</v>
      </c>
    </row>
    <row r="4317" spans="1:9" x14ac:dyDescent="0.3">
      <c r="A4317" t="s">
        <v>6335</v>
      </c>
      <c r="B4317" t="s">
        <v>846</v>
      </c>
      <c r="C4317" t="s">
        <v>2015</v>
      </c>
      <c r="D4317">
        <v>1</v>
      </c>
      <c r="E4317" s="16">
        <v>600.16999999999996</v>
      </c>
      <c r="F4317" s="1">
        <v>44326</v>
      </c>
      <c r="G4317" t="s">
        <v>2004</v>
      </c>
      <c r="H4317">
        <v>2</v>
      </c>
      <c r="I4317" s="12">
        <f>Table16[[#This Row],[price]]*Table16[[#This Row],[quantity]]</f>
        <v>600.16999999999996</v>
      </c>
    </row>
    <row r="4318" spans="1:9" x14ac:dyDescent="0.3">
      <c r="A4318" t="s">
        <v>6333</v>
      </c>
      <c r="B4318" t="s">
        <v>846</v>
      </c>
      <c r="C4318" t="s">
        <v>2024</v>
      </c>
      <c r="D4318">
        <v>3</v>
      </c>
      <c r="E4318" s="16">
        <v>107.52</v>
      </c>
      <c r="F4318" s="1">
        <v>44338</v>
      </c>
      <c r="G4318" t="s">
        <v>2002</v>
      </c>
      <c r="H4318">
        <v>2</v>
      </c>
      <c r="I4318" s="12">
        <f>Table16[[#This Row],[price]]*Table16[[#This Row],[quantity]]</f>
        <v>322.56</v>
      </c>
    </row>
    <row r="4319" spans="1:9" x14ac:dyDescent="0.3">
      <c r="A4319" t="s">
        <v>6332</v>
      </c>
      <c r="B4319" t="s">
        <v>846</v>
      </c>
      <c r="C4319" t="s">
        <v>2001</v>
      </c>
      <c r="D4319">
        <v>2</v>
      </c>
      <c r="E4319" s="16">
        <v>600.16</v>
      </c>
      <c r="F4319" s="1">
        <v>44498</v>
      </c>
      <c r="G4319" t="s">
        <v>2027</v>
      </c>
      <c r="H4319">
        <v>3</v>
      </c>
      <c r="I4319" s="12">
        <f>Table16[[#This Row],[price]]*Table16[[#This Row],[quantity]]</f>
        <v>1200.32</v>
      </c>
    </row>
    <row r="4320" spans="1:9" x14ac:dyDescent="0.3">
      <c r="A4320" t="s">
        <v>6336</v>
      </c>
      <c r="B4320" t="s">
        <v>846</v>
      </c>
      <c r="C4320" t="s">
        <v>2001</v>
      </c>
      <c r="D4320">
        <v>5</v>
      </c>
      <c r="E4320" s="16">
        <v>1500.4</v>
      </c>
      <c r="F4320" s="1">
        <v>44529</v>
      </c>
      <c r="G4320" t="s">
        <v>2027</v>
      </c>
      <c r="H4320">
        <v>1</v>
      </c>
      <c r="I4320" s="12">
        <f>Table16[[#This Row],[price]]*Table16[[#This Row],[quantity]]</f>
        <v>7502</v>
      </c>
    </row>
    <row r="4321" spans="1:9" x14ac:dyDescent="0.3">
      <c r="A4321" t="s">
        <v>6337</v>
      </c>
      <c r="B4321" t="s">
        <v>847</v>
      </c>
      <c r="C4321" t="s">
        <v>2001</v>
      </c>
      <c r="D4321">
        <v>5</v>
      </c>
      <c r="E4321" s="16">
        <v>1500.4</v>
      </c>
      <c r="F4321" s="1">
        <v>44212</v>
      </c>
      <c r="G4321" t="s">
        <v>2004</v>
      </c>
      <c r="H4321">
        <v>3</v>
      </c>
      <c r="I4321" s="12">
        <f>Table16[[#This Row],[price]]*Table16[[#This Row],[quantity]]</f>
        <v>7502</v>
      </c>
    </row>
    <row r="4322" spans="1:9" x14ac:dyDescent="0.3">
      <c r="A4322" t="s">
        <v>6343</v>
      </c>
      <c r="B4322" t="s">
        <v>847</v>
      </c>
      <c r="C4322" t="s">
        <v>2011</v>
      </c>
      <c r="D4322">
        <v>3</v>
      </c>
      <c r="E4322" s="16">
        <v>121.98</v>
      </c>
      <c r="F4322" s="1">
        <v>44248</v>
      </c>
      <c r="G4322" t="s">
        <v>2020</v>
      </c>
      <c r="H4322">
        <v>2</v>
      </c>
      <c r="I4322" s="12">
        <f>Table16[[#This Row],[price]]*Table16[[#This Row],[quantity]]</f>
        <v>365.94</v>
      </c>
    </row>
    <row r="4323" spans="1:9" x14ac:dyDescent="0.3">
      <c r="A4323" t="s">
        <v>6340</v>
      </c>
      <c r="B4323" t="s">
        <v>847</v>
      </c>
      <c r="C4323" t="s">
        <v>2011</v>
      </c>
      <c r="D4323">
        <v>3</v>
      </c>
      <c r="E4323" s="16">
        <v>121.98</v>
      </c>
      <c r="F4323" s="1">
        <v>44440</v>
      </c>
      <c r="G4323" t="s">
        <v>2002</v>
      </c>
      <c r="H4323">
        <v>2</v>
      </c>
      <c r="I4323" s="12">
        <f>Table16[[#This Row],[price]]*Table16[[#This Row],[quantity]]</f>
        <v>365.94</v>
      </c>
    </row>
    <row r="4324" spans="1:9" x14ac:dyDescent="0.3">
      <c r="A4324" t="s">
        <v>6342</v>
      </c>
      <c r="B4324" t="s">
        <v>847</v>
      </c>
      <c r="C4324" t="s">
        <v>2001</v>
      </c>
      <c r="D4324">
        <v>1</v>
      </c>
      <c r="E4324" s="16">
        <v>300.08</v>
      </c>
      <c r="F4324" s="1">
        <v>44537</v>
      </c>
      <c r="G4324" t="s">
        <v>2027</v>
      </c>
      <c r="H4324">
        <v>1</v>
      </c>
      <c r="I4324" s="12">
        <f>Table16[[#This Row],[price]]*Table16[[#This Row],[quantity]]</f>
        <v>300.08</v>
      </c>
    </row>
    <row r="4325" spans="1:9" x14ac:dyDescent="0.3">
      <c r="A4325" t="s">
        <v>6338</v>
      </c>
      <c r="B4325" t="s">
        <v>847</v>
      </c>
      <c r="C4325" t="s">
        <v>2011</v>
      </c>
      <c r="D4325">
        <v>4</v>
      </c>
      <c r="E4325" s="16">
        <v>162.63999999999999</v>
      </c>
      <c r="F4325" s="1">
        <v>44642</v>
      </c>
      <c r="G4325" t="s">
        <v>2058</v>
      </c>
      <c r="H4325">
        <v>3</v>
      </c>
      <c r="I4325" s="12">
        <f>Table16[[#This Row],[price]]*Table16[[#This Row],[quantity]]</f>
        <v>650.55999999999995</v>
      </c>
    </row>
    <row r="4326" spans="1:9" x14ac:dyDescent="0.3">
      <c r="A4326" t="s">
        <v>6341</v>
      </c>
      <c r="B4326" t="s">
        <v>847</v>
      </c>
      <c r="C4326" t="s">
        <v>2015</v>
      </c>
      <c r="D4326">
        <v>3</v>
      </c>
      <c r="E4326" s="16">
        <v>1800.51</v>
      </c>
      <c r="F4326" s="1">
        <v>44658</v>
      </c>
      <c r="G4326" t="s">
        <v>2058</v>
      </c>
      <c r="H4326">
        <v>5</v>
      </c>
      <c r="I4326" s="12">
        <f>Table16[[#This Row],[price]]*Table16[[#This Row],[quantity]]</f>
        <v>5401.53</v>
      </c>
    </row>
    <row r="4327" spans="1:9" x14ac:dyDescent="0.3">
      <c r="A4327" t="s">
        <v>6339</v>
      </c>
      <c r="B4327" t="s">
        <v>847</v>
      </c>
      <c r="C4327" t="s">
        <v>2024</v>
      </c>
      <c r="D4327">
        <v>4</v>
      </c>
      <c r="E4327" s="16">
        <v>143.36000000000001</v>
      </c>
      <c r="F4327" s="1">
        <v>44696</v>
      </c>
      <c r="G4327" t="s">
        <v>2002</v>
      </c>
      <c r="H4327">
        <v>4</v>
      </c>
      <c r="I4327" s="12">
        <f>Table16[[#This Row],[price]]*Table16[[#This Row],[quantity]]</f>
        <v>573.44000000000005</v>
      </c>
    </row>
    <row r="4328" spans="1:9" x14ac:dyDescent="0.3">
      <c r="A4328" t="s">
        <v>6348</v>
      </c>
      <c r="B4328" t="s">
        <v>848</v>
      </c>
      <c r="C4328" t="s">
        <v>2024</v>
      </c>
      <c r="D4328">
        <v>2</v>
      </c>
      <c r="E4328" s="16">
        <v>71.680000000000007</v>
      </c>
      <c r="F4328" s="1">
        <v>44479</v>
      </c>
      <c r="G4328" t="s">
        <v>2009</v>
      </c>
      <c r="H4328">
        <v>1</v>
      </c>
      <c r="I4328" s="12">
        <f>Table16[[#This Row],[price]]*Table16[[#This Row],[quantity]]</f>
        <v>143.36000000000001</v>
      </c>
    </row>
    <row r="4329" spans="1:9" x14ac:dyDescent="0.3">
      <c r="A4329" t="s">
        <v>6345</v>
      </c>
      <c r="B4329" t="s">
        <v>848</v>
      </c>
      <c r="C4329" t="s">
        <v>2008</v>
      </c>
      <c r="D4329">
        <v>4</v>
      </c>
      <c r="E4329" s="16">
        <v>20.92</v>
      </c>
      <c r="F4329" s="1">
        <v>44503</v>
      </c>
      <c r="G4329" t="s">
        <v>2018</v>
      </c>
      <c r="H4329">
        <v>3</v>
      </c>
      <c r="I4329" s="12">
        <f>Table16[[#This Row],[price]]*Table16[[#This Row],[quantity]]</f>
        <v>83.68</v>
      </c>
    </row>
    <row r="4330" spans="1:9" x14ac:dyDescent="0.3">
      <c r="A4330" t="s">
        <v>6346</v>
      </c>
      <c r="B4330" t="s">
        <v>848</v>
      </c>
      <c r="C4330" t="s">
        <v>2008</v>
      </c>
      <c r="D4330">
        <v>5</v>
      </c>
      <c r="E4330" s="16">
        <v>26.15</v>
      </c>
      <c r="F4330" s="1">
        <v>44658</v>
      </c>
      <c r="G4330" t="s">
        <v>2002</v>
      </c>
      <c r="H4330">
        <v>3</v>
      </c>
      <c r="I4330" s="12">
        <f>Table16[[#This Row],[price]]*Table16[[#This Row],[quantity]]</f>
        <v>130.75</v>
      </c>
    </row>
    <row r="4331" spans="1:9" x14ac:dyDescent="0.3">
      <c r="A4331" t="s">
        <v>6344</v>
      </c>
      <c r="B4331" t="s">
        <v>848</v>
      </c>
      <c r="C4331" t="s">
        <v>2017</v>
      </c>
      <c r="D4331">
        <v>1</v>
      </c>
      <c r="E4331" s="16">
        <v>1050</v>
      </c>
      <c r="F4331" s="1">
        <v>44954</v>
      </c>
      <c r="G4331" t="s">
        <v>2002</v>
      </c>
      <c r="H4331">
        <v>4</v>
      </c>
      <c r="I4331" s="12">
        <f>Table16[[#This Row],[price]]*Table16[[#This Row],[quantity]]</f>
        <v>1050</v>
      </c>
    </row>
    <row r="4332" spans="1:9" x14ac:dyDescent="0.3">
      <c r="A4332" t="s">
        <v>6347</v>
      </c>
      <c r="B4332" t="s">
        <v>848</v>
      </c>
      <c r="C4332" t="s">
        <v>2001</v>
      </c>
      <c r="D4332">
        <v>4</v>
      </c>
      <c r="E4332" s="16">
        <v>1200.32</v>
      </c>
      <c r="F4332" s="1">
        <v>44966</v>
      </c>
      <c r="G4332" t="s">
        <v>2004</v>
      </c>
      <c r="H4332">
        <v>4</v>
      </c>
      <c r="I4332" s="12">
        <f>Table16[[#This Row],[price]]*Table16[[#This Row],[quantity]]</f>
        <v>4801.28</v>
      </c>
    </row>
    <row r="4333" spans="1:9" x14ac:dyDescent="0.3">
      <c r="A4333" t="s">
        <v>6354</v>
      </c>
      <c r="B4333" t="s">
        <v>849</v>
      </c>
      <c r="C4333" t="s">
        <v>2001</v>
      </c>
      <c r="D4333">
        <v>1</v>
      </c>
      <c r="E4333" s="16">
        <v>300.08</v>
      </c>
      <c r="F4333" s="1">
        <v>44226</v>
      </c>
      <c r="G4333" t="s">
        <v>2004</v>
      </c>
      <c r="H4333">
        <v>2</v>
      </c>
      <c r="I4333" s="12">
        <f>Table16[[#This Row],[price]]*Table16[[#This Row],[quantity]]</f>
        <v>300.08</v>
      </c>
    </row>
    <row r="4334" spans="1:9" x14ac:dyDescent="0.3">
      <c r="A4334" t="s">
        <v>6349</v>
      </c>
      <c r="B4334" t="s">
        <v>849</v>
      </c>
      <c r="C4334" t="s">
        <v>2024</v>
      </c>
      <c r="D4334">
        <v>4</v>
      </c>
      <c r="E4334" s="16">
        <v>143.36000000000001</v>
      </c>
      <c r="F4334" s="1">
        <v>44339</v>
      </c>
      <c r="G4334" t="s">
        <v>2004</v>
      </c>
      <c r="H4334">
        <v>3</v>
      </c>
      <c r="I4334" s="12">
        <f>Table16[[#This Row],[price]]*Table16[[#This Row],[quantity]]</f>
        <v>573.44000000000005</v>
      </c>
    </row>
    <row r="4335" spans="1:9" x14ac:dyDescent="0.3">
      <c r="A4335" t="s">
        <v>6352</v>
      </c>
      <c r="B4335" t="s">
        <v>849</v>
      </c>
      <c r="C4335" t="s">
        <v>2001</v>
      </c>
      <c r="D4335">
        <v>4</v>
      </c>
      <c r="E4335" s="16">
        <v>1200.32</v>
      </c>
      <c r="F4335" s="1">
        <v>44506</v>
      </c>
      <c r="G4335" t="s">
        <v>2064</v>
      </c>
      <c r="H4335">
        <v>1</v>
      </c>
      <c r="I4335" s="12">
        <f>Table16[[#This Row],[price]]*Table16[[#This Row],[quantity]]</f>
        <v>4801.28</v>
      </c>
    </row>
    <row r="4336" spans="1:9" x14ac:dyDescent="0.3">
      <c r="A4336" t="s">
        <v>6355</v>
      </c>
      <c r="B4336" t="s">
        <v>849</v>
      </c>
      <c r="C4336" t="s">
        <v>2017</v>
      </c>
      <c r="D4336">
        <v>4</v>
      </c>
      <c r="E4336" s="16">
        <v>4200</v>
      </c>
      <c r="F4336" s="1">
        <v>44646</v>
      </c>
      <c r="G4336" t="s">
        <v>2004</v>
      </c>
      <c r="H4336">
        <v>1</v>
      </c>
      <c r="I4336" s="12">
        <f>Table16[[#This Row],[price]]*Table16[[#This Row],[quantity]]</f>
        <v>16800</v>
      </c>
    </row>
    <row r="4337" spans="1:9" x14ac:dyDescent="0.3">
      <c r="A4337" t="s">
        <v>6350</v>
      </c>
      <c r="B4337" t="s">
        <v>849</v>
      </c>
      <c r="C4337" t="s">
        <v>2001</v>
      </c>
      <c r="D4337">
        <v>5</v>
      </c>
      <c r="E4337" s="16">
        <v>1500.4</v>
      </c>
      <c r="F4337" s="1">
        <v>44853</v>
      </c>
      <c r="G4337" t="s">
        <v>2004</v>
      </c>
      <c r="H4337">
        <v>4</v>
      </c>
      <c r="I4337" s="12">
        <f>Table16[[#This Row],[price]]*Table16[[#This Row],[quantity]]</f>
        <v>7502</v>
      </c>
    </row>
    <row r="4338" spans="1:9" x14ac:dyDescent="0.3">
      <c r="A4338" t="s">
        <v>6353</v>
      </c>
      <c r="B4338" t="s">
        <v>849</v>
      </c>
      <c r="C4338" t="s">
        <v>2001</v>
      </c>
      <c r="D4338">
        <v>1</v>
      </c>
      <c r="E4338" s="16">
        <v>300.08</v>
      </c>
      <c r="F4338" s="1">
        <v>44904</v>
      </c>
      <c r="G4338" t="s">
        <v>2004</v>
      </c>
      <c r="H4338">
        <v>3</v>
      </c>
      <c r="I4338" s="12">
        <f>Table16[[#This Row],[price]]*Table16[[#This Row],[quantity]]</f>
        <v>300.08</v>
      </c>
    </row>
    <row r="4339" spans="1:9" x14ac:dyDescent="0.3">
      <c r="A4339" t="s">
        <v>6351</v>
      </c>
      <c r="B4339" t="s">
        <v>849</v>
      </c>
      <c r="C4339" t="s">
        <v>2008</v>
      </c>
      <c r="D4339">
        <v>3</v>
      </c>
      <c r="E4339" s="16">
        <v>15.69</v>
      </c>
      <c r="F4339" s="1">
        <v>44992</v>
      </c>
      <c r="G4339" t="s">
        <v>2041</v>
      </c>
      <c r="H4339">
        <v>5</v>
      </c>
      <c r="I4339" s="12">
        <f>Table16[[#This Row],[price]]*Table16[[#This Row],[quantity]]</f>
        <v>47.07</v>
      </c>
    </row>
    <row r="4340" spans="1:9" x14ac:dyDescent="0.3">
      <c r="A4340" t="s">
        <v>6358</v>
      </c>
      <c r="B4340" t="s">
        <v>850</v>
      </c>
      <c r="C4340" t="s">
        <v>2015</v>
      </c>
      <c r="D4340">
        <v>2</v>
      </c>
      <c r="E4340" s="16">
        <v>1200.3399999999999</v>
      </c>
      <c r="F4340" s="1">
        <v>44858</v>
      </c>
      <c r="G4340" t="s">
        <v>2004</v>
      </c>
      <c r="H4340">
        <v>2</v>
      </c>
      <c r="I4340" s="12">
        <f>Table16[[#This Row],[price]]*Table16[[#This Row],[quantity]]</f>
        <v>2400.6799999999998</v>
      </c>
    </row>
    <row r="4341" spans="1:9" x14ac:dyDescent="0.3">
      <c r="A4341" t="s">
        <v>6356</v>
      </c>
      <c r="B4341" t="s">
        <v>850</v>
      </c>
      <c r="C4341" t="s">
        <v>2001</v>
      </c>
      <c r="D4341">
        <v>2</v>
      </c>
      <c r="E4341" s="16">
        <v>600.16</v>
      </c>
      <c r="F4341" s="1">
        <v>44885</v>
      </c>
      <c r="G4341" t="s">
        <v>2004</v>
      </c>
      <c r="H4341">
        <v>5</v>
      </c>
      <c r="I4341" s="12">
        <f>Table16[[#This Row],[price]]*Table16[[#This Row],[quantity]]</f>
        <v>1200.32</v>
      </c>
    </row>
    <row r="4342" spans="1:9" x14ac:dyDescent="0.3">
      <c r="A4342" t="s">
        <v>6357</v>
      </c>
      <c r="B4342" t="s">
        <v>850</v>
      </c>
      <c r="C4342" t="s">
        <v>2001</v>
      </c>
      <c r="D4342">
        <v>1</v>
      </c>
      <c r="E4342" s="16">
        <v>300.08</v>
      </c>
      <c r="F4342" s="1">
        <v>44922</v>
      </c>
      <c r="G4342" t="s">
        <v>2020</v>
      </c>
      <c r="H4342">
        <v>4</v>
      </c>
      <c r="I4342" s="12">
        <f>Table16[[#This Row],[price]]*Table16[[#This Row],[quantity]]</f>
        <v>300.08</v>
      </c>
    </row>
    <row r="4343" spans="1:9" x14ac:dyDescent="0.3">
      <c r="A4343" t="s">
        <v>6363</v>
      </c>
      <c r="B4343" t="s">
        <v>851</v>
      </c>
      <c r="C4343" t="s">
        <v>2006</v>
      </c>
      <c r="D4343">
        <v>4</v>
      </c>
      <c r="E4343" s="16">
        <v>60.6</v>
      </c>
      <c r="F4343" s="1">
        <v>44380</v>
      </c>
      <c r="G4343" t="s">
        <v>2002</v>
      </c>
      <c r="H4343">
        <v>4</v>
      </c>
      <c r="I4343" s="12">
        <f>Table16[[#This Row],[price]]*Table16[[#This Row],[quantity]]</f>
        <v>242.4</v>
      </c>
    </row>
    <row r="4344" spans="1:9" x14ac:dyDescent="0.3">
      <c r="A4344" t="s">
        <v>6359</v>
      </c>
      <c r="B4344" t="s">
        <v>851</v>
      </c>
      <c r="C4344" t="s">
        <v>2001</v>
      </c>
      <c r="D4344">
        <v>2</v>
      </c>
      <c r="E4344" s="16">
        <v>600.16</v>
      </c>
      <c r="F4344" s="1">
        <v>44437</v>
      </c>
      <c r="G4344" t="s">
        <v>2027</v>
      </c>
      <c r="H4344">
        <v>4</v>
      </c>
      <c r="I4344" s="12">
        <f>Table16[[#This Row],[price]]*Table16[[#This Row],[quantity]]</f>
        <v>1200.32</v>
      </c>
    </row>
    <row r="4345" spans="1:9" x14ac:dyDescent="0.3">
      <c r="A4345" t="s">
        <v>6364</v>
      </c>
      <c r="B4345" t="s">
        <v>851</v>
      </c>
      <c r="C4345" t="s">
        <v>2017</v>
      </c>
      <c r="D4345">
        <v>3</v>
      </c>
      <c r="E4345" s="16">
        <v>3150</v>
      </c>
      <c r="F4345" s="1">
        <v>44501</v>
      </c>
      <c r="G4345" t="s">
        <v>2002</v>
      </c>
      <c r="H4345">
        <v>2</v>
      </c>
      <c r="I4345" s="12">
        <f>Table16[[#This Row],[price]]*Table16[[#This Row],[quantity]]</f>
        <v>9450</v>
      </c>
    </row>
    <row r="4346" spans="1:9" x14ac:dyDescent="0.3">
      <c r="A4346" t="s">
        <v>6362</v>
      </c>
      <c r="B4346" t="s">
        <v>851</v>
      </c>
      <c r="C4346" t="s">
        <v>2001</v>
      </c>
      <c r="D4346">
        <v>2</v>
      </c>
      <c r="E4346" s="16">
        <v>600.16</v>
      </c>
      <c r="F4346" s="1">
        <v>44780</v>
      </c>
      <c r="G4346" t="s">
        <v>2009</v>
      </c>
      <c r="H4346">
        <v>5</v>
      </c>
      <c r="I4346" s="12">
        <f>Table16[[#This Row],[price]]*Table16[[#This Row],[quantity]]</f>
        <v>1200.32</v>
      </c>
    </row>
    <row r="4347" spans="1:9" x14ac:dyDescent="0.3">
      <c r="A4347" t="s">
        <v>6360</v>
      </c>
      <c r="B4347" t="s">
        <v>851</v>
      </c>
      <c r="C4347" t="s">
        <v>2008</v>
      </c>
      <c r="D4347">
        <v>1</v>
      </c>
      <c r="E4347" s="16">
        <v>5.23</v>
      </c>
      <c r="F4347" s="1">
        <v>44820</v>
      </c>
      <c r="G4347" t="s">
        <v>2004</v>
      </c>
      <c r="H4347">
        <v>1</v>
      </c>
      <c r="I4347" s="12">
        <f>Table16[[#This Row],[price]]*Table16[[#This Row],[quantity]]</f>
        <v>5.23</v>
      </c>
    </row>
    <row r="4348" spans="1:9" x14ac:dyDescent="0.3">
      <c r="A4348" t="s">
        <v>6361</v>
      </c>
      <c r="B4348" t="s">
        <v>851</v>
      </c>
      <c r="C4348" t="s">
        <v>2001</v>
      </c>
      <c r="D4348">
        <v>1</v>
      </c>
      <c r="E4348" s="16">
        <v>300.08</v>
      </c>
      <c r="F4348" s="1">
        <v>44965</v>
      </c>
      <c r="G4348" t="s">
        <v>2002</v>
      </c>
      <c r="H4348">
        <v>5</v>
      </c>
      <c r="I4348" s="12">
        <f>Table16[[#This Row],[price]]*Table16[[#This Row],[quantity]]</f>
        <v>300.08</v>
      </c>
    </row>
    <row r="4349" spans="1:9" x14ac:dyDescent="0.3">
      <c r="A4349" t="s">
        <v>6369</v>
      </c>
      <c r="B4349" t="s">
        <v>852</v>
      </c>
      <c r="C4349" t="s">
        <v>2001</v>
      </c>
      <c r="D4349">
        <v>2</v>
      </c>
      <c r="E4349" s="16">
        <v>600.16</v>
      </c>
      <c r="F4349" s="1">
        <v>44281</v>
      </c>
      <c r="G4349" t="s">
        <v>2004</v>
      </c>
      <c r="H4349">
        <v>5</v>
      </c>
      <c r="I4349" s="12">
        <f>Table16[[#This Row],[price]]*Table16[[#This Row],[quantity]]</f>
        <v>1200.32</v>
      </c>
    </row>
    <row r="4350" spans="1:9" x14ac:dyDescent="0.3">
      <c r="A4350" t="s">
        <v>6365</v>
      </c>
      <c r="B4350" t="s">
        <v>852</v>
      </c>
      <c r="C4350" t="s">
        <v>2001</v>
      </c>
      <c r="D4350">
        <v>2</v>
      </c>
      <c r="E4350" s="16">
        <v>600.16</v>
      </c>
      <c r="F4350" s="1">
        <v>44294</v>
      </c>
      <c r="G4350" t="s">
        <v>2027</v>
      </c>
      <c r="H4350">
        <v>2</v>
      </c>
      <c r="I4350" s="12">
        <f>Table16[[#This Row],[price]]*Table16[[#This Row],[quantity]]</f>
        <v>1200.32</v>
      </c>
    </row>
    <row r="4351" spans="1:9" x14ac:dyDescent="0.3">
      <c r="A4351" t="s">
        <v>6372</v>
      </c>
      <c r="B4351" t="s">
        <v>852</v>
      </c>
      <c r="C4351" t="s">
        <v>2001</v>
      </c>
      <c r="D4351">
        <v>4</v>
      </c>
      <c r="E4351" s="16">
        <v>1200.32</v>
      </c>
      <c r="F4351" s="1">
        <v>44371</v>
      </c>
      <c r="G4351" t="s">
        <v>2018</v>
      </c>
      <c r="H4351">
        <v>4</v>
      </c>
      <c r="I4351" s="12">
        <f>Table16[[#This Row],[price]]*Table16[[#This Row],[quantity]]</f>
        <v>4801.28</v>
      </c>
    </row>
    <row r="4352" spans="1:9" x14ac:dyDescent="0.3">
      <c r="A4352" t="s">
        <v>6367</v>
      </c>
      <c r="B4352" t="s">
        <v>852</v>
      </c>
      <c r="C4352" t="s">
        <v>2011</v>
      </c>
      <c r="D4352">
        <v>4</v>
      </c>
      <c r="E4352" s="16">
        <v>162.63999999999999</v>
      </c>
      <c r="F4352" s="1">
        <v>44501</v>
      </c>
      <c r="G4352" t="s">
        <v>2027</v>
      </c>
      <c r="H4352">
        <v>1</v>
      </c>
      <c r="I4352" s="12">
        <f>Table16[[#This Row],[price]]*Table16[[#This Row],[quantity]]</f>
        <v>650.55999999999995</v>
      </c>
    </row>
    <row r="4353" spans="1:9" x14ac:dyDescent="0.3">
      <c r="A4353" t="s">
        <v>6366</v>
      </c>
      <c r="B4353" t="s">
        <v>852</v>
      </c>
      <c r="C4353" t="s">
        <v>2008</v>
      </c>
      <c r="D4353">
        <v>3</v>
      </c>
      <c r="E4353" s="16">
        <v>15.69</v>
      </c>
      <c r="F4353" s="1">
        <v>44521</v>
      </c>
      <c r="G4353" t="s">
        <v>2020</v>
      </c>
      <c r="H4353">
        <v>2</v>
      </c>
      <c r="I4353" s="12">
        <f>Table16[[#This Row],[price]]*Table16[[#This Row],[quantity]]</f>
        <v>47.07</v>
      </c>
    </row>
    <row r="4354" spans="1:9" x14ac:dyDescent="0.3">
      <c r="A4354" t="s">
        <v>6370</v>
      </c>
      <c r="B4354" t="s">
        <v>852</v>
      </c>
      <c r="C4354" t="s">
        <v>2011</v>
      </c>
      <c r="D4354">
        <v>4</v>
      </c>
      <c r="E4354" s="16">
        <v>162.63999999999999</v>
      </c>
      <c r="F4354" s="1">
        <v>44571</v>
      </c>
      <c r="G4354" t="s">
        <v>2027</v>
      </c>
      <c r="H4354">
        <v>3</v>
      </c>
      <c r="I4354" s="12">
        <f>Table16[[#This Row],[price]]*Table16[[#This Row],[quantity]]</f>
        <v>650.55999999999995</v>
      </c>
    </row>
    <row r="4355" spans="1:9" x14ac:dyDescent="0.3">
      <c r="A4355" t="s">
        <v>6371</v>
      </c>
      <c r="B4355" t="s">
        <v>852</v>
      </c>
      <c r="C4355" t="s">
        <v>2024</v>
      </c>
      <c r="D4355">
        <v>2</v>
      </c>
      <c r="E4355" s="16">
        <v>71.680000000000007</v>
      </c>
      <c r="F4355" s="1">
        <v>44591</v>
      </c>
      <c r="G4355" t="s">
        <v>2002</v>
      </c>
      <c r="H4355">
        <v>4</v>
      </c>
      <c r="I4355" s="12">
        <f>Table16[[#This Row],[price]]*Table16[[#This Row],[quantity]]</f>
        <v>143.36000000000001</v>
      </c>
    </row>
    <row r="4356" spans="1:9" x14ac:dyDescent="0.3">
      <c r="A4356" t="s">
        <v>6368</v>
      </c>
      <c r="B4356" t="s">
        <v>852</v>
      </c>
      <c r="C4356" t="s">
        <v>2001</v>
      </c>
      <c r="D4356">
        <v>2</v>
      </c>
      <c r="E4356" s="16">
        <v>600.16</v>
      </c>
      <c r="F4356" s="1">
        <v>44952</v>
      </c>
      <c r="G4356" t="s">
        <v>2004</v>
      </c>
      <c r="H4356">
        <v>4</v>
      </c>
      <c r="I4356" s="12">
        <f>Table16[[#This Row],[price]]*Table16[[#This Row],[quantity]]</f>
        <v>1200.32</v>
      </c>
    </row>
    <row r="4357" spans="1:9" x14ac:dyDescent="0.3">
      <c r="A4357" t="s">
        <v>6374</v>
      </c>
      <c r="B4357" t="s">
        <v>853</v>
      </c>
      <c r="C4357" t="s">
        <v>2057</v>
      </c>
      <c r="D4357">
        <v>4</v>
      </c>
      <c r="E4357" s="16">
        <v>46.92</v>
      </c>
      <c r="F4357" s="1">
        <v>44257</v>
      </c>
      <c r="G4357" t="s">
        <v>2020</v>
      </c>
      <c r="H4357">
        <v>3</v>
      </c>
      <c r="I4357" s="12">
        <f>Table16[[#This Row],[price]]*Table16[[#This Row],[quantity]]</f>
        <v>187.68</v>
      </c>
    </row>
    <row r="4358" spans="1:9" x14ac:dyDescent="0.3">
      <c r="A4358" t="s">
        <v>6373</v>
      </c>
      <c r="B4358" t="s">
        <v>853</v>
      </c>
      <c r="C4358" t="s">
        <v>2006</v>
      </c>
      <c r="D4358">
        <v>1</v>
      </c>
      <c r="E4358" s="16">
        <v>15.15</v>
      </c>
      <c r="F4358" s="1">
        <v>44453</v>
      </c>
      <c r="G4358" t="s">
        <v>2020</v>
      </c>
      <c r="H4358">
        <v>5</v>
      </c>
      <c r="I4358" s="12">
        <f>Table16[[#This Row],[price]]*Table16[[#This Row],[quantity]]</f>
        <v>15.15</v>
      </c>
    </row>
    <row r="4359" spans="1:9" x14ac:dyDescent="0.3">
      <c r="A4359" t="s">
        <v>6375</v>
      </c>
      <c r="B4359" t="s">
        <v>853</v>
      </c>
      <c r="C4359" t="s">
        <v>2001</v>
      </c>
      <c r="D4359">
        <v>5</v>
      </c>
      <c r="E4359" s="16">
        <v>1500.4</v>
      </c>
      <c r="F4359" s="1">
        <v>44751</v>
      </c>
      <c r="G4359" t="s">
        <v>2064</v>
      </c>
      <c r="H4359">
        <v>4</v>
      </c>
      <c r="I4359" s="12">
        <f>Table16[[#This Row],[price]]*Table16[[#This Row],[quantity]]</f>
        <v>7502</v>
      </c>
    </row>
    <row r="4360" spans="1:9" x14ac:dyDescent="0.3">
      <c r="A4360" t="s">
        <v>6376</v>
      </c>
      <c r="B4360" t="s">
        <v>853</v>
      </c>
      <c r="C4360" t="s">
        <v>2011</v>
      </c>
      <c r="D4360">
        <v>4</v>
      </c>
      <c r="E4360" s="16">
        <v>162.63999999999999</v>
      </c>
      <c r="F4360" s="1">
        <v>44793</v>
      </c>
      <c r="G4360" t="s">
        <v>2058</v>
      </c>
      <c r="H4360">
        <v>5</v>
      </c>
      <c r="I4360" s="12">
        <f>Table16[[#This Row],[price]]*Table16[[#This Row],[quantity]]</f>
        <v>650.55999999999995</v>
      </c>
    </row>
    <row r="4361" spans="1:9" x14ac:dyDescent="0.3">
      <c r="A4361" t="s">
        <v>6377</v>
      </c>
      <c r="B4361" t="s">
        <v>854</v>
      </c>
      <c r="C4361" t="s">
        <v>2011</v>
      </c>
      <c r="D4361">
        <v>1</v>
      </c>
      <c r="E4361" s="16">
        <v>40.659999999999997</v>
      </c>
      <c r="F4361" s="1">
        <v>44314</v>
      </c>
      <c r="G4361" t="s">
        <v>2009</v>
      </c>
      <c r="H4361">
        <v>1</v>
      </c>
      <c r="I4361" s="12">
        <f>Table16[[#This Row],[price]]*Table16[[#This Row],[quantity]]</f>
        <v>40.659999999999997</v>
      </c>
    </row>
    <row r="4362" spans="1:9" x14ac:dyDescent="0.3">
      <c r="A4362" t="s">
        <v>6379</v>
      </c>
      <c r="B4362" t="s">
        <v>854</v>
      </c>
      <c r="C4362" t="s">
        <v>2017</v>
      </c>
      <c r="D4362">
        <v>3</v>
      </c>
      <c r="E4362" s="16">
        <v>3150</v>
      </c>
      <c r="F4362" s="1">
        <v>44315</v>
      </c>
      <c r="G4362" t="s">
        <v>2027</v>
      </c>
      <c r="H4362">
        <v>2</v>
      </c>
      <c r="I4362" s="12">
        <f>Table16[[#This Row],[price]]*Table16[[#This Row],[quantity]]</f>
        <v>9450</v>
      </c>
    </row>
    <row r="4363" spans="1:9" x14ac:dyDescent="0.3">
      <c r="A4363" t="s">
        <v>6378</v>
      </c>
      <c r="B4363" t="s">
        <v>854</v>
      </c>
      <c r="C4363" t="s">
        <v>2001</v>
      </c>
      <c r="D4363">
        <v>1</v>
      </c>
      <c r="E4363" s="16">
        <v>300.08</v>
      </c>
      <c r="F4363" s="1">
        <v>44364</v>
      </c>
      <c r="G4363" t="s">
        <v>2004</v>
      </c>
      <c r="H4363">
        <v>4</v>
      </c>
      <c r="I4363" s="12">
        <f>Table16[[#This Row],[price]]*Table16[[#This Row],[quantity]]</f>
        <v>300.08</v>
      </c>
    </row>
    <row r="4364" spans="1:9" x14ac:dyDescent="0.3">
      <c r="A4364" t="s">
        <v>6384</v>
      </c>
      <c r="B4364" t="s">
        <v>855</v>
      </c>
      <c r="C4364" t="s">
        <v>2011</v>
      </c>
      <c r="D4364">
        <v>4</v>
      </c>
      <c r="E4364" s="16">
        <v>162.63999999999999</v>
      </c>
      <c r="F4364" s="1">
        <v>44252</v>
      </c>
      <c r="G4364" t="s">
        <v>2027</v>
      </c>
      <c r="H4364">
        <v>5</v>
      </c>
      <c r="I4364" s="12">
        <f>Table16[[#This Row],[price]]*Table16[[#This Row],[quantity]]</f>
        <v>650.55999999999995</v>
      </c>
    </row>
    <row r="4365" spans="1:9" x14ac:dyDescent="0.3">
      <c r="A4365" t="s">
        <v>6382</v>
      </c>
      <c r="B4365" t="s">
        <v>855</v>
      </c>
      <c r="C4365" t="s">
        <v>2011</v>
      </c>
      <c r="D4365">
        <v>4</v>
      </c>
      <c r="E4365" s="16">
        <v>162.63999999999999</v>
      </c>
      <c r="F4365" s="1">
        <v>44298</v>
      </c>
      <c r="G4365" t="s">
        <v>2041</v>
      </c>
      <c r="H4365">
        <v>2</v>
      </c>
      <c r="I4365" s="12">
        <f>Table16[[#This Row],[price]]*Table16[[#This Row],[quantity]]</f>
        <v>650.55999999999995</v>
      </c>
    </row>
    <row r="4366" spans="1:9" x14ac:dyDescent="0.3">
      <c r="A4366" t="s">
        <v>6380</v>
      </c>
      <c r="B4366" t="s">
        <v>855</v>
      </c>
      <c r="C4366" t="s">
        <v>2057</v>
      </c>
      <c r="D4366">
        <v>2</v>
      </c>
      <c r="E4366" s="16">
        <v>23.46</v>
      </c>
      <c r="F4366" s="1">
        <v>44326</v>
      </c>
      <c r="G4366" t="s">
        <v>2064</v>
      </c>
      <c r="H4366">
        <v>2</v>
      </c>
      <c r="I4366" s="12">
        <f>Table16[[#This Row],[price]]*Table16[[#This Row],[quantity]]</f>
        <v>46.92</v>
      </c>
    </row>
    <row r="4367" spans="1:9" x14ac:dyDescent="0.3">
      <c r="A4367" t="s">
        <v>6383</v>
      </c>
      <c r="B4367" t="s">
        <v>855</v>
      </c>
      <c r="C4367" t="s">
        <v>2008</v>
      </c>
      <c r="D4367">
        <v>3</v>
      </c>
      <c r="E4367" s="16">
        <v>15.69</v>
      </c>
      <c r="F4367" s="1">
        <v>44440</v>
      </c>
      <c r="G4367" t="s">
        <v>2004</v>
      </c>
      <c r="H4367">
        <v>2</v>
      </c>
      <c r="I4367" s="12">
        <f>Table16[[#This Row],[price]]*Table16[[#This Row],[quantity]]</f>
        <v>47.07</v>
      </c>
    </row>
    <row r="4368" spans="1:9" x14ac:dyDescent="0.3">
      <c r="A4368" t="s">
        <v>6381</v>
      </c>
      <c r="B4368" t="s">
        <v>855</v>
      </c>
      <c r="C4368" t="s">
        <v>2001</v>
      </c>
      <c r="D4368">
        <v>3</v>
      </c>
      <c r="E4368" s="16">
        <v>900.24</v>
      </c>
      <c r="F4368" s="1">
        <v>44812</v>
      </c>
      <c r="G4368" t="s">
        <v>2004</v>
      </c>
      <c r="H4368">
        <v>3</v>
      </c>
      <c r="I4368" s="12">
        <f>Table16[[#This Row],[price]]*Table16[[#This Row],[quantity]]</f>
        <v>2700.7200000000003</v>
      </c>
    </row>
    <row r="4369" spans="1:9" x14ac:dyDescent="0.3">
      <c r="A4369" t="s">
        <v>6386</v>
      </c>
      <c r="B4369" t="s">
        <v>856</v>
      </c>
      <c r="C4369" t="s">
        <v>2011</v>
      </c>
      <c r="D4369">
        <v>2</v>
      </c>
      <c r="E4369" s="16">
        <v>81.319999999999993</v>
      </c>
      <c r="F4369" s="1">
        <v>44528</v>
      </c>
      <c r="G4369" t="s">
        <v>2004</v>
      </c>
      <c r="H4369">
        <v>1</v>
      </c>
      <c r="I4369" s="12">
        <f>Table16[[#This Row],[price]]*Table16[[#This Row],[quantity]]</f>
        <v>162.63999999999999</v>
      </c>
    </row>
    <row r="4370" spans="1:9" x14ac:dyDescent="0.3">
      <c r="A4370" t="s">
        <v>6385</v>
      </c>
      <c r="B4370" t="s">
        <v>856</v>
      </c>
      <c r="C4370" t="s">
        <v>2001</v>
      </c>
      <c r="D4370">
        <v>2</v>
      </c>
      <c r="E4370" s="16">
        <v>600.16</v>
      </c>
      <c r="F4370" s="1">
        <v>44851</v>
      </c>
      <c r="G4370" t="s">
        <v>2064</v>
      </c>
      <c r="H4370">
        <v>1</v>
      </c>
      <c r="I4370" s="12">
        <f>Table16[[#This Row],[price]]*Table16[[#This Row],[quantity]]</f>
        <v>1200.32</v>
      </c>
    </row>
    <row r="4371" spans="1:9" x14ac:dyDescent="0.3">
      <c r="A4371" t="s">
        <v>6387</v>
      </c>
      <c r="B4371" t="s">
        <v>857</v>
      </c>
      <c r="C4371" t="s">
        <v>2008</v>
      </c>
      <c r="D4371">
        <v>3</v>
      </c>
      <c r="E4371" s="16">
        <v>15.69</v>
      </c>
      <c r="F4371" s="1">
        <v>44237</v>
      </c>
      <c r="G4371" t="s">
        <v>2041</v>
      </c>
      <c r="H4371">
        <v>3</v>
      </c>
      <c r="I4371" s="12">
        <f>Table16[[#This Row],[price]]*Table16[[#This Row],[quantity]]</f>
        <v>47.07</v>
      </c>
    </row>
    <row r="4372" spans="1:9" x14ac:dyDescent="0.3">
      <c r="A4372" t="s">
        <v>6388</v>
      </c>
      <c r="B4372" t="s">
        <v>857</v>
      </c>
      <c r="C4372" t="s">
        <v>2001</v>
      </c>
      <c r="D4372">
        <v>1</v>
      </c>
      <c r="E4372" s="16">
        <v>300.08</v>
      </c>
      <c r="F4372" s="1">
        <v>44252</v>
      </c>
      <c r="G4372" t="s">
        <v>2004</v>
      </c>
      <c r="H4372">
        <v>5</v>
      </c>
      <c r="I4372" s="12">
        <f>Table16[[#This Row],[price]]*Table16[[#This Row],[quantity]]</f>
        <v>300.08</v>
      </c>
    </row>
    <row r="4373" spans="1:9" x14ac:dyDescent="0.3">
      <c r="A4373" t="s">
        <v>6390</v>
      </c>
      <c r="B4373" t="s">
        <v>858</v>
      </c>
      <c r="C4373" t="s">
        <v>2006</v>
      </c>
      <c r="D4373">
        <v>4</v>
      </c>
      <c r="E4373" s="16">
        <v>60.6</v>
      </c>
      <c r="F4373" s="1">
        <v>44447</v>
      </c>
      <c r="G4373" t="s">
        <v>2002</v>
      </c>
      <c r="H4373">
        <v>3</v>
      </c>
      <c r="I4373" s="12">
        <f>Table16[[#This Row],[price]]*Table16[[#This Row],[quantity]]</f>
        <v>242.4</v>
      </c>
    </row>
    <row r="4374" spans="1:9" x14ac:dyDescent="0.3">
      <c r="A4374" t="s">
        <v>6392</v>
      </c>
      <c r="B4374" t="s">
        <v>858</v>
      </c>
      <c r="C4374" t="s">
        <v>2024</v>
      </c>
      <c r="D4374">
        <v>5</v>
      </c>
      <c r="E4374" s="16">
        <v>179.2</v>
      </c>
      <c r="F4374" s="1">
        <v>44484</v>
      </c>
      <c r="G4374" t="s">
        <v>2018</v>
      </c>
      <c r="H4374">
        <v>2</v>
      </c>
      <c r="I4374" s="12">
        <f>Table16[[#This Row],[price]]*Table16[[#This Row],[quantity]]</f>
        <v>896</v>
      </c>
    </row>
    <row r="4375" spans="1:9" x14ac:dyDescent="0.3">
      <c r="A4375" t="s">
        <v>6391</v>
      </c>
      <c r="B4375" t="s">
        <v>858</v>
      </c>
      <c r="C4375" t="s">
        <v>2017</v>
      </c>
      <c r="D4375">
        <v>4</v>
      </c>
      <c r="E4375" s="16">
        <v>4200</v>
      </c>
      <c r="F4375" s="1">
        <v>44599</v>
      </c>
      <c r="G4375" t="s">
        <v>2004</v>
      </c>
      <c r="H4375">
        <v>4</v>
      </c>
      <c r="I4375" s="12">
        <f>Table16[[#This Row],[price]]*Table16[[#This Row],[quantity]]</f>
        <v>16800</v>
      </c>
    </row>
    <row r="4376" spans="1:9" x14ac:dyDescent="0.3">
      <c r="A4376" t="s">
        <v>6389</v>
      </c>
      <c r="B4376" t="s">
        <v>858</v>
      </c>
      <c r="C4376" t="s">
        <v>2001</v>
      </c>
      <c r="D4376">
        <v>5</v>
      </c>
      <c r="E4376" s="16">
        <v>1500.4</v>
      </c>
      <c r="F4376" s="1">
        <v>44743</v>
      </c>
      <c r="G4376" t="s">
        <v>2027</v>
      </c>
      <c r="H4376">
        <v>2</v>
      </c>
      <c r="I4376" s="12">
        <f>Table16[[#This Row],[price]]*Table16[[#This Row],[quantity]]</f>
        <v>7502</v>
      </c>
    </row>
    <row r="4377" spans="1:9" x14ac:dyDescent="0.3">
      <c r="A4377" t="s">
        <v>6393</v>
      </c>
      <c r="B4377" t="s">
        <v>858</v>
      </c>
      <c r="C4377" t="s">
        <v>2015</v>
      </c>
      <c r="D4377">
        <v>4</v>
      </c>
      <c r="E4377" s="16">
        <v>2400.6799999999998</v>
      </c>
      <c r="F4377" s="1">
        <v>44932</v>
      </c>
      <c r="G4377" t="s">
        <v>2018</v>
      </c>
      <c r="H4377">
        <v>3</v>
      </c>
      <c r="I4377" s="12">
        <f>Table16[[#This Row],[price]]*Table16[[#This Row],[quantity]]</f>
        <v>9602.7199999999993</v>
      </c>
    </row>
    <row r="4378" spans="1:9" x14ac:dyDescent="0.3">
      <c r="A4378" t="s">
        <v>6396</v>
      </c>
      <c r="B4378" t="s">
        <v>859</v>
      </c>
      <c r="C4378" t="s">
        <v>2011</v>
      </c>
      <c r="D4378">
        <v>5</v>
      </c>
      <c r="E4378" s="16">
        <v>203.3</v>
      </c>
      <c r="F4378" s="1">
        <v>44491</v>
      </c>
      <c r="G4378" t="s">
        <v>2004</v>
      </c>
      <c r="H4378">
        <v>3</v>
      </c>
      <c r="I4378" s="12">
        <f>Table16[[#This Row],[price]]*Table16[[#This Row],[quantity]]</f>
        <v>1016.5</v>
      </c>
    </row>
    <row r="4379" spans="1:9" x14ac:dyDescent="0.3">
      <c r="A4379" t="s">
        <v>6394</v>
      </c>
      <c r="B4379" t="s">
        <v>859</v>
      </c>
      <c r="C4379" t="s">
        <v>2006</v>
      </c>
      <c r="D4379">
        <v>1</v>
      </c>
      <c r="E4379" s="16">
        <v>15.15</v>
      </c>
      <c r="F4379" s="1">
        <v>44513</v>
      </c>
      <c r="G4379" t="s">
        <v>2009</v>
      </c>
      <c r="H4379">
        <v>5</v>
      </c>
      <c r="I4379" s="12">
        <f>Table16[[#This Row],[price]]*Table16[[#This Row],[quantity]]</f>
        <v>15.15</v>
      </c>
    </row>
    <row r="4380" spans="1:9" x14ac:dyDescent="0.3">
      <c r="A4380" t="s">
        <v>6397</v>
      </c>
      <c r="B4380" t="s">
        <v>859</v>
      </c>
      <c r="C4380" t="s">
        <v>2015</v>
      </c>
      <c r="D4380">
        <v>1</v>
      </c>
      <c r="E4380" s="16">
        <v>600.16999999999996</v>
      </c>
      <c r="F4380" s="1">
        <v>44654</v>
      </c>
      <c r="G4380" t="s">
        <v>2002</v>
      </c>
      <c r="H4380">
        <v>4</v>
      </c>
      <c r="I4380" s="12">
        <f>Table16[[#This Row],[price]]*Table16[[#This Row],[quantity]]</f>
        <v>600.16999999999996</v>
      </c>
    </row>
    <row r="4381" spans="1:9" x14ac:dyDescent="0.3">
      <c r="A4381" t="s">
        <v>6395</v>
      </c>
      <c r="B4381" t="s">
        <v>859</v>
      </c>
      <c r="C4381" t="s">
        <v>2015</v>
      </c>
      <c r="D4381">
        <v>5</v>
      </c>
      <c r="E4381" s="16">
        <v>3000.85</v>
      </c>
      <c r="F4381" s="1">
        <v>44715</v>
      </c>
      <c r="G4381" t="s">
        <v>2004</v>
      </c>
      <c r="H4381">
        <v>3</v>
      </c>
      <c r="I4381" s="12">
        <f>Table16[[#This Row],[price]]*Table16[[#This Row],[quantity]]</f>
        <v>15004.25</v>
      </c>
    </row>
    <row r="4382" spans="1:9" x14ac:dyDescent="0.3">
      <c r="A4382" t="s">
        <v>6398</v>
      </c>
      <c r="B4382" t="s">
        <v>859</v>
      </c>
      <c r="C4382" t="s">
        <v>2001</v>
      </c>
      <c r="D4382">
        <v>5</v>
      </c>
      <c r="E4382" s="16">
        <v>1500.4</v>
      </c>
      <c r="F4382" s="1">
        <v>44833</v>
      </c>
      <c r="G4382" t="s">
        <v>2002</v>
      </c>
      <c r="H4382">
        <v>3</v>
      </c>
      <c r="I4382" s="12">
        <f>Table16[[#This Row],[price]]*Table16[[#This Row],[quantity]]</f>
        <v>7502</v>
      </c>
    </row>
    <row r="4383" spans="1:9" x14ac:dyDescent="0.3">
      <c r="A4383" t="s">
        <v>6402</v>
      </c>
      <c r="B4383" t="s">
        <v>860</v>
      </c>
      <c r="C4383" t="s">
        <v>2001</v>
      </c>
      <c r="D4383">
        <v>1</v>
      </c>
      <c r="E4383" s="16">
        <v>300.08</v>
      </c>
      <c r="F4383" s="1">
        <v>44299</v>
      </c>
      <c r="G4383" t="s">
        <v>2027</v>
      </c>
      <c r="H4383">
        <v>3</v>
      </c>
      <c r="I4383" s="12">
        <f>Table16[[#This Row],[price]]*Table16[[#This Row],[quantity]]</f>
        <v>300.08</v>
      </c>
    </row>
    <row r="4384" spans="1:9" x14ac:dyDescent="0.3">
      <c r="A4384" t="s">
        <v>6399</v>
      </c>
      <c r="B4384" t="s">
        <v>860</v>
      </c>
      <c r="C4384" t="s">
        <v>2001</v>
      </c>
      <c r="D4384">
        <v>5</v>
      </c>
      <c r="E4384" s="16">
        <v>1500.4</v>
      </c>
      <c r="F4384" s="1">
        <v>44374</v>
      </c>
      <c r="G4384" t="s">
        <v>2064</v>
      </c>
      <c r="H4384">
        <v>1</v>
      </c>
      <c r="I4384" s="12">
        <f>Table16[[#This Row],[price]]*Table16[[#This Row],[quantity]]</f>
        <v>7502</v>
      </c>
    </row>
    <row r="4385" spans="1:9" x14ac:dyDescent="0.3">
      <c r="A4385" t="s">
        <v>6400</v>
      </c>
      <c r="B4385" t="s">
        <v>860</v>
      </c>
      <c r="C4385" t="s">
        <v>2011</v>
      </c>
      <c r="D4385">
        <v>1</v>
      </c>
      <c r="E4385" s="16">
        <v>40.659999999999997</v>
      </c>
      <c r="F4385" s="1">
        <v>44641</v>
      </c>
      <c r="G4385" t="s">
        <v>2064</v>
      </c>
      <c r="H4385">
        <v>2</v>
      </c>
      <c r="I4385" s="12">
        <f>Table16[[#This Row],[price]]*Table16[[#This Row],[quantity]]</f>
        <v>40.659999999999997</v>
      </c>
    </row>
    <row r="4386" spans="1:9" x14ac:dyDescent="0.3">
      <c r="A4386" t="s">
        <v>6403</v>
      </c>
      <c r="B4386" t="s">
        <v>860</v>
      </c>
      <c r="C4386" t="s">
        <v>2011</v>
      </c>
      <c r="D4386">
        <v>3</v>
      </c>
      <c r="E4386" s="16">
        <v>121.98</v>
      </c>
      <c r="F4386" s="1">
        <v>44747</v>
      </c>
      <c r="G4386" t="s">
        <v>2004</v>
      </c>
      <c r="H4386">
        <v>2</v>
      </c>
      <c r="I4386" s="12">
        <f>Table16[[#This Row],[price]]*Table16[[#This Row],[quantity]]</f>
        <v>365.94</v>
      </c>
    </row>
    <row r="4387" spans="1:9" x14ac:dyDescent="0.3">
      <c r="A4387" t="s">
        <v>6401</v>
      </c>
      <c r="B4387" t="s">
        <v>860</v>
      </c>
      <c r="C4387" t="s">
        <v>2006</v>
      </c>
      <c r="D4387">
        <v>4</v>
      </c>
      <c r="E4387" s="16">
        <v>60.6</v>
      </c>
      <c r="F4387" s="1">
        <v>44754</v>
      </c>
      <c r="G4387" t="s">
        <v>2004</v>
      </c>
      <c r="H4387">
        <v>2</v>
      </c>
      <c r="I4387" s="12">
        <f>Table16[[#This Row],[price]]*Table16[[#This Row],[quantity]]</f>
        <v>242.4</v>
      </c>
    </row>
    <row r="4388" spans="1:9" x14ac:dyDescent="0.3">
      <c r="A4388" t="s">
        <v>6407</v>
      </c>
      <c r="B4388" t="s">
        <v>861</v>
      </c>
      <c r="C4388" t="s">
        <v>2001</v>
      </c>
      <c r="D4388">
        <v>2</v>
      </c>
      <c r="E4388" s="16">
        <v>600.16</v>
      </c>
      <c r="F4388" s="1">
        <v>44358</v>
      </c>
      <c r="G4388" t="s">
        <v>2004</v>
      </c>
      <c r="H4388">
        <v>1</v>
      </c>
      <c r="I4388" s="12">
        <f>Table16[[#This Row],[price]]*Table16[[#This Row],[quantity]]</f>
        <v>1200.32</v>
      </c>
    </row>
    <row r="4389" spans="1:9" x14ac:dyDescent="0.3">
      <c r="A4389" t="s">
        <v>6408</v>
      </c>
      <c r="B4389" t="s">
        <v>861</v>
      </c>
      <c r="C4389" t="s">
        <v>2024</v>
      </c>
      <c r="D4389">
        <v>4</v>
      </c>
      <c r="E4389" s="16">
        <v>143.36000000000001</v>
      </c>
      <c r="F4389" s="1">
        <v>44380</v>
      </c>
      <c r="G4389" t="s">
        <v>2041</v>
      </c>
      <c r="H4389">
        <v>5</v>
      </c>
      <c r="I4389" s="12">
        <f>Table16[[#This Row],[price]]*Table16[[#This Row],[quantity]]</f>
        <v>573.44000000000005</v>
      </c>
    </row>
    <row r="4390" spans="1:9" x14ac:dyDescent="0.3">
      <c r="A4390" t="s">
        <v>6406</v>
      </c>
      <c r="B4390" t="s">
        <v>861</v>
      </c>
      <c r="C4390" t="s">
        <v>2001</v>
      </c>
      <c r="D4390">
        <v>2</v>
      </c>
      <c r="E4390" s="16">
        <v>600.16</v>
      </c>
      <c r="F4390" s="1">
        <v>44407</v>
      </c>
      <c r="G4390" t="s">
        <v>2004</v>
      </c>
      <c r="H4390">
        <v>1</v>
      </c>
      <c r="I4390" s="12">
        <f>Table16[[#This Row],[price]]*Table16[[#This Row],[quantity]]</f>
        <v>1200.32</v>
      </c>
    </row>
    <row r="4391" spans="1:9" x14ac:dyDescent="0.3">
      <c r="A4391" t="s">
        <v>6404</v>
      </c>
      <c r="B4391" t="s">
        <v>861</v>
      </c>
      <c r="C4391" t="s">
        <v>2008</v>
      </c>
      <c r="D4391">
        <v>5</v>
      </c>
      <c r="E4391" s="16">
        <v>26.15</v>
      </c>
      <c r="F4391" s="1">
        <v>44457</v>
      </c>
      <c r="G4391" t="s">
        <v>2027</v>
      </c>
      <c r="H4391">
        <v>3</v>
      </c>
      <c r="I4391" s="12">
        <f>Table16[[#This Row],[price]]*Table16[[#This Row],[quantity]]</f>
        <v>130.75</v>
      </c>
    </row>
    <row r="4392" spans="1:9" x14ac:dyDescent="0.3">
      <c r="A4392" t="s">
        <v>6409</v>
      </c>
      <c r="B4392" t="s">
        <v>861</v>
      </c>
      <c r="C4392" t="s">
        <v>2017</v>
      </c>
      <c r="D4392">
        <v>5</v>
      </c>
      <c r="E4392" s="16">
        <v>5250</v>
      </c>
      <c r="F4392" s="1">
        <v>44519</v>
      </c>
      <c r="G4392" t="s">
        <v>2027</v>
      </c>
      <c r="H4392">
        <v>2</v>
      </c>
      <c r="I4392" s="12">
        <f>Table16[[#This Row],[price]]*Table16[[#This Row],[quantity]]</f>
        <v>26250</v>
      </c>
    </row>
    <row r="4393" spans="1:9" x14ac:dyDescent="0.3">
      <c r="A4393" t="s">
        <v>6405</v>
      </c>
      <c r="B4393" t="s">
        <v>861</v>
      </c>
      <c r="C4393" t="s">
        <v>2001</v>
      </c>
      <c r="D4393">
        <v>1</v>
      </c>
      <c r="E4393" s="16">
        <v>300.08</v>
      </c>
      <c r="F4393" s="1">
        <v>44974</v>
      </c>
      <c r="G4393" t="s">
        <v>2004</v>
      </c>
      <c r="H4393">
        <v>5</v>
      </c>
      <c r="I4393" s="12">
        <f>Table16[[#This Row],[price]]*Table16[[#This Row],[quantity]]</f>
        <v>300.08</v>
      </c>
    </row>
    <row r="4394" spans="1:9" x14ac:dyDescent="0.3">
      <c r="A4394" t="s">
        <v>6413</v>
      </c>
      <c r="B4394" t="s">
        <v>862</v>
      </c>
      <c r="C4394" t="s">
        <v>2001</v>
      </c>
      <c r="D4394">
        <v>2</v>
      </c>
      <c r="E4394" s="16">
        <v>600.16</v>
      </c>
      <c r="F4394" s="1">
        <v>44240</v>
      </c>
      <c r="G4394" t="s">
        <v>2064</v>
      </c>
      <c r="H4394">
        <v>3</v>
      </c>
      <c r="I4394" s="12">
        <f>Table16[[#This Row],[price]]*Table16[[#This Row],[quantity]]</f>
        <v>1200.32</v>
      </c>
    </row>
    <row r="4395" spans="1:9" x14ac:dyDescent="0.3">
      <c r="A4395" t="s">
        <v>6410</v>
      </c>
      <c r="B4395" t="s">
        <v>862</v>
      </c>
      <c r="C4395" t="s">
        <v>2011</v>
      </c>
      <c r="D4395">
        <v>1</v>
      </c>
      <c r="E4395" s="16">
        <v>40.659999999999997</v>
      </c>
      <c r="F4395" s="1">
        <v>44325</v>
      </c>
      <c r="G4395" t="s">
        <v>2018</v>
      </c>
      <c r="H4395">
        <v>1</v>
      </c>
      <c r="I4395" s="12">
        <f>Table16[[#This Row],[price]]*Table16[[#This Row],[quantity]]</f>
        <v>40.659999999999997</v>
      </c>
    </row>
    <row r="4396" spans="1:9" x14ac:dyDescent="0.3">
      <c r="A4396" t="s">
        <v>6412</v>
      </c>
      <c r="B4396" t="s">
        <v>862</v>
      </c>
      <c r="C4396" t="s">
        <v>2011</v>
      </c>
      <c r="D4396">
        <v>1</v>
      </c>
      <c r="E4396" s="16">
        <v>40.659999999999997</v>
      </c>
      <c r="F4396" s="1">
        <v>44399</v>
      </c>
      <c r="G4396" t="s">
        <v>2012</v>
      </c>
      <c r="H4396">
        <v>5</v>
      </c>
      <c r="I4396" s="12">
        <f>Table16[[#This Row],[price]]*Table16[[#This Row],[quantity]]</f>
        <v>40.659999999999997</v>
      </c>
    </row>
    <row r="4397" spans="1:9" x14ac:dyDescent="0.3">
      <c r="A4397" t="s">
        <v>6414</v>
      </c>
      <c r="B4397" t="s">
        <v>862</v>
      </c>
      <c r="C4397" t="s">
        <v>2001</v>
      </c>
      <c r="D4397">
        <v>1</v>
      </c>
      <c r="E4397" s="16">
        <v>300.08</v>
      </c>
      <c r="F4397" s="1">
        <v>44647</v>
      </c>
      <c r="G4397" t="s">
        <v>2004</v>
      </c>
      <c r="H4397">
        <v>4</v>
      </c>
      <c r="I4397" s="12">
        <f>Table16[[#This Row],[price]]*Table16[[#This Row],[quantity]]</f>
        <v>300.08</v>
      </c>
    </row>
    <row r="4398" spans="1:9" x14ac:dyDescent="0.3">
      <c r="A4398" t="s">
        <v>6411</v>
      </c>
      <c r="B4398" t="s">
        <v>862</v>
      </c>
      <c r="C4398" t="s">
        <v>2057</v>
      </c>
      <c r="D4398">
        <v>4</v>
      </c>
      <c r="E4398" s="16">
        <v>46.92</v>
      </c>
      <c r="F4398" s="1">
        <v>44944</v>
      </c>
      <c r="G4398" t="s">
        <v>2002</v>
      </c>
      <c r="H4398">
        <v>5</v>
      </c>
      <c r="I4398" s="12">
        <f>Table16[[#This Row],[price]]*Table16[[#This Row],[quantity]]</f>
        <v>187.68</v>
      </c>
    </row>
    <row r="4399" spans="1:9" x14ac:dyDescent="0.3">
      <c r="A4399" t="s">
        <v>6415</v>
      </c>
      <c r="B4399" t="s">
        <v>863</v>
      </c>
      <c r="C4399" t="s">
        <v>2001</v>
      </c>
      <c r="D4399">
        <v>2</v>
      </c>
      <c r="E4399" s="16">
        <v>600.16</v>
      </c>
      <c r="F4399" s="1">
        <v>44301</v>
      </c>
      <c r="G4399" t="s">
        <v>2012</v>
      </c>
      <c r="H4399">
        <v>1</v>
      </c>
      <c r="I4399" s="12">
        <f>Table16[[#This Row],[price]]*Table16[[#This Row],[quantity]]</f>
        <v>1200.32</v>
      </c>
    </row>
    <row r="4400" spans="1:9" x14ac:dyDescent="0.3">
      <c r="A4400" t="s">
        <v>6417</v>
      </c>
      <c r="B4400" t="s">
        <v>863</v>
      </c>
      <c r="C4400" t="s">
        <v>2015</v>
      </c>
      <c r="D4400">
        <v>4</v>
      </c>
      <c r="E4400" s="16">
        <v>2400.6799999999998</v>
      </c>
      <c r="F4400" s="1">
        <v>44715</v>
      </c>
      <c r="G4400" t="s">
        <v>2018</v>
      </c>
      <c r="H4400">
        <v>3</v>
      </c>
      <c r="I4400" s="12">
        <f>Table16[[#This Row],[price]]*Table16[[#This Row],[quantity]]</f>
        <v>9602.7199999999993</v>
      </c>
    </row>
    <row r="4401" spans="1:9" x14ac:dyDescent="0.3">
      <c r="A4401" t="s">
        <v>6418</v>
      </c>
      <c r="B4401" t="s">
        <v>863</v>
      </c>
      <c r="C4401" t="s">
        <v>2008</v>
      </c>
      <c r="D4401">
        <v>5</v>
      </c>
      <c r="E4401" s="16">
        <v>26.15</v>
      </c>
      <c r="F4401" s="1">
        <v>44778</v>
      </c>
      <c r="G4401" t="s">
        <v>2012</v>
      </c>
      <c r="H4401">
        <v>2</v>
      </c>
      <c r="I4401" s="12">
        <f>Table16[[#This Row],[price]]*Table16[[#This Row],[quantity]]</f>
        <v>130.75</v>
      </c>
    </row>
    <row r="4402" spans="1:9" x14ac:dyDescent="0.3">
      <c r="A4402" t="s">
        <v>6416</v>
      </c>
      <c r="B4402" t="s">
        <v>863</v>
      </c>
      <c r="C4402" t="s">
        <v>2017</v>
      </c>
      <c r="D4402">
        <v>3</v>
      </c>
      <c r="E4402" s="16">
        <v>3150</v>
      </c>
      <c r="F4402" s="1">
        <v>44964</v>
      </c>
      <c r="G4402" t="s">
        <v>2027</v>
      </c>
      <c r="H4402">
        <v>2</v>
      </c>
      <c r="I4402" s="12">
        <f>Table16[[#This Row],[price]]*Table16[[#This Row],[quantity]]</f>
        <v>9450</v>
      </c>
    </row>
    <row r="4403" spans="1:9" x14ac:dyDescent="0.3">
      <c r="A4403" t="s">
        <v>6419</v>
      </c>
      <c r="B4403" t="s">
        <v>864</v>
      </c>
      <c r="C4403" t="s">
        <v>2001</v>
      </c>
      <c r="D4403">
        <v>4</v>
      </c>
      <c r="E4403" s="16">
        <v>1200.32</v>
      </c>
      <c r="F4403" s="1">
        <v>44299</v>
      </c>
      <c r="G4403" t="s">
        <v>2002</v>
      </c>
      <c r="H4403">
        <v>1</v>
      </c>
      <c r="I4403" s="12">
        <f>Table16[[#This Row],[price]]*Table16[[#This Row],[quantity]]</f>
        <v>4801.28</v>
      </c>
    </row>
    <row r="4404" spans="1:9" x14ac:dyDescent="0.3">
      <c r="A4404" t="s">
        <v>6420</v>
      </c>
      <c r="B4404" t="s">
        <v>864</v>
      </c>
      <c r="C4404" t="s">
        <v>2011</v>
      </c>
      <c r="D4404">
        <v>3</v>
      </c>
      <c r="E4404" s="16">
        <v>121.98</v>
      </c>
      <c r="F4404" s="1">
        <v>44311</v>
      </c>
      <c r="G4404" t="s">
        <v>2064</v>
      </c>
      <c r="H4404">
        <v>2</v>
      </c>
      <c r="I4404" s="12">
        <f>Table16[[#This Row],[price]]*Table16[[#This Row],[quantity]]</f>
        <v>365.94</v>
      </c>
    </row>
    <row r="4405" spans="1:9" x14ac:dyDescent="0.3">
      <c r="A4405" t="s">
        <v>6423</v>
      </c>
      <c r="B4405" t="s">
        <v>864</v>
      </c>
      <c r="C4405" t="s">
        <v>2008</v>
      </c>
      <c r="D4405">
        <v>3</v>
      </c>
      <c r="E4405" s="16">
        <v>15.69</v>
      </c>
      <c r="F4405" s="1">
        <v>44355</v>
      </c>
      <c r="G4405" t="s">
        <v>2004</v>
      </c>
      <c r="H4405">
        <v>1</v>
      </c>
      <c r="I4405" s="12">
        <f>Table16[[#This Row],[price]]*Table16[[#This Row],[quantity]]</f>
        <v>47.07</v>
      </c>
    </row>
    <row r="4406" spans="1:9" x14ac:dyDescent="0.3">
      <c r="A4406" t="s">
        <v>6422</v>
      </c>
      <c r="B4406" t="s">
        <v>864</v>
      </c>
      <c r="C4406" t="s">
        <v>2006</v>
      </c>
      <c r="D4406">
        <v>2</v>
      </c>
      <c r="E4406" s="16">
        <v>30.3</v>
      </c>
      <c r="F4406" s="1">
        <v>44413</v>
      </c>
      <c r="G4406" t="s">
        <v>2002</v>
      </c>
      <c r="H4406">
        <v>1</v>
      </c>
      <c r="I4406" s="12">
        <f>Table16[[#This Row],[price]]*Table16[[#This Row],[quantity]]</f>
        <v>60.6</v>
      </c>
    </row>
    <row r="4407" spans="1:9" x14ac:dyDescent="0.3">
      <c r="A4407" t="s">
        <v>6424</v>
      </c>
      <c r="B4407" t="s">
        <v>864</v>
      </c>
      <c r="C4407" t="s">
        <v>2015</v>
      </c>
      <c r="D4407">
        <v>2</v>
      </c>
      <c r="E4407" s="16">
        <v>1200.3399999999999</v>
      </c>
      <c r="F4407" s="1">
        <v>44483</v>
      </c>
      <c r="G4407" t="s">
        <v>2004</v>
      </c>
      <c r="H4407">
        <v>5</v>
      </c>
      <c r="I4407" s="12">
        <f>Table16[[#This Row],[price]]*Table16[[#This Row],[quantity]]</f>
        <v>2400.6799999999998</v>
      </c>
    </row>
    <row r="4408" spans="1:9" x14ac:dyDescent="0.3">
      <c r="A4408" t="s">
        <v>6425</v>
      </c>
      <c r="B4408" t="s">
        <v>864</v>
      </c>
      <c r="C4408" t="s">
        <v>2001</v>
      </c>
      <c r="D4408">
        <v>1</v>
      </c>
      <c r="E4408" s="16">
        <v>300.08</v>
      </c>
      <c r="F4408" s="1">
        <v>44582</v>
      </c>
      <c r="G4408" t="s">
        <v>2027</v>
      </c>
      <c r="H4408">
        <v>5</v>
      </c>
      <c r="I4408" s="12">
        <f>Table16[[#This Row],[price]]*Table16[[#This Row],[quantity]]</f>
        <v>300.08</v>
      </c>
    </row>
    <row r="4409" spans="1:9" x14ac:dyDescent="0.3">
      <c r="A4409" t="s">
        <v>6426</v>
      </c>
      <c r="B4409" t="s">
        <v>864</v>
      </c>
      <c r="C4409" t="s">
        <v>2008</v>
      </c>
      <c r="D4409">
        <v>5</v>
      </c>
      <c r="E4409" s="16">
        <v>26.15</v>
      </c>
      <c r="F4409" s="1">
        <v>44947</v>
      </c>
      <c r="G4409" t="s">
        <v>2004</v>
      </c>
      <c r="H4409">
        <v>1</v>
      </c>
      <c r="I4409" s="12">
        <f>Table16[[#This Row],[price]]*Table16[[#This Row],[quantity]]</f>
        <v>130.75</v>
      </c>
    </row>
    <row r="4410" spans="1:9" x14ac:dyDescent="0.3">
      <c r="A4410" t="s">
        <v>6421</v>
      </c>
      <c r="B4410" t="s">
        <v>864</v>
      </c>
      <c r="C4410" t="s">
        <v>2024</v>
      </c>
      <c r="D4410">
        <v>5</v>
      </c>
      <c r="E4410" s="16">
        <v>179.2</v>
      </c>
      <c r="F4410" s="1">
        <v>44988</v>
      </c>
      <c r="G4410" t="s">
        <v>2018</v>
      </c>
      <c r="H4410">
        <v>3</v>
      </c>
      <c r="I4410" s="12">
        <f>Table16[[#This Row],[price]]*Table16[[#This Row],[quantity]]</f>
        <v>896</v>
      </c>
    </row>
    <row r="4411" spans="1:9" x14ac:dyDescent="0.3">
      <c r="A4411" t="s">
        <v>6430</v>
      </c>
      <c r="B4411" t="s">
        <v>865</v>
      </c>
      <c r="C4411" t="s">
        <v>2011</v>
      </c>
      <c r="D4411">
        <v>4</v>
      </c>
      <c r="E4411" s="16">
        <v>162.63999999999999</v>
      </c>
      <c r="F4411" s="1">
        <v>44445</v>
      </c>
      <c r="G4411" t="s">
        <v>2004</v>
      </c>
      <c r="H4411">
        <v>1</v>
      </c>
      <c r="I4411" s="12">
        <f>Table16[[#This Row],[price]]*Table16[[#This Row],[quantity]]</f>
        <v>650.55999999999995</v>
      </c>
    </row>
    <row r="4412" spans="1:9" x14ac:dyDescent="0.3">
      <c r="A4412" t="s">
        <v>6428</v>
      </c>
      <c r="B4412" t="s">
        <v>865</v>
      </c>
      <c r="C4412" t="s">
        <v>2057</v>
      </c>
      <c r="D4412">
        <v>5</v>
      </c>
      <c r="E4412" s="16">
        <v>58.65</v>
      </c>
      <c r="F4412" s="1">
        <v>44795</v>
      </c>
      <c r="G4412" t="s">
        <v>2058</v>
      </c>
      <c r="H4412">
        <v>2</v>
      </c>
      <c r="I4412" s="12">
        <f>Table16[[#This Row],[price]]*Table16[[#This Row],[quantity]]</f>
        <v>293.25</v>
      </c>
    </row>
    <row r="4413" spans="1:9" x14ac:dyDescent="0.3">
      <c r="A4413" t="s">
        <v>6427</v>
      </c>
      <c r="B4413" t="s">
        <v>865</v>
      </c>
      <c r="C4413" t="s">
        <v>2001</v>
      </c>
      <c r="D4413">
        <v>2</v>
      </c>
      <c r="E4413" s="16">
        <v>600.16</v>
      </c>
      <c r="F4413" s="1">
        <v>44879</v>
      </c>
      <c r="G4413" t="s">
        <v>2004</v>
      </c>
      <c r="H4413">
        <v>3</v>
      </c>
      <c r="I4413" s="12">
        <f>Table16[[#This Row],[price]]*Table16[[#This Row],[quantity]]</f>
        <v>1200.32</v>
      </c>
    </row>
    <row r="4414" spans="1:9" x14ac:dyDescent="0.3">
      <c r="A4414" t="s">
        <v>6429</v>
      </c>
      <c r="B4414" t="s">
        <v>865</v>
      </c>
      <c r="C4414" t="s">
        <v>2011</v>
      </c>
      <c r="D4414">
        <v>2</v>
      </c>
      <c r="E4414" s="16">
        <v>81.319999999999993</v>
      </c>
      <c r="F4414" s="1">
        <v>44938</v>
      </c>
      <c r="G4414" t="s">
        <v>2064</v>
      </c>
      <c r="H4414">
        <v>1</v>
      </c>
      <c r="I4414" s="12">
        <f>Table16[[#This Row],[price]]*Table16[[#This Row],[quantity]]</f>
        <v>162.63999999999999</v>
      </c>
    </row>
    <row r="4415" spans="1:9" x14ac:dyDescent="0.3">
      <c r="A4415" t="s">
        <v>6434</v>
      </c>
      <c r="B4415" t="s">
        <v>866</v>
      </c>
      <c r="C4415" t="s">
        <v>2001</v>
      </c>
      <c r="D4415">
        <v>3</v>
      </c>
      <c r="E4415" s="16">
        <v>900.24</v>
      </c>
      <c r="F4415" s="1">
        <v>44368</v>
      </c>
      <c r="G4415" t="s">
        <v>2041</v>
      </c>
      <c r="H4415">
        <v>4</v>
      </c>
      <c r="I4415" s="12">
        <f>Table16[[#This Row],[price]]*Table16[[#This Row],[quantity]]</f>
        <v>2700.7200000000003</v>
      </c>
    </row>
    <row r="4416" spans="1:9" x14ac:dyDescent="0.3">
      <c r="A4416" t="s">
        <v>6431</v>
      </c>
      <c r="B4416" t="s">
        <v>866</v>
      </c>
      <c r="C4416" t="s">
        <v>2001</v>
      </c>
      <c r="D4416">
        <v>2</v>
      </c>
      <c r="E4416" s="16">
        <v>600.16</v>
      </c>
      <c r="F4416" s="1">
        <v>44471</v>
      </c>
      <c r="G4416" t="s">
        <v>2027</v>
      </c>
      <c r="H4416">
        <v>4</v>
      </c>
      <c r="I4416" s="12">
        <f>Table16[[#This Row],[price]]*Table16[[#This Row],[quantity]]</f>
        <v>1200.32</v>
      </c>
    </row>
    <row r="4417" spans="1:9" x14ac:dyDescent="0.3">
      <c r="A4417" t="s">
        <v>6437</v>
      </c>
      <c r="B4417" t="s">
        <v>866</v>
      </c>
      <c r="C4417" t="s">
        <v>2008</v>
      </c>
      <c r="D4417">
        <v>3</v>
      </c>
      <c r="E4417" s="16">
        <v>15.69</v>
      </c>
      <c r="F4417" s="1">
        <v>44545</v>
      </c>
      <c r="G4417" t="s">
        <v>2027</v>
      </c>
      <c r="H4417">
        <v>3</v>
      </c>
      <c r="I4417" s="12">
        <f>Table16[[#This Row],[price]]*Table16[[#This Row],[quantity]]</f>
        <v>47.07</v>
      </c>
    </row>
    <row r="4418" spans="1:9" x14ac:dyDescent="0.3">
      <c r="A4418" t="s">
        <v>6436</v>
      </c>
      <c r="B4418" t="s">
        <v>866</v>
      </c>
      <c r="C4418" t="s">
        <v>2008</v>
      </c>
      <c r="D4418">
        <v>5</v>
      </c>
      <c r="E4418" s="16">
        <v>26.15</v>
      </c>
      <c r="F4418" s="1">
        <v>44549</v>
      </c>
      <c r="G4418" t="s">
        <v>2020</v>
      </c>
      <c r="H4418">
        <v>5</v>
      </c>
      <c r="I4418" s="12">
        <f>Table16[[#This Row],[price]]*Table16[[#This Row],[quantity]]</f>
        <v>130.75</v>
      </c>
    </row>
    <row r="4419" spans="1:9" x14ac:dyDescent="0.3">
      <c r="A4419" t="s">
        <v>6438</v>
      </c>
      <c r="B4419" t="s">
        <v>866</v>
      </c>
      <c r="C4419" t="s">
        <v>2001</v>
      </c>
      <c r="D4419">
        <v>2</v>
      </c>
      <c r="E4419" s="16">
        <v>600.16</v>
      </c>
      <c r="F4419" s="1">
        <v>44649</v>
      </c>
      <c r="G4419" t="s">
        <v>2058</v>
      </c>
      <c r="H4419">
        <v>3</v>
      </c>
      <c r="I4419" s="12">
        <f>Table16[[#This Row],[price]]*Table16[[#This Row],[quantity]]</f>
        <v>1200.32</v>
      </c>
    </row>
    <row r="4420" spans="1:9" x14ac:dyDescent="0.3">
      <c r="A4420" t="s">
        <v>6432</v>
      </c>
      <c r="B4420" t="s">
        <v>866</v>
      </c>
      <c r="C4420" t="s">
        <v>2001</v>
      </c>
      <c r="D4420">
        <v>4</v>
      </c>
      <c r="E4420" s="16">
        <v>1200.32</v>
      </c>
      <c r="F4420" s="1">
        <v>44686</v>
      </c>
      <c r="G4420" t="s">
        <v>2020</v>
      </c>
      <c r="H4420">
        <v>2</v>
      </c>
      <c r="I4420" s="12">
        <f>Table16[[#This Row],[price]]*Table16[[#This Row],[quantity]]</f>
        <v>4801.28</v>
      </c>
    </row>
    <row r="4421" spans="1:9" x14ac:dyDescent="0.3">
      <c r="A4421" t="s">
        <v>6433</v>
      </c>
      <c r="B4421" t="s">
        <v>866</v>
      </c>
      <c r="C4421" t="s">
        <v>2024</v>
      </c>
      <c r="D4421">
        <v>4</v>
      </c>
      <c r="E4421" s="16">
        <v>143.36000000000001</v>
      </c>
      <c r="F4421" s="1">
        <v>44783</v>
      </c>
      <c r="G4421" t="s">
        <v>2004</v>
      </c>
      <c r="H4421">
        <v>1</v>
      </c>
      <c r="I4421" s="12">
        <f>Table16[[#This Row],[price]]*Table16[[#This Row],[quantity]]</f>
        <v>573.44000000000005</v>
      </c>
    </row>
    <row r="4422" spans="1:9" x14ac:dyDescent="0.3">
      <c r="A4422" t="s">
        <v>6435</v>
      </c>
      <c r="B4422" t="s">
        <v>866</v>
      </c>
      <c r="C4422" t="s">
        <v>2011</v>
      </c>
      <c r="D4422">
        <v>5</v>
      </c>
      <c r="E4422" s="16">
        <v>203.3</v>
      </c>
      <c r="F4422" s="1">
        <v>44825</v>
      </c>
      <c r="G4422" t="s">
        <v>2041</v>
      </c>
      <c r="H4422">
        <v>2</v>
      </c>
      <c r="I4422" s="12">
        <f>Table16[[#This Row],[price]]*Table16[[#This Row],[quantity]]</f>
        <v>1016.5</v>
      </c>
    </row>
    <row r="4423" spans="1:9" x14ac:dyDescent="0.3">
      <c r="A4423" t="s">
        <v>6442</v>
      </c>
      <c r="B4423" t="s">
        <v>867</v>
      </c>
      <c r="C4423" t="s">
        <v>2001</v>
      </c>
      <c r="D4423">
        <v>5</v>
      </c>
      <c r="E4423" s="16">
        <v>1500.4</v>
      </c>
      <c r="F4423" s="1">
        <v>44294</v>
      </c>
      <c r="G4423" t="s">
        <v>2027</v>
      </c>
      <c r="H4423">
        <v>1</v>
      </c>
      <c r="I4423" s="12">
        <f>Table16[[#This Row],[price]]*Table16[[#This Row],[quantity]]</f>
        <v>7502</v>
      </c>
    </row>
    <row r="4424" spans="1:9" x14ac:dyDescent="0.3">
      <c r="A4424" t="s">
        <v>6440</v>
      </c>
      <c r="B4424" t="s">
        <v>867</v>
      </c>
      <c r="C4424" t="s">
        <v>2015</v>
      </c>
      <c r="D4424">
        <v>5</v>
      </c>
      <c r="E4424" s="16">
        <v>3000.85</v>
      </c>
      <c r="F4424" s="1">
        <v>44335</v>
      </c>
      <c r="G4424" t="s">
        <v>2064</v>
      </c>
      <c r="H4424">
        <v>1</v>
      </c>
      <c r="I4424" s="12">
        <f>Table16[[#This Row],[price]]*Table16[[#This Row],[quantity]]</f>
        <v>15004.25</v>
      </c>
    </row>
    <row r="4425" spans="1:9" x14ac:dyDescent="0.3">
      <c r="A4425" t="s">
        <v>6441</v>
      </c>
      <c r="B4425" t="s">
        <v>867</v>
      </c>
      <c r="C4425" t="s">
        <v>2008</v>
      </c>
      <c r="D4425">
        <v>5</v>
      </c>
      <c r="E4425" s="16">
        <v>26.15</v>
      </c>
      <c r="F4425" s="1">
        <v>44349</v>
      </c>
      <c r="G4425" t="s">
        <v>2012</v>
      </c>
      <c r="H4425">
        <v>5</v>
      </c>
      <c r="I4425" s="12">
        <f>Table16[[#This Row],[price]]*Table16[[#This Row],[quantity]]</f>
        <v>130.75</v>
      </c>
    </row>
    <row r="4426" spans="1:9" x14ac:dyDescent="0.3">
      <c r="A4426" t="s">
        <v>6439</v>
      </c>
      <c r="B4426" t="s">
        <v>867</v>
      </c>
      <c r="C4426" t="s">
        <v>2006</v>
      </c>
      <c r="D4426">
        <v>4</v>
      </c>
      <c r="E4426" s="16">
        <v>60.6</v>
      </c>
      <c r="F4426" s="1">
        <v>44947</v>
      </c>
      <c r="G4426" t="s">
        <v>2027</v>
      </c>
      <c r="H4426">
        <v>1</v>
      </c>
      <c r="I4426" s="12">
        <f>Table16[[#This Row],[price]]*Table16[[#This Row],[quantity]]</f>
        <v>242.4</v>
      </c>
    </row>
    <row r="4427" spans="1:9" x14ac:dyDescent="0.3">
      <c r="A4427" t="s">
        <v>6443</v>
      </c>
      <c r="B4427" t="s">
        <v>868</v>
      </c>
      <c r="C4427" t="s">
        <v>2024</v>
      </c>
      <c r="D4427">
        <v>3</v>
      </c>
      <c r="E4427" s="16">
        <v>107.52</v>
      </c>
      <c r="F4427" s="1">
        <v>44296</v>
      </c>
      <c r="G4427" t="s">
        <v>2004</v>
      </c>
      <c r="H4427">
        <v>3</v>
      </c>
      <c r="I4427" s="12">
        <f>Table16[[#This Row],[price]]*Table16[[#This Row],[quantity]]</f>
        <v>322.56</v>
      </c>
    </row>
    <row r="4428" spans="1:9" x14ac:dyDescent="0.3">
      <c r="A4428" t="s">
        <v>6446</v>
      </c>
      <c r="B4428" t="s">
        <v>868</v>
      </c>
      <c r="C4428" t="s">
        <v>2011</v>
      </c>
      <c r="D4428">
        <v>3</v>
      </c>
      <c r="E4428" s="16">
        <v>121.98</v>
      </c>
      <c r="F4428" s="1">
        <v>44312</v>
      </c>
      <c r="G4428" t="s">
        <v>2002</v>
      </c>
      <c r="H4428">
        <v>1</v>
      </c>
      <c r="I4428" s="12">
        <f>Table16[[#This Row],[price]]*Table16[[#This Row],[quantity]]</f>
        <v>365.94</v>
      </c>
    </row>
    <row r="4429" spans="1:9" x14ac:dyDescent="0.3">
      <c r="A4429" t="s">
        <v>6445</v>
      </c>
      <c r="B4429" t="s">
        <v>868</v>
      </c>
      <c r="C4429" t="s">
        <v>2011</v>
      </c>
      <c r="D4429">
        <v>5</v>
      </c>
      <c r="E4429" s="16">
        <v>203.3</v>
      </c>
      <c r="F4429" s="1">
        <v>44562</v>
      </c>
      <c r="G4429" t="s">
        <v>2027</v>
      </c>
      <c r="H4429">
        <v>4</v>
      </c>
      <c r="I4429" s="12">
        <f>Table16[[#This Row],[price]]*Table16[[#This Row],[quantity]]</f>
        <v>1016.5</v>
      </c>
    </row>
    <row r="4430" spans="1:9" x14ac:dyDescent="0.3">
      <c r="A4430" t="s">
        <v>6444</v>
      </c>
      <c r="B4430" t="s">
        <v>868</v>
      </c>
      <c r="C4430" t="s">
        <v>2015</v>
      </c>
      <c r="D4430">
        <v>3</v>
      </c>
      <c r="E4430" s="16">
        <v>1800.51</v>
      </c>
      <c r="F4430" s="1">
        <v>44974</v>
      </c>
      <c r="G4430" t="s">
        <v>2004</v>
      </c>
      <c r="H4430">
        <v>1</v>
      </c>
      <c r="I4430" s="12">
        <f>Table16[[#This Row],[price]]*Table16[[#This Row],[quantity]]</f>
        <v>5401.53</v>
      </c>
    </row>
    <row r="4431" spans="1:9" x14ac:dyDescent="0.3">
      <c r="A4431" t="s">
        <v>6449</v>
      </c>
      <c r="B4431" t="s">
        <v>869</v>
      </c>
      <c r="C4431" t="s">
        <v>2015</v>
      </c>
      <c r="D4431">
        <v>3</v>
      </c>
      <c r="E4431" s="16">
        <v>1800.51</v>
      </c>
      <c r="F4431" s="1">
        <v>44270</v>
      </c>
      <c r="G4431" t="s">
        <v>2064</v>
      </c>
      <c r="H4431">
        <v>2</v>
      </c>
      <c r="I4431" s="12">
        <f>Table16[[#This Row],[price]]*Table16[[#This Row],[quantity]]</f>
        <v>5401.53</v>
      </c>
    </row>
    <row r="4432" spans="1:9" x14ac:dyDescent="0.3">
      <c r="A4432" t="s">
        <v>6452</v>
      </c>
      <c r="B4432" t="s">
        <v>869</v>
      </c>
      <c r="C4432" t="s">
        <v>2006</v>
      </c>
      <c r="D4432">
        <v>5</v>
      </c>
      <c r="E4432" s="16">
        <v>75.75</v>
      </c>
      <c r="F4432" s="1">
        <v>44298</v>
      </c>
      <c r="G4432" t="s">
        <v>2004</v>
      </c>
      <c r="H4432">
        <v>1</v>
      </c>
      <c r="I4432" s="12">
        <f>Table16[[#This Row],[price]]*Table16[[#This Row],[quantity]]</f>
        <v>378.75</v>
      </c>
    </row>
    <row r="4433" spans="1:9" x14ac:dyDescent="0.3">
      <c r="A4433" t="s">
        <v>6448</v>
      </c>
      <c r="B4433" t="s">
        <v>869</v>
      </c>
      <c r="C4433" t="s">
        <v>2001</v>
      </c>
      <c r="D4433">
        <v>5</v>
      </c>
      <c r="E4433" s="16">
        <v>1500.4</v>
      </c>
      <c r="F4433" s="1">
        <v>44334</v>
      </c>
      <c r="G4433" t="s">
        <v>2002</v>
      </c>
      <c r="H4433">
        <v>4</v>
      </c>
      <c r="I4433" s="12">
        <f>Table16[[#This Row],[price]]*Table16[[#This Row],[quantity]]</f>
        <v>7502</v>
      </c>
    </row>
    <row r="4434" spans="1:9" x14ac:dyDescent="0.3">
      <c r="A4434" t="s">
        <v>6451</v>
      </c>
      <c r="B4434" t="s">
        <v>869</v>
      </c>
      <c r="C4434" t="s">
        <v>2011</v>
      </c>
      <c r="D4434">
        <v>1</v>
      </c>
      <c r="E4434" s="16">
        <v>40.659999999999997</v>
      </c>
      <c r="F4434" s="1">
        <v>44725</v>
      </c>
      <c r="G4434" t="s">
        <v>2004</v>
      </c>
      <c r="H4434">
        <v>1</v>
      </c>
      <c r="I4434" s="12">
        <f>Table16[[#This Row],[price]]*Table16[[#This Row],[quantity]]</f>
        <v>40.659999999999997</v>
      </c>
    </row>
    <row r="4435" spans="1:9" x14ac:dyDescent="0.3">
      <c r="A4435" t="s">
        <v>6447</v>
      </c>
      <c r="B4435" t="s">
        <v>869</v>
      </c>
      <c r="C4435" t="s">
        <v>2011</v>
      </c>
      <c r="D4435">
        <v>4</v>
      </c>
      <c r="E4435" s="16">
        <v>162.63999999999999</v>
      </c>
      <c r="F4435" s="1">
        <v>44882</v>
      </c>
      <c r="G4435" t="s">
        <v>2002</v>
      </c>
      <c r="H4435">
        <v>1</v>
      </c>
      <c r="I4435" s="12">
        <f>Table16[[#This Row],[price]]*Table16[[#This Row],[quantity]]</f>
        <v>650.55999999999995</v>
      </c>
    </row>
    <row r="4436" spans="1:9" x14ac:dyDescent="0.3">
      <c r="A4436" t="s">
        <v>6450</v>
      </c>
      <c r="B4436" t="s">
        <v>869</v>
      </c>
      <c r="C4436" t="s">
        <v>2011</v>
      </c>
      <c r="D4436">
        <v>3</v>
      </c>
      <c r="E4436" s="16">
        <v>121.98</v>
      </c>
      <c r="F4436" s="1">
        <v>44989</v>
      </c>
      <c r="G4436" t="s">
        <v>2009</v>
      </c>
      <c r="H4436">
        <v>3</v>
      </c>
      <c r="I4436" s="12">
        <f>Table16[[#This Row],[price]]*Table16[[#This Row],[quantity]]</f>
        <v>365.94</v>
      </c>
    </row>
    <row r="4437" spans="1:9" x14ac:dyDescent="0.3">
      <c r="A4437" t="s">
        <v>6457</v>
      </c>
      <c r="B4437" t="s">
        <v>870</v>
      </c>
      <c r="C4437" t="s">
        <v>2017</v>
      </c>
      <c r="D4437">
        <v>1</v>
      </c>
      <c r="E4437" s="16">
        <v>1050</v>
      </c>
      <c r="F4437" s="1">
        <v>44454</v>
      </c>
      <c r="G4437" t="s">
        <v>2009</v>
      </c>
      <c r="H4437">
        <v>2</v>
      </c>
      <c r="I4437" s="12">
        <f>Table16[[#This Row],[price]]*Table16[[#This Row],[quantity]]</f>
        <v>1050</v>
      </c>
    </row>
    <row r="4438" spans="1:9" x14ac:dyDescent="0.3">
      <c r="A4438" t="s">
        <v>6456</v>
      </c>
      <c r="B4438" t="s">
        <v>870</v>
      </c>
      <c r="C4438" t="s">
        <v>2017</v>
      </c>
      <c r="D4438">
        <v>5</v>
      </c>
      <c r="E4438" s="16">
        <v>5250</v>
      </c>
      <c r="F4438" s="1">
        <v>44523</v>
      </c>
      <c r="G4438" t="s">
        <v>2002</v>
      </c>
      <c r="H4438">
        <v>3</v>
      </c>
      <c r="I4438" s="12">
        <f>Table16[[#This Row],[price]]*Table16[[#This Row],[quantity]]</f>
        <v>26250</v>
      </c>
    </row>
    <row r="4439" spans="1:9" x14ac:dyDescent="0.3">
      <c r="A4439" t="s">
        <v>6454</v>
      </c>
      <c r="B4439" t="s">
        <v>870</v>
      </c>
      <c r="C4439" t="s">
        <v>2015</v>
      </c>
      <c r="D4439">
        <v>4</v>
      </c>
      <c r="E4439" s="16">
        <v>2400.6799999999998</v>
      </c>
      <c r="F4439" s="1">
        <v>44605</v>
      </c>
      <c r="G4439" t="s">
        <v>2004</v>
      </c>
      <c r="H4439">
        <v>2</v>
      </c>
      <c r="I4439" s="12">
        <f>Table16[[#This Row],[price]]*Table16[[#This Row],[quantity]]</f>
        <v>9602.7199999999993</v>
      </c>
    </row>
    <row r="4440" spans="1:9" x14ac:dyDescent="0.3">
      <c r="A4440" t="s">
        <v>6455</v>
      </c>
      <c r="B4440" t="s">
        <v>870</v>
      </c>
      <c r="C4440" t="s">
        <v>2011</v>
      </c>
      <c r="D4440">
        <v>3</v>
      </c>
      <c r="E4440" s="16">
        <v>121.98</v>
      </c>
      <c r="F4440" s="1">
        <v>44718</v>
      </c>
      <c r="G4440" t="s">
        <v>2002</v>
      </c>
      <c r="H4440">
        <v>3</v>
      </c>
      <c r="I4440" s="12">
        <f>Table16[[#This Row],[price]]*Table16[[#This Row],[quantity]]</f>
        <v>365.94</v>
      </c>
    </row>
    <row r="4441" spans="1:9" x14ac:dyDescent="0.3">
      <c r="A4441" t="s">
        <v>6453</v>
      </c>
      <c r="B4441" t="s">
        <v>870</v>
      </c>
      <c r="C4441" t="s">
        <v>2017</v>
      </c>
      <c r="D4441">
        <v>5</v>
      </c>
      <c r="E4441" s="16">
        <v>5250</v>
      </c>
      <c r="F4441" s="1">
        <v>44758</v>
      </c>
      <c r="G4441" t="s">
        <v>2064</v>
      </c>
      <c r="H4441">
        <v>4</v>
      </c>
      <c r="I4441" s="12">
        <f>Table16[[#This Row],[price]]*Table16[[#This Row],[quantity]]</f>
        <v>26250</v>
      </c>
    </row>
    <row r="4442" spans="1:9" x14ac:dyDescent="0.3">
      <c r="A4442" t="s">
        <v>6459</v>
      </c>
      <c r="B4442" t="s">
        <v>871</v>
      </c>
      <c r="C4442" t="s">
        <v>2001</v>
      </c>
      <c r="D4442">
        <v>3</v>
      </c>
      <c r="E4442" s="16">
        <v>900.24</v>
      </c>
      <c r="F4442" s="1">
        <v>44292</v>
      </c>
      <c r="G4442" t="s">
        <v>2009</v>
      </c>
      <c r="H4442">
        <v>3</v>
      </c>
      <c r="I4442" s="12">
        <f>Table16[[#This Row],[price]]*Table16[[#This Row],[quantity]]</f>
        <v>2700.7200000000003</v>
      </c>
    </row>
    <row r="4443" spans="1:9" x14ac:dyDescent="0.3">
      <c r="A4443" t="s">
        <v>6463</v>
      </c>
      <c r="B4443" t="s">
        <v>871</v>
      </c>
      <c r="C4443" t="s">
        <v>2008</v>
      </c>
      <c r="D4443">
        <v>5</v>
      </c>
      <c r="E4443" s="16">
        <v>26.15</v>
      </c>
      <c r="F4443" s="1">
        <v>44305</v>
      </c>
      <c r="G4443" t="s">
        <v>2020</v>
      </c>
      <c r="H4443">
        <v>3</v>
      </c>
      <c r="I4443" s="12">
        <f>Table16[[#This Row],[price]]*Table16[[#This Row],[quantity]]</f>
        <v>130.75</v>
      </c>
    </row>
    <row r="4444" spans="1:9" x14ac:dyDescent="0.3">
      <c r="A4444" t="s">
        <v>6461</v>
      </c>
      <c r="B4444" t="s">
        <v>871</v>
      </c>
      <c r="C4444" t="s">
        <v>2024</v>
      </c>
      <c r="D4444">
        <v>3</v>
      </c>
      <c r="E4444" s="16">
        <v>107.52</v>
      </c>
      <c r="F4444" s="1">
        <v>44355</v>
      </c>
      <c r="G4444" t="s">
        <v>2020</v>
      </c>
      <c r="H4444">
        <v>4</v>
      </c>
      <c r="I4444" s="12">
        <f>Table16[[#This Row],[price]]*Table16[[#This Row],[quantity]]</f>
        <v>322.56</v>
      </c>
    </row>
    <row r="4445" spans="1:9" x14ac:dyDescent="0.3">
      <c r="A4445" t="s">
        <v>6460</v>
      </c>
      <c r="B4445" t="s">
        <v>871</v>
      </c>
      <c r="C4445" t="s">
        <v>2001</v>
      </c>
      <c r="D4445">
        <v>5</v>
      </c>
      <c r="E4445" s="16">
        <v>1500.4</v>
      </c>
      <c r="F4445" s="1">
        <v>44395</v>
      </c>
      <c r="G4445" t="s">
        <v>2002</v>
      </c>
      <c r="H4445">
        <v>3</v>
      </c>
      <c r="I4445" s="12">
        <f>Table16[[#This Row],[price]]*Table16[[#This Row],[quantity]]</f>
        <v>7502</v>
      </c>
    </row>
    <row r="4446" spans="1:9" x14ac:dyDescent="0.3">
      <c r="A4446" t="s">
        <v>6462</v>
      </c>
      <c r="B4446" t="s">
        <v>871</v>
      </c>
      <c r="C4446" t="s">
        <v>2008</v>
      </c>
      <c r="D4446">
        <v>4</v>
      </c>
      <c r="E4446" s="16">
        <v>20.92</v>
      </c>
      <c r="F4446" s="1">
        <v>44489</v>
      </c>
      <c r="G4446" t="s">
        <v>2004</v>
      </c>
      <c r="H4446">
        <v>3</v>
      </c>
      <c r="I4446" s="12">
        <f>Table16[[#This Row],[price]]*Table16[[#This Row],[quantity]]</f>
        <v>83.68</v>
      </c>
    </row>
    <row r="4447" spans="1:9" x14ac:dyDescent="0.3">
      <c r="A4447" t="s">
        <v>6458</v>
      </c>
      <c r="B4447" t="s">
        <v>871</v>
      </c>
      <c r="C4447" t="s">
        <v>2001</v>
      </c>
      <c r="D4447">
        <v>2</v>
      </c>
      <c r="E4447" s="16">
        <v>600.16</v>
      </c>
      <c r="F4447" s="1">
        <v>44672</v>
      </c>
      <c r="G4447" t="s">
        <v>2004</v>
      </c>
      <c r="H4447">
        <v>2</v>
      </c>
      <c r="I4447" s="12">
        <f>Table16[[#This Row],[price]]*Table16[[#This Row],[quantity]]</f>
        <v>1200.32</v>
      </c>
    </row>
    <row r="4448" spans="1:9" x14ac:dyDescent="0.3">
      <c r="A4448" t="s">
        <v>6465</v>
      </c>
      <c r="B4448" t="s">
        <v>872</v>
      </c>
      <c r="C4448" t="s">
        <v>2008</v>
      </c>
      <c r="D4448">
        <v>2</v>
      </c>
      <c r="E4448" s="16">
        <v>10.46</v>
      </c>
      <c r="F4448" s="1">
        <v>44963</v>
      </c>
      <c r="G4448" t="s">
        <v>2002</v>
      </c>
      <c r="H4448">
        <v>2</v>
      </c>
      <c r="I4448" s="12">
        <f>Table16[[#This Row],[price]]*Table16[[#This Row],[quantity]]</f>
        <v>20.92</v>
      </c>
    </row>
    <row r="4449" spans="1:9" x14ac:dyDescent="0.3">
      <c r="A4449" t="s">
        <v>6464</v>
      </c>
      <c r="B4449" t="s">
        <v>872</v>
      </c>
      <c r="C4449" t="s">
        <v>2001</v>
      </c>
      <c r="D4449">
        <v>3</v>
      </c>
      <c r="E4449" s="16">
        <v>900.24</v>
      </c>
      <c r="F4449" s="1">
        <v>44978</v>
      </c>
      <c r="G4449" t="s">
        <v>2064</v>
      </c>
      <c r="H4449">
        <v>3</v>
      </c>
      <c r="I4449" s="12">
        <f>Table16[[#This Row],[price]]*Table16[[#This Row],[quantity]]</f>
        <v>2700.7200000000003</v>
      </c>
    </row>
    <row r="4450" spans="1:9" x14ac:dyDescent="0.3">
      <c r="A4450" t="s">
        <v>6467</v>
      </c>
      <c r="B4450" t="s">
        <v>873</v>
      </c>
      <c r="C4450" t="s">
        <v>2011</v>
      </c>
      <c r="D4450">
        <v>3</v>
      </c>
      <c r="E4450" s="16">
        <v>121.98</v>
      </c>
      <c r="F4450" s="1">
        <v>44276</v>
      </c>
      <c r="G4450" t="s">
        <v>2004</v>
      </c>
      <c r="H4450">
        <v>4</v>
      </c>
      <c r="I4450" s="12">
        <f>Table16[[#This Row],[price]]*Table16[[#This Row],[quantity]]</f>
        <v>365.94</v>
      </c>
    </row>
    <row r="4451" spans="1:9" x14ac:dyDescent="0.3">
      <c r="A4451" t="s">
        <v>6469</v>
      </c>
      <c r="B4451" t="s">
        <v>873</v>
      </c>
      <c r="C4451" t="s">
        <v>2008</v>
      </c>
      <c r="D4451">
        <v>3</v>
      </c>
      <c r="E4451" s="16">
        <v>15.69</v>
      </c>
      <c r="F4451" s="1">
        <v>44403</v>
      </c>
      <c r="G4451" t="s">
        <v>2020</v>
      </c>
      <c r="H4451">
        <v>1</v>
      </c>
      <c r="I4451" s="12">
        <f>Table16[[#This Row],[price]]*Table16[[#This Row],[quantity]]</f>
        <v>47.07</v>
      </c>
    </row>
    <row r="4452" spans="1:9" x14ac:dyDescent="0.3">
      <c r="A4452" t="s">
        <v>6468</v>
      </c>
      <c r="B4452" t="s">
        <v>873</v>
      </c>
      <c r="C4452" t="s">
        <v>2011</v>
      </c>
      <c r="D4452">
        <v>2</v>
      </c>
      <c r="E4452" s="16">
        <v>81.319999999999993</v>
      </c>
      <c r="F4452" s="1">
        <v>44416</v>
      </c>
      <c r="G4452" t="s">
        <v>2012</v>
      </c>
      <c r="H4452">
        <v>1</v>
      </c>
      <c r="I4452" s="12">
        <f>Table16[[#This Row],[price]]*Table16[[#This Row],[quantity]]</f>
        <v>162.63999999999999</v>
      </c>
    </row>
    <row r="4453" spans="1:9" x14ac:dyDescent="0.3">
      <c r="A4453" t="s">
        <v>6466</v>
      </c>
      <c r="B4453" t="s">
        <v>873</v>
      </c>
      <c r="C4453" t="s">
        <v>2001</v>
      </c>
      <c r="D4453">
        <v>2</v>
      </c>
      <c r="E4453" s="16">
        <v>600.16</v>
      </c>
      <c r="F4453" s="1">
        <v>44901</v>
      </c>
      <c r="G4453" t="s">
        <v>2012</v>
      </c>
      <c r="H4453">
        <v>4</v>
      </c>
      <c r="I4453" s="12">
        <f>Table16[[#This Row],[price]]*Table16[[#This Row],[quantity]]</f>
        <v>1200.32</v>
      </c>
    </row>
    <row r="4454" spans="1:9" x14ac:dyDescent="0.3">
      <c r="A4454" t="s">
        <v>6470</v>
      </c>
      <c r="B4454" t="s">
        <v>874</v>
      </c>
      <c r="C4454" t="s">
        <v>2001</v>
      </c>
      <c r="D4454">
        <v>4</v>
      </c>
      <c r="E4454" s="16">
        <v>1200.32</v>
      </c>
      <c r="F4454" s="1">
        <v>44592</v>
      </c>
      <c r="G4454" t="s">
        <v>2041</v>
      </c>
      <c r="H4454">
        <v>4</v>
      </c>
      <c r="I4454" s="12">
        <f>Table16[[#This Row],[price]]*Table16[[#This Row],[quantity]]</f>
        <v>4801.28</v>
      </c>
    </row>
    <row r="4455" spans="1:9" x14ac:dyDescent="0.3">
      <c r="A4455" t="s">
        <v>6473</v>
      </c>
      <c r="B4455" t="s">
        <v>874</v>
      </c>
      <c r="C4455" t="s">
        <v>2057</v>
      </c>
      <c r="D4455">
        <v>5</v>
      </c>
      <c r="E4455" s="16">
        <v>58.65</v>
      </c>
      <c r="F4455" s="1">
        <v>44646</v>
      </c>
      <c r="G4455" t="s">
        <v>2018</v>
      </c>
      <c r="H4455">
        <v>5</v>
      </c>
      <c r="I4455" s="12">
        <f>Table16[[#This Row],[price]]*Table16[[#This Row],[quantity]]</f>
        <v>293.25</v>
      </c>
    </row>
    <row r="4456" spans="1:9" x14ac:dyDescent="0.3">
      <c r="A4456" t="s">
        <v>6471</v>
      </c>
      <c r="B4456" t="s">
        <v>874</v>
      </c>
      <c r="C4456" t="s">
        <v>2001</v>
      </c>
      <c r="D4456">
        <v>2</v>
      </c>
      <c r="E4456" s="16">
        <v>600.16</v>
      </c>
      <c r="F4456" s="1">
        <v>44683</v>
      </c>
      <c r="G4456" t="s">
        <v>2004</v>
      </c>
      <c r="H4456">
        <v>4</v>
      </c>
      <c r="I4456" s="12">
        <f>Table16[[#This Row],[price]]*Table16[[#This Row],[quantity]]</f>
        <v>1200.32</v>
      </c>
    </row>
    <row r="4457" spans="1:9" x14ac:dyDescent="0.3">
      <c r="A4457" t="s">
        <v>6472</v>
      </c>
      <c r="B4457" t="s">
        <v>874</v>
      </c>
      <c r="C4457" t="s">
        <v>2008</v>
      </c>
      <c r="D4457">
        <v>2</v>
      </c>
      <c r="E4457" s="16">
        <v>10.46</v>
      </c>
      <c r="F4457" s="1">
        <v>44957</v>
      </c>
      <c r="G4457" t="s">
        <v>2002</v>
      </c>
      <c r="H4457">
        <v>1</v>
      </c>
      <c r="I4457" s="12">
        <f>Table16[[#This Row],[price]]*Table16[[#This Row],[quantity]]</f>
        <v>20.92</v>
      </c>
    </row>
    <row r="4458" spans="1:9" x14ac:dyDescent="0.3">
      <c r="A4458" t="s">
        <v>6474</v>
      </c>
      <c r="B4458" t="s">
        <v>875</v>
      </c>
      <c r="C4458" t="s">
        <v>2008</v>
      </c>
      <c r="D4458">
        <v>2</v>
      </c>
      <c r="E4458" s="16">
        <v>10.46</v>
      </c>
      <c r="F4458" s="1">
        <v>44504</v>
      </c>
      <c r="G4458" t="s">
        <v>2027</v>
      </c>
      <c r="H4458">
        <v>4</v>
      </c>
      <c r="I4458" s="12">
        <f>Table16[[#This Row],[price]]*Table16[[#This Row],[quantity]]</f>
        <v>20.92</v>
      </c>
    </row>
    <row r="4459" spans="1:9" x14ac:dyDescent="0.3">
      <c r="A4459" t="s">
        <v>6475</v>
      </c>
      <c r="B4459" t="s">
        <v>875</v>
      </c>
      <c r="C4459" t="s">
        <v>2001</v>
      </c>
      <c r="D4459">
        <v>3</v>
      </c>
      <c r="E4459" s="16">
        <v>900.24</v>
      </c>
      <c r="F4459" s="1">
        <v>44744</v>
      </c>
      <c r="G4459" t="s">
        <v>2002</v>
      </c>
      <c r="H4459">
        <v>1</v>
      </c>
      <c r="I4459" s="12">
        <f>Table16[[#This Row],[price]]*Table16[[#This Row],[quantity]]</f>
        <v>2700.7200000000003</v>
      </c>
    </row>
    <row r="4460" spans="1:9" x14ac:dyDescent="0.3">
      <c r="A4460" t="s">
        <v>6477</v>
      </c>
      <c r="B4460" t="s">
        <v>876</v>
      </c>
      <c r="C4460" t="s">
        <v>2011</v>
      </c>
      <c r="D4460">
        <v>5</v>
      </c>
      <c r="E4460" s="16">
        <v>203.3</v>
      </c>
      <c r="F4460" s="1">
        <v>44345</v>
      </c>
      <c r="G4460" t="s">
        <v>2004</v>
      </c>
      <c r="H4460">
        <v>2</v>
      </c>
      <c r="I4460" s="12">
        <f>Table16[[#This Row],[price]]*Table16[[#This Row],[quantity]]</f>
        <v>1016.5</v>
      </c>
    </row>
    <row r="4461" spans="1:9" x14ac:dyDescent="0.3">
      <c r="A4461" t="s">
        <v>6478</v>
      </c>
      <c r="B4461" t="s">
        <v>876</v>
      </c>
      <c r="C4461" t="s">
        <v>2015</v>
      </c>
      <c r="D4461">
        <v>3</v>
      </c>
      <c r="E4461" s="16">
        <v>1800.51</v>
      </c>
      <c r="F4461" s="1">
        <v>44376</v>
      </c>
      <c r="G4461" t="s">
        <v>2002</v>
      </c>
      <c r="H4461">
        <v>3</v>
      </c>
      <c r="I4461" s="12">
        <f>Table16[[#This Row],[price]]*Table16[[#This Row],[quantity]]</f>
        <v>5401.53</v>
      </c>
    </row>
    <row r="4462" spans="1:9" x14ac:dyDescent="0.3">
      <c r="A4462" t="s">
        <v>6476</v>
      </c>
      <c r="B4462" t="s">
        <v>876</v>
      </c>
      <c r="C4462" t="s">
        <v>2001</v>
      </c>
      <c r="D4462">
        <v>1</v>
      </c>
      <c r="E4462" s="16">
        <v>300.08</v>
      </c>
      <c r="F4462" s="1">
        <v>44555</v>
      </c>
      <c r="G4462" t="s">
        <v>2027</v>
      </c>
      <c r="H4462">
        <v>4</v>
      </c>
      <c r="I4462" s="12">
        <f>Table16[[#This Row],[price]]*Table16[[#This Row],[quantity]]</f>
        <v>300.08</v>
      </c>
    </row>
    <row r="4463" spans="1:9" x14ac:dyDescent="0.3">
      <c r="A4463" t="s">
        <v>6479</v>
      </c>
      <c r="B4463" t="s">
        <v>876</v>
      </c>
      <c r="C4463" t="s">
        <v>2057</v>
      </c>
      <c r="D4463">
        <v>1</v>
      </c>
      <c r="E4463" s="16">
        <v>11.73</v>
      </c>
      <c r="F4463" s="1">
        <v>44692</v>
      </c>
      <c r="G4463" t="s">
        <v>2004</v>
      </c>
      <c r="H4463">
        <v>5</v>
      </c>
      <c r="I4463" s="12">
        <f>Table16[[#This Row],[price]]*Table16[[#This Row],[quantity]]</f>
        <v>11.73</v>
      </c>
    </row>
    <row r="4464" spans="1:9" x14ac:dyDescent="0.3">
      <c r="A4464" t="s">
        <v>6480</v>
      </c>
      <c r="B4464" t="s">
        <v>877</v>
      </c>
      <c r="C4464" t="s">
        <v>2024</v>
      </c>
      <c r="D4464">
        <v>5</v>
      </c>
      <c r="E4464" s="16">
        <v>179.2</v>
      </c>
      <c r="F4464" s="1">
        <v>44535</v>
      </c>
      <c r="G4464" t="s">
        <v>2020</v>
      </c>
      <c r="H4464">
        <v>5</v>
      </c>
      <c r="I4464" s="12">
        <f>Table16[[#This Row],[price]]*Table16[[#This Row],[quantity]]</f>
        <v>896</v>
      </c>
    </row>
    <row r="4465" spans="1:9" x14ac:dyDescent="0.3">
      <c r="A4465" t="s">
        <v>6481</v>
      </c>
      <c r="B4465" t="s">
        <v>877</v>
      </c>
      <c r="C4465" t="s">
        <v>2006</v>
      </c>
      <c r="D4465">
        <v>2</v>
      </c>
      <c r="E4465" s="16">
        <v>30.3</v>
      </c>
      <c r="F4465" s="1">
        <v>44809</v>
      </c>
      <c r="G4465" t="s">
        <v>2009</v>
      </c>
      <c r="H4465">
        <v>2</v>
      </c>
      <c r="I4465" s="12">
        <f>Table16[[#This Row],[price]]*Table16[[#This Row],[quantity]]</f>
        <v>60.6</v>
      </c>
    </row>
    <row r="4466" spans="1:9" x14ac:dyDescent="0.3">
      <c r="A4466" t="s">
        <v>6483</v>
      </c>
      <c r="B4466" t="s">
        <v>877</v>
      </c>
      <c r="C4466" t="s">
        <v>2011</v>
      </c>
      <c r="D4466">
        <v>1</v>
      </c>
      <c r="E4466" s="16">
        <v>40.659999999999997</v>
      </c>
      <c r="F4466" s="1">
        <v>44827</v>
      </c>
      <c r="G4466" t="s">
        <v>2002</v>
      </c>
      <c r="H4466">
        <v>4</v>
      </c>
      <c r="I4466" s="12">
        <f>Table16[[#This Row],[price]]*Table16[[#This Row],[quantity]]</f>
        <v>40.659999999999997</v>
      </c>
    </row>
    <row r="4467" spans="1:9" x14ac:dyDescent="0.3">
      <c r="A4467" t="s">
        <v>6482</v>
      </c>
      <c r="B4467" t="s">
        <v>877</v>
      </c>
      <c r="C4467" t="s">
        <v>2001</v>
      </c>
      <c r="D4467">
        <v>1</v>
      </c>
      <c r="E4467" s="16">
        <v>300.08</v>
      </c>
      <c r="F4467" s="1">
        <v>44870</v>
      </c>
      <c r="G4467" t="s">
        <v>2004</v>
      </c>
      <c r="H4467">
        <v>1</v>
      </c>
      <c r="I4467" s="12">
        <f>Table16[[#This Row],[price]]*Table16[[#This Row],[quantity]]</f>
        <v>300.08</v>
      </c>
    </row>
    <row r="4468" spans="1:9" x14ac:dyDescent="0.3">
      <c r="A4468" t="s">
        <v>6486</v>
      </c>
      <c r="B4468" t="s">
        <v>878</v>
      </c>
      <c r="C4468" t="s">
        <v>2001</v>
      </c>
      <c r="D4468">
        <v>1</v>
      </c>
      <c r="E4468" s="16">
        <v>300.08</v>
      </c>
      <c r="F4468" s="1">
        <v>44350</v>
      </c>
      <c r="G4468" t="s">
        <v>2064</v>
      </c>
      <c r="H4468">
        <v>4</v>
      </c>
      <c r="I4468" s="12">
        <f>Table16[[#This Row],[price]]*Table16[[#This Row],[quantity]]</f>
        <v>300.08</v>
      </c>
    </row>
    <row r="4469" spans="1:9" x14ac:dyDescent="0.3">
      <c r="A4469" t="s">
        <v>6485</v>
      </c>
      <c r="B4469" t="s">
        <v>878</v>
      </c>
      <c r="C4469" t="s">
        <v>2008</v>
      </c>
      <c r="D4469">
        <v>5</v>
      </c>
      <c r="E4469" s="16">
        <v>26.15</v>
      </c>
      <c r="F4469" s="1">
        <v>44383</v>
      </c>
      <c r="G4469" t="s">
        <v>2012</v>
      </c>
      <c r="H4469">
        <v>2</v>
      </c>
      <c r="I4469" s="12">
        <f>Table16[[#This Row],[price]]*Table16[[#This Row],[quantity]]</f>
        <v>130.75</v>
      </c>
    </row>
    <row r="4470" spans="1:9" x14ac:dyDescent="0.3">
      <c r="A4470" t="s">
        <v>6489</v>
      </c>
      <c r="B4470" t="s">
        <v>878</v>
      </c>
      <c r="C4470" t="s">
        <v>2015</v>
      </c>
      <c r="D4470">
        <v>4</v>
      </c>
      <c r="E4470" s="16">
        <v>2400.6799999999998</v>
      </c>
      <c r="F4470" s="1">
        <v>44471</v>
      </c>
      <c r="G4470" t="s">
        <v>2020</v>
      </c>
      <c r="H4470">
        <v>3</v>
      </c>
      <c r="I4470" s="12">
        <f>Table16[[#This Row],[price]]*Table16[[#This Row],[quantity]]</f>
        <v>9602.7199999999993</v>
      </c>
    </row>
    <row r="4471" spans="1:9" x14ac:dyDescent="0.3">
      <c r="A4471" t="s">
        <v>6484</v>
      </c>
      <c r="B4471" t="s">
        <v>878</v>
      </c>
      <c r="C4471" t="s">
        <v>2024</v>
      </c>
      <c r="D4471">
        <v>1</v>
      </c>
      <c r="E4471" s="16">
        <v>35.840000000000003</v>
      </c>
      <c r="F4471" s="1">
        <v>44775</v>
      </c>
      <c r="G4471" t="s">
        <v>2058</v>
      </c>
      <c r="H4471">
        <v>2</v>
      </c>
      <c r="I4471" s="12">
        <f>Table16[[#This Row],[price]]*Table16[[#This Row],[quantity]]</f>
        <v>35.840000000000003</v>
      </c>
    </row>
    <row r="4472" spans="1:9" x14ac:dyDescent="0.3">
      <c r="A4472" t="s">
        <v>6487</v>
      </c>
      <c r="B4472" t="s">
        <v>878</v>
      </c>
      <c r="C4472" t="s">
        <v>2001</v>
      </c>
      <c r="D4472">
        <v>3</v>
      </c>
      <c r="E4472" s="16">
        <v>900.24</v>
      </c>
      <c r="F4472" s="1">
        <v>44839</v>
      </c>
      <c r="G4472" t="s">
        <v>2018</v>
      </c>
      <c r="H4472">
        <v>2</v>
      </c>
      <c r="I4472" s="12">
        <f>Table16[[#This Row],[price]]*Table16[[#This Row],[quantity]]</f>
        <v>2700.7200000000003</v>
      </c>
    </row>
    <row r="4473" spans="1:9" x14ac:dyDescent="0.3">
      <c r="A4473" t="s">
        <v>6488</v>
      </c>
      <c r="B4473" t="s">
        <v>878</v>
      </c>
      <c r="C4473" t="s">
        <v>2024</v>
      </c>
      <c r="D4473">
        <v>1</v>
      </c>
      <c r="E4473" s="16">
        <v>35.840000000000003</v>
      </c>
      <c r="F4473" s="1">
        <v>44885</v>
      </c>
      <c r="G4473" t="s">
        <v>2027</v>
      </c>
      <c r="H4473">
        <v>5</v>
      </c>
      <c r="I4473" s="12">
        <f>Table16[[#This Row],[price]]*Table16[[#This Row],[quantity]]</f>
        <v>35.840000000000003</v>
      </c>
    </row>
    <row r="4474" spans="1:9" x14ac:dyDescent="0.3">
      <c r="A4474" t="s">
        <v>6491</v>
      </c>
      <c r="B4474" t="s">
        <v>879</v>
      </c>
      <c r="C4474" t="s">
        <v>2001</v>
      </c>
      <c r="D4474">
        <v>2</v>
      </c>
      <c r="E4474" s="16">
        <v>600.16</v>
      </c>
      <c r="F4474" s="1">
        <v>44448</v>
      </c>
      <c r="G4474" t="s">
        <v>2041</v>
      </c>
      <c r="H4474">
        <v>2</v>
      </c>
      <c r="I4474" s="12">
        <f>Table16[[#This Row],[price]]*Table16[[#This Row],[quantity]]</f>
        <v>1200.32</v>
      </c>
    </row>
    <row r="4475" spans="1:9" x14ac:dyDescent="0.3">
      <c r="A4475" t="s">
        <v>6492</v>
      </c>
      <c r="B4475" t="s">
        <v>879</v>
      </c>
      <c r="C4475" t="s">
        <v>2011</v>
      </c>
      <c r="D4475">
        <v>1</v>
      </c>
      <c r="E4475" s="16">
        <v>40.659999999999997</v>
      </c>
      <c r="F4475" s="1">
        <v>44616</v>
      </c>
      <c r="G4475" t="s">
        <v>2020</v>
      </c>
      <c r="H4475">
        <v>3</v>
      </c>
      <c r="I4475" s="12">
        <f>Table16[[#This Row],[price]]*Table16[[#This Row],[quantity]]</f>
        <v>40.659999999999997</v>
      </c>
    </row>
    <row r="4476" spans="1:9" x14ac:dyDescent="0.3">
      <c r="A4476" t="s">
        <v>6495</v>
      </c>
      <c r="B4476" t="s">
        <v>879</v>
      </c>
      <c r="C4476" t="s">
        <v>2001</v>
      </c>
      <c r="D4476">
        <v>1</v>
      </c>
      <c r="E4476" s="16">
        <v>300.08</v>
      </c>
      <c r="F4476" s="1">
        <v>44646</v>
      </c>
      <c r="G4476" t="s">
        <v>2027</v>
      </c>
      <c r="H4476">
        <v>2</v>
      </c>
      <c r="I4476" s="12">
        <f>Table16[[#This Row],[price]]*Table16[[#This Row],[quantity]]</f>
        <v>300.08</v>
      </c>
    </row>
    <row r="4477" spans="1:9" x14ac:dyDescent="0.3">
      <c r="A4477" t="s">
        <v>6490</v>
      </c>
      <c r="B4477" t="s">
        <v>879</v>
      </c>
      <c r="C4477" t="s">
        <v>2008</v>
      </c>
      <c r="D4477">
        <v>5</v>
      </c>
      <c r="E4477" s="16">
        <v>26.15</v>
      </c>
      <c r="F4477" s="1">
        <v>44761</v>
      </c>
      <c r="G4477" t="s">
        <v>2002</v>
      </c>
      <c r="H4477">
        <v>2</v>
      </c>
      <c r="I4477" s="12">
        <f>Table16[[#This Row],[price]]*Table16[[#This Row],[quantity]]</f>
        <v>130.75</v>
      </c>
    </row>
    <row r="4478" spans="1:9" x14ac:dyDescent="0.3">
      <c r="A4478" t="s">
        <v>6494</v>
      </c>
      <c r="B4478" t="s">
        <v>879</v>
      </c>
      <c r="C4478" t="s">
        <v>2001</v>
      </c>
      <c r="D4478">
        <v>5</v>
      </c>
      <c r="E4478" s="16">
        <v>1500.4</v>
      </c>
      <c r="F4478" s="1">
        <v>44789</v>
      </c>
      <c r="G4478" t="s">
        <v>2004</v>
      </c>
      <c r="H4478">
        <v>2</v>
      </c>
      <c r="I4478" s="12">
        <f>Table16[[#This Row],[price]]*Table16[[#This Row],[quantity]]</f>
        <v>7502</v>
      </c>
    </row>
    <row r="4479" spans="1:9" x14ac:dyDescent="0.3">
      <c r="A4479" t="s">
        <v>6496</v>
      </c>
      <c r="B4479" t="s">
        <v>879</v>
      </c>
      <c r="C4479" t="s">
        <v>2001</v>
      </c>
      <c r="D4479">
        <v>4</v>
      </c>
      <c r="E4479" s="16">
        <v>1200.32</v>
      </c>
      <c r="F4479" s="1">
        <v>44852</v>
      </c>
      <c r="G4479" t="s">
        <v>2018</v>
      </c>
      <c r="H4479">
        <v>3</v>
      </c>
      <c r="I4479" s="12">
        <f>Table16[[#This Row],[price]]*Table16[[#This Row],[quantity]]</f>
        <v>4801.28</v>
      </c>
    </row>
    <row r="4480" spans="1:9" x14ac:dyDescent="0.3">
      <c r="A4480" t="s">
        <v>6493</v>
      </c>
      <c r="B4480" t="s">
        <v>879</v>
      </c>
      <c r="C4480" t="s">
        <v>2001</v>
      </c>
      <c r="D4480">
        <v>3</v>
      </c>
      <c r="E4480" s="16">
        <v>900.24</v>
      </c>
      <c r="F4480" s="1">
        <v>44911</v>
      </c>
      <c r="G4480" t="s">
        <v>2002</v>
      </c>
      <c r="H4480">
        <v>4</v>
      </c>
      <c r="I4480" s="12">
        <f>Table16[[#This Row],[price]]*Table16[[#This Row],[quantity]]</f>
        <v>2700.7200000000003</v>
      </c>
    </row>
    <row r="4481" spans="1:9" x14ac:dyDescent="0.3">
      <c r="A4481" t="s">
        <v>6497</v>
      </c>
      <c r="B4481" t="s">
        <v>879</v>
      </c>
      <c r="C4481" t="s">
        <v>2001</v>
      </c>
      <c r="D4481">
        <v>1</v>
      </c>
      <c r="E4481" s="16">
        <v>300.08</v>
      </c>
      <c r="F4481" s="1">
        <v>44993</v>
      </c>
      <c r="G4481" t="s">
        <v>2004</v>
      </c>
      <c r="H4481">
        <v>1</v>
      </c>
      <c r="I4481" s="12">
        <f>Table16[[#This Row],[price]]*Table16[[#This Row],[quantity]]</f>
        <v>300.08</v>
      </c>
    </row>
    <row r="4482" spans="1:9" x14ac:dyDescent="0.3">
      <c r="A4482" t="s">
        <v>6501</v>
      </c>
      <c r="B4482" t="s">
        <v>880</v>
      </c>
      <c r="C4482" t="s">
        <v>2008</v>
      </c>
      <c r="D4482">
        <v>2</v>
      </c>
      <c r="E4482" s="16">
        <v>10.46</v>
      </c>
      <c r="F4482" s="1">
        <v>44464</v>
      </c>
      <c r="G4482" t="s">
        <v>2020</v>
      </c>
      <c r="H4482">
        <v>3</v>
      </c>
      <c r="I4482" s="12">
        <f>Table16[[#This Row],[price]]*Table16[[#This Row],[quantity]]</f>
        <v>20.92</v>
      </c>
    </row>
    <row r="4483" spans="1:9" x14ac:dyDescent="0.3">
      <c r="A4483" t="s">
        <v>6499</v>
      </c>
      <c r="B4483" t="s">
        <v>880</v>
      </c>
      <c r="C4483" t="s">
        <v>2008</v>
      </c>
      <c r="D4483">
        <v>4</v>
      </c>
      <c r="E4483" s="16">
        <v>20.92</v>
      </c>
      <c r="F4483" s="1">
        <v>44480</v>
      </c>
      <c r="G4483" t="s">
        <v>2002</v>
      </c>
      <c r="H4483">
        <v>3</v>
      </c>
      <c r="I4483" s="12">
        <f>Table16[[#This Row],[price]]*Table16[[#This Row],[quantity]]</f>
        <v>83.68</v>
      </c>
    </row>
    <row r="4484" spans="1:9" x14ac:dyDescent="0.3">
      <c r="A4484" t="s">
        <v>6500</v>
      </c>
      <c r="B4484" t="s">
        <v>880</v>
      </c>
      <c r="C4484" t="s">
        <v>2001</v>
      </c>
      <c r="D4484">
        <v>3</v>
      </c>
      <c r="E4484" s="16">
        <v>900.24</v>
      </c>
      <c r="F4484" s="1">
        <v>44508</v>
      </c>
      <c r="G4484" t="s">
        <v>2020</v>
      </c>
      <c r="H4484">
        <v>5</v>
      </c>
      <c r="I4484" s="12">
        <f>Table16[[#This Row],[price]]*Table16[[#This Row],[quantity]]</f>
        <v>2700.7200000000003</v>
      </c>
    </row>
    <row r="4485" spans="1:9" x14ac:dyDescent="0.3">
      <c r="A4485" t="s">
        <v>6498</v>
      </c>
      <c r="B4485" t="s">
        <v>880</v>
      </c>
      <c r="C4485" t="s">
        <v>2006</v>
      </c>
      <c r="D4485">
        <v>3</v>
      </c>
      <c r="E4485" s="16">
        <v>45.45</v>
      </c>
      <c r="F4485" s="1">
        <v>44605</v>
      </c>
      <c r="G4485" t="s">
        <v>2004</v>
      </c>
      <c r="H4485">
        <v>1</v>
      </c>
      <c r="I4485" s="12">
        <f>Table16[[#This Row],[price]]*Table16[[#This Row],[quantity]]</f>
        <v>136.35000000000002</v>
      </c>
    </row>
    <row r="4486" spans="1:9" x14ac:dyDescent="0.3">
      <c r="A4486" t="s">
        <v>6502</v>
      </c>
      <c r="B4486" t="s">
        <v>881</v>
      </c>
      <c r="C4486" t="s">
        <v>2008</v>
      </c>
      <c r="D4486">
        <v>4</v>
      </c>
      <c r="E4486" s="16">
        <v>20.92</v>
      </c>
      <c r="F4486" s="1">
        <v>44285</v>
      </c>
      <c r="G4486" t="s">
        <v>2027</v>
      </c>
      <c r="H4486">
        <v>5</v>
      </c>
      <c r="I4486" s="12">
        <f>Table16[[#This Row],[price]]*Table16[[#This Row],[quantity]]</f>
        <v>83.68</v>
      </c>
    </row>
    <row r="4487" spans="1:9" x14ac:dyDescent="0.3">
      <c r="A4487" t="s">
        <v>6505</v>
      </c>
      <c r="B4487" t="s">
        <v>881</v>
      </c>
      <c r="C4487" t="s">
        <v>2001</v>
      </c>
      <c r="D4487">
        <v>5</v>
      </c>
      <c r="E4487" s="16">
        <v>1500.4</v>
      </c>
      <c r="F4487" s="1">
        <v>44674</v>
      </c>
      <c r="G4487" t="s">
        <v>2002</v>
      </c>
      <c r="H4487">
        <v>4</v>
      </c>
      <c r="I4487" s="12">
        <f>Table16[[#This Row],[price]]*Table16[[#This Row],[quantity]]</f>
        <v>7502</v>
      </c>
    </row>
    <row r="4488" spans="1:9" x14ac:dyDescent="0.3">
      <c r="A4488" t="s">
        <v>6504</v>
      </c>
      <c r="B4488" t="s">
        <v>881</v>
      </c>
      <c r="C4488" t="s">
        <v>2008</v>
      </c>
      <c r="D4488">
        <v>2</v>
      </c>
      <c r="E4488" s="16">
        <v>10.46</v>
      </c>
      <c r="F4488" s="1">
        <v>44920</v>
      </c>
      <c r="G4488" t="s">
        <v>2002</v>
      </c>
      <c r="H4488">
        <v>1</v>
      </c>
      <c r="I4488" s="12">
        <f>Table16[[#This Row],[price]]*Table16[[#This Row],[quantity]]</f>
        <v>20.92</v>
      </c>
    </row>
    <row r="4489" spans="1:9" x14ac:dyDescent="0.3">
      <c r="A4489" t="s">
        <v>6503</v>
      </c>
      <c r="B4489" t="s">
        <v>881</v>
      </c>
      <c r="C4489" t="s">
        <v>2008</v>
      </c>
      <c r="D4489">
        <v>5</v>
      </c>
      <c r="E4489" s="16">
        <v>26.15</v>
      </c>
      <c r="F4489" s="1">
        <v>44959</v>
      </c>
      <c r="G4489" t="s">
        <v>2041</v>
      </c>
      <c r="H4489">
        <v>3</v>
      </c>
      <c r="I4489" s="12">
        <f>Table16[[#This Row],[price]]*Table16[[#This Row],[quantity]]</f>
        <v>130.75</v>
      </c>
    </row>
    <row r="4490" spans="1:9" x14ac:dyDescent="0.3">
      <c r="A4490" t="s">
        <v>6506</v>
      </c>
      <c r="B4490" t="s">
        <v>882</v>
      </c>
      <c r="C4490" t="s">
        <v>2008</v>
      </c>
      <c r="D4490">
        <v>1</v>
      </c>
      <c r="E4490" s="16">
        <v>5.23</v>
      </c>
      <c r="F4490" s="1">
        <v>44206</v>
      </c>
      <c r="G4490" t="s">
        <v>2002</v>
      </c>
      <c r="H4490">
        <v>1</v>
      </c>
      <c r="I4490" s="12">
        <f>Table16[[#This Row],[price]]*Table16[[#This Row],[quantity]]</f>
        <v>5.23</v>
      </c>
    </row>
    <row r="4491" spans="1:9" x14ac:dyDescent="0.3">
      <c r="A4491" t="s">
        <v>6507</v>
      </c>
      <c r="B4491" t="s">
        <v>882</v>
      </c>
      <c r="C4491" t="s">
        <v>2001</v>
      </c>
      <c r="D4491">
        <v>5</v>
      </c>
      <c r="E4491" s="16">
        <v>1500.4</v>
      </c>
      <c r="F4491" s="1">
        <v>44558</v>
      </c>
      <c r="G4491" t="s">
        <v>2002</v>
      </c>
      <c r="H4491">
        <v>4</v>
      </c>
      <c r="I4491" s="12">
        <f>Table16[[#This Row],[price]]*Table16[[#This Row],[quantity]]</f>
        <v>7502</v>
      </c>
    </row>
    <row r="4492" spans="1:9" x14ac:dyDescent="0.3">
      <c r="A4492" t="s">
        <v>6508</v>
      </c>
      <c r="B4492" t="s">
        <v>882</v>
      </c>
      <c r="C4492" t="s">
        <v>2011</v>
      </c>
      <c r="D4492">
        <v>5</v>
      </c>
      <c r="E4492" s="16">
        <v>203.3</v>
      </c>
      <c r="F4492" s="1">
        <v>44822</v>
      </c>
      <c r="G4492" t="s">
        <v>2064</v>
      </c>
      <c r="H4492">
        <v>5</v>
      </c>
      <c r="I4492" s="12">
        <f>Table16[[#This Row],[price]]*Table16[[#This Row],[quantity]]</f>
        <v>1016.5</v>
      </c>
    </row>
    <row r="4493" spans="1:9" x14ac:dyDescent="0.3">
      <c r="A4493" t="s">
        <v>6510</v>
      </c>
      <c r="B4493" t="s">
        <v>883</v>
      </c>
      <c r="C4493" t="s">
        <v>2001</v>
      </c>
      <c r="D4493">
        <v>5</v>
      </c>
      <c r="E4493" s="16">
        <v>1500.4</v>
      </c>
      <c r="F4493" s="1">
        <v>44237</v>
      </c>
      <c r="G4493" t="s">
        <v>2004</v>
      </c>
      <c r="H4493">
        <v>3</v>
      </c>
      <c r="I4493" s="12">
        <f>Table16[[#This Row],[price]]*Table16[[#This Row],[quantity]]</f>
        <v>7502</v>
      </c>
    </row>
    <row r="4494" spans="1:9" x14ac:dyDescent="0.3">
      <c r="A4494" t="s">
        <v>6509</v>
      </c>
      <c r="B4494" t="s">
        <v>883</v>
      </c>
      <c r="C4494" t="s">
        <v>2001</v>
      </c>
      <c r="D4494">
        <v>5</v>
      </c>
      <c r="E4494" s="16">
        <v>1500.4</v>
      </c>
      <c r="F4494" s="1">
        <v>44412</v>
      </c>
      <c r="G4494" t="s">
        <v>2009</v>
      </c>
      <c r="H4494">
        <v>4</v>
      </c>
      <c r="I4494" s="12">
        <f>Table16[[#This Row],[price]]*Table16[[#This Row],[quantity]]</f>
        <v>7502</v>
      </c>
    </row>
    <row r="4495" spans="1:9" x14ac:dyDescent="0.3">
      <c r="A4495" t="s">
        <v>6515</v>
      </c>
      <c r="B4495" t="s">
        <v>884</v>
      </c>
      <c r="C4495" t="s">
        <v>2001</v>
      </c>
      <c r="D4495">
        <v>2</v>
      </c>
      <c r="E4495" s="16">
        <v>600.16</v>
      </c>
      <c r="F4495" s="1">
        <v>44288</v>
      </c>
      <c r="G4495" t="s">
        <v>2004</v>
      </c>
      <c r="H4495">
        <v>2</v>
      </c>
      <c r="I4495" s="12">
        <f>Table16[[#This Row],[price]]*Table16[[#This Row],[quantity]]</f>
        <v>1200.32</v>
      </c>
    </row>
    <row r="4496" spans="1:9" x14ac:dyDescent="0.3">
      <c r="A4496" t="s">
        <v>6511</v>
      </c>
      <c r="B4496" t="s">
        <v>884</v>
      </c>
      <c r="C4496" t="s">
        <v>2015</v>
      </c>
      <c r="D4496">
        <v>1</v>
      </c>
      <c r="E4496" s="16">
        <v>600.16999999999996</v>
      </c>
      <c r="F4496" s="1">
        <v>44562</v>
      </c>
      <c r="G4496" t="s">
        <v>2027</v>
      </c>
      <c r="H4496">
        <v>2</v>
      </c>
      <c r="I4496" s="12">
        <f>Table16[[#This Row],[price]]*Table16[[#This Row],[quantity]]</f>
        <v>600.16999999999996</v>
      </c>
    </row>
    <row r="4497" spans="1:9" x14ac:dyDescent="0.3">
      <c r="A4497" t="s">
        <v>6514</v>
      </c>
      <c r="B4497" t="s">
        <v>884</v>
      </c>
      <c r="C4497" t="s">
        <v>2001</v>
      </c>
      <c r="D4497">
        <v>1</v>
      </c>
      <c r="E4497" s="16">
        <v>300.08</v>
      </c>
      <c r="F4497" s="1">
        <v>44901</v>
      </c>
      <c r="G4497" t="s">
        <v>2027</v>
      </c>
      <c r="H4497">
        <v>3</v>
      </c>
      <c r="I4497" s="12">
        <f>Table16[[#This Row],[price]]*Table16[[#This Row],[quantity]]</f>
        <v>300.08</v>
      </c>
    </row>
    <row r="4498" spans="1:9" x14ac:dyDescent="0.3">
      <c r="A4498" t="s">
        <v>6512</v>
      </c>
      <c r="B4498" t="s">
        <v>884</v>
      </c>
      <c r="C4498" t="s">
        <v>2001</v>
      </c>
      <c r="D4498">
        <v>1</v>
      </c>
      <c r="E4498" s="16">
        <v>300.08</v>
      </c>
      <c r="F4498" s="1">
        <v>44957</v>
      </c>
      <c r="G4498" t="s">
        <v>2027</v>
      </c>
      <c r="H4498">
        <v>3</v>
      </c>
      <c r="I4498" s="12">
        <f>Table16[[#This Row],[price]]*Table16[[#This Row],[quantity]]</f>
        <v>300.08</v>
      </c>
    </row>
    <row r="4499" spans="1:9" x14ac:dyDescent="0.3">
      <c r="A4499" t="s">
        <v>6513</v>
      </c>
      <c r="B4499" t="s">
        <v>884</v>
      </c>
      <c r="C4499" t="s">
        <v>2001</v>
      </c>
      <c r="D4499">
        <v>2</v>
      </c>
      <c r="E4499" s="16">
        <v>600.16</v>
      </c>
      <c r="F4499" s="1">
        <v>44968</v>
      </c>
      <c r="G4499" t="s">
        <v>2027</v>
      </c>
      <c r="H4499">
        <v>1</v>
      </c>
      <c r="I4499" s="12">
        <f>Table16[[#This Row],[price]]*Table16[[#This Row],[quantity]]</f>
        <v>1200.32</v>
      </c>
    </row>
    <row r="4500" spans="1:9" x14ac:dyDescent="0.3">
      <c r="A4500" t="s">
        <v>6519</v>
      </c>
      <c r="B4500" t="s">
        <v>885</v>
      </c>
      <c r="C4500" t="s">
        <v>2017</v>
      </c>
      <c r="D4500">
        <v>3</v>
      </c>
      <c r="E4500" s="16">
        <v>3150</v>
      </c>
      <c r="F4500" s="1">
        <v>44348</v>
      </c>
      <c r="G4500" t="s">
        <v>2012</v>
      </c>
      <c r="H4500">
        <v>4</v>
      </c>
      <c r="I4500" s="12">
        <f>Table16[[#This Row],[price]]*Table16[[#This Row],[quantity]]</f>
        <v>9450</v>
      </c>
    </row>
    <row r="4501" spans="1:9" x14ac:dyDescent="0.3">
      <c r="A4501" t="s">
        <v>6516</v>
      </c>
      <c r="B4501" t="s">
        <v>885</v>
      </c>
      <c r="C4501" t="s">
        <v>2017</v>
      </c>
      <c r="D4501">
        <v>2</v>
      </c>
      <c r="E4501" s="16">
        <v>2100</v>
      </c>
      <c r="F4501" s="1">
        <v>44358</v>
      </c>
      <c r="G4501" t="s">
        <v>2027</v>
      </c>
      <c r="H4501">
        <v>5</v>
      </c>
      <c r="I4501" s="12">
        <f>Table16[[#This Row],[price]]*Table16[[#This Row],[quantity]]</f>
        <v>4200</v>
      </c>
    </row>
    <row r="4502" spans="1:9" x14ac:dyDescent="0.3">
      <c r="A4502" t="s">
        <v>6517</v>
      </c>
      <c r="B4502" t="s">
        <v>885</v>
      </c>
      <c r="C4502" t="s">
        <v>2001</v>
      </c>
      <c r="D4502">
        <v>2</v>
      </c>
      <c r="E4502" s="16">
        <v>600.16</v>
      </c>
      <c r="F4502" s="1">
        <v>44514</v>
      </c>
      <c r="G4502" t="s">
        <v>2002</v>
      </c>
      <c r="H4502">
        <v>4</v>
      </c>
      <c r="I4502" s="12">
        <f>Table16[[#This Row],[price]]*Table16[[#This Row],[quantity]]</f>
        <v>1200.32</v>
      </c>
    </row>
    <row r="4503" spans="1:9" x14ac:dyDescent="0.3">
      <c r="A4503" t="s">
        <v>6518</v>
      </c>
      <c r="B4503" t="s">
        <v>885</v>
      </c>
      <c r="C4503" t="s">
        <v>2011</v>
      </c>
      <c r="D4503">
        <v>4</v>
      </c>
      <c r="E4503" s="16">
        <v>162.63999999999999</v>
      </c>
      <c r="F4503" s="1">
        <v>44766</v>
      </c>
      <c r="G4503" t="s">
        <v>2064</v>
      </c>
      <c r="H4503">
        <v>1</v>
      </c>
      <c r="I4503" s="12">
        <f>Table16[[#This Row],[price]]*Table16[[#This Row],[quantity]]</f>
        <v>650.55999999999995</v>
      </c>
    </row>
    <row r="4504" spans="1:9" x14ac:dyDescent="0.3">
      <c r="A4504" t="s">
        <v>6523</v>
      </c>
      <c r="B4504" t="s">
        <v>886</v>
      </c>
      <c r="C4504" t="s">
        <v>2057</v>
      </c>
      <c r="D4504">
        <v>2</v>
      </c>
      <c r="E4504" s="16">
        <v>23.46</v>
      </c>
      <c r="F4504" s="1">
        <v>44226</v>
      </c>
      <c r="G4504" t="s">
        <v>2027</v>
      </c>
      <c r="H4504">
        <v>4</v>
      </c>
      <c r="I4504" s="12">
        <f>Table16[[#This Row],[price]]*Table16[[#This Row],[quantity]]</f>
        <v>46.92</v>
      </c>
    </row>
    <row r="4505" spans="1:9" x14ac:dyDescent="0.3">
      <c r="A4505" t="s">
        <v>6522</v>
      </c>
      <c r="B4505" t="s">
        <v>886</v>
      </c>
      <c r="C4505" t="s">
        <v>2015</v>
      </c>
      <c r="D4505">
        <v>2</v>
      </c>
      <c r="E4505" s="16">
        <v>1200.3399999999999</v>
      </c>
      <c r="F4505" s="1">
        <v>44375</v>
      </c>
      <c r="G4505" t="s">
        <v>2002</v>
      </c>
      <c r="H4505">
        <v>4</v>
      </c>
      <c r="I4505" s="12">
        <f>Table16[[#This Row],[price]]*Table16[[#This Row],[quantity]]</f>
        <v>2400.6799999999998</v>
      </c>
    </row>
    <row r="4506" spans="1:9" x14ac:dyDescent="0.3">
      <c r="A4506" t="s">
        <v>6520</v>
      </c>
      <c r="B4506" t="s">
        <v>886</v>
      </c>
      <c r="C4506" t="s">
        <v>2001</v>
      </c>
      <c r="D4506">
        <v>2</v>
      </c>
      <c r="E4506" s="16">
        <v>600.16</v>
      </c>
      <c r="F4506" s="1">
        <v>44549</v>
      </c>
      <c r="G4506" t="s">
        <v>2041</v>
      </c>
      <c r="H4506">
        <v>1</v>
      </c>
      <c r="I4506" s="12">
        <f>Table16[[#This Row],[price]]*Table16[[#This Row],[quantity]]</f>
        <v>1200.32</v>
      </c>
    </row>
    <row r="4507" spans="1:9" x14ac:dyDescent="0.3">
      <c r="A4507" t="s">
        <v>6525</v>
      </c>
      <c r="B4507" t="s">
        <v>886</v>
      </c>
      <c r="C4507" t="s">
        <v>2011</v>
      </c>
      <c r="D4507">
        <v>3</v>
      </c>
      <c r="E4507" s="16">
        <v>121.98</v>
      </c>
      <c r="F4507" s="1">
        <v>44557</v>
      </c>
      <c r="G4507" t="s">
        <v>2004</v>
      </c>
      <c r="H4507">
        <v>5</v>
      </c>
      <c r="I4507" s="12">
        <f>Table16[[#This Row],[price]]*Table16[[#This Row],[quantity]]</f>
        <v>365.94</v>
      </c>
    </row>
    <row r="4508" spans="1:9" x14ac:dyDescent="0.3">
      <c r="A4508" t="s">
        <v>6521</v>
      </c>
      <c r="B4508" t="s">
        <v>886</v>
      </c>
      <c r="C4508" t="s">
        <v>2001</v>
      </c>
      <c r="D4508">
        <v>2</v>
      </c>
      <c r="E4508" s="16">
        <v>600.16</v>
      </c>
      <c r="F4508" s="1">
        <v>44568</v>
      </c>
      <c r="G4508" t="s">
        <v>2027</v>
      </c>
      <c r="H4508">
        <v>2</v>
      </c>
      <c r="I4508" s="12">
        <f>Table16[[#This Row],[price]]*Table16[[#This Row],[quantity]]</f>
        <v>1200.32</v>
      </c>
    </row>
    <row r="4509" spans="1:9" x14ac:dyDescent="0.3">
      <c r="A4509" t="s">
        <v>6524</v>
      </c>
      <c r="B4509" t="s">
        <v>886</v>
      </c>
      <c r="C4509" t="s">
        <v>2011</v>
      </c>
      <c r="D4509">
        <v>5</v>
      </c>
      <c r="E4509" s="16">
        <v>203.3</v>
      </c>
      <c r="F4509" s="1">
        <v>44715</v>
      </c>
      <c r="G4509" t="s">
        <v>2020</v>
      </c>
      <c r="H4509">
        <v>5</v>
      </c>
      <c r="I4509" s="12">
        <f>Table16[[#This Row],[price]]*Table16[[#This Row],[quantity]]</f>
        <v>1016.5</v>
      </c>
    </row>
    <row r="4510" spans="1:9" x14ac:dyDescent="0.3">
      <c r="A4510" t="s">
        <v>6526</v>
      </c>
      <c r="B4510" t="s">
        <v>887</v>
      </c>
      <c r="C4510" t="s">
        <v>2008</v>
      </c>
      <c r="D4510">
        <v>1</v>
      </c>
      <c r="E4510" s="16">
        <v>5.23</v>
      </c>
      <c r="F4510" s="1">
        <v>44478</v>
      </c>
      <c r="G4510" t="s">
        <v>2027</v>
      </c>
      <c r="H4510">
        <v>2</v>
      </c>
      <c r="I4510" s="12">
        <f>Table16[[#This Row],[price]]*Table16[[#This Row],[quantity]]</f>
        <v>5.23</v>
      </c>
    </row>
    <row r="4511" spans="1:9" x14ac:dyDescent="0.3">
      <c r="A4511" t="s">
        <v>6531</v>
      </c>
      <c r="B4511" t="s">
        <v>887</v>
      </c>
      <c r="C4511" t="s">
        <v>2008</v>
      </c>
      <c r="D4511">
        <v>4</v>
      </c>
      <c r="E4511" s="16">
        <v>20.92</v>
      </c>
      <c r="F4511" s="1">
        <v>44577</v>
      </c>
      <c r="G4511" t="s">
        <v>2020</v>
      </c>
      <c r="H4511">
        <v>4</v>
      </c>
      <c r="I4511" s="12">
        <f>Table16[[#This Row],[price]]*Table16[[#This Row],[quantity]]</f>
        <v>83.68</v>
      </c>
    </row>
    <row r="4512" spans="1:9" x14ac:dyDescent="0.3">
      <c r="A4512" t="s">
        <v>6528</v>
      </c>
      <c r="B4512" t="s">
        <v>887</v>
      </c>
      <c r="C4512" t="s">
        <v>2001</v>
      </c>
      <c r="D4512">
        <v>3</v>
      </c>
      <c r="E4512" s="16">
        <v>900.24</v>
      </c>
      <c r="F4512" s="1">
        <v>44705</v>
      </c>
      <c r="G4512" t="s">
        <v>2002</v>
      </c>
      <c r="H4512">
        <v>2</v>
      </c>
      <c r="I4512" s="12">
        <f>Table16[[#This Row],[price]]*Table16[[#This Row],[quantity]]</f>
        <v>2700.7200000000003</v>
      </c>
    </row>
    <row r="4513" spans="1:9" x14ac:dyDescent="0.3">
      <c r="A4513" t="s">
        <v>6530</v>
      </c>
      <c r="B4513" t="s">
        <v>887</v>
      </c>
      <c r="C4513" t="s">
        <v>2057</v>
      </c>
      <c r="D4513">
        <v>2</v>
      </c>
      <c r="E4513" s="16">
        <v>23.46</v>
      </c>
      <c r="F4513" s="1">
        <v>44873</v>
      </c>
      <c r="G4513" t="s">
        <v>2009</v>
      </c>
      <c r="H4513">
        <v>4</v>
      </c>
      <c r="I4513" s="12">
        <f>Table16[[#This Row],[price]]*Table16[[#This Row],[quantity]]</f>
        <v>46.92</v>
      </c>
    </row>
    <row r="4514" spans="1:9" x14ac:dyDescent="0.3">
      <c r="A4514" t="s">
        <v>6527</v>
      </c>
      <c r="B4514" t="s">
        <v>887</v>
      </c>
      <c r="C4514" t="s">
        <v>2008</v>
      </c>
      <c r="D4514">
        <v>4</v>
      </c>
      <c r="E4514" s="16">
        <v>20.92</v>
      </c>
      <c r="F4514" s="1">
        <v>44888</v>
      </c>
      <c r="G4514" t="s">
        <v>2004</v>
      </c>
      <c r="H4514">
        <v>1</v>
      </c>
      <c r="I4514" s="12">
        <f>Table16[[#This Row],[price]]*Table16[[#This Row],[quantity]]</f>
        <v>83.68</v>
      </c>
    </row>
    <row r="4515" spans="1:9" x14ac:dyDescent="0.3">
      <c r="A4515" t="s">
        <v>6529</v>
      </c>
      <c r="B4515" t="s">
        <v>887</v>
      </c>
      <c r="C4515" t="s">
        <v>2006</v>
      </c>
      <c r="D4515">
        <v>4</v>
      </c>
      <c r="E4515" s="16">
        <v>60.6</v>
      </c>
      <c r="F4515" s="1">
        <v>44964</v>
      </c>
      <c r="G4515" t="s">
        <v>2002</v>
      </c>
      <c r="H4515">
        <v>3</v>
      </c>
      <c r="I4515" s="12">
        <f>Table16[[#This Row],[price]]*Table16[[#This Row],[quantity]]</f>
        <v>242.4</v>
      </c>
    </row>
    <row r="4516" spans="1:9" x14ac:dyDescent="0.3">
      <c r="A4516" t="s">
        <v>6533</v>
      </c>
      <c r="B4516" t="s">
        <v>888</v>
      </c>
      <c r="C4516" t="s">
        <v>2008</v>
      </c>
      <c r="D4516">
        <v>2</v>
      </c>
      <c r="E4516" s="16">
        <v>10.46</v>
      </c>
      <c r="F4516" s="1">
        <v>44550</v>
      </c>
      <c r="G4516" t="s">
        <v>2020</v>
      </c>
      <c r="H4516">
        <v>1</v>
      </c>
      <c r="I4516" s="12">
        <f>Table16[[#This Row],[price]]*Table16[[#This Row],[quantity]]</f>
        <v>20.92</v>
      </c>
    </row>
    <row r="4517" spans="1:9" x14ac:dyDescent="0.3">
      <c r="A4517" t="s">
        <v>6532</v>
      </c>
      <c r="B4517" t="s">
        <v>888</v>
      </c>
      <c r="C4517" t="s">
        <v>2001</v>
      </c>
      <c r="D4517">
        <v>5</v>
      </c>
      <c r="E4517" s="16">
        <v>1500.4</v>
      </c>
      <c r="F4517" s="1">
        <v>44640</v>
      </c>
      <c r="G4517" t="s">
        <v>2041</v>
      </c>
      <c r="H4517">
        <v>5</v>
      </c>
      <c r="I4517" s="12">
        <f>Table16[[#This Row],[price]]*Table16[[#This Row],[quantity]]</f>
        <v>7502</v>
      </c>
    </row>
    <row r="4518" spans="1:9" x14ac:dyDescent="0.3">
      <c r="A4518" t="s">
        <v>6535</v>
      </c>
      <c r="B4518" t="s">
        <v>888</v>
      </c>
      <c r="C4518" t="s">
        <v>2024</v>
      </c>
      <c r="D4518">
        <v>5</v>
      </c>
      <c r="E4518" s="16">
        <v>179.2</v>
      </c>
      <c r="F4518" s="1">
        <v>44812</v>
      </c>
      <c r="G4518" t="s">
        <v>2004</v>
      </c>
      <c r="H4518">
        <v>5</v>
      </c>
      <c r="I4518" s="12">
        <f>Table16[[#This Row],[price]]*Table16[[#This Row],[quantity]]</f>
        <v>896</v>
      </c>
    </row>
    <row r="4519" spans="1:9" x14ac:dyDescent="0.3">
      <c r="A4519" t="s">
        <v>6534</v>
      </c>
      <c r="B4519" t="s">
        <v>888</v>
      </c>
      <c r="C4519" t="s">
        <v>2008</v>
      </c>
      <c r="D4519">
        <v>5</v>
      </c>
      <c r="E4519" s="16">
        <v>26.15</v>
      </c>
      <c r="F4519" s="1">
        <v>44892</v>
      </c>
      <c r="G4519" t="s">
        <v>2004</v>
      </c>
      <c r="H4519">
        <v>4</v>
      </c>
      <c r="I4519" s="12">
        <f>Table16[[#This Row],[price]]*Table16[[#This Row],[quantity]]</f>
        <v>130.75</v>
      </c>
    </row>
    <row r="4520" spans="1:9" x14ac:dyDescent="0.3">
      <c r="A4520" t="s">
        <v>6536</v>
      </c>
      <c r="B4520" t="s">
        <v>889</v>
      </c>
      <c r="C4520" t="s">
        <v>2017</v>
      </c>
      <c r="D4520">
        <v>1</v>
      </c>
      <c r="E4520" s="16">
        <v>1050</v>
      </c>
      <c r="F4520" s="1">
        <v>44224</v>
      </c>
      <c r="G4520" t="s">
        <v>2064</v>
      </c>
      <c r="H4520">
        <v>2</v>
      </c>
      <c r="I4520" s="12">
        <f>Table16[[#This Row],[price]]*Table16[[#This Row],[quantity]]</f>
        <v>1050</v>
      </c>
    </row>
    <row r="4521" spans="1:9" x14ac:dyDescent="0.3">
      <c r="A4521" t="s">
        <v>6540</v>
      </c>
      <c r="B4521" t="s">
        <v>889</v>
      </c>
      <c r="C4521" t="s">
        <v>2001</v>
      </c>
      <c r="D4521">
        <v>1</v>
      </c>
      <c r="E4521" s="16">
        <v>300.08</v>
      </c>
      <c r="F4521" s="1">
        <v>44340</v>
      </c>
      <c r="G4521" t="s">
        <v>2027</v>
      </c>
      <c r="H4521">
        <v>4</v>
      </c>
      <c r="I4521" s="12">
        <f>Table16[[#This Row],[price]]*Table16[[#This Row],[quantity]]</f>
        <v>300.08</v>
      </c>
    </row>
    <row r="4522" spans="1:9" x14ac:dyDescent="0.3">
      <c r="A4522" t="s">
        <v>6537</v>
      </c>
      <c r="B4522" t="s">
        <v>889</v>
      </c>
      <c r="C4522" t="s">
        <v>2001</v>
      </c>
      <c r="D4522">
        <v>5</v>
      </c>
      <c r="E4522" s="16">
        <v>1500.4</v>
      </c>
      <c r="F4522" s="1">
        <v>44453</v>
      </c>
      <c r="G4522" t="s">
        <v>2009</v>
      </c>
      <c r="H4522">
        <v>4</v>
      </c>
      <c r="I4522" s="12">
        <f>Table16[[#This Row],[price]]*Table16[[#This Row],[quantity]]</f>
        <v>7502</v>
      </c>
    </row>
    <row r="4523" spans="1:9" x14ac:dyDescent="0.3">
      <c r="A4523" t="s">
        <v>6541</v>
      </c>
      <c r="B4523" t="s">
        <v>889</v>
      </c>
      <c r="C4523" t="s">
        <v>2001</v>
      </c>
      <c r="D4523">
        <v>4</v>
      </c>
      <c r="E4523" s="16">
        <v>1200.32</v>
      </c>
      <c r="F4523" s="1">
        <v>44483</v>
      </c>
      <c r="G4523" t="s">
        <v>2002</v>
      </c>
      <c r="H4523">
        <v>5</v>
      </c>
      <c r="I4523" s="12">
        <f>Table16[[#This Row],[price]]*Table16[[#This Row],[quantity]]</f>
        <v>4801.28</v>
      </c>
    </row>
    <row r="4524" spans="1:9" x14ac:dyDescent="0.3">
      <c r="A4524" t="s">
        <v>6543</v>
      </c>
      <c r="B4524" t="s">
        <v>889</v>
      </c>
      <c r="C4524" t="s">
        <v>2006</v>
      </c>
      <c r="D4524">
        <v>1</v>
      </c>
      <c r="E4524" s="16">
        <v>15.15</v>
      </c>
      <c r="F4524" s="1">
        <v>44489</v>
      </c>
      <c r="G4524" t="s">
        <v>2027</v>
      </c>
      <c r="H4524">
        <v>3</v>
      </c>
      <c r="I4524" s="12">
        <f>Table16[[#This Row],[price]]*Table16[[#This Row],[quantity]]</f>
        <v>15.15</v>
      </c>
    </row>
    <row r="4525" spans="1:9" x14ac:dyDescent="0.3">
      <c r="A4525" t="s">
        <v>6542</v>
      </c>
      <c r="B4525" t="s">
        <v>889</v>
      </c>
      <c r="C4525" t="s">
        <v>2011</v>
      </c>
      <c r="D4525">
        <v>4</v>
      </c>
      <c r="E4525" s="16">
        <v>162.63999999999999</v>
      </c>
      <c r="F4525" s="1">
        <v>44643</v>
      </c>
      <c r="G4525" t="s">
        <v>2002</v>
      </c>
      <c r="H4525">
        <v>1</v>
      </c>
      <c r="I4525" s="12">
        <f>Table16[[#This Row],[price]]*Table16[[#This Row],[quantity]]</f>
        <v>650.55999999999995</v>
      </c>
    </row>
    <row r="4526" spans="1:9" x14ac:dyDescent="0.3">
      <c r="A4526" t="s">
        <v>6538</v>
      </c>
      <c r="B4526" t="s">
        <v>889</v>
      </c>
      <c r="C4526" t="s">
        <v>2006</v>
      </c>
      <c r="D4526">
        <v>3</v>
      </c>
      <c r="E4526" s="16">
        <v>45.45</v>
      </c>
      <c r="F4526" s="1">
        <v>44672</v>
      </c>
      <c r="G4526" t="s">
        <v>2004</v>
      </c>
      <c r="H4526">
        <v>2</v>
      </c>
      <c r="I4526" s="12">
        <f>Table16[[#This Row],[price]]*Table16[[#This Row],[quantity]]</f>
        <v>136.35000000000002</v>
      </c>
    </row>
    <row r="4527" spans="1:9" x14ac:dyDescent="0.3">
      <c r="A4527" t="s">
        <v>6539</v>
      </c>
      <c r="B4527" t="s">
        <v>889</v>
      </c>
      <c r="C4527" t="s">
        <v>2001</v>
      </c>
      <c r="D4527">
        <v>5</v>
      </c>
      <c r="E4527" s="16">
        <v>1500.4</v>
      </c>
      <c r="F4527" s="1">
        <v>44707</v>
      </c>
      <c r="G4527" t="s">
        <v>2027</v>
      </c>
      <c r="H4527">
        <v>5</v>
      </c>
      <c r="I4527" s="12">
        <f>Table16[[#This Row],[price]]*Table16[[#This Row],[quantity]]</f>
        <v>7502</v>
      </c>
    </row>
    <row r="4528" spans="1:9" x14ac:dyDescent="0.3">
      <c r="A4528" t="s">
        <v>6550</v>
      </c>
      <c r="B4528" t="s">
        <v>890</v>
      </c>
      <c r="C4528" t="s">
        <v>2001</v>
      </c>
      <c r="D4528">
        <v>2</v>
      </c>
      <c r="E4528" s="16">
        <v>600.16</v>
      </c>
      <c r="F4528" s="1">
        <v>44220</v>
      </c>
      <c r="G4528" t="s">
        <v>2064</v>
      </c>
      <c r="H4528">
        <v>4</v>
      </c>
      <c r="I4528" s="12">
        <f>Table16[[#This Row],[price]]*Table16[[#This Row],[quantity]]</f>
        <v>1200.32</v>
      </c>
    </row>
    <row r="4529" spans="1:9" x14ac:dyDescent="0.3">
      <c r="A4529" t="s">
        <v>6544</v>
      </c>
      <c r="B4529" t="s">
        <v>890</v>
      </c>
      <c r="C4529" t="s">
        <v>2001</v>
      </c>
      <c r="D4529">
        <v>4</v>
      </c>
      <c r="E4529" s="16">
        <v>1200.32</v>
      </c>
      <c r="F4529" s="1">
        <v>44512</v>
      </c>
      <c r="G4529" t="s">
        <v>2009</v>
      </c>
      <c r="H4529">
        <v>1</v>
      </c>
      <c r="I4529" s="12">
        <f>Table16[[#This Row],[price]]*Table16[[#This Row],[quantity]]</f>
        <v>4801.28</v>
      </c>
    </row>
    <row r="4530" spans="1:9" x14ac:dyDescent="0.3">
      <c r="A4530" t="s">
        <v>6547</v>
      </c>
      <c r="B4530" t="s">
        <v>890</v>
      </c>
      <c r="C4530" t="s">
        <v>2015</v>
      </c>
      <c r="D4530">
        <v>1</v>
      </c>
      <c r="E4530" s="16">
        <v>600.16999999999996</v>
      </c>
      <c r="F4530" s="1">
        <v>44539</v>
      </c>
      <c r="G4530" t="s">
        <v>2027</v>
      </c>
      <c r="H4530">
        <v>5</v>
      </c>
      <c r="I4530" s="12">
        <f>Table16[[#This Row],[price]]*Table16[[#This Row],[quantity]]</f>
        <v>600.16999999999996</v>
      </c>
    </row>
    <row r="4531" spans="1:9" x14ac:dyDescent="0.3">
      <c r="A4531" t="s">
        <v>6546</v>
      </c>
      <c r="B4531" t="s">
        <v>890</v>
      </c>
      <c r="C4531" t="s">
        <v>2011</v>
      </c>
      <c r="D4531">
        <v>4</v>
      </c>
      <c r="E4531" s="16">
        <v>162.63999999999999</v>
      </c>
      <c r="F4531" s="1">
        <v>44615</v>
      </c>
      <c r="G4531" t="s">
        <v>2064</v>
      </c>
      <c r="H4531">
        <v>1</v>
      </c>
      <c r="I4531" s="12">
        <f>Table16[[#This Row],[price]]*Table16[[#This Row],[quantity]]</f>
        <v>650.55999999999995</v>
      </c>
    </row>
    <row r="4532" spans="1:9" x14ac:dyDescent="0.3">
      <c r="A4532" t="s">
        <v>6549</v>
      </c>
      <c r="B4532" t="s">
        <v>890</v>
      </c>
      <c r="C4532" t="s">
        <v>2001</v>
      </c>
      <c r="D4532">
        <v>2</v>
      </c>
      <c r="E4532" s="16">
        <v>600.16</v>
      </c>
      <c r="F4532" s="1">
        <v>44629</v>
      </c>
      <c r="G4532" t="s">
        <v>2018</v>
      </c>
      <c r="H4532">
        <v>1</v>
      </c>
      <c r="I4532" s="12">
        <f>Table16[[#This Row],[price]]*Table16[[#This Row],[quantity]]</f>
        <v>1200.32</v>
      </c>
    </row>
    <row r="4533" spans="1:9" x14ac:dyDescent="0.3">
      <c r="A4533" t="s">
        <v>6545</v>
      </c>
      <c r="B4533" t="s">
        <v>890</v>
      </c>
      <c r="C4533" t="s">
        <v>2057</v>
      </c>
      <c r="D4533">
        <v>2</v>
      </c>
      <c r="E4533" s="16">
        <v>23.46</v>
      </c>
      <c r="F4533" s="1">
        <v>44689</v>
      </c>
      <c r="G4533" t="s">
        <v>2004</v>
      </c>
      <c r="H4533">
        <v>3</v>
      </c>
      <c r="I4533" s="12">
        <f>Table16[[#This Row],[price]]*Table16[[#This Row],[quantity]]</f>
        <v>46.92</v>
      </c>
    </row>
    <row r="4534" spans="1:9" x14ac:dyDescent="0.3">
      <c r="A4534" t="s">
        <v>6548</v>
      </c>
      <c r="B4534" t="s">
        <v>890</v>
      </c>
      <c r="C4534" t="s">
        <v>2015</v>
      </c>
      <c r="D4534">
        <v>5</v>
      </c>
      <c r="E4534" s="16">
        <v>3000.85</v>
      </c>
      <c r="F4534" s="1">
        <v>44799</v>
      </c>
      <c r="G4534" t="s">
        <v>2064</v>
      </c>
      <c r="H4534">
        <v>5</v>
      </c>
      <c r="I4534" s="12">
        <f>Table16[[#This Row],[price]]*Table16[[#This Row],[quantity]]</f>
        <v>15004.25</v>
      </c>
    </row>
    <row r="4535" spans="1:9" x14ac:dyDescent="0.3">
      <c r="A4535" t="s">
        <v>6551</v>
      </c>
      <c r="B4535" t="s">
        <v>891</v>
      </c>
      <c r="C4535" t="s">
        <v>2024</v>
      </c>
      <c r="D4535">
        <v>2</v>
      </c>
      <c r="E4535" s="16">
        <v>71.680000000000007</v>
      </c>
      <c r="F4535" s="1">
        <v>44991</v>
      </c>
      <c r="G4535" t="s">
        <v>2020</v>
      </c>
      <c r="H4535">
        <v>5</v>
      </c>
      <c r="I4535" s="12">
        <f>Table16[[#This Row],[price]]*Table16[[#This Row],[quantity]]</f>
        <v>143.36000000000001</v>
      </c>
    </row>
    <row r="4536" spans="1:9" x14ac:dyDescent="0.3">
      <c r="A4536" t="s">
        <v>6554</v>
      </c>
      <c r="B4536" t="s">
        <v>892</v>
      </c>
      <c r="C4536" t="s">
        <v>2001</v>
      </c>
      <c r="D4536">
        <v>4</v>
      </c>
      <c r="E4536" s="16">
        <v>1200.32</v>
      </c>
      <c r="F4536" s="1">
        <v>44384</v>
      </c>
      <c r="G4536" t="s">
        <v>2064</v>
      </c>
      <c r="H4536">
        <v>1</v>
      </c>
      <c r="I4536" s="12">
        <f>Table16[[#This Row],[price]]*Table16[[#This Row],[quantity]]</f>
        <v>4801.28</v>
      </c>
    </row>
    <row r="4537" spans="1:9" x14ac:dyDescent="0.3">
      <c r="A4537" t="s">
        <v>6555</v>
      </c>
      <c r="B4537" t="s">
        <v>892</v>
      </c>
      <c r="C4537" t="s">
        <v>2006</v>
      </c>
      <c r="D4537">
        <v>5</v>
      </c>
      <c r="E4537" s="16">
        <v>75.75</v>
      </c>
      <c r="F4537" s="1">
        <v>44438</v>
      </c>
      <c r="G4537" t="s">
        <v>2020</v>
      </c>
      <c r="H4537">
        <v>4</v>
      </c>
      <c r="I4537" s="12">
        <f>Table16[[#This Row],[price]]*Table16[[#This Row],[quantity]]</f>
        <v>378.75</v>
      </c>
    </row>
    <row r="4538" spans="1:9" x14ac:dyDescent="0.3">
      <c r="A4538" t="s">
        <v>6552</v>
      </c>
      <c r="B4538" t="s">
        <v>892</v>
      </c>
      <c r="C4538" t="s">
        <v>2001</v>
      </c>
      <c r="D4538">
        <v>5</v>
      </c>
      <c r="E4538" s="16">
        <v>1500.4</v>
      </c>
      <c r="F4538" s="1">
        <v>44778</v>
      </c>
      <c r="G4538" t="s">
        <v>2004</v>
      </c>
      <c r="H4538">
        <v>1</v>
      </c>
      <c r="I4538" s="12">
        <f>Table16[[#This Row],[price]]*Table16[[#This Row],[quantity]]</f>
        <v>7502</v>
      </c>
    </row>
    <row r="4539" spans="1:9" x14ac:dyDescent="0.3">
      <c r="A4539" t="s">
        <v>6553</v>
      </c>
      <c r="B4539" t="s">
        <v>892</v>
      </c>
      <c r="C4539" t="s">
        <v>2008</v>
      </c>
      <c r="D4539">
        <v>5</v>
      </c>
      <c r="E4539" s="16">
        <v>26.15</v>
      </c>
      <c r="F4539" s="1">
        <v>44797</v>
      </c>
      <c r="G4539" t="s">
        <v>2004</v>
      </c>
      <c r="H4539">
        <v>1</v>
      </c>
      <c r="I4539" s="12">
        <f>Table16[[#This Row],[price]]*Table16[[#This Row],[quantity]]</f>
        <v>130.75</v>
      </c>
    </row>
    <row r="4540" spans="1:9" x14ac:dyDescent="0.3">
      <c r="A4540" t="s">
        <v>6556</v>
      </c>
      <c r="B4540" t="s">
        <v>893</v>
      </c>
      <c r="C4540" t="s">
        <v>2001</v>
      </c>
      <c r="D4540">
        <v>1</v>
      </c>
      <c r="E4540" s="16">
        <v>300.08</v>
      </c>
      <c r="F4540" s="1">
        <v>44299</v>
      </c>
      <c r="G4540" t="s">
        <v>2012</v>
      </c>
      <c r="H4540">
        <v>2</v>
      </c>
      <c r="I4540" s="12">
        <f>Table16[[#This Row],[price]]*Table16[[#This Row],[quantity]]</f>
        <v>300.08</v>
      </c>
    </row>
    <row r="4541" spans="1:9" x14ac:dyDescent="0.3">
      <c r="A4541" t="s">
        <v>6557</v>
      </c>
      <c r="B4541" t="s">
        <v>893</v>
      </c>
      <c r="C4541" t="s">
        <v>2001</v>
      </c>
      <c r="D4541">
        <v>1</v>
      </c>
      <c r="E4541" s="16">
        <v>300.08</v>
      </c>
      <c r="F4541" s="1">
        <v>44536</v>
      </c>
      <c r="G4541" t="s">
        <v>2002</v>
      </c>
      <c r="H4541">
        <v>5</v>
      </c>
      <c r="I4541" s="12">
        <f>Table16[[#This Row],[price]]*Table16[[#This Row],[quantity]]</f>
        <v>300.08</v>
      </c>
    </row>
    <row r="4542" spans="1:9" x14ac:dyDescent="0.3">
      <c r="A4542" t="s">
        <v>6558</v>
      </c>
      <c r="B4542" t="s">
        <v>893</v>
      </c>
      <c r="C4542" t="s">
        <v>2001</v>
      </c>
      <c r="D4542">
        <v>2</v>
      </c>
      <c r="E4542" s="16">
        <v>600.16</v>
      </c>
      <c r="F4542" s="1">
        <v>44780</v>
      </c>
      <c r="G4542" t="s">
        <v>2020</v>
      </c>
      <c r="H4542">
        <v>1</v>
      </c>
      <c r="I4542" s="12">
        <f>Table16[[#This Row],[price]]*Table16[[#This Row],[quantity]]</f>
        <v>1200.32</v>
      </c>
    </row>
    <row r="4543" spans="1:9" x14ac:dyDescent="0.3">
      <c r="A4543" t="s">
        <v>6561</v>
      </c>
      <c r="B4543" t="s">
        <v>894</v>
      </c>
      <c r="C4543" t="s">
        <v>2008</v>
      </c>
      <c r="D4543">
        <v>2</v>
      </c>
      <c r="E4543" s="16">
        <v>10.46</v>
      </c>
      <c r="F4543" s="1">
        <v>44409</v>
      </c>
      <c r="G4543" t="s">
        <v>2058</v>
      </c>
      <c r="H4543">
        <v>3</v>
      </c>
      <c r="I4543" s="12">
        <f>Table16[[#This Row],[price]]*Table16[[#This Row],[quantity]]</f>
        <v>20.92</v>
      </c>
    </row>
    <row r="4544" spans="1:9" x14ac:dyDescent="0.3">
      <c r="A4544" t="s">
        <v>6562</v>
      </c>
      <c r="B4544" t="s">
        <v>894</v>
      </c>
      <c r="C4544" t="s">
        <v>2001</v>
      </c>
      <c r="D4544">
        <v>3</v>
      </c>
      <c r="E4544" s="16">
        <v>900.24</v>
      </c>
      <c r="F4544" s="1">
        <v>44509</v>
      </c>
      <c r="G4544" t="s">
        <v>2002</v>
      </c>
      <c r="H4544">
        <v>4</v>
      </c>
      <c r="I4544" s="12">
        <f>Table16[[#This Row],[price]]*Table16[[#This Row],[quantity]]</f>
        <v>2700.7200000000003</v>
      </c>
    </row>
    <row r="4545" spans="1:9" x14ac:dyDescent="0.3">
      <c r="A4545" t="s">
        <v>6560</v>
      </c>
      <c r="B4545" t="s">
        <v>894</v>
      </c>
      <c r="C4545" t="s">
        <v>2001</v>
      </c>
      <c r="D4545">
        <v>5</v>
      </c>
      <c r="E4545" s="16">
        <v>1500.4</v>
      </c>
      <c r="F4545" s="1">
        <v>44593</v>
      </c>
      <c r="G4545" t="s">
        <v>2002</v>
      </c>
      <c r="H4545">
        <v>3</v>
      </c>
      <c r="I4545" s="12">
        <f>Table16[[#This Row],[price]]*Table16[[#This Row],[quantity]]</f>
        <v>7502</v>
      </c>
    </row>
    <row r="4546" spans="1:9" x14ac:dyDescent="0.3">
      <c r="A4546" t="s">
        <v>6559</v>
      </c>
      <c r="B4546" t="s">
        <v>894</v>
      </c>
      <c r="C4546" t="s">
        <v>2001</v>
      </c>
      <c r="D4546">
        <v>5</v>
      </c>
      <c r="E4546" s="16">
        <v>1500.4</v>
      </c>
      <c r="F4546" s="1">
        <v>44953</v>
      </c>
      <c r="G4546" t="s">
        <v>2004</v>
      </c>
      <c r="H4546">
        <v>3</v>
      </c>
      <c r="I4546" s="12">
        <f>Table16[[#This Row],[price]]*Table16[[#This Row],[quantity]]</f>
        <v>7502</v>
      </c>
    </row>
    <row r="4547" spans="1:9" x14ac:dyDescent="0.3">
      <c r="A4547" t="s">
        <v>6563</v>
      </c>
      <c r="B4547" t="s">
        <v>895</v>
      </c>
      <c r="C4547" t="s">
        <v>2024</v>
      </c>
      <c r="D4547">
        <v>3</v>
      </c>
      <c r="E4547" s="16">
        <v>107.52</v>
      </c>
      <c r="F4547" s="1">
        <v>44642</v>
      </c>
      <c r="G4547" t="s">
        <v>2027</v>
      </c>
      <c r="H4547">
        <v>4</v>
      </c>
      <c r="I4547" s="12">
        <f>Table16[[#This Row],[price]]*Table16[[#This Row],[quantity]]</f>
        <v>322.56</v>
      </c>
    </row>
    <row r="4548" spans="1:9" x14ac:dyDescent="0.3">
      <c r="A4548" t="s">
        <v>6566</v>
      </c>
      <c r="B4548" t="s">
        <v>895</v>
      </c>
      <c r="C4548" t="s">
        <v>2008</v>
      </c>
      <c r="D4548">
        <v>3</v>
      </c>
      <c r="E4548" s="16">
        <v>15.69</v>
      </c>
      <c r="F4548" s="1">
        <v>44743</v>
      </c>
      <c r="G4548" t="s">
        <v>2002</v>
      </c>
      <c r="H4548">
        <v>3</v>
      </c>
      <c r="I4548" s="12">
        <f>Table16[[#This Row],[price]]*Table16[[#This Row],[quantity]]</f>
        <v>47.07</v>
      </c>
    </row>
    <row r="4549" spans="1:9" x14ac:dyDescent="0.3">
      <c r="A4549" t="s">
        <v>6565</v>
      </c>
      <c r="B4549" t="s">
        <v>895</v>
      </c>
      <c r="C4549" t="s">
        <v>2006</v>
      </c>
      <c r="D4549">
        <v>3</v>
      </c>
      <c r="E4549" s="16">
        <v>45.45</v>
      </c>
      <c r="F4549" s="1">
        <v>44829</v>
      </c>
      <c r="G4549" t="s">
        <v>2004</v>
      </c>
      <c r="H4549">
        <v>4</v>
      </c>
      <c r="I4549" s="12">
        <f>Table16[[#This Row],[price]]*Table16[[#This Row],[quantity]]</f>
        <v>136.35000000000002</v>
      </c>
    </row>
    <row r="4550" spans="1:9" x14ac:dyDescent="0.3">
      <c r="A4550" t="s">
        <v>6564</v>
      </c>
      <c r="B4550" t="s">
        <v>895</v>
      </c>
      <c r="C4550" t="s">
        <v>2008</v>
      </c>
      <c r="D4550">
        <v>1</v>
      </c>
      <c r="E4550" s="16">
        <v>5.23</v>
      </c>
      <c r="F4550" s="1">
        <v>44976</v>
      </c>
      <c r="G4550" t="s">
        <v>2027</v>
      </c>
      <c r="H4550">
        <v>3</v>
      </c>
      <c r="I4550" s="12">
        <f>Table16[[#This Row],[price]]*Table16[[#This Row],[quantity]]</f>
        <v>5.23</v>
      </c>
    </row>
    <row r="4551" spans="1:9" x14ac:dyDescent="0.3">
      <c r="A4551" t="s">
        <v>6571</v>
      </c>
      <c r="B4551" t="s">
        <v>896</v>
      </c>
      <c r="C4551" t="s">
        <v>2057</v>
      </c>
      <c r="D4551">
        <v>1</v>
      </c>
      <c r="E4551" s="16">
        <v>11.73</v>
      </c>
      <c r="F4551" s="1">
        <v>44360</v>
      </c>
      <c r="G4551" t="s">
        <v>2020</v>
      </c>
      <c r="H4551">
        <v>5</v>
      </c>
      <c r="I4551" s="12">
        <f>Table16[[#This Row],[price]]*Table16[[#This Row],[quantity]]</f>
        <v>11.73</v>
      </c>
    </row>
    <row r="4552" spans="1:9" x14ac:dyDescent="0.3">
      <c r="A4552" t="s">
        <v>6574</v>
      </c>
      <c r="B4552" t="s">
        <v>896</v>
      </c>
      <c r="C4552" t="s">
        <v>2017</v>
      </c>
      <c r="D4552">
        <v>1</v>
      </c>
      <c r="E4552" s="16">
        <v>1050</v>
      </c>
      <c r="F4552" s="1">
        <v>44605</v>
      </c>
      <c r="G4552" t="s">
        <v>2064</v>
      </c>
      <c r="H4552">
        <v>5</v>
      </c>
      <c r="I4552" s="12">
        <f>Table16[[#This Row],[price]]*Table16[[#This Row],[quantity]]</f>
        <v>1050</v>
      </c>
    </row>
    <row r="4553" spans="1:9" x14ac:dyDescent="0.3">
      <c r="A4553" t="s">
        <v>6573</v>
      </c>
      <c r="B4553" t="s">
        <v>896</v>
      </c>
      <c r="C4553" t="s">
        <v>2001</v>
      </c>
      <c r="D4553">
        <v>3</v>
      </c>
      <c r="E4553" s="16">
        <v>900.24</v>
      </c>
      <c r="F4553" s="1">
        <v>44628</v>
      </c>
      <c r="G4553" t="s">
        <v>2020</v>
      </c>
      <c r="H4553">
        <v>1</v>
      </c>
      <c r="I4553" s="12">
        <f>Table16[[#This Row],[price]]*Table16[[#This Row],[quantity]]</f>
        <v>2700.7200000000003</v>
      </c>
    </row>
    <row r="4554" spans="1:9" x14ac:dyDescent="0.3">
      <c r="A4554" t="s">
        <v>6568</v>
      </c>
      <c r="B4554" t="s">
        <v>896</v>
      </c>
      <c r="C4554" t="s">
        <v>2001</v>
      </c>
      <c r="D4554">
        <v>3</v>
      </c>
      <c r="E4554" s="16">
        <v>900.24</v>
      </c>
      <c r="F4554" s="1">
        <v>44637</v>
      </c>
      <c r="G4554" t="s">
        <v>2012</v>
      </c>
      <c r="H4554">
        <v>1</v>
      </c>
      <c r="I4554" s="12">
        <f>Table16[[#This Row],[price]]*Table16[[#This Row],[quantity]]</f>
        <v>2700.7200000000003</v>
      </c>
    </row>
    <row r="4555" spans="1:9" x14ac:dyDescent="0.3">
      <c r="A4555" t="s">
        <v>6569</v>
      </c>
      <c r="B4555" t="s">
        <v>896</v>
      </c>
      <c r="C4555" t="s">
        <v>2015</v>
      </c>
      <c r="D4555">
        <v>3</v>
      </c>
      <c r="E4555" s="16">
        <v>1800.51</v>
      </c>
      <c r="F4555" s="1">
        <v>44773</v>
      </c>
      <c r="G4555" t="s">
        <v>2041</v>
      </c>
      <c r="H4555">
        <v>4</v>
      </c>
      <c r="I4555" s="12">
        <f>Table16[[#This Row],[price]]*Table16[[#This Row],[quantity]]</f>
        <v>5401.53</v>
      </c>
    </row>
    <row r="4556" spans="1:9" x14ac:dyDescent="0.3">
      <c r="A4556" t="s">
        <v>6567</v>
      </c>
      <c r="B4556" t="s">
        <v>896</v>
      </c>
      <c r="C4556" t="s">
        <v>2001</v>
      </c>
      <c r="D4556">
        <v>1</v>
      </c>
      <c r="E4556" s="16">
        <v>300.08</v>
      </c>
      <c r="F4556" s="1">
        <v>44778</v>
      </c>
      <c r="G4556" t="s">
        <v>2002</v>
      </c>
      <c r="H4556">
        <v>2</v>
      </c>
      <c r="I4556" s="12">
        <f>Table16[[#This Row],[price]]*Table16[[#This Row],[quantity]]</f>
        <v>300.08</v>
      </c>
    </row>
    <row r="4557" spans="1:9" x14ac:dyDescent="0.3">
      <c r="A4557" t="s">
        <v>6572</v>
      </c>
      <c r="B4557" t="s">
        <v>896</v>
      </c>
      <c r="C4557" t="s">
        <v>2001</v>
      </c>
      <c r="D4557">
        <v>4</v>
      </c>
      <c r="E4557" s="16">
        <v>1200.32</v>
      </c>
      <c r="F4557" s="1">
        <v>44849</v>
      </c>
      <c r="G4557" t="s">
        <v>2020</v>
      </c>
      <c r="H4557">
        <v>1</v>
      </c>
      <c r="I4557" s="12">
        <f>Table16[[#This Row],[price]]*Table16[[#This Row],[quantity]]</f>
        <v>4801.28</v>
      </c>
    </row>
    <row r="4558" spans="1:9" x14ac:dyDescent="0.3">
      <c r="A4558" t="s">
        <v>6570</v>
      </c>
      <c r="B4558" t="s">
        <v>896</v>
      </c>
      <c r="C4558" t="s">
        <v>2001</v>
      </c>
      <c r="D4558">
        <v>4</v>
      </c>
      <c r="E4558" s="16">
        <v>1200.32</v>
      </c>
      <c r="F4558" s="1">
        <v>44872</v>
      </c>
      <c r="G4558" t="s">
        <v>2012</v>
      </c>
      <c r="H4558">
        <v>2</v>
      </c>
      <c r="I4558" s="12">
        <f>Table16[[#This Row],[price]]*Table16[[#This Row],[quantity]]</f>
        <v>4801.28</v>
      </c>
    </row>
    <row r="4559" spans="1:9" x14ac:dyDescent="0.3">
      <c r="A4559" t="s">
        <v>6575</v>
      </c>
      <c r="B4559" t="s">
        <v>897</v>
      </c>
      <c r="C4559" t="s">
        <v>2024</v>
      </c>
      <c r="D4559">
        <v>4</v>
      </c>
      <c r="E4559" s="16">
        <v>143.36000000000001</v>
      </c>
      <c r="F4559" s="1">
        <v>44635</v>
      </c>
      <c r="G4559" t="s">
        <v>2012</v>
      </c>
      <c r="H4559">
        <v>5</v>
      </c>
      <c r="I4559" s="12">
        <f>Table16[[#This Row],[price]]*Table16[[#This Row],[quantity]]</f>
        <v>573.44000000000005</v>
      </c>
    </row>
    <row r="4560" spans="1:9" x14ac:dyDescent="0.3">
      <c r="A4560" t="s">
        <v>6576</v>
      </c>
      <c r="B4560" t="s">
        <v>897</v>
      </c>
      <c r="C4560" t="s">
        <v>2015</v>
      </c>
      <c r="D4560">
        <v>3</v>
      </c>
      <c r="E4560" s="16">
        <v>1800.51</v>
      </c>
      <c r="F4560" s="1">
        <v>44663</v>
      </c>
      <c r="G4560" t="s">
        <v>2020</v>
      </c>
      <c r="H4560">
        <v>1</v>
      </c>
      <c r="I4560" s="12">
        <f>Table16[[#This Row],[price]]*Table16[[#This Row],[quantity]]</f>
        <v>5401.53</v>
      </c>
    </row>
    <row r="4561" spans="1:9" x14ac:dyDescent="0.3">
      <c r="A4561" t="s">
        <v>6577</v>
      </c>
      <c r="B4561" t="s">
        <v>897</v>
      </c>
      <c r="C4561" t="s">
        <v>2001</v>
      </c>
      <c r="D4561">
        <v>4</v>
      </c>
      <c r="E4561" s="16">
        <v>1200.32</v>
      </c>
      <c r="F4561" s="1">
        <v>44904</v>
      </c>
      <c r="G4561" t="s">
        <v>2002</v>
      </c>
      <c r="H4561">
        <v>2</v>
      </c>
      <c r="I4561" s="12">
        <f>Table16[[#This Row],[price]]*Table16[[#This Row],[quantity]]</f>
        <v>4801.28</v>
      </c>
    </row>
    <row r="4562" spans="1:9" x14ac:dyDescent="0.3">
      <c r="A4562" t="s">
        <v>6580</v>
      </c>
      <c r="B4562" t="s">
        <v>898</v>
      </c>
      <c r="C4562" t="s">
        <v>2001</v>
      </c>
      <c r="D4562">
        <v>5</v>
      </c>
      <c r="E4562" s="16">
        <v>1500.4</v>
      </c>
      <c r="F4562" s="1">
        <v>44208</v>
      </c>
      <c r="G4562" t="s">
        <v>2064</v>
      </c>
      <c r="H4562">
        <v>5</v>
      </c>
      <c r="I4562" s="12">
        <f>Table16[[#This Row],[price]]*Table16[[#This Row],[quantity]]</f>
        <v>7502</v>
      </c>
    </row>
    <row r="4563" spans="1:9" x14ac:dyDescent="0.3">
      <c r="A4563" t="s">
        <v>6582</v>
      </c>
      <c r="B4563" t="s">
        <v>898</v>
      </c>
      <c r="C4563" t="s">
        <v>2001</v>
      </c>
      <c r="D4563">
        <v>4</v>
      </c>
      <c r="E4563" s="16">
        <v>1200.32</v>
      </c>
      <c r="F4563" s="1">
        <v>44228</v>
      </c>
      <c r="G4563" t="s">
        <v>2027</v>
      </c>
      <c r="H4563">
        <v>4</v>
      </c>
      <c r="I4563" s="12">
        <f>Table16[[#This Row],[price]]*Table16[[#This Row],[quantity]]</f>
        <v>4801.28</v>
      </c>
    </row>
    <row r="4564" spans="1:9" x14ac:dyDescent="0.3">
      <c r="A4564" t="s">
        <v>6583</v>
      </c>
      <c r="B4564" t="s">
        <v>898</v>
      </c>
      <c r="C4564" t="s">
        <v>2008</v>
      </c>
      <c r="D4564">
        <v>4</v>
      </c>
      <c r="E4564" s="16">
        <v>20.92</v>
      </c>
      <c r="F4564" s="1">
        <v>44523</v>
      </c>
      <c r="G4564" t="s">
        <v>2064</v>
      </c>
      <c r="H4564">
        <v>1</v>
      </c>
      <c r="I4564" s="12">
        <f>Table16[[#This Row],[price]]*Table16[[#This Row],[quantity]]</f>
        <v>83.68</v>
      </c>
    </row>
    <row r="4565" spans="1:9" x14ac:dyDescent="0.3">
      <c r="A4565" t="s">
        <v>6578</v>
      </c>
      <c r="B4565" t="s">
        <v>898</v>
      </c>
      <c r="C4565" t="s">
        <v>2001</v>
      </c>
      <c r="D4565">
        <v>1</v>
      </c>
      <c r="E4565" s="16">
        <v>300.08</v>
      </c>
      <c r="F4565" s="1">
        <v>44763</v>
      </c>
      <c r="G4565" t="s">
        <v>2004</v>
      </c>
      <c r="H4565">
        <v>2</v>
      </c>
      <c r="I4565" s="12">
        <f>Table16[[#This Row],[price]]*Table16[[#This Row],[quantity]]</f>
        <v>300.08</v>
      </c>
    </row>
    <row r="4566" spans="1:9" x14ac:dyDescent="0.3">
      <c r="A4566" t="s">
        <v>6581</v>
      </c>
      <c r="B4566" t="s">
        <v>898</v>
      </c>
      <c r="C4566" t="s">
        <v>2017</v>
      </c>
      <c r="D4566">
        <v>3</v>
      </c>
      <c r="E4566" s="16">
        <v>3150</v>
      </c>
      <c r="F4566" s="1">
        <v>44923</v>
      </c>
      <c r="G4566" t="s">
        <v>2002</v>
      </c>
      <c r="H4566">
        <v>4</v>
      </c>
      <c r="I4566" s="12">
        <f>Table16[[#This Row],[price]]*Table16[[#This Row],[quantity]]</f>
        <v>9450</v>
      </c>
    </row>
    <row r="4567" spans="1:9" x14ac:dyDescent="0.3">
      <c r="A4567" t="s">
        <v>6579</v>
      </c>
      <c r="B4567" t="s">
        <v>898</v>
      </c>
      <c r="C4567" t="s">
        <v>2001</v>
      </c>
      <c r="D4567">
        <v>1</v>
      </c>
      <c r="E4567" s="16">
        <v>300.08</v>
      </c>
      <c r="F4567" s="1">
        <v>44972</v>
      </c>
      <c r="G4567" t="s">
        <v>2012</v>
      </c>
      <c r="H4567">
        <v>1</v>
      </c>
      <c r="I4567" s="12">
        <f>Table16[[#This Row],[price]]*Table16[[#This Row],[quantity]]</f>
        <v>300.08</v>
      </c>
    </row>
    <row r="4568" spans="1:9" x14ac:dyDescent="0.3">
      <c r="A4568" t="s">
        <v>6584</v>
      </c>
      <c r="B4568" t="s">
        <v>899</v>
      </c>
      <c r="C4568" t="s">
        <v>2057</v>
      </c>
      <c r="D4568">
        <v>2</v>
      </c>
      <c r="E4568" s="16">
        <v>23.46</v>
      </c>
      <c r="F4568" s="1">
        <v>44433</v>
      </c>
      <c r="G4568" t="s">
        <v>2002</v>
      </c>
      <c r="H4568">
        <v>2</v>
      </c>
      <c r="I4568" s="12">
        <f>Table16[[#This Row],[price]]*Table16[[#This Row],[quantity]]</f>
        <v>46.92</v>
      </c>
    </row>
    <row r="4569" spans="1:9" x14ac:dyDescent="0.3">
      <c r="A4569" t="s">
        <v>6586</v>
      </c>
      <c r="B4569" t="s">
        <v>899</v>
      </c>
      <c r="C4569" t="s">
        <v>2001</v>
      </c>
      <c r="D4569">
        <v>2</v>
      </c>
      <c r="E4569" s="16">
        <v>600.16</v>
      </c>
      <c r="F4569" s="1">
        <v>44677</v>
      </c>
      <c r="G4569" t="s">
        <v>2027</v>
      </c>
      <c r="H4569">
        <v>2</v>
      </c>
      <c r="I4569" s="12">
        <f>Table16[[#This Row],[price]]*Table16[[#This Row],[quantity]]</f>
        <v>1200.32</v>
      </c>
    </row>
    <row r="4570" spans="1:9" x14ac:dyDescent="0.3">
      <c r="A4570" t="s">
        <v>6588</v>
      </c>
      <c r="B4570" t="s">
        <v>899</v>
      </c>
      <c r="C4570" t="s">
        <v>2015</v>
      </c>
      <c r="D4570">
        <v>5</v>
      </c>
      <c r="E4570" s="16">
        <v>3000.85</v>
      </c>
      <c r="F4570" s="1">
        <v>44730</v>
      </c>
      <c r="G4570" t="s">
        <v>2004</v>
      </c>
      <c r="H4570">
        <v>4</v>
      </c>
      <c r="I4570" s="12">
        <f>Table16[[#This Row],[price]]*Table16[[#This Row],[quantity]]</f>
        <v>15004.25</v>
      </c>
    </row>
    <row r="4571" spans="1:9" x14ac:dyDescent="0.3">
      <c r="A4571" t="s">
        <v>6585</v>
      </c>
      <c r="B4571" t="s">
        <v>899</v>
      </c>
      <c r="C4571" t="s">
        <v>2006</v>
      </c>
      <c r="D4571">
        <v>2</v>
      </c>
      <c r="E4571" s="16">
        <v>30.3</v>
      </c>
      <c r="F4571" s="1">
        <v>44739</v>
      </c>
      <c r="G4571" t="s">
        <v>2058</v>
      </c>
      <c r="H4571">
        <v>5</v>
      </c>
      <c r="I4571" s="12">
        <f>Table16[[#This Row],[price]]*Table16[[#This Row],[quantity]]</f>
        <v>60.6</v>
      </c>
    </row>
    <row r="4572" spans="1:9" x14ac:dyDescent="0.3">
      <c r="A4572" t="s">
        <v>6589</v>
      </c>
      <c r="B4572" t="s">
        <v>899</v>
      </c>
      <c r="C4572" t="s">
        <v>2001</v>
      </c>
      <c r="D4572">
        <v>5</v>
      </c>
      <c r="E4572" s="16">
        <v>1500.4</v>
      </c>
      <c r="F4572" s="1">
        <v>44783</v>
      </c>
      <c r="G4572" t="s">
        <v>2058</v>
      </c>
      <c r="H4572">
        <v>4</v>
      </c>
      <c r="I4572" s="12">
        <f>Table16[[#This Row],[price]]*Table16[[#This Row],[quantity]]</f>
        <v>7502</v>
      </c>
    </row>
    <row r="4573" spans="1:9" x14ac:dyDescent="0.3">
      <c r="A4573" t="s">
        <v>6587</v>
      </c>
      <c r="B4573" t="s">
        <v>899</v>
      </c>
      <c r="C4573" t="s">
        <v>2001</v>
      </c>
      <c r="D4573">
        <v>4</v>
      </c>
      <c r="E4573" s="16">
        <v>1200.32</v>
      </c>
      <c r="F4573" s="1">
        <v>44862</v>
      </c>
      <c r="G4573" t="s">
        <v>2004</v>
      </c>
      <c r="H4573">
        <v>4</v>
      </c>
      <c r="I4573" s="12">
        <f>Table16[[#This Row],[price]]*Table16[[#This Row],[quantity]]</f>
        <v>4801.28</v>
      </c>
    </row>
    <row r="4574" spans="1:9" x14ac:dyDescent="0.3">
      <c r="A4574" t="s">
        <v>6590</v>
      </c>
      <c r="B4574" t="s">
        <v>900</v>
      </c>
      <c r="C4574" t="s">
        <v>2008</v>
      </c>
      <c r="D4574">
        <v>3</v>
      </c>
      <c r="E4574" s="16">
        <v>15.69</v>
      </c>
      <c r="F4574" s="1">
        <v>44375</v>
      </c>
      <c r="G4574" t="s">
        <v>2009</v>
      </c>
      <c r="H4574">
        <v>1</v>
      </c>
      <c r="I4574" s="12">
        <f>Table16[[#This Row],[price]]*Table16[[#This Row],[quantity]]</f>
        <v>47.07</v>
      </c>
    </row>
    <row r="4575" spans="1:9" x14ac:dyDescent="0.3">
      <c r="A4575" t="s">
        <v>6592</v>
      </c>
      <c r="B4575" t="s">
        <v>900</v>
      </c>
      <c r="C4575" t="s">
        <v>2001</v>
      </c>
      <c r="D4575">
        <v>1</v>
      </c>
      <c r="E4575" s="16">
        <v>300.08</v>
      </c>
      <c r="F4575" s="1">
        <v>44960</v>
      </c>
      <c r="G4575" t="s">
        <v>2004</v>
      </c>
      <c r="H4575">
        <v>1</v>
      </c>
      <c r="I4575" s="12">
        <f>Table16[[#This Row],[price]]*Table16[[#This Row],[quantity]]</f>
        <v>300.08</v>
      </c>
    </row>
    <row r="4576" spans="1:9" x14ac:dyDescent="0.3">
      <c r="A4576" t="s">
        <v>6591</v>
      </c>
      <c r="B4576" t="s">
        <v>900</v>
      </c>
      <c r="C4576" t="s">
        <v>2011</v>
      </c>
      <c r="D4576">
        <v>1</v>
      </c>
      <c r="E4576" s="16">
        <v>40.659999999999997</v>
      </c>
      <c r="F4576" s="1">
        <v>44981</v>
      </c>
      <c r="G4576" t="s">
        <v>2041</v>
      </c>
      <c r="H4576">
        <v>2</v>
      </c>
      <c r="I4576" s="12">
        <f>Table16[[#This Row],[price]]*Table16[[#This Row],[quantity]]</f>
        <v>40.659999999999997</v>
      </c>
    </row>
    <row r="4577" spans="1:9" x14ac:dyDescent="0.3">
      <c r="A4577" t="s">
        <v>6595</v>
      </c>
      <c r="B4577" t="s">
        <v>901</v>
      </c>
      <c r="C4577" t="s">
        <v>2057</v>
      </c>
      <c r="D4577">
        <v>4</v>
      </c>
      <c r="E4577" s="16">
        <v>46.92</v>
      </c>
      <c r="F4577" s="1">
        <v>44202</v>
      </c>
      <c r="G4577" t="s">
        <v>2027</v>
      </c>
      <c r="H4577">
        <v>2</v>
      </c>
      <c r="I4577" s="12">
        <f>Table16[[#This Row],[price]]*Table16[[#This Row],[quantity]]</f>
        <v>187.68</v>
      </c>
    </row>
    <row r="4578" spans="1:9" x14ac:dyDescent="0.3">
      <c r="A4578" t="s">
        <v>6598</v>
      </c>
      <c r="B4578" t="s">
        <v>901</v>
      </c>
      <c r="C4578" t="s">
        <v>2001</v>
      </c>
      <c r="D4578">
        <v>1</v>
      </c>
      <c r="E4578" s="16">
        <v>300.08</v>
      </c>
      <c r="F4578" s="1">
        <v>44355</v>
      </c>
      <c r="G4578" t="s">
        <v>2002</v>
      </c>
      <c r="H4578">
        <v>5</v>
      </c>
      <c r="I4578" s="12">
        <f>Table16[[#This Row],[price]]*Table16[[#This Row],[quantity]]</f>
        <v>300.08</v>
      </c>
    </row>
    <row r="4579" spans="1:9" x14ac:dyDescent="0.3">
      <c r="A4579" t="s">
        <v>6594</v>
      </c>
      <c r="B4579" t="s">
        <v>901</v>
      </c>
      <c r="C4579" t="s">
        <v>2001</v>
      </c>
      <c r="D4579">
        <v>3</v>
      </c>
      <c r="E4579" s="16">
        <v>900.24</v>
      </c>
      <c r="F4579" s="1">
        <v>44454</v>
      </c>
      <c r="G4579" t="s">
        <v>2027</v>
      </c>
      <c r="H4579">
        <v>1</v>
      </c>
      <c r="I4579" s="12">
        <f>Table16[[#This Row],[price]]*Table16[[#This Row],[quantity]]</f>
        <v>2700.7200000000003</v>
      </c>
    </row>
    <row r="4580" spans="1:9" x14ac:dyDescent="0.3">
      <c r="A4580" t="s">
        <v>6597</v>
      </c>
      <c r="B4580" t="s">
        <v>901</v>
      </c>
      <c r="C4580" t="s">
        <v>2008</v>
      </c>
      <c r="D4580">
        <v>4</v>
      </c>
      <c r="E4580" s="16">
        <v>20.92</v>
      </c>
      <c r="F4580" s="1">
        <v>44960</v>
      </c>
      <c r="G4580" t="s">
        <v>2064</v>
      </c>
      <c r="H4580">
        <v>1</v>
      </c>
      <c r="I4580" s="12">
        <f>Table16[[#This Row],[price]]*Table16[[#This Row],[quantity]]</f>
        <v>83.68</v>
      </c>
    </row>
    <row r="4581" spans="1:9" x14ac:dyDescent="0.3">
      <c r="A4581" t="s">
        <v>6593</v>
      </c>
      <c r="B4581" t="s">
        <v>901</v>
      </c>
      <c r="C4581" t="s">
        <v>2015</v>
      </c>
      <c r="D4581">
        <v>2</v>
      </c>
      <c r="E4581" s="16">
        <v>1200.3399999999999</v>
      </c>
      <c r="F4581" s="1">
        <v>44965</v>
      </c>
      <c r="G4581" t="s">
        <v>2058</v>
      </c>
      <c r="H4581">
        <v>1</v>
      </c>
      <c r="I4581" s="12">
        <f>Table16[[#This Row],[price]]*Table16[[#This Row],[quantity]]</f>
        <v>2400.6799999999998</v>
      </c>
    </row>
    <row r="4582" spans="1:9" x14ac:dyDescent="0.3">
      <c r="A4582" t="s">
        <v>6596</v>
      </c>
      <c r="B4582" t="s">
        <v>901</v>
      </c>
      <c r="C4582" t="s">
        <v>2024</v>
      </c>
      <c r="D4582">
        <v>2</v>
      </c>
      <c r="E4582" s="16">
        <v>71.680000000000007</v>
      </c>
      <c r="F4582" s="1">
        <v>44970</v>
      </c>
      <c r="G4582" t="s">
        <v>2041</v>
      </c>
      <c r="H4582">
        <v>4</v>
      </c>
      <c r="I4582" s="12">
        <f>Table16[[#This Row],[price]]*Table16[[#This Row],[quantity]]</f>
        <v>143.36000000000001</v>
      </c>
    </row>
    <row r="4583" spans="1:9" x14ac:dyDescent="0.3">
      <c r="A4583" t="s">
        <v>6602</v>
      </c>
      <c r="B4583" t="s">
        <v>902</v>
      </c>
      <c r="C4583" t="s">
        <v>2001</v>
      </c>
      <c r="D4583">
        <v>4</v>
      </c>
      <c r="E4583" s="16">
        <v>1200.32</v>
      </c>
      <c r="F4583" s="1">
        <v>44281</v>
      </c>
      <c r="G4583" t="s">
        <v>2020</v>
      </c>
      <c r="H4583">
        <v>1</v>
      </c>
      <c r="I4583" s="12">
        <f>Table16[[#This Row],[price]]*Table16[[#This Row],[quantity]]</f>
        <v>4801.28</v>
      </c>
    </row>
    <row r="4584" spans="1:9" x14ac:dyDescent="0.3">
      <c r="A4584" t="s">
        <v>6601</v>
      </c>
      <c r="B4584" t="s">
        <v>902</v>
      </c>
      <c r="C4584" t="s">
        <v>2024</v>
      </c>
      <c r="D4584">
        <v>1</v>
      </c>
      <c r="E4584" s="16">
        <v>35.840000000000003</v>
      </c>
      <c r="F4584" s="1">
        <v>44363</v>
      </c>
      <c r="G4584" t="s">
        <v>2041</v>
      </c>
      <c r="H4584">
        <v>2</v>
      </c>
      <c r="I4584" s="12">
        <f>Table16[[#This Row],[price]]*Table16[[#This Row],[quantity]]</f>
        <v>35.840000000000003</v>
      </c>
    </row>
    <row r="4585" spans="1:9" x14ac:dyDescent="0.3">
      <c r="A4585" t="s">
        <v>6603</v>
      </c>
      <c r="B4585" t="s">
        <v>902</v>
      </c>
      <c r="C4585" t="s">
        <v>2015</v>
      </c>
      <c r="D4585">
        <v>5</v>
      </c>
      <c r="E4585" s="16">
        <v>3000.85</v>
      </c>
      <c r="F4585" s="1">
        <v>44523</v>
      </c>
      <c r="G4585" t="s">
        <v>2064</v>
      </c>
      <c r="H4585">
        <v>4</v>
      </c>
      <c r="I4585" s="12">
        <f>Table16[[#This Row],[price]]*Table16[[#This Row],[quantity]]</f>
        <v>15004.25</v>
      </c>
    </row>
    <row r="4586" spans="1:9" x14ac:dyDescent="0.3">
      <c r="A4586" t="s">
        <v>6599</v>
      </c>
      <c r="B4586" t="s">
        <v>902</v>
      </c>
      <c r="C4586" t="s">
        <v>2011</v>
      </c>
      <c r="D4586">
        <v>4</v>
      </c>
      <c r="E4586" s="16">
        <v>162.63999999999999</v>
      </c>
      <c r="F4586" s="1">
        <v>44535</v>
      </c>
      <c r="G4586" t="s">
        <v>2002</v>
      </c>
      <c r="H4586">
        <v>4</v>
      </c>
      <c r="I4586" s="12">
        <f>Table16[[#This Row],[price]]*Table16[[#This Row],[quantity]]</f>
        <v>650.55999999999995</v>
      </c>
    </row>
    <row r="4587" spans="1:9" x14ac:dyDescent="0.3">
      <c r="A4587" t="s">
        <v>6600</v>
      </c>
      <c r="B4587" t="s">
        <v>902</v>
      </c>
      <c r="C4587" t="s">
        <v>2015</v>
      </c>
      <c r="D4587">
        <v>3</v>
      </c>
      <c r="E4587" s="16">
        <v>1800.51</v>
      </c>
      <c r="F4587" s="1">
        <v>44646</v>
      </c>
      <c r="G4587" t="s">
        <v>2058</v>
      </c>
      <c r="H4587">
        <v>5</v>
      </c>
      <c r="I4587" s="12">
        <f>Table16[[#This Row],[price]]*Table16[[#This Row],[quantity]]</f>
        <v>5401.53</v>
      </c>
    </row>
    <row r="4588" spans="1:9" x14ac:dyDescent="0.3">
      <c r="A4588" t="s">
        <v>6609</v>
      </c>
      <c r="B4588" t="s">
        <v>903</v>
      </c>
      <c r="C4588" t="s">
        <v>2001</v>
      </c>
      <c r="D4588">
        <v>4</v>
      </c>
      <c r="E4588" s="16">
        <v>1200.32</v>
      </c>
      <c r="F4588" s="1">
        <v>44259</v>
      </c>
      <c r="G4588" t="s">
        <v>2018</v>
      </c>
      <c r="H4588">
        <v>5</v>
      </c>
      <c r="I4588" s="12">
        <f>Table16[[#This Row],[price]]*Table16[[#This Row],[quantity]]</f>
        <v>4801.28</v>
      </c>
    </row>
    <row r="4589" spans="1:9" x14ac:dyDescent="0.3">
      <c r="A4589" t="s">
        <v>6606</v>
      </c>
      <c r="B4589" t="s">
        <v>903</v>
      </c>
      <c r="C4589" t="s">
        <v>2006</v>
      </c>
      <c r="D4589">
        <v>2</v>
      </c>
      <c r="E4589" s="16">
        <v>30.3</v>
      </c>
      <c r="F4589" s="1">
        <v>44358</v>
      </c>
      <c r="G4589" t="s">
        <v>2004</v>
      </c>
      <c r="H4589">
        <v>4</v>
      </c>
      <c r="I4589" s="12">
        <f>Table16[[#This Row],[price]]*Table16[[#This Row],[quantity]]</f>
        <v>60.6</v>
      </c>
    </row>
    <row r="4590" spans="1:9" x14ac:dyDescent="0.3">
      <c r="A4590" t="s">
        <v>6604</v>
      </c>
      <c r="B4590" t="s">
        <v>903</v>
      </c>
      <c r="C4590" t="s">
        <v>2011</v>
      </c>
      <c r="D4590">
        <v>1</v>
      </c>
      <c r="E4590" s="16">
        <v>40.659999999999997</v>
      </c>
      <c r="F4590" s="1">
        <v>44407</v>
      </c>
      <c r="G4590" t="s">
        <v>2002</v>
      </c>
      <c r="H4590">
        <v>5</v>
      </c>
      <c r="I4590" s="12">
        <f>Table16[[#This Row],[price]]*Table16[[#This Row],[quantity]]</f>
        <v>40.659999999999997</v>
      </c>
    </row>
    <row r="4591" spans="1:9" x14ac:dyDescent="0.3">
      <c r="A4591" t="s">
        <v>6607</v>
      </c>
      <c r="B4591" t="s">
        <v>903</v>
      </c>
      <c r="C4591" t="s">
        <v>2011</v>
      </c>
      <c r="D4591">
        <v>5</v>
      </c>
      <c r="E4591" s="16">
        <v>203.3</v>
      </c>
      <c r="F4591" s="1">
        <v>44618</v>
      </c>
      <c r="G4591" t="s">
        <v>2027</v>
      </c>
      <c r="H4591">
        <v>3</v>
      </c>
      <c r="I4591" s="12">
        <f>Table16[[#This Row],[price]]*Table16[[#This Row],[quantity]]</f>
        <v>1016.5</v>
      </c>
    </row>
    <row r="4592" spans="1:9" x14ac:dyDescent="0.3">
      <c r="A4592" t="s">
        <v>6608</v>
      </c>
      <c r="B4592" t="s">
        <v>903</v>
      </c>
      <c r="C4592" t="s">
        <v>2008</v>
      </c>
      <c r="D4592">
        <v>3</v>
      </c>
      <c r="E4592" s="16">
        <v>15.69</v>
      </c>
      <c r="F4592" s="1">
        <v>44918</v>
      </c>
      <c r="G4592" t="s">
        <v>2004</v>
      </c>
      <c r="H4592">
        <v>2</v>
      </c>
      <c r="I4592" s="12">
        <f>Table16[[#This Row],[price]]*Table16[[#This Row],[quantity]]</f>
        <v>47.07</v>
      </c>
    </row>
    <row r="4593" spans="1:9" x14ac:dyDescent="0.3">
      <c r="A4593" t="s">
        <v>6605</v>
      </c>
      <c r="B4593" t="s">
        <v>903</v>
      </c>
      <c r="C4593" t="s">
        <v>2001</v>
      </c>
      <c r="D4593">
        <v>4</v>
      </c>
      <c r="E4593" s="16">
        <v>1200.32</v>
      </c>
      <c r="F4593" s="1">
        <v>44931</v>
      </c>
      <c r="G4593" t="s">
        <v>2002</v>
      </c>
      <c r="H4593">
        <v>4</v>
      </c>
      <c r="I4593" s="12">
        <f>Table16[[#This Row],[price]]*Table16[[#This Row],[quantity]]</f>
        <v>4801.28</v>
      </c>
    </row>
    <row r="4594" spans="1:9" x14ac:dyDescent="0.3">
      <c r="A4594" t="s">
        <v>6612</v>
      </c>
      <c r="B4594" t="s">
        <v>904</v>
      </c>
      <c r="C4594" t="s">
        <v>2008</v>
      </c>
      <c r="D4594">
        <v>2</v>
      </c>
      <c r="E4594" s="16">
        <v>10.46</v>
      </c>
      <c r="F4594" s="1">
        <v>44378</v>
      </c>
      <c r="G4594" t="s">
        <v>2020</v>
      </c>
      <c r="H4594">
        <v>1</v>
      </c>
      <c r="I4594" s="12">
        <f>Table16[[#This Row],[price]]*Table16[[#This Row],[quantity]]</f>
        <v>20.92</v>
      </c>
    </row>
    <row r="4595" spans="1:9" x14ac:dyDescent="0.3">
      <c r="A4595" t="s">
        <v>6613</v>
      </c>
      <c r="B4595" t="s">
        <v>904</v>
      </c>
      <c r="C4595" t="s">
        <v>2001</v>
      </c>
      <c r="D4595">
        <v>5</v>
      </c>
      <c r="E4595" s="16">
        <v>1500.4</v>
      </c>
      <c r="F4595" s="1">
        <v>44479</v>
      </c>
      <c r="G4595" t="s">
        <v>2004</v>
      </c>
      <c r="H4595">
        <v>3</v>
      </c>
      <c r="I4595" s="12">
        <f>Table16[[#This Row],[price]]*Table16[[#This Row],[quantity]]</f>
        <v>7502</v>
      </c>
    </row>
    <row r="4596" spans="1:9" x14ac:dyDescent="0.3">
      <c r="A4596" t="s">
        <v>6611</v>
      </c>
      <c r="B4596" t="s">
        <v>904</v>
      </c>
      <c r="C4596" t="s">
        <v>2001</v>
      </c>
      <c r="D4596">
        <v>4</v>
      </c>
      <c r="E4596" s="16">
        <v>1200.32</v>
      </c>
      <c r="F4596" s="1">
        <v>44706</v>
      </c>
      <c r="G4596" t="s">
        <v>2009</v>
      </c>
      <c r="H4596">
        <v>4</v>
      </c>
      <c r="I4596" s="12">
        <f>Table16[[#This Row],[price]]*Table16[[#This Row],[quantity]]</f>
        <v>4801.28</v>
      </c>
    </row>
    <row r="4597" spans="1:9" x14ac:dyDescent="0.3">
      <c r="A4597" t="s">
        <v>6614</v>
      </c>
      <c r="B4597" t="s">
        <v>904</v>
      </c>
      <c r="C4597" t="s">
        <v>2011</v>
      </c>
      <c r="D4597">
        <v>5</v>
      </c>
      <c r="E4597" s="16">
        <v>203.3</v>
      </c>
      <c r="F4597" s="1">
        <v>44739</v>
      </c>
      <c r="G4597" t="s">
        <v>2004</v>
      </c>
      <c r="H4597">
        <v>3</v>
      </c>
      <c r="I4597" s="12">
        <f>Table16[[#This Row],[price]]*Table16[[#This Row],[quantity]]</f>
        <v>1016.5</v>
      </c>
    </row>
    <row r="4598" spans="1:9" x14ac:dyDescent="0.3">
      <c r="A4598" t="s">
        <v>6615</v>
      </c>
      <c r="B4598" t="s">
        <v>904</v>
      </c>
      <c r="C4598" t="s">
        <v>2017</v>
      </c>
      <c r="D4598">
        <v>4</v>
      </c>
      <c r="E4598" s="16">
        <v>4200</v>
      </c>
      <c r="F4598" s="1">
        <v>44805</v>
      </c>
      <c r="G4598" t="s">
        <v>2004</v>
      </c>
      <c r="H4598">
        <v>1</v>
      </c>
      <c r="I4598" s="12">
        <f>Table16[[#This Row],[price]]*Table16[[#This Row],[quantity]]</f>
        <v>16800</v>
      </c>
    </row>
    <row r="4599" spans="1:9" x14ac:dyDescent="0.3">
      <c r="A4599" t="s">
        <v>6610</v>
      </c>
      <c r="B4599" t="s">
        <v>904</v>
      </c>
      <c r="C4599" t="s">
        <v>2017</v>
      </c>
      <c r="D4599">
        <v>2</v>
      </c>
      <c r="E4599" s="16">
        <v>2100</v>
      </c>
      <c r="F4599" s="1">
        <v>44884</v>
      </c>
      <c r="G4599" t="s">
        <v>2027</v>
      </c>
      <c r="H4599">
        <v>1</v>
      </c>
      <c r="I4599" s="12">
        <f>Table16[[#This Row],[price]]*Table16[[#This Row],[quantity]]</f>
        <v>4200</v>
      </c>
    </row>
    <row r="4600" spans="1:9" x14ac:dyDescent="0.3">
      <c r="A4600" t="s">
        <v>6616</v>
      </c>
      <c r="B4600" t="s">
        <v>905</v>
      </c>
      <c r="C4600" t="s">
        <v>2011</v>
      </c>
      <c r="D4600">
        <v>5</v>
      </c>
      <c r="E4600" s="16">
        <v>203.3</v>
      </c>
      <c r="F4600" s="1">
        <v>44524</v>
      </c>
      <c r="G4600" t="s">
        <v>2027</v>
      </c>
      <c r="H4600">
        <v>3</v>
      </c>
      <c r="I4600" s="12">
        <f>Table16[[#This Row],[price]]*Table16[[#This Row],[quantity]]</f>
        <v>1016.5</v>
      </c>
    </row>
    <row r="4601" spans="1:9" x14ac:dyDescent="0.3">
      <c r="A4601" t="s">
        <v>6617</v>
      </c>
      <c r="B4601" t="s">
        <v>905</v>
      </c>
      <c r="C4601" t="s">
        <v>2001</v>
      </c>
      <c r="D4601">
        <v>4</v>
      </c>
      <c r="E4601" s="16">
        <v>1200.32</v>
      </c>
      <c r="F4601" s="1">
        <v>44615</v>
      </c>
      <c r="G4601" t="s">
        <v>2027</v>
      </c>
      <c r="H4601">
        <v>5</v>
      </c>
      <c r="I4601" s="12">
        <f>Table16[[#This Row],[price]]*Table16[[#This Row],[quantity]]</f>
        <v>4801.28</v>
      </c>
    </row>
    <row r="4602" spans="1:9" x14ac:dyDescent="0.3">
      <c r="A4602" t="s">
        <v>6618</v>
      </c>
      <c r="B4602" t="s">
        <v>905</v>
      </c>
      <c r="C4602" t="s">
        <v>2001</v>
      </c>
      <c r="D4602">
        <v>4</v>
      </c>
      <c r="E4602" s="16">
        <v>1200.32</v>
      </c>
      <c r="F4602" s="1">
        <v>44708</v>
      </c>
      <c r="G4602" t="s">
        <v>2002</v>
      </c>
      <c r="H4602">
        <v>3</v>
      </c>
      <c r="I4602" s="12">
        <f>Table16[[#This Row],[price]]*Table16[[#This Row],[quantity]]</f>
        <v>4801.28</v>
      </c>
    </row>
    <row r="4603" spans="1:9" x14ac:dyDescent="0.3">
      <c r="A4603" t="s">
        <v>6619</v>
      </c>
      <c r="B4603" t="s">
        <v>906</v>
      </c>
      <c r="C4603" t="s">
        <v>2006</v>
      </c>
      <c r="D4603">
        <v>4</v>
      </c>
      <c r="E4603" s="16">
        <v>60.6</v>
      </c>
      <c r="F4603" s="1">
        <v>44362</v>
      </c>
      <c r="G4603" t="s">
        <v>2002</v>
      </c>
      <c r="H4603">
        <v>2</v>
      </c>
      <c r="I4603" s="12">
        <f>Table16[[#This Row],[price]]*Table16[[#This Row],[quantity]]</f>
        <v>242.4</v>
      </c>
    </row>
    <row r="4604" spans="1:9" x14ac:dyDescent="0.3">
      <c r="A4604" t="s">
        <v>6625</v>
      </c>
      <c r="B4604" t="s">
        <v>906</v>
      </c>
      <c r="C4604" t="s">
        <v>2017</v>
      </c>
      <c r="D4604">
        <v>3</v>
      </c>
      <c r="E4604" s="16">
        <v>3150</v>
      </c>
      <c r="F4604" s="1">
        <v>44499</v>
      </c>
      <c r="G4604" t="s">
        <v>2009</v>
      </c>
      <c r="H4604">
        <v>1</v>
      </c>
      <c r="I4604" s="12">
        <f>Table16[[#This Row],[price]]*Table16[[#This Row],[quantity]]</f>
        <v>9450</v>
      </c>
    </row>
    <row r="4605" spans="1:9" x14ac:dyDescent="0.3">
      <c r="A4605" t="s">
        <v>6626</v>
      </c>
      <c r="B4605" t="s">
        <v>906</v>
      </c>
      <c r="C4605" t="s">
        <v>2008</v>
      </c>
      <c r="D4605">
        <v>3</v>
      </c>
      <c r="E4605" s="16">
        <v>15.69</v>
      </c>
      <c r="F4605" s="1">
        <v>44657</v>
      </c>
      <c r="G4605" t="s">
        <v>2027</v>
      </c>
      <c r="H4605">
        <v>1</v>
      </c>
      <c r="I4605" s="12">
        <f>Table16[[#This Row],[price]]*Table16[[#This Row],[quantity]]</f>
        <v>47.07</v>
      </c>
    </row>
    <row r="4606" spans="1:9" x14ac:dyDescent="0.3">
      <c r="A4606" t="s">
        <v>6620</v>
      </c>
      <c r="B4606" t="s">
        <v>906</v>
      </c>
      <c r="C4606" t="s">
        <v>2015</v>
      </c>
      <c r="D4606">
        <v>3</v>
      </c>
      <c r="E4606" s="16">
        <v>1800.51</v>
      </c>
      <c r="F4606" s="1">
        <v>44853</v>
      </c>
      <c r="G4606" t="s">
        <v>2004</v>
      </c>
      <c r="H4606">
        <v>5</v>
      </c>
      <c r="I4606" s="12">
        <f>Table16[[#This Row],[price]]*Table16[[#This Row],[quantity]]</f>
        <v>5401.53</v>
      </c>
    </row>
    <row r="4607" spans="1:9" x14ac:dyDescent="0.3">
      <c r="A4607" t="s">
        <v>6624</v>
      </c>
      <c r="B4607" t="s">
        <v>906</v>
      </c>
      <c r="C4607" t="s">
        <v>2011</v>
      </c>
      <c r="D4607">
        <v>5</v>
      </c>
      <c r="E4607" s="16">
        <v>203.3</v>
      </c>
      <c r="F4607" s="1">
        <v>44904</v>
      </c>
      <c r="G4607" t="s">
        <v>2058</v>
      </c>
      <c r="H4607">
        <v>5</v>
      </c>
      <c r="I4607" s="12">
        <f>Table16[[#This Row],[price]]*Table16[[#This Row],[quantity]]</f>
        <v>1016.5</v>
      </c>
    </row>
    <row r="4608" spans="1:9" x14ac:dyDescent="0.3">
      <c r="A4608" t="s">
        <v>6621</v>
      </c>
      <c r="B4608" t="s">
        <v>906</v>
      </c>
      <c r="C4608" t="s">
        <v>2011</v>
      </c>
      <c r="D4608">
        <v>5</v>
      </c>
      <c r="E4608" s="16">
        <v>203.3</v>
      </c>
      <c r="F4608" s="1">
        <v>44914</v>
      </c>
      <c r="G4608" t="s">
        <v>2004</v>
      </c>
      <c r="H4608">
        <v>4</v>
      </c>
      <c r="I4608" s="12">
        <f>Table16[[#This Row],[price]]*Table16[[#This Row],[quantity]]</f>
        <v>1016.5</v>
      </c>
    </row>
    <row r="4609" spans="1:9" x14ac:dyDescent="0.3">
      <c r="A4609" t="s">
        <v>6622</v>
      </c>
      <c r="B4609" t="s">
        <v>906</v>
      </c>
      <c r="C4609" t="s">
        <v>2001</v>
      </c>
      <c r="D4609">
        <v>1</v>
      </c>
      <c r="E4609" s="16">
        <v>300.08</v>
      </c>
      <c r="F4609" s="1">
        <v>44955</v>
      </c>
      <c r="G4609" t="s">
        <v>2018</v>
      </c>
      <c r="H4609">
        <v>1</v>
      </c>
      <c r="I4609" s="12">
        <f>Table16[[#This Row],[price]]*Table16[[#This Row],[quantity]]</f>
        <v>300.08</v>
      </c>
    </row>
    <row r="4610" spans="1:9" x14ac:dyDescent="0.3">
      <c r="A4610" t="s">
        <v>6623</v>
      </c>
      <c r="B4610" t="s">
        <v>906</v>
      </c>
      <c r="C4610" t="s">
        <v>2001</v>
      </c>
      <c r="D4610">
        <v>5</v>
      </c>
      <c r="E4610" s="16">
        <v>1500.4</v>
      </c>
      <c r="F4610" s="1">
        <v>44987</v>
      </c>
      <c r="G4610" t="s">
        <v>2002</v>
      </c>
      <c r="H4610">
        <v>4</v>
      </c>
      <c r="I4610" s="12">
        <f>Table16[[#This Row],[price]]*Table16[[#This Row],[quantity]]</f>
        <v>7502</v>
      </c>
    </row>
    <row r="4611" spans="1:9" x14ac:dyDescent="0.3">
      <c r="A4611" t="s">
        <v>6627</v>
      </c>
      <c r="B4611" t="s">
        <v>907</v>
      </c>
      <c r="C4611" t="s">
        <v>2001</v>
      </c>
      <c r="D4611">
        <v>2</v>
      </c>
      <c r="E4611" s="16">
        <v>600.16</v>
      </c>
      <c r="F4611" s="1">
        <v>44199</v>
      </c>
      <c r="G4611" t="s">
        <v>2020</v>
      </c>
      <c r="H4611">
        <v>1</v>
      </c>
      <c r="I4611" s="12">
        <f>Table16[[#This Row],[price]]*Table16[[#This Row],[quantity]]</f>
        <v>1200.32</v>
      </c>
    </row>
    <row r="4612" spans="1:9" x14ac:dyDescent="0.3">
      <c r="A4612" t="s">
        <v>6629</v>
      </c>
      <c r="B4612" t="s">
        <v>907</v>
      </c>
      <c r="C4612" t="s">
        <v>2011</v>
      </c>
      <c r="D4612">
        <v>5</v>
      </c>
      <c r="E4612" s="16">
        <v>203.3</v>
      </c>
      <c r="F4612" s="1">
        <v>44336</v>
      </c>
      <c r="G4612" t="s">
        <v>2002</v>
      </c>
      <c r="H4612">
        <v>5</v>
      </c>
      <c r="I4612" s="12">
        <f>Table16[[#This Row],[price]]*Table16[[#This Row],[quantity]]</f>
        <v>1016.5</v>
      </c>
    </row>
    <row r="4613" spans="1:9" x14ac:dyDescent="0.3">
      <c r="A4613" t="s">
        <v>6631</v>
      </c>
      <c r="B4613" t="s">
        <v>907</v>
      </c>
      <c r="C4613" t="s">
        <v>2001</v>
      </c>
      <c r="D4613">
        <v>3</v>
      </c>
      <c r="E4613" s="16">
        <v>900.24</v>
      </c>
      <c r="F4613" s="1">
        <v>44381</v>
      </c>
      <c r="G4613" t="s">
        <v>2002</v>
      </c>
      <c r="H4613">
        <v>3</v>
      </c>
      <c r="I4613" s="12">
        <f>Table16[[#This Row],[price]]*Table16[[#This Row],[quantity]]</f>
        <v>2700.7200000000003</v>
      </c>
    </row>
    <row r="4614" spans="1:9" x14ac:dyDescent="0.3">
      <c r="A4614" t="s">
        <v>6630</v>
      </c>
      <c r="B4614" t="s">
        <v>907</v>
      </c>
      <c r="C4614" t="s">
        <v>2015</v>
      </c>
      <c r="D4614">
        <v>1</v>
      </c>
      <c r="E4614" s="16">
        <v>600.16999999999996</v>
      </c>
      <c r="F4614" s="1">
        <v>44861</v>
      </c>
      <c r="G4614" t="s">
        <v>2004</v>
      </c>
      <c r="H4614">
        <v>2</v>
      </c>
      <c r="I4614" s="12">
        <f>Table16[[#This Row],[price]]*Table16[[#This Row],[quantity]]</f>
        <v>600.16999999999996</v>
      </c>
    </row>
    <row r="4615" spans="1:9" x14ac:dyDescent="0.3">
      <c r="A4615" t="s">
        <v>6628</v>
      </c>
      <c r="B4615" t="s">
        <v>907</v>
      </c>
      <c r="C4615" t="s">
        <v>2011</v>
      </c>
      <c r="D4615">
        <v>3</v>
      </c>
      <c r="E4615" s="16">
        <v>121.98</v>
      </c>
      <c r="F4615" s="1">
        <v>44981</v>
      </c>
      <c r="G4615" t="s">
        <v>2064</v>
      </c>
      <c r="H4615">
        <v>4</v>
      </c>
      <c r="I4615" s="12">
        <f>Table16[[#This Row],[price]]*Table16[[#This Row],[quantity]]</f>
        <v>365.94</v>
      </c>
    </row>
    <row r="4616" spans="1:9" x14ac:dyDescent="0.3">
      <c r="A4616" t="s">
        <v>6635</v>
      </c>
      <c r="B4616" t="s">
        <v>908</v>
      </c>
      <c r="C4616" t="s">
        <v>2017</v>
      </c>
      <c r="D4616">
        <v>1</v>
      </c>
      <c r="E4616" s="16">
        <v>1050</v>
      </c>
      <c r="F4616" s="1">
        <v>44214</v>
      </c>
      <c r="G4616" t="s">
        <v>2064</v>
      </c>
      <c r="H4616">
        <v>4</v>
      </c>
      <c r="I4616" s="12">
        <f>Table16[[#This Row],[price]]*Table16[[#This Row],[quantity]]</f>
        <v>1050</v>
      </c>
    </row>
    <row r="4617" spans="1:9" x14ac:dyDescent="0.3">
      <c r="A4617" t="s">
        <v>6637</v>
      </c>
      <c r="B4617" t="s">
        <v>908</v>
      </c>
      <c r="C4617" t="s">
        <v>2001</v>
      </c>
      <c r="D4617">
        <v>1</v>
      </c>
      <c r="E4617" s="16">
        <v>300.08</v>
      </c>
      <c r="F4617" s="1">
        <v>44441</v>
      </c>
      <c r="G4617" t="s">
        <v>2004</v>
      </c>
      <c r="H4617">
        <v>5</v>
      </c>
      <c r="I4617" s="12">
        <f>Table16[[#This Row],[price]]*Table16[[#This Row],[quantity]]</f>
        <v>300.08</v>
      </c>
    </row>
    <row r="4618" spans="1:9" x14ac:dyDescent="0.3">
      <c r="A4618" t="s">
        <v>6633</v>
      </c>
      <c r="B4618" t="s">
        <v>908</v>
      </c>
      <c r="C4618" t="s">
        <v>2008</v>
      </c>
      <c r="D4618">
        <v>2</v>
      </c>
      <c r="E4618" s="16">
        <v>10.46</v>
      </c>
      <c r="F4618" s="1">
        <v>44494</v>
      </c>
      <c r="G4618" t="s">
        <v>2018</v>
      </c>
      <c r="H4618">
        <v>1</v>
      </c>
      <c r="I4618" s="12">
        <f>Table16[[#This Row],[price]]*Table16[[#This Row],[quantity]]</f>
        <v>20.92</v>
      </c>
    </row>
    <row r="4619" spans="1:9" x14ac:dyDescent="0.3">
      <c r="A4619" t="s">
        <v>6636</v>
      </c>
      <c r="B4619" t="s">
        <v>908</v>
      </c>
      <c r="C4619" t="s">
        <v>2001</v>
      </c>
      <c r="D4619">
        <v>2</v>
      </c>
      <c r="E4619" s="16">
        <v>600.16</v>
      </c>
      <c r="F4619" s="1">
        <v>44548</v>
      </c>
      <c r="G4619" t="s">
        <v>2058</v>
      </c>
      <c r="H4619">
        <v>5</v>
      </c>
      <c r="I4619" s="12">
        <f>Table16[[#This Row],[price]]*Table16[[#This Row],[quantity]]</f>
        <v>1200.32</v>
      </c>
    </row>
    <row r="4620" spans="1:9" x14ac:dyDescent="0.3">
      <c r="A4620" t="s">
        <v>6632</v>
      </c>
      <c r="B4620" t="s">
        <v>908</v>
      </c>
      <c r="C4620" t="s">
        <v>2006</v>
      </c>
      <c r="D4620">
        <v>1</v>
      </c>
      <c r="E4620" s="16">
        <v>15.15</v>
      </c>
      <c r="F4620" s="1">
        <v>44773</v>
      </c>
      <c r="G4620" t="s">
        <v>2041</v>
      </c>
      <c r="H4620">
        <v>4</v>
      </c>
      <c r="I4620" s="12">
        <f>Table16[[#This Row],[price]]*Table16[[#This Row],[quantity]]</f>
        <v>15.15</v>
      </c>
    </row>
    <row r="4621" spans="1:9" x14ac:dyDescent="0.3">
      <c r="A4621" t="s">
        <v>6634</v>
      </c>
      <c r="B4621" t="s">
        <v>908</v>
      </c>
      <c r="C4621" t="s">
        <v>2024</v>
      </c>
      <c r="D4621">
        <v>2</v>
      </c>
      <c r="E4621" s="16">
        <v>71.680000000000007</v>
      </c>
      <c r="F4621" s="1">
        <v>44983</v>
      </c>
      <c r="G4621" t="s">
        <v>2002</v>
      </c>
      <c r="H4621">
        <v>1</v>
      </c>
      <c r="I4621" s="12">
        <f>Table16[[#This Row],[price]]*Table16[[#This Row],[quantity]]</f>
        <v>143.36000000000001</v>
      </c>
    </row>
    <row r="4622" spans="1:9" x14ac:dyDescent="0.3">
      <c r="A4622" t="s">
        <v>6638</v>
      </c>
      <c r="B4622" t="s">
        <v>909</v>
      </c>
      <c r="C4622" t="s">
        <v>2011</v>
      </c>
      <c r="D4622">
        <v>1</v>
      </c>
      <c r="E4622" s="16">
        <v>40.659999999999997</v>
      </c>
      <c r="F4622" s="1">
        <v>44209</v>
      </c>
      <c r="G4622" t="s">
        <v>2009</v>
      </c>
      <c r="H4622">
        <v>1</v>
      </c>
      <c r="I4622" s="12">
        <f>Table16[[#This Row],[price]]*Table16[[#This Row],[quantity]]</f>
        <v>40.659999999999997</v>
      </c>
    </row>
    <row r="4623" spans="1:9" x14ac:dyDescent="0.3">
      <c r="A4623" t="s">
        <v>6646</v>
      </c>
      <c r="B4623" t="s">
        <v>909</v>
      </c>
      <c r="C4623" t="s">
        <v>2001</v>
      </c>
      <c r="D4623">
        <v>2</v>
      </c>
      <c r="E4623" s="16">
        <v>600.16</v>
      </c>
      <c r="F4623" s="1">
        <v>44411</v>
      </c>
      <c r="G4623" t="s">
        <v>2027</v>
      </c>
      <c r="H4623">
        <v>1</v>
      </c>
      <c r="I4623" s="12">
        <f>Table16[[#This Row],[price]]*Table16[[#This Row],[quantity]]</f>
        <v>1200.32</v>
      </c>
    </row>
    <row r="4624" spans="1:9" x14ac:dyDescent="0.3">
      <c r="A4624" t="s">
        <v>6641</v>
      </c>
      <c r="B4624" t="s">
        <v>909</v>
      </c>
      <c r="C4624" t="s">
        <v>2008</v>
      </c>
      <c r="D4624">
        <v>2</v>
      </c>
      <c r="E4624" s="16">
        <v>10.46</v>
      </c>
      <c r="F4624" s="1">
        <v>44415</v>
      </c>
      <c r="G4624" t="s">
        <v>2004</v>
      </c>
      <c r="H4624">
        <v>5</v>
      </c>
      <c r="I4624" s="12">
        <f>Table16[[#This Row],[price]]*Table16[[#This Row],[quantity]]</f>
        <v>20.92</v>
      </c>
    </row>
    <row r="4625" spans="1:9" x14ac:dyDescent="0.3">
      <c r="A4625" t="s">
        <v>6644</v>
      </c>
      <c r="B4625" t="s">
        <v>909</v>
      </c>
      <c r="C4625" t="s">
        <v>2001</v>
      </c>
      <c r="D4625">
        <v>3</v>
      </c>
      <c r="E4625" s="16">
        <v>900.24</v>
      </c>
      <c r="F4625" s="1">
        <v>44427</v>
      </c>
      <c r="G4625" t="s">
        <v>2020</v>
      </c>
      <c r="H4625">
        <v>4</v>
      </c>
      <c r="I4625" s="12">
        <f>Table16[[#This Row],[price]]*Table16[[#This Row],[quantity]]</f>
        <v>2700.7200000000003</v>
      </c>
    </row>
    <row r="4626" spans="1:9" x14ac:dyDescent="0.3">
      <c r="A4626" t="s">
        <v>6647</v>
      </c>
      <c r="B4626" t="s">
        <v>909</v>
      </c>
      <c r="C4626" t="s">
        <v>2015</v>
      </c>
      <c r="D4626">
        <v>4</v>
      </c>
      <c r="E4626" s="16">
        <v>2400.6799999999998</v>
      </c>
      <c r="F4626" s="1">
        <v>44588</v>
      </c>
      <c r="G4626" t="s">
        <v>2027</v>
      </c>
      <c r="H4626">
        <v>5</v>
      </c>
      <c r="I4626" s="12">
        <f>Table16[[#This Row],[price]]*Table16[[#This Row],[quantity]]</f>
        <v>9602.7199999999993</v>
      </c>
    </row>
    <row r="4627" spans="1:9" x14ac:dyDescent="0.3">
      <c r="A4627" t="s">
        <v>6645</v>
      </c>
      <c r="B4627" t="s">
        <v>909</v>
      </c>
      <c r="C4627" t="s">
        <v>2008</v>
      </c>
      <c r="D4627">
        <v>3</v>
      </c>
      <c r="E4627" s="16">
        <v>15.69</v>
      </c>
      <c r="F4627" s="1">
        <v>44680</v>
      </c>
      <c r="G4627" t="s">
        <v>2018</v>
      </c>
      <c r="H4627">
        <v>2</v>
      </c>
      <c r="I4627" s="12">
        <f>Table16[[#This Row],[price]]*Table16[[#This Row],[quantity]]</f>
        <v>47.07</v>
      </c>
    </row>
    <row r="4628" spans="1:9" x14ac:dyDescent="0.3">
      <c r="A4628" t="s">
        <v>6640</v>
      </c>
      <c r="B4628" t="s">
        <v>909</v>
      </c>
      <c r="C4628" t="s">
        <v>2057</v>
      </c>
      <c r="D4628">
        <v>5</v>
      </c>
      <c r="E4628" s="16">
        <v>58.65</v>
      </c>
      <c r="F4628" s="1">
        <v>44696</v>
      </c>
      <c r="G4628" t="s">
        <v>2002</v>
      </c>
      <c r="H4628">
        <v>5</v>
      </c>
      <c r="I4628" s="12">
        <f>Table16[[#This Row],[price]]*Table16[[#This Row],[quantity]]</f>
        <v>293.25</v>
      </c>
    </row>
    <row r="4629" spans="1:9" x14ac:dyDescent="0.3">
      <c r="A4629" t="s">
        <v>6642</v>
      </c>
      <c r="B4629" t="s">
        <v>909</v>
      </c>
      <c r="C4629" t="s">
        <v>2057</v>
      </c>
      <c r="D4629">
        <v>5</v>
      </c>
      <c r="E4629" s="16">
        <v>58.65</v>
      </c>
      <c r="F4629" s="1">
        <v>44902</v>
      </c>
      <c r="G4629" t="s">
        <v>2002</v>
      </c>
      <c r="H4629">
        <v>1</v>
      </c>
      <c r="I4629" s="12">
        <f>Table16[[#This Row],[price]]*Table16[[#This Row],[quantity]]</f>
        <v>293.25</v>
      </c>
    </row>
    <row r="4630" spans="1:9" x14ac:dyDescent="0.3">
      <c r="A4630" t="s">
        <v>6643</v>
      </c>
      <c r="B4630" t="s">
        <v>909</v>
      </c>
      <c r="C4630" t="s">
        <v>2057</v>
      </c>
      <c r="D4630">
        <v>2</v>
      </c>
      <c r="E4630" s="16">
        <v>23.46</v>
      </c>
      <c r="F4630" s="1">
        <v>44908</v>
      </c>
      <c r="G4630" t="s">
        <v>2004</v>
      </c>
      <c r="H4630">
        <v>2</v>
      </c>
      <c r="I4630" s="12">
        <f>Table16[[#This Row],[price]]*Table16[[#This Row],[quantity]]</f>
        <v>46.92</v>
      </c>
    </row>
    <row r="4631" spans="1:9" x14ac:dyDescent="0.3">
      <c r="A4631" t="s">
        <v>6639</v>
      </c>
      <c r="B4631" t="s">
        <v>909</v>
      </c>
      <c r="C4631" t="s">
        <v>2024</v>
      </c>
      <c r="D4631">
        <v>3</v>
      </c>
      <c r="E4631" s="16">
        <v>107.52</v>
      </c>
      <c r="F4631" s="1">
        <v>44924</v>
      </c>
      <c r="G4631" t="s">
        <v>2041</v>
      </c>
      <c r="H4631">
        <v>3</v>
      </c>
      <c r="I4631" s="12">
        <f>Table16[[#This Row],[price]]*Table16[[#This Row],[quantity]]</f>
        <v>322.56</v>
      </c>
    </row>
    <row r="4632" spans="1:9" x14ac:dyDescent="0.3">
      <c r="A4632" t="s">
        <v>6649</v>
      </c>
      <c r="B4632" t="s">
        <v>910</v>
      </c>
      <c r="C4632" t="s">
        <v>2006</v>
      </c>
      <c r="D4632">
        <v>5</v>
      </c>
      <c r="E4632" s="16">
        <v>75.75</v>
      </c>
      <c r="F4632" s="1">
        <v>44310</v>
      </c>
      <c r="G4632" t="s">
        <v>2064</v>
      </c>
      <c r="H4632">
        <v>2</v>
      </c>
      <c r="I4632" s="12">
        <f>Table16[[#This Row],[price]]*Table16[[#This Row],[quantity]]</f>
        <v>378.75</v>
      </c>
    </row>
    <row r="4633" spans="1:9" x14ac:dyDescent="0.3">
      <c r="A4633" t="s">
        <v>6648</v>
      </c>
      <c r="B4633" t="s">
        <v>910</v>
      </c>
      <c r="C4633" t="s">
        <v>2024</v>
      </c>
      <c r="D4633">
        <v>3</v>
      </c>
      <c r="E4633" s="16">
        <v>107.52</v>
      </c>
      <c r="F4633" s="1">
        <v>44409</v>
      </c>
      <c r="G4633" t="s">
        <v>2020</v>
      </c>
      <c r="H4633">
        <v>2</v>
      </c>
      <c r="I4633" s="12">
        <f>Table16[[#This Row],[price]]*Table16[[#This Row],[quantity]]</f>
        <v>322.56</v>
      </c>
    </row>
    <row r="4634" spans="1:9" x14ac:dyDescent="0.3">
      <c r="A4634" t="s">
        <v>6651</v>
      </c>
      <c r="B4634" t="s">
        <v>910</v>
      </c>
      <c r="C4634" t="s">
        <v>2001</v>
      </c>
      <c r="D4634">
        <v>1</v>
      </c>
      <c r="E4634" s="16">
        <v>300.08</v>
      </c>
      <c r="F4634" s="1">
        <v>44450</v>
      </c>
      <c r="G4634" t="s">
        <v>2004</v>
      </c>
      <c r="H4634">
        <v>2</v>
      </c>
      <c r="I4634" s="12">
        <f>Table16[[#This Row],[price]]*Table16[[#This Row],[quantity]]</f>
        <v>300.08</v>
      </c>
    </row>
    <row r="4635" spans="1:9" x14ac:dyDescent="0.3">
      <c r="A4635" t="s">
        <v>6650</v>
      </c>
      <c r="B4635" t="s">
        <v>910</v>
      </c>
      <c r="C4635" t="s">
        <v>2006</v>
      </c>
      <c r="D4635">
        <v>1</v>
      </c>
      <c r="E4635" s="16">
        <v>15.15</v>
      </c>
      <c r="F4635" s="1">
        <v>44607</v>
      </c>
      <c r="G4635" t="s">
        <v>2018</v>
      </c>
      <c r="H4635">
        <v>4</v>
      </c>
      <c r="I4635" s="12">
        <f>Table16[[#This Row],[price]]*Table16[[#This Row],[quantity]]</f>
        <v>15.15</v>
      </c>
    </row>
    <row r="4636" spans="1:9" x14ac:dyDescent="0.3">
      <c r="A4636" t="s">
        <v>6652</v>
      </c>
      <c r="B4636" t="s">
        <v>911</v>
      </c>
      <c r="C4636" t="s">
        <v>2008</v>
      </c>
      <c r="D4636">
        <v>4</v>
      </c>
      <c r="E4636" s="16">
        <v>20.92</v>
      </c>
      <c r="F4636" s="1">
        <v>44241</v>
      </c>
      <c r="G4636" t="s">
        <v>2027</v>
      </c>
      <c r="H4636">
        <v>5</v>
      </c>
      <c r="I4636" s="12">
        <f>Table16[[#This Row],[price]]*Table16[[#This Row],[quantity]]</f>
        <v>83.68</v>
      </c>
    </row>
    <row r="4637" spans="1:9" x14ac:dyDescent="0.3">
      <c r="A4637" t="s">
        <v>6653</v>
      </c>
      <c r="B4637" t="s">
        <v>912</v>
      </c>
      <c r="C4637" t="s">
        <v>2015</v>
      </c>
      <c r="D4637">
        <v>5</v>
      </c>
      <c r="E4637" s="16">
        <v>3000.85</v>
      </c>
      <c r="F4637" s="1">
        <v>44722</v>
      </c>
      <c r="G4637" t="s">
        <v>2041</v>
      </c>
      <c r="H4637">
        <v>5</v>
      </c>
      <c r="I4637" s="12">
        <f>Table16[[#This Row],[price]]*Table16[[#This Row],[quantity]]</f>
        <v>15004.25</v>
      </c>
    </row>
    <row r="4638" spans="1:9" x14ac:dyDescent="0.3">
      <c r="A4638" t="s">
        <v>6655</v>
      </c>
      <c r="B4638" t="s">
        <v>912</v>
      </c>
      <c r="C4638" t="s">
        <v>2001</v>
      </c>
      <c r="D4638">
        <v>1</v>
      </c>
      <c r="E4638" s="16">
        <v>300.08</v>
      </c>
      <c r="F4638" s="1">
        <v>44747</v>
      </c>
      <c r="G4638" t="s">
        <v>2041</v>
      </c>
      <c r="H4638">
        <v>5</v>
      </c>
      <c r="I4638" s="12">
        <f>Table16[[#This Row],[price]]*Table16[[#This Row],[quantity]]</f>
        <v>300.08</v>
      </c>
    </row>
    <row r="4639" spans="1:9" x14ac:dyDescent="0.3">
      <c r="A4639" t="s">
        <v>6654</v>
      </c>
      <c r="B4639" t="s">
        <v>912</v>
      </c>
      <c r="C4639" t="s">
        <v>2001</v>
      </c>
      <c r="D4639">
        <v>5</v>
      </c>
      <c r="E4639" s="16">
        <v>1500.4</v>
      </c>
      <c r="F4639" s="1">
        <v>44987</v>
      </c>
      <c r="G4639" t="s">
        <v>2012</v>
      </c>
      <c r="H4639">
        <v>1</v>
      </c>
      <c r="I4639" s="12">
        <f>Table16[[#This Row],[price]]*Table16[[#This Row],[quantity]]</f>
        <v>7502</v>
      </c>
    </row>
    <row r="4640" spans="1:9" x14ac:dyDescent="0.3">
      <c r="A4640" t="s">
        <v>6662</v>
      </c>
      <c r="B4640" t="s">
        <v>913</v>
      </c>
      <c r="C4640" t="s">
        <v>2001</v>
      </c>
      <c r="D4640">
        <v>5</v>
      </c>
      <c r="E4640" s="16">
        <v>1500.4</v>
      </c>
      <c r="F4640" s="1">
        <v>44340</v>
      </c>
      <c r="G4640" t="s">
        <v>2027</v>
      </c>
      <c r="H4640">
        <v>3</v>
      </c>
      <c r="I4640" s="12">
        <f>Table16[[#This Row],[price]]*Table16[[#This Row],[quantity]]</f>
        <v>7502</v>
      </c>
    </row>
    <row r="4641" spans="1:9" x14ac:dyDescent="0.3">
      <c r="A4641" t="s">
        <v>6660</v>
      </c>
      <c r="B4641" t="s">
        <v>913</v>
      </c>
      <c r="C4641" t="s">
        <v>2008</v>
      </c>
      <c r="D4641">
        <v>4</v>
      </c>
      <c r="E4641" s="16">
        <v>20.92</v>
      </c>
      <c r="F4641" s="1">
        <v>44385</v>
      </c>
      <c r="G4641" t="s">
        <v>2020</v>
      </c>
      <c r="H4641">
        <v>1</v>
      </c>
      <c r="I4641" s="12">
        <f>Table16[[#This Row],[price]]*Table16[[#This Row],[quantity]]</f>
        <v>83.68</v>
      </c>
    </row>
    <row r="4642" spans="1:9" x14ac:dyDescent="0.3">
      <c r="A4642" t="s">
        <v>6656</v>
      </c>
      <c r="B4642" t="s">
        <v>913</v>
      </c>
      <c r="C4642" t="s">
        <v>2024</v>
      </c>
      <c r="D4642">
        <v>5</v>
      </c>
      <c r="E4642" s="16">
        <v>179.2</v>
      </c>
      <c r="F4642" s="1">
        <v>44417</v>
      </c>
      <c r="G4642" t="s">
        <v>2004</v>
      </c>
      <c r="H4642">
        <v>4</v>
      </c>
      <c r="I4642" s="12">
        <f>Table16[[#This Row],[price]]*Table16[[#This Row],[quantity]]</f>
        <v>896</v>
      </c>
    </row>
    <row r="4643" spans="1:9" x14ac:dyDescent="0.3">
      <c r="A4643" t="s">
        <v>6663</v>
      </c>
      <c r="B4643" t="s">
        <v>913</v>
      </c>
      <c r="C4643" t="s">
        <v>2001</v>
      </c>
      <c r="D4643">
        <v>5</v>
      </c>
      <c r="E4643" s="16">
        <v>1500.4</v>
      </c>
      <c r="F4643" s="1">
        <v>44551</v>
      </c>
      <c r="G4643" t="s">
        <v>2012</v>
      </c>
      <c r="H4643">
        <v>2</v>
      </c>
      <c r="I4643" s="12">
        <f>Table16[[#This Row],[price]]*Table16[[#This Row],[quantity]]</f>
        <v>7502</v>
      </c>
    </row>
    <row r="4644" spans="1:9" x14ac:dyDescent="0.3">
      <c r="A4644" t="s">
        <v>6659</v>
      </c>
      <c r="B4644" t="s">
        <v>913</v>
      </c>
      <c r="C4644" t="s">
        <v>2001</v>
      </c>
      <c r="D4644">
        <v>3</v>
      </c>
      <c r="E4644" s="16">
        <v>900.24</v>
      </c>
      <c r="F4644" s="1">
        <v>44580</v>
      </c>
      <c r="G4644" t="s">
        <v>2027</v>
      </c>
      <c r="H4644">
        <v>1</v>
      </c>
      <c r="I4644" s="12">
        <f>Table16[[#This Row],[price]]*Table16[[#This Row],[quantity]]</f>
        <v>2700.7200000000003</v>
      </c>
    </row>
    <row r="4645" spans="1:9" x14ac:dyDescent="0.3">
      <c r="A4645" t="s">
        <v>6657</v>
      </c>
      <c r="B4645" t="s">
        <v>913</v>
      </c>
      <c r="C4645" t="s">
        <v>2001</v>
      </c>
      <c r="D4645">
        <v>3</v>
      </c>
      <c r="E4645" s="16">
        <v>900.24</v>
      </c>
      <c r="F4645" s="1">
        <v>44602</v>
      </c>
      <c r="G4645" t="s">
        <v>2020</v>
      </c>
      <c r="H4645">
        <v>5</v>
      </c>
      <c r="I4645" s="12">
        <f>Table16[[#This Row],[price]]*Table16[[#This Row],[quantity]]</f>
        <v>2700.7200000000003</v>
      </c>
    </row>
    <row r="4646" spans="1:9" x14ac:dyDescent="0.3">
      <c r="A4646" t="s">
        <v>6658</v>
      </c>
      <c r="B4646" t="s">
        <v>913</v>
      </c>
      <c r="C4646" t="s">
        <v>2024</v>
      </c>
      <c r="D4646">
        <v>5</v>
      </c>
      <c r="E4646" s="16">
        <v>179.2</v>
      </c>
      <c r="F4646" s="1">
        <v>44893</v>
      </c>
      <c r="G4646" t="s">
        <v>2004</v>
      </c>
      <c r="H4646">
        <v>2</v>
      </c>
      <c r="I4646" s="12">
        <f>Table16[[#This Row],[price]]*Table16[[#This Row],[quantity]]</f>
        <v>896</v>
      </c>
    </row>
    <row r="4647" spans="1:9" x14ac:dyDescent="0.3">
      <c r="A4647" t="s">
        <v>6661</v>
      </c>
      <c r="B4647" t="s">
        <v>913</v>
      </c>
      <c r="C4647" t="s">
        <v>2001</v>
      </c>
      <c r="D4647">
        <v>1</v>
      </c>
      <c r="E4647" s="16">
        <v>300.08</v>
      </c>
      <c r="F4647" s="1">
        <v>44953</v>
      </c>
      <c r="G4647" t="s">
        <v>2027</v>
      </c>
      <c r="H4647">
        <v>4</v>
      </c>
      <c r="I4647" s="12">
        <f>Table16[[#This Row],[price]]*Table16[[#This Row],[quantity]]</f>
        <v>300.08</v>
      </c>
    </row>
    <row r="4648" spans="1:9" x14ac:dyDescent="0.3">
      <c r="A4648" t="s">
        <v>6666</v>
      </c>
      <c r="B4648" t="s">
        <v>914</v>
      </c>
      <c r="C4648" t="s">
        <v>2057</v>
      </c>
      <c r="D4648">
        <v>4</v>
      </c>
      <c r="E4648" s="16">
        <v>46.92</v>
      </c>
      <c r="F4648" s="1">
        <v>44296</v>
      </c>
      <c r="G4648" t="s">
        <v>2058</v>
      </c>
      <c r="H4648">
        <v>2</v>
      </c>
      <c r="I4648" s="12">
        <f>Table16[[#This Row],[price]]*Table16[[#This Row],[quantity]]</f>
        <v>187.68</v>
      </c>
    </row>
    <row r="4649" spans="1:9" x14ac:dyDescent="0.3">
      <c r="A4649" t="s">
        <v>6668</v>
      </c>
      <c r="B4649" t="s">
        <v>914</v>
      </c>
      <c r="C4649" t="s">
        <v>2008</v>
      </c>
      <c r="D4649">
        <v>1</v>
      </c>
      <c r="E4649" s="16">
        <v>5.23</v>
      </c>
      <c r="F4649" s="1">
        <v>44409</v>
      </c>
      <c r="G4649" t="s">
        <v>2018</v>
      </c>
      <c r="H4649">
        <v>3</v>
      </c>
      <c r="I4649" s="12">
        <f>Table16[[#This Row],[price]]*Table16[[#This Row],[quantity]]</f>
        <v>5.23</v>
      </c>
    </row>
    <row r="4650" spans="1:9" x14ac:dyDescent="0.3">
      <c r="A4650" t="s">
        <v>6669</v>
      </c>
      <c r="B4650" t="s">
        <v>914</v>
      </c>
      <c r="C4650" t="s">
        <v>2015</v>
      </c>
      <c r="D4650">
        <v>2</v>
      </c>
      <c r="E4650" s="16">
        <v>1200.3399999999999</v>
      </c>
      <c r="F4650" s="1">
        <v>44594</v>
      </c>
      <c r="G4650" t="s">
        <v>2064</v>
      </c>
      <c r="H4650">
        <v>5</v>
      </c>
      <c r="I4650" s="12">
        <f>Table16[[#This Row],[price]]*Table16[[#This Row],[quantity]]</f>
        <v>2400.6799999999998</v>
      </c>
    </row>
    <row r="4651" spans="1:9" x14ac:dyDescent="0.3">
      <c r="A4651" t="s">
        <v>6664</v>
      </c>
      <c r="B4651" t="s">
        <v>914</v>
      </c>
      <c r="C4651" t="s">
        <v>2017</v>
      </c>
      <c r="D4651">
        <v>2</v>
      </c>
      <c r="E4651" s="16">
        <v>2100</v>
      </c>
      <c r="F4651" s="1">
        <v>44717</v>
      </c>
      <c r="G4651" t="s">
        <v>2004</v>
      </c>
      <c r="H4651">
        <v>1</v>
      </c>
      <c r="I4651" s="12">
        <f>Table16[[#This Row],[price]]*Table16[[#This Row],[quantity]]</f>
        <v>4200</v>
      </c>
    </row>
    <row r="4652" spans="1:9" x14ac:dyDescent="0.3">
      <c r="A4652" t="s">
        <v>6665</v>
      </c>
      <c r="B4652" t="s">
        <v>914</v>
      </c>
      <c r="C4652" t="s">
        <v>2011</v>
      </c>
      <c r="D4652">
        <v>2</v>
      </c>
      <c r="E4652" s="16">
        <v>81.319999999999993</v>
      </c>
      <c r="F4652" s="1">
        <v>44835</v>
      </c>
      <c r="G4652" t="s">
        <v>2004</v>
      </c>
      <c r="H4652">
        <v>2</v>
      </c>
      <c r="I4652" s="12">
        <f>Table16[[#This Row],[price]]*Table16[[#This Row],[quantity]]</f>
        <v>162.63999999999999</v>
      </c>
    </row>
    <row r="4653" spans="1:9" x14ac:dyDescent="0.3">
      <c r="A4653" t="s">
        <v>6667</v>
      </c>
      <c r="B4653" t="s">
        <v>914</v>
      </c>
      <c r="C4653" t="s">
        <v>2015</v>
      </c>
      <c r="D4653">
        <v>3</v>
      </c>
      <c r="E4653" s="16">
        <v>1800.51</v>
      </c>
      <c r="F4653" s="1">
        <v>44970</v>
      </c>
      <c r="G4653" t="s">
        <v>2027</v>
      </c>
      <c r="H4653">
        <v>1</v>
      </c>
      <c r="I4653" s="12">
        <f>Table16[[#This Row],[price]]*Table16[[#This Row],[quantity]]</f>
        <v>5401.53</v>
      </c>
    </row>
    <row r="4654" spans="1:9" x14ac:dyDescent="0.3">
      <c r="A4654" t="s">
        <v>6672</v>
      </c>
      <c r="B4654" t="s">
        <v>915</v>
      </c>
      <c r="C4654" t="s">
        <v>2001</v>
      </c>
      <c r="D4654">
        <v>1</v>
      </c>
      <c r="E4654" s="16">
        <v>300.08</v>
      </c>
      <c r="F4654" s="1">
        <v>44203</v>
      </c>
      <c r="G4654" t="s">
        <v>2020</v>
      </c>
      <c r="H4654">
        <v>2</v>
      </c>
      <c r="I4654" s="12">
        <f>Table16[[#This Row],[price]]*Table16[[#This Row],[quantity]]</f>
        <v>300.08</v>
      </c>
    </row>
    <row r="4655" spans="1:9" x14ac:dyDescent="0.3">
      <c r="A4655" t="s">
        <v>6670</v>
      </c>
      <c r="B4655" t="s">
        <v>915</v>
      </c>
      <c r="C4655" t="s">
        <v>2011</v>
      </c>
      <c r="D4655">
        <v>5</v>
      </c>
      <c r="E4655" s="16">
        <v>203.3</v>
      </c>
      <c r="F4655" s="1">
        <v>44549</v>
      </c>
      <c r="G4655" t="s">
        <v>2027</v>
      </c>
      <c r="H4655">
        <v>2</v>
      </c>
      <c r="I4655" s="12">
        <f>Table16[[#This Row],[price]]*Table16[[#This Row],[quantity]]</f>
        <v>1016.5</v>
      </c>
    </row>
    <row r="4656" spans="1:9" x14ac:dyDescent="0.3">
      <c r="A4656" t="s">
        <v>6671</v>
      </c>
      <c r="B4656" t="s">
        <v>915</v>
      </c>
      <c r="C4656" t="s">
        <v>2001</v>
      </c>
      <c r="D4656">
        <v>5</v>
      </c>
      <c r="E4656" s="16">
        <v>1500.4</v>
      </c>
      <c r="F4656" s="1">
        <v>44733</v>
      </c>
      <c r="G4656" t="s">
        <v>2004</v>
      </c>
      <c r="H4656">
        <v>5</v>
      </c>
      <c r="I4656" s="12">
        <f>Table16[[#This Row],[price]]*Table16[[#This Row],[quantity]]</f>
        <v>7502</v>
      </c>
    </row>
    <row r="4657" spans="1:9" x14ac:dyDescent="0.3">
      <c r="A4657" t="s">
        <v>6673</v>
      </c>
      <c r="B4657" t="s">
        <v>915</v>
      </c>
      <c r="C4657" t="s">
        <v>2008</v>
      </c>
      <c r="D4657">
        <v>5</v>
      </c>
      <c r="E4657" s="16">
        <v>26.15</v>
      </c>
      <c r="F4657" s="1">
        <v>44933</v>
      </c>
      <c r="G4657" t="s">
        <v>2020</v>
      </c>
      <c r="H4657">
        <v>1</v>
      </c>
      <c r="I4657" s="12">
        <f>Table16[[#This Row],[price]]*Table16[[#This Row],[quantity]]</f>
        <v>130.75</v>
      </c>
    </row>
    <row r="4658" spans="1:9" x14ac:dyDescent="0.3">
      <c r="A4658" t="s">
        <v>6677</v>
      </c>
      <c r="B4658" t="s">
        <v>916</v>
      </c>
      <c r="C4658" t="s">
        <v>2001</v>
      </c>
      <c r="D4658">
        <v>3</v>
      </c>
      <c r="E4658" s="16">
        <v>900.24</v>
      </c>
      <c r="F4658" s="1">
        <v>44491</v>
      </c>
      <c r="G4658" t="s">
        <v>2020</v>
      </c>
      <c r="H4658">
        <v>2</v>
      </c>
      <c r="I4658" s="12">
        <f>Table16[[#This Row],[price]]*Table16[[#This Row],[quantity]]</f>
        <v>2700.7200000000003</v>
      </c>
    </row>
    <row r="4659" spans="1:9" x14ac:dyDescent="0.3">
      <c r="A4659" t="s">
        <v>6678</v>
      </c>
      <c r="B4659" t="s">
        <v>916</v>
      </c>
      <c r="C4659" t="s">
        <v>2001</v>
      </c>
      <c r="D4659">
        <v>2</v>
      </c>
      <c r="E4659" s="16">
        <v>600.16</v>
      </c>
      <c r="F4659" s="1">
        <v>44594</v>
      </c>
      <c r="G4659" t="s">
        <v>2027</v>
      </c>
      <c r="H4659">
        <v>1</v>
      </c>
      <c r="I4659" s="12">
        <f>Table16[[#This Row],[price]]*Table16[[#This Row],[quantity]]</f>
        <v>1200.32</v>
      </c>
    </row>
    <row r="4660" spans="1:9" x14ac:dyDescent="0.3">
      <c r="A4660" t="s">
        <v>6675</v>
      </c>
      <c r="B4660" t="s">
        <v>916</v>
      </c>
      <c r="C4660" t="s">
        <v>2001</v>
      </c>
      <c r="D4660">
        <v>4</v>
      </c>
      <c r="E4660" s="16">
        <v>1200.32</v>
      </c>
      <c r="F4660" s="1">
        <v>44652</v>
      </c>
      <c r="G4660" t="s">
        <v>2018</v>
      </c>
      <c r="H4660">
        <v>1</v>
      </c>
      <c r="I4660" s="12">
        <f>Table16[[#This Row],[price]]*Table16[[#This Row],[quantity]]</f>
        <v>4801.28</v>
      </c>
    </row>
    <row r="4661" spans="1:9" x14ac:dyDescent="0.3">
      <c r="A4661" t="s">
        <v>6680</v>
      </c>
      <c r="B4661" t="s">
        <v>916</v>
      </c>
      <c r="C4661" t="s">
        <v>2057</v>
      </c>
      <c r="D4661">
        <v>3</v>
      </c>
      <c r="E4661" s="16">
        <v>35.19</v>
      </c>
      <c r="F4661" s="1">
        <v>44704</v>
      </c>
      <c r="G4661" t="s">
        <v>2027</v>
      </c>
      <c r="H4661">
        <v>3</v>
      </c>
      <c r="I4661" s="12">
        <f>Table16[[#This Row],[price]]*Table16[[#This Row],[quantity]]</f>
        <v>105.57</v>
      </c>
    </row>
    <row r="4662" spans="1:9" x14ac:dyDescent="0.3">
      <c r="A4662" t="s">
        <v>6676</v>
      </c>
      <c r="B4662" t="s">
        <v>916</v>
      </c>
      <c r="C4662" t="s">
        <v>2001</v>
      </c>
      <c r="D4662">
        <v>1</v>
      </c>
      <c r="E4662" s="16">
        <v>300.08</v>
      </c>
      <c r="F4662" s="1">
        <v>44718</v>
      </c>
      <c r="G4662" t="s">
        <v>2004</v>
      </c>
      <c r="H4662">
        <v>2</v>
      </c>
      <c r="I4662" s="12">
        <f>Table16[[#This Row],[price]]*Table16[[#This Row],[quantity]]</f>
        <v>300.08</v>
      </c>
    </row>
    <row r="4663" spans="1:9" x14ac:dyDescent="0.3">
      <c r="A4663" t="s">
        <v>6679</v>
      </c>
      <c r="B4663" t="s">
        <v>916</v>
      </c>
      <c r="C4663" t="s">
        <v>2001</v>
      </c>
      <c r="D4663">
        <v>2</v>
      </c>
      <c r="E4663" s="16">
        <v>600.16</v>
      </c>
      <c r="F4663" s="1">
        <v>44873</v>
      </c>
      <c r="G4663" t="s">
        <v>2041</v>
      </c>
      <c r="H4663">
        <v>2</v>
      </c>
      <c r="I4663" s="12">
        <f>Table16[[#This Row],[price]]*Table16[[#This Row],[quantity]]</f>
        <v>1200.32</v>
      </c>
    </row>
    <row r="4664" spans="1:9" x14ac:dyDescent="0.3">
      <c r="A4664" t="s">
        <v>6674</v>
      </c>
      <c r="B4664" t="s">
        <v>916</v>
      </c>
      <c r="C4664" t="s">
        <v>2001</v>
      </c>
      <c r="D4664">
        <v>3</v>
      </c>
      <c r="E4664" s="16">
        <v>900.24</v>
      </c>
      <c r="F4664" s="1">
        <v>44983</v>
      </c>
      <c r="G4664" t="s">
        <v>2064</v>
      </c>
      <c r="H4664">
        <v>4</v>
      </c>
      <c r="I4664" s="12">
        <f>Table16[[#This Row],[price]]*Table16[[#This Row],[quantity]]</f>
        <v>2700.7200000000003</v>
      </c>
    </row>
    <row r="4665" spans="1:9" x14ac:dyDescent="0.3">
      <c r="A4665" t="s">
        <v>6683</v>
      </c>
      <c r="B4665" t="s">
        <v>917</v>
      </c>
      <c r="C4665" t="s">
        <v>2011</v>
      </c>
      <c r="D4665">
        <v>4</v>
      </c>
      <c r="E4665" s="16">
        <v>162.63999999999999</v>
      </c>
      <c r="F4665" s="1">
        <v>44239</v>
      </c>
      <c r="G4665" t="s">
        <v>2027</v>
      </c>
      <c r="H4665">
        <v>2</v>
      </c>
      <c r="I4665" s="12">
        <f>Table16[[#This Row],[price]]*Table16[[#This Row],[quantity]]</f>
        <v>650.55999999999995</v>
      </c>
    </row>
    <row r="4666" spans="1:9" x14ac:dyDescent="0.3">
      <c r="A4666" t="s">
        <v>6681</v>
      </c>
      <c r="B4666" t="s">
        <v>917</v>
      </c>
      <c r="C4666" t="s">
        <v>2024</v>
      </c>
      <c r="D4666">
        <v>5</v>
      </c>
      <c r="E4666" s="16">
        <v>179.2</v>
      </c>
      <c r="F4666" s="1">
        <v>44322</v>
      </c>
      <c r="G4666" t="s">
        <v>2004</v>
      </c>
      <c r="H4666">
        <v>4</v>
      </c>
      <c r="I4666" s="12">
        <f>Table16[[#This Row],[price]]*Table16[[#This Row],[quantity]]</f>
        <v>896</v>
      </c>
    </row>
    <row r="4667" spans="1:9" x14ac:dyDescent="0.3">
      <c r="A4667" t="s">
        <v>6684</v>
      </c>
      <c r="B4667" t="s">
        <v>917</v>
      </c>
      <c r="C4667" t="s">
        <v>2011</v>
      </c>
      <c r="D4667">
        <v>1</v>
      </c>
      <c r="E4667" s="16">
        <v>40.659999999999997</v>
      </c>
      <c r="F4667" s="1">
        <v>44414</v>
      </c>
      <c r="G4667" t="s">
        <v>2004</v>
      </c>
      <c r="H4667">
        <v>1</v>
      </c>
      <c r="I4667" s="12">
        <f>Table16[[#This Row],[price]]*Table16[[#This Row],[quantity]]</f>
        <v>40.659999999999997</v>
      </c>
    </row>
    <row r="4668" spans="1:9" x14ac:dyDescent="0.3">
      <c r="A4668" t="s">
        <v>6682</v>
      </c>
      <c r="B4668" t="s">
        <v>917</v>
      </c>
      <c r="C4668" t="s">
        <v>2001</v>
      </c>
      <c r="D4668">
        <v>4</v>
      </c>
      <c r="E4668" s="16">
        <v>1200.32</v>
      </c>
      <c r="F4668" s="1">
        <v>44631</v>
      </c>
      <c r="G4668" t="s">
        <v>2020</v>
      </c>
      <c r="H4668">
        <v>2</v>
      </c>
      <c r="I4668" s="12">
        <f>Table16[[#This Row],[price]]*Table16[[#This Row],[quantity]]</f>
        <v>4801.28</v>
      </c>
    </row>
    <row r="4669" spans="1:9" x14ac:dyDescent="0.3">
      <c r="A4669" t="s">
        <v>6685</v>
      </c>
      <c r="B4669" t="s">
        <v>918</v>
      </c>
      <c r="C4669" t="s">
        <v>2006</v>
      </c>
      <c r="D4669">
        <v>3</v>
      </c>
      <c r="E4669" s="16">
        <v>45.45</v>
      </c>
      <c r="F4669" s="1">
        <v>44204</v>
      </c>
      <c r="G4669" t="s">
        <v>2018</v>
      </c>
      <c r="H4669">
        <v>2</v>
      </c>
      <c r="I4669" s="12">
        <f>Table16[[#This Row],[price]]*Table16[[#This Row],[quantity]]</f>
        <v>136.35000000000002</v>
      </c>
    </row>
    <row r="4670" spans="1:9" x14ac:dyDescent="0.3">
      <c r="A4670" t="s">
        <v>6686</v>
      </c>
      <c r="B4670" t="s">
        <v>918</v>
      </c>
      <c r="C4670" t="s">
        <v>2011</v>
      </c>
      <c r="D4670">
        <v>4</v>
      </c>
      <c r="E4670" s="16">
        <v>162.63999999999999</v>
      </c>
      <c r="F4670" s="1">
        <v>44335</v>
      </c>
      <c r="G4670" t="s">
        <v>2027</v>
      </c>
      <c r="H4670">
        <v>4</v>
      </c>
      <c r="I4670" s="12">
        <f>Table16[[#This Row],[price]]*Table16[[#This Row],[quantity]]</f>
        <v>650.55999999999995</v>
      </c>
    </row>
    <row r="4671" spans="1:9" x14ac:dyDescent="0.3">
      <c r="A4671" t="s">
        <v>6687</v>
      </c>
      <c r="B4671" t="s">
        <v>918</v>
      </c>
      <c r="C4671" t="s">
        <v>2006</v>
      </c>
      <c r="D4671">
        <v>3</v>
      </c>
      <c r="E4671" s="16">
        <v>45.45</v>
      </c>
      <c r="F4671" s="1">
        <v>44432</v>
      </c>
      <c r="G4671" t="s">
        <v>2002</v>
      </c>
      <c r="H4671">
        <v>4</v>
      </c>
      <c r="I4671" s="12">
        <f>Table16[[#This Row],[price]]*Table16[[#This Row],[quantity]]</f>
        <v>136.35000000000002</v>
      </c>
    </row>
    <row r="4672" spans="1:9" x14ac:dyDescent="0.3">
      <c r="A4672" t="s">
        <v>6690</v>
      </c>
      <c r="B4672" t="s">
        <v>918</v>
      </c>
      <c r="C4672" t="s">
        <v>2011</v>
      </c>
      <c r="D4672">
        <v>2</v>
      </c>
      <c r="E4672" s="16">
        <v>81.319999999999993</v>
      </c>
      <c r="F4672" s="1">
        <v>44587</v>
      </c>
      <c r="G4672" t="s">
        <v>2004</v>
      </c>
      <c r="H4672">
        <v>1</v>
      </c>
      <c r="I4672" s="12">
        <f>Table16[[#This Row],[price]]*Table16[[#This Row],[quantity]]</f>
        <v>162.63999999999999</v>
      </c>
    </row>
    <row r="4673" spans="1:9" x14ac:dyDescent="0.3">
      <c r="A4673" t="s">
        <v>6691</v>
      </c>
      <c r="B4673" t="s">
        <v>918</v>
      </c>
      <c r="C4673" t="s">
        <v>2001</v>
      </c>
      <c r="D4673">
        <v>2</v>
      </c>
      <c r="E4673" s="16">
        <v>600.16</v>
      </c>
      <c r="F4673" s="1">
        <v>44694</v>
      </c>
      <c r="G4673" t="s">
        <v>2027</v>
      </c>
      <c r="H4673">
        <v>4</v>
      </c>
      <c r="I4673" s="12">
        <f>Table16[[#This Row],[price]]*Table16[[#This Row],[quantity]]</f>
        <v>1200.32</v>
      </c>
    </row>
    <row r="4674" spans="1:9" x14ac:dyDescent="0.3">
      <c r="A4674" t="s">
        <v>6692</v>
      </c>
      <c r="B4674" t="s">
        <v>918</v>
      </c>
      <c r="C4674" t="s">
        <v>2001</v>
      </c>
      <c r="D4674">
        <v>5</v>
      </c>
      <c r="E4674" s="16">
        <v>1500.4</v>
      </c>
      <c r="F4674" s="1">
        <v>44919</v>
      </c>
      <c r="G4674" t="s">
        <v>2018</v>
      </c>
      <c r="H4674">
        <v>2</v>
      </c>
      <c r="I4674" s="12">
        <f>Table16[[#This Row],[price]]*Table16[[#This Row],[quantity]]</f>
        <v>7502</v>
      </c>
    </row>
    <row r="4675" spans="1:9" x14ac:dyDescent="0.3">
      <c r="A4675" t="s">
        <v>6688</v>
      </c>
      <c r="B4675" t="s">
        <v>918</v>
      </c>
      <c r="C4675" t="s">
        <v>2011</v>
      </c>
      <c r="D4675">
        <v>1</v>
      </c>
      <c r="E4675" s="16">
        <v>40.659999999999997</v>
      </c>
      <c r="F4675" s="1">
        <v>44939</v>
      </c>
      <c r="G4675" t="s">
        <v>2064</v>
      </c>
      <c r="H4675">
        <v>5</v>
      </c>
      <c r="I4675" s="12">
        <f>Table16[[#This Row],[price]]*Table16[[#This Row],[quantity]]</f>
        <v>40.659999999999997</v>
      </c>
    </row>
    <row r="4676" spans="1:9" x14ac:dyDescent="0.3">
      <c r="A4676" t="s">
        <v>6689</v>
      </c>
      <c r="B4676" t="s">
        <v>918</v>
      </c>
      <c r="C4676" t="s">
        <v>2001</v>
      </c>
      <c r="D4676">
        <v>5</v>
      </c>
      <c r="E4676" s="16">
        <v>1500.4</v>
      </c>
      <c r="F4676" s="1">
        <v>44956</v>
      </c>
      <c r="G4676" t="s">
        <v>2027</v>
      </c>
      <c r="H4676">
        <v>5</v>
      </c>
      <c r="I4676" s="12">
        <f>Table16[[#This Row],[price]]*Table16[[#This Row],[quantity]]</f>
        <v>7502</v>
      </c>
    </row>
    <row r="4677" spans="1:9" x14ac:dyDescent="0.3">
      <c r="A4677" t="s">
        <v>6693</v>
      </c>
      <c r="B4677" t="s">
        <v>919</v>
      </c>
      <c r="C4677" t="s">
        <v>2008</v>
      </c>
      <c r="D4677">
        <v>3</v>
      </c>
      <c r="E4677" s="16">
        <v>15.69</v>
      </c>
      <c r="F4677" s="1">
        <v>44315</v>
      </c>
      <c r="G4677" t="s">
        <v>2020</v>
      </c>
      <c r="H4677">
        <v>4</v>
      </c>
      <c r="I4677" s="12">
        <f>Table16[[#This Row],[price]]*Table16[[#This Row],[quantity]]</f>
        <v>47.07</v>
      </c>
    </row>
    <row r="4678" spans="1:9" x14ac:dyDescent="0.3">
      <c r="A4678" t="s">
        <v>6694</v>
      </c>
      <c r="B4678" t="s">
        <v>919</v>
      </c>
      <c r="C4678" t="s">
        <v>2008</v>
      </c>
      <c r="D4678">
        <v>5</v>
      </c>
      <c r="E4678" s="16">
        <v>26.15</v>
      </c>
      <c r="F4678" s="1">
        <v>44546</v>
      </c>
      <c r="G4678" t="s">
        <v>2064</v>
      </c>
      <c r="H4678">
        <v>3</v>
      </c>
      <c r="I4678" s="12">
        <f>Table16[[#This Row],[price]]*Table16[[#This Row],[quantity]]</f>
        <v>130.75</v>
      </c>
    </row>
    <row r="4679" spans="1:9" x14ac:dyDescent="0.3">
      <c r="A4679" t="s">
        <v>6695</v>
      </c>
      <c r="B4679" t="s">
        <v>919</v>
      </c>
      <c r="C4679" t="s">
        <v>2001</v>
      </c>
      <c r="D4679">
        <v>5</v>
      </c>
      <c r="E4679" s="16">
        <v>1500.4</v>
      </c>
      <c r="F4679" s="1">
        <v>44693</v>
      </c>
      <c r="G4679" t="s">
        <v>2020</v>
      </c>
      <c r="H4679">
        <v>2</v>
      </c>
      <c r="I4679" s="12">
        <f>Table16[[#This Row],[price]]*Table16[[#This Row],[quantity]]</f>
        <v>7502</v>
      </c>
    </row>
    <row r="4680" spans="1:9" x14ac:dyDescent="0.3">
      <c r="A4680" t="s">
        <v>6696</v>
      </c>
      <c r="B4680" t="s">
        <v>920</v>
      </c>
      <c r="C4680" t="s">
        <v>2001</v>
      </c>
      <c r="D4680">
        <v>5</v>
      </c>
      <c r="E4680" s="16">
        <v>1500.4</v>
      </c>
      <c r="F4680" s="1">
        <v>44248</v>
      </c>
      <c r="G4680" t="s">
        <v>2064</v>
      </c>
      <c r="H4680">
        <v>5</v>
      </c>
      <c r="I4680" s="12">
        <f>Table16[[#This Row],[price]]*Table16[[#This Row],[quantity]]</f>
        <v>7502</v>
      </c>
    </row>
    <row r="4681" spans="1:9" x14ac:dyDescent="0.3">
      <c r="A4681" t="s">
        <v>6698</v>
      </c>
      <c r="B4681" t="s">
        <v>920</v>
      </c>
      <c r="C4681" t="s">
        <v>2015</v>
      </c>
      <c r="D4681">
        <v>4</v>
      </c>
      <c r="E4681" s="16">
        <v>2400.6799999999998</v>
      </c>
      <c r="F4681" s="1">
        <v>44453</v>
      </c>
      <c r="G4681" t="s">
        <v>2004</v>
      </c>
      <c r="H4681">
        <v>4</v>
      </c>
      <c r="I4681" s="12">
        <f>Table16[[#This Row],[price]]*Table16[[#This Row],[quantity]]</f>
        <v>9602.7199999999993</v>
      </c>
    </row>
    <row r="4682" spans="1:9" x14ac:dyDescent="0.3">
      <c r="A4682" t="s">
        <v>6697</v>
      </c>
      <c r="B4682" t="s">
        <v>920</v>
      </c>
      <c r="C4682" t="s">
        <v>2024</v>
      </c>
      <c r="D4682">
        <v>4</v>
      </c>
      <c r="E4682" s="16">
        <v>143.36000000000001</v>
      </c>
      <c r="F4682" s="1">
        <v>44687</v>
      </c>
      <c r="G4682" t="s">
        <v>2020</v>
      </c>
      <c r="H4682">
        <v>4</v>
      </c>
      <c r="I4682" s="12">
        <f>Table16[[#This Row],[price]]*Table16[[#This Row],[quantity]]</f>
        <v>573.44000000000005</v>
      </c>
    </row>
    <row r="4683" spans="1:9" x14ac:dyDescent="0.3">
      <c r="A4683" t="s">
        <v>6699</v>
      </c>
      <c r="B4683" t="s">
        <v>921</v>
      </c>
      <c r="C4683" t="s">
        <v>2024</v>
      </c>
      <c r="D4683">
        <v>1</v>
      </c>
      <c r="E4683" s="16">
        <v>35.840000000000003</v>
      </c>
      <c r="F4683" s="1">
        <v>44289</v>
      </c>
      <c r="G4683" t="s">
        <v>2027</v>
      </c>
      <c r="H4683">
        <v>4</v>
      </c>
      <c r="I4683" s="12">
        <f>Table16[[#This Row],[price]]*Table16[[#This Row],[quantity]]</f>
        <v>35.840000000000003</v>
      </c>
    </row>
    <row r="4684" spans="1:9" x14ac:dyDescent="0.3">
      <c r="A4684" t="s">
        <v>6700</v>
      </c>
      <c r="B4684" t="s">
        <v>921</v>
      </c>
      <c r="C4684" t="s">
        <v>2001</v>
      </c>
      <c r="D4684">
        <v>5</v>
      </c>
      <c r="E4684" s="16">
        <v>1500.4</v>
      </c>
      <c r="F4684" s="1">
        <v>44898</v>
      </c>
      <c r="G4684" t="s">
        <v>2041</v>
      </c>
      <c r="H4684">
        <v>1</v>
      </c>
      <c r="I4684" s="12">
        <f>Table16[[#This Row],[price]]*Table16[[#This Row],[quantity]]</f>
        <v>7502</v>
      </c>
    </row>
    <row r="4685" spans="1:9" x14ac:dyDescent="0.3">
      <c r="A4685" t="s">
        <v>6701</v>
      </c>
      <c r="B4685" t="s">
        <v>922</v>
      </c>
      <c r="C4685" t="s">
        <v>2057</v>
      </c>
      <c r="D4685">
        <v>2</v>
      </c>
      <c r="E4685" s="16">
        <v>23.46</v>
      </c>
      <c r="F4685" s="1">
        <v>44300</v>
      </c>
      <c r="G4685" t="s">
        <v>2004</v>
      </c>
      <c r="H4685">
        <v>5</v>
      </c>
      <c r="I4685" s="12">
        <f>Table16[[#This Row],[price]]*Table16[[#This Row],[quantity]]</f>
        <v>46.92</v>
      </c>
    </row>
    <row r="4686" spans="1:9" x14ac:dyDescent="0.3">
      <c r="A4686" t="s">
        <v>6705</v>
      </c>
      <c r="B4686" t="s">
        <v>922</v>
      </c>
      <c r="C4686" t="s">
        <v>2008</v>
      </c>
      <c r="D4686">
        <v>3</v>
      </c>
      <c r="E4686" s="16">
        <v>15.69</v>
      </c>
      <c r="F4686" s="1">
        <v>44459</v>
      </c>
      <c r="G4686" t="s">
        <v>2027</v>
      </c>
      <c r="H4686">
        <v>5</v>
      </c>
      <c r="I4686" s="12">
        <f>Table16[[#This Row],[price]]*Table16[[#This Row],[quantity]]</f>
        <v>47.07</v>
      </c>
    </row>
    <row r="4687" spans="1:9" x14ac:dyDescent="0.3">
      <c r="A4687" t="s">
        <v>6703</v>
      </c>
      <c r="B4687" t="s">
        <v>922</v>
      </c>
      <c r="C4687" t="s">
        <v>2008</v>
      </c>
      <c r="D4687">
        <v>4</v>
      </c>
      <c r="E4687" s="16">
        <v>20.92</v>
      </c>
      <c r="F4687" s="1">
        <v>44744</v>
      </c>
      <c r="G4687" t="s">
        <v>2064</v>
      </c>
      <c r="H4687">
        <v>4</v>
      </c>
      <c r="I4687" s="12">
        <f>Table16[[#This Row],[price]]*Table16[[#This Row],[quantity]]</f>
        <v>83.68</v>
      </c>
    </row>
    <row r="4688" spans="1:9" x14ac:dyDescent="0.3">
      <c r="A4688" t="s">
        <v>6704</v>
      </c>
      <c r="B4688" t="s">
        <v>922</v>
      </c>
      <c r="C4688" t="s">
        <v>2001</v>
      </c>
      <c r="D4688">
        <v>5</v>
      </c>
      <c r="E4688" s="16">
        <v>1500.4</v>
      </c>
      <c r="F4688" s="1">
        <v>44771</v>
      </c>
      <c r="G4688" t="s">
        <v>2004</v>
      </c>
      <c r="H4688">
        <v>3</v>
      </c>
      <c r="I4688" s="12">
        <f>Table16[[#This Row],[price]]*Table16[[#This Row],[quantity]]</f>
        <v>7502</v>
      </c>
    </row>
    <row r="4689" spans="1:9" x14ac:dyDescent="0.3">
      <c r="A4689" t="s">
        <v>6702</v>
      </c>
      <c r="B4689" t="s">
        <v>922</v>
      </c>
      <c r="C4689" t="s">
        <v>2015</v>
      </c>
      <c r="D4689">
        <v>4</v>
      </c>
      <c r="E4689" s="16">
        <v>2400.6799999999998</v>
      </c>
      <c r="F4689" s="1">
        <v>44811</v>
      </c>
      <c r="G4689" t="s">
        <v>2041</v>
      </c>
      <c r="H4689">
        <v>4</v>
      </c>
      <c r="I4689" s="12">
        <f>Table16[[#This Row],[price]]*Table16[[#This Row],[quantity]]</f>
        <v>9602.7199999999993</v>
      </c>
    </row>
    <row r="4690" spans="1:9" x14ac:dyDescent="0.3">
      <c r="A4690" t="s">
        <v>6706</v>
      </c>
      <c r="B4690" t="s">
        <v>922</v>
      </c>
      <c r="C4690" t="s">
        <v>2001</v>
      </c>
      <c r="D4690">
        <v>4</v>
      </c>
      <c r="E4690" s="16">
        <v>1200.32</v>
      </c>
      <c r="F4690" s="1">
        <v>44924</v>
      </c>
      <c r="G4690" t="s">
        <v>2012</v>
      </c>
      <c r="H4690">
        <v>2</v>
      </c>
      <c r="I4690" s="12">
        <f>Table16[[#This Row],[price]]*Table16[[#This Row],[quantity]]</f>
        <v>4801.28</v>
      </c>
    </row>
    <row r="4691" spans="1:9" x14ac:dyDescent="0.3">
      <c r="A4691" t="s">
        <v>6708</v>
      </c>
      <c r="B4691" t="s">
        <v>923</v>
      </c>
      <c r="C4691" t="s">
        <v>2001</v>
      </c>
      <c r="D4691">
        <v>2</v>
      </c>
      <c r="E4691" s="16">
        <v>600.16</v>
      </c>
      <c r="F4691" s="1">
        <v>44527</v>
      </c>
      <c r="G4691" t="s">
        <v>2027</v>
      </c>
      <c r="H4691">
        <v>1</v>
      </c>
      <c r="I4691" s="12">
        <f>Table16[[#This Row],[price]]*Table16[[#This Row],[quantity]]</f>
        <v>1200.32</v>
      </c>
    </row>
    <row r="4692" spans="1:9" x14ac:dyDescent="0.3">
      <c r="A4692" t="s">
        <v>6709</v>
      </c>
      <c r="B4692" t="s">
        <v>923</v>
      </c>
      <c r="C4692" t="s">
        <v>2011</v>
      </c>
      <c r="D4692">
        <v>3</v>
      </c>
      <c r="E4692" s="16">
        <v>121.98</v>
      </c>
      <c r="F4692" s="1">
        <v>44584</v>
      </c>
      <c r="G4692" t="s">
        <v>2020</v>
      </c>
      <c r="H4692">
        <v>5</v>
      </c>
      <c r="I4692" s="12">
        <f>Table16[[#This Row],[price]]*Table16[[#This Row],[quantity]]</f>
        <v>365.94</v>
      </c>
    </row>
    <row r="4693" spans="1:9" x14ac:dyDescent="0.3">
      <c r="A4693" t="s">
        <v>6707</v>
      </c>
      <c r="B4693" t="s">
        <v>923</v>
      </c>
      <c r="C4693" t="s">
        <v>2001</v>
      </c>
      <c r="D4693">
        <v>4</v>
      </c>
      <c r="E4693" s="16">
        <v>1200.32</v>
      </c>
      <c r="F4693" s="1">
        <v>44976</v>
      </c>
      <c r="G4693" t="s">
        <v>2027</v>
      </c>
      <c r="H4693">
        <v>3</v>
      </c>
      <c r="I4693" s="12">
        <f>Table16[[#This Row],[price]]*Table16[[#This Row],[quantity]]</f>
        <v>4801.28</v>
      </c>
    </row>
    <row r="4694" spans="1:9" x14ac:dyDescent="0.3">
      <c r="A4694" t="s">
        <v>6710</v>
      </c>
      <c r="B4694" t="s">
        <v>924</v>
      </c>
      <c r="C4694" t="s">
        <v>2015</v>
      </c>
      <c r="D4694">
        <v>5</v>
      </c>
      <c r="E4694" s="16">
        <v>3000.85</v>
      </c>
      <c r="F4694" s="1">
        <v>44397</v>
      </c>
      <c r="G4694" t="s">
        <v>2058</v>
      </c>
      <c r="H4694">
        <v>1</v>
      </c>
      <c r="I4694" s="12">
        <f>Table16[[#This Row],[price]]*Table16[[#This Row],[quantity]]</f>
        <v>15004.25</v>
      </c>
    </row>
    <row r="4695" spans="1:9" x14ac:dyDescent="0.3">
      <c r="A4695" t="s">
        <v>6712</v>
      </c>
      <c r="B4695" t="s">
        <v>924</v>
      </c>
      <c r="C4695" t="s">
        <v>2011</v>
      </c>
      <c r="D4695">
        <v>4</v>
      </c>
      <c r="E4695" s="16">
        <v>162.63999999999999</v>
      </c>
      <c r="F4695" s="1">
        <v>44489</v>
      </c>
      <c r="G4695" t="s">
        <v>2064</v>
      </c>
      <c r="H4695">
        <v>4</v>
      </c>
      <c r="I4695" s="12">
        <f>Table16[[#This Row],[price]]*Table16[[#This Row],[quantity]]</f>
        <v>650.55999999999995</v>
      </c>
    </row>
    <row r="4696" spans="1:9" x14ac:dyDescent="0.3">
      <c r="A4696" t="s">
        <v>6711</v>
      </c>
      <c r="B4696" t="s">
        <v>924</v>
      </c>
      <c r="C4696" t="s">
        <v>2017</v>
      </c>
      <c r="D4696">
        <v>5</v>
      </c>
      <c r="E4696" s="16">
        <v>5250</v>
      </c>
      <c r="F4696" s="1">
        <v>44743</v>
      </c>
      <c r="G4696" t="s">
        <v>2004</v>
      </c>
      <c r="H4696">
        <v>4</v>
      </c>
      <c r="I4696" s="12">
        <f>Table16[[#This Row],[price]]*Table16[[#This Row],[quantity]]</f>
        <v>26250</v>
      </c>
    </row>
    <row r="4697" spans="1:9" x14ac:dyDescent="0.3">
      <c r="A4697" t="s">
        <v>6715</v>
      </c>
      <c r="B4697" t="s">
        <v>924</v>
      </c>
      <c r="C4697" t="s">
        <v>2001</v>
      </c>
      <c r="D4697">
        <v>1</v>
      </c>
      <c r="E4697" s="16">
        <v>300.08</v>
      </c>
      <c r="F4697" s="1">
        <v>44765</v>
      </c>
      <c r="G4697" t="s">
        <v>2004</v>
      </c>
      <c r="H4697">
        <v>4</v>
      </c>
      <c r="I4697" s="12">
        <f>Table16[[#This Row],[price]]*Table16[[#This Row],[quantity]]</f>
        <v>300.08</v>
      </c>
    </row>
    <row r="4698" spans="1:9" x14ac:dyDescent="0.3">
      <c r="A4698" t="s">
        <v>6714</v>
      </c>
      <c r="B4698" t="s">
        <v>924</v>
      </c>
      <c r="C4698" t="s">
        <v>2001</v>
      </c>
      <c r="D4698">
        <v>5</v>
      </c>
      <c r="E4698" s="16">
        <v>1500.4</v>
      </c>
      <c r="F4698" s="1">
        <v>44946</v>
      </c>
      <c r="G4698" t="s">
        <v>2004</v>
      </c>
      <c r="H4698">
        <v>5</v>
      </c>
      <c r="I4698" s="12">
        <f>Table16[[#This Row],[price]]*Table16[[#This Row],[quantity]]</f>
        <v>7502</v>
      </c>
    </row>
    <row r="4699" spans="1:9" x14ac:dyDescent="0.3">
      <c r="A4699" t="s">
        <v>6713</v>
      </c>
      <c r="B4699" t="s">
        <v>924</v>
      </c>
      <c r="C4699" t="s">
        <v>2001</v>
      </c>
      <c r="D4699">
        <v>2</v>
      </c>
      <c r="E4699" s="16">
        <v>600.16</v>
      </c>
      <c r="F4699" s="1">
        <v>44952</v>
      </c>
      <c r="G4699" t="s">
        <v>2027</v>
      </c>
      <c r="H4699">
        <v>1</v>
      </c>
      <c r="I4699" s="12">
        <f>Table16[[#This Row],[price]]*Table16[[#This Row],[quantity]]</f>
        <v>1200.32</v>
      </c>
    </row>
    <row r="4700" spans="1:9" x14ac:dyDescent="0.3">
      <c r="A4700" t="s">
        <v>6718</v>
      </c>
      <c r="B4700" t="s">
        <v>925</v>
      </c>
      <c r="C4700" t="s">
        <v>2001</v>
      </c>
      <c r="D4700">
        <v>3</v>
      </c>
      <c r="E4700" s="16">
        <v>900.24</v>
      </c>
      <c r="F4700" s="1">
        <v>44202</v>
      </c>
      <c r="G4700" t="s">
        <v>2064</v>
      </c>
      <c r="H4700">
        <v>1</v>
      </c>
      <c r="I4700" s="12">
        <f>Table16[[#This Row],[price]]*Table16[[#This Row],[quantity]]</f>
        <v>2700.7200000000003</v>
      </c>
    </row>
    <row r="4701" spans="1:9" x14ac:dyDescent="0.3">
      <c r="A4701" t="s">
        <v>6716</v>
      </c>
      <c r="B4701" t="s">
        <v>925</v>
      </c>
      <c r="C4701" t="s">
        <v>2015</v>
      </c>
      <c r="D4701">
        <v>1</v>
      </c>
      <c r="E4701" s="16">
        <v>600.16999999999996</v>
      </c>
      <c r="F4701" s="1">
        <v>44244</v>
      </c>
      <c r="G4701" t="s">
        <v>2002</v>
      </c>
      <c r="H4701">
        <v>5</v>
      </c>
      <c r="I4701" s="12">
        <f>Table16[[#This Row],[price]]*Table16[[#This Row],[quantity]]</f>
        <v>600.16999999999996</v>
      </c>
    </row>
    <row r="4702" spans="1:9" x14ac:dyDescent="0.3">
      <c r="A4702" t="s">
        <v>6720</v>
      </c>
      <c r="B4702" t="s">
        <v>925</v>
      </c>
      <c r="C4702" t="s">
        <v>2001</v>
      </c>
      <c r="D4702">
        <v>2</v>
      </c>
      <c r="E4702" s="16">
        <v>600.16</v>
      </c>
      <c r="F4702" s="1">
        <v>44319</v>
      </c>
      <c r="G4702" t="s">
        <v>2020</v>
      </c>
      <c r="H4702">
        <v>2</v>
      </c>
      <c r="I4702" s="12">
        <f>Table16[[#This Row],[price]]*Table16[[#This Row],[quantity]]</f>
        <v>1200.32</v>
      </c>
    </row>
    <row r="4703" spans="1:9" x14ac:dyDescent="0.3">
      <c r="A4703" t="s">
        <v>6722</v>
      </c>
      <c r="B4703" t="s">
        <v>925</v>
      </c>
      <c r="C4703" t="s">
        <v>2001</v>
      </c>
      <c r="D4703">
        <v>4</v>
      </c>
      <c r="E4703" s="16">
        <v>1200.32</v>
      </c>
      <c r="F4703" s="1">
        <v>44434</v>
      </c>
      <c r="G4703" t="s">
        <v>2064</v>
      </c>
      <c r="H4703">
        <v>4</v>
      </c>
      <c r="I4703" s="12">
        <f>Table16[[#This Row],[price]]*Table16[[#This Row],[quantity]]</f>
        <v>4801.28</v>
      </c>
    </row>
    <row r="4704" spans="1:9" x14ac:dyDescent="0.3">
      <c r="A4704" t="s">
        <v>6717</v>
      </c>
      <c r="B4704" t="s">
        <v>925</v>
      </c>
      <c r="C4704" t="s">
        <v>2011</v>
      </c>
      <c r="D4704">
        <v>3</v>
      </c>
      <c r="E4704" s="16">
        <v>121.98</v>
      </c>
      <c r="F4704" s="1">
        <v>44500</v>
      </c>
      <c r="G4704" t="s">
        <v>2020</v>
      </c>
      <c r="H4704">
        <v>4</v>
      </c>
      <c r="I4704" s="12">
        <f>Table16[[#This Row],[price]]*Table16[[#This Row],[quantity]]</f>
        <v>365.94</v>
      </c>
    </row>
    <row r="4705" spans="1:9" x14ac:dyDescent="0.3">
      <c r="A4705" t="s">
        <v>6719</v>
      </c>
      <c r="B4705" t="s">
        <v>925</v>
      </c>
      <c r="C4705" t="s">
        <v>2011</v>
      </c>
      <c r="D4705">
        <v>3</v>
      </c>
      <c r="E4705" s="16">
        <v>121.98</v>
      </c>
      <c r="F4705" s="1">
        <v>44609</v>
      </c>
      <c r="G4705" t="s">
        <v>2004</v>
      </c>
      <c r="H4705">
        <v>3</v>
      </c>
      <c r="I4705" s="12">
        <f>Table16[[#This Row],[price]]*Table16[[#This Row],[quantity]]</f>
        <v>365.94</v>
      </c>
    </row>
    <row r="4706" spans="1:9" x14ac:dyDescent="0.3">
      <c r="A4706" t="s">
        <v>6721</v>
      </c>
      <c r="B4706" t="s">
        <v>925</v>
      </c>
      <c r="C4706" t="s">
        <v>2015</v>
      </c>
      <c r="D4706">
        <v>1</v>
      </c>
      <c r="E4706" s="16">
        <v>600.16999999999996</v>
      </c>
      <c r="F4706" s="1">
        <v>44769</v>
      </c>
      <c r="G4706" t="s">
        <v>2004</v>
      </c>
      <c r="H4706">
        <v>2</v>
      </c>
      <c r="I4706" s="12">
        <f>Table16[[#This Row],[price]]*Table16[[#This Row],[quantity]]</f>
        <v>600.16999999999996</v>
      </c>
    </row>
    <row r="4707" spans="1:9" x14ac:dyDescent="0.3">
      <c r="A4707" t="s">
        <v>6728</v>
      </c>
      <c r="B4707" t="s">
        <v>926</v>
      </c>
      <c r="C4707" t="s">
        <v>2001</v>
      </c>
      <c r="D4707">
        <v>4</v>
      </c>
      <c r="E4707" s="16">
        <v>1200.32</v>
      </c>
      <c r="F4707" s="1">
        <v>44414</v>
      </c>
      <c r="G4707" t="s">
        <v>2002</v>
      </c>
      <c r="H4707">
        <v>3</v>
      </c>
      <c r="I4707" s="12">
        <f>Table16[[#This Row],[price]]*Table16[[#This Row],[quantity]]</f>
        <v>4801.28</v>
      </c>
    </row>
    <row r="4708" spans="1:9" x14ac:dyDescent="0.3">
      <c r="A4708" t="s">
        <v>6723</v>
      </c>
      <c r="B4708" t="s">
        <v>926</v>
      </c>
      <c r="C4708" t="s">
        <v>2011</v>
      </c>
      <c r="D4708">
        <v>1</v>
      </c>
      <c r="E4708" s="16">
        <v>40.659999999999997</v>
      </c>
      <c r="F4708" s="1">
        <v>44436</v>
      </c>
      <c r="G4708" t="s">
        <v>2018</v>
      </c>
      <c r="H4708">
        <v>5</v>
      </c>
      <c r="I4708" s="12">
        <f>Table16[[#This Row],[price]]*Table16[[#This Row],[quantity]]</f>
        <v>40.659999999999997</v>
      </c>
    </row>
    <row r="4709" spans="1:9" x14ac:dyDescent="0.3">
      <c r="A4709" t="s">
        <v>6725</v>
      </c>
      <c r="B4709" t="s">
        <v>926</v>
      </c>
      <c r="C4709" t="s">
        <v>2001</v>
      </c>
      <c r="D4709">
        <v>4</v>
      </c>
      <c r="E4709" s="16">
        <v>1200.32</v>
      </c>
      <c r="F4709" s="1">
        <v>44454</v>
      </c>
      <c r="G4709" t="s">
        <v>2004</v>
      </c>
      <c r="H4709">
        <v>1</v>
      </c>
      <c r="I4709" s="12">
        <f>Table16[[#This Row],[price]]*Table16[[#This Row],[quantity]]</f>
        <v>4801.28</v>
      </c>
    </row>
    <row r="4710" spans="1:9" x14ac:dyDescent="0.3">
      <c r="A4710" t="s">
        <v>6730</v>
      </c>
      <c r="B4710" t="s">
        <v>926</v>
      </c>
      <c r="C4710" t="s">
        <v>2001</v>
      </c>
      <c r="D4710">
        <v>1</v>
      </c>
      <c r="E4710" s="16">
        <v>300.08</v>
      </c>
      <c r="F4710" s="1">
        <v>44512</v>
      </c>
      <c r="G4710" t="s">
        <v>2002</v>
      </c>
      <c r="H4710">
        <v>1</v>
      </c>
      <c r="I4710" s="12">
        <f>Table16[[#This Row],[price]]*Table16[[#This Row],[quantity]]</f>
        <v>300.08</v>
      </c>
    </row>
    <row r="4711" spans="1:9" x14ac:dyDescent="0.3">
      <c r="A4711" t="s">
        <v>6729</v>
      </c>
      <c r="B4711" t="s">
        <v>926</v>
      </c>
      <c r="C4711" t="s">
        <v>2001</v>
      </c>
      <c r="D4711">
        <v>1</v>
      </c>
      <c r="E4711" s="16">
        <v>300.08</v>
      </c>
      <c r="F4711" s="1">
        <v>44739</v>
      </c>
      <c r="G4711" t="s">
        <v>2012</v>
      </c>
      <c r="H4711">
        <v>5</v>
      </c>
      <c r="I4711" s="12">
        <f>Table16[[#This Row],[price]]*Table16[[#This Row],[quantity]]</f>
        <v>300.08</v>
      </c>
    </row>
    <row r="4712" spans="1:9" x14ac:dyDescent="0.3">
      <c r="A4712" t="s">
        <v>6724</v>
      </c>
      <c r="B4712" t="s">
        <v>926</v>
      </c>
      <c r="C4712" t="s">
        <v>2001</v>
      </c>
      <c r="D4712">
        <v>2</v>
      </c>
      <c r="E4712" s="16">
        <v>600.16</v>
      </c>
      <c r="F4712" s="1">
        <v>44846</v>
      </c>
      <c r="G4712" t="s">
        <v>2004</v>
      </c>
      <c r="H4712">
        <v>4</v>
      </c>
      <c r="I4712" s="12">
        <f>Table16[[#This Row],[price]]*Table16[[#This Row],[quantity]]</f>
        <v>1200.32</v>
      </c>
    </row>
    <row r="4713" spans="1:9" x14ac:dyDescent="0.3">
      <c r="A4713" t="s">
        <v>6726</v>
      </c>
      <c r="B4713" t="s">
        <v>926</v>
      </c>
      <c r="C4713" t="s">
        <v>2001</v>
      </c>
      <c r="D4713">
        <v>1</v>
      </c>
      <c r="E4713" s="16">
        <v>300.08</v>
      </c>
      <c r="F4713" s="1">
        <v>44853</v>
      </c>
      <c r="G4713" t="s">
        <v>2012</v>
      </c>
      <c r="H4713">
        <v>1</v>
      </c>
      <c r="I4713" s="12">
        <f>Table16[[#This Row],[price]]*Table16[[#This Row],[quantity]]</f>
        <v>300.08</v>
      </c>
    </row>
    <row r="4714" spans="1:9" x14ac:dyDescent="0.3">
      <c r="A4714" t="s">
        <v>6727</v>
      </c>
      <c r="B4714" t="s">
        <v>926</v>
      </c>
      <c r="C4714" t="s">
        <v>2017</v>
      </c>
      <c r="D4714">
        <v>3</v>
      </c>
      <c r="E4714" s="16">
        <v>3150</v>
      </c>
      <c r="F4714" s="1">
        <v>44870</v>
      </c>
      <c r="G4714" t="s">
        <v>2012</v>
      </c>
      <c r="H4714">
        <v>4</v>
      </c>
      <c r="I4714" s="12">
        <f>Table16[[#This Row],[price]]*Table16[[#This Row],[quantity]]</f>
        <v>9450</v>
      </c>
    </row>
    <row r="4715" spans="1:9" x14ac:dyDescent="0.3">
      <c r="A4715" t="s">
        <v>6731</v>
      </c>
      <c r="B4715" t="s">
        <v>927</v>
      </c>
      <c r="C4715" t="s">
        <v>2008</v>
      </c>
      <c r="D4715">
        <v>2</v>
      </c>
      <c r="E4715" s="16">
        <v>10.46</v>
      </c>
      <c r="F4715" s="1">
        <v>44226</v>
      </c>
      <c r="G4715" t="s">
        <v>2020</v>
      </c>
      <c r="H4715">
        <v>1</v>
      </c>
      <c r="I4715" s="12">
        <f>Table16[[#This Row],[price]]*Table16[[#This Row],[quantity]]</f>
        <v>20.92</v>
      </c>
    </row>
    <row r="4716" spans="1:9" x14ac:dyDescent="0.3">
      <c r="A4716" t="s">
        <v>6733</v>
      </c>
      <c r="B4716" t="s">
        <v>927</v>
      </c>
      <c r="C4716" t="s">
        <v>2011</v>
      </c>
      <c r="D4716">
        <v>2</v>
      </c>
      <c r="E4716" s="16">
        <v>81.319999999999993</v>
      </c>
      <c r="F4716" s="1">
        <v>44231</v>
      </c>
      <c r="G4716" t="s">
        <v>2027</v>
      </c>
      <c r="H4716">
        <v>1</v>
      </c>
      <c r="I4716" s="12">
        <f>Table16[[#This Row],[price]]*Table16[[#This Row],[quantity]]</f>
        <v>162.63999999999999</v>
      </c>
    </row>
    <row r="4717" spans="1:9" x14ac:dyDescent="0.3">
      <c r="A4717" t="s">
        <v>6734</v>
      </c>
      <c r="B4717" t="s">
        <v>927</v>
      </c>
      <c r="C4717" t="s">
        <v>2017</v>
      </c>
      <c r="D4717">
        <v>1</v>
      </c>
      <c r="E4717" s="16">
        <v>1050</v>
      </c>
      <c r="F4717" s="1">
        <v>44377</v>
      </c>
      <c r="G4717" t="s">
        <v>2004</v>
      </c>
      <c r="H4717">
        <v>5</v>
      </c>
      <c r="I4717" s="12">
        <f>Table16[[#This Row],[price]]*Table16[[#This Row],[quantity]]</f>
        <v>1050</v>
      </c>
    </row>
    <row r="4718" spans="1:9" x14ac:dyDescent="0.3">
      <c r="A4718" t="s">
        <v>6735</v>
      </c>
      <c r="B4718" t="s">
        <v>927</v>
      </c>
      <c r="C4718" t="s">
        <v>2011</v>
      </c>
      <c r="D4718">
        <v>4</v>
      </c>
      <c r="E4718" s="16">
        <v>162.63999999999999</v>
      </c>
      <c r="F4718" s="1">
        <v>44405</v>
      </c>
      <c r="G4718" t="s">
        <v>2002</v>
      </c>
      <c r="H4718">
        <v>5</v>
      </c>
      <c r="I4718" s="12">
        <f>Table16[[#This Row],[price]]*Table16[[#This Row],[quantity]]</f>
        <v>650.55999999999995</v>
      </c>
    </row>
    <row r="4719" spans="1:9" x14ac:dyDescent="0.3">
      <c r="A4719" t="s">
        <v>6732</v>
      </c>
      <c r="B4719" t="s">
        <v>927</v>
      </c>
      <c r="C4719" t="s">
        <v>2015</v>
      </c>
      <c r="D4719">
        <v>2</v>
      </c>
      <c r="E4719" s="16">
        <v>1200.3399999999999</v>
      </c>
      <c r="F4719" s="1">
        <v>44767</v>
      </c>
      <c r="G4719" t="s">
        <v>2002</v>
      </c>
      <c r="H4719">
        <v>3</v>
      </c>
      <c r="I4719" s="12">
        <f>Table16[[#This Row],[price]]*Table16[[#This Row],[quantity]]</f>
        <v>2400.6799999999998</v>
      </c>
    </row>
    <row r="4720" spans="1:9" x14ac:dyDescent="0.3">
      <c r="A4720" t="s">
        <v>6741</v>
      </c>
      <c r="B4720" t="s">
        <v>928</v>
      </c>
      <c r="C4720" t="s">
        <v>2024</v>
      </c>
      <c r="D4720">
        <v>2</v>
      </c>
      <c r="E4720" s="16">
        <v>71.680000000000007</v>
      </c>
      <c r="F4720" s="1">
        <v>44206</v>
      </c>
      <c r="G4720" t="s">
        <v>2027</v>
      </c>
      <c r="H4720">
        <v>4</v>
      </c>
      <c r="I4720" s="12">
        <f>Table16[[#This Row],[price]]*Table16[[#This Row],[quantity]]</f>
        <v>143.36000000000001</v>
      </c>
    </row>
    <row r="4721" spans="1:9" x14ac:dyDescent="0.3">
      <c r="A4721" t="s">
        <v>6744</v>
      </c>
      <c r="B4721" t="s">
        <v>928</v>
      </c>
      <c r="C4721" t="s">
        <v>2015</v>
      </c>
      <c r="D4721">
        <v>5</v>
      </c>
      <c r="E4721" s="16">
        <v>3000.85</v>
      </c>
      <c r="F4721" s="1">
        <v>44256</v>
      </c>
      <c r="G4721" t="s">
        <v>2018</v>
      </c>
      <c r="H4721">
        <v>5</v>
      </c>
      <c r="I4721" s="12">
        <f>Table16[[#This Row],[price]]*Table16[[#This Row],[quantity]]</f>
        <v>15004.25</v>
      </c>
    </row>
    <row r="4722" spans="1:9" x14ac:dyDescent="0.3">
      <c r="A4722" t="s">
        <v>6738</v>
      </c>
      <c r="B4722" t="s">
        <v>928</v>
      </c>
      <c r="C4722" t="s">
        <v>2015</v>
      </c>
      <c r="D4722">
        <v>5</v>
      </c>
      <c r="E4722" s="16">
        <v>3000.85</v>
      </c>
      <c r="F4722" s="1">
        <v>44266</v>
      </c>
      <c r="G4722" t="s">
        <v>2004</v>
      </c>
      <c r="H4722">
        <v>2</v>
      </c>
      <c r="I4722" s="12">
        <f>Table16[[#This Row],[price]]*Table16[[#This Row],[quantity]]</f>
        <v>15004.25</v>
      </c>
    </row>
    <row r="4723" spans="1:9" x14ac:dyDescent="0.3">
      <c r="A4723" t="s">
        <v>6740</v>
      </c>
      <c r="B4723" t="s">
        <v>928</v>
      </c>
      <c r="C4723" t="s">
        <v>2011</v>
      </c>
      <c r="D4723">
        <v>2</v>
      </c>
      <c r="E4723" s="16">
        <v>81.319999999999993</v>
      </c>
      <c r="F4723" s="1">
        <v>44396</v>
      </c>
      <c r="G4723" t="s">
        <v>2004</v>
      </c>
      <c r="H4723">
        <v>3</v>
      </c>
      <c r="I4723" s="12">
        <f>Table16[[#This Row],[price]]*Table16[[#This Row],[quantity]]</f>
        <v>162.63999999999999</v>
      </c>
    </row>
    <row r="4724" spans="1:9" x14ac:dyDescent="0.3">
      <c r="A4724" t="s">
        <v>6742</v>
      </c>
      <c r="B4724" t="s">
        <v>928</v>
      </c>
      <c r="C4724" t="s">
        <v>2017</v>
      </c>
      <c r="D4724">
        <v>4</v>
      </c>
      <c r="E4724" s="16">
        <v>4200</v>
      </c>
      <c r="F4724" s="1">
        <v>44483</v>
      </c>
      <c r="G4724" t="s">
        <v>2004</v>
      </c>
      <c r="H4724">
        <v>5</v>
      </c>
      <c r="I4724" s="12">
        <f>Table16[[#This Row],[price]]*Table16[[#This Row],[quantity]]</f>
        <v>16800</v>
      </c>
    </row>
    <row r="4725" spans="1:9" x14ac:dyDescent="0.3">
      <c r="A4725" t="s">
        <v>6745</v>
      </c>
      <c r="B4725" t="s">
        <v>928</v>
      </c>
      <c r="C4725" t="s">
        <v>2057</v>
      </c>
      <c r="D4725">
        <v>3</v>
      </c>
      <c r="E4725" s="16">
        <v>35.19</v>
      </c>
      <c r="F4725" s="1">
        <v>44565</v>
      </c>
      <c r="G4725" t="s">
        <v>2020</v>
      </c>
      <c r="H4725">
        <v>5</v>
      </c>
      <c r="I4725" s="12">
        <f>Table16[[#This Row],[price]]*Table16[[#This Row],[quantity]]</f>
        <v>105.57</v>
      </c>
    </row>
    <row r="4726" spans="1:9" x14ac:dyDescent="0.3">
      <c r="A4726" t="s">
        <v>6743</v>
      </c>
      <c r="B4726" t="s">
        <v>928</v>
      </c>
      <c r="C4726" t="s">
        <v>2024</v>
      </c>
      <c r="D4726">
        <v>4</v>
      </c>
      <c r="E4726" s="16">
        <v>143.36000000000001</v>
      </c>
      <c r="F4726" s="1">
        <v>44577</v>
      </c>
      <c r="G4726" t="s">
        <v>2064</v>
      </c>
      <c r="H4726">
        <v>3</v>
      </c>
      <c r="I4726" s="12">
        <f>Table16[[#This Row],[price]]*Table16[[#This Row],[quantity]]</f>
        <v>573.44000000000005</v>
      </c>
    </row>
    <row r="4727" spans="1:9" x14ac:dyDescent="0.3">
      <c r="A4727" t="s">
        <v>6737</v>
      </c>
      <c r="B4727" t="s">
        <v>928</v>
      </c>
      <c r="C4727" t="s">
        <v>2006</v>
      </c>
      <c r="D4727">
        <v>4</v>
      </c>
      <c r="E4727" s="16">
        <v>60.6</v>
      </c>
      <c r="F4727" s="1">
        <v>44686</v>
      </c>
      <c r="G4727" t="s">
        <v>2027</v>
      </c>
      <c r="H4727">
        <v>1</v>
      </c>
      <c r="I4727" s="12">
        <f>Table16[[#This Row],[price]]*Table16[[#This Row],[quantity]]</f>
        <v>242.4</v>
      </c>
    </row>
    <row r="4728" spans="1:9" x14ac:dyDescent="0.3">
      <c r="A4728" t="s">
        <v>6739</v>
      </c>
      <c r="B4728" t="s">
        <v>928</v>
      </c>
      <c r="C4728" t="s">
        <v>2001</v>
      </c>
      <c r="D4728">
        <v>3</v>
      </c>
      <c r="E4728" s="16">
        <v>900.24</v>
      </c>
      <c r="F4728" s="1">
        <v>44762</v>
      </c>
      <c r="G4728" t="s">
        <v>2064</v>
      </c>
      <c r="H4728">
        <v>1</v>
      </c>
      <c r="I4728" s="12">
        <f>Table16[[#This Row],[price]]*Table16[[#This Row],[quantity]]</f>
        <v>2700.7200000000003</v>
      </c>
    </row>
    <row r="4729" spans="1:9" x14ac:dyDescent="0.3">
      <c r="A4729" t="s">
        <v>6736</v>
      </c>
      <c r="B4729" t="s">
        <v>928</v>
      </c>
      <c r="C4729" t="s">
        <v>2017</v>
      </c>
      <c r="D4729">
        <v>3</v>
      </c>
      <c r="E4729" s="16">
        <v>3150</v>
      </c>
      <c r="F4729" s="1">
        <v>44782</v>
      </c>
      <c r="G4729" t="s">
        <v>2027</v>
      </c>
      <c r="H4729">
        <v>3</v>
      </c>
      <c r="I4729" s="12">
        <f>Table16[[#This Row],[price]]*Table16[[#This Row],[quantity]]</f>
        <v>9450</v>
      </c>
    </row>
    <row r="4730" spans="1:9" x14ac:dyDescent="0.3">
      <c r="A4730" t="s">
        <v>6746</v>
      </c>
      <c r="B4730" t="s">
        <v>929</v>
      </c>
      <c r="C4730" t="s">
        <v>2024</v>
      </c>
      <c r="D4730">
        <v>2</v>
      </c>
      <c r="E4730" s="16">
        <v>71.680000000000007</v>
      </c>
      <c r="F4730" s="1">
        <v>44198</v>
      </c>
      <c r="G4730" t="s">
        <v>2018</v>
      </c>
      <c r="H4730">
        <v>3</v>
      </c>
      <c r="I4730" s="12">
        <f>Table16[[#This Row],[price]]*Table16[[#This Row],[quantity]]</f>
        <v>143.36000000000001</v>
      </c>
    </row>
    <row r="4731" spans="1:9" x14ac:dyDescent="0.3">
      <c r="A4731" t="s">
        <v>6747</v>
      </c>
      <c r="B4731" t="s">
        <v>929</v>
      </c>
      <c r="C4731" t="s">
        <v>2057</v>
      </c>
      <c r="D4731">
        <v>2</v>
      </c>
      <c r="E4731" s="16">
        <v>23.46</v>
      </c>
      <c r="F4731" s="1">
        <v>44474</v>
      </c>
      <c r="G4731" t="s">
        <v>2002</v>
      </c>
      <c r="H4731">
        <v>4</v>
      </c>
      <c r="I4731" s="12">
        <f>Table16[[#This Row],[price]]*Table16[[#This Row],[quantity]]</f>
        <v>46.92</v>
      </c>
    </row>
    <row r="4732" spans="1:9" x14ac:dyDescent="0.3">
      <c r="A4732" t="s">
        <v>6748</v>
      </c>
      <c r="B4732" t="s">
        <v>929</v>
      </c>
      <c r="C4732" t="s">
        <v>2008</v>
      </c>
      <c r="D4732">
        <v>3</v>
      </c>
      <c r="E4732" s="16">
        <v>15.69</v>
      </c>
      <c r="F4732" s="1">
        <v>44676</v>
      </c>
      <c r="G4732" t="s">
        <v>2009</v>
      </c>
      <c r="H4732">
        <v>3</v>
      </c>
      <c r="I4732" s="12">
        <f>Table16[[#This Row],[price]]*Table16[[#This Row],[quantity]]</f>
        <v>47.07</v>
      </c>
    </row>
    <row r="4733" spans="1:9" x14ac:dyDescent="0.3">
      <c r="A4733" t="s">
        <v>6752</v>
      </c>
      <c r="B4733" t="s">
        <v>930</v>
      </c>
      <c r="C4733" t="s">
        <v>2011</v>
      </c>
      <c r="D4733">
        <v>2</v>
      </c>
      <c r="E4733" s="16">
        <v>81.319999999999993</v>
      </c>
      <c r="F4733" s="1">
        <v>44198</v>
      </c>
      <c r="G4733" t="s">
        <v>2027</v>
      </c>
      <c r="H4733">
        <v>4</v>
      </c>
      <c r="I4733" s="12">
        <f>Table16[[#This Row],[price]]*Table16[[#This Row],[quantity]]</f>
        <v>162.63999999999999</v>
      </c>
    </row>
    <row r="4734" spans="1:9" x14ac:dyDescent="0.3">
      <c r="A4734" t="s">
        <v>6750</v>
      </c>
      <c r="B4734" t="s">
        <v>930</v>
      </c>
      <c r="C4734" t="s">
        <v>2001</v>
      </c>
      <c r="D4734">
        <v>4</v>
      </c>
      <c r="E4734" s="16">
        <v>1200.32</v>
      </c>
      <c r="F4734" s="1">
        <v>44465</v>
      </c>
      <c r="G4734" t="s">
        <v>2004</v>
      </c>
      <c r="H4734">
        <v>5</v>
      </c>
      <c r="I4734" s="12">
        <f>Table16[[#This Row],[price]]*Table16[[#This Row],[quantity]]</f>
        <v>4801.28</v>
      </c>
    </row>
    <row r="4735" spans="1:9" x14ac:dyDescent="0.3">
      <c r="A4735" t="s">
        <v>6753</v>
      </c>
      <c r="B4735" t="s">
        <v>930</v>
      </c>
      <c r="C4735" t="s">
        <v>2017</v>
      </c>
      <c r="D4735">
        <v>4</v>
      </c>
      <c r="E4735" s="16">
        <v>4200</v>
      </c>
      <c r="F4735" s="1">
        <v>44466</v>
      </c>
      <c r="G4735" t="s">
        <v>2018</v>
      </c>
      <c r="H4735">
        <v>5</v>
      </c>
      <c r="I4735" s="12">
        <f>Table16[[#This Row],[price]]*Table16[[#This Row],[quantity]]</f>
        <v>16800</v>
      </c>
    </row>
    <row r="4736" spans="1:9" x14ac:dyDescent="0.3">
      <c r="A4736" t="s">
        <v>6754</v>
      </c>
      <c r="B4736" t="s">
        <v>930</v>
      </c>
      <c r="C4736" t="s">
        <v>2011</v>
      </c>
      <c r="D4736">
        <v>5</v>
      </c>
      <c r="E4736" s="16">
        <v>203.3</v>
      </c>
      <c r="F4736" s="1">
        <v>44615</v>
      </c>
      <c r="G4736" t="s">
        <v>2041</v>
      </c>
      <c r="H4736">
        <v>1</v>
      </c>
      <c r="I4736" s="12">
        <f>Table16[[#This Row],[price]]*Table16[[#This Row],[quantity]]</f>
        <v>1016.5</v>
      </c>
    </row>
    <row r="4737" spans="1:9" x14ac:dyDescent="0.3">
      <c r="A4737" t="s">
        <v>6749</v>
      </c>
      <c r="B4737" t="s">
        <v>930</v>
      </c>
      <c r="C4737" t="s">
        <v>2001</v>
      </c>
      <c r="D4737">
        <v>1</v>
      </c>
      <c r="E4737" s="16">
        <v>300.08</v>
      </c>
      <c r="F4737" s="1">
        <v>44628</v>
      </c>
      <c r="G4737" t="s">
        <v>2018</v>
      </c>
      <c r="H4737">
        <v>4</v>
      </c>
      <c r="I4737" s="12">
        <f>Table16[[#This Row],[price]]*Table16[[#This Row],[quantity]]</f>
        <v>300.08</v>
      </c>
    </row>
    <row r="4738" spans="1:9" x14ac:dyDescent="0.3">
      <c r="A4738" t="s">
        <v>6751</v>
      </c>
      <c r="B4738" t="s">
        <v>930</v>
      </c>
      <c r="C4738" t="s">
        <v>2001</v>
      </c>
      <c r="D4738">
        <v>1</v>
      </c>
      <c r="E4738" s="16">
        <v>300.08</v>
      </c>
      <c r="F4738" s="1">
        <v>44733</v>
      </c>
      <c r="G4738" t="s">
        <v>2027</v>
      </c>
      <c r="H4738">
        <v>4</v>
      </c>
      <c r="I4738" s="12">
        <f>Table16[[#This Row],[price]]*Table16[[#This Row],[quantity]]</f>
        <v>300.08</v>
      </c>
    </row>
    <row r="4739" spans="1:9" x14ac:dyDescent="0.3">
      <c r="A4739" t="s">
        <v>6758</v>
      </c>
      <c r="B4739" t="s">
        <v>931</v>
      </c>
      <c r="C4739" t="s">
        <v>2024</v>
      </c>
      <c r="D4739">
        <v>1</v>
      </c>
      <c r="E4739" s="16">
        <v>35.840000000000003</v>
      </c>
      <c r="F4739" s="1">
        <v>44438</v>
      </c>
      <c r="G4739" t="s">
        <v>2027</v>
      </c>
      <c r="H4739">
        <v>2</v>
      </c>
      <c r="I4739" s="12">
        <f>Table16[[#This Row],[price]]*Table16[[#This Row],[quantity]]</f>
        <v>35.840000000000003</v>
      </c>
    </row>
    <row r="4740" spans="1:9" x14ac:dyDescent="0.3">
      <c r="A4740" t="s">
        <v>6756</v>
      </c>
      <c r="B4740" t="s">
        <v>931</v>
      </c>
      <c r="C4740" t="s">
        <v>2057</v>
      </c>
      <c r="D4740">
        <v>1</v>
      </c>
      <c r="E4740" s="16">
        <v>11.73</v>
      </c>
      <c r="F4740" s="1">
        <v>44530</v>
      </c>
      <c r="G4740" t="s">
        <v>2004</v>
      </c>
      <c r="H4740">
        <v>2</v>
      </c>
      <c r="I4740" s="12">
        <f>Table16[[#This Row],[price]]*Table16[[#This Row],[quantity]]</f>
        <v>11.73</v>
      </c>
    </row>
    <row r="4741" spans="1:9" x14ac:dyDescent="0.3">
      <c r="A4741" t="s">
        <v>6757</v>
      </c>
      <c r="B4741" t="s">
        <v>931</v>
      </c>
      <c r="C4741" t="s">
        <v>2001</v>
      </c>
      <c r="D4741">
        <v>3</v>
      </c>
      <c r="E4741" s="16">
        <v>900.24</v>
      </c>
      <c r="F4741" s="1">
        <v>44580</v>
      </c>
      <c r="G4741" t="s">
        <v>2027</v>
      </c>
      <c r="H4741">
        <v>5</v>
      </c>
      <c r="I4741" s="12">
        <f>Table16[[#This Row],[price]]*Table16[[#This Row],[quantity]]</f>
        <v>2700.7200000000003</v>
      </c>
    </row>
    <row r="4742" spans="1:9" x14ac:dyDescent="0.3">
      <c r="A4742" t="s">
        <v>6755</v>
      </c>
      <c r="B4742" t="s">
        <v>931</v>
      </c>
      <c r="C4742" t="s">
        <v>2011</v>
      </c>
      <c r="D4742">
        <v>5</v>
      </c>
      <c r="E4742" s="16">
        <v>203.3</v>
      </c>
      <c r="F4742" s="1">
        <v>44873</v>
      </c>
      <c r="G4742" t="s">
        <v>2004</v>
      </c>
      <c r="H4742">
        <v>5</v>
      </c>
      <c r="I4742" s="12">
        <f>Table16[[#This Row],[price]]*Table16[[#This Row],[quantity]]</f>
        <v>1016.5</v>
      </c>
    </row>
    <row r="4743" spans="1:9" x14ac:dyDescent="0.3">
      <c r="A4743" t="s">
        <v>6760</v>
      </c>
      <c r="B4743" t="s">
        <v>932</v>
      </c>
      <c r="C4743" t="s">
        <v>2015</v>
      </c>
      <c r="D4743">
        <v>4</v>
      </c>
      <c r="E4743" s="16">
        <v>2400.6799999999998</v>
      </c>
      <c r="F4743" s="1">
        <v>44225</v>
      </c>
      <c r="G4743" t="s">
        <v>2027</v>
      </c>
      <c r="H4743">
        <v>1</v>
      </c>
      <c r="I4743" s="12">
        <f>Table16[[#This Row],[price]]*Table16[[#This Row],[quantity]]</f>
        <v>9602.7199999999993</v>
      </c>
    </row>
    <row r="4744" spans="1:9" x14ac:dyDescent="0.3">
      <c r="A4744" t="s">
        <v>6761</v>
      </c>
      <c r="B4744" t="s">
        <v>932</v>
      </c>
      <c r="C4744" t="s">
        <v>2011</v>
      </c>
      <c r="D4744">
        <v>5</v>
      </c>
      <c r="E4744" s="16">
        <v>203.3</v>
      </c>
      <c r="F4744" s="1">
        <v>44428</v>
      </c>
      <c r="G4744" t="s">
        <v>2058</v>
      </c>
      <c r="H4744">
        <v>5</v>
      </c>
      <c r="I4744" s="12">
        <f>Table16[[#This Row],[price]]*Table16[[#This Row],[quantity]]</f>
        <v>1016.5</v>
      </c>
    </row>
    <row r="4745" spans="1:9" x14ac:dyDescent="0.3">
      <c r="A4745" t="s">
        <v>6759</v>
      </c>
      <c r="B4745" t="s">
        <v>932</v>
      </c>
      <c r="C4745" t="s">
        <v>2024</v>
      </c>
      <c r="D4745">
        <v>4</v>
      </c>
      <c r="E4745" s="16">
        <v>143.36000000000001</v>
      </c>
      <c r="F4745" s="1">
        <v>44571</v>
      </c>
      <c r="G4745" t="s">
        <v>2012</v>
      </c>
      <c r="H4745">
        <v>4</v>
      </c>
      <c r="I4745" s="12">
        <f>Table16[[#This Row],[price]]*Table16[[#This Row],[quantity]]</f>
        <v>573.44000000000005</v>
      </c>
    </row>
    <row r="4746" spans="1:9" x14ac:dyDescent="0.3">
      <c r="A4746" t="s">
        <v>6762</v>
      </c>
      <c r="B4746" t="s">
        <v>933</v>
      </c>
      <c r="C4746" t="s">
        <v>2008</v>
      </c>
      <c r="D4746">
        <v>5</v>
      </c>
      <c r="E4746" s="16">
        <v>26.15</v>
      </c>
      <c r="F4746" s="1">
        <v>44328</v>
      </c>
      <c r="G4746" t="s">
        <v>2002</v>
      </c>
      <c r="H4746">
        <v>1</v>
      </c>
      <c r="I4746" s="12">
        <f>Table16[[#This Row],[price]]*Table16[[#This Row],[quantity]]</f>
        <v>130.75</v>
      </c>
    </row>
    <row r="4747" spans="1:9" x14ac:dyDescent="0.3">
      <c r="A4747" t="s">
        <v>6763</v>
      </c>
      <c r="B4747" t="s">
        <v>933</v>
      </c>
      <c r="C4747" t="s">
        <v>2057</v>
      </c>
      <c r="D4747">
        <v>3</v>
      </c>
      <c r="E4747" s="16">
        <v>35.19</v>
      </c>
      <c r="F4747" s="1">
        <v>44972</v>
      </c>
      <c r="G4747" t="s">
        <v>2004</v>
      </c>
      <c r="H4747">
        <v>2</v>
      </c>
      <c r="I4747" s="12">
        <f>Table16[[#This Row],[price]]*Table16[[#This Row],[quantity]]</f>
        <v>105.57</v>
      </c>
    </row>
    <row r="4748" spans="1:9" x14ac:dyDescent="0.3">
      <c r="A4748" t="s">
        <v>6764</v>
      </c>
      <c r="B4748" t="s">
        <v>934</v>
      </c>
      <c r="C4748" t="s">
        <v>2001</v>
      </c>
      <c r="D4748">
        <v>4</v>
      </c>
      <c r="E4748" s="16">
        <v>1200.32</v>
      </c>
      <c r="F4748" s="1">
        <v>44747</v>
      </c>
      <c r="G4748" t="s">
        <v>2020</v>
      </c>
      <c r="H4748">
        <v>4</v>
      </c>
      <c r="I4748" s="12">
        <f>Table16[[#This Row],[price]]*Table16[[#This Row],[quantity]]</f>
        <v>4801.28</v>
      </c>
    </row>
    <row r="4749" spans="1:9" x14ac:dyDescent="0.3">
      <c r="A4749" t="s">
        <v>6765</v>
      </c>
      <c r="B4749" t="s">
        <v>934</v>
      </c>
      <c r="C4749" t="s">
        <v>2001</v>
      </c>
      <c r="D4749">
        <v>2</v>
      </c>
      <c r="E4749" s="16">
        <v>600.16</v>
      </c>
      <c r="F4749" s="1">
        <v>44754</v>
      </c>
      <c r="G4749" t="s">
        <v>2064</v>
      </c>
      <c r="H4749">
        <v>1</v>
      </c>
      <c r="I4749" s="12">
        <f>Table16[[#This Row],[price]]*Table16[[#This Row],[quantity]]</f>
        <v>1200.32</v>
      </c>
    </row>
    <row r="4750" spans="1:9" x14ac:dyDescent="0.3">
      <c r="A4750" t="s">
        <v>6766</v>
      </c>
      <c r="B4750" t="s">
        <v>934</v>
      </c>
      <c r="C4750" t="s">
        <v>2001</v>
      </c>
      <c r="D4750">
        <v>2</v>
      </c>
      <c r="E4750" s="16">
        <v>600.16</v>
      </c>
      <c r="F4750" s="1">
        <v>44859</v>
      </c>
      <c r="G4750" t="s">
        <v>2020</v>
      </c>
      <c r="H4750">
        <v>3</v>
      </c>
      <c r="I4750" s="12">
        <f>Table16[[#This Row],[price]]*Table16[[#This Row],[quantity]]</f>
        <v>1200.32</v>
      </c>
    </row>
    <row r="4751" spans="1:9" x14ac:dyDescent="0.3">
      <c r="A4751" t="s">
        <v>6767</v>
      </c>
      <c r="B4751" t="s">
        <v>935</v>
      </c>
      <c r="C4751" t="s">
        <v>2017</v>
      </c>
      <c r="D4751">
        <v>1</v>
      </c>
      <c r="E4751" s="16">
        <v>1050</v>
      </c>
      <c r="F4751" s="1">
        <v>44207</v>
      </c>
      <c r="G4751" t="s">
        <v>2004</v>
      </c>
      <c r="H4751">
        <v>1</v>
      </c>
      <c r="I4751" s="12">
        <f>Table16[[#This Row],[price]]*Table16[[#This Row],[quantity]]</f>
        <v>1050</v>
      </c>
    </row>
    <row r="4752" spans="1:9" x14ac:dyDescent="0.3">
      <c r="A4752" t="s">
        <v>6770</v>
      </c>
      <c r="B4752" t="s">
        <v>935</v>
      </c>
      <c r="C4752" t="s">
        <v>2001</v>
      </c>
      <c r="D4752">
        <v>5</v>
      </c>
      <c r="E4752" s="16">
        <v>1500.4</v>
      </c>
      <c r="F4752" s="1">
        <v>44566</v>
      </c>
      <c r="G4752" t="s">
        <v>2027</v>
      </c>
      <c r="H4752">
        <v>5</v>
      </c>
      <c r="I4752" s="12">
        <f>Table16[[#This Row],[price]]*Table16[[#This Row],[quantity]]</f>
        <v>7502</v>
      </c>
    </row>
    <row r="4753" spans="1:9" x14ac:dyDescent="0.3">
      <c r="A4753" t="s">
        <v>6769</v>
      </c>
      <c r="B4753" t="s">
        <v>935</v>
      </c>
      <c r="C4753" t="s">
        <v>2008</v>
      </c>
      <c r="D4753">
        <v>3</v>
      </c>
      <c r="E4753" s="16">
        <v>15.69</v>
      </c>
      <c r="F4753" s="1">
        <v>44586</v>
      </c>
      <c r="G4753" t="s">
        <v>2027</v>
      </c>
      <c r="H4753">
        <v>5</v>
      </c>
      <c r="I4753" s="12">
        <f>Table16[[#This Row],[price]]*Table16[[#This Row],[quantity]]</f>
        <v>47.07</v>
      </c>
    </row>
    <row r="4754" spans="1:9" x14ac:dyDescent="0.3">
      <c r="A4754" t="s">
        <v>6768</v>
      </c>
      <c r="B4754" t="s">
        <v>935</v>
      </c>
      <c r="C4754" t="s">
        <v>2001</v>
      </c>
      <c r="D4754">
        <v>2</v>
      </c>
      <c r="E4754" s="16">
        <v>600.16</v>
      </c>
      <c r="F4754" s="1">
        <v>44985</v>
      </c>
      <c r="G4754" t="s">
        <v>2004</v>
      </c>
      <c r="H4754">
        <v>1</v>
      </c>
      <c r="I4754" s="12">
        <f>Table16[[#This Row],[price]]*Table16[[#This Row],[quantity]]</f>
        <v>1200.32</v>
      </c>
    </row>
    <row r="4755" spans="1:9" x14ac:dyDescent="0.3">
      <c r="A4755" t="s">
        <v>6773</v>
      </c>
      <c r="B4755" t="s">
        <v>936</v>
      </c>
      <c r="C4755" t="s">
        <v>2057</v>
      </c>
      <c r="D4755">
        <v>3</v>
      </c>
      <c r="E4755" s="16">
        <v>35.19</v>
      </c>
      <c r="F4755" s="1">
        <v>44202</v>
      </c>
      <c r="G4755" t="s">
        <v>2009</v>
      </c>
      <c r="H4755">
        <v>4</v>
      </c>
      <c r="I4755" s="12">
        <f>Table16[[#This Row],[price]]*Table16[[#This Row],[quantity]]</f>
        <v>105.57</v>
      </c>
    </row>
    <row r="4756" spans="1:9" x14ac:dyDescent="0.3">
      <c r="A4756" t="s">
        <v>6774</v>
      </c>
      <c r="B4756" t="s">
        <v>936</v>
      </c>
      <c r="C4756" t="s">
        <v>2001</v>
      </c>
      <c r="D4756">
        <v>4</v>
      </c>
      <c r="E4756" s="16">
        <v>1200.32</v>
      </c>
      <c r="F4756" s="1">
        <v>44257</v>
      </c>
      <c r="G4756" t="s">
        <v>2027</v>
      </c>
      <c r="H4756">
        <v>4</v>
      </c>
      <c r="I4756" s="12">
        <f>Table16[[#This Row],[price]]*Table16[[#This Row],[quantity]]</f>
        <v>4801.28</v>
      </c>
    </row>
    <row r="4757" spans="1:9" x14ac:dyDescent="0.3">
      <c r="A4757" t="s">
        <v>6777</v>
      </c>
      <c r="B4757" t="s">
        <v>936</v>
      </c>
      <c r="C4757" t="s">
        <v>2011</v>
      </c>
      <c r="D4757">
        <v>4</v>
      </c>
      <c r="E4757" s="16">
        <v>162.63999999999999</v>
      </c>
      <c r="F4757" s="1">
        <v>44396</v>
      </c>
      <c r="G4757" t="s">
        <v>2002</v>
      </c>
      <c r="H4757">
        <v>3</v>
      </c>
      <c r="I4757" s="12">
        <f>Table16[[#This Row],[price]]*Table16[[#This Row],[quantity]]</f>
        <v>650.55999999999995</v>
      </c>
    </row>
    <row r="4758" spans="1:9" x14ac:dyDescent="0.3">
      <c r="A4758" t="s">
        <v>6775</v>
      </c>
      <c r="B4758" t="s">
        <v>936</v>
      </c>
      <c r="C4758" t="s">
        <v>2015</v>
      </c>
      <c r="D4758">
        <v>3</v>
      </c>
      <c r="E4758" s="16">
        <v>1800.51</v>
      </c>
      <c r="F4758" s="1">
        <v>44446</v>
      </c>
      <c r="G4758" t="s">
        <v>2012</v>
      </c>
      <c r="H4758">
        <v>5</v>
      </c>
      <c r="I4758" s="12">
        <f>Table16[[#This Row],[price]]*Table16[[#This Row],[quantity]]</f>
        <v>5401.53</v>
      </c>
    </row>
    <row r="4759" spans="1:9" x14ac:dyDescent="0.3">
      <c r="A4759" t="s">
        <v>6776</v>
      </c>
      <c r="B4759" t="s">
        <v>936</v>
      </c>
      <c r="C4759" t="s">
        <v>2017</v>
      </c>
      <c r="D4759">
        <v>2</v>
      </c>
      <c r="E4759" s="16">
        <v>2100</v>
      </c>
      <c r="F4759" s="1">
        <v>44786</v>
      </c>
      <c r="G4759" t="s">
        <v>2004</v>
      </c>
      <c r="H4759">
        <v>4</v>
      </c>
      <c r="I4759" s="12">
        <f>Table16[[#This Row],[price]]*Table16[[#This Row],[quantity]]</f>
        <v>4200</v>
      </c>
    </row>
    <row r="4760" spans="1:9" x14ac:dyDescent="0.3">
      <c r="A4760" t="s">
        <v>6772</v>
      </c>
      <c r="B4760" t="s">
        <v>936</v>
      </c>
      <c r="C4760" t="s">
        <v>2008</v>
      </c>
      <c r="D4760">
        <v>4</v>
      </c>
      <c r="E4760" s="16">
        <v>20.92</v>
      </c>
      <c r="F4760" s="1">
        <v>44808</v>
      </c>
      <c r="G4760" t="s">
        <v>2004</v>
      </c>
      <c r="H4760">
        <v>1</v>
      </c>
      <c r="I4760" s="12">
        <f>Table16[[#This Row],[price]]*Table16[[#This Row],[quantity]]</f>
        <v>83.68</v>
      </c>
    </row>
    <row r="4761" spans="1:9" x14ac:dyDescent="0.3">
      <c r="A4761" t="s">
        <v>6771</v>
      </c>
      <c r="B4761" t="s">
        <v>936</v>
      </c>
      <c r="C4761" t="s">
        <v>2008</v>
      </c>
      <c r="D4761">
        <v>4</v>
      </c>
      <c r="E4761" s="16">
        <v>20.92</v>
      </c>
      <c r="F4761" s="1">
        <v>44815</v>
      </c>
      <c r="G4761" t="s">
        <v>2027</v>
      </c>
      <c r="H4761">
        <v>1</v>
      </c>
      <c r="I4761" s="12">
        <f>Table16[[#This Row],[price]]*Table16[[#This Row],[quantity]]</f>
        <v>83.68</v>
      </c>
    </row>
    <row r="4762" spans="1:9" x14ac:dyDescent="0.3">
      <c r="A4762" t="s">
        <v>6783</v>
      </c>
      <c r="B4762" t="s">
        <v>937</v>
      </c>
      <c r="C4762" t="s">
        <v>2001</v>
      </c>
      <c r="D4762">
        <v>1</v>
      </c>
      <c r="E4762" s="16">
        <v>300.08</v>
      </c>
      <c r="F4762" s="1">
        <v>44319</v>
      </c>
      <c r="G4762" t="s">
        <v>2002</v>
      </c>
      <c r="H4762">
        <v>4</v>
      </c>
      <c r="I4762" s="12">
        <f>Table16[[#This Row],[price]]*Table16[[#This Row],[quantity]]</f>
        <v>300.08</v>
      </c>
    </row>
    <row r="4763" spans="1:9" x14ac:dyDescent="0.3">
      <c r="A4763" t="s">
        <v>6781</v>
      </c>
      <c r="B4763" t="s">
        <v>937</v>
      </c>
      <c r="C4763" t="s">
        <v>2017</v>
      </c>
      <c r="D4763">
        <v>5</v>
      </c>
      <c r="E4763" s="16">
        <v>5250</v>
      </c>
      <c r="F4763" s="1">
        <v>44371</v>
      </c>
      <c r="G4763" t="s">
        <v>2002</v>
      </c>
      <c r="H4763">
        <v>2</v>
      </c>
      <c r="I4763" s="12">
        <f>Table16[[#This Row],[price]]*Table16[[#This Row],[quantity]]</f>
        <v>26250</v>
      </c>
    </row>
    <row r="4764" spans="1:9" x14ac:dyDescent="0.3">
      <c r="A4764" t="s">
        <v>6778</v>
      </c>
      <c r="B4764" t="s">
        <v>937</v>
      </c>
      <c r="C4764" t="s">
        <v>2017</v>
      </c>
      <c r="D4764">
        <v>4</v>
      </c>
      <c r="E4764" s="16">
        <v>4200</v>
      </c>
      <c r="F4764" s="1">
        <v>44694</v>
      </c>
      <c r="G4764" t="s">
        <v>2004</v>
      </c>
      <c r="H4764">
        <v>2</v>
      </c>
      <c r="I4764" s="12">
        <f>Table16[[#This Row],[price]]*Table16[[#This Row],[quantity]]</f>
        <v>16800</v>
      </c>
    </row>
    <row r="4765" spans="1:9" x14ac:dyDescent="0.3">
      <c r="A4765" t="s">
        <v>6779</v>
      </c>
      <c r="B4765" t="s">
        <v>937</v>
      </c>
      <c r="C4765" t="s">
        <v>2011</v>
      </c>
      <c r="D4765">
        <v>2</v>
      </c>
      <c r="E4765" s="16">
        <v>81.319999999999993</v>
      </c>
      <c r="F4765" s="1">
        <v>44785</v>
      </c>
      <c r="G4765" t="s">
        <v>2009</v>
      </c>
      <c r="H4765">
        <v>3</v>
      </c>
      <c r="I4765" s="12">
        <f>Table16[[#This Row],[price]]*Table16[[#This Row],[quantity]]</f>
        <v>162.63999999999999</v>
      </c>
    </row>
    <row r="4766" spans="1:9" x14ac:dyDescent="0.3">
      <c r="A4766" t="s">
        <v>6780</v>
      </c>
      <c r="B4766" t="s">
        <v>937</v>
      </c>
      <c r="C4766" t="s">
        <v>2001</v>
      </c>
      <c r="D4766">
        <v>5</v>
      </c>
      <c r="E4766" s="16">
        <v>1500.4</v>
      </c>
      <c r="F4766" s="1">
        <v>44885</v>
      </c>
      <c r="G4766" t="s">
        <v>2002</v>
      </c>
      <c r="H4766">
        <v>1</v>
      </c>
      <c r="I4766" s="12">
        <f>Table16[[#This Row],[price]]*Table16[[#This Row],[quantity]]</f>
        <v>7502</v>
      </c>
    </row>
    <row r="4767" spans="1:9" x14ac:dyDescent="0.3">
      <c r="A4767" t="s">
        <v>6782</v>
      </c>
      <c r="B4767" t="s">
        <v>937</v>
      </c>
      <c r="C4767" t="s">
        <v>2001</v>
      </c>
      <c r="D4767">
        <v>2</v>
      </c>
      <c r="E4767" s="16">
        <v>600.16</v>
      </c>
      <c r="F4767" s="1">
        <v>44935</v>
      </c>
      <c r="G4767" t="s">
        <v>2020</v>
      </c>
      <c r="H4767">
        <v>3</v>
      </c>
      <c r="I4767" s="12">
        <f>Table16[[#This Row],[price]]*Table16[[#This Row],[quantity]]</f>
        <v>1200.32</v>
      </c>
    </row>
    <row r="4768" spans="1:9" x14ac:dyDescent="0.3">
      <c r="A4768" t="s">
        <v>6788</v>
      </c>
      <c r="B4768" t="s">
        <v>938</v>
      </c>
      <c r="C4768" t="s">
        <v>2011</v>
      </c>
      <c r="D4768">
        <v>1</v>
      </c>
      <c r="E4768" s="16">
        <v>40.659999999999997</v>
      </c>
      <c r="F4768" s="1">
        <v>44333</v>
      </c>
      <c r="G4768" t="s">
        <v>2004</v>
      </c>
      <c r="H4768">
        <v>5</v>
      </c>
      <c r="I4768" s="12">
        <f>Table16[[#This Row],[price]]*Table16[[#This Row],[quantity]]</f>
        <v>40.659999999999997</v>
      </c>
    </row>
    <row r="4769" spans="1:9" x14ac:dyDescent="0.3">
      <c r="A4769" t="s">
        <v>6784</v>
      </c>
      <c r="B4769" t="s">
        <v>938</v>
      </c>
      <c r="C4769" t="s">
        <v>2015</v>
      </c>
      <c r="D4769">
        <v>1</v>
      </c>
      <c r="E4769" s="16">
        <v>600.16999999999996</v>
      </c>
      <c r="F4769" s="1">
        <v>44428</v>
      </c>
      <c r="G4769" t="s">
        <v>2020</v>
      </c>
      <c r="H4769">
        <v>3</v>
      </c>
      <c r="I4769" s="12">
        <f>Table16[[#This Row],[price]]*Table16[[#This Row],[quantity]]</f>
        <v>600.16999999999996</v>
      </c>
    </row>
    <row r="4770" spans="1:9" x14ac:dyDescent="0.3">
      <c r="A4770" t="s">
        <v>6787</v>
      </c>
      <c r="B4770" t="s">
        <v>938</v>
      </c>
      <c r="C4770" t="s">
        <v>2008</v>
      </c>
      <c r="D4770">
        <v>4</v>
      </c>
      <c r="E4770" s="16">
        <v>20.92</v>
      </c>
      <c r="F4770" s="1">
        <v>44635</v>
      </c>
      <c r="G4770" t="s">
        <v>2027</v>
      </c>
      <c r="H4770">
        <v>2</v>
      </c>
      <c r="I4770" s="12">
        <f>Table16[[#This Row],[price]]*Table16[[#This Row],[quantity]]</f>
        <v>83.68</v>
      </c>
    </row>
    <row r="4771" spans="1:9" x14ac:dyDescent="0.3">
      <c r="A4771" t="s">
        <v>6786</v>
      </c>
      <c r="B4771" t="s">
        <v>938</v>
      </c>
      <c r="C4771" t="s">
        <v>2008</v>
      </c>
      <c r="D4771">
        <v>2</v>
      </c>
      <c r="E4771" s="16">
        <v>10.46</v>
      </c>
      <c r="F4771" s="1">
        <v>44862</v>
      </c>
      <c r="G4771" t="s">
        <v>2009</v>
      </c>
      <c r="H4771">
        <v>3</v>
      </c>
      <c r="I4771" s="12">
        <f>Table16[[#This Row],[price]]*Table16[[#This Row],[quantity]]</f>
        <v>20.92</v>
      </c>
    </row>
    <row r="4772" spans="1:9" x14ac:dyDescent="0.3">
      <c r="A4772" t="s">
        <v>6785</v>
      </c>
      <c r="B4772" t="s">
        <v>938</v>
      </c>
      <c r="C4772" t="s">
        <v>2015</v>
      </c>
      <c r="D4772">
        <v>2</v>
      </c>
      <c r="E4772" s="16">
        <v>1200.3399999999999</v>
      </c>
      <c r="F4772" s="1">
        <v>44949</v>
      </c>
      <c r="G4772" t="s">
        <v>2004</v>
      </c>
      <c r="H4772">
        <v>2</v>
      </c>
      <c r="I4772" s="12">
        <f>Table16[[#This Row],[price]]*Table16[[#This Row],[quantity]]</f>
        <v>2400.6799999999998</v>
      </c>
    </row>
    <row r="4773" spans="1:9" x14ac:dyDescent="0.3">
      <c r="A4773" t="s">
        <v>6793</v>
      </c>
      <c r="B4773" t="s">
        <v>939</v>
      </c>
      <c r="C4773" t="s">
        <v>2001</v>
      </c>
      <c r="D4773">
        <v>5</v>
      </c>
      <c r="E4773" s="16">
        <v>1500.4</v>
      </c>
      <c r="F4773" s="1">
        <v>44231</v>
      </c>
      <c r="G4773" t="s">
        <v>2002</v>
      </c>
      <c r="H4773">
        <v>4</v>
      </c>
      <c r="I4773" s="12">
        <f>Table16[[#This Row],[price]]*Table16[[#This Row],[quantity]]</f>
        <v>7502</v>
      </c>
    </row>
    <row r="4774" spans="1:9" x14ac:dyDescent="0.3">
      <c r="A4774" t="s">
        <v>6792</v>
      </c>
      <c r="B4774" t="s">
        <v>939</v>
      </c>
      <c r="C4774" t="s">
        <v>2011</v>
      </c>
      <c r="D4774">
        <v>4</v>
      </c>
      <c r="E4774" s="16">
        <v>162.63999999999999</v>
      </c>
      <c r="F4774" s="1">
        <v>44519</v>
      </c>
      <c r="G4774" t="s">
        <v>2002</v>
      </c>
      <c r="H4774">
        <v>3</v>
      </c>
      <c r="I4774" s="12">
        <f>Table16[[#This Row],[price]]*Table16[[#This Row],[quantity]]</f>
        <v>650.55999999999995</v>
      </c>
    </row>
    <row r="4775" spans="1:9" x14ac:dyDescent="0.3">
      <c r="A4775" t="s">
        <v>6791</v>
      </c>
      <c r="B4775" t="s">
        <v>939</v>
      </c>
      <c r="C4775" t="s">
        <v>2001</v>
      </c>
      <c r="D4775">
        <v>2</v>
      </c>
      <c r="E4775" s="16">
        <v>600.16</v>
      </c>
      <c r="F4775" s="1">
        <v>44570</v>
      </c>
      <c r="G4775" t="s">
        <v>2002</v>
      </c>
      <c r="H4775">
        <v>4</v>
      </c>
      <c r="I4775" s="12">
        <f>Table16[[#This Row],[price]]*Table16[[#This Row],[quantity]]</f>
        <v>1200.32</v>
      </c>
    </row>
    <row r="4776" spans="1:9" x14ac:dyDescent="0.3">
      <c r="A4776" t="s">
        <v>6789</v>
      </c>
      <c r="B4776" t="s">
        <v>939</v>
      </c>
      <c r="C4776" t="s">
        <v>2001</v>
      </c>
      <c r="D4776">
        <v>4</v>
      </c>
      <c r="E4776" s="16">
        <v>1200.32</v>
      </c>
      <c r="F4776" s="1">
        <v>44877</v>
      </c>
      <c r="G4776" t="s">
        <v>2058</v>
      </c>
      <c r="H4776">
        <v>2</v>
      </c>
      <c r="I4776" s="12">
        <f>Table16[[#This Row],[price]]*Table16[[#This Row],[quantity]]</f>
        <v>4801.28</v>
      </c>
    </row>
    <row r="4777" spans="1:9" x14ac:dyDescent="0.3">
      <c r="A4777" t="s">
        <v>6790</v>
      </c>
      <c r="B4777" t="s">
        <v>939</v>
      </c>
      <c r="C4777" t="s">
        <v>2001</v>
      </c>
      <c r="D4777">
        <v>1</v>
      </c>
      <c r="E4777" s="16">
        <v>300.08</v>
      </c>
      <c r="F4777" s="1">
        <v>44933</v>
      </c>
      <c r="G4777" t="s">
        <v>2041</v>
      </c>
      <c r="H4777">
        <v>5</v>
      </c>
      <c r="I4777" s="12">
        <f>Table16[[#This Row],[price]]*Table16[[#This Row],[quantity]]</f>
        <v>300.08</v>
      </c>
    </row>
    <row r="4778" spans="1:9" x14ac:dyDescent="0.3">
      <c r="A4778" t="s">
        <v>6797</v>
      </c>
      <c r="B4778" t="s">
        <v>940</v>
      </c>
      <c r="C4778" t="s">
        <v>2001</v>
      </c>
      <c r="D4778">
        <v>1</v>
      </c>
      <c r="E4778" s="16">
        <v>300.08</v>
      </c>
      <c r="F4778" s="1">
        <v>44348</v>
      </c>
      <c r="G4778" t="s">
        <v>2002</v>
      </c>
      <c r="H4778">
        <v>5</v>
      </c>
      <c r="I4778" s="12">
        <f>Table16[[#This Row],[price]]*Table16[[#This Row],[quantity]]</f>
        <v>300.08</v>
      </c>
    </row>
    <row r="4779" spans="1:9" x14ac:dyDescent="0.3">
      <c r="A4779" t="s">
        <v>6798</v>
      </c>
      <c r="B4779" t="s">
        <v>940</v>
      </c>
      <c r="C4779" t="s">
        <v>2024</v>
      </c>
      <c r="D4779">
        <v>1</v>
      </c>
      <c r="E4779" s="16">
        <v>35.840000000000003</v>
      </c>
      <c r="F4779" s="1">
        <v>44528</v>
      </c>
      <c r="G4779" t="s">
        <v>2018</v>
      </c>
      <c r="H4779">
        <v>3</v>
      </c>
      <c r="I4779" s="12">
        <f>Table16[[#This Row],[price]]*Table16[[#This Row],[quantity]]</f>
        <v>35.840000000000003</v>
      </c>
    </row>
    <row r="4780" spans="1:9" x14ac:dyDescent="0.3">
      <c r="A4780" t="s">
        <v>6796</v>
      </c>
      <c r="B4780" t="s">
        <v>940</v>
      </c>
      <c r="C4780" t="s">
        <v>2008</v>
      </c>
      <c r="D4780">
        <v>1</v>
      </c>
      <c r="E4780" s="16">
        <v>5.23</v>
      </c>
      <c r="F4780" s="1">
        <v>44550</v>
      </c>
      <c r="G4780" t="s">
        <v>2020</v>
      </c>
      <c r="H4780">
        <v>5</v>
      </c>
      <c r="I4780" s="12">
        <f>Table16[[#This Row],[price]]*Table16[[#This Row],[quantity]]</f>
        <v>5.23</v>
      </c>
    </row>
    <row r="4781" spans="1:9" x14ac:dyDescent="0.3">
      <c r="A4781" t="s">
        <v>6794</v>
      </c>
      <c r="B4781" t="s">
        <v>940</v>
      </c>
      <c r="C4781" t="s">
        <v>2015</v>
      </c>
      <c r="D4781">
        <v>4</v>
      </c>
      <c r="E4781" s="16">
        <v>2400.6799999999998</v>
      </c>
      <c r="F4781" s="1">
        <v>44908</v>
      </c>
      <c r="G4781" t="s">
        <v>2002</v>
      </c>
      <c r="H4781">
        <v>5</v>
      </c>
      <c r="I4781" s="12">
        <f>Table16[[#This Row],[price]]*Table16[[#This Row],[quantity]]</f>
        <v>9602.7199999999993</v>
      </c>
    </row>
    <row r="4782" spans="1:9" x14ac:dyDescent="0.3">
      <c r="A4782" t="s">
        <v>6795</v>
      </c>
      <c r="B4782" t="s">
        <v>940</v>
      </c>
      <c r="C4782" t="s">
        <v>2024</v>
      </c>
      <c r="D4782">
        <v>5</v>
      </c>
      <c r="E4782" s="16">
        <v>179.2</v>
      </c>
      <c r="F4782" s="1">
        <v>44940</v>
      </c>
      <c r="G4782" t="s">
        <v>2020</v>
      </c>
      <c r="H4782">
        <v>5</v>
      </c>
      <c r="I4782" s="12">
        <f>Table16[[#This Row],[price]]*Table16[[#This Row],[quantity]]</f>
        <v>896</v>
      </c>
    </row>
    <row r="4783" spans="1:9" x14ac:dyDescent="0.3">
      <c r="A4783" t="s">
        <v>6803</v>
      </c>
      <c r="B4783" t="s">
        <v>941</v>
      </c>
      <c r="C4783" t="s">
        <v>2001</v>
      </c>
      <c r="D4783">
        <v>5</v>
      </c>
      <c r="E4783" s="16">
        <v>1500.4</v>
      </c>
      <c r="F4783" s="1">
        <v>44281</v>
      </c>
      <c r="G4783" t="s">
        <v>2004</v>
      </c>
      <c r="H4783">
        <v>1</v>
      </c>
      <c r="I4783" s="12">
        <f>Table16[[#This Row],[price]]*Table16[[#This Row],[quantity]]</f>
        <v>7502</v>
      </c>
    </row>
    <row r="4784" spans="1:9" x14ac:dyDescent="0.3">
      <c r="A4784" t="s">
        <v>6806</v>
      </c>
      <c r="B4784" t="s">
        <v>941</v>
      </c>
      <c r="C4784" t="s">
        <v>2017</v>
      </c>
      <c r="D4784">
        <v>1</v>
      </c>
      <c r="E4784" s="16">
        <v>1050</v>
      </c>
      <c r="F4784" s="1">
        <v>44348</v>
      </c>
      <c r="G4784" t="s">
        <v>2027</v>
      </c>
      <c r="H4784">
        <v>3</v>
      </c>
      <c r="I4784" s="12">
        <f>Table16[[#This Row],[price]]*Table16[[#This Row],[quantity]]</f>
        <v>1050</v>
      </c>
    </row>
    <row r="4785" spans="1:9" x14ac:dyDescent="0.3">
      <c r="A4785" t="s">
        <v>6804</v>
      </c>
      <c r="B4785" t="s">
        <v>941</v>
      </c>
      <c r="C4785" t="s">
        <v>2001</v>
      </c>
      <c r="D4785">
        <v>2</v>
      </c>
      <c r="E4785" s="16">
        <v>600.16</v>
      </c>
      <c r="F4785" s="1">
        <v>44421</v>
      </c>
      <c r="G4785" t="s">
        <v>2002</v>
      </c>
      <c r="H4785">
        <v>5</v>
      </c>
      <c r="I4785" s="12">
        <f>Table16[[#This Row],[price]]*Table16[[#This Row],[quantity]]</f>
        <v>1200.32</v>
      </c>
    </row>
    <row r="4786" spans="1:9" x14ac:dyDescent="0.3">
      <c r="A4786" t="s">
        <v>6801</v>
      </c>
      <c r="B4786" t="s">
        <v>941</v>
      </c>
      <c r="C4786" t="s">
        <v>2001</v>
      </c>
      <c r="D4786">
        <v>5</v>
      </c>
      <c r="E4786" s="16">
        <v>1500.4</v>
      </c>
      <c r="F4786" s="1">
        <v>44429</v>
      </c>
      <c r="G4786" t="s">
        <v>2020</v>
      </c>
      <c r="H4786">
        <v>4</v>
      </c>
      <c r="I4786" s="12">
        <f>Table16[[#This Row],[price]]*Table16[[#This Row],[quantity]]</f>
        <v>7502</v>
      </c>
    </row>
    <row r="4787" spans="1:9" x14ac:dyDescent="0.3">
      <c r="A4787" t="s">
        <v>6802</v>
      </c>
      <c r="B4787" t="s">
        <v>941</v>
      </c>
      <c r="C4787" t="s">
        <v>2006</v>
      </c>
      <c r="D4787">
        <v>5</v>
      </c>
      <c r="E4787" s="16">
        <v>75.75</v>
      </c>
      <c r="F4787" s="1">
        <v>44581</v>
      </c>
      <c r="G4787" t="s">
        <v>2002</v>
      </c>
      <c r="H4787">
        <v>5</v>
      </c>
      <c r="I4787" s="12">
        <f>Table16[[#This Row],[price]]*Table16[[#This Row],[quantity]]</f>
        <v>378.75</v>
      </c>
    </row>
    <row r="4788" spans="1:9" x14ac:dyDescent="0.3">
      <c r="A4788" t="s">
        <v>6800</v>
      </c>
      <c r="B4788" t="s">
        <v>941</v>
      </c>
      <c r="C4788" t="s">
        <v>2001</v>
      </c>
      <c r="D4788">
        <v>4</v>
      </c>
      <c r="E4788" s="16">
        <v>1200.32</v>
      </c>
      <c r="F4788" s="1">
        <v>44586</v>
      </c>
      <c r="G4788" t="s">
        <v>2004</v>
      </c>
      <c r="H4788">
        <v>5</v>
      </c>
      <c r="I4788" s="12">
        <f>Table16[[#This Row],[price]]*Table16[[#This Row],[quantity]]</f>
        <v>4801.28</v>
      </c>
    </row>
    <row r="4789" spans="1:9" x14ac:dyDescent="0.3">
      <c r="A4789" t="s">
        <v>6805</v>
      </c>
      <c r="B4789" t="s">
        <v>941</v>
      </c>
      <c r="C4789" t="s">
        <v>2001</v>
      </c>
      <c r="D4789">
        <v>2</v>
      </c>
      <c r="E4789" s="16">
        <v>600.16</v>
      </c>
      <c r="F4789" s="1">
        <v>44590</v>
      </c>
      <c r="G4789" t="s">
        <v>2004</v>
      </c>
      <c r="H4789">
        <v>2</v>
      </c>
      <c r="I4789" s="12">
        <f>Table16[[#This Row],[price]]*Table16[[#This Row],[quantity]]</f>
        <v>1200.32</v>
      </c>
    </row>
    <row r="4790" spans="1:9" x14ac:dyDescent="0.3">
      <c r="A4790" t="s">
        <v>6807</v>
      </c>
      <c r="B4790" t="s">
        <v>941</v>
      </c>
      <c r="C4790" t="s">
        <v>2011</v>
      </c>
      <c r="D4790">
        <v>2</v>
      </c>
      <c r="E4790" s="16">
        <v>81.319999999999993</v>
      </c>
      <c r="F4790" s="1">
        <v>44629</v>
      </c>
      <c r="G4790" t="s">
        <v>2004</v>
      </c>
      <c r="H4790">
        <v>5</v>
      </c>
      <c r="I4790" s="12">
        <f>Table16[[#This Row],[price]]*Table16[[#This Row],[quantity]]</f>
        <v>162.63999999999999</v>
      </c>
    </row>
    <row r="4791" spans="1:9" x14ac:dyDescent="0.3">
      <c r="A4791" t="s">
        <v>6799</v>
      </c>
      <c r="B4791" t="s">
        <v>941</v>
      </c>
      <c r="C4791" t="s">
        <v>2024</v>
      </c>
      <c r="D4791">
        <v>1</v>
      </c>
      <c r="E4791" s="16">
        <v>35.840000000000003</v>
      </c>
      <c r="F4791" s="1">
        <v>44651</v>
      </c>
      <c r="G4791" t="s">
        <v>2027</v>
      </c>
      <c r="H4791">
        <v>3</v>
      </c>
      <c r="I4791" s="12">
        <f>Table16[[#This Row],[price]]*Table16[[#This Row],[quantity]]</f>
        <v>35.840000000000003</v>
      </c>
    </row>
    <row r="4792" spans="1:9" x14ac:dyDescent="0.3">
      <c r="A4792" t="s">
        <v>6808</v>
      </c>
      <c r="B4792" t="s">
        <v>942</v>
      </c>
      <c r="C4792" t="s">
        <v>2001</v>
      </c>
      <c r="D4792">
        <v>2</v>
      </c>
      <c r="E4792" s="16">
        <v>600.16</v>
      </c>
      <c r="F4792" s="1">
        <v>44198</v>
      </c>
      <c r="G4792" t="s">
        <v>2027</v>
      </c>
      <c r="H4792">
        <v>2</v>
      </c>
      <c r="I4792" s="12">
        <f>Table16[[#This Row],[price]]*Table16[[#This Row],[quantity]]</f>
        <v>1200.32</v>
      </c>
    </row>
    <row r="4793" spans="1:9" x14ac:dyDescent="0.3">
      <c r="A4793" t="s">
        <v>6812</v>
      </c>
      <c r="B4793" t="s">
        <v>942</v>
      </c>
      <c r="C4793" t="s">
        <v>2024</v>
      </c>
      <c r="D4793">
        <v>1</v>
      </c>
      <c r="E4793" s="16">
        <v>35.840000000000003</v>
      </c>
      <c r="F4793" s="1">
        <v>44260</v>
      </c>
      <c r="G4793" t="s">
        <v>2004</v>
      </c>
      <c r="H4793">
        <v>4</v>
      </c>
      <c r="I4793" s="12">
        <f>Table16[[#This Row],[price]]*Table16[[#This Row],[quantity]]</f>
        <v>35.840000000000003</v>
      </c>
    </row>
    <row r="4794" spans="1:9" x14ac:dyDescent="0.3">
      <c r="A4794" t="s">
        <v>6809</v>
      </c>
      <c r="B4794" t="s">
        <v>942</v>
      </c>
      <c r="C4794" t="s">
        <v>2001</v>
      </c>
      <c r="D4794">
        <v>1</v>
      </c>
      <c r="E4794" s="16">
        <v>300.08</v>
      </c>
      <c r="F4794" s="1">
        <v>44265</v>
      </c>
      <c r="G4794" t="s">
        <v>2027</v>
      </c>
      <c r="H4794">
        <v>4</v>
      </c>
      <c r="I4794" s="12">
        <f>Table16[[#This Row],[price]]*Table16[[#This Row],[quantity]]</f>
        <v>300.08</v>
      </c>
    </row>
    <row r="4795" spans="1:9" x14ac:dyDescent="0.3">
      <c r="A4795" t="s">
        <v>6811</v>
      </c>
      <c r="B4795" t="s">
        <v>942</v>
      </c>
      <c r="C4795" t="s">
        <v>2008</v>
      </c>
      <c r="D4795">
        <v>1</v>
      </c>
      <c r="E4795" s="16">
        <v>5.23</v>
      </c>
      <c r="F4795" s="1">
        <v>44624</v>
      </c>
      <c r="G4795" t="s">
        <v>2064</v>
      </c>
      <c r="H4795">
        <v>3</v>
      </c>
      <c r="I4795" s="12">
        <f>Table16[[#This Row],[price]]*Table16[[#This Row],[quantity]]</f>
        <v>5.23</v>
      </c>
    </row>
    <row r="4796" spans="1:9" x14ac:dyDescent="0.3">
      <c r="A4796" t="s">
        <v>6810</v>
      </c>
      <c r="B4796" t="s">
        <v>942</v>
      </c>
      <c r="C4796" t="s">
        <v>2011</v>
      </c>
      <c r="D4796">
        <v>3</v>
      </c>
      <c r="E4796" s="16">
        <v>121.98</v>
      </c>
      <c r="F4796" s="1">
        <v>44786</v>
      </c>
      <c r="G4796" t="s">
        <v>2020</v>
      </c>
      <c r="H4796">
        <v>3</v>
      </c>
      <c r="I4796" s="12">
        <f>Table16[[#This Row],[price]]*Table16[[#This Row],[quantity]]</f>
        <v>365.94</v>
      </c>
    </row>
    <row r="4797" spans="1:9" x14ac:dyDescent="0.3">
      <c r="A4797" t="s">
        <v>6815</v>
      </c>
      <c r="B4797" t="s">
        <v>943</v>
      </c>
      <c r="C4797" t="s">
        <v>2006</v>
      </c>
      <c r="D4797">
        <v>4</v>
      </c>
      <c r="E4797" s="16">
        <v>60.6</v>
      </c>
      <c r="F4797" s="1">
        <v>44221</v>
      </c>
      <c r="G4797" t="s">
        <v>2018</v>
      </c>
      <c r="H4797">
        <v>2</v>
      </c>
      <c r="I4797" s="12">
        <f>Table16[[#This Row],[price]]*Table16[[#This Row],[quantity]]</f>
        <v>242.4</v>
      </c>
    </row>
    <row r="4798" spans="1:9" x14ac:dyDescent="0.3">
      <c r="A4798" t="s">
        <v>6814</v>
      </c>
      <c r="B4798" t="s">
        <v>943</v>
      </c>
      <c r="C4798" t="s">
        <v>2008</v>
      </c>
      <c r="D4798">
        <v>2</v>
      </c>
      <c r="E4798" s="16">
        <v>10.46</v>
      </c>
      <c r="F4798" s="1">
        <v>44659</v>
      </c>
      <c r="G4798" t="s">
        <v>2002</v>
      </c>
      <c r="H4798">
        <v>2</v>
      </c>
      <c r="I4798" s="12">
        <f>Table16[[#This Row],[price]]*Table16[[#This Row],[quantity]]</f>
        <v>20.92</v>
      </c>
    </row>
    <row r="4799" spans="1:9" x14ac:dyDescent="0.3">
      <c r="A4799" t="s">
        <v>6818</v>
      </c>
      <c r="B4799" t="s">
        <v>943</v>
      </c>
      <c r="C4799" t="s">
        <v>2001</v>
      </c>
      <c r="D4799">
        <v>3</v>
      </c>
      <c r="E4799" s="16">
        <v>900.24</v>
      </c>
      <c r="F4799" s="1">
        <v>44769</v>
      </c>
      <c r="G4799" t="s">
        <v>2058</v>
      </c>
      <c r="H4799">
        <v>5</v>
      </c>
      <c r="I4799" s="12">
        <f>Table16[[#This Row],[price]]*Table16[[#This Row],[quantity]]</f>
        <v>2700.7200000000003</v>
      </c>
    </row>
    <row r="4800" spans="1:9" x14ac:dyDescent="0.3">
      <c r="A4800" t="s">
        <v>6816</v>
      </c>
      <c r="B4800" t="s">
        <v>943</v>
      </c>
      <c r="C4800" t="s">
        <v>2011</v>
      </c>
      <c r="D4800">
        <v>5</v>
      </c>
      <c r="E4800" s="16">
        <v>203.3</v>
      </c>
      <c r="F4800" s="1">
        <v>44914</v>
      </c>
      <c r="G4800" t="s">
        <v>2004</v>
      </c>
      <c r="H4800">
        <v>5</v>
      </c>
      <c r="I4800" s="12">
        <f>Table16[[#This Row],[price]]*Table16[[#This Row],[quantity]]</f>
        <v>1016.5</v>
      </c>
    </row>
    <row r="4801" spans="1:9" x14ac:dyDescent="0.3">
      <c r="A4801" t="s">
        <v>6813</v>
      </c>
      <c r="B4801" t="s">
        <v>943</v>
      </c>
      <c r="C4801" t="s">
        <v>2015</v>
      </c>
      <c r="D4801">
        <v>1</v>
      </c>
      <c r="E4801" s="16">
        <v>600.16999999999996</v>
      </c>
      <c r="F4801" s="1">
        <v>44942</v>
      </c>
      <c r="G4801" t="s">
        <v>2027</v>
      </c>
      <c r="H4801">
        <v>4</v>
      </c>
      <c r="I4801" s="12">
        <f>Table16[[#This Row],[price]]*Table16[[#This Row],[quantity]]</f>
        <v>600.16999999999996</v>
      </c>
    </row>
    <row r="4802" spans="1:9" x14ac:dyDescent="0.3">
      <c r="A4802" t="s">
        <v>6817</v>
      </c>
      <c r="B4802" t="s">
        <v>943</v>
      </c>
      <c r="C4802" t="s">
        <v>2008</v>
      </c>
      <c r="D4802">
        <v>2</v>
      </c>
      <c r="E4802" s="16">
        <v>10.46</v>
      </c>
      <c r="F4802" s="1">
        <v>44980</v>
      </c>
      <c r="G4802" t="s">
        <v>2027</v>
      </c>
      <c r="H4802">
        <v>1</v>
      </c>
      <c r="I4802" s="12">
        <f>Table16[[#This Row],[price]]*Table16[[#This Row],[quantity]]</f>
        <v>20.92</v>
      </c>
    </row>
    <row r="4803" spans="1:9" x14ac:dyDescent="0.3">
      <c r="A4803" t="s">
        <v>6822</v>
      </c>
      <c r="B4803" t="s">
        <v>944</v>
      </c>
      <c r="C4803" t="s">
        <v>2006</v>
      </c>
      <c r="D4803">
        <v>4</v>
      </c>
      <c r="E4803" s="16">
        <v>60.6</v>
      </c>
      <c r="F4803" s="1">
        <v>44312</v>
      </c>
      <c r="G4803" t="s">
        <v>2004</v>
      </c>
      <c r="H4803">
        <v>1</v>
      </c>
      <c r="I4803" s="12">
        <f>Table16[[#This Row],[price]]*Table16[[#This Row],[quantity]]</f>
        <v>242.4</v>
      </c>
    </row>
    <row r="4804" spans="1:9" x14ac:dyDescent="0.3">
      <c r="A4804" t="s">
        <v>6820</v>
      </c>
      <c r="B4804" t="s">
        <v>944</v>
      </c>
      <c r="C4804" t="s">
        <v>2001</v>
      </c>
      <c r="D4804">
        <v>4</v>
      </c>
      <c r="E4804" s="16">
        <v>1200.32</v>
      </c>
      <c r="F4804" s="1">
        <v>44315</v>
      </c>
      <c r="G4804" t="s">
        <v>2058</v>
      </c>
      <c r="H4804">
        <v>2</v>
      </c>
      <c r="I4804" s="12">
        <f>Table16[[#This Row],[price]]*Table16[[#This Row],[quantity]]</f>
        <v>4801.28</v>
      </c>
    </row>
    <row r="4805" spans="1:9" x14ac:dyDescent="0.3">
      <c r="A4805" t="s">
        <v>6819</v>
      </c>
      <c r="B4805" t="s">
        <v>944</v>
      </c>
      <c r="C4805" t="s">
        <v>2017</v>
      </c>
      <c r="D4805">
        <v>1</v>
      </c>
      <c r="E4805" s="16">
        <v>1050</v>
      </c>
      <c r="F4805" s="1">
        <v>44512</v>
      </c>
      <c r="G4805" t="s">
        <v>2002</v>
      </c>
      <c r="H4805">
        <v>2</v>
      </c>
      <c r="I4805" s="12">
        <f>Table16[[#This Row],[price]]*Table16[[#This Row],[quantity]]</f>
        <v>1050</v>
      </c>
    </row>
    <row r="4806" spans="1:9" x14ac:dyDescent="0.3">
      <c r="A4806" t="s">
        <v>6821</v>
      </c>
      <c r="B4806" t="s">
        <v>944</v>
      </c>
      <c r="C4806" t="s">
        <v>2011</v>
      </c>
      <c r="D4806">
        <v>3</v>
      </c>
      <c r="E4806" s="16">
        <v>121.98</v>
      </c>
      <c r="F4806" s="1">
        <v>44709</v>
      </c>
      <c r="G4806" t="s">
        <v>2002</v>
      </c>
      <c r="H4806">
        <v>3</v>
      </c>
      <c r="I4806" s="12">
        <f>Table16[[#This Row],[price]]*Table16[[#This Row],[quantity]]</f>
        <v>365.94</v>
      </c>
    </row>
    <row r="4807" spans="1:9" x14ac:dyDescent="0.3">
      <c r="A4807" t="s">
        <v>6823</v>
      </c>
      <c r="B4807" t="s">
        <v>945</v>
      </c>
      <c r="C4807" t="s">
        <v>2024</v>
      </c>
      <c r="D4807">
        <v>2</v>
      </c>
      <c r="E4807" s="16">
        <v>71.680000000000007</v>
      </c>
      <c r="F4807" s="1">
        <v>44800</v>
      </c>
      <c r="G4807" t="s">
        <v>2064</v>
      </c>
      <c r="H4807">
        <v>3</v>
      </c>
      <c r="I4807" s="12">
        <f>Table16[[#This Row],[price]]*Table16[[#This Row],[quantity]]</f>
        <v>143.36000000000001</v>
      </c>
    </row>
    <row r="4808" spans="1:9" x14ac:dyDescent="0.3">
      <c r="A4808" t="s">
        <v>6826</v>
      </c>
      <c r="B4808" t="s">
        <v>946</v>
      </c>
      <c r="C4808" t="s">
        <v>2001</v>
      </c>
      <c r="D4808">
        <v>5</v>
      </c>
      <c r="E4808" s="16">
        <v>1500.4</v>
      </c>
      <c r="F4808" s="1">
        <v>44236</v>
      </c>
      <c r="G4808" t="s">
        <v>2018</v>
      </c>
      <c r="H4808">
        <v>4</v>
      </c>
      <c r="I4808" s="12">
        <f>Table16[[#This Row],[price]]*Table16[[#This Row],[quantity]]</f>
        <v>7502</v>
      </c>
    </row>
    <row r="4809" spans="1:9" x14ac:dyDescent="0.3">
      <c r="A4809" t="s">
        <v>6824</v>
      </c>
      <c r="B4809" t="s">
        <v>946</v>
      </c>
      <c r="C4809" t="s">
        <v>2001</v>
      </c>
      <c r="D4809">
        <v>2</v>
      </c>
      <c r="E4809" s="16">
        <v>600.16</v>
      </c>
      <c r="F4809" s="1">
        <v>44272</v>
      </c>
      <c r="G4809" t="s">
        <v>2027</v>
      </c>
      <c r="H4809">
        <v>2</v>
      </c>
      <c r="I4809" s="12">
        <f>Table16[[#This Row],[price]]*Table16[[#This Row],[quantity]]</f>
        <v>1200.32</v>
      </c>
    </row>
    <row r="4810" spans="1:9" x14ac:dyDescent="0.3">
      <c r="A4810" t="s">
        <v>6827</v>
      </c>
      <c r="B4810" t="s">
        <v>946</v>
      </c>
      <c r="C4810" t="s">
        <v>2006</v>
      </c>
      <c r="D4810">
        <v>1</v>
      </c>
      <c r="E4810" s="16">
        <v>15.15</v>
      </c>
      <c r="F4810" s="1">
        <v>44303</v>
      </c>
      <c r="G4810" t="s">
        <v>2020</v>
      </c>
      <c r="H4810">
        <v>2</v>
      </c>
      <c r="I4810" s="12">
        <f>Table16[[#This Row],[price]]*Table16[[#This Row],[quantity]]</f>
        <v>15.15</v>
      </c>
    </row>
    <row r="4811" spans="1:9" x14ac:dyDescent="0.3">
      <c r="A4811" t="s">
        <v>6829</v>
      </c>
      <c r="B4811" t="s">
        <v>946</v>
      </c>
      <c r="C4811" t="s">
        <v>2024</v>
      </c>
      <c r="D4811">
        <v>2</v>
      </c>
      <c r="E4811" s="16">
        <v>71.680000000000007</v>
      </c>
      <c r="F4811" s="1">
        <v>44726</v>
      </c>
      <c r="G4811" t="s">
        <v>2002</v>
      </c>
      <c r="H4811">
        <v>4</v>
      </c>
      <c r="I4811" s="12">
        <f>Table16[[#This Row],[price]]*Table16[[#This Row],[quantity]]</f>
        <v>143.36000000000001</v>
      </c>
    </row>
    <row r="4812" spans="1:9" x14ac:dyDescent="0.3">
      <c r="A4812" t="s">
        <v>6825</v>
      </c>
      <c r="B4812" t="s">
        <v>946</v>
      </c>
      <c r="C4812" t="s">
        <v>2057</v>
      </c>
      <c r="D4812">
        <v>1</v>
      </c>
      <c r="E4812" s="16">
        <v>11.73</v>
      </c>
      <c r="F4812" s="1">
        <v>44788</v>
      </c>
      <c r="G4812" t="s">
        <v>2020</v>
      </c>
      <c r="H4812">
        <v>1</v>
      </c>
      <c r="I4812" s="12">
        <f>Table16[[#This Row],[price]]*Table16[[#This Row],[quantity]]</f>
        <v>11.73</v>
      </c>
    </row>
    <row r="4813" spans="1:9" x14ac:dyDescent="0.3">
      <c r="A4813" t="s">
        <v>6828</v>
      </c>
      <c r="B4813" t="s">
        <v>946</v>
      </c>
      <c r="C4813" t="s">
        <v>2024</v>
      </c>
      <c r="D4813">
        <v>5</v>
      </c>
      <c r="E4813" s="16">
        <v>179.2</v>
      </c>
      <c r="F4813" s="1">
        <v>44895</v>
      </c>
      <c r="G4813" t="s">
        <v>2064</v>
      </c>
      <c r="H4813">
        <v>2</v>
      </c>
      <c r="I4813" s="12">
        <f>Table16[[#This Row],[price]]*Table16[[#This Row],[quantity]]</f>
        <v>896</v>
      </c>
    </row>
    <row r="4814" spans="1:9" x14ac:dyDescent="0.3">
      <c r="A4814" t="s">
        <v>6832</v>
      </c>
      <c r="B4814" t="s">
        <v>947</v>
      </c>
      <c r="C4814" t="s">
        <v>2001</v>
      </c>
      <c r="D4814">
        <v>2</v>
      </c>
      <c r="E4814" s="16">
        <v>600.16</v>
      </c>
      <c r="F4814" s="1">
        <v>44409</v>
      </c>
      <c r="G4814" t="s">
        <v>2064</v>
      </c>
      <c r="H4814">
        <v>4</v>
      </c>
      <c r="I4814" s="12">
        <f>Table16[[#This Row],[price]]*Table16[[#This Row],[quantity]]</f>
        <v>1200.32</v>
      </c>
    </row>
    <row r="4815" spans="1:9" x14ac:dyDescent="0.3">
      <c r="A4815" t="s">
        <v>6830</v>
      </c>
      <c r="B4815" t="s">
        <v>947</v>
      </c>
      <c r="C4815" t="s">
        <v>2008</v>
      </c>
      <c r="D4815">
        <v>4</v>
      </c>
      <c r="E4815" s="16">
        <v>20.92</v>
      </c>
      <c r="F4815" s="1">
        <v>44431</v>
      </c>
      <c r="G4815" t="s">
        <v>2004</v>
      </c>
      <c r="H4815">
        <v>4</v>
      </c>
      <c r="I4815" s="12">
        <f>Table16[[#This Row],[price]]*Table16[[#This Row],[quantity]]</f>
        <v>83.68</v>
      </c>
    </row>
    <row r="4816" spans="1:9" x14ac:dyDescent="0.3">
      <c r="A4816" t="s">
        <v>6831</v>
      </c>
      <c r="B4816" t="s">
        <v>947</v>
      </c>
      <c r="C4816" t="s">
        <v>2015</v>
      </c>
      <c r="D4816">
        <v>1</v>
      </c>
      <c r="E4816" s="16">
        <v>600.16999999999996</v>
      </c>
      <c r="F4816" s="1">
        <v>44458</v>
      </c>
      <c r="G4816" t="s">
        <v>2004</v>
      </c>
      <c r="H4816">
        <v>4</v>
      </c>
      <c r="I4816" s="12">
        <f>Table16[[#This Row],[price]]*Table16[[#This Row],[quantity]]</f>
        <v>600.16999999999996</v>
      </c>
    </row>
    <row r="4817" spans="1:9" x14ac:dyDescent="0.3">
      <c r="A4817" t="s">
        <v>6833</v>
      </c>
      <c r="B4817" t="s">
        <v>947</v>
      </c>
      <c r="C4817" t="s">
        <v>2008</v>
      </c>
      <c r="D4817">
        <v>3</v>
      </c>
      <c r="E4817" s="16">
        <v>15.69</v>
      </c>
      <c r="F4817" s="1">
        <v>44523</v>
      </c>
      <c r="G4817" t="s">
        <v>2020</v>
      </c>
      <c r="H4817">
        <v>4</v>
      </c>
      <c r="I4817" s="12">
        <f>Table16[[#This Row],[price]]*Table16[[#This Row],[quantity]]</f>
        <v>47.07</v>
      </c>
    </row>
    <row r="4818" spans="1:9" x14ac:dyDescent="0.3">
      <c r="A4818" t="s">
        <v>6835</v>
      </c>
      <c r="B4818" t="s">
        <v>947</v>
      </c>
      <c r="C4818" t="s">
        <v>2008</v>
      </c>
      <c r="D4818">
        <v>3</v>
      </c>
      <c r="E4818" s="16">
        <v>15.69</v>
      </c>
      <c r="F4818" s="1">
        <v>44627</v>
      </c>
      <c r="G4818" t="s">
        <v>2002</v>
      </c>
      <c r="H4818">
        <v>2</v>
      </c>
      <c r="I4818" s="12">
        <f>Table16[[#This Row],[price]]*Table16[[#This Row],[quantity]]</f>
        <v>47.07</v>
      </c>
    </row>
    <row r="4819" spans="1:9" x14ac:dyDescent="0.3">
      <c r="A4819" t="s">
        <v>6834</v>
      </c>
      <c r="B4819" t="s">
        <v>947</v>
      </c>
      <c r="C4819" t="s">
        <v>2001</v>
      </c>
      <c r="D4819">
        <v>5</v>
      </c>
      <c r="E4819" s="16">
        <v>1500.4</v>
      </c>
      <c r="F4819" s="1">
        <v>44806</v>
      </c>
      <c r="G4819" t="s">
        <v>2018</v>
      </c>
      <c r="H4819">
        <v>3</v>
      </c>
      <c r="I4819" s="12">
        <f>Table16[[#This Row],[price]]*Table16[[#This Row],[quantity]]</f>
        <v>7502</v>
      </c>
    </row>
    <row r="4820" spans="1:9" x14ac:dyDescent="0.3">
      <c r="A4820" t="s">
        <v>6836</v>
      </c>
      <c r="B4820" t="s">
        <v>947</v>
      </c>
      <c r="C4820" t="s">
        <v>2011</v>
      </c>
      <c r="D4820">
        <v>2</v>
      </c>
      <c r="E4820" s="16">
        <v>81.319999999999993</v>
      </c>
      <c r="F4820" s="1">
        <v>44978</v>
      </c>
      <c r="G4820" t="s">
        <v>2064</v>
      </c>
      <c r="H4820">
        <v>5</v>
      </c>
      <c r="I4820" s="12">
        <f>Table16[[#This Row],[price]]*Table16[[#This Row],[quantity]]</f>
        <v>162.63999999999999</v>
      </c>
    </row>
    <row r="4821" spans="1:9" x14ac:dyDescent="0.3">
      <c r="A4821" t="s">
        <v>6842</v>
      </c>
      <c r="B4821" t="s">
        <v>948</v>
      </c>
      <c r="C4821" t="s">
        <v>2015</v>
      </c>
      <c r="D4821">
        <v>5</v>
      </c>
      <c r="E4821" s="16">
        <v>3000.85</v>
      </c>
      <c r="F4821" s="1">
        <v>44204</v>
      </c>
      <c r="G4821" t="s">
        <v>2009</v>
      </c>
      <c r="H4821">
        <v>3</v>
      </c>
      <c r="I4821" s="12">
        <f>Table16[[#This Row],[price]]*Table16[[#This Row],[quantity]]</f>
        <v>15004.25</v>
      </c>
    </row>
    <row r="4822" spans="1:9" x14ac:dyDescent="0.3">
      <c r="A4822" t="s">
        <v>6837</v>
      </c>
      <c r="B4822" t="s">
        <v>948</v>
      </c>
      <c r="C4822" t="s">
        <v>2006</v>
      </c>
      <c r="D4822">
        <v>5</v>
      </c>
      <c r="E4822" s="16">
        <v>75.75</v>
      </c>
      <c r="F4822" s="1">
        <v>44300</v>
      </c>
      <c r="G4822" t="s">
        <v>2064</v>
      </c>
      <c r="H4822">
        <v>1</v>
      </c>
      <c r="I4822" s="12">
        <f>Table16[[#This Row],[price]]*Table16[[#This Row],[quantity]]</f>
        <v>378.75</v>
      </c>
    </row>
    <row r="4823" spans="1:9" x14ac:dyDescent="0.3">
      <c r="A4823" t="s">
        <v>6839</v>
      </c>
      <c r="B4823" t="s">
        <v>948</v>
      </c>
      <c r="C4823" t="s">
        <v>2006</v>
      </c>
      <c r="D4823">
        <v>4</v>
      </c>
      <c r="E4823" s="16">
        <v>60.6</v>
      </c>
      <c r="F4823" s="1">
        <v>44499</v>
      </c>
      <c r="G4823" t="s">
        <v>2004</v>
      </c>
      <c r="H4823">
        <v>2</v>
      </c>
      <c r="I4823" s="12">
        <f>Table16[[#This Row],[price]]*Table16[[#This Row],[quantity]]</f>
        <v>242.4</v>
      </c>
    </row>
    <row r="4824" spans="1:9" x14ac:dyDescent="0.3">
      <c r="A4824" t="s">
        <v>6843</v>
      </c>
      <c r="B4824" t="s">
        <v>948</v>
      </c>
      <c r="C4824" t="s">
        <v>2008</v>
      </c>
      <c r="D4824">
        <v>1</v>
      </c>
      <c r="E4824" s="16">
        <v>5.23</v>
      </c>
      <c r="F4824" s="1">
        <v>44544</v>
      </c>
      <c r="G4824" t="s">
        <v>2020</v>
      </c>
      <c r="H4824">
        <v>1</v>
      </c>
      <c r="I4824" s="12">
        <f>Table16[[#This Row],[price]]*Table16[[#This Row],[quantity]]</f>
        <v>5.23</v>
      </c>
    </row>
    <row r="4825" spans="1:9" x14ac:dyDescent="0.3">
      <c r="A4825" t="s">
        <v>6838</v>
      </c>
      <c r="B4825" t="s">
        <v>948</v>
      </c>
      <c r="C4825" t="s">
        <v>2008</v>
      </c>
      <c r="D4825">
        <v>3</v>
      </c>
      <c r="E4825" s="16">
        <v>15.69</v>
      </c>
      <c r="F4825" s="1">
        <v>44714</v>
      </c>
      <c r="G4825" t="s">
        <v>2004</v>
      </c>
      <c r="H4825">
        <v>1</v>
      </c>
      <c r="I4825" s="12">
        <f>Table16[[#This Row],[price]]*Table16[[#This Row],[quantity]]</f>
        <v>47.07</v>
      </c>
    </row>
    <row r="4826" spans="1:9" x14ac:dyDescent="0.3">
      <c r="A4826" t="s">
        <v>6841</v>
      </c>
      <c r="B4826" t="s">
        <v>948</v>
      </c>
      <c r="C4826" t="s">
        <v>2006</v>
      </c>
      <c r="D4826">
        <v>3</v>
      </c>
      <c r="E4826" s="16">
        <v>45.45</v>
      </c>
      <c r="F4826" s="1">
        <v>44758</v>
      </c>
      <c r="G4826" t="s">
        <v>2041</v>
      </c>
      <c r="H4826">
        <v>2</v>
      </c>
      <c r="I4826" s="12">
        <f>Table16[[#This Row],[price]]*Table16[[#This Row],[quantity]]</f>
        <v>136.35000000000002</v>
      </c>
    </row>
    <row r="4827" spans="1:9" x14ac:dyDescent="0.3">
      <c r="A4827" t="s">
        <v>6840</v>
      </c>
      <c r="B4827" t="s">
        <v>948</v>
      </c>
      <c r="C4827" t="s">
        <v>2024</v>
      </c>
      <c r="D4827">
        <v>1</v>
      </c>
      <c r="E4827" s="16">
        <v>35.840000000000003</v>
      </c>
      <c r="F4827" s="1">
        <v>44886</v>
      </c>
      <c r="G4827" t="s">
        <v>2004</v>
      </c>
      <c r="H4827">
        <v>4</v>
      </c>
      <c r="I4827" s="12">
        <f>Table16[[#This Row],[price]]*Table16[[#This Row],[quantity]]</f>
        <v>35.840000000000003</v>
      </c>
    </row>
    <row r="4828" spans="1:9" x14ac:dyDescent="0.3">
      <c r="A4828" t="s">
        <v>6845</v>
      </c>
      <c r="B4828" t="s">
        <v>949</v>
      </c>
      <c r="C4828" t="s">
        <v>2015</v>
      </c>
      <c r="D4828">
        <v>4</v>
      </c>
      <c r="E4828" s="16">
        <v>2400.6799999999998</v>
      </c>
      <c r="F4828" s="1">
        <v>44878</v>
      </c>
      <c r="G4828" t="s">
        <v>2027</v>
      </c>
      <c r="H4828">
        <v>4</v>
      </c>
      <c r="I4828" s="12">
        <f>Table16[[#This Row],[price]]*Table16[[#This Row],[quantity]]</f>
        <v>9602.7199999999993</v>
      </c>
    </row>
    <row r="4829" spans="1:9" x14ac:dyDescent="0.3">
      <c r="A4829" t="s">
        <v>6844</v>
      </c>
      <c r="B4829" t="s">
        <v>949</v>
      </c>
      <c r="C4829" t="s">
        <v>2024</v>
      </c>
      <c r="D4829">
        <v>2</v>
      </c>
      <c r="E4829" s="16">
        <v>71.680000000000007</v>
      </c>
      <c r="F4829" s="1">
        <v>44938</v>
      </c>
      <c r="G4829" t="s">
        <v>2027</v>
      </c>
      <c r="H4829">
        <v>5</v>
      </c>
      <c r="I4829" s="12">
        <f>Table16[[#This Row],[price]]*Table16[[#This Row],[quantity]]</f>
        <v>143.36000000000001</v>
      </c>
    </row>
    <row r="4830" spans="1:9" x14ac:dyDescent="0.3">
      <c r="A4830" t="s">
        <v>6847</v>
      </c>
      <c r="B4830" t="s">
        <v>950</v>
      </c>
      <c r="C4830" t="s">
        <v>2001</v>
      </c>
      <c r="D4830">
        <v>4</v>
      </c>
      <c r="E4830" s="16">
        <v>1200.32</v>
      </c>
      <c r="F4830" s="1">
        <v>44331</v>
      </c>
      <c r="G4830" t="s">
        <v>2064</v>
      </c>
      <c r="H4830">
        <v>4</v>
      </c>
      <c r="I4830" s="12">
        <f>Table16[[#This Row],[price]]*Table16[[#This Row],[quantity]]</f>
        <v>4801.28</v>
      </c>
    </row>
    <row r="4831" spans="1:9" x14ac:dyDescent="0.3">
      <c r="A4831" t="s">
        <v>6848</v>
      </c>
      <c r="B4831" t="s">
        <v>950</v>
      </c>
      <c r="C4831" t="s">
        <v>2001</v>
      </c>
      <c r="D4831">
        <v>3</v>
      </c>
      <c r="E4831" s="16">
        <v>900.24</v>
      </c>
      <c r="F4831" s="1">
        <v>44509</v>
      </c>
      <c r="G4831" t="s">
        <v>2009</v>
      </c>
      <c r="H4831">
        <v>1</v>
      </c>
      <c r="I4831" s="12">
        <f>Table16[[#This Row],[price]]*Table16[[#This Row],[quantity]]</f>
        <v>2700.7200000000003</v>
      </c>
    </row>
    <row r="4832" spans="1:9" x14ac:dyDescent="0.3">
      <c r="A4832" t="s">
        <v>6846</v>
      </c>
      <c r="B4832" t="s">
        <v>950</v>
      </c>
      <c r="C4832" t="s">
        <v>2001</v>
      </c>
      <c r="D4832">
        <v>2</v>
      </c>
      <c r="E4832" s="16">
        <v>600.16</v>
      </c>
      <c r="F4832" s="1">
        <v>44740</v>
      </c>
      <c r="G4832" t="s">
        <v>2002</v>
      </c>
      <c r="H4832">
        <v>3</v>
      </c>
      <c r="I4832" s="12">
        <f>Table16[[#This Row],[price]]*Table16[[#This Row],[quantity]]</f>
        <v>1200.32</v>
      </c>
    </row>
    <row r="4833" spans="1:9" x14ac:dyDescent="0.3">
      <c r="A4833" t="s">
        <v>6851</v>
      </c>
      <c r="B4833" t="s">
        <v>951</v>
      </c>
      <c r="C4833" t="s">
        <v>2006</v>
      </c>
      <c r="D4833">
        <v>4</v>
      </c>
      <c r="E4833" s="16">
        <v>60.6</v>
      </c>
      <c r="F4833" s="1">
        <v>44451</v>
      </c>
      <c r="G4833" t="s">
        <v>2058</v>
      </c>
      <c r="H4833">
        <v>1</v>
      </c>
      <c r="I4833" s="12">
        <f>Table16[[#This Row],[price]]*Table16[[#This Row],[quantity]]</f>
        <v>242.4</v>
      </c>
    </row>
    <row r="4834" spans="1:9" x14ac:dyDescent="0.3">
      <c r="A4834" t="s">
        <v>6850</v>
      </c>
      <c r="B4834" t="s">
        <v>951</v>
      </c>
      <c r="C4834" t="s">
        <v>2011</v>
      </c>
      <c r="D4834">
        <v>2</v>
      </c>
      <c r="E4834" s="16">
        <v>81.319999999999993</v>
      </c>
      <c r="F4834" s="1">
        <v>44564</v>
      </c>
      <c r="G4834" t="s">
        <v>2064</v>
      </c>
      <c r="H4834">
        <v>5</v>
      </c>
      <c r="I4834" s="12">
        <f>Table16[[#This Row],[price]]*Table16[[#This Row],[quantity]]</f>
        <v>162.63999999999999</v>
      </c>
    </row>
    <row r="4835" spans="1:9" x14ac:dyDescent="0.3">
      <c r="A4835" t="s">
        <v>6854</v>
      </c>
      <c r="B4835" t="s">
        <v>951</v>
      </c>
      <c r="C4835" t="s">
        <v>2011</v>
      </c>
      <c r="D4835">
        <v>3</v>
      </c>
      <c r="E4835" s="16">
        <v>121.98</v>
      </c>
      <c r="F4835" s="1">
        <v>44643</v>
      </c>
      <c r="G4835" t="s">
        <v>2027</v>
      </c>
      <c r="H4835">
        <v>4</v>
      </c>
      <c r="I4835" s="12">
        <f>Table16[[#This Row],[price]]*Table16[[#This Row],[quantity]]</f>
        <v>365.94</v>
      </c>
    </row>
    <row r="4836" spans="1:9" x14ac:dyDescent="0.3">
      <c r="A4836" t="s">
        <v>6852</v>
      </c>
      <c r="B4836" t="s">
        <v>951</v>
      </c>
      <c r="C4836" t="s">
        <v>2001</v>
      </c>
      <c r="D4836">
        <v>4</v>
      </c>
      <c r="E4836" s="16">
        <v>1200.32</v>
      </c>
      <c r="F4836" s="1">
        <v>44719</v>
      </c>
      <c r="G4836" t="s">
        <v>2041</v>
      </c>
      <c r="H4836">
        <v>4</v>
      </c>
      <c r="I4836" s="12">
        <f>Table16[[#This Row],[price]]*Table16[[#This Row],[quantity]]</f>
        <v>4801.28</v>
      </c>
    </row>
    <row r="4837" spans="1:9" x14ac:dyDescent="0.3">
      <c r="A4837" t="s">
        <v>6849</v>
      </c>
      <c r="B4837" t="s">
        <v>951</v>
      </c>
      <c r="C4837" t="s">
        <v>2001</v>
      </c>
      <c r="D4837">
        <v>1</v>
      </c>
      <c r="E4837" s="16">
        <v>300.08</v>
      </c>
      <c r="F4837" s="1">
        <v>44853</v>
      </c>
      <c r="G4837" t="s">
        <v>2018</v>
      </c>
      <c r="H4837">
        <v>3</v>
      </c>
      <c r="I4837" s="12">
        <f>Table16[[#This Row],[price]]*Table16[[#This Row],[quantity]]</f>
        <v>300.08</v>
      </c>
    </row>
    <row r="4838" spans="1:9" x14ac:dyDescent="0.3">
      <c r="A4838" t="s">
        <v>6853</v>
      </c>
      <c r="B4838" t="s">
        <v>951</v>
      </c>
      <c r="C4838" t="s">
        <v>2015</v>
      </c>
      <c r="D4838">
        <v>5</v>
      </c>
      <c r="E4838" s="16">
        <v>3000.85</v>
      </c>
      <c r="F4838" s="1">
        <v>44993</v>
      </c>
      <c r="G4838" t="s">
        <v>2041</v>
      </c>
      <c r="H4838">
        <v>5</v>
      </c>
      <c r="I4838" s="12">
        <f>Table16[[#This Row],[price]]*Table16[[#This Row],[quantity]]</f>
        <v>15004.25</v>
      </c>
    </row>
    <row r="4839" spans="1:9" x14ac:dyDescent="0.3">
      <c r="A4839" t="s">
        <v>6858</v>
      </c>
      <c r="B4839" t="s">
        <v>952</v>
      </c>
      <c r="C4839" t="s">
        <v>2017</v>
      </c>
      <c r="D4839">
        <v>4</v>
      </c>
      <c r="E4839" s="16">
        <v>4200</v>
      </c>
      <c r="F4839" s="1">
        <v>44371</v>
      </c>
      <c r="G4839" t="s">
        <v>2027</v>
      </c>
      <c r="H4839">
        <v>1</v>
      </c>
      <c r="I4839" s="12">
        <f>Table16[[#This Row],[price]]*Table16[[#This Row],[quantity]]</f>
        <v>16800</v>
      </c>
    </row>
    <row r="4840" spans="1:9" x14ac:dyDescent="0.3">
      <c r="A4840" t="s">
        <v>6855</v>
      </c>
      <c r="B4840" t="s">
        <v>952</v>
      </c>
      <c r="C4840" t="s">
        <v>2006</v>
      </c>
      <c r="D4840">
        <v>3</v>
      </c>
      <c r="E4840" s="16">
        <v>45.45</v>
      </c>
      <c r="F4840" s="1">
        <v>44604</v>
      </c>
      <c r="G4840" t="s">
        <v>2002</v>
      </c>
      <c r="H4840">
        <v>4</v>
      </c>
      <c r="I4840" s="12">
        <f>Table16[[#This Row],[price]]*Table16[[#This Row],[quantity]]</f>
        <v>136.35000000000002</v>
      </c>
    </row>
    <row r="4841" spans="1:9" x14ac:dyDescent="0.3">
      <c r="A4841" t="s">
        <v>6857</v>
      </c>
      <c r="B4841" t="s">
        <v>952</v>
      </c>
      <c r="C4841" t="s">
        <v>2015</v>
      </c>
      <c r="D4841">
        <v>3</v>
      </c>
      <c r="E4841" s="16">
        <v>1800.51</v>
      </c>
      <c r="F4841" s="1">
        <v>44632</v>
      </c>
      <c r="G4841" t="s">
        <v>2018</v>
      </c>
      <c r="H4841">
        <v>5</v>
      </c>
      <c r="I4841" s="12">
        <f>Table16[[#This Row],[price]]*Table16[[#This Row],[quantity]]</f>
        <v>5401.53</v>
      </c>
    </row>
    <row r="4842" spans="1:9" x14ac:dyDescent="0.3">
      <c r="A4842" t="s">
        <v>6856</v>
      </c>
      <c r="B4842" t="s">
        <v>952</v>
      </c>
      <c r="C4842" t="s">
        <v>2006</v>
      </c>
      <c r="D4842">
        <v>1</v>
      </c>
      <c r="E4842" s="16">
        <v>15.15</v>
      </c>
      <c r="F4842" s="1">
        <v>44910</v>
      </c>
      <c r="G4842" t="s">
        <v>2020</v>
      </c>
      <c r="H4842">
        <v>2</v>
      </c>
      <c r="I4842" s="12">
        <f>Table16[[#This Row],[price]]*Table16[[#This Row],[quantity]]</f>
        <v>15.15</v>
      </c>
    </row>
    <row r="4843" spans="1:9" x14ac:dyDescent="0.3">
      <c r="A4843" t="s">
        <v>6862</v>
      </c>
      <c r="B4843" t="s">
        <v>953</v>
      </c>
      <c r="C4843" t="s">
        <v>2008</v>
      </c>
      <c r="D4843">
        <v>1</v>
      </c>
      <c r="E4843" s="16">
        <v>5.23</v>
      </c>
      <c r="F4843" s="1">
        <v>44207</v>
      </c>
      <c r="G4843" t="s">
        <v>2004</v>
      </c>
      <c r="H4843">
        <v>5</v>
      </c>
      <c r="I4843" s="12">
        <f>Table16[[#This Row],[price]]*Table16[[#This Row],[quantity]]</f>
        <v>5.23</v>
      </c>
    </row>
    <row r="4844" spans="1:9" x14ac:dyDescent="0.3">
      <c r="A4844" t="s">
        <v>6864</v>
      </c>
      <c r="B4844" t="s">
        <v>953</v>
      </c>
      <c r="C4844" t="s">
        <v>2008</v>
      </c>
      <c r="D4844">
        <v>3</v>
      </c>
      <c r="E4844" s="16">
        <v>15.69</v>
      </c>
      <c r="F4844" s="1">
        <v>44411</v>
      </c>
      <c r="G4844" t="s">
        <v>2012</v>
      </c>
      <c r="H4844">
        <v>3</v>
      </c>
      <c r="I4844" s="12">
        <f>Table16[[#This Row],[price]]*Table16[[#This Row],[quantity]]</f>
        <v>47.07</v>
      </c>
    </row>
    <row r="4845" spans="1:9" x14ac:dyDescent="0.3">
      <c r="A4845" t="s">
        <v>6861</v>
      </c>
      <c r="B4845" t="s">
        <v>953</v>
      </c>
      <c r="C4845" t="s">
        <v>2011</v>
      </c>
      <c r="D4845">
        <v>5</v>
      </c>
      <c r="E4845" s="16">
        <v>203.3</v>
      </c>
      <c r="F4845" s="1">
        <v>44670</v>
      </c>
      <c r="G4845" t="s">
        <v>2064</v>
      </c>
      <c r="H4845">
        <v>5</v>
      </c>
      <c r="I4845" s="12">
        <f>Table16[[#This Row],[price]]*Table16[[#This Row],[quantity]]</f>
        <v>1016.5</v>
      </c>
    </row>
    <row r="4846" spans="1:9" x14ac:dyDescent="0.3">
      <c r="A4846" t="s">
        <v>6859</v>
      </c>
      <c r="B4846" t="s">
        <v>953</v>
      </c>
      <c r="C4846" t="s">
        <v>2011</v>
      </c>
      <c r="D4846">
        <v>3</v>
      </c>
      <c r="E4846" s="16">
        <v>121.98</v>
      </c>
      <c r="F4846" s="1">
        <v>44826</v>
      </c>
      <c r="G4846" t="s">
        <v>2002</v>
      </c>
      <c r="H4846">
        <v>4</v>
      </c>
      <c r="I4846" s="12">
        <f>Table16[[#This Row],[price]]*Table16[[#This Row],[quantity]]</f>
        <v>365.94</v>
      </c>
    </row>
    <row r="4847" spans="1:9" x14ac:dyDescent="0.3">
      <c r="A4847" t="s">
        <v>6860</v>
      </c>
      <c r="B4847" t="s">
        <v>953</v>
      </c>
      <c r="C4847" t="s">
        <v>2011</v>
      </c>
      <c r="D4847">
        <v>2</v>
      </c>
      <c r="E4847" s="16">
        <v>81.319999999999993</v>
      </c>
      <c r="F4847" s="1">
        <v>44850</v>
      </c>
      <c r="G4847" t="s">
        <v>2004</v>
      </c>
      <c r="H4847">
        <v>2</v>
      </c>
      <c r="I4847" s="12">
        <f>Table16[[#This Row],[price]]*Table16[[#This Row],[quantity]]</f>
        <v>162.63999999999999</v>
      </c>
    </row>
    <row r="4848" spans="1:9" x14ac:dyDescent="0.3">
      <c r="A4848" t="s">
        <v>6863</v>
      </c>
      <c r="B4848" t="s">
        <v>953</v>
      </c>
      <c r="C4848" t="s">
        <v>2015</v>
      </c>
      <c r="D4848">
        <v>1</v>
      </c>
      <c r="E4848" s="16">
        <v>600.16999999999996</v>
      </c>
      <c r="F4848" s="1">
        <v>44958</v>
      </c>
      <c r="G4848" t="s">
        <v>2027</v>
      </c>
      <c r="H4848">
        <v>4</v>
      </c>
      <c r="I4848" s="12">
        <f>Table16[[#This Row],[price]]*Table16[[#This Row],[quantity]]</f>
        <v>600.16999999999996</v>
      </c>
    </row>
    <row r="4849" spans="1:9" x14ac:dyDescent="0.3">
      <c r="A4849" t="s">
        <v>6868</v>
      </c>
      <c r="B4849" t="s">
        <v>954</v>
      </c>
      <c r="C4849" t="s">
        <v>2057</v>
      </c>
      <c r="D4849">
        <v>3</v>
      </c>
      <c r="E4849" s="16">
        <v>35.19</v>
      </c>
      <c r="F4849" s="1">
        <v>44267</v>
      </c>
      <c r="G4849" t="s">
        <v>2064</v>
      </c>
      <c r="H4849">
        <v>4</v>
      </c>
      <c r="I4849" s="12">
        <f>Table16[[#This Row],[price]]*Table16[[#This Row],[quantity]]</f>
        <v>105.57</v>
      </c>
    </row>
    <row r="4850" spans="1:9" x14ac:dyDescent="0.3">
      <c r="A4850" t="s">
        <v>6869</v>
      </c>
      <c r="B4850" t="s">
        <v>954</v>
      </c>
      <c r="C4850" t="s">
        <v>2008</v>
      </c>
      <c r="D4850">
        <v>3</v>
      </c>
      <c r="E4850" s="16">
        <v>15.69</v>
      </c>
      <c r="F4850" s="1">
        <v>44446</v>
      </c>
      <c r="G4850" t="s">
        <v>2004</v>
      </c>
      <c r="H4850">
        <v>3</v>
      </c>
      <c r="I4850" s="12">
        <f>Table16[[#This Row],[price]]*Table16[[#This Row],[quantity]]</f>
        <v>47.07</v>
      </c>
    </row>
    <row r="4851" spans="1:9" x14ac:dyDescent="0.3">
      <c r="A4851" t="s">
        <v>6870</v>
      </c>
      <c r="B4851" t="s">
        <v>954</v>
      </c>
      <c r="C4851" t="s">
        <v>2011</v>
      </c>
      <c r="D4851">
        <v>5</v>
      </c>
      <c r="E4851" s="16">
        <v>203.3</v>
      </c>
      <c r="F4851" s="1">
        <v>44456</v>
      </c>
      <c r="G4851" t="s">
        <v>2020</v>
      </c>
      <c r="H4851">
        <v>4</v>
      </c>
      <c r="I4851" s="12">
        <f>Table16[[#This Row],[price]]*Table16[[#This Row],[quantity]]</f>
        <v>1016.5</v>
      </c>
    </row>
    <row r="4852" spans="1:9" x14ac:dyDescent="0.3">
      <c r="A4852" t="s">
        <v>6865</v>
      </c>
      <c r="B4852" t="s">
        <v>954</v>
      </c>
      <c r="C4852" t="s">
        <v>2001</v>
      </c>
      <c r="D4852">
        <v>1</v>
      </c>
      <c r="E4852" s="16">
        <v>300.08</v>
      </c>
      <c r="F4852" s="1">
        <v>44671</v>
      </c>
      <c r="G4852" t="s">
        <v>2004</v>
      </c>
      <c r="H4852">
        <v>4</v>
      </c>
      <c r="I4852" s="12">
        <f>Table16[[#This Row],[price]]*Table16[[#This Row],[quantity]]</f>
        <v>300.08</v>
      </c>
    </row>
    <row r="4853" spans="1:9" x14ac:dyDescent="0.3">
      <c r="A4853" t="s">
        <v>6867</v>
      </c>
      <c r="B4853" t="s">
        <v>954</v>
      </c>
      <c r="C4853" t="s">
        <v>2001</v>
      </c>
      <c r="D4853">
        <v>5</v>
      </c>
      <c r="E4853" s="16">
        <v>1500.4</v>
      </c>
      <c r="F4853" s="1">
        <v>44913</v>
      </c>
      <c r="G4853" t="s">
        <v>2018</v>
      </c>
      <c r="H4853">
        <v>2</v>
      </c>
      <c r="I4853" s="12">
        <f>Table16[[#This Row],[price]]*Table16[[#This Row],[quantity]]</f>
        <v>7502</v>
      </c>
    </row>
    <row r="4854" spans="1:9" x14ac:dyDescent="0.3">
      <c r="A4854" t="s">
        <v>6866</v>
      </c>
      <c r="B4854" t="s">
        <v>954</v>
      </c>
      <c r="C4854" t="s">
        <v>2001</v>
      </c>
      <c r="D4854">
        <v>1</v>
      </c>
      <c r="E4854" s="16">
        <v>300.08</v>
      </c>
      <c r="F4854" s="1">
        <v>44952</v>
      </c>
      <c r="G4854" t="s">
        <v>2058</v>
      </c>
      <c r="H4854">
        <v>1</v>
      </c>
      <c r="I4854" s="12">
        <f>Table16[[#This Row],[price]]*Table16[[#This Row],[quantity]]</f>
        <v>300.08</v>
      </c>
    </row>
    <row r="4855" spans="1:9" x14ac:dyDescent="0.3">
      <c r="A4855" t="s">
        <v>6873</v>
      </c>
      <c r="B4855" t="s">
        <v>955</v>
      </c>
      <c r="C4855" t="s">
        <v>2001</v>
      </c>
      <c r="D4855">
        <v>4</v>
      </c>
      <c r="E4855" s="16">
        <v>1200.32</v>
      </c>
      <c r="F4855" s="1">
        <v>44742</v>
      </c>
      <c r="G4855" t="s">
        <v>2020</v>
      </c>
      <c r="H4855">
        <v>4</v>
      </c>
      <c r="I4855" s="12">
        <f>Table16[[#This Row],[price]]*Table16[[#This Row],[quantity]]</f>
        <v>4801.28</v>
      </c>
    </row>
    <row r="4856" spans="1:9" x14ac:dyDescent="0.3">
      <c r="A4856" t="s">
        <v>6871</v>
      </c>
      <c r="B4856" t="s">
        <v>955</v>
      </c>
      <c r="C4856" t="s">
        <v>2001</v>
      </c>
      <c r="D4856">
        <v>4</v>
      </c>
      <c r="E4856" s="16">
        <v>1200.32</v>
      </c>
      <c r="F4856" s="1">
        <v>44823</v>
      </c>
      <c r="G4856" t="s">
        <v>2064</v>
      </c>
      <c r="H4856">
        <v>4</v>
      </c>
      <c r="I4856" s="12">
        <f>Table16[[#This Row],[price]]*Table16[[#This Row],[quantity]]</f>
        <v>4801.28</v>
      </c>
    </row>
    <row r="4857" spans="1:9" x14ac:dyDescent="0.3">
      <c r="A4857" t="s">
        <v>6872</v>
      </c>
      <c r="B4857" t="s">
        <v>955</v>
      </c>
      <c r="C4857" t="s">
        <v>2011</v>
      </c>
      <c r="D4857">
        <v>2</v>
      </c>
      <c r="E4857" s="16">
        <v>81.319999999999993</v>
      </c>
      <c r="F4857" s="1">
        <v>44846</v>
      </c>
      <c r="G4857" t="s">
        <v>2018</v>
      </c>
      <c r="H4857">
        <v>1</v>
      </c>
      <c r="I4857" s="12">
        <f>Table16[[#This Row],[price]]*Table16[[#This Row],[quantity]]</f>
        <v>162.63999999999999</v>
      </c>
    </row>
    <row r="4858" spans="1:9" x14ac:dyDescent="0.3">
      <c r="A4858" t="s">
        <v>6874</v>
      </c>
      <c r="B4858" t="s">
        <v>956</v>
      </c>
      <c r="C4858" t="s">
        <v>2001</v>
      </c>
      <c r="D4858">
        <v>5</v>
      </c>
      <c r="E4858" s="16">
        <v>1500.4</v>
      </c>
      <c r="F4858" s="1">
        <v>44364</v>
      </c>
      <c r="G4858" t="s">
        <v>2064</v>
      </c>
      <c r="H4858">
        <v>2</v>
      </c>
      <c r="I4858" s="12">
        <f>Table16[[#This Row],[price]]*Table16[[#This Row],[quantity]]</f>
        <v>7502</v>
      </c>
    </row>
    <row r="4859" spans="1:9" x14ac:dyDescent="0.3">
      <c r="A4859" t="s">
        <v>6875</v>
      </c>
      <c r="B4859" t="s">
        <v>956</v>
      </c>
      <c r="C4859" t="s">
        <v>2011</v>
      </c>
      <c r="D4859">
        <v>2</v>
      </c>
      <c r="E4859" s="16">
        <v>81.319999999999993</v>
      </c>
      <c r="F4859" s="1">
        <v>44604</v>
      </c>
      <c r="G4859" t="s">
        <v>2012</v>
      </c>
      <c r="H4859">
        <v>2</v>
      </c>
      <c r="I4859" s="12">
        <f>Table16[[#This Row],[price]]*Table16[[#This Row],[quantity]]</f>
        <v>162.63999999999999</v>
      </c>
    </row>
    <row r="4860" spans="1:9" x14ac:dyDescent="0.3">
      <c r="A4860" t="s">
        <v>6876</v>
      </c>
      <c r="B4860" t="s">
        <v>956</v>
      </c>
      <c r="C4860" t="s">
        <v>2001</v>
      </c>
      <c r="D4860">
        <v>5</v>
      </c>
      <c r="E4860" s="16">
        <v>1500.4</v>
      </c>
      <c r="F4860" s="1">
        <v>44675</v>
      </c>
      <c r="G4860" t="s">
        <v>2012</v>
      </c>
      <c r="H4860">
        <v>2</v>
      </c>
      <c r="I4860" s="12">
        <f>Table16[[#This Row],[price]]*Table16[[#This Row],[quantity]]</f>
        <v>7502</v>
      </c>
    </row>
    <row r="4861" spans="1:9" x14ac:dyDescent="0.3">
      <c r="A4861" t="s">
        <v>6878</v>
      </c>
      <c r="B4861" t="s">
        <v>957</v>
      </c>
      <c r="C4861" t="s">
        <v>2057</v>
      </c>
      <c r="D4861">
        <v>2</v>
      </c>
      <c r="E4861" s="16">
        <v>23.46</v>
      </c>
      <c r="F4861" s="1">
        <v>44269</v>
      </c>
      <c r="G4861" t="s">
        <v>2027</v>
      </c>
      <c r="H4861">
        <v>3</v>
      </c>
      <c r="I4861" s="12">
        <f>Table16[[#This Row],[price]]*Table16[[#This Row],[quantity]]</f>
        <v>46.92</v>
      </c>
    </row>
    <row r="4862" spans="1:9" x14ac:dyDescent="0.3">
      <c r="A4862" t="s">
        <v>6881</v>
      </c>
      <c r="B4862" t="s">
        <v>957</v>
      </c>
      <c r="C4862" t="s">
        <v>2001</v>
      </c>
      <c r="D4862">
        <v>4</v>
      </c>
      <c r="E4862" s="16">
        <v>1200.32</v>
      </c>
      <c r="F4862" s="1">
        <v>44450</v>
      </c>
      <c r="G4862" t="s">
        <v>2027</v>
      </c>
      <c r="H4862">
        <v>3</v>
      </c>
      <c r="I4862" s="12">
        <f>Table16[[#This Row],[price]]*Table16[[#This Row],[quantity]]</f>
        <v>4801.28</v>
      </c>
    </row>
    <row r="4863" spans="1:9" x14ac:dyDescent="0.3">
      <c r="A4863" t="s">
        <v>6880</v>
      </c>
      <c r="B4863" t="s">
        <v>957</v>
      </c>
      <c r="C4863" t="s">
        <v>2011</v>
      </c>
      <c r="D4863">
        <v>5</v>
      </c>
      <c r="E4863" s="16">
        <v>203.3</v>
      </c>
      <c r="F4863" s="1">
        <v>44682</v>
      </c>
      <c r="G4863" t="s">
        <v>2004</v>
      </c>
      <c r="H4863">
        <v>2</v>
      </c>
      <c r="I4863" s="12">
        <f>Table16[[#This Row],[price]]*Table16[[#This Row],[quantity]]</f>
        <v>1016.5</v>
      </c>
    </row>
    <row r="4864" spans="1:9" x14ac:dyDescent="0.3">
      <c r="A4864" t="s">
        <v>6877</v>
      </c>
      <c r="B4864" t="s">
        <v>957</v>
      </c>
      <c r="C4864" t="s">
        <v>2001</v>
      </c>
      <c r="D4864">
        <v>1</v>
      </c>
      <c r="E4864" s="16">
        <v>300.08</v>
      </c>
      <c r="F4864" s="1">
        <v>44749</v>
      </c>
      <c r="G4864" t="s">
        <v>2041</v>
      </c>
      <c r="H4864">
        <v>3</v>
      </c>
      <c r="I4864" s="12">
        <f>Table16[[#This Row],[price]]*Table16[[#This Row],[quantity]]</f>
        <v>300.08</v>
      </c>
    </row>
    <row r="4865" spans="1:9" x14ac:dyDescent="0.3">
      <c r="A4865" t="s">
        <v>6879</v>
      </c>
      <c r="B4865" t="s">
        <v>957</v>
      </c>
      <c r="C4865" t="s">
        <v>2011</v>
      </c>
      <c r="D4865">
        <v>3</v>
      </c>
      <c r="E4865" s="16">
        <v>121.98</v>
      </c>
      <c r="F4865" s="1">
        <v>44803</v>
      </c>
      <c r="G4865" t="s">
        <v>2002</v>
      </c>
      <c r="H4865">
        <v>4</v>
      </c>
      <c r="I4865" s="12">
        <f>Table16[[#This Row],[price]]*Table16[[#This Row],[quantity]]</f>
        <v>365.94</v>
      </c>
    </row>
    <row r="4866" spans="1:9" x14ac:dyDescent="0.3">
      <c r="A4866" t="s">
        <v>6886</v>
      </c>
      <c r="B4866" t="s">
        <v>958</v>
      </c>
      <c r="C4866" t="s">
        <v>2024</v>
      </c>
      <c r="D4866">
        <v>1</v>
      </c>
      <c r="E4866" s="16">
        <v>35.840000000000003</v>
      </c>
      <c r="F4866" s="1">
        <v>44371</v>
      </c>
      <c r="G4866" t="s">
        <v>2020</v>
      </c>
      <c r="H4866">
        <v>2</v>
      </c>
      <c r="I4866" s="12">
        <f>Table16[[#This Row],[price]]*Table16[[#This Row],[quantity]]</f>
        <v>35.840000000000003</v>
      </c>
    </row>
    <row r="4867" spans="1:9" x14ac:dyDescent="0.3">
      <c r="A4867" t="s">
        <v>6882</v>
      </c>
      <c r="B4867" t="s">
        <v>958</v>
      </c>
      <c r="C4867" t="s">
        <v>2001</v>
      </c>
      <c r="D4867">
        <v>5</v>
      </c>
      <c r="E4867" s="16">
        <v>1500.4</v>
      </c>
      <c r="F4867" s="1">
        <v>44476</v>
      </c>
      <c r="G4867" t="s">
        <v>2020</v>
      </c>
      <c r="H4867">
        <v>4</v>
      </c>
      <c r="I4867" s="12">
        <f>Table16[[#This Row],[price]]*Table16[[#This Row],[quantity]]</f>
        <v>7502</v>
      </c>
    </row>
    <row r="4868" spans="1:9" x14ac:dyDescent="0.3">
      <c r="A4868" t="s">
        <v>6885</v>
      </c>
      <c r="B4868" t="s">
        <v>958</v>
      </c>
      <c r="C4868" t="s">
        <v>2001</v>
      </c>
      <c r="D4868">
        <v>2</v>
      </c>
      <c r="E4868" s="16">
        <v>600.16</v>
      </c>
      <c r="F4868" s="1">
        <v>44484</v>
      </c>
      <c r="G4868" t="s">
        <v>2002</v>
      </c>
      <c r="H4868">
        <v>2</v>
      </c>
      <c r="I4868" s="12">
        <f>Table16[[#This Row],[price]]*Table16[[#This Row],[quantity]]</f>
        <v>1200.32</v>
      </c>
    </row>
    <row r="4869" spans="1:9" x14ac:dyDescent="0.3">
      <c r="A4869" t="s">
        <v>6883</v>
      </c>
      <c r="B4869" t="s">
        <v>958</v>
      </c>
      <c r="C4869" t="s">
        <v>2057</v>
      </c>
      <c r="D4869">
        <v>5</v>
      </c>
      <c r="E4869" s="16">
        <v>58.65</v>
      </c>
      <c r="F4869" s="1">
        <v>44624</v>
      </c>
      <c r="G4869" t="s">
        <v>2027</v>
      </c>
      <c r="H4869">
        <v>2</v>
      </c>
      <c r="I4869" s="12">
        <f>Table16[[#This Row],[price]]*Table16[[#This Row],[quantity]]</f>
        <v>293.25</v>
      </c>
    </row>
    <row r="4870" spans="1:9" x14ac:dyDescent="0.3">
      <c r="A4870" t="s">
        <v>6884</v>
      </c>
      <c r="B4870" t="s">
        <v>958</v>
      </c>
      <c r="C4870" t="s">
        <v>2001</v>
      </c>
      <c r="D4870">
        <v>1</v>
      </c>
      <c r="E4870" s="16">
        <v>300.08</v>
      </c>
      <c r="F4870" s="1">
        <v>44738</v>
      </c>
      <c r="G4870" t="s">
        <v>2020</v>
      </c>
      <c r="H4870">
        <v>5</v>
      </c>
      <c r="I4870" s="12">
        <f>Table16[[#This Row],[price]]*Table16[[#This Row],[quantity]]</f>
        <v>300.08</v>
      </c>
    </row>
    <row r="4871" spans="1:9" x14ac:dyDescent="0.3">
      <c r="A4871" t="s">
        <v>6887</v>
      </c>
      <c r="B4871" t="s">
        <v>958</v>
      </c>
      <c r="C4871" t="s">
        <v>2008</v>
      </c>
      <c r="D4871">
        <v>4</v>
      </c>
      <c r="E4871" s="16">
        <v>20.92</v>
      </c>
      <c r="F4871" s="1">
        <v>44788</v>
      </c>
      <c r="G4871" t="s">
        <v>2004</v>
      </c>
      <c r="H4871">
        <v>2</v>
      </c>
      <c r="I4871" s="12">
        <f>Table16[[#This Row],[price]]*Table16[[#This Row],[quantity]]</f>
        <v>83.68</v>
      </c>
    </row>
    <row r="4872" spans="1:9" x14ac:dyDescent="0.3">
      <c r="A4872" t="s">
        <v>6888</v>
      </c>
      <c r="B4872" t="s">
        <v>959</v>
      </c>
      <c r="C4872" t="s">
        <v>2001</v>
      </c>
      <c r="D4872">
        <v>5</v>
      </c>
      <c r="E4872" s="16">
        <v>1500.4</v>
      </c>
      <c r="F4872" s="1">
        <v>44426</v>
      </c>
      <c r="G4872" t="s">
        <v>2064</v>
      </c>
      <c r="H4872">
        <v>5</v>
      </c>
      <c r="I4872" s="12">
        <f>Table16[[#This Row],[price]]*Table16[[#This Row],[quantity]]</f>
        <v>7502</v>
      </c>
    </row>
    <row r="4873" spans="1:9" x14ac:dyDescent="0.3">
      <c r="A4873" t="s">
        <v>6889</v>
      </c>
      <c r="B4873" t="s">
        <v>959</v>
      </c>
      <c r="C4873" t="s">
        <v>2006</v>
      </c>
      <c r="D4873">
        <v>2</v>
      </c>
      <c r="E4873" s="16">
        <v>30.3</v>
      </c>
      <c r="F4873" s="1">
        <v>44671</v>
      </c>
      <c r="G4873" t="s">
        <v>2004</v>
      </c>
      <c r="H4873">
        <v>5</v>
      </c>
      <c r="I4873" s="12">
        <f>Table16[[#This Row],[price]]*Table16[[#This Row],[quantity]]</f>
        <v>60.6</v>
      </c>
    </row>
    <row r="4874" spans="1:9" x14ac:dyDescent="0.3">
      <c r="A4874" t="s">
        <v>6892</v>
      </c>
      <c r="B4874" t="s">
        <v>960</v>
      </c>
      <c r="C4874" t="s">
        <v>2001</v>
      </c>
      <c r="D4874">
        <v>2</v>
      </c>
      <c r="E4874" s="16">
        <v>600.16</v>
      </c>
      <c r="F4874" s="1">
        <v>44254</v>
      </c>
      <c r="G4874" t="s">
        <v>2027</v>
      </c>
      <c r="H4874">
        <v>1</v>
      </c>
      <c r="I4874" s="12">
        <f>Table16[[#This Row],[price]]*Table16[[#This Row],[quantity]]</f>
        <v>1200.32</v>
      </c>
    </row>
    <row r="4875" spans="1:9" x14ac:dyDescent="0.3">
      <c r="A4875" t="s">
        <v>6891</v>
      </c>
      <c r="B4875" t="s">
        <v>960</v>
      </c>
      <c r="C4875" t="s">
        <v>2015</v>
      </c>
      <c r="D4875">
        <v>1</v>
      </c>
      <c r="E4875" s="16">
        <v>600.16999999999996</v>
      </c>
      <c r="F4875" s="1">
        <v>44311</v>
      </c>
      <c r="G4875" t="s">
        <v>2041</v>
      </c>
      <c r="H4875">
        <v>4</v>
      </c>
      <c r="I4875" s="12">
        <f>Table16[[#This Row],[price]]*Table16[[#This Row],[quantity]]</f>
        <v>600.16999999999996</v>
      </c>
    </row>
    <row r="4876" spans="1:9" x14ac:dyDescent="0.3">
      <c r="A4876" t="s">
        <v>6890</v>
      </c>
      <c r="B4876" t="s">
        <v>960</v>
      </c>
      <c r="C4876" t="s">
        <v>2001</v>
      </c>
      <c r="D4876">
        <v>5</v>
      </c>
      <c r="E4876" s="16">
        <v>1500.4</v>
      </c>
      <c r="F4876" s="1">
        <v>44847</v>
      </c>
      <c r="G4876" t="s">
        <v>2004</v>
      </c>
      <c r="H4876">
        <v>4</v>
      </c>
      <c r="I4876" s="12">
        <f>Table16[[#This Row],[price]]*Table16[[#This Row],[quantity]]</f>
        <v>7502</v>
      </c>
    </row>
    <row r="4877" spans="1:9" x14ac:dyDescent="0.3">
      <c r="A4877" t="s">
        <v>6894</v>
      </c>
      <c r="B4877" t="s">
        <v>961</v>
      </c>
      <c r="C4877" t="s">
        <v>2024</v>
      </c>
      <c r="D4877">
        <v>2</v>
      </c>
      <c r="E4877" s="16">
        <v>71.680000000000007</v>
      </c>
      <c r="F4877" s="1">
        <v>44761</v>
      </c>
      <c r="G4877" t="s">
        <v>2009</v>
      </c>
      <c r="H4877">
        <v>1</v>
      </c>
      <c r="I4877" s="12">
        <f>Table16[[#This Row],[price]]*Table16[[#This Row],[quantity]]</f>
        <v>143.36000000000001</v>
      </c>
    </row>
    <row r="4878" spans="1:9" x14ac:dyDescent="0.3">
      <c r="A4878" t="s">
        <v>6893</v>
      </c>
      <c r="B4878" t="s">
        <v>961</v>
      </c>
      <c r="C4878" t="s">
        <v>2001</v>
      </c>
      <c r="D4878">
        <v>3</v>
      </c>
      <c r="E4878" s="16">
        <v>900.24</v>
      </c>
      <c r="F4878" s="1">
        <v>44965</v>
      </c>
      <c r="G4878" t="s">
        <v>2027</v>
      </c>
      <c r="H4878">
        <v>5</v>
      </c>
      <c r="I4878" s="12">
        <f>Table16[[#This Row],[price]]*Table16[[#This Row],[quantity]]</f>
        <v>2700.7200000000003</v>
      </c>
    </row>
    <row r="4879" spans="1:9" x14ac:dyDescent="0.3">
      <c r="A4879" t="s">
        <v>6896</v>
      </c>
      <c r="B4879" t="s">
        <v>962</v>
      </c>
      <c r="C4879" t="s">
        <v>2001</v>
      </c>
      <c r="D4879">
        <v>4</v>
      </c>
      <c r="E4879" s="16">
        <v>1200.32</v>
      </c>
      <c r="F4879" s="1">
        <v>44302</v>
      </c>
      <c r="G4879" t="s">
        <v>2009</v>
      </c>
      <c r="H4879">
        <v>5</v>
      </c>
      <c r="I4879" s="12">
        <f>Table16[[#This Row],[price]]*Table16[[#This Row],[quantity]]</f>
        <v>4801.28</v>
      </c>
    </row>
    <row r="4880" spans="1:9" x14ac:dyDescent="0.3">
      <c r="A4880" t="s">
        <v>6898</v>
      </c>
      <c r="B4880" t="s">
        <v>962</v>
      </c>
      <c r="C4880" t="s">
        <v>2011</v>
      </c>
      <c r="D4880">
        <v>3</v>
      </c>
      <c r="E4880" s="16">
        <v>121.98</v>
      </c>
      <c r="F4880" s="1">
        <v>44315</v>
      </c>
      <c r="G4880" t="s">
        <v>2064</v>
      </c>
      <c r="H4880">
        <v>1</v>
      </c>
      <c r="I4880" s="12">
        <f>Table16[[#This Row],[price]]*Table16[[#This Row],[quantity]]</f>
        <v>365.94</v>
      </c>
    </row>
    <row r="4881" spans="1:9" x14ac:dyDescent="0.3">
      <c r="A4881" t="s">
        <v>6895</v>
      </c>
      <c r="B4881" t="s">
        <v>962</v>
      </c>
      <c r="C4881" t="s">
        <v>2015</v>
      </c>
      <c r="D4881">
        <v>5</v>
      </c>
      <c r="E4881" s="16">
        <v>3000.85</v>
      </c>
      <c r="F4881" s="1">
        <v>44732</v>
      </c>
      <c r="G4881" t="s">
        <v>2027</v>
      </c>
      <c r="H4881">
        <v>2</v>
      </c>
      <c r="I4881" s="12">
        <f>Table16[[#This Row],[price]]*Table16[[#This Row],[quantity]]</f>
        <v>15004.25</v>
      </c>
    </row>
    <row r="4882" spans="1:9" x14ac:dyDescent="0.3">
      <c r="A4882" t="s">
        <v>6897</v>
      </c>
      <c r="B4882" t="s">
        <v>962</v>
      </c>
      <c r="C4882" t="s">
        <v>2024</v>
      </c>
      <c r="D4882">
        <v>5</v>
      </c>
      <c r="E4882" s="16">
        <v>179.2</v>
      </c>
      <c r="F4882" s="1">
        <v>44815</v>
      </c>
      <c r="G4882" t="s">
        <v>2002</v>
      </c>
      <c r="H4882">
        <v>1</v>
      </c>
      <c r="I4882" s="12">
        <f>Table16[[#This Row],[price]]*Table16[[#This Row],[quantity]]</f>
        <v>896</v>
      </c>
    </row>
    <row r="4883" spans="1:9" x14ac:dyDescent="0.3">
      <c r="A4883" t="s">
        <v>6900</v>
      </c>
      <c r="B4883" t="s">
        <v>963</v>
      </c>
      <c r="C4883" t="s">
        <v>2001</v>
      </c>
      <c r="D4883">
        <v>4</v>
      </c>
      <c r="E4883" s="16">
        <v>1200.32</v>
      </c>
      <c r="F4883" s="1">
        <v>44319</v>
      </c>
      <c r="G4883" t="s">
        <v>2004</v>
      </c>
      <c r="H4883">
        <v>5</v>
      </c>
      <c r="I4883" s="12">
        <f>Table16[[#This Row],[price]]*Table16[[#This Row],[quantity]]</f>
        <v>4801.28</v>
      </c>
    </row>
    <row r="4884" spans="1:9" x14ac:dyDescent="0.3">
      <c r="A4884" t="s">
        <v>6901</v>
      </c>
      <c r="B4884" t="s">
        <v>963</v>
      </c>
      <c r="C4884" t="s">
        <v>2015</v>
      </c>
      <c r="D4884">
        <v>1</v>
      </c>
      <c r="E4884" s="16">
        <v>600.16999999999996</v>
      </c>
      <c r="F4884" s="1">
        <v>44597</v>
      </c>
      <c r="G4884" t="s">
        <v>2002</v>
      </c>
      <c r="H4884">
        <v>4</v>
      </c>
      <c r="I4884" s="12">
        <f>Table16[[#This Row],[price]]*Table16[[#This Row],[quantity]]</f>
        <v>600.16999999999996</v>
      </c>
    </row>
    <row r="4885" spans="1:9" x14ac:dyDescent="0.3">
      <c r="A4885" t="s">
        <v>6902</v>
      </c>
      <c r="B4885" t="s">
        <v>963</v>
      </c>
      <c r="C4885" t="s">
        <v>2001</v>
      </c>
      <c r="D4885">
        <v>2</v>
      </c>
      <c r="E4885" s="16">
        <v>600.16</v>
      </c>
      <c r="F4885" s="1">
        <v>44685</v>
      </c>
      <c r="G4885" t="s">
        <v>2027</v>
      </c>
      <c r="H4885">
        <v>5</v>
      </c>
      <c r="I4885" s="12">
        <f>Table16[[#This Row],[price]]*Table16[[#This Row],[quantity]]</f>
        <v>1200.32</v>
      </c>
    </row>
    <row r="4886" spans="1:9" x14ac:dyDescent="0.3">
      <c r="A4886" t="s">
        <v>6899</v>
      </c>
      <c r="B4886" t="s">
        <v>963</v>
      </c>
      <c r="C4886" t="s">
        <v>2011</v>
      </c>
      <c r="D4886">
        <v>5</v>
      </c>
      <c r="E4886" s="16">
        <v>203.3</v>
      </c>
      <c r="F4886" s="1">
        <v>44877</v>
      </c>
      <c r="G4886" t="s">
        <v>2004</v>
      </c>
      <c r="H4886">
        <v>4</v>
      </c>
      <c r="I4886" s="12">
        <f>Table16[[#This Row],[price]]*Table16[[#This Row],[quantity]]</f>
        <v>1016.5</v>
      </c>
    </row>
    <row r="4887" spans="1:9" x14ac:dyDescent="0.3">
      <c r="A4887" t="s">
        <v>6906</v>
      </c>
      <c r="B4887" t="s">
        <v>964</v>
      </c>
      <c r="C4887" t="s">
        <v>2024</v>
      </c>
      <c r="D4887">
        <v>4</v>
      </c>
      <c r="E4887" s="16">
        <v>143.36000000000001</v>
      </c>
      <c r="F4887" s="1">
        <v>44232</v>
      </c>
      <c r="G4887" t="s">
        <v>2002</v>
      </c>
      <c r="H4887">
        <v>4</v>
      </c>
      <c r="I4887" s="12">
        <f>Table16[[#This Row],[price]]*Table16[[#This Row],[quantity]]</f>
        <v>573.44000000000005</v>
      </c>
    </row>
    <row r="4888" spans="1:9" x14ac:dyDescent="0.3">
      <c r="A4888" t="s">
        <v>6905</v>
      </c>
      <c r="B4888" t="s">
        <v>964</v>
      </c>
      <c r="C4888" t="s">
        <v>2017</v>
      </c>
      <c r="D4888">
        <v>3</v>
      </c>
      <c r="E4888" s="16">
        <v>3150</v>
      </c>
      <c r="F4888" s="1">
        <v>44589</v>
      </c>
      <c r="G4888" t="s">
        <v>2012</v>
      </c>
      <c r="H4888">
        <v>2</v>
      </c>
      <c r="I4888" s="12">
        <f>Table16[[#This Row],[price]]*Table16[[#This Row],[quantity]]</f>
        <v>9450</v>
      </c>
    </row>
    <row r="4889" spans="1:9" x14ac:dyDescent="0.3">
      <c r="A4889" t="s">
        <v>6903</v>
      </c>
      <c r="B4889" t="s">
        <v>964</v>
      </c>
      <c r="C4889" t="s">
        <v>2001</v>
      </c>
      <c r="D4889">
        <v>1</v>
      </c>
      <c r="E4889" s="16">
        <v>300.08</v>
      </c>
      <c r="F4889" s="1">
        <v>44610</v>
      </c>
      <c r="G4889" t="s">
        <v>2009</v>
      </c>
      <c r="H4889">
        <v>4</v>
      </c>
      <c r="I4889" s="12">
        <f>Table16[[#This Row],[price]]*Table16[[#This Row],[quantity]]</f>
        <v>300.08</v>
      </c>
    </row>
    <row r="4890" spans="1:9" x14ac:dyDescent="0.3">
      <c r="A4890" t="s">
        <v>6904</v>
      </c>
      <c r="B4890" t="s">
        <v>964</v>
      </c>
      <c r="C4890" t="s">
        <v>2001</v>
      </c>
      <c r="D4890">
        <v>5</v>
      </c>
      <c r="E4890" s="16">
        <v>1500.4</v>
      </c>
      <c r="F4890" s="1">
        <v>44986</v>
      </c>
      <c r="G4890" t="s">
        <v>2004</v>
      </c>
      <c r="H4890">
        <v>2</v>
      </c>
      <c r="I4890" s="12">
        <f>Table16[[#This Row],[price]]*Table16[[#This Row],[quantity]]</f>
        <v>7502</v>
      </c>
    </row>
    <row r="4891" spans="1:9" x14ac:dyDescent="0.3">
      <c r="A4891" t="s">
        <v>6911</v>
      </c>
      <c r="B4891" t="s">
        <v>965</v>
      </c>
      <c r="C4891" t="s">
        <v>2011</v>
      </c>
      <c r="D4891">
        <v>4</v>
      </c>
      <c r="E4891" s="16">
        <v>162.63999999999999</v>
      </c>
      <c r="F4891" s="1">
        <v>44272</v>
      </c>
      <c r="G4891" t="s">
        <v>2027</v>
      </c>
      <c r="H4891">
        <v>2</v>
      </c>
      <c r="I4891" s="12">
        <f>Table16[[#This Row],[price]]*Table16[[#This Row],[quantity]]</f>
        <v>650.55999999999995</v>
      </c>
    </row>
    <row r="4892" spans="1:9" x14ac:dyDescent="0.3">
      <c r="A4892" t="s">
        <v>6914</v>
      </c>
      <c r="B4892" t="s">
        <v>965</v>
      </c>
      <c r="C4892" t="s">
        <v>2001</v>
      </c>
      <c r="D4892">
        <v>3</v>
      </c>
      <c r="E4892" s="16">
        <v>900.24</v>
      </c>
      <c r="F4892" s="1">
        <v>44444</v>
      </c>
      <c r="G4892" t="s">
        <v>2064</v>
      </c>
      <c r="H4892">
        <v>2</v>
      </c>
      <c r="I4892" s="12">
        <f>Table16[[#This Row],[price]]*Table16[[#This Row],[quantity]]</f>
        <v>2700.7200000000003</v>
      </c>
    </row>
    <row r="4893" spans="1:9" x14ac:dyDescent="0.3">
      <c r="A4893" t="s">
        <v>6908</v>
      </c>
      <c r="B4893" t="s">
        <v>965</v>
      </c>
      <c r="C4893" t="s">
        <v>2001</v>
      </c>
      <c r="D4893">
        <v>1</v>
      </c>
      <c r="E4893" s="16">
        <v>300.08</v>
      </c>
      <c r="F4893" s="1">
        <v>44509</v>
      </c>
      <c r="G4893" t="s">
        <v>2002</v>
      </c>
      <c r="H4893">
        <v>1</v>
      </c>
      <c r="I4893" s="12">
        <f>Table16[[#This Row],[price]]*Table16[[#This Row],[quantity]]</f>
        <v>300.08</v>
      </c>
    </row>
    <row r="4894" spans="1:9" x14ac:dyDescent="0.3">
      <c r="A4894" t="s">
        <v>6909</v>
      </c>
      <c r="B4894" t="s">
        <v>965</v>
      </c>
      <c r="C4894" t="s">
        <v>2017</v>
      </c>
      <c r="D4894">
        <v>3</v>
      </c>
      <c r="E4894" s="16">
        <v>3150</v>
      </c>
      <c r="F4894" s="1">
        <v>44796</v>
      </c>
      <c r="G4894" t="s">
        <v>2020</v>
      </c>
      <c r="H4894">
        <v>4</v>
      </c>
      <c r="I4894" s="12">
        <f>Table16[[#This Row],[price]]*Table16[[#This Row],[quantity]]</f>
        <v>9450</v>
      </c>
    </row>
    <row r="4895" spans="1:9" x14ac:dyDescent="0.3">
      <c r="A4895" t="s">
        <v>6913</v>
      </c>
      <c r="B4895" t="s">
        <v>965</v>
      </c>
      <c r="C4895" t="s">
        <v>2001</v>
      </c>
      <c r="D4895">
        <v>5</v>
      </c>
      <c r="E4895" s="16">
        <v>1500.4</v>
      </c>
      <c r="F4895" s="1">
        <v>44800</v>
      </c>
      <c r="G4895" t="s">
        <v>2002</v>
      </c>
      <c r="H4895">
        <v>3</v>
      </c>
      <c r="I4895" s="12">
        <f>Table16[[#This Row],[price]]*Table16[[#This Row],[quantity]]</f>
        <v>7502</v>
      </c>
    </row>
    <row r="4896" spans="1:9" x14ac:dyDescent="0.3">
      <c r="A4896" t="s">
        <v>6907</v>
      </c>
      <c r="B4896" t="s">
        <v>965</v>
      </c>
      <c r="C4896" t="s">
        <v>2011</v>
      </c>
      <c r="D4896">
        <v>1</v>
      </c>
      <c r="E4896" s="16">
        <v>40.659999999999997</v>
      </c>
      <c r="F4896" s="1">
        <v>44846</v>
      </c>
      <c r="G4896" t="s">
        <v>2027</v>
      </c>
      <c r="H4896">
        <v>5</v>
      </c>
      <c r="I4896" s="12">
        <f>Table16[[#This Row],[price]]*Table16[[#This Row],[quantity]]</f>
        <v>40.659999999999997</v>
      </c>
    </row>
    <row r="4897" spans="1:9" x14ac:dyDescent="0.3">
      <c r="A4897" t="s">
        <v>6910</v>
      </c>
      <c r="B4897" t="s">
        <v>965</v>
      </c>
      <c r="C4897" t="s">
        <v>2008</v>
      </c>
      <c r="D4897">
        <v>1</v>
      </c>
      <c r="E4897" s="16">
        <v>5.23</v>
      </c>
      <c r="F4897" s="1">
        <v>44954</v>
      </c>
      <c r="G4897" t="s">
        <v>2027</v>
      </c>
      <c r="H4897">
        <v>5</v>
      </c>
      <c r="I4897" s="12">
        <f>Table16[[#This Row],[price]]*Table16[[#This Row],[quantity]]</f>
        <v>5.23</v>
      </c>
    </row>
    <row r="4898" spans="1:9" x14ac:dyDescent="0.3">
      <c r="A4898" t="s">
        <v>6912</v>
      </c>
      <c r="B4898" t="s">
        <v>965</v>
      </c>
      <c r="C4898" t="s">
        <v>2024</v>
      </c>
      <c r="D4898">
        <v>1</v>
      </c>
      <c r="E4898" s="16">
        <v>35.840000000000003</v>
      </c>
      <c r="F4898" s="1">
        <v>44982</v>
      </c>
      <c r="G4898" t="s">
        <v>2058</v>
      </c>
      <c r="H4898">
        <v>1</v>
      </c>
      <c r="I4898" s="12">
        <f>Table16[[#This Row],[price]]*Table16[[#This Row],[quantity]]</f>
        <v>35.840000000000003</v>
      </c>
    </row>
    <row r="4899" spans="1:9" x14ac:dyDescent="0.3">
      <c r="A4899" t="s">
        <v>6915</v>
      </c>
      <c r="B4899" t="s">
        <v>966</v>
      </c>
      <c r="C4899" t="s">
        <v>2008</v>
      </c>
      <c r="D4899">
        <v>1</v>
      </c>
      <c r="E4899" s="16">
        <v>5.23</v>
      </c>
      <c r="F4899" s="1">
        <v>44677</v>
      </c>
      <c r="G4899" t="s">
        <v>2004</v>
      </c>
      <c r="H4899">
        <v>5</v>
      </c>
      <c r="I4899" s="12">
        <f>Table16[[#This Row],[price]]*Table16[[#This Row],[quantity]]</f>
        <v>5.23</v>
      </c>
    </row>
    <row r="4900" spans="1:9" x14ac:dyDescent="0.3">
      <c r="A4900" t="s">
        <v>6916</v>
      </c>
      <c r="B4900" t="s">
        <v>966</v>
      </c>
      <c r="C4900" t="s">
        <v>2024</v>
      </c>
      <c r="D4900">
        <v>2</v>
      </c>
      <c r="E4900" s="16">
        <v>71.680000000000007</v>
      </c>
      <c r="F4900" s="1">
        <v>44899</v>
      </c>
      <c r="G4900" t="s">
        <v>2020</v>
      </c>
      <c r="H4900">
        <v>5</v>
      </c>
      <c r="I4900" s="12">
        <f>Table16[[#This Row],[price]]*Table16[[#This Row],[quantity]]</f>
        <v>143.36000000000001</v>
      </c>
    </row>
    <row r="4901" spans="1:9" x14ac:dyDescent="0.3">
      <c r="A4901" t="s">
        <v>6917</v>
      </c>
      <c r="B4901" t="s">
        <v>967</v>
      </c>
      <c r="C4901" t="s">
        <v>2001</v>
      </c>
      <c r="D4901">
        <v>1</v>
      </c>
      <c r="E4901" s="16">
        <v>300.08</v>
      </c>
      <c r="F4901" s="1">
        <v>44353</v>
      </c>
      <c r="G4901" t="s">
        <v>2004</v>
      </c>
      <c r="H4901">
        <v>4</v>
      </c>
      <c r="I4901" s="12">
        <f>Table16[[#This Row],[price]]*Table16[[#This Row],[quantity]]</f>
        <v>300.08</v>
      </c>
    </row>
    <row r="4902" spans="1:9" x14ac:dyDescent="0.3">
      <c r="A4902" t="s">
        <v>6921</v>
      </c>
      <c r="B4902" t="s">
        <v>967</v>
      </c>
      <c r="C4902" t="s">
        <v>2008</v>
      </c>
      <c r="D4902">
        <v>2</v>
      </c>
      <c r="E4902" s="16">
        <v>10.46</v>
      </c>
      <c r="F4902" s="1">
        <v>44477</v>
      </c>
      <c r="G4902" t="s">
        <v>2004</v>
      </c>
      <c r="H4902">
        <v>2</v>
      </c>
      <c r="I4902" s="12">
        <f>Table16[[#This Row],[price]]*Table16[[#This Row],[quantity]]</f>
        <v>20.92</v>
      </c>
    </row>
    <row r="4903" spans="1:9" x14ac:dyDescent="0.3">
      <c r="A4903" t="s">
        <v>6923</v>
      </c>
      <c r="B4903" t="s">
        <v>967</v>
      </c>
      <c r="C4903" t="s">
        <v>2057</v>
      </c>
      <c r="D4903">
        <v>5</v>
      </c>
      <c r="E4903" s="16">
        <v>58.65</v>
      </c>
      <c r="F4903" s="1">
        <v>44512</v>
      </c>
      <c r="G4903" t="s">
        <v>2002</v>
      </c>
      <c r="H4903">
        <v>2</v>
      </c>
      <c r="I4903" s="12">
        <f>Table16[[#This Row],[price]]*Table16[[#This Row],[quantity]]</f>
        <v>293.25</v>
      </c>
    </row>
    <row r="4904" spans="1:9" x14ac:dyDescent="0.3">
      <c r="A4904" t="s">
        <v>6922</v>
      </c>
      <c r="B4904" t="s">
        <v>967</v>
      </c>
      <c r="C4904" t="s">
        <v>2057</v>
      </c>
      <c r="D4904">
        <v>2</v>
      </c>
      <c r="E4904" s="16">
        <v>23.46</v>
      </c>
      <c r="F4904" s="1">
        <v>44591</v>
      </c>
      <c r="G4904" t="s">
        <v>2064</v>
      </c>
      <c r="H4904">
        <v>3</v>
      </c>
      <c r="I4904" s="12">
        <f>Table16[[#This Row],[price]]*Table16[[#This Row],[quantity]]</f>
        <v>46.92</v>
      </c>
    </row>
    <row r="4905" spans="1:9" x14ac:dyDescent="0.3">
      <c r="A4905" t="s">
        <v>6919</v>
      </c>
      <c r="B4905" t="s">
        <v>967</v>
      </c>
      <c r="C4905" t="s">
        <v>2011</v>
      </c>
      <c r="D4905">
        <v>3</v>
      </c>
      <c r="E4905" s="16">
        <v>121.98</v>
      </c>
      <c r="F4905" s="1">
        <v>44610</v>
      </c>
      <c r="G4905" t="s">
        <v>2058</v>
      </c>
      <c r="H4905">
        <v>1</v>
      </c>
      <c r="I4905" s="12">
        <f>Table16[[#This Row],[price]]*Table16[[#This Row],[quantity]]</f>
        <v>365.94</v>
      </c>
    </row>
    <row r="4906" spans="1:9" x14ac:dyDescent="0.3">
      <c r="A4906" t="s">
        <v>6918</v>
      </c>
      <c r="B4906" t="s">
        <v>967</v>
      </c>
      <c r="C4906" t="s">
        <v>2017</v>
      </c>
      <c r="D4906">
        <v>2</v>
      </c>
      <c r="E4906" s="16">
        <v>2100</v>
      </c>
      <c r="F4906" s="1">
        <v>44625</v>
      </c>
      <c r="G4906" t="s">
        <v>2004</v>
      </c>
      <c r="H4906">
        <v>1</v>
      </c>
      <c r="I4906" s="12">
        <f>Table16[[#This Row],[price]]*Table16[[#This Row],[quantity]]</f>
        <v>4200</v>
      </c>
    </row>
    <row r="4907" spans="1:9" x14ac:dyDescent="0.3">
      <c r="A4907" t="s">
        <v>6920</v>
      </c>
      <c r="B4907" t="s">
        <v>967</v>
      </c>
      <c r="C4907" t="s">
        <v>2011</v>
      </c>
      <c r="D4907">
        <v>3</v>
      </c>
      <c r="E4907" s="16">
        <v>121.98</v>
      </c>
      <c r="F4907" s="1">
        <v>44910</v>
      </c>
      <c r="G4907" t="s">
        <v>2012</v>
      </c>
      <c r="H4907">
        <v>5</v>
      </c>
      <c r="I4907" s="12">
        <f>Table16[[#This Row],[price]]*Table16[[#This Row],[quantity]]</f>
        <v>365.94</v>
      </c>
    </row>
    <row r="4908" spans="1:9" x14ac:dyDescent="0.3">
      <c r="A4908" t="s">
        <v>6925</v>
      </c>
      <c r="B4908" t="s">
        <v>968</v>
      </c>
      <c r="C4908" t="s">
        <v>2006</v>
      </c>
      <c r="D4908">
        <v>3</v>
      </c>
      <c r="E4908" s="16">
        <v>45.45</v>
      </c>
      <c r="F4908" s="1">
        <v>44204</v>
      </c>
      <c r="G4908" t="s">
        <v>2002</v>
      </c>
      <c r="H4908">
        <v>1</v>
      </c>
      <c r="I4908" s="12">
        <f>Table16[[#This Row],[price]]*Table16[[#This Row],[quantity]]</f>
        <v>136.35000000000002</v>
      </c>
    </row>
    <row r="4909" spans="1:9" x14ac:dyDescent="0.3">
      <c r="A4909" t="s">
        <v>6927</v>
      </c>
      <c r="B4909" t="s">
        <v>968</v>
      </c>
      <c r="C4909" t="s">
        <v>2015</v>
      </c>
      <c r="D4909">
        <v>3</v>
      </c>
      <c r="E4909" s="16">
        <v>1800.51</v>
      </c>
      <c r="F4909" s="1">
        <v>44808</v>
      </c>
      <c r="G4909" t="s">
        <v>2002</v>
      </c>
      <c r="H4909">
        <v>3</v>
      </c>
      <c r="I4909" s="12">
        <f>Table16[[#This Row],[price]]*Table16[[#This Row],[quantity]]</f>
        <v>5401.53</v>
      </c>
    </row>
    <row r="4910" spans="1:9" x14ac:dyDescent="0.3">
      <c r="A4910" t="s">
        <v>6924</v>
      </c>
      <c r="B4910" t="s">
        <v>968</v>
      </c>
      <c r="C4910" t="s">
        <v>2057</v>
      </c>
      <c r="D4910">
        <v>4</v>
      </c>
      <c r="E4910" s="16">
        <v>46.92</v>
      </c>
      <c r="F4910" s="1">
        <v>44817</v>
      </c>
      <c r="G4910" t="s">
        <v>2020</v>
      </c>
      <c r="H4910">
        <v>1</v>
      </c>
      <c r="I4910" s="12">
        <f>Table16[[#This Row],[price]]*Table16[[#This Row],[quantity]]</f>
        <v>187.68</v>
      </c>
    </row>
    <row r="4911" spans="1:9" x14ac:dyDescent="0.3">
      <c r="A4911" t="s">
        <v>6926</v>
      </c>
      <c r="B4911" t="s">
        <v>968</v>
      </c>
      <c r="C4911" t="s">
        <v>2011</v>
      </c>
      <c r="D4911">
        <v>4</v>
      </c>
      <c r="E4911" s="16">
        <v>162.63999999999999</v>
      </c>
      <c r="F4911" s="1">
        <v>44844</v>
      </c>
      <c r="G4911" t="s">
        <v>2020</v>
      </c>
      <c r="H4911">
        <v>1</v>
      </c>
      <c r="I4911" s="12">
        <f>Table16[[#This Row],[price]]*Table16[[#This Row],[quantity]]</f>
        <v>650.55999999999995</v>
      </c>
    </row>
    <row r="4912" spans="1:9" x14ac:dyDescent="0.3">
      <c r="A4912" t="s">
        <v>6928</v>
      </c>
      <c r="B4912" t="s">
        <v>968</v>
      </c>
      <c r="C4912" t="s">
        <v>2001</v>
      </c>
      <c r="D4912">
        <v>3</v>
      </c>
      <c r="E4912" s="16">
        <v>900.24</v>
      </c>
      <c r="F4912" s="1">
        <v>44938</v>
      </c>
      <c r="G4912" t="s">
        <v>2020</v>
      </c>
      <c r="H4912">
        <v>4</v>
      </c>
      <c r="I4912" s="12">
        <f>Table16[[#This Row],[price]]*Table16[[#This Row],[quantity]]</f>
        <v>2700.7200000000003</v>
      </c>
    </row>
    <row r="4913" spans="1:9" x14ac:dyDescent="0.3">
      <c r="A4913" t="s">
        <v>6931</v>
      </c>
      <c r="B4913" t="s">
        <v>969</v>
      </c>
      <c r="C4913" t="s">
        <v>2008</v>
      </c>
      <c r="D4913">
        <v>5</v>
      </c>
      <c r="E4913" s="16">
        <v>26.15</v>
      </c>
      <c r="F4913" s="1">
        <v>44369</v>
      </c>
      <c r="G4913" t="s">
        <v>2002</v>
      </c>
      <c r="H4913">
        <v>1</v>
      </c>
      <c r="I4913" s="12">
        <f>Table16[[#This Row],[price]]*Table16[[#This Row],[quantity]]</f>
        <v>130.75</v>
      </c>
    </row>
    <row r="4914" spans="1:9" x14ac:dyDescent="0.3">
      <c r="A4914" t="s">
        <v>6930</v>
      </c>
      <c r="B4914" t="s">
        <v>969</v>
      </c>
      <c r="C4914" t="s">
        <v>2001</v>
      </c>
      <c r="D4914">
        <v>2</v>
      </c>
      <c r="E4914" s="16">
        <v>600.16</v>
      </c>
      <c r="F4914" s="1">
        <v>44375</v>
      </c>
      <c r="G4914" t="s">
        <v>2002</v>
      </c>
      <c r="H4914">
        <v>2</v>
      </c>
      <c r="I4914" s="12">
        <f>Table16[[#This Row],[price]]*Table16[[#This Row],[quantity]]</f>
        <v>1200.32</v>
      </c>
    </row>
    <row r="4915" spans="1:9" x14ac:dyDescent="0.3">
      <c r="A4915" t="s">
        <v>6934</v>
      </c>
      <c r="B4915" t="s">
        <v>969</v>
      </c>
      <c r="C4915" t="s">
        <v>2001</v>
      </c>
      <c r="D4915">
        <v>3</v>
      </c>
      <c r="E4915" s="16">
        <v>900.24</v>
      </c>
      <c r="F4915" s="1">
        <v>44405</v>
      </c>
      <c r="G4915" t="s">
        <v>2012</v>
      </c>
      <c r="H4915">
        <v>2</v>
      </c>
      <c r="I4915" s="12">
        <f>Table16[[#This Row],[price]]*Table16[[#This Row],[quantity]]</f>
        <v>2700.7200000000003</v>
      </c>
    </row>
    <row r="4916" spans="1:9" x14ac:dyDescent="0.3">
      <c r="A4916" t="s">
        <v>6932</v>
      </c>
      <c r="B4916" t="s">
        <v>969</v>
      </c>
      <c r="C4916" t="s">
        <v>2011</v>
      </c>
      <c r="D4916">
        <v>2</v>
      </c>
      <c r="E4916" s="16">
        <v>81.319999999999993</v>
      </c>
      <c r="F4916" s="1">
        <v>44747</v>
      </c>
      <c r="G4916" t="s">
        <v>2064</v>
      </c>
      <c r="H4916">
        <v>1</v>
      </c>
      <c r="I4916" s="12">
        <f>Table16[[#This Row],[price]]*Table16[[#This Row],[quantity]]</f>
        <v>162.63999999999999</v>
      </c>
    </row>
    <row r="4917" spans="1:9" x14ac:dyDescent="0.3">
      <c r="A4917" t="s">
        <v>6935</v>
      </c>
      <c r="B4917" t="s">
        <v>969</v>
      </c>
      <c r="C4917" t="s">
        <v>2001</v>
      </c>
      <c r="D4917">
        <v>3</v>
      </c>
      <c r="E4917" s="16">
        <v>900.24</v>
      </c>
      <c r="F4917" s="1">
        <v>44874</v>
      </c>
      <c r="G4917" t="s">
        <v>2020</v>
      </c>
      <c r="H4917">
        <v>5</v>
      </c>
      <c r="I4917" s="12">
        <f>Table16[[#This Row],[price]]*Table16[[#This Row],[quantity]]</f>
        <v>2700.7200000000003</v>
      </c>
    </row>
    <row r="4918" spans="1:9" x14ac:dyDescent="0.3">
      <c r="A4918" t="s">
        <v>6933</v>
      </c>
      <c r="B4918" t="s">
        <v>969</v>
      </c>
      <c r="C4918" t="s">
        <v>2011</v>
      </c>
      <c r="D4918">
        <v>1</v>
      </c>
      <c r="E4918" s="16">
        <v>40.659999999999997</v>
      </c>
      <c r="F4918" s="1">
        <v>44970</v>
      </c>
      <c r="G4918" t="s">
        <v>2058</v>
      </c>
      <c r="H4918">
        <v>3</v>
      </c>
      <c r="I4918" s="12">
        <f>Table16[[#This Row],[price]]*Table16[[#This Row],[quantity]]</f>
        <v>40.659999999999997</v>
      </c>
    </row>
    <row r="4919" spans="1:9" x14ac:dyDescent="0.3">
      <c r="A4919" t="s">
        <v>6929</v>
      </c>
      <c r="B4919" t="s">
        <v>969</v>
      </c>
      <c r="C4919" t="s">
        <v>2008</v>
      </c>
      <c r="D4919">
        <v>1</v>
      </c>
      <c r="E4919" s="16">
        <v>5.23</v>
      </c>
      <c r="F4919" s="1">
        <v>44977</v>
      </c>
      <c r="G4919" t="s">
        <v>2020</v>
      </c>
      <c r="H4919">
        <v>3</v>
      </c>
      <c r="I4919" s="12">
        <f>Table16[[#This Row],[price]]*Table16[[#This Row],[quantity]]</f>
        <v>5.23</v>
      </c>
    </row>
    <row r="4920" spans="1:9" x14ac:dyDescent="0.3">
      <c r="A4920" t="s">
        <v>6939</v>
      </c>
      <c r="B4920" t="s">
        <v>970</v>
      </c>
      <c r="C4920" t="s">
        <v>2001</v>
      </c>
      <c r="D4920">
        <v>1</v>
      </c>
      <c r="E4920" s="16">
        <v>300.08</v>
      </c>
      <c r="F4920" s="1">
        <v>44615</v>
      </c>
      <c r="G4920" t="s">
        <v>2002</v>
      </c>
      <c r="H4920">
        <v>3</v>
      </c>
      <c r="I4920" s="12">
        <f>Table16[[#This Row],[price]]*Table16[[#This Row],[quantity]]</f>
        <v>300.08</v>
      </c>
    </row>
    <row r="4921" spans="1:9" x14ac:dyDescent="0.3">
      <c r="A4921" t="s">
        <v>6936</v>
      </c>
      <c r="B4921" t="s">
        <v>970</v>
      </c>
      <c r="C4921" t="s">
        <v>2001</v>
      </c>
      <c r="D4921">
        <v>4</v>
      </c>
      <c r="E4921" s="16">
        <v>1200.32</v>
      </c>
      <c r="F4921" s="1">
        <v>44683</v>
      </c>
      <c r="G4921" t="s">
        <v>2004</v>
      </c>
      <c r="H4921">
        <v>3</v>
      </c>
      <c r="I4921" s="12">
        <f>Table16[[#This Row],[price]]*Table16[[#This Row],[quantity]]</f>
        <v>4801.28</v>
      </c>
    </row>
    <row r="4922" spans="1:9" x14ac:dyDescent="0.3">
      <c r="A4922" t="s">
        <v>6937</v>
      </c>
      <c r="B4922" t="s">
        <v>970</v>
      </c>
      <c r="C4922" t="s">
        <v>2001</v>
      </c>
      <c r="D4922">
        <v>4</v>
      </c>
      <c r="E4922" s="16">
        <v>1200.32</v>
      </c>
      <c r="F4922" s="1">
        <v>44706</v>
      </c>
      <c r="G4922" t="s">
        <v>2027</v>
      </c>
      <c r="H4922">
        <v>2</v>
      </c>
      <c r="I4922" s="12">
        <f>Table16[[#This Row],[price]]*Table16[[#This Row],[quantity]]</f>
        <v>4801.28</v>
      </c>
    </row>
    <row r="4923" spans="1:9" x14ac:dyDescent="0.3">
      <c r="A4923" t="s">
        <v>6940</v>
      </c>
      <c r="B4923" t="s">
        <v>970</v>
      </c>
      <c r="C4923" t="s">
        <v>2001</v>
      </c>
      <c r="D4923">
        <v>5</v>
      </c>
      <c r="E4923" s="16">
        <v>1500.4</v>
      </c>
      <c r="F4923" s="1">
        <v>44743</v>
      </c>
      <c r="G4923" t="s">
        <v>2027</v>
      </c>
      <c r="H4923">
        <v>5</v>
      </c>
      <c r="I4923" s="12">
        <f>Table16[[#This Row],[price]]*Table16[[#This Row],[quantity]]</f>
        <v>7502</v>
      </c>
    </row>
    <row r="4924" spans="1:9" x14ac:dyDescent="0.3">
      <c r="A4924" t="s">
        <v>6938</v>
      </c>
      <c r="B4924" t="s">
        <v>970</v>
      </c>
      <c r="C4924" t="s">
        <v>2017</v>
      </c>
      <c r="D4924">
        <v>5</v>
      </c>
      <c r="E4924" s="16">
        <v>5250</v>
      </c>
      <c r="F4924" s="1">
        <v>44967</v>
      </c>
      <c r="G4924" t="s">
        <v>2027</v>
      </c>
      <c r="H4924">
        <v>4</v>
      </c>
      <c r="I4924" s="12">
        <f>Table16[[#This Row],[price]]*Table16[[#This Row],[quantity]]</f>
        <v>26250</v>
      </c>
    </row>
    <row r="4925" spans="1:9" x14ac:dyDescent="0.3">
      <c r="A4925" t="s">
        <v>6944</v>
      </c>
      <c r="B4925" t="s">
        <v>971</v>
      </c>
      <c r="C4925" t="s">
        <v>2015</v>
      </c>
      <c r="D4925">
        <v>5</v>
      </c>
      <c r="E4925" s="16">
        <v>3000.85</v>
      </c>
      <c r="F4925" s="1">
        <v>44776</v>
      </c>
      <c r="G4925" t="s">
        <v>2004</v>
      </c>
      <c r="H4925">
        <v>3</v>
      </c>
      <c r="I4925" s="12">
        <f>Table16[[#This Row],[price]]*Table16[[#This Row],[quantity]]</f>
        <v>15004.25</v>
      </c>
    </row>
    <row r="4926" spans="1:9" x14ac:dyDescent="0.3">
      <c r="A4926" t="s">
        <v>6943</v>
      </c>
      <c r="B4926" t="s">
        <v>971</v>
      </c>
      <c r="C4926" t="s">
        <v>2024</v>
      </c>
      <c r="D4926">
        <v>5</v>
      </c>
      <c r="E4926" s="16">
        <v>179.2</v>
      </c>
      <c r="F4926" s="1">
        <v>44802</v>
      </c>
      <c r="G4926" t="s">
        <v>2009</v>
      </c>
      <c r="H4926">
        <v>2</v>
      </c>
      <c r="I4926" s="12">
        <f>Table16[[#This Row],[price]]*Table16[[#This Row],[quantity]]</f>
        <v>896</v>
      </c>
    </row>
    <row r="4927" spans="1:9" x14ac:dyDescent="0.3">
      <c r="A4927" t="s">
        <v>6942</v>
      </c>
      <c r="B4927" t="s">
        <v>971</v>
      </c>
      <c r="C4927" t="s">
        <v>2015</v>
      </c>
      <c r="D4927">
        <v>3</v>
      </c>
      <c r="E4927" s="16">
        <v>1800.51</v>
      </c>
      <c r="F4927" s="1">
        <v>44870</v>
      </c>
      <c r="G4927" t="s">
        <v>2004</v>
      </c>
      <c r="H4927">
        <v>3</v>
      </c>
      <c r="I4927" s="12">
        <f>Table16[[#This Row],[price]]*Table16[[#This Row],[quantity]]</f>
        <v>5401.53</v>
      </c>
    </row>
    <row r="4928" spans="1:9" x14ac:dyDescent="0.3">
      <c r="A4928" t="s">
        <v>6941</v>
      </c>
      <c r="B4928" t="s">
        <v>971</v>
      </c>
      <c r="C4928" t="s">
        <v>2017</v>
      </c>
      <c r="D4928">
        <v>1</v>
      </c>
      <c r="E4928" s="16">
        <v>1050</v>
      </c>
      <c r="F4928" s="1">
        <v>44904</v>
      </c>
      <c r="G4928" t="s">
        <v>2058</v>
      </c>
      <c r="H4928">
        <v>2</v>
      </c>
      <c r="I4928" s="12">
        <f>Table16[[#This Row],[price]]*Table16[[#This Row],[quantity]]</f>
        <v>1050</v>
      </c>
    </row>
    <row r="4929" spans="1:9" x14ac:dyDescent="0.3">
      <c r="A4929" t="s">
        <v>6947</v>
      </c>
      <c r="B4929" t="s">
        <v>972</v>
      </c>
      <c r="C4929" t="s">
        <v>2008</v>
      </c>
      <c r="D4929">
        <v>5</v>
      </c>
      <c r="E4929" s="16">
        <v>26.15</v>
      </c>
      <c r="F4929" s="1">
        <v>44250</v>
      </c>
      <c r="G4929" t="s">
        <v>2027</v>
      </c>
      <c r="H4929">
        <v>3</v>
      </c>
      <c r="I4929" s="12">
        <f>Table16[[#This Row],[price]]*Table16[[#This Row],[quantity]]</f>
        <v>130.75</v>
      </c>
    </row>
    <row r="4930" spans="1:9" x14ac:dyDescent="0.3">
      <c r="A4930" t="s">
        <v>6946</v>
      </c>
      <c r="B4930" t="s">
        <v>972</v>
      </c>
      <c r="C4930" t="s">
        <v>2011</v>
      </c>
      <c r="D4930">
        <v>4</v>
      </c>
      <c r="E4930" s="16">
        <v>162.63999999999999</v>
      </c>
      <c r="F4930" s="1">
        <v>44277</v>
      </c>
      <c r="G4930" t="s">
        <v>2064</v>
      </c>
      <c r="H4930">
        <v>5</v>
      </c>
      <c r="I4930" s="12">
        <f>Table16[[#This Row],[price]]*Table16[[#This Row],[quantity]]</f>
        <v>650.55999999999995</v>
      </c>
    </row>
    <row r="4931" spans="1:9" x14ac:dyDescent="0.3">
      <c r="A4931" t="s">
        <v>6950</v>
      </c>
      <c r="B4931" t="s">
        <v>972</v>
      </c>
      <c r="C4931" t="s">
        <v>2011</v>
      </c>
      <c r="D4931">
        <v>1</v>
      </c>
      <c r="E4931" s="16">
        <v>40.659999999999997</v>
      </c>
      <c r="F4931" s="1">
        <v>44443</v>
      </c>
      <c r="G4931" t="s">
        <v>2058</v>
      </c>
      <c r="H4931">
        <v>5</v>
      </c>
      <c r="I4931" s="12">
        <f>Table16[[#This Row],[price]]*Table16[[#This Row],[quantity]]</f>
        <v>40.659999999999997</v>
      </c>
    </row>
    <row r="4932" spans="1:9" x14ac:dyDescent="0.3">
      <c r="A4932" t="s">
        <v>6945</v>
      </c>
      <c r="B4932" t="s">
        <v>972</v>
      </c>
      <c r="C4932" t="s">
        <v>2001</v>
      </c>
      <c r="D4932">
        <v>3</v>
      </c>
      <c r="E4932" s="16">
        <v>900.24</v>
      </c>
      <c r="F4932" s="1">
        <v>44516</v>
      </c>
      <c r="G4932" t="s">
        <v>2004</v>
      </c>
      <c r="H4932">
        <v>4</v>
      </c>
      <c r="I4932" s="12">
        <f>Table16[[#This Row],[price]]*Table16[[#This Row],[quantity]]</f>
        <v>2700.7200000000003</v>
      </c>
    </row>
    <row r="4933" spans="1:9" x14ac:dyDescent="0.3">
      <c r="A4933" t="s">
        <v>6949</v>
      </c>
      <c r="B4933" t="s">
        <v>972</v>
      </c>
      <c r="C4933" t="s">
        <v>2015</v>
      </c>
      <c r="D4933">
        <v>2</v>
      </c>
      <c r="E4933" s="16">
        <v>1200.3399999999999</v>
      </c>
      <c r="F4933" s="1">
        <v>44580</v>
      </c>
      <c r="G4933" t="s">
        <v>2018</v>
      </c>
      <c r="H4933">
        <v>3</v>
      </c>
      <c r="I4933" s="12">
        <f>Table16[[#This Row],[price]]*Table16[[#This Row],[quantity]]</f>
        <v>2400.6799999999998</v>
      </c>
    </row>
    <row r="4934" spans="1:9" x14ac:dyDescent="0.3">
      <c r="A4934" t="s">
        <v>6948</v>
      </c>
      <c r="B4934" t="s">
        <v>972</v>
      </c>
      <c r="C4934" t="s">
        <v>2008</v>
      </c>
      <c r="D4934">
        <v>3</v>
      </c>
      <c r="E4934" s="16">
        <v>15.69</v>
      </c>
      <c r="F4934" s="1">
        <v>44828</v>
      </c>
      <c r="G4934" t="s">
        <v>2004</v>
      </c>
      <c r="H4934">
        <v>1</v>
      </c>
      <c r="I4934" s="12">
        <f>Table16[[#This Row],[price]]*Table16[[#This Row],[quantity]]</f>
        <v>47.07</v>
      </c>
    </row>
    <row r="4935" spans="1:9" x14ac:dyDescent="0.3">
      <c r="A4935" t="s">
        <v>6952</v>
      </c>
      <c r="B4935" t="s">
        <v>973</v>
      </c>
      <c r="C4935" t="s">
        <v>2017</v>
      </c>
      <c r="D4935">
        <v>5</v>
      </c>
      <c r="E4935" s="16">
        <v>5250</v>
      </c>
      <c r="F4935" s="1">
        <v>44244</v>
      </c>
      <c r="G4935" t="s">
        <v>2027</v>
      </c>
      <c r="H4935">
        <v>5</v>
      </c>
      <c r="I4935" s="12">
        <f>Table16[[#This Row],[price]]*Table16[[#This Row],[quantity]]</f>
        <v>26250</v>
      </c>
    </row>
    <row r="4936" spans="1:9" x14ac:dyDescent="0.3">
      <c r="A4936" t="s">
        <v>6953</v>
      </c>
      <c r="B4936" t="s">
        <v>973</v>
      </c>
      <c r="C4936" t="s">
        <v>2001</v>
      </c>
      <c r="D4936">
        <v>2</v>
      </c>
      <c r="E4936" s="16">
        <v>600.16</v>
      </c>
      <c r="F4936" s="1">
        <v>44339</v>
      </c>
      <c r="G4936" t="s">
        <v>2027</v>
      </c>
      <c r="H4936">
        <v>5</v>
      </c>
      <c r="I4936" s="12">
        <f>Table16[[#This Row],[price]]*Table16[[#This Row],[quantity]]</f>
        <v>1200.32</v>
      </c>
    </row>
    <row r="4937" spans="1:9" x14ac:dyDescent="0.3">
      <c r="A4937" t="s">
        <v>6951</v>
      </c>
      <c r="B4937" t="s">
        <v>973</v>
      </c>
      <c r="C4937" t="s">
        <v>2011</v>
      </c>
      <c r="D4937">
        <v>1</v>
      </c>
      <c r="E4937" s="16">
        <v>40.659999999999997</v>
      </c>
      <c r="F4937" s="1">
        <v>44358</v>
      </c>
      <c r="G4937" t="s">
        <v>2002</v>
      </c>
      <c r="H4937">
        <v>5</v>
      </c>
      <c r="I4937" s="12">
        <f>Table16[[#This Row],[price]]*Table16[[#This Row],[quantity]]</f>
        <v>40.659999999999997</v>
      </c>
    </row>
    <row r="4938" spans="1:9" x14ac:dyDescent="0.3">
      <c r="A4938" t="s">
        <v>6957</v>
      </c>
      <c r="B4938" t="s">
        <v>974</v>
      </c>
      <c r="C4938" t="s">
        <v>2001</v>
      </c>
      <c r="D4938">
        <v>3</v>
      </c>
      <c r="E4938" s="16">
        <v>900.24</v>
      </c>
      <c r="F4938" s="1">
        <v>44268</v>
      </c>
      <c r="G4938" t="s">
        <v>2009</v>
      </c>
      <c r="H4938">
        <v>5</v>
      </c>
      <c r="I4938" s="12">
        <f>Table16[[#This Row],[price]]*Table16[[#This Row],[quantity]]</f>
        <v>2700.7200000000003</v>
      </c>
    </row>
    <row r="4939" spans="1:9" x14ac:dyDescent="0.3">
      <c r="A4939" t="s">
        <v>6954</v>
      </c>
      <c r="B4939" t="s">
        <v>974</v>
      </c>
      <c r="C4939" t="s">
        <v>2001</v>
      </c>
      <c r="D4939">
        <v>4</v>
      </c>
      <c r="E4939" s="16">
        <v>1200.32</v>
      </c>
      <c r="F4939" s="1">
        <v>44468</v>
      </c>
      <c r="G4939" t="s">
        <v>2027</v>
      </c>
      <c r="H4939">
        <v>1</v>
      </c>
      <c r="I4939" s="12">
        <f>Table16[[#This Row],[price]]*Table16[[#This Row],[quantity]]</f>
        <v>4801.28</v>
      </c>
    </row>
    <row r="4940" spans="1:9" x14ac:dyDescent="0.3">
      <c r="A4940" t="s">
        <v>6955</v>
      </c>
      <c r="B4940" t="s">
        <v>974</v>
      </c>
      <c r="C4940" t="s">
        <v>2017</v>
      </c>
      <c r="D4940">
        <v>1</v>
      </c>
      <c r="E4940" s="16">
        <v>1050</v>
      </c>
      <c r="F4940" s="1">
        <v>44612</v>
      </c>
      <c r="G4940" t="s">
        <v>2002</v>
      </c>
      <c r="H4940">
        <v>1</v>
      </c>
      <c r="I4940" s="12">
        <f>Table16[[#This Row],[price]]*Table16[[#This Row],[quantity]]</f>
        <v>1050</v>
      </c>
    </row>
    <row r="4941" spans="1:9" x14ac:dyDescent="0.3">
      <c r="A4941" t="s">
        <v>6958</v>
      </c>
      <c r="B4941" t="s">
        <v>974</v>
      </c>
      <c r="C4941" t="s">
        <v>2024</v>
      </c>
      <c r="D4941">
        <v>5</v>
      </c>
      <c r="E4941" s="16">
        <v>179.2</v>
      </c>
      <c r="F4941" s="1">
        <v>44844</v>
      </c>
      <c r="G4941" t="s">
        <v>2012</v>
      </c>
      <c r="H4941">
        <v>2</v>
      </c>
      <c r="I4941" s="12">
        <f>Table16[[#This Row],[price]]*Table16[[#This Row],[quantity]]</f>
        <v>896</v>
      </c>
    </row>
    <row r="4942" spans="1:9" x14ac:dyDescent="0.3">
      <c r="A4942" t="s">
        <v>6956</v>
      </c>
      <c r="B4942" t="s">
        <v>974</v>
      </c>
      <c r="C4942" t="s">
        <v>2008</v>
      </c>
      <c r="D4942">
        <v>5</v>
      </c>
      <c r="E4942" s="16">
        <v>26.15</v>
      </c>
      <c r="F4942" s="1">
        <v>44986</v>
      </c>
      <c r="G4942" t="s">
        <v>2027</v>
      </c>
      <c r="H4942">
        <v>2</v>
      </c>
      <c r="I4942" s="12">
        <f>Table16[[#This Row],[price]]*Table16[[#This Row],[quantity]]</f>
        <v>130.75</v>
      </c>
    </row>
    <row r="4943" spans="1:9" x14ac:dyDescent="0.3">
      <c r="A4943" t="s">
        <v>6960</v>
      </c>
      <c r="B4943" t="s">
        <v>975</v>
      </c>
      <c r="C4943" t="s">
        <v>2001</v>
      </c>
      <c r="D4943">
        <v>3</v>
      </c>
      <c r="E4943" s="16">
        <v>900.24</v>
      </c>
      <c r="F4943" s="1">
        <v>44332</v>
      </c>
      <c r="G4943" t="s">
        <v>2002</v>
      </c>
      <c r="H4943">
        <v>3</v>
      </c>
      <c r="I4943" s="12">
        <f>Table16[[#This Row],[price]]*Table16[[#This Row],[quantity]]</f>
        <v>2700.7200000000003</v>
      </c>
    </row>
    <row r="4944" spans="1:9" x14ac:dyDescent="0.3">
      <c r="A4944" t="s">
        <v>6959</v>
      </c>
      <c r="B4944" t="s">
        <v>975</v>
      </c>
      <c r="C4944" t="s">
        <v>2057</v>
      </c>
      <c r="D4944">
        <v>2</v>
      </c>
      <c r="E4944" s="16">
        <v>23.46</v>
      </c>
      <c r="F4944" s="1">
        <v>44657</v>
      </c>
      <c r="G4944" t="s">
        <v>2058</v>
      </c>
      <c r="H4944">
        <v>2</v>
      </c>
      <c r="I4944" s="12">
        <f>Table16[[#This Row],[price]]*Table16[[#This Row],[quantity]]</f>
        <v>46.92</v>
      </c>
    </row>
    <row r="4945" spans="1:9" x14ac:dyDescent="0.3">
      <c r="A4945" t="s">
        <v>6961</v>
      </c>
      <c r="B4945" t="s">
        <v>976</v>
      </c>
      <c r="C4945" t="s">
        <v>2008</v>
      </c>
      <c r="D4945">
        <v>3</v>
      </c>
      <c r="E4945" s="16">
        <v>15.69</v>
      </c>
      <c r="F4945" s="1">
        <v>44207</v>
      </c>
      <c r="G4945" t="s">
        <v>2020</v>
      </c>
      <c r="H4945">
        <v>5</v>
      </c>
      <c r="I4945" s="12">
        <f>Table16[[#This Row],[price]]*Table16[[#This Row],[quantity]]</f>
        <v>47.07</v>
      </c>
    </row>
    <row r="4946" spans="1:9" x14ac:dyDescent="0.3">
      <c r="A4946" t="s">
        <v>6962</v>
      </c>
      <c r="B4946" t="s">
        <v>976</v>
      </c>
      <c r="C4946" t="s">
        <v>2011</v>
      </c>
      <c r="D4946">
        <v>4</v>
      </c>
      <c r="E4946" s="16">
        <v>162.63999999999999</v>
      </c>
      <c r="F4946" s="1">
        <v>44773</v>
      </c>
      <c r="G4946" t="s">
        <v>2002</v>
      </c>
      <c r="H4946">
        <v>2</v>
      </c>
      <c r="I4946" s="12">
        <f>Table16[[#This Row],[price]]*Table16[[#This Row],[quantity]]</f>
        <v>650.55999999999995</v>
      </c>
    </row>
    <row r="4947" spans="1:9" x14ac:dyDescent="0.3">
      <c r="A4947" t="s">
        <v>6964</v>
      </c>
      <c r="B4947" t="s">
        <v>977</v>
      </c>
      <c r="C4947" t="s">
        <v>2015</v>
      </c>
      <c r="D4947">
        <v>5</v>
      </c>
      <c r="E4947" s="16">
        <v>3000.85</v>
      </c>
      <c r="F4947" s="1">
        <v>44373</v>
      </c>
      <c r="G4947" t="s">
        <v>2002</v>
      </c>
      <c r="H4947">
        <v>1</v>
      </c>
      <c r="I4947" s="12">
        <f>Table16[[#This Row],[price]]*Table16[[#This Row],[quantity]]</f>
        <v>15004.25</v>
      </c>
    </row>
    <row r="4948" spans="1:9" x14ac:dyDescent="0.3">
      <c r="A4948" t="s">
        <v>6966</v>
      </c>
      <c r="B4948" t="s">
        <v>977</v>
      </c>
      <c r="C4948" t="s">
        <v>2015</v>
      </c>
      <c r="D4948">
        <v>3</v>
      </c>
      <c r="E4948" s="16">
        <v>1800.51</v>
      </c>
      <c r="F4948" s="1">
        <v>44732</v>
      </c>
      <c r="G4948" t="s">
        <v>2009</v>
      </c>
      <c r="H4948">
        <v>3</v>
      </c>
      <c r="I4948" s="12">
        <f>Table16[[#This Row],[price]]*Table16[[#This Row],[quantity]]</f>
        <v>5401.53</v>
      </c>
    </row>
    <row r="4949" spans="1:9" x14ac:dyDescent="0.3">
      <c r="A4949" t="s">
        <v>6965</v>
      </c>
      <c r="B4949" t="s">
        <v>977</v>
      </c>
      <c r="C4949" t="s">
        <v>2008</v>
      </c>
      <c r="D4949">
        <v>5</v>
      </c>
      <c r="E4949" s="16">
        <v>26.15</v>
      </c>
      <c r="F4949" s="1">
        <v>44784</v>
      </c>
      <c r="G4949" t="s">
        <v>2002</v>
      </c>
      <c r="H4949">
        <v>2</v>
      </c>
      <c r="I4949" s="12">
        <f>Table16[[#This Row],[price]]*Table16[[#This Row],[quantity]]</f>
        <v>130.75</v>
      </c>
    </row>
    <row r="4950" spans="1:9" x14ac:dyDescent="0.3">
      <c r="A4950" t="s">
        <v>6963</v>
      </c>
      <c r="B4950" t="s">
        <v>977</v>
      </c>
      <c r="C4950" t="s">
        <v>2008</v>
      </c>
      <c r="D4950">
        <v>3</v>
      </c>
      <c r="E4950" s="16">
        <v>15.69</v>
      </c>
      <c r="F4950" s="1">
        <v>44841</v>
      </c>
      <c r="G4950" t="s">
        <v>2041</v>
      </c>
      <c r="H4950">
        <v>1</v>
      </c>
      <c r="I4950" s="12">
        <f>Table16[[#This Row],[price]]*Table16[[#This Row],[quantity]]</f>
        <v>47.07</v>
      </c>
    </row>
    <row r="4951" spans="1:9" x14ac:dyDescent="0.3">
      <c r="A4951" t="s">
        <v>6968</v>
      </c>
      <c r="B4951" t="s">
        <v>978</v>
      </c>
      <c r="C4951" t="s">
        <v>2015</v>
      </c>
      <c r="D4951">
        <v>4</v>
      </c>
      <c r="E4951" s="16">
        <v>2400.6799999999998</v>
      </c>
      <c r="F4951" s="1">
        <v>44223</v>
      </c>
      <c r="G4951" t="s">
        <v>2004</v>
      </c>
      <c r="H4951">
        <v>1</v>
      </c>
      <c r="I4951" s="12">
        <f>Table16[[#This Row],[price]]*Table16[[#This Row],[quantity]]</f>
        <v>9602.7199999999993</v>
      </c>
    </row>
    <row r="4952" spans="1:9" x14ac:dyDescent="0.3">
      <c r="A4952" t="s">
        <v>6967</v>
      </c>
      <c r="B4952" t="s">
        <v>978</v>
      </c>
      <c r="C4952" t="s">
        <v>2001</v>
      </c>
      <c r="D4952">
        <v>5</v>
      </c>
      <c r="E4952" s="16">
        <v>1500.4</v>
      </c>
      <c r="F4952" s="1">
        <v>44538</v>
      </c>
      <c r="G4952" t="s">
        <v>2027</v>
      </c>
      <c r="H4952">
        <v>3</v>
      </c>
      <c r="I4952" s="12">
        <f>Table16[[#This Row],[price]]*Table16[[#This Row],[quantity]]</f>
        <v>7502</v>
      </c>
    </row>
    <row r="4953" spans="1:9" x14ac:dyDescent="0.3">
      <c r="A4953" t="s">
        <v>6969</v>
      </c>
      <c r="B4953" t="s">
        <v>978</v>
      </c>
      <c r="C4953" t="s">
        <v>2015</v>
      </c>
      <c r="D4953">
        <v>4</v>
      </c>
      <c r="E4953" s="16">
        <v>2400.6799999999998</v>
      </c>
      <c r="F4953" s="1">
        <v>44574</v>
      </c>
      <c r="G4953" t="s">
        <v>2027</v>
      </c>
      <c r="H4953">
        <v>4</v>
      </c>
      <c r="I4953" s="12">
        <f>Table16[[#This Row],[price]]*Table16[[#This Row],[quantity]]</f>
        <v>9602.7199999999993</v>
      </c>
    </row>
    <row r="4954" spans="1:9" x14ac:dyDescent="0.3">
      <c r="A4954" t="s">
        <v>6970</v>
      </c>
      <c r="B4954" t="s">
        <v>978</v>
      </c>
      <c r="C4954" t="s">
        <v>2017</v>
      </c>
      <c r="D4954">
        <v>1</v>
      </c>
      <c r="E4954" s="16">
        <v>1050</v>
      </c>
      <c r="F4954" s="1">
        <v>44816</v>
      </c>
      <c r="G4954" t="s">
        <v>2002</v>
      </c>
      <c r="H4954">
        <v>3</v>
      </c>
      <c r="I4954" s="12">
        <f>Table16[[#This Row],[price]]*Table16[[#This Row],[quantity]]</f>
        <v>1050</v>
      </c>
    </row>
    <row r="4955" spans="1:9" x14ac:dyDescent="0.3">
      <c r="A4955" t="s">
        <v>6977</v>
      </c>
      <c r="B4955" t="s">
        <v>979</v>
      </c>
      <c r="C4955" t="s">
        <v>2017</v>
      </c>
      <c r="D4955">
        <v>2</v>
      </c>
      <c r="E4955" s="16">
        <v>2100</v>
      </c>
      <c r="F4955" s="1">
        <v>44260</v>
      </c>
      <c r="G4955" t="s">
        <v>2020</v>
      </c>
      <c r="H4955">
        <v>2</v>
      </c>
      <c r="I4955" s="12">
        <f>Table16[[#This Row],[price]]*Table16[[#This Row],[quantity]]</f>
        <v>4200</v>
      </c>
    </row>
    <row r="4956" spans="1:9" x14ac:dyDescent="0.3">
      <c r="A4956" t="s">
        <v>6971</v>
      </c>
      <c r="B4956" t="s">
        <v>979</v>
      </c>
      <c r="C4956" t="s">
        <v>2057</v>
      </c>
      <c r="D4956">
        <v>3</v>
      </c>
      <c r="E4956" s="16">
        <v>35.19</v>
      </c>
      <c r="F4956" s="1">
        <v>44413</v>
      </c>
      <c r="G4956" t="s">
        <v>2004</v>
      </c>
      <c r="H4956">
        <v>3</v>
      </c>
      <c r="I4956" s="12">
        <f>Table16[[#This Row],[price]]*Table16[[#This Row],[quantity]]</f>
        <v>105.57</v>
      </c>
    </row>
    <row r="4957" spans="1:9" x14ac:dyDescent="0.3">
      <c r="A4957" t="s">
        <v>6972</v>
      </c>
      <c r="B4957" t="s">
        <v>979</v>
      </c>
      <c r="C4957" t="s">
        <v>2001</v>
      </c>
      <c r="D4957">
        <v>1</v>
      </c>
      <c r="E4957" s="16">
        <v>300.08</v>
      </c>
      <c r="F4957" s="1">
        <v>44462</v>
      </c>
      <c r="G4957" t="s">
        <v>2012</v>
      </c>
      <c r="H4957">
        <v>2</v>
      </c>
      <c r="I4957" s="12">
        <f>Table16[[#This Row],[price]]*Table16[[#This Row],[quantity]]</f>
        <v>300.08</v>
      </c>
    </row>
    <row r="4958" spans="1:9" x14ac:dyDescent="0.3">
      <c r="A4958" t="s">
        <v>6978</v>
      </c>
      <c r="B4958" t="s">
        <v>979</v>
      </c>
      <c r="C4958" t="s">
        <v>2006</v>
      </c>
      <c r="D4958">
        <v>3</v>
      </c>
      <c r="E4958" s="16">
        <v>45.45</v>
      </c>
      <c r="F4958" s="1">
        <v>44499</v>
      </c>
      <c r="G4958" t="s">
        <v>2058</v>
      </c>
      <c r="H4958">
        <v>3</v>
      </c>
      <c r="I4958" s="12">
        <f>Table16[[#This Row],[price]]*Table16[[#This Row],[quantity]]</f>
        <v>136.35000000000002</v>
      </c>
    </row>
    <row r="4959" spans="1:9" x14ac:dyDescent="0.3">
      <c r="A4959" t="s">
        <v>6975</v>
      </c>
      <c r="B4959" t="s">
        <v>979</v>
      </c>
      <c r="C4959" t="s">
        <v>2001</v>
      </c>
      <c r="D4959">
        <v>1</v>
      </c>
      <c r="E4959" s="16">
        <v>300.08</v>
      </c>
      <c r="F4959" s="1">
        <v>44540</v>
      </c>
      <c r="G4959" t="s">
        <v>2004</v>
      </c>
      <c r="H4959">
        <v>1</v>
      </c>
      <c r="I4959" s="12">
        <f>Table16[[#This Row],[price]]*Table16[[#This Row],[quantity]]</f>
        <v>300.08</v>
      </c>
    </row>
    <row r="4960" spans="1:9" x14ac:dyDescent="0.3">
      <c r="A4960" t="s">
        <v>6973</v>
      </c>
      <c r="B4960" t="s">
        <v>979</v>
      </c>
      <c r="C4960" t="s">
        <v>2024</v>
      </c>
      <c r="D4960">
        <v>2</v>
      </c>
      <c r="E4960" s="16">
        <v>71.680000000000007</v>
      </c>
      <c r="F4960" s="1">
        <v>44676</v>
      </c>
      <c r="G4960" t="s">
        <v>2041</v>
      </c>
      <c r="H4960">
        <v>3</v>
      </c>
      <c r="I4960" s="12">
        <f>Table16[[#This Row],[price]]*Table16[[#This Row],[quantity]]</f>
        <v>143.36000000000001</v>
      </c>
    </row>
    <row r="4961" spans="1:9" x14ac:dyDescent="0.3">
      <c r="A4961" t="s">
        <v>6976</v>
      </c>
      <c r="B4961" t="s">
        <v>979</v>
      </c>
      <c r="C4961" t="s">
        <v>2008</v>
      </c>
      <c r="D4961">
        <v>5</v>
      </c>
      <c r="E4961" s="16">
        <v>26.15</v>
      </c>
      <c r="F4961" s="1">
        <v>44768</v>
      </c>
      <c r="G4961" t="s">
        <v>2004</v>
      </c>
      <c r="H4961">
        <v>4</v>
      </c>
      <c r="I4961" s="12">
        <f>Table16[[#This Row],[price]]*Table16[[#This Row],[quantity]]</f>
        <v>130.75</v>
      </c>
    </row>
    <row r="4962" spans="1:9" x14ac:dyDescent="0.3">
      <c r="A4962" t="s">
        <v>6974</v>
      </c>
      <c r="B4962" t="s">
        <v>979</v>
      </c>
      <c r="C4962" t="s">
        <v>2001</v>
      </c>
      <c r="D4962">
        <v>5</v>
      </c>
      <c r="E4962" s="16">
        <v>1500.4</v>
      </c>
      <c r="F4962" s="1">
        <v>44933</v>
      </c>
      <c r="G4962" t="s">
        <v>2064</v>
      </c>
      <c r="H4962">
        <v>3</v>
      </c>
      <c r="I4962" s="12">
        <f>Table16[[#This Row],[price]]*Table16[[#This Row],[quantity]]</f>
        <v>7502</v>
      </c>
    </row>
    <row r="4963" spans="1:9" x14ac:dyDescent="0.3">
      <c r="A4963" t="s">
        <v>6982</v>
      </c>
      <c r="B4963" t="s">
        <v>980</v>
      </c>
      <c r="C4963" t="s">
        <v>2008</v>
      </c>
      <c r="D4963">
        <v>3</v>
      </c>
      <c r="E4963" s="16">
        <v>15.69</v>
      </c>
      <c r="F4963" s="1">
        <v>44254</v>
      </c>
      <c r="G4963" t="s">
        <v>2002</v>
      </c>
      <c r="H4963">
        <v>5</v>
      </c>
      <c r="I4963" s="12">
        <f>Table16[[#This Row],[price]]*Table16[[#This Row],[quantity]]</f>
        <v>47.07</v>
      </c>
    </row>
    <row r="4964" spans="1:9" x14ac:dyDescent="0.3">
      <c r="A4964" t="s">
        <v>6981</v>
      </c>
      <c r="B4964" t="s">
        <v>980</v>
      </c>
      <c r="C4964" t="s">
        <v>2008</v>
      </c>
      <c r="D4964">
        <v>4</v>
      </c>
      <c r="E4964" s="16">
        <v>20.92</v>
      </c>
      <c r="F4964" s="1">
        <v>44425</v>
      </c>
      <c r="G4964" t="s">
        <v>2002</v>
      </c>
      <c r="H4964">
        <v>1</v>
      </c>
      <c r="I4964" s="12">
        <f>Table16[[#This Row],[price]]*Table16[[#This Row],[quantity]]</f>
        <v>83.68</v>
      </c>
    </row>
    <row r="4965" spans="1:9" x14ac:dyDescent="0.3">
      <c r="A4965" t="s">
        <v>6980</v>
      </c>
      <c r="B4965" t="s">
        <v>980</v>
      </c>
      <c r="C4965" t="s">
        <v>2011</v>
      </c>
      <c r="D4965">
        <v>1</v>
      </c>
      <c r="E4965" s="16">
        <v>40.659999999999997</v>
      </c>
      <c r="F4965" s="1">
        <v>44568</v>
      </c>
      <c r="G4965" t="s">
        <v>2027</v>
      </c>
      <c r="H4965">
        <v>4</v>
      </c>
      <c r="I4965" s="12">
        <f>Table16[[#This Row],[price]]*Table16[[#This Row],[quantity]]</f>
        <v>40.659999999999997</v>
      </c>
    </row>
    <row r="4966" spans="1:9" x14ac:dyDescent="0.3">
      <c r="A4966" t="s">
        <v>6983</v>
      </c>
      <c r="B4966" t="s">
        <v>980</v>
      </c>
      <c r="C4966" t="s">
        <v>2001</v>
      </c>
      <c r="D4966">
        <v>1</v>
      </c>
      <c r="E4966" s="16">
        <v>300.08</v>
      </c>
      <c r="F4966" s="1">
        <v>44641</v>
      </c>
      <c r="G4966" t="s">
        <v>2004</v>
      </c>
      <c r="H4966">
        <v>2</v>
      </c>
      <c r="I4966" s="12">
        <f>Table16[[#This Row],[price]]*Table16[[#This Row],[quantity]]</f>
        <v>300.08</v>
      </c>
    </row>
    <row r="4967" spans="1:9" x14ac:dyDescent="0.3">
      <c r="A4967" t="s">
        <v>6979</v>
      </c>
      <c r="B4967" t="s">
        <v>980</v>
      </c>
      <c r="C4967" t="s">
        <v>2006</v>
      </c>
      <c r="D4967">
        <v>4</v>
      </c>
      <c r="E4967" s="16">
        <v>60.6</v>
      </c>
      <c r="F4967" s="1">
        <v>44754</v>
      </c>
      <c r="G4967" t="s">
        <v>2002</v>
      </c>
      <c r="H4967">
        <v>2</v>
      </c>
      <c r="I4967" s="12">
        <f>Table16[[#This Row],[price]]*Table16[[#This Row],[quantity]]</f>
        <v>242.4</v>
      </c>
    </row>
    <row r="4968" spans="1:9" x14ac:dyDescent="0.3">
      <c r="A4968" t="s">
        <v>6985</v>
      </c>
      <c r="B4968" t="s">
        <v>981</v>
      </c>
      <c r="C4968" t="s">
        <v>2001</v>
      </c>
      <c r="D4968">
        <v>4</v>
      </c>
      <c r="E4968" s="16">
        <v>1200.32</v>
      </c>
      <c r="F4968" s="1">
        <v>44708</v>
      </c>
      <c r="G4968" t="s">
        <v>2002</v>
      </c>
      <c r="H4968">
        <v>3</v>
      </c>
      <c r="I4968" s="12">
        <f>Table16[[#This Row],[price]]*Table16[[#This Row],[quantity]]</f>
        <v>4801.28</v>
      </c>
    </row>
    <row r="4969" spans="1:9" x14ac:dyDescent="0.3">
      <c r="A4969" t="s">
        <v>6984</v>
      </c>
      <c r="B4969" t="s">
        <v>981</v>
      </c>
      <c r="C4969" t="s">
        <v>2008</v>
      </c>
      <c r="D4969">
        <v>1</v>
      </c>
      <c r="E4969" s="16">
        <v>5.23</v>
      </c>
      <c r="F4969" s="1">
        <v>44719</v>
      </c>
      <c r="G4969" t="s">
        <v>2027</v>
      </c>
      <c r="H4969">
        <v>2</v>
      </c>
      <c r="I4969" s="12">
        <f>Table16[[#This Row],[price]]*Table16[[#This Row],[quantity]]</f>
        <v>5.23</v>
      </c>
    </row>
    <row r="4970" spans="1:9" x14ac:dyDescent="0.3">
      <c r="A4970" t="s">
        <v>6988</v>
      </c>
      <c r="B4970" t="s">
        <v>982</v>
      </c>
      <c r="C4970" t="s">
        <v>2008</v>
      </c>
      <c r="D4970">
        <v>3</v>
      </c>
      <c r="E4970" s="16">
        <v>15.69</v>
      </c>
      <c r="F4970" s="1">
        <v>44201</v>
      </c>
      <c r="G4970" t="s">
        <v>2004</v>
      </c>
      <c r="H4970">
        <v>3</v>
      </c>
      <c r="I4970" s="12">
        <f>Table16[[#This Row],[price]]*Table16[[#This Row],[quantity]]</f>
        <v>47.07</v>
      </c>
    </row>
    <row r="4971" spans="1:9" x14ac:dyDescent="0.3">
      <c r="A4971" t="s">
        <v>6987</v>
      </c>
      <c r="B4971" t="s">
        <v>982</v>
      </c>
      <c r="C4971" t="s">
        <v>2001</v>
      </c>
      <c r="D4971">
        <v>1</v>
      </c>
      <c r="E4971" s="16">
        <v>300.08</v>
      </c>
      <c r="F4971" s="1">
        <v>44224</v>
      </c>
      <c r="G4971" t="s">
        <v>2012</v>
      </c>
      <c r="H4971">
        <v>5</v>
      </c>
      <c r="I4971" s="12">
        <f>Table16[[#This Row],[price]]*Table16[[#This Row],[quantity]]</f>
        <v>300.08</v>
      </c>
    </row>
    <row r="4972" spans="1:9" x14ac:dyDescent="0.3">
      <c r="A4972" t="s">
        <v>6986</v>
      </c>
      <c r="B4972" t="s">
        <v>982</v>
      </c>
      <c r="C4972" t="s">
        <v>2006</v>
      </c>
      <c r="D4972">
        <v>3</v>
      </c>
      <c r="E4972" s="16">
        <v>45.45</v>
      </c>
      <c r="F4972" s="1">
        <v>44284</v>
      </c>
      <c r="G4972" t="s">
        <v>2064</v>
      </c>
      <c r="H4972">
        <v>2</v>
      </c>
      <c r="I4972" s="12">
        <f>Table16[[#This Row],[price]]*Table16[[#This Row],[quantity]]</f>
        <v>136.35000000000002</v>
      </c>
    </row>
    <row r="4973" spans="1:9" x14ac:dyDescent="0.3">
      <c r="A4973" t="s">
        <v>6990</v>
      </c>
      <c r="B4973" t="s">
        <v>982</v>
      </c>
      <c r="C4973" t="s">
        <v>2011</v>
      </c>
      <c r="D4973">
        <v>5</v>
      </c>
      <c r="E4973" s="16">
        <v>203.3</v>
      </c>
      <c r="F4973" s="1">
        <v>44967</v>
      </c>
      <c r="G4973" t="s">
        <v>2009</v>
      </c>
      <c r="H4973">
        <v>4</v>
      </c>
      <c r="I4973" s="12">
        <f>Table16[[#This Row],[price]]*Table16[[#This Row],[quantity]]</f>
        <v>1016.5</v>
      </c>
    </row>
    <row r="4974" spans="1:9" x14ac:dyDescent="0.3">
      <c r="A4974" t="s">
        <v>6989</v>
      </c>
      <c r="B4974" t="s">
        <v>982</v>
      </c>
      <c r="C4974" t="s">
        <v>2008</v>
      </c>
      <c r="D4974">
        <v>1</v>
      </c>
      <c r="E4974" s="16">
        <v>5.23</v>
      </c>
      <c r="F4974" s="1">
        <v>44992</v>
      </c>
      <c r="G4974" t="s">
        <v>2009</v>
      </c>
      <c r="H4974">
        <v>2</v>
      </c>
      <c r="I4974" s="12">
        <f>Table16[[#This Row],[price]]*Table16[[#This Row],[quantity]]</f>
        <v>5.23</v>
      </c>
    </row>
    <row r="4975" spans="1:9" x14ac:dyDescent="0.3">
      <c r="A4975" t="s">
        <v>6991</v>
      </c>
      <c r="B4975" t="s">
        <v>983</v>
      </c>
      <c r="C4975" t="s">
        <v>2001</v>
      </c>
      <c r="D4975">
        <v>2</v>
      </c>
      <c r="E4975" s="16">
        <v>600.16</v>
      </c>
      <c r="F4975" s="1">
        <v>44619</v>
      </c>
      <c r="G4975" t="s">
        <v>2004</v>
      </c>
      <c r="H4975">
        <v>4</v>
      </c>
      <c r="I4975" s="12">
        <f>Table16[[#This Row],[price]]*Table16[[#This Row],[quantity]]</f>
        <v>1200.32</v>
      </c>
    </row>
    <row r="4976" spans="1:9" x14ac:dyDescent="0.3">
      <c r="A4976" t="s">
        <v>6994</v>
      </c>
      <c r="B4976" t="s">
        <v>984</v>
      </c>
      <c r="C4976" t="s">
        <v>2011</v>
      </c>
      <c r="D4976">
        <v>3</v>
      </c>
      <c r="E4976" s="16">
        <v>121.98</v>
      </c>
      <c r="F4976" s="1">
        <v>44489</v>
      </c>
      <c r="G4976" t="s">
        <v>2058</v>
      </c>
      <c r="H4976">
        <v>5</v>
      </c>
      <c r="I4976" s="12">
        <f>Table16[[#This Row],[price]]*Table16[[#This Row],[quantity]]</f>
        <v>365.94</v>
      </c>
    </row>
    <row r="4977" spans="1:9" x14ac:dyDescent="0.3">
      <c r="A4977" t="s">
        <v>6995</v>
      </c>
      <c r="B4977" t="s">
        <v>984</v>
      </c>
      <c r="C4977" t="s">
        <v>2011</v>
      </c>
      <c r="D4977">
        <v>2</v>
      </c>
      <c r="E4977" s="16">
        <v>81.319999999999993</v>
      </c>
      <c r="F4977" s="1">
        <v>44511</v>
      </c>
      <c r="G4977" t="s">
        <v>2020</v>
      </c>
      <c r="H4977">
        <v>1</v>
      </c>
      <c r="I4977" s="12">
        <f>Table16[[#This Row],[price]]*Table16[[#This Row],[quantity]]</f>
        <v>162.63999999999999</v>
      </c>
    </row>
    <row r="4978" spans="1:9" x14ac:dyDescent="0.3">
      <c r="A4978" t="s">
        <v>6993</v>
      </c>
      <c r="B4978" t="s">
        <v>984</v>
      </c>
      <c r="C4978" t="s">
        <v>2001</v>
      </c>
      <c r="D4978">
        <v>5</v>
      </c>
      <c r="E4978" s="16">
        <v>1500.4</v>
      </c>
      <c r="F4978" s="1">
        <v>44723</v>
      </c>
      <c r="G4978" t="s">
        <v>2018</v>
      </c>
      <c r="H4978">
        <v>3</v>
      </c>
      <c r="I4978" s="12">
        <f>Table16[[#This Row],[price]]*Table16[[#This Row],[quantity]]</f>
        <v>7502</v>
      </c>
    </row>
    <row r="4979" spans="1:9" x14ac:dyDescent="0.3">
      <c r="A4979" t="s">
        <v>6992</v>
      </c>
      <c r="B4979" t="s">
        <v>984</v>
      </c>
      <c r="C4979" t="s">
        <v>2015</v>
      </c>
      <c r="D4979">
        <v>2</v>
      </c>
      <c r="E4979" s="16">
        <v>1200.3399999999999</v>
      </c>
      <c r="F4979" s="1">
        <v>44829</v>
      </c>
      <c r="G4979" t="s">
        <v>2009</v>
      </c>
      <c r="H4979">
        <v>2</v>
      </c>
      <c r="I4979" s="12">
        <f>Table16[[#This Row],[price]]*Table16[[#This Row],[quantity]]</f>
        <v>2400.6799999999998</v>
      </c>
    </row>
    <row r="4980" spans="1:9" x14ac:dyDescent="0.3">
      <c r="A4980" t="s">
        <v>6996</v>
      </c>
      <c r="B4980" t="s">
        <v>984</v>
      </c>
      <c r="C4980" t="s">
        <v>2001</v>
      </c>
      <c r="D4980">
        <v>1</v>
      </c>
      <c r="E4980" s="16">
        <v>300.08</v>
      </c>
      <c r="F4980" s="1">
        <v>44851</v>
      </c>
      <c r="G4980" t="s">
        <v>2027</v>
      </c>
      <c r="H4980">
        <v>2</v>
      </c>
      <c r="I4980" s="12">
        <f>Table16[[#This Row],[price]]*Table16[[#This Row],[quantity]]</f>
        <v>300.08</v>
      </c>
    </row>
    <row r="4981" spans="1:9" x14ac:dyDescent="0.3">
      <c r="A4981" t="s">
        <v>6997</v>
      </c>
      <c r="B4981" t="s">
        <v>984</v>
      </c>
      <c r="C4981" t="s">
        <v>2001</v>
      </c>
      <c r="D4981">
        <v>4</v>
      </c>
      <c r="E4981" s="16">
        <v>1200.32</v>
      </c>
      <c r="F4981" s="1">
        <v>44921</v>
      </c>
      <c r="G4981" t="s">
        <v>2027</v>
      </c>
      <c r="H4981">
        <v>5</v>
      </c>
      <c r="I4981" s="12">
        <f>Table16[[#This Row],[price]]*Table16[[#This Row],[quantity]]</f>
        <v>4801.28</v>
      </c>
    </row>
    <row r="4982" spans="1:9" x14ac:dyDescent="0.3">
      <c r="A4982" t="s">
        <v>6998</v>
      </c>
      <c r="B4982" t="s">
        <v>985</v>
      </c>
      <c r="C4982" t="s">
        <v>2001</v>
      </c>
      <c r="D4982">
        <v>1</v>
      </c>
      <c r="E4982" s="16">
        <v>300.08</v>
      </c>
      <c r="F4982" s="1">
        <v>44662</v>
      </c>
      <c r="G4982" t="s">
        <v>2004</v>
      </c>
      <c r="H4982">
        <v>5</v>
      </c>
      <c r="I4982" s="12">
        <f>Table16[[#This Row],[price]]*Table16[[#This Row],[quantity]]</f>
        <v>300.08</v>
      </c>
    </row>
    <row r="4983" spans="1:9" x14ac:dyDescent="0.3">
      <c r="A4983" t="s">
        <v>6999</v>
      </c>
      <c r="B4983" t="s">
        <v>985</v>
      </c>
      <c r="C4983" t="s">
        <v>2015</v>
      </c>
      <c r="D4983">
        <v>5</v>
      </c>
      <c r="E4983" s="16">
        <v>3000.85</v>
      </c>
      <c r="F4983" s="1">
        <v>44763</v>
      </c>
      <c r="G4983" t="s">
        <v>2002</v>
      </c>
      <c r="H4983">
        <v>4</v>
      </c>
      <c r="I4983" s="12">
        <f>Table16[[#This Row],[price]]*Table16[[#This Row],[quantity]]</f>
        <v>15004.25</v>
      </c>
    </row>
    <row r="4984" spans="1:9" x14ac:dyDescent="0.3">
      <c r="A4984" t="s">
        <v>7002</v>
      </c>
      <c r="B4984" t="s">
        <v>986</v>
      </c>
      <c r="C4984" t="s">
        <v>2001</v>
      </c>
      <c r="D4984">
        <v>5</v>
      </c>
      <c r="E4984" s="16">
        <v>1500.4</v>
      </c>
      <c r="F4984" s="1">
        <v>44641</v>
      </c>
      <c r="G4984" t="s">
        <v>2002</v>
      </c>
      <c r="H4984">
        <v>5</v>
      </c>
      <c r="I4984" s="12">
        <f>Table16[[#This Row],[price]]*Table16[[#This Row],[quantity]]</f>
        <v>7502</v>
      </c>
    </row>
    <row r="4985" spans="1:9" x14ac:dyDescent="0.3">
      <c r="A4985" t="s">
        <v>7003</v>
      </c>
      <c r="B4985" t="s">
        <v>986</v>
      </c>
      <c r="C4985" t="s">
        <v>2001</v>
      </c>
      <c r="D4985">
        <v>4</v>
      </c>
      <c r="E4985" s="16">
        <v>1200.32</v>
      </c>
      <c r="F4985" s="1">
        <v>44757</v>
      </c>
      <c r="G4985" t="s">
        <v>2020</v>
      </c>
      <c r="H4985">
        <v>2</v>
      </c>
      <c r="I4985" s="12">
        <f>Table16[[#This Row],[price]]*Table16[[#This Row],[quantity]]</f>
        <v>4801.28</v>
      </c>
    </row>
    <row r="4986" spans="1:9" x14ac:dyDescent="0.3">
      <c r="A4986" t="s">
        <v>7004</v>
      </c>
      <c r="B4986" t="s">
        <v>986</v>
      </c>
      <c r="C4986" t="s">
        <v>2015</v>
      </c>
      <c r="D4986">
        <v>5</v>
      </c>
      <c r="E4986" s="16">
        <v>3000.85</v>
      </c>
      <c r="F4986" s="1">
        <v>44809</v>
      </c>
      <c r="G4986" t="s">
        <v>2020</v>
      </c>
      <c r="H4986">
        <v>3</v>
      </c>
      <c r="I4986" s="12">
        <f>Table16[[#This Row],[price]]*Table16[[#This Row],[quantity]]</f>
        <v>15004.25</v>
      </c>
    </row>
    <row r="4987" spans="1:9" x14ac:dyDescent="0.3">
      <c r="A4987" t="s">
        <v>7000</v>
      </c>
      <c r="B4987" t="s">
        <v>986</v>
      </c>
      <c r="C4987" t="s">
        <v>2017</v>
      </c>
      <c r="D4987">
        <v>4</v>
      </c>
      <c r="E4987" s="16">
        <v>4200</v>
      </c>
      <c r="F4987" s="1">
        <v>44835</v>
      </c>
      <c r="G4987" t="s">
        <v>2027</v>
      </c>
      <c r="H4987">
        <v>1</v>
      </c>
      <c r="I4987" s="12">
        <f>Table16[[#This Row],[price]]*Table16[[#This Row],[quantity]]</f>
        <v>16800</v>
      </c>
    </row>
    <row r="4988" spans="1:9" x14ac:dyDescent="0.3">
      <c r="A4988" t="s">
        <v>7001</v>
      </c>
      <c r="B4988" t="s">
        <v>986</v>
      </c>
      <c r="C4988" t="s">
        <v>2057</v>
      </c>
      <c r="D4988">
        <v>3</v>
      </c>
      <c r="E4988" s="16">
        <v>35.19</v>
      </c>
      <c r="F4988" s="1">
        <v>44908</v>
      </c>
      <c r="G4988" t="s">
        <v>2002</v>
      </c>
      <c r="H4988">
        <v>2</v>
      </c>
      <c r="I4988" s="12">
        <f>Table16[[#This Row],[price]]*Table16[[#This Row],[quantity]]</f>
        <v>105.57</v>
      </c>
    </row>
    <row r="4989" spans="1:9" x14ac:dyDescent="0.3">
      <c r="A4989" t="s">
        <v>7007</v>
      </c>
      <c r="B4989" t="s">
        <v>987</v>
      </c>
      <c r="C4989" t="s">
        <v>2011</v>
      </c>
      <c r="D4989">
        <v>2</v>
      </c>
      <c r="E4989" s="16">
        <v>81.319999999999993</v>
      </c>
      <c r="F4989" s="1">
        <v>44383</v>
      </c>
      <c r="G4989" t="s">
        <v>2020</v>
      </c>
      <c r="H4989">
        <v>5</v>
      </c>
      <c r="I4989" s="12">
        <f>Table16[[#This Row],[price]]*Table16[[#This Row],[quantity]]</f>
        <v>162.63999999999999</v>
      </c>
    </row>
    <row r="4990" spans="1:9" x14ac:dyDescent="0.3">
      <c r="A4990" t="s">
        <v>7008</v>
      </c>
      <c r="B4990" t="s">
        <v>987</v>
      </c>
      <c r="C4990" t="s">
        <v>2008</v>
      </c>
      <c r="D4990">
        <v>2</v>
      </c>
      <c r="E4990" s="16">
        <v>10.46</v>
      </c>
      <c r="F4990" s="1">
        <v>44499</v>
      </c>
      <c r="G4990" t="s">
        <v>2018</v>
      </c>
      <c r="H4990">
        <v>4</v>
      </c>
      <c r="I4990" s="12">
        <f>Table16[[#This Row],[price]]*Table16[[#This Row],[quantity]]</f>
        <v>20.92</v>
      </c>
    </row>
    <row r="4991" spans="1:9" x14ac:dyDescent="0.3">
      <c r="A4991" t="s">
        <v>7005</v>
      </c>
      <c r="B4991" t="s">
        <v>987</v>
      </c>
      <c r="C4991" t="s">
        <v>2017</v>
      </c>
      <c r="D4991">
        <v>2</v>
      </c>
      <c r="E4991" s="16">
        <v>2100</v>
      </c>
      <c r="F4991" s="1">
        <v>44681</v>
      </c>
      <c r="G4991" t="s">
        <v>2004</v>
      </c>
      <c r="H4991">
        <v>3</v>
      </c>
      <c r="I4991" s="12">
        <f>Table16[[#This Row],[price]]*Table16[[#This Row],[quantity]]</f>
        <v>4200</v>
      </c>
    </row>
    <row r="4992" spans="1:9" x14ac:dyDescent="0.3">
      <c r="A4992" t="s">
        <v>7006</v>
      </c>
      <c r="B4992" t="s">
        <v>987</v>
      </c>
      <c r="C4992" t="s">
        <v>2024</v>
      </c>
      <c r="D4992">
        <v>2</v>
      </c>
      <c r="E4992" s="16">
        <v>71.680000000000007</v>
      </c>
      <c r="F4992" s="1">
        <v>44847</v>
      </c>
      <c r="G4992" t="s">
        <v>2002</v>
      </c>
      <c r="H4992">
        <v>2</v>
      </c>
      <c r="I4992" s="12">
        <f>Table16[[#This Row],[price]]*Table16[[#This Row],[quantity]]</f>
        <v>143.36000000000001</v>
      </c>
    </row>
    <row r="4993" spans="1:9" x14ac:dyDescent="0.3">
      <c r="A4993" t="s">
        <v>7010</v>
      </c>
      <c r="B4993" t="s">
        <v>988</v>
      </c>
      <c r="C4993" t="s">
        <v>2015</v>
      </c>
      <c r="D4993">
        <v>5</v>
      </c>
      <c r="E4993" s="16">
        <v>3000.85</v>
      </c>
      <c r="F4993" s="1">
        <v>44494</v>
      </c>
      <c r="G4993" t="s">
        <v>2004</v>
      </c>
      <c r="H4993">
        <v>2</v>
      </c>
      <c r="I4993" s="12">
        <f>Table16[[#This Row],[price]]*Table16[[#This Row],[quantity]]</f>
        <v>15004.25</v>
      </c>
    </row>
    <row r="4994" spans="1:9" x14ac:dyDescent="0.3">
      <c r="A4994" t="s">
        <v>7009</v>
      </c>
      <c r="B4994" t="s">
        <v>988</v>
      </c>
      <c r="C4994" t="s">
        <v>2017</v>
      </c>
      <c r="D4994">
        <v>3</v>
      </c>
      <c r="E4994" s="16">
        <v>3150</v>
      </c>
      <c r="F4994" s="1">
        <v>44568</v>
      </c>
      <c r="G4994" t="s">
        <v>2002</v>
      </c>
      <c r="H4994">
        <v>3</v>
      </c>
      <c r="I4994" s="12">
        <f>Table16[[#This Row],[price]]*Table16[[#This Row],[quantity]]</f>
        <v>9450</v>
      </c>
    </row>
    <row r="4995" spans="1:9" x14ac:dyDescent="0.3">
      <c r="A4995" t="s">
        <v>7011</v>
      </c>
      <c r="B4995" t="s">
        <v>988</v>
      </c>
      <c r="C4995" t="s">
        <v>2015</v>
      </c>
      <c r="D4995">
        <v>4</v>
      </c>
      <c r="E4995" s="16">
        <v>2400.6799999999998</v>
      </c>
      <c r="F4995" s="1">
        <v>44960</v>
      </c>
      <c r="G4995" t="s">
        <v>2027</v>
      </c>
      <c r="H4995">
        <v>4</v>
      </c>
      <c r="I4995" s="12">
        <f>Table16[[#This Row],[price]]*Table16[[#This Row],[quantity]]</f>
        <v>9602.7199999999993</v>
      </c>
    </row>
    <row r="4996" spans="1:9" x14ac:dyDescent="0.3">
      <c r="A4996" t="s">
        <v>7012</v>
      </c>
      <c r="B4996" t="s">
        <v>989</v>
      </c>
      <c r="C4996" t="s">
        <v>2001</v>
      </c>
      <c r="D4996">
        <v>5</v>
      </c>
      <c r="E4996" s="16">
        <v>1500.4</v>
      </c>
      <c r="F4996" s="1">
        <v>44533</v>
      </c>
      <c r="G4996" t="s">
        <v>2041</v>
      </c>
      <c r="H4996">
        <v>2</v>
      </c>
      <c r="I4996" s="12">
        <f>Table16[[#This Row],[price]]*Table16[[#This Row],[quantity]]</f>
        <v>7502</v>
      </c>
    </row>
    <row r="4997" spans="1:9" x14ac:dyDescent="0.3">
      <c r="A4997" t="s">
        <v>7015</v>
      </c>
      <c r="B4997" t="s">
        <v>989</v>
      </c>
      <c r="C4997" t="s">
        <v>2011</v>
      </c>
      <c r="D4997">
        <v>5</v>
      </c>
      <c r="E4997" s="16">
        <v>203.3</v>
      </c>
      <c r="F4997" s="1">
        <v>44554</v>
      </c>
      <c r="G4997" t="s">
        <v>2027</v>
      </c>
      <c r="H4997">
        <v>1</v>
      </c>
      <c r="I4997" s="12">
        <f>Table16[[#This Row],[price]]*Table16[[#This Row],[quantity]]</f>
        <v>1016.5</v>
      </c>
    </row>
    <row r="4998" spans="1:9" x14ac:dyDescent="0.3">
      <c r="A4998" t="s">
        <v>7014</v>
      </c>
      <c r="B4998" t="s">
        <v>989</v>
      </c>
      <c r="C4998" t="s">
        <v>2008</v>
      </c>
      <c r="D4998">
        <v>3</v>
      </c>
      <c r="E4998" s="16">
        <v>15.69</v>
      </c>
      <c r="F4998" s="1">
        <v>44745</v>
      </c>
      <c r="G4998" t="s">
        <v>2020</v>
      </c>
      <c r="H4998">
        <v>4</v>
      </c>
      <c r="I4998" s="12">
        <f>Table16[[#This Row],[price]]*Table16[[#This Row],[quantity]]</f>
        <v>47.07</v>
      </c>
    </row>
    <row r="4999" spans="1:9" x14ac:dyDescent="0.3">
      <c r="A4999" t="s">
        <v>7013</v>
      </c>
      <c r="B4999" t="s">
        <v>989</v>
      </c>
      <c r="C4999" t="s">
        <v>2011</v>
      </c>
      <c r="D4999">
        <v>1</v>
      </c>
      <c r="E4999" s="16">
        <v>40.659999999999997</v>
      </c>
      <c r="F4999" s="1">
        <v>44889</v>
      </c>
      <c r="G4999" t="s">
        <v>2002</v>
      </c>
      <c r="H4999">
        <v>5</v>
      </c>
      <c r="I4999" s="12">
        <f>Table16[[#This Row],[price]]*Table16[[#This Row],[quantity]]</f>
        <v>40.659999999999997</v>
      </c>
    </row>
    <row r="5000" spans="1:9" x14ac:dyDescent="0.3">
      <c r="A5000" t="s">
        <v>7018</v>
      </c>
      <c r="B5000" t="s">
        <v>990</v>
      </c>
      <c r="C5000" t="s">
        <v>2011</v>
      </c>
      <c r="D5000">
        <v>4</v>
      </c>
      <c r="E5000" s="16">
        <v>162.63999999999999</v>
      </c>
      <c r="F5000" s="1">
        <v>44536</v>
      </c>
      <c r="G5000" t="s">
        <v>2020</v>
      </c>
      <c r="H5000">
        <v>3</v>
      </c>
      <c r="I5000" s="12">
        <f>Table16[[#This Row],[price]]*Table16[[#This Row],[quantity]]</f>
        <v>650.55999999999995</v>
      </c>
    </row>
    <row r="5001" spans="1:9" x14ac:dyDescent="0.3">
      <c r="A5001" t="s">
        <v>7016</v>
      </c>
      <c r="B5001" t="s">
        <v>990</v>
      </c>
      <c r="C5001" t="s">
        <v>2001</v>
      </c>
      <c r="D5001">
        <v>1</v>
      </c>
      <c r="E5001" s="16">
        <v>300.08</v>
      </c>
      <c r="F5001" s="1">
        <v>44614</v>
      </c>
      <c r="G5001" t="s">
        <v>2009</v>
      </c>
      <c r="H5001">
        <v>5</v>
      </c>
      <c r="I5001" s="12">
        <f>Table16[[#This Row],[price]]*Table16[[#This Row],[quantity]]</f>
        <v>300.08</v>
      </c>
    </row>
    <row r="5002" spans="1:9" x14ac:dyDescent="0.3">
      <c r="A5002" t="s">
        <v>7019</v>
      </c>
      <c r="B5002" t="s">
        <v>990</v>
      </c>
      <c r="C5002" t="s">
        <v>2006</v>
      </c>
      <c r="D5002">
        <v>2</v>
      </c>
      <c r="E5002" s="16">
        <v>30.3</v>
      </c>
      <c r="F5002" s="1">
        <v>44846</v>
      </c>
      <c r="G5002" t="s">
        <v>2004</v>
      </c>
      <c r="H5002">
        <v>2</v>
      </c>
      <c r="I5002" s="12">
        <f>Table16[[#This Row],[price]]*Table16[[#This Row],[quantity]]</f>
        <v>60.6</v>
      </c>
    </row>
    <row r="5003" spans="1:9" x14ac:dyDescent="0.3">
      <c r="A5003" t="s">
        <v>7017</v>
      </c>
      <c r="B5003" t="s">
        <v>990</v>
      </c>
      <c r="C5003" t="s">
        <v>2001</v>
      </c>
      <c r="D5003">
        <v>4</v>
      </c>
      <c r="E5003" s="16">
        <v>1200.32</v>
      </c>
      <c r="F5003" s="1">
        <v>44980</v>
      </c>
      <c r="G5003" t="s">
        <v>2002</v>
      </c>
      <c r="H5003">
        <v>2</v>
      </c>
      <c r="I5003" s="12">
        <f>Table16[[#This Row],[price]]*Table16[[#This Row],[quantity]]</f>
        <v>4801.28</v>
      </c>
    </row>
    <row r="5004" spans="1:9" x14ac:dyDescent="0.3">
      <c r="A5004" t="s">
        <v>7021</v>
      </c>
      <c r="B5004" t="s">
        <v>991</v>
      </c>
      <c r="C5004" t="s">
        <v>2024</v>
      </c>
      <c r="D5004">
        <v>3</v>
      </c>
      <c r="E5004" s="16">
        <v>107.52</v>
      </c>
      <c r="F5004" s="1">
        <v>44384</v>
      </c>
      <c r="G5004" t="s">
        <v>2002</v>
      </c>
      <c r="H5004">
        <v>1</v>
      </c>
      <c r="I5004" s="12">
        <f>Table16[[#This Row],[price]]*Table16[[#This Row],[quantity]]</f>
        <v>322.56</v>
      </c>
    </row>
    <row r="5005" spans="1:9" x14ac:dyDescent="0.3">
      <c r="A5005" t="s">
        <v>7020</v>
      </c>
      <c r="B5005" t="s">
        <v>991</v>
      </c>
      <c r="C5005" t="s">
        <v>2017</v>
      </c>
      <c r="D5005">
        <v>1</v>
      </c>
      <c r="E5005" s="16">
        <v>1050</v>
      </c>
      <c r="F5005" s="1">
        <v>44451</v>
      </c>
      <c r="G5005" t="s">
        <v>2002</v>
      </c>
      <c r="H5005">
        <v>1</v>
      </c>
      <c r="I5005" s="12">
        <f>Table16[[#This Row],[price]]*Table16[[#This Row],[quantity]]</f>
        <v>1050</v>
      </c>
    </row>
    <row r="5006" spans="1:9" x14ac:dyDescent="0.3">
      <c r="A5006" t="s">
        <v>7023</v>
      </c>
      <c r="B5006" t="s">
        <v>992</v>
      </c>
      <c r="C5006" t="s">
        <v>2001</v>
      </c>
      <c r="D5006">
        <v>2</v>
      </c>
      <c r="E5006" s="16">
        <v>600.16</v>
      </c>
      <c r="F5006" s="1">
        <v>44239</v>
      </c>
      <c r="G5006" t="s">
        <v>2002</v>
      </c>
      <c r="H5006">
        <v>4</v>
      </c>
      <c r="I5006" s="12">
        <f>Table16[[#This Row],[price]]*Table16[[#This Row],[quantity]]</f>
        <v>1200.32</v>
      </c>
    </row>
    <row r="5007" spans="1:9" x14ac:dyDescent="0.3">
      <c r="A5007" t="s">
        <v>7022</v>
      </c>
      <c r="B5007" t="s">
        <v>992</v>
      </c>
      <c r="C5007" t="s">
        <v>2001</v>
      </c>
      <c r="D5007">
        <v>4</v>
      </c>
      <c r="E5007" s="16">
        <v>1200.32</v>
      </c>
      <c r="F5007" s="1">
        <v>44830</v>
      </c>
      <c r="G5007" t="s">
        <v>2004</v>
      </c>
      <c r="H5007">
        <v>4</v>
      </c>
      <c r="I5007" s="12">
        <f>Table16[[#This Row],[price]]*Table16[[#This Row],[quantity]]</f>
        <v>4801.28</v>
      </c>
    </row>
    <row r="5008" spans="1:9" x14ac:dyDescent="0.3">
      <c r="A5008" t="s">
        <v>7025</v>
      </c>
      <c r="B5008" t="s">
        <v>993</v>
      </c>
      <c r="C5008" t="s">
        <v>2015</v>
      </c>
      <c r="D5008">
        <v>5</v>
      </c>
      <c r="E5008" s="16">
        <v>3000.85</v>
      </c>
      <c r="F5008" s="1">
        <v>44222</v>
      </c>
      <c r="G5008" t="s">
        <v>2012</v>
      </c>
      <c r="H5008">
        <v>2</v>
      </c>
      <c r="I5008" s="12">
        <f>Table16[[#This Row],[price]]*Table16[[#This Row],[quantity]]</f>
        <v>15004.25</v>
      </c>
    </row>
    <row r="5009" spans="1:9" x14ac:dyDescent="0.3">
      <c r="A5009" t="s">
        <v>7028</v>
      </c>
      <c r="B5009" t="s">
        <v>993</v>
      </c>
      <c r="C5009" t="s">
        <v>2017</v>
      </c>
      <c r="D5009">
        <v>2</v>
      </c>
      <c r="E5009" s="16">
        <v>2100</v>
      </c>
      <c r="F5009" s="1">
        <v>44436</v>
      </c>
      <c r="G5009" t="s">
        <v>2009</v>
      </c>
      <c r="H5009">
        <v>1</v>
      </c>
      <c r="I5009" s="12">
        <f>Table16[[#This Row],[price]]*Table16[[#This Row],[quantity]]</f>
        <v>4200</v>
      </c>
    </row>
    <row r="5010" spans="1:9" x14ac:dyDescent="0.3">
      <c r="A5010" t="s">
        <v>7027</v>
      </c>
      <c r="B5010" t="s">
        <v>993</v>
      </c>
      <c r="C5010" t="s">
        <v>2001</v>
      </c>
      <c r="D5010">
        <v>1</v>
      </c>
      <c r="E5010" s="16">
        <v>300.08</v>
      </c>
      <c r="F5010" s="1">
        <v>44695</v>
      </c>
      <c r="G5010" t="s">
        <v>2027</v>
      </c>
      <c r="H5010">
        <v>1</v>
      </c>
      <c r="I5010" s="12">
        <f>Table16[[#This Row],[price]]*Table16[[#This Row],[quantity]]</f>
        <v>300.08</v>
      </c>
    </row>
    <row r="5011" spans="1:9" x14ac:dyDescent="0.3">
      <c r="A5011" t="s">
        <v>7024</v>
      </c>
      <c r="B5011" t="s">
        <v>993</v>
      </c>
      <c r="C5011" t="s">
        <v>2011</v>
      </c>
      <c r="D5011">
        <v>3</v>
      </c>
      <c r="E5011" s="16">
        <v>121.98</v>
      </c>
      <c r="F5011" s="1">
        <v>44783</v>
      </c>
      <c r="G5011" t="s">
        <v>2002</v>
      </c>
      <c r="H5011">
        <v>2</v>
      </c>
      <c r="I5011" s="12">
        <f>Table16[[#This Row],[price]]*Table16[[#This Row],[quantity]]</f>
        <v>365.94</v>
      </c>
    </row>
    <row r="5012" spans="1:9" x14ac:dyDescent="0.3">
      <c r="A5012" t="s">
        <v>7026</v>
      </c>
      <c r="B5012" t="s">
        <v>993</v>
      </c>
      <c r="C5012" t="s">
        <v>2001</v>
      </c>
      <c r="D5012">
        <v>5</v>
      </c>
      <c r="E5012" s="16">
        <v>1500.4</v>
      </c>
      <c r="F5012" s="1">
        <v>44972</v>
      </c>
      <c r="G5012" t="s">
        <v>2002</v>
      </c>
      <c r="H5012">
        <v>1</v>
      </c>
      <c r="I5012" s="12">
        <f>Table16[[#This Row],[price]]*Table16[[#This Row],[quantity]]</f>
        <v>7502</v>
      </c>
    </row>
    <row r="5013" spans="1:9" x14ac:dyDescent="0.3">
      <c r="A5013" t="s">
        <v>7029</v>
      </c>
      <c r="B5013" t="s">
        <v>994</v>
      </c>
      <c r="C5013" t="s">
        <v>2001</v>
      </c>
      <c r="D5013">
        <v>5</v>
      </c>
      <c r="E5013" s="16">
        <v>1500.4</v>
      </c>
      <c r="F5013" s="1">
        <v>44309</v>
      </c>
      <c r="G5013" t="s">
        <v>2004</v>
      </c>
      <c r="H5013">
        <v>2</v>
      </c>
      <c r="I5013" s="12">
        <f>Table16[[#This Row],[price]]*Table16[[#This Row],[quantity]]</f>
        <v>7502</v>
      </c>
    </row>
    <row r="5014" spans="1:9" x14ac:dyDescent="0.3">
      <c r="A5014" t="s">
        <v>7030</v>
      </c>
      <c r="B5014" t="s">
        <v>994</v>
      </c>
      <c r="C5014" t="s">
        <v>2001</v>
      </c>
      <c r="D5014">
        <v>3</v>
      </c>
      <c r="E5014" s="16">
        <v>900.24</v>
      </c>
      <c r="F5014" s="1">
        <v>44794</v>
      </c>
      <c r="G5014" t="s">
        <v>2027</v>
      </c>
      <c r="H5014">
        <v>2</v>
      </c>
      <c r="I5014" s="12">
        <f>Table16[[#This Row],[price]]*Table16[[#This Row],[quantity]]</f>
        <v>2700.7200000000003</v>
      </c>
    </row>
    <row r="5015" spans="1:9" x14ac:dyDescent="0.3">
      <c r="A5015" t="s">
        <v>7031</v>
      </c>
      <c r="B5015" t="s">
        <v>994</v>
      </c>
      <c r="C5015" t="s">
        <v>2008</v>
      </c>
      <c r="D5015">
        <v>3</v>
      </c>
      <c r="E5015" s="16">
        <v>15.69</v>
      </c>
      <c r="F5015" s="1">
        <v>44880</v>
      </c>
      <c r="G5015" t="s">
        <v>2004</v>
      </c>
      <c r="H5015">
        <v>5</v>
      </c>
      <c r="I5015" s="12">
        <f>Table16[[#This Row],[price]]*Table16[[#This Row],[quantity]]</f>
        <v>47.07</v>
      </c>
    </row>
    <row r="5016" spans="1:9" x14ac:dyDescent="0.3">
      <c r="A5016" t="s">
        <v>7035</v>
      </c>
      <c r="B5016" t="s">
        <v>995</v>
      </c>
      <c r="C5016" t="s">
        <v>2001</v>
      </c>
      <c r="D5016">
        <v>3</v>
      </c>
      <c r="E5016" s="16">
        <v>900.24</v>
      </c>
      <c r="F5016" s="1">
        <v>44222</v>
      </c>
      <c r="G5016" t="s">
        <v>2058</v>
      </c>
      <c r="H5016">
        <v>5</v>
      </c>
      <c r="I5016" s="12">
        <f>Table16[[#This Row],[price]]*Table16[[#This Row],[quantity]]</f>
        <v>2700.7200000000003</v>
      </c>
    </row>
    <row r="5017" spans="1:9" x14ac:dyDescent="0.3">
      <c r="A5017" t="s">
        <v>7038</v>
      </c>
      <c r="B5017" t="s">
        <v>995</v>
      </c>
      <c r="C5017" t="s">
        <v>2008</v>
      </c>
      <c r="D5017">
        <v>1</v>
      </c>
      <c r="E5017" s="16">
        <v>5.23</v>
      </c>
      <c r="F5017" s="1">
        <v>44245</v>
      </c>
      <c r="G5017" t="s">
        <v>2018</v>
      </c>
      <c r="H5017">
        <v>5</v>
      </c>
      <c r="I5017" s="12">
        <f>Table16[[#This Row],[price]]*Table16[[#This Row],[quantity]]</f>
        <v>5.23</v>
      </c>
    </row>
    <row r="5018" spans="1:9" x14ac:dyDescent="0.3">
      <c r="A5018" t="s">
        <v>7033</v>
      </c>
      <c r="B5018" t="s">
        <v>995</v>
      </c>
      <c r="C5018" t="s">
        <v>2015</v>
      </c>
      <c r="D5018">
        <v>5</v>
      </c>
      <c r="E5018" s="16">
        <v>3000.85</v>
      </c>
      <c r="F5018" s="1">
        <v>44388</v>
      </c>
      <c r="G5018" t="s">
        <v>2064</v>
      </c>
      <c r="H5018">
        <v>5</v>
      </c>
      <c r="I5018" s="12">
        <f>Table16[[#This Row],[price]]*Table16[[#This Row],[quantity]]</f>
        <v>15004.25</v>
      </c>
    </row>
    <row r="5019" spans="1:9" x14ac:dyDescent="0.3">
      <c r="A5019" t="s">
        <v>7034</v>
      </c>
      <c r="B5019" t="s">
        <v>995</v>
      </c>
      <c r="C5019" t="s">
        <v>2001</v>
      </c>
      <c r="D5019">
        <v>2</v>
      </c>
      <c r="E5019" s="16">
        <v>600.16</v>
      </c>
      <c r="F5019" s="1">
        <v>44540</v>
      </c>
      <c r="G5019" t="s">
        <v>2064</v>
      </c>
      <c r="H5019">
        <v>5</v>
      </c>
      <c r="I5019" s="12">
        <f>Table16[[#This Row],[price]]*Table16[[#This Row],[quantity]]</f>
        <v>1200.32</v>
      </c>
    </row>
    <row r="5020" spans="1:9" x14ac:dyDescent="0.3">
      <c r="A5020" t="s">
        <v>7036</v>
      </c>
      <c r="B5020" t="s">
        <v>995</v>
      </c>
      <c r="C5020" t="s">
        <v>2011</v>
      </c>
      <c r="D5020">
        <v>4</v>
      </c>
      <c r="E5020" s="16">
        <v>162.63999999999999</v>
      </c>
      <c r="F5020" s="1">
        <v>44630</v>
      </c>
      <c r="G5020" t="s">
        <v>2004</v>
      </c>
      <c r="H5020">
        <v>1</v>
      </c>
      <c r="I5020" s="12">
        <f>Table16[[#This Row],[price]]*Table16[[#This Row],[quantity]]</f>
        <v>650.55999999999995</v>
      </c>
    </row>
    <row r="5021" spans="1:9" x14ac:dyDescent="0.3">
      <c r="A5021" t="s">
        <v>7037</v>
      </c>
      <c r="B5021" t="s">
        <v>995</v>
      </c>
      <c r="C5021" t="s">
        <v>2024</v>
      </c>
      <c r="D5021">
        <v>3</v>
      </c>
      <c r="E5021" s="16">
        <v>107.52</v>
      </c>
      <c r="F5021" s="1">
        <v>44711</v>
      </c>
      <c r="G5021" t="s">
        <v>2002</v>
      </c>
      <c r="H5021">
        <v>1</v>
      </c>
      <c r="I5021" s="12">
        <f>Table16[[#This Row],[price]]*Table16[[#This Row],[quantity]]</f>
        <v>322.56</v>
      </c>
    </row>
    <row r="5022" spans="1:9" x14ac:dyDescent="0.3">
      <c r="A5022" t="s">
        <v>7032</v>
      </c>
      <c r="B5022" t="s">
        <v>995</v>
      </c>
      <c r="C5022" t="s">
        <v>2001</v>
      </c>
      <c r="D5022">
        <v>4</v>
      </c>
      <c r="E5022" s="16">
        <v>1200.32</v>
      </c>
      <c r="F5022" s="1">
        <v>44768</v>
      </c>
      <c r="G5022" t="s">
        <v>2002</v>
      </c>
      <c r="H5022">
        <v>1</v>
      </c>
      <c r="I5022" s="12">
        <f>Table16[[#This Row],[price]]*Table16[[#This Row],[quantity]]</f>
        <v>4801.28</v>
      </c>
    </row>
    <row r="5023" spans="1:9" x14ac:dyDescent="0.3">
      <c r="A5023" t="s">
        <v>7041</v>
      </c>
      <c r="B5023" t="s">
        <v>996</v>
      </c>
      <c r="C5023" t="s">
        <v>2011</v>
      </c>
      <c r="D5023">
        <v>1</v>
      </c>
      <c r="E5023" s="16">
        <v>40.659999999999997</v>
      </c>
      <c r="F5023" s="1">
        <v>44233</v>
      </c>
      <c r="G5023" t="s">
        <v>2012</v>
      </c>
      <c r="H5023">
        <v>5</v>
      </c>
      <c r="I5023" s="12">
        <f>Table16[[#This Row],[price]]*Table16[[#This Row],[quantity]]</f>
        <v>40.659999999999997</v>
      </c>
    </row>
    <row r="5024" spans="1:9" x14ac:dyDescent="0.3">
      <c r="A5024" t="s">
        <v>7039</v>
      </c>
      <c r="B5024" t="s">
        <v>996</v>
      </c>
      <c r="C5024" t="s">
        <v>2008</v>
      </c>
      <c r="D5024">
        <v>1</v>
      </c>
      <c r="E5024" s="16">
        <v>5.23</v>
      </c>
      <c r="F5024" s="1">
        <v>44787</v>
      </c>
      <c r="G5024" t="s">
        <v>2064</v>
      </c>
      <c r="H5024">
        <v>3</v>
      </c>
      <c r="I5024" s="12">
        <f>Table16[[#This Row],[price]]*Table16[[#This Row],[quantity]]</f>
        <v>5.23</v>
      </c>
    </row>
    <row r="5025" spans="1:9" x14ac:dyDescent="0.3">
      <c r="A5025" t="s">
        <v>7040</v>
      </c>
      <c r="B5025" t="s">
        <v>996</v>
      </c>
      <c r="C5025" t="s">
        <v>2001</v>
      </c>
      <c r="D5025">
        <v>3</v>
      </c>
      <c r="E5025" s="16">
        <v>900.24</v>
      </c>
      <c r="F5025" s="1">
        <v>44847</v>
      </c>
      <c r="G5025" t="s">
        <v>2018</v>
      </c>
      <c r="H5025">
        <v>2</v>
      </c>
      <c r="I5025" s="12">
        <f>Table16[[#This Row],[price]]*Table16[[#This Row],[quantity]]</f>
        <v>2700.7200000000003</v>
      </c>
    </row>
    <row r="5026" spans="1:9" x14ac:dyDescent="0.3">
      <c r="A5026" t="s">
        <v>7043</v>
      </c>
      <c r="B5026" t="s">
        <v>997</v>
      </c>
      <c r="C5026" t="s">
        <v>2001</v>
      </c>
      <c r="D5026">
        <v>2</v>
      </c>
      <c r="E5026" s="16">
        <v>600.16</v>
      </c>
      <c r="F5026" s="1">
        <v>44203</v>
      </c>
      <c r="G5026" t="s">
        <v>2027</v>
      </c>
      <c r="H5026">
        <v>5</v>
      </c>
      <c r="I5026" s="12">
        <f>Table16[[#This Row],[price]]*Table16[[#This Row],[quantity]]</f>
        <v>1200.32</v>
      </c>
    </row>
    <row r="5027" spans="1:9" x14ac:dyDescent="0.3">
      <c r="A5027" t="s">
        <v>7045</v>
      </c>
      <c r="B5027" t="s">
        <v>997</v>
      </c>
      <c r="C5027" t="s">
        <v>2001</v>
      </c>
      <c r="D5027">
        <v>4</v>
      </c>
      <c r="E5027" s="16">
        <v>1200.32</v>
      </c>
      <c r="F5027" s="1">
        <v>44382</v>
      </c>
      <c r="G5027" t="s">
        <v>2002</v>
      </c>
      <c r="H5027">
        <v>5</v>
      </c>
      <c r="I5027" s="12">
        <f>Table16[[#This Row],[price]]*Table16[[#This Row],[quantity]]</f>
        <v>4801.28</v>
      </c>
    </row>
    <row r="5028" spans="1:9" x14ac:dyDescent="0.3">
      <c r="A5028" t="s">
        <v>7044</v>
      </c>
      <c r="B5028" t="s">
        <v>997</v>
      </c>
      <c r="C5028" t="s">
        <v>2001</v>
      </c>
      <c r="D5028">
        <v>1</v>
      </c>
      <c r="E5028" s="16">
        <v>300.08</v>
      </c>
      <c r="F5028" s="1">
        <v>44522</v>
      </c>
      <c r="G5028" t="s">
        <v>2002</v>
      </c>
      <c r="H5028">
        <v>1</v>
      </c>
      <c r="I5028" s="12">
        <f>Table16[[#This Row],[price]]*Table16[[#This Row],[quantity]]</f>
        <v>300.08</v>
      </c>
    </row>
    <row r="5029" spans="1:9" x14ac:dyDescent="0.3">
      <c r="A5029" t="s">
        <v>7042</v>
      </c>
      <c r="B5029" t="s">
        <v>997</v>
      </c>
      <c r="C5029" t="s">
        <v>2008</v>
      </c>
      <c r="D5029">
        <v>1</v>
      </c>
      <c r="E5029" s="16">
        <v>5.23</v>
      </c>
      <c r="F5029" s="1">
        <v>44869</v>
      </c>
      <c r="G5029" t="s">
        <v>2004</v>
      </c>
      <c r="H5029">
        <v>2</v>
      </c>
      <c r="I5029" s="12">
        <f>Table16[[#This Row],[price]]*Table16[[#This Row],[quantity]]</f>
        <v>5.23</v>
      </c>
    </row>
    <row r="5030" spans="1:9" x14ac:dyDescent="0.3">
      <c r="A5030" t="s">
        <v>7049</v>
      </c>
      <c r="B5030" t="s">
        <v>998</v>
      </c>
      <c r="C5030" t="s">
        <v>2001</v>
      </c>
      <c r="D5030">
        <v>4</v>
      </c>
      <c r="E5030" s="16">
        <v>1200.32</v>
      </c>
      <c r="F5030" s="1">
        <v>44461</v>
      </c>
      <c r="G5030" t="s">
        <v>2004</v>
      </c>
      <c r="H5030">
        <v>4</v>
      </c>
      <c r="I5030" s="12">
        <f>Table16[[#This Row],[price]]*Table16[[#This Row],[quantity]]</f>
        <v>4801.28</v>
      </c>
    </row>
    <row r="5031" spans="1:9" x14ac:dyDescent="0.3">
      <c r="A5031" t="s">
        <v>7047</v>
      </c>
      <c r="B5031" t="s">
        <v>998</v>
      </c>
      <c r="C5031" t="s">
        <v>2008</v>
      </c>
      <c r="D5031">
        <v>5</v>
      </c>
      <c r="E5031" s="16">
        <v>26.15</v>
      </c>
      <c r="F5031" s="1">
        <v>44645</v>
      </c>
      <c r="G5031" t="s">
        <v>2004</v>
      </c>
      <c r="H5031">
        <v>2</v>
      </c>
      <c r="I5031" s="12">
        <f>Table16[[#This Row],[price]]*Table16[[#This Row],[quantity]]</f>
        <v>130.75</v>
      </c>
    </row>
    <row r="5032" spans="1:9" x14ac:dyDescent="0.3">
      <c r="A5032" t="s">
        <v>7046</v>
      </c>
      <c r="B5032" t="s">
        <v>998</v>
      </c>
      <c r="C5032" t="s">
        <v>2017</v>
      </c>
      <c r="D5032">
        <v>4</v>
      </c>
      <c r="E5032" s="16">
        <v>4200</v>
      </c>
      <c r="F5032" s="1">
        <v>44655</v>
      </c>
      <c r="G5032" t="s">
        <v>2020</v>
      </c>
      <c r="H5032">
        <v>2</v>
      </c>
      <c r="I5032" s="12">
        <f>Table16[[#This Row],[price]]*Table16[[#This Row],[quantity]]</f>
        <v>16800</v>
      </c>
    </row>
    <row r="5033" spans="1:9" x14ac:dyDescent="0.3">
      <c r="A5033" t="s">
        <v>7048</v>
      </c>
      <c r="B5033" t="s">
        <v>998</v>
      </c>
      <c r="C5033" t="s">
        <v>2001</v>
      </c>
      <c r="D5033">
        <v>2</v>
      </c>
      <c r="E5033" s="16">
        <v>600.16</v>
      </c>
      <c r="F5033" s="1">
        <v>44734</v>
      </c>
      <c r="G5033" t="s">
        <v>2020</v>
      </c>
      <c r="H5033">
        <v>1</v>
      </c>
      <c r="I5033" s="12">
        <f>Table16[[#This Row],[price]]*Table16[[#This Row],[quantity]]</f>
        <v>1200.32</v>
      </c>
    </row>
    <row r="5034" spans="1:9" x14ac:dyDescent="0.3">
      <c r="A5034" t="s">
        <v>7053</v>
      </c>
      <c r="B5034" t="s">
        <v>999</v>
      </c>
      <c r="C5034" t="s">
        <v>2057</v>
      </c>
      <c r="D5034">
        <v>2</v>
      </c>
      <c r="E5034" s="16">
        <v>23.46</v>
      </c>
      <c r="F5034" s="1">
        <v>44248</v>
      </c>
      <c r="G5034" t="s">
        <v>2002</v>
      </c>
      <c r="H5034">
        <v>1</v>
      </c>
      <c r="I5034" s="12">
        <f>Table16[[#This Row],[price]]*Table16[[#This Row],[quantity]]</f>
        <v>46.92</v>
      </c>
    </row>
    <row r="5035" spans="1:9" x14ac:dyDescent="0.3">
      <c r="A5035" t="s">
        <v>7050</v>
      </c>
      <c r="B5035" t="s">
        <v>999</v>
      </c>
      <c r="C5035" t="s">
        <v>2001</v>
      </c>
      <c r="D5035">
        <v>1</v>
      </c>
      <c r="E5035" s="16">
        <v>300.08</v>
      </c>
      <c r="F5035" s="1">
        <v>44553</v>
      </c>
      <c r="G5035" t="s">
        <v>2004</v>
      </c>
      <c r="H5035">
        <v>1</v>
      </c>
      <c r="I5035" s="12">
        <f>Table16[[#This Row],[price]]*Table16[[#This Row],[quantity]]</f>
        <v>300.08</v>
      </c>
    </row>
    <row r="5036" spans="1:9" x14ac:dyDescent="0.3">
      <c r="A5036" t="s">
        <v>7052</v>
      </c>
      <c r="B5036" t="s">
        <v>999</v>
      </c>
      <c r="C5036" t="s">
        <v>2017</v>
      </c>
      <c r="D5036">
        <v>1</v>
      </c>
      <c r="E5036" s="16">
        <v>1050</v>
      </c>
      <c r="F5036" s="1">
        <v>44616</v>
      </c>
      <c r="G5036" t="s">
        <v>2020</v>
      </c>
      <c r="H5036">
        <v>5</v>
      </c>
      <c r="I5036" s="12">
        <f>Table16[[#This Row],[price]]*Table16[[#This Row],[quantity]]</f>
        <v>1050</v>
      </c>
    </row>
    <row r="5037" spans="1:9" x14ac:dyDescent="0.3">
      <c r="A5037" t="s">
        <v>7051</v>
      </c>
      <c r="B5037" t="s">
        <v>999</v>
      </c>
      <c r="C5037" t="s">
        <v>2017</v>
      </c>
      <c r="D5037">
        <v>2</v>
      </c>
      <c r="E5037" s="16">
        <v>2100</v>
      </c>
      <c r="F5037" s="1">
        <v>44658</v>
      </c>
      <c r="G5037" t="s">
        <v>2058</v>
      </c>
      <c r="H5037">
        <v>3</v>
      </c>
      <c r="I5037" s="12">
        <f>Table16[[#This Row],[price]]*Table16[[#This Row],[quantity]]</f>
        <v>4200</v>
      </c>
    </row>
    <row r="5038" spans="1:9" x14ac:dyDescent="0.3">
      <c r="A5038" t="s">
        <v>7055</v>
      </c>
      <c r="B5038" t="s">
        <v>1000</v>
      </c>
      <c r="C5038" t="s">
        <v>2024</v>
      </c>
      <c r="D5038">
        <v>4</v>
      </c>
      <c r="E5038" s="16">
        <v>143.36000000000001</v>
      </c>
      <c r="F5038" s="1">
        <v>44257</v>
      </c>
      <c r="G5038" t="s">
        <v>2027</v>
      </c>
      <c r="H5038">
        <v>5</v>
      </c>
      <c r="I5038" s="12">
        <f>Table16[[#This Row],[price]]*Table16[[#This Row],[quantity]]</f>
        <v>573.44000000000005</v>
      </c>
    </row>
    <row r="5039" spans="1:9" x14ac:dyDescent="0.3">
      <c r="A5039" t="s">
        <v>7054</v>
      </c>
      <c r="B5039" t="s">
        <v>1000</v>
      </c>
      <c r="C5039" t="s">
        <v>2015</v>
      </c>
      <c r="D5039">
        <v>1</v>
      </c>
      <c r="E5039" s="16">
        <v>600.16999999999996</v>
      </c>
      <c r="F5039" s="1">
        <v>44414</v>
      </c>
      <c r="G5039" t="s">
        <v>2004</v>
      </c>
      <c r="H5039">
        <v>2</v>
      </c>
      <c r="I5039" s="12">
        <f>Table16[[#This Row],[price]]*Table16[[#This Row],[quantity]]</f>
        <v>600.16999999999996</v>
      </c>
    </row>
    <row r="5040" spans="1:9" x14ac:dyDescent="0.3">
      <c r="A5040" t="s">
        <v>7057</v>
      </c>
      <c r="B5040" t="s">
        <v>1000</v>
      </c>
      <c r="C5040" t="s">
        <v>2001</v>
      </c>
      <c r="D5040">
        <v>5</v>
      </c>
      <c r="E5040" s="16">
        <v>1500.4</v>
      </c>
      <c r="F5040" s="1">
        <v>44494</v>
      </c>
      <c r="G5040" t="s">
        <v>2002</v>
      </c>
      <c r="H5040">
        <v>4</v>
      </c>
      <c r="I5040" s="12">
        <f>Table16[[#This Row],[price]]*Table16[[#This Row],[quantity]]</f>
        <v>7502</v>
      </c>
    </row>
    <row r="5041" spans="1:9" x14ac:dyDescent="0.3">
      <c r="A5041" t="s">
        <v>7058</v>
      </c>
      <c r="B5041" t="s">
        <v>1000</v>
      </c>
      <c r="C5041" t="s">
        <v>2006</v>
      </c>
      <c r="D5041">
        <v>2</v>
      </c>
      <c r="E5041" s="16">
        <v>30.3</v>
      </c>
      <c r="F5041" s="1">
        <v>44832</v>
      </c>
      <c r="G5041" t="s">
        <v>2004</v>
      </c>
      <c r="H5041">
        <v>2</v>
      </c>
      <c r="I5041" s="12">
        <f>Table16[[#This Row],[price]]*Table16[[#This Row],[quantity]]</f>
        <v>60.6</v>
      </c>
    </row>
    <row r="5042" spans="1:9" x14ac:dyDescent="0.3">
      <c r="A5042" t="s">
        <v>7056</v>
      </c>
      <c r="B5042" t="s">
        <v>1000</v>
      </c>
      <c r="C5042" t="s">
        <v>2001</v>
      </c>
      <c r="D5042">
        <v>3</v>
      </c>
      <c r="E5042" s="16">
        <v>900.24</v>
      </c>
      <c r="F5042" s="1">
        <v>44904</v>
      </c>
      <c r="G5042" t="s">
        <v>2064</v>
      </c>
      <c r="H5042">
        <v>1</v>
      </c>
      <c r="I5042" s="12">
        <f>Table16[[#This Row],[price]]*Table16[[#This Row],[quantity]]</f>
        <v>2700.7200000000003</v>
      </c>
    </row>
    <row r="5043" spans="1:9" x14ac:dyDescent="0.3">
      <c r="A5043" t="s">
        <v>7061</v>
      </c>
      <c r="B5043" t="s">
        <v>1001</v>
      </c>
      <c r="C5043" t="s">
        <v>2006</v>
      </c>
      <c r="D5043">
        <v>3</v>
      </c>
      <c r="E5043" s="16">
        <v>45.45</v>
      </c>
      <c r="F5043" s="1">
        <v>44427</v>
      </c>
      <c r="G5043" t="s">
        <v>2004</v>
      </c>
      <c r="H5043">
        <v>4</v>
      </c>
      <c r="I5043" s="12">
        <f>Table16[[#This Row],[price]]*Table16[[#This Row],[quantity]]</f>
        <v>136.35000000000002</v>
      </c>
    </row>
    <row r="5044" spans="1:9" x14ac:dyDescent="0.3">
      <c r="A5044" t="s">
        <v>7062</v>
      </c>
      <c r="B5044" t="s">
        <v>1001</v>
      </c>
      <c r="C5044" t="s">
        <v>2001</v>
      </c>
      <c r="D5044">
        <v>4</v>
      </c>
      <c r="E5044" s="16">
        <v>1200.32</v>
      </c>
      <c r="F5044" s="1">
        <v>44483</v>
      </c>
      <c r="G5044" t="s">
        <v>2018</v>
      </c>
      <c r="H5044">
        <v>3</v>
      </c>
      <c r="I5044" s="12">
        <f>Table16[[#This Row],[price]]*Table16[[#This Row],[quantity]]</f>
        <v>4801.28</v>
      </c>
    </row>
    <row r="5045" spans="1:9" x14ac:dyDescent="0.3">
      <c r="A5045" t="s">
        <v>7059</v>
      </c>
      <c r="B5045" t="s">
        <v>1001</v>
      </c>
      <c r="C5045" t="s">
        <v>2024</v>
      </c>
      <c r="D5045">
        <v>4</v>
      </c>
      <c r="E5045" s="16">
        <v>143.36000000000001</v>
      </c>
      <c r="F5045" s="1">
        <v>44485</v>
      </c>
      <c r="G5045" t="s">
        <v>2004</v>
      </c>
      <c r="H5045">
        <v>1</v>
      </c>
      <c r="I5045" s="12">
        <f>Table16[[#This Row],[price]]*Table16[[#This Row],[quantity]]</f>
        <v>573.44000000000005</v>
      </c>
    </row>
    <row r="5046" spans="1:9" x14ac:dyDescent="0.3">
      <c r="A5046" t="s">
        <v>7060</v>
      </c>
      <c r="B5046" t="s">
        <v>1001</v>
      </c>
      <c r="C5046" t="s">
        <v>2008</v>
      </c>
      <c r="D5046">
        <v>2</v>
      </c>
      <c r="E5046" s="16">
        <v>10.46</v>
      </c>
      <c r="F5046" s="1">
        <v>44797</v>
      </c>
      <c r="G5046" t="s">
        <v>2004</v>
      </c>
      <c r="H5046">
        <v>4</v>
      </c>
      <c r="I5046" s="12">
        <f>Table16[[#This Row],[price]]*Table16[[#This Row],[quantity]]</f>
        <v>20.92</v>
      </c>
    </row>
    <row r="5047" spans="1:9" x14ac:dyDescent="0.3">
      <c r="A5047" t="s">
        <v>7066</v>
      </c>
      <c r="B5047" t="s">
        <v>1002</v>
      </c>
      <c r="C5047" t="s">
        <v>2008</v>
      </c>
      <c r="D5047">
        <v>4</v>
      </c>
      <c r="E5047" s="16">
        <v>20.92</v>
      </c>
      <c r="F5047" s="1">
        <v>44359</v>
      </c>
      <c r="G5047" t="s">
        <v>2020</v>
      </c>
      <c r="H5047">
        <v>4</v>
      </c>
      <c r="I5047" s="12">
        <f>Table16[[#This Row],[price]]*Table16[[#This Row],[quantity]]</f>
        <v>83.68</v>
      </c>
    </row>
    <row r="5048" spans="1:9" x14ac:dyDescent="0.3">
      <c r="A5048" t="s">
        <v>7064</v>
      </c>
      <c r="B5048" t="s">
        <v>1002</v>
      </c>
      <c r="C5048" t="s">
        <v>2017</v>
      </c>
      <c r="D5048">
        <v>2</v>
      </c>
      <c r="E5048" s="16">
        <v>2100</v>
      </c>
      <c r="F5048" s="1">
        <v>44749</v>
      </c>
      <c r="G5048" t="s">
        <v>2027</v>
      </c>
      <c r="H5048">
        <v>3</v>
      </c>
      <c r="I5048" s="12">
        <f>Table16[[#This Row],[price]]*Table16[[#This Row],[quantity]]</f>
        <v>4200</v>
      </c>
    </row>
    <row r="5049" spans="1:9" x14ac:dyDescent="0.3">
      <c r="A5049" t="s">
        <v>7063</v>
      </c>
      <c r="B5049" t="s">
        <v>1002</v>
      </c>
      <c r="C5049" t="s">
        <v>2008</v>
      </c>
      <c r="D5049">
        <v>1</v>
      </c>
      <c r="E5049" s="16">
        <v>5.23</v>
      </c>
      <c r="F5049" s="1">
        <v>44818</v>
      </c>
      <c r="G5049" t="s">
        <v>2041</v>
      </c>
      <c r="H5049">
        <v>3</v>
      </c>
      <c r="I5049" s="12">
        <f>Table16[[#This Row],[price]]*Table16[[#This Row],[quantity]]</f>
        <v>5.23</v>
      </c>
    </row>
    <row r="5050" spans="1:9" x14ac:dyDescent="0.3">
      <c r="A5050" t="s">
        <v>7065</v>
      </c>
      <c r="B5050" t="s">
        <v>1002</v>
      </c>
      <c r="C5050" t="s">
        <v>2024</v>
      </c>
      <c r="D5050">
        <v>5</v>
      </c>
      <c r="E5050" s="16">
        <v>179.2</v>
      </c>
      <c r="F5050" s="1">
        <v>44894</v>
      </c>
      <c r="G5050" t="s">
        <v>2004</v>
      </c>
      <c r="H5050">
        <v>4</v>
      </c>
      <c r="I5050" s="12">
        <f>Table16[[#This Row],[price]]*Table16[[#This Row],[quantity]]</f>
        <v>896</v>
      </c>
    </row>
    <row r="5051" spans="1:9" x14ac:dyDescent="0.3">
      <c r="A5051" t="s">
        <v>7068</v>
      </c>
      <c r="B5051" t="s">
        <v>1003</v>
      </c>
      <c r="C5051" t="s">
        <v>2001</v>
      </c>
      <c r="D5051">
        <v>1</v>
      </c>
      <c r="E5051" s="16">
        <v>300.08</v>
      </c>
      <c r="F5051" s="1">
        <v>44248</v>
      </c>
      <c r="G5051" t="s">
        <v>2018</v>
      </c>
      <c r="H5051">
        <v>2</v>
      </c>
      <c r="I5051" s="12">
        <f>Table16[[#This Row],[price]]*Table16[[#This Row],[quantity]]</f>
        <v>300.08</v>
      </c>
    </row>
    <row r="5052" spans="1:9" x14ac:dyDescent="0.3">
      <c r="A5052" t="s">
        <v>7067</v>
      </c>
      <c r="B5052" t="s">
        <v>1003</v>
      </c>
      <c r="C5052" t="s">
        <v>2011</v>
      </c>
      <c r="D5052">
        <v>4</v>
      </c>
      <c r="E5052" s="16">
        <v>162.63999999999999</v>
      </c>
      <c r="F5052" s="1">
        <v>44396</v>
      </c>
      <c r="G5052" t="s">
        <v>2027</v>
      </c>
      <c r="H5052">
        <v>1</v>
      </c>
      <c r="I5052" s="12">
        <f>Table16[[#This Row],[price]]*Table16[[#This Row],[quantity]]</f>
        <v>650.55999999999995</v>
      </c>
    </row>
    <row r="5053" spans="1:9" x14ac:dyDescent="0.3">
      <c r="A5053" t="s">
        <v>7070</v>
      </c>
      <c r="B5053" t="s">
        <v>1003</v>
      </c>
      <c r="C5053" t="s">
        <v>2008</v>
      </c>
      <c r="D5053">
        <v>5</v>
      </c>
      <c r="E5053" s="16">
        <v>26.15</v>
      </c>
      <c r="F5053" s="1">
        <v>44755</v>
      </c>
      <c r="G5053" t="s">
        <v>2002</v>
      </c>
      <c r="H5053">
        <v>4</v>
      </c>
      <c r="I5053" s="12">
        <f>Table16[[#This Row],[price]]*Table16[[#This Row],[quantity]]</f>
        <v>130.75</v>
      </c>
    </row>
    <row r="5054" spans="1:9" x14ac:dyDescent="0.3">
      <c r="A5054" t="s">
        <v>7071</v>
      </c>
      <c r="B5054" t="s">
        <v>1003</v>
      </c>
      <c r="C5054" t="s">
        <v>2001</v>
      </c>
      <c r="D5054">
        <v>2</v>
      </c>
      <c r="E5054" s="16">
        <v>600.16</v>
      </c>
      <c r="F5054" s="1">
        <v>44846</v>
      </c>
      <c r="G5054" t="s">
        <v>2009</v>
      </c>
      <c r="H5054">
        <v>1</v>
      </c>
      <c r="I5054" s="12">
        <f>Table16[[#This Row],[price]]*Table16[[#This Row],[quantity]]</f>
        <v>1200.32</v>
      </c>
    </row>
    <row r="5055" spans="1:9" x14ac:dyDescent="0.3">
      <c r="A5055" t="s">
        <v>7069</v>
      </c>
      <c r="B5055" t="s">
        <v>1003</v>
      </c>
      <c r="C5055" t="s">
        <v>2024</v>
      </c>
      <c r="D5055">
        <v>3</v>
      </c>
      <c r="E5055" s="16">
        <v>107.52</v>
      </c>
      <c r="F5055" s="1">
        <v>44933</v>
      </c>
      <c r="G5055" t="s">
        <v>2058</v>
      </c>
      <c r="H5055">
        <v>4</v>
      </c>
      <c r="I5055" s="12">
        <f>Table16[[#This Row],[price]]*Table16[[#This Row],[quantity]]</f>
        <v>322.56</v>
      </c>
    </row>
    <row r="5056" spans="1:9" x14ac:dyDescent="0.3">
      <c r="A5056" t="s">
        <v>7074</v>
      </c>
      <c r="B5056" t="s">
        <v>1004</v>
      </c>
      <c r="C5056" t="s">
        <v>2024</v>
      </c>
      <c r="D5056">
        <v>2</v>
      </c>
      <c r="E5056" s="16">
        <v>71.680000000000007</v>
      </c>
      <c r="F5056" s="1">
        <v>44234</v>
      </c>
      <c r="G5056" t="s">
        <v>2058</v>
      </c>
      <c r="H5056">
        <v>1</v>
      </c>
      <c r="I5056" s="12">
        <f>Table16[[#This Row],[price]]*Table16[[#This Row],[quantity]]</f>
        <v>143.36000000000001</v>
      </c>
    </row>
    <row r="5057" spans="1:9" x14ac:dyDescent="0.3">
      <c r="A5057" t="s">
        <v>7078</v>
      </c>
      <c r="B5057" t="s">
        <v>1004</v>
      </c>
      <c r="C5057" t="s">
        <v>2008</v>
      </c>
      <c r="D5057">
        <v>4</v>
      </c>
      <c r="E5057" s="16">
        <v>20.92</v>
      </c>
      <c r="F5057" s="1">
        <v>44414</v>
      </c>
      <c r="G5057" t="s">
        <v>2009</v>
      </c>
      <c r="H5057">
        <v>2</v>
      </c>
      <c r="I5057" s="12">
        <f>Table16[[#This Row],[price]]*Table16[[#This Row],[quantity]]</f>
        <v>83.68</v>
      </c>
    </row>
    <row r="5058" spans="1:9" x14ac:dyDescent="0.3">
      <c r="A5058" t="s">
        <v>7080</v>
      </c>
      <c r="B5058" t="s">
        <v>1004</v>
      </c>
      <c r="C5058" t="s">
        <v>2017</v>
      </c>
      <c r="D5058">
        <v>5</v>
      </c>
      <c r="E5058" s="16">
        <v>5250</v>
      </c>
      <c r="F5058" s="1">
        <v>44510</v>
      </c>
      <c r="G5058" t="s">
        <v>2041</v>
      </c>
      <c r="H5058">
        <v>2</v>
      </c>
      <c r="I5058" s="12">
        <f>Table16[[#This Row],[price]]*Table16[[#This Row],[quantity]]</f>
        <v>26250</v>
      </c>
    </row>
    <row r="5059" spans="1:9" x14ac:dyDescent="0.3">
      <c r="A5059" t="s">
        <v>7075</v>
      </c>
      <c r="B5059" t="s">
        <v>1004</v>
      </c>
      <c r="C5059" t="s">
        <v>2001</v>
      </c>
      <c r="D5059">
        <v>1</v>
      </c>
      <c r="E5059" s="16">
        <v>300.08</v>
      </c>
      <c r="F5059" s="1">
        <v>44539</v>
      </c>
      <c r="G5059" t="s">
        <v>2018</v>
      </c>
      <c r="H5059">
        <v>1</v>
      </c>
      <c r="I5059" s="12">
        <f>Table16[[#This Row],[price]]*Table16[[#This Row],[quantity]]</f>
        <v>300.08</v>
      </c>
    </row>
    <row r="5060" spans="1:9" x14ac:dyDescent="0.3">
      <c r="A5060" t="s">
        <v>7073</v>
      </c>
      <c r="B5060" t="s">
        <v>1004</v>
      </c>
      <c r="C5060" t="s">
        <v>2001</v>
      </c>
      <c r="D5060">
        <v>1</v>
      </c>
      <c r="E5060" s="16">
        <v>300.08</v>
      </c>
      <c r="F5060" s="1">
        <v>44547</v>
      </c>
      <c r="G5060" t="s">
        <v>2009</v>
      </c>
      <c r="H5060">
        <v>5</v>
      </c>
      <c r="I5060" s="12">
        <f>Table16[[#This Row],[price]]*Table16[[#This Row],[quantity]]</f>
        <v>300.08</v>
      </c>
    </row>
    <row r="5061" spans="1:9" x14ac:dyDescent="0.3">
      <c r="A5061" t="s">
        <v>7076</v>
      </c>
      <c r="B5061" t="s">
        <v>1004</v>
      </c>
      <c r="C5061" t="s">
        <v>2008</v>
      </c>
      <c r="D5061">
        <v>5</v>
      </c>
      <c r="E5061" s="16">
        <v>26.15</v>
      </c>
      <c r="F5061" s="1">
        <v>44643</v>
      </c>
      <c r="G5061" t="s">
        <v>2020</v>
      </c>
      <c r="H5061">
        <v>2</v>
      </c>
      <c r="I5061" s="12">
        <f>Table16[[#This Row],[price]]*Table16[[#This Row],[quantity]]</f>
        <v>130.75</v>
      </c>
    </row>
    <row r="5062" spans="1:9" x14ac:dyDescent="0.3">
      <c r="A5062" t="s">
        <v>7079</v>
      </c>
      <c r="B5062" t="s">
        <v>1004</v>
      </c>
      <c r="C5062" t="s">
        <v>2011</v>
      </c>
      <c r="D5062">
        <v>3</v>
      </c>
      <c r="E5062" s="16">
        <v>121.98</v>
      </c>
      <c r="F5062" s="1">
        <v>44731</v>
      </c>
      <c r="G5062" t="s">
        <v>2009</v>
      </c>
      <c r="H5062">
        <v>5</v>
      </c>
      <c r="I5062" s="12">
        <f>Table16[[#This Row],[price]]*Table16[[#This Row],[quantity]]</f>
        <v>365.94</v>
      </c>
    </row>
    <row r="5063" spans="1:9" x14ac:dyDescent="0.3">
      <c r="A5063" t="s">
        <v>7077</v>
      </c>
      <c r="B5063" t="s">
        <v>1004</v>
      </c>
      <c r="C5063" t="s">
        <v>2015</v>
      </c>
      <c r="D5063">
        <v>4</v>
      </c>
      <c r="E5063" s="16">
        <v>2400.6799999999998</v>
      </c>
      <c r="F5063" s="1">
        <v>44737</v>
      </c>
      <c r="G5063" t="s">
        <v>2004</v>
      </c>
      <c r="H5063">
        <v>2</v>
      </c>
      <c r="I5063" s="12">
        <f>Table16[[#This Row],[price]]*Table16[[#This Row],[quantity]]</f>
        <v>9602.7199999999993</v>
      </c>
    </row>
    <row r="5064" spans="1:9" x14ac:dyDescent="0.3">
      <c r="A5064" t="s">
        <v>7072</v>
      </c>
      <c r="B5064" t="s">
        <v>1004</v>
      </c>
      <c r="C5064" t="s">
        <v>2001</v>
      </c>
      <c r="D5064">
        <v>1</v>
      </c>
      <c r="E5064" s="16">
        <v>300.08</v>
      </c>
      <c r="F5064" s="1">
        <v>44809</v>
      </c>
      <c r="G5064" t="s">
        <v>2064</v>
      </c>
      <c r="H5064">
        <v>5</v>
      </c>
      <c r="I5064" s="12">
        <f>Table16[[#This Row],[price]]*Table16[[#This Row],[quantity]]</f>
        <v>300.08</v>
      </c>
    </row>
    <row r="5065" spans="1:9" x14ac:dyDescent="0.3">
      <c r="A5065" t="s">
        <v>7083</v>
      </c>
      <c r="B5065" t="s">
        <v>1005</v>
      </c>
      <c r="C5065" t="s">
        <v>2011</v>
      </c>
      <c r="D5065">
        <v>4</v>
      </c>
      <c r="E5065" s="16">
        <v>162.63999999999999</v>
      </c>
      <c r="F5065" s="1">
        <v>44302</v>
      </c>
      <c r="G5065" t="s">
        <v>2027</v>
      </c>
      <c r="H5065">
        <v>2</v>
      </c>
      <c r="I5065" s="12">
        <f>Table16[[#This Row],[price]]*Table16[[#This Row],[quantity]]</f>
        <v>650.55999999999995</v>
      </c>
    </row>
    <row r="5066" spans="1:9" x14ac:dyDescent="0.3">
      <c r="A5066" t="s">
        <v>7081</v>
      </c>
      <c r="B5066" t="s">
        <v>1005</v>
      </c>
      <c r="C5066" t="s">
        <v>2011</v>
      </c>
      <c r="D5066">
        <v>1</v>
      </c>
      <c r="E5066" s="16">
        <v>40.659999999999997</v>
      </c>
      <c r="F5066" s="1">
        <v>44354</v>
      </c>
      <c r="G5066" t="s">
        <v>2018</v>
      </c>
      <c r="H5066">
        <v>3</v>
      </c>
      <c r="I5066" s="12">
        <f>Table16[[#This Row],[price]]*Table16[[#This Row],[quantity]]</f>
        <v>40.659999999999997</v>
      </c>
    </row>
    <row r="5067" spans="1:9" x14ac:dyDescent="0.3">
      <c r="A5067" t="s">
        <v>7082</v>
      </c>
      <c r="B5067" t="s">
        <v>1005</v>
      </c>
      <c r="C5067" t="s">
        <v>2057</v>
      </c>
      <c r="D5067">
        <v>4</v>
      </c>
      <c r="E5067" s="16">
        <v>46.92</v>
      </c>
      <c r="F5067" s="1">
        <v>44671</v>
      </c>
      <c r="G5067" t="s">
        <v>2004</v>
      </c>
      <c r="H5067">
        <v>4</v>
      </c>
      <c r="I5067" s="12">
        <f>Table16[[#This Row],[price]]*Table16[[#This Row],[quantity]]</f>
        <v>187.68</v>
      </c>
    </row>
    <row r="5068" spans="1:9" x14ac:dyDescent="0.3">
      <c r="A5068" t="s">
        <v>7086</v>
      </c>
      <c r="B5068" t="s">
        <v>1006</v>
      </c>
      <c r="C5068" t="s">
        <v>2001</v>
      </c>
      <c r="D5068">
        <v>5</v>
      </c>
      <c r="E5068" s="16">
        <v>1500.4</v>
      </c>
      <c r="F5068" s="1">
        <v>44413</v>
      </c>
      <c r="G5068" t="s">
        <v>2027</v>
      </c>
      <c r="H5068">
        <v>4</v>
      </c>
      <c r="I5068" s="12">
        <f>Table16[[#This Row],[price]]*Table16[[#This Row],[quantity]]</f>
        <v>7502</v>
      </c>
    </row>
    <row r="5069" spans="1:9" x14ac:dyDescent="0.3">
      <c r="A5069" t="s">
        <v>7085</v>
      </c>
      <c r="B5069" t="s">
        <v>1006</v>
      </c>
      <c r="C5069" t="s">
        <v>2008</v>
      </c>
      <c r="D5069">
        <v>4</v>
      </c>
      <c r="E5069" s="16">
        <v>20.92</v>
      </c>
      <c r="F5069" s="1">
        <v>44528</v>
      </c>
      <c r="G5069" t="s">
        <v>2004</v>
      </c>
      <c r="H5069">
        <v>3</v>
      </c>
      <c r="I5069" s="12">
        <f>Table16[[#This Row],[price]]*Table16[[#This Row],[quantity]]</f>
        <v>83.68</v>
      </c>
    </row>
    <row r="5070" spans="1:9" x14ac:dyDescent="0.3">
      <c r="A5070" t="s">
        <v>7084</v>
      </c>
      <c r="B5070" t="s">
        <v>1006</v>
      </c>
      <c r="C5070" t="s">
        <v>2001</v>
      </c>
      <c r="D5070">
        <v>3</v>
      </c>
      <c r="E5070" s="16">
        <v>900.24</v>
      </c>
      <c r="F5070" s="1">
        <v>44606</v>
      </c>
      <c r="G5070" t="s">
        <v>2041</v>
      </c>
      <c r="H5070">
        <v>3</v>
      </c>
      <c r="I5070" s="12">
        <f>Table16[[#This Row],[price]]*Table16[[#This Row],[quantity]]</f>
        <v>2700.7200000000003</v>
      </c>
    </row>
    <row r="5071" spans="1:9" x14ac:dyDescent="0.3">
      <c r="A5071" t="s">
        <v>7090</v>
      </c>
      <c r="B5071" t="s">
        <v>1007</v>
      </c>
      <c r="C5071" t="s">
        <v>2001</v>
      </c>
      <c r="D5071">
        <v>5</v>
      </c>
      <c r="E5071" s="16">
        <v>1500.4</v>
      </c>
      <c r="F5071" s="1">
        <v>44379</v>
      </c>
      <c r="G5071" t="s">
        <v>2064</v>
      </c>
      <c r="H5071">
        <v>3</v>
      </c>
      <c r="I5071" s="12">
        <f>Table16[[#This Row],[price]]*Table16[[#This Row],[quantity]]</f>
        <v>7502</v>
      </c>
    </row>
    <row r="5072" spans="1:9" x14ac:dyDescent="0.3">
      <c r="A5072" t="s">
        <v>7091</v>
      </c>
      <c r="B5072" t="s">
        <v>1007</v>
      </c>
      <c r="C5072" t="s">
        <v>2006</v>
      </c>
      <c r="D5072">
        <v>5</v>
      </c>
      <c r="E5072" s="16">
        <v>75.75</v>
      </c>
      <c r="F5072" s="1">
        <v>44558</v>
      </c>
      <c r="G5072" t="s">
        <v>2004</v>
      </c>
      <c r="H5072">
        <v>4</v>
      </c>
      <c r="I5072" s="12">
        <f>Table16[[#This Row],[price]]*Table16[[#This Row],[quantity]]</f>
        <v>378.75</v>
      </c>
    </row>
    <row r="5073" spans="1:9" x14ac:dyDescent="0.3">
      <c r="A5073" t="s">
        <v>7089</v>
      </c>
      <c r="B5073" t="s">
        <v>1007</v>
      </c>
      <c r="C5073" t="s">
        <v>2008</v>
      </c>
      <c r="D5073">
        <v>5</v>
      </c>
      <c r="E5073" s="16">
        <v>26.15</v>
      </c>
      <c r="F5073" s="1">
        <v>44575</v>
      </c>
      <c r="G5073" t="s">
        <v>2058</v>
      </c>
      <c r="H5073">
        <v>3</v>
      </c>
      <c r="I5073" s="12">
        <f>Table16[[#This Row],[price]]*Table16[[#This Row],[quantity]]</f>
        <v>130.75</v>
      </c>
    </row>
    <row r="5074" spans="1:9" x14ac:dyDescent="0.3">
      <c r="A5074" t="s">
        <v>7087</v>
      </c>
      <c r="B5074" t="s">
        <v>1007</v>
      </c>
      <c r="C5074" t="s">
        <v>2008</v>
      </c>
      <c r="D5074">
        <v>5</v>
      </c>
      <c r="E5074" s="16">
        <v>26.15</v>
      </c>
      <c r="F5074" s="1">
        <v>44707</v>
      </c>
      <c r="G5074" t="s">
        <v>2002</v>
      </c>
      <c r="H5074">
        <v>5</v>
      </c>
      <c r="I5074" s="12">
        <f>Table16[[#This Row],[price]]*Table16[[#This Row],[quantity]]</f>
        <v>130.75</v>
      </c>
    </row>
    <row r="5075" spans="1:9" x14ac:dyDescent="0.3">
      <c r="A5075" t="s">
        <v>7092</v>
      </c>
      <c r="B5075" t="s">
        <v>1007</v>
      </c>
      <c r="C5075" t="s">
        <v>2001</v>
      </c>
      <c r="D5075">
        <v>3</v>
      </c>
      <c r="E5075" s="16">
        <v>900.24</v>
      </c>
      <c r="F5075" s="1">
        <v>44766</v>
      </c>
      <c r="G5075" t="s">
        <v>2004</v>
      </c>
      <c r="H5075">
        <v>3</v>
      </c>
      <c r="I5075" s="12">
        <f>Table16[[#This Row],[price]]*Table16[[#This Row],[quantity]]</f>
        <v>2700.7200000000003</v>
      </c>
    </row>
    <row r="5076" spans="1:9" x14ac:dyDescent="0.3">
      <c r="A5076" t="s">
        <v>7088</v>
      </c>
      <c r="B5076" t="s">
        <v>1007</v>
      </c>
      <c r="C5076" t="s">
        <v>2011</v>
      </c>
      <c r="D5076">
        <v>5</v>
      </c>
      <c r="E5076" s="16">
        <v>203.3</v>
      </c>
      <c r="F5076" s="1">
        <v>44814</v>
      </c>
      <c r="G5076" t="s">
        <v>2004</v>
      </c>
      <c r="H5076">
        <v>2</v>
      </c>
      <c r="I5076" s="12">
        <f>Table16[[#This Row],[price]]*Table16[[#This Row],[quantity]]</f>
        <v>1016.5</v>
      </c>
    </row>
    <row r="5077" spans="1:9" x14ac:dyDescent="0.3">
      <c r="A5077" t="s">
        <v>7093</v>
      </c>
      <c r="B5077" t="s">
        <v>1007</v>
      </c>
      <c r="C5077" t="s">
        <v>2001</v>
      </c>
      <c r="D5077">
        <v>4</v>
      </c>
      <c r="E5077" s="16">
        <v>1200.32</v>
      </c>
      <c r="F5077" s="1">
        <v>44836</v>
      </c>
      <c r="G5077" t="s">
        <v>2020</v>
      </c>
      <c r="H5077">
        <v>4</v>
      </c>
      <c r="I5077" s="12">
        <f>Table16[[#This Row],[price]]*Table16[[#This Row],[quantity]]</f>
        <v>4801.28</v>
      </c>
    </row>
    <row r="5078" spans="1:9" x14ac:dyDescent="0.3">
      <c r="A5078" t="s">
        <v>7097</v>
      </c>
      <c r="B5078" t="s">
        <v>1008</v>
      </c>
      <c r="C5078" t="s">
        <v>2011</v>
      </c>
      <c r="D5078">
        <v>5</v>
      </c>
      <c r="E5078" s="16">
        <v>203.3</v>
      </c>
      <c r="F5078" s="1">
        <v>44374</v>
      </c>
      <c r="G5078" t="s">
        <v>2012</v>
      </c>
      <c r="H5078">
        <v>3</v>
      </c>
      <c r="I5078" s="12">
        <f>Table16[[#This Row],[price]]*Table16[[#This Row],[quantity]]</f>
        <v>1016.5</v>
      </c>
    </row>
    <row r="5079" spans="1:9" x14ac:dyDescent="0.3">
      <c r="A5079" t="s">
        <v>7095</v>
      </c>
      <c r="B5079" t="s">
        <v>1008</v>
      </c>
      <c r="C5079" t="s">
        <v>2008</v>
      </c>
      <c r="D5079">
        <v>4</v>
      </c>
      <c r="E5079" s="16">
        <v>20.92</v>
      </c>
      <c r="F5079" s="1">
        <v>44377</v>
      </c>
      <c r="G5079" t="s">
        <v>2058</v>
      </c>
      <c r="H5079">
        <v>3</v>
      </c>
      <c r="I5079" s="12">
        <f>Table16[[#This Row],[price]]*Table16[[#This Row],[quantity]]</f>
        <v>83.68</v>
      </c>
    </row>
    <row r="5080" spans="1:9" x14ac:dyDescent="0.3">
      <c r="A5080" t="s">
        <v>7100</v>
      </c>
      <c r="B5080" t="s">
        <v>1008</v>
      </c>
      <c r="C5080" t="s">
        <v>2017</v>
      </c>
      <c r="D5080">
        <v>3</v>
      </c>
      <c r="E5080" s="16">
        <v>3150</v>
      </c>
      <c r="F5080" s="1">
        <v>44522</v>
      </c>
      <c r="G5080" t="s">
        <v>2002</v>
      </c>
      <c r="H5080">
        <v>5</v>
      </c>
      <c r="I5080" s="12">
        <f>Table16[[#This Row],[price]]*Table16[[#This Row],[quantity]]</f>
        <v>9450</v>
      </c>
    </row>
    <row r="5081" spans="1:9" x14ac:dyDescent="0.3">
      <c r="A5081" t="s">
        <v>7099</v>
      </c>
      <c r="B5081" t="s">
        <v>1008</v>
      </c>
      <c r="C5081" t="s">
        <v>2001</v>
      </c>
      <c r="D5081">
        <v>5</v>
      </c>
      <c r="E5081" s="16">
        <v>1500.4</v>
      </c>
      <c r="F5081" s="1">
        <v>44727</v>
      </c>
      <c r="G5081" t="s">
        <v>2012</v>
      </c>
      <c r="H5081">
        <v>3</v>
      </c>
      <c r="I5081" s="12">
        <f>Table16[[#This Row],[price]]*Table16[[#This Row],[quantity]]</f>
        <v>7502</v>
      </c>
    </row>
    <row r="5082" spans="1:9" x14ac:dyDescent="0.3">
      <c r="A5082" t="s">
        <v>7096</v>
      </c>
      <c r="B5082" t="s">
        <v>1008</v>
      </c>
      <c r="C5082" t="s">
        <v>2001</v>
      </c>
      <c r="D5082">
        <v>2</v>
      </c>
      <c r="E5082" s="16">
        <v>600.16</v>
      </c>
      <c r="F5082" s="1">
        <v>44861</v>
      </c>
      <c r="G5082" t="s">
        <v>2058</v>
      </c>
      <c r="H5082">
        <v>2</v>
      </c>
      <c r="I5082" s="12">
        <f>Table16[[#This Row],[price]]*Table16[[#This Row],[quantity]]</f>
        <v>1200.32</v>
      </c>
    </row>
    <row r="5083" spans="1:9" x14ac:dyDescent="0.3">
      <c r="A5083" t="s">
        <v>7098</v>
      </c>
      <c r="B5083" t="s">
        <v>1008</v>
      </c>
      <c r="C5083" t="s">
        <v>2011</v>
      </c>
      <c r="D5083">
        <v>2</v>
      </c>
      <c r="E5083" s="16">
        <v>81.319999999999993</v>
      </c>
      <c r="F5083" s="1">
        <v>44914</v>
      </c>
      <c r="G5083" t="s">
        <v>2041</v>
      </c>
      <c r="H5083">
        <v>4</v>
      </c>
      <c r="I5083" s="12">
        <f>Table16[[#This Row],[price]]*Table16[[#This Row],[quantity]]</f>
        <v>162.63999999999999</v>
      </c>
    </row>
    <row r="5084" spans="1:9" x14ac:dyDescent="0.3">
      <c r="A5084" t="s">
        <v>7094</v>
      </c>
      <c r="B5084" t="s">
        <v>1008</v>
      </c>
      <c r="C5084" t="s">
        <v>2001</v>
      </c>
      <c r="D5084">
        <v>3</v>
      </c>
      <c r="E5084" s="16">
        <v>900.24</v>
      </c>
      <c r="F5084" s="1">
        <v>44924</v>
      </c>
      <c r="G5084" t="s">
        <v>2020</v>
      </c>
      <c r="H5084">
        <v>2</v>
      </c>
      <c r="I5084" s="12">
        <f>Table16[[#This Row],[price]]*Table16[[#This Row],[quantity]]</f>
        <v>2700.7200000000003</v>
      </c>
    </row>
    <row r="5085" spans="1:9" x14ac:dyDescent="0.3">
      <c r="A5085" t="s">
        <v>7102</v>
      </c>
      <c r="B5085" t="s">
        <v>1009</v>
      </c>
      <c r="C5085" t="s">
        <v>2001</v>
      </c>
      <c r="D5085">
        <v>1</v>
      </c>
      <c r="E5085" s="16">
        <v>300.08</v>
      </c>
      <c r="F5085" s="1">
        <v>44208</v>
      </c>
      <c r="G5085" t="s">
        <v>2064</v>
      </c>
      <c r="H5085">
        <v>1</v>
      </c>
      <c r="I5085" s="12">
        <f>Table16[[#This Row],[price]]*Table16[[#This Row],[quantity]]</f>
        <v>300.08</v>
      </c>
    </row>
    <row r="5086" spans="1:9" x14ac:dyDescent="0.3">
      <c r="A5086" t="s">
        <v>7104</v>
      </c>
      <c r="B5086" t="s">
        <v>1009</v>
      </c>
      <c r="C5086" t="s">
        <v>2015</v>
      </c>
      <c r="D5086">
        <v>1</v>
      </c>
      <c r="E5086" s="16">
        <v>600.16999999999996</v>
      </c>
      <c r="F5086" s="1">
        <v>44474</v>
      </c>
      <c r="G5086" t="s">
        <v>2004</v>
      </c>
      <c r="H5086">
        <v>5</v>
      </c>
      <c r="I5086" s="12">
        <f>Table16[[#This Row],[price]]*Table16[[#This Row],[quantity]]</f>
        <v>600.16999999999996</v>
      </c>
    </row>
    <row r="5087" spans="1:9" x14ac:dyDescent="0.3">
      <c r="A5087" t="s">
        <v>7105</v>
      </c>
      <c r="B5087" t="s">
        <v>1009</v>
      </c>
      <c r="C5087" t="s">
        <v>2001</v>
      </c>
      <c r="D5087">
        <v>1</v>
      </c>
      <c r="E5087" s="16">
        <v>300.08</v>
      </c>
      <c r="F5087" s="1">
        <v>44518</v>
      </c>
      <c r="G5087" t="s">
        <v>2058</v>
      </c>
      <c r="H5087">
        <v>4</v>
      </c>
      <c r="I5087" s="12">
        <f>Table16[[#This Row],[price]]*Table16[[#This Row],[quantity]]</f>
        <v>300.08</v>
      </c>
    </row>
    <row r="5088" spans="1:9" x14ac:dyDescent="0.3">
      <c r="A5088" t="s">
        <v>7101</v>
      </c>
      <c r="B5088" t="s">
        <v>1009</v>
      </c>
      <c r="C5088" t="s">
        <v>2011</v>
      </c>
      <c r="D5088">
        <v>5</v>
      </c>
      <c r="E5088" s="16">
        <v>203.3</v>
      </c>
      <c r="F5088" s="1">
        <v>44560</v>
      </c>
      <c r="G5088" t="s">
        <v>2064</v>
      </c>
      <c r="H5088">
        <v>1</v>
      </c>
      <c r="I5088" s="12">
        <f>Table16[[#This Row],[price]]*Table16[[#This Row],[quantity]]</f>
        <v>1016.5</v>
      </c>
    </row>
    <row r="5089" spans="1:9" x14ac:dyDescent="0.3">
      <c r="A5089" t="s">
        <v>7103</v>
      </c>
      <c r="B5089" t="s">
        <v>1009</v>
      </c>
      <c r="C5089" t="s">
        <v>2017</v>
      </c>
      <c r="D5089">
        <v>3</v>
      </c>
      <c r="E5089" s="16">
        <v>3150</v>
      </c>
      <c r="F5089" s="1">
        <v>44846</v>
      </c>
      <c r="G5089" t="s">
        <v>2027</v>
      </c>
      <c r="H5089">
        <v>3</v>
      </c>
      <c r="I5089" s="12">
        <f>Table16[[#This Row],[price]]*Table16[[#This Row],[quantity]]</f>
        <v>9450</v>
      </c>
    </row>
    <row r="5090" spans="1:9" x14ac:dyDescent="0.3">
      <c r="A5090" t="s">
        <v>7106</v>
      </c>
      <c r="B5090" t="s">
        <v>1009</v>
      </c>
      <c r="C5090" t="s">
        <v>2001</v>
      </c>
      <c r="D5090">
        <v>3</v>
      </c>
      <c r="E5090" s="16">
        <v>900.24</v>
      </c>
      <c r="F5090" s="1">
        <v>44861</v>
      </c>
      <c r="G5090" t="s">
        <v>2002</v>
      </c>
      <c r="H5090">
        <v>3</v>
      </c>
      <c r="I5090" s="12">
        <f>Table16[[#This Row],[price]]*Table16[[#This Row],[quantity]]</f>
        <v>2700.7200000000003</v>
      </c>
    </row>
    <row r="5091" spans="1:9" x14ac:dyDescent="0.3">
      <c r="A5091" t="s">
        <v>7108</v>
      </c>
      <c r="B5091" t="s">
        <v>1010</v>
      </c>
      <c r="C5091" t="s">
        <v>2001</v>
      </c>
      <c r="D5091">
        <v>1</v>
      </c>
      <c r="E5091" s="16">
        <v>300.08</v>
      </c>
      <c r="F5091" s="1">
        <v>44446</v>
      </c>
      <c r="G5091" t="s">
        <v>2004</v>
      </c>
      <c r="H5091">
        <v>3</v>
      </c>
      <c r="I5091" s="12">
        <f>Table16[[#This Row],[price]]*Table16[[#This Row],[quantity]]</f>
        <v>300.08</v>
      </c>
    </row>
    <row r="5092" spans="1:9" x14ac:dyDescent="0.3">
      <c r="A5092" t="s">
        <v>7111</v>
      </c>
      <c r="B5092" t="s">
        <v>1010</v>
      </c>
      <c r="C5092" t="s">
        <v>2001</v>
      </c>
      <c r="D5092">
        <v>4</v>
      </c>
      <c r="E5092" s="16">
        <v>1200.32</v>
      </c>
      <c r="F5092" s="1">
        <v>44725</v>
      </c>
      <c r="G5092" t="s">
        <v>2018</v>
      </c>
      <c r="H5092">
        <v>3</v>
      </c>
      <c r="I5092" s="12">
        <f>Table16[[#This Row],[price]]*Table16[[#This Row],[quantity]]</f>
        <v>4801.28</v>
      </c>
    </row>
    <row r="5093" spans="1:9" x14ac:dyDescent="0.3">
      <c r="A5093" t="s">
        <v>7110</v>
      </c>
      <c r="B5093" t="s">
        <v>1010</v>
      </c>
      <c r="C5093" t="s">
        <v>2024</v>
      </c>
      <c r="D5093">
        <v>5</v>
      </c>
      <c r="E5093" s="16">
        <v>179.2</v>
      </c>
      <c r="F5093" s="1">
        <v>44754</v>
      </c>
      <c r="G5093" t="s">
        <v>2004</v>
      </c>
      <c r="H5093">
        <v>5</v>
      </c>
      <c r="I5093" s="12">
        <f>Table16[[#This Row],[price]]*Table16[[#This Row],[quantity]]</f>
        <v>896</v>
      </c>
    </row>
    <row r="5094" spans="1:9" x14ac:dyDescent="0.3">
      <c r="A5094" t="s">
        <v>7109</v>
      </c>
      <c r="B5094" t="s">
        <v>1010</v>
      </c>
      <c r="C5094" t="s">
        <v>2024</v>
      </c>
      <c r="D5094">
        <v>2</v>
      </c>
      <c r="E5094" s="16">
        <v>71.680000000000007</v>
      </c>
      <c r="F5094" s="1">
        <v>44862</v>
      </c>
      <c r="G5094" t="s">
        <v>2058</v>
      </c>
      <c r="H5094">
        <v>1</v>
      </c>
      <c r="I5094" s="12">
        <f>Table16[[#This Row],[price]]*Table16[[#This Row],[quantity]]</f>
        <v>143.36000000000001</v>
      </c>
    </row>
    <row r="5095" spans="1:9" x14ac:dyDescent="0.3">
      <c r="A5095" t="s">
        <v>7107</v>
      </c>
      <c r="B5095" t="s">
        <v>1010</v>
      </c>
      <c r="C5095" t="s">
        <v>2024</v>
      </c>
      <c r="D5095">
        <v>4</v>
      </c>
      <c r="E5095" s="16">
        <v>143.36000000000001</v>
      </c>
      <c r="F5095" s="1">
        <v>44884</v>
      </c>
      <c r="G5095" t="s">
        <v>2027</v>
      </c>
      <c r="H5095">
        <v>4</v>
      </c>
      <c r="I5095" s="12">
        <f>Table16[[#This Row],[price]]*Table16[[#This Row],[quantity]]</f>
        <v>573.44000000000005</v>
      </c>
    </row>
    <row r="5096" spans="1:9" x14ac:dyDescent="0.3">
      <c r="A5096" t="s">
        <v>7112</v>
      </c>
      <c r="B5096" t="s">
        <v>1010</v>
      </c>
      <c r="C5096" t="s">
        <v>2011</v>
      </c>
      <c r="D5096">
        <v>4</v>
      </c>
      <c r="E5096" s="16">
        <v>162.63999999999999</v>
      </c>
      <c r="F5096" s="1">
        <v>44980</v>
      </c>
      <c r="G5096" t="s">
        <v>2041</v>
      </c>
      <c r="H5096">
        <v>3</v>
      </c>
      <c r="I5096" s="12">
        <f>Table16[[#This Row],[price]]*Table16[[#This Row],[quantity]]</f>
        <v>650.55999999999995</v>
      </c>
    </row>
    <row r="5097" spans="1:9" x14ac:dyDescent="0.3">
      <c r="A5097" t="s">
        <v>7113</v>
      </c>
      <c r="B5097" t="s">
        <v>1011</v>
      </c>
      <c r="C5097" t="s">
        <v>2024</v>
      </c>
      <c r="D5097">
        <v>4</v>
      </c>
      <c r="E5097" s="16">
        <v>143.36000000000001</v>
      </c>
      <c r="F5097" s="1">
        <v>44284</v>
      </c>
      <c r="G5097" t="s">
        <v>2027</v>
      </c>
      <c r="H5097">
        <v>5</v>
      </c>
      <c r="I5097" s="12">
        <f>Table16[[#This Row],[price]]*Table16[[#This Row],[quantity]]</f>
        <v>573.44000000000005</v>
      </c>
    </row>
    <row r="5098" spans="1:9" x14ac:dyDescent="0.3">
      <c r="A5098" t="s">
        <v>7116</v>
      </c>
      <c r="B5098" t="s">
        <v>1011</v>
      </c>
      <c r="C5098" t="s">
        <v>2001</v>
      </c>
      <c r="D5098">
        <v>3</v>
      </c>
      <c r="E5098" s="16">
        <v>900.24</v>
      </c>
      <c r="F5098" s="1">
        <v>44313</v>
      </c>
      <c r="G5098" t="s">
        <v>2027</v>
      </c>
      <c r="H5098">
        <v>4</v>
      </c>
      <c r="I5098" s="12">
        <f>Table16[[#This Row],[price]]*Table16[[#This Row],[quantity]]</f>
        <v>2700.7200000000003</v>
      </c>
    </row>
    <row r="5099" spans="1:9" x14ac:dyDescent="0.3">
      <c r="A5099" t="s">
        <v>7115</v>
      </c>
      <c r="B5099" t="s">
        <v>1011</v>
      </c>
      <c r="C5099" t="s">
        <v>2006</v>
      </c>
      <c r="D5099">
        <v>1</v>
      </c>
      <c r="E5099" s="16">
        <v>15.15</v>
      </c>
      <c r="F5099" s="1">
        <v>44418</v>
      </c>
      <c r="G5099" t="s">
        <v>2018</v>
      </c>
      <c r="H5099">
        <v>3</v>
      </c>
      <c r="I5099" s="12">
        <f>Table16[[#This Row],[price]]*Table16[[#This Row],[quantity]]</f>
        <v>15.15</v>
      </c>
    </row>
    <row r="5100" spans="1:9" x14ac:dyDescent="0.3">
      <c r="A5100" t="s">
        <v>7114</v>
      </c>
      <c r="B5100" t="s">
        <v>1011</v>
      </c>
      <c r="C5100" t="s">
        <v>2008</v>
      </c>
      <c r="D5100">
        <v>1</v>
      </c>
      <c r="E5100" s="16">
        <v>5.23</v>
      </c>
      <c r="F5100" s="1">
        <v>44564</v>
      </c>
      <c r="G5100" t="s">
        <v>2027</v>
      </c>
      <c r="H5100">
        <v>1</v>
      </c>
      <c r="I5100" s="12">
        <f>Table16[[#This Row],[price]]*Table16[[#This Row],[quantity]]</f>
        <v>5.23</v>
      </c>
    </row>
    <row r="5101" spans="1:9" x14ac:dyDescent="0.3">
      <c r="A5101" t="s">
        <v>7117</v>
      </c>
      <c r="B5101" t="s">
        <v>1011</v>
      </c>
      <c r="C5101" t="s">
        <v>2001</v>
      </c>
      <c r="D5101">
        <v>1</v>
      </c>
      <c r="E5101" s="16">
        <v>300.08</v>
      </c>
      <c r="F5101" s="1">
        <v>44584</v>
      </c>
      <c r="G5101" t="s">
        <v>2012</v>
      </c>
      <c r="H5101">
        <v>1</v>
      </c>
      <c r="I5101" s="12">
        <f>Table16[[#This Row],[price]]*Table16[[#This Row],[quantity]]</f>
        <v>300.08</v>
      </c>
    </row>
    <row r="5102" spans="1:9" x14ac:dyDescent="0.3">
      <c r="A5102" t="s">
        <v>7118</v>
      </c>
      <c r="B5102" t="s">
        <v>1011</v>
      </c>
      <c r="C5102" t="s">
        <v>2008</v>
      </c>
      <c r="D5102">
        <v>4</v>
      </c>
      <c r="E5102" s="16">
        <v>20.92</v>
      </c>
      <c r="F5102" s="1">
        <v>44802</v>
      </c>
      <c r="G5102" t="s">
        <v>2004</v>
      </c>
      <c r="H5102">
        <v>2</v>
      </c>
      <c r="I5102" s="12">
        <f>Table16[[#This Row],[price]]*Table16[[#This Row],[quantity]]</f>
        <v>83.68</v>
      </c>
    </row>
    <row r="5103" spans="1:9" x14ac:dyDescent="0.3">
      <c r="A5103" t="s">
        <v>7122</v>
      </c>
      <c r="B5103" t="s">
        <v>1012</v>
      </c>
      <c r="C5103" t="s">
        <v>2001</v>
      </c>
      <c r="D5103">
        <v>2</v>
      </c>
      <c r="E5103" s="16">
        <v>600.16</v>
      </c>
      <c r="F5103" s="1">
        <v>44714</v>
      </c>
      <c r="G5103" t="s">
        <v>2004</v>
      </c>
      <c r="H5103">
        <v>3</v>
      </c>
      <c r="I5103" s="12">
        <f>Table16[[#This Row],[price]]*Table16[[#This Row],[quantity]]</f>
        <v>1200.32</v>
      </c>
    </row>
    <row r="5104" spans="1:9" x14ac:dyDescent="0.3">
      <c r="A5104" t="s">
        <v>7121</v>
      </c>
      <c r="B5104" t="s">
        <v>1012</v>
      </c>
      <c r="C5104" t="s">
        <v>2001</v>
      </c>
      <c r="D5104">
        <v>4</v>
      </c>
      <c r="E5104" s="16">
        <v>1200.32</v>
      </c>
      <c r="F5104" s="1">
        <v>44739</v>
      </c>
      <c r="G5104" t="s">
        <v>2004</v>
      </c>
      <c r="H5104">
        <v>3</v>
      </c>
      <c r="I5104" s="12">
        <f>Table16[[#This Row],[price]]*Table16[[#This Row],[quantity]]</f>
        <v>4801.28</v>
      </c>
    </row>
    <row r="5105" spans="1:9" x14ac:dyDescent="0.3">
      <c r="A5105" t="s">
        <v>7119</v>
      </c>
      <c r="B5105" t="s">
        <v>1012</v>
      </c>
      <c r="C5105" t="s">
        <v>2057</v>
      </c>
      <c r="D5105">
        <v>2</v>
      </c>
      <c r="E5105" s="16">
        <v>23.46</v>
      </c>
      <c r="F5105" s="1">
        <v>44847</v>
      </c>
      <c r="G5105" t="s">
        <v>2027</v>
      </c>
      <c r="H5105">
        <v>5</v>
      </c>
      <c r="I5105" s="12">
        <f>Table16[[#This Row],[price]]*Table16[[#This Row],[quantity]]</f>
        <v>46.92</v>
      </c>
    </row>
    <row r="5106" spans="1:9" x14ac:dyDescent="0.3">
      <c r="A5106" t="s">
        <v>7120</v>
      </c>
      <c r="B5106" t="s">
        <v>1012</v>
      </c>
      <c r="C5106" t="s">
        <v>2001</v>
      </c>
      <c r="D5106">
        <v>5</v>
      </c>
      <c r="E5106" s="16">
        <v>1500.4</v>
      </c>
      <c r="F5106" s="1">
        <v>44867</v>
      </c>
      <c r="G5106" t="s">
        <v>2020</v>
      </c>
      <c r="H5106">
        <v>3</v>
      </c>
      <c r="I5106" s="12">
        <f>Table16[[#This Row],[price]]*Table16[[#This Row],[quantity]]</f>
        <v>7502</v>
      </c>
    </row>
    <row r="5107" spans="1:9" x14ac:dyDescent="0.3">
      <c r="A5107" t="s">
        <v>7126</v>
      </c>
      <c r="B5107" t="s">
        <v>1013</v>
      </c>
      <c r="C5107" t="s">
        <v>2057</v>
      </c>
      <c r="D5107">
        <v>3</v>
      </c>
      <c r="E5107" s="16">
        <v>35.19</v>
      </c>
      <c r="F5107" s="1">
        <v>44248</v>
      </c>
      <c r="G5107" t="s">
        <v>2018</v>
      </c>
      <c r="H5107">
        <v>5</v>
      </c>
      <c r="I5107" s="12">
        <f>Table16[[#This Row],[price]]*Table16[[#This Row],[quantity]]</f>
        <v>105.57</v>
      </c>
    </row>
    <row r="5108" spans="1:9" x14ac:dyDescent="0.3">
      <c r="A5108" t="s">
        <v>7123</v>
      </c>
      <c r="B5108" t="s">
        <v>1013</v>
      </c>
      <c r="C5108" t="s">
        <v>2015</v>
      </c>
      <c r="D5108">
        <v>1</v>
      </c>
      <c r="E5108" s="16">
        <v>600.16999999999996</v>
      </c>
      <c r="F5108" s="1">
        <v>44379</v>
      </c>
      <c r="G5108" t="s">
        <v>2004</v>
      </c>
      <c r="H5108">
        <v>5</v>
      </c>
      <c r="I5108" s="12">
        <f>Table16[[#This Row],[price]]*Table16[[#This Row],[quantity]]</f>
        <v>600.16999999999996</v>
      </c>
    </row>
    <row r="5109" spans="1:9" x14ac:dyDescent="0.3">
      <c r="A5109" t="s">
        <v>7124</v>
      </c>
      <c r="B5109" t="s">
        <v>1013</v>
      </c>
      <c r="C5109" t="s">
        <v>2001</v>
      </c>
      <c r="D5109">
        <v>5</v>
      </c>
      <c r="E5109" s="16">
        <v>1500.4</v>
      </c>
      <c r="F5109" s="1">
        <v>44488</v>
      </c>
      <c r="G5109" t="s">
        <v>2009</v>
      </c>
      <c r="H5109">
        <v>3</v>
      </c>
      <c r="I5109" s="12">
        <f>Table16[[#This Row],[price]]*Table16[[#This Row],[quantity]]</f>
        <v>7502</v>
      </c>
    </row>
    <row r="5110" spans="1:9" x14ac:dyDescent="0.3">
      <c r="A5110" t="s">
        <v>7125</v>
      </c>
      <c r="B5110" t="s">
        <v>1013</v>
      </c>
      <c r="C5110" t="s">
        <v>2001</v>
      </c>
      <c r="D5110">
        <v>1</v>
      </c>
      <c r="E5110" s="16">
        <v>300.08</v>
      </c>
      <c r="F5110" s="1">
        <v>44726</v>
      </c>
      <c r="G5110" t="s">
        <v>2064</v>
      </c>
      <c r="H5110">
        <v>2</v>
      </c>
      <c r="I5110" s="12">
        <f>Table16[[#This Row],[price]]*Table16[[#This Row],[quantity]]</f>
        <v>300.08</v>
      </c>
    </row>
    <row r="5111" spans="1:9" x14ac:dyDescent="0.3">
      <c r="A5111" t="s">
        <v>7130</v>
      </c>
      <c r="B5111" t="s">
        <v>1014</v>
      </c>
      <c r="C5111" t="s">
        <v>2057</v>
      </c>
      <c r="D5111">
        <v>3</v>
      </c>
      <c r="E5111" s="16">
        <v>35.19</v>
      </c>
      <c r="F5111" s="1">
        <v>44276</v>
      </c>
      <c r="G5111" t="s">
        <v>2020</v>
      </c>
      <c r="H5111">
        <v>5</v>
      </c>
      <c r="I5111" s="12">
        <f>Table16[[#This Row],[price]]*Table16[[#This Row],[quantity]]</f>
        <v>105.57</v>
      </c>
    </row>
    <row r="5112" spans="1:9" x14ac:dyDescent="0.3">
      <c r="A5112" t="s">
        <v>7127</v>
      </c>
      <c r="B5112" t="s">
        <v>1014</v>
      </c>
      <c r="C5112" t="s">
        <v>2015</v>
      </c>
      <c r="D5112">
        <v>4</v>
      </c>
      <c r="E5112" s="16">
        <v>2400.6799999999998</v>
      </c>
      <c r="F5112" s="1">
        <v>44566</v>
      </c>
      <c r="G5112" t="s">
        <v>2012</v>
      </c>
      <c r="H5112">
        <v>5</v>
      </c>
      <c r="I5112" s="12">
        <f>Table16[[#This Row],[price]]*Table16[[#This Row],[quantity]]</f>
        <v>9602.7199999999993</v>
      </c>
    </row>
    <row r="5113" spans="1:9" x14ac:dyDescent="0.3">
      <c r="A5113" t="s">
        <v>7128</v>
      </c>
      <c r="B5113" t="s">
        <v>1014</v>
      </c>
      <c r="C5113" t="s">
        <v>2015</v>
      </c>
      <c r="D5113">
        <v>4</v>
      </c>
      <c r="E5113" s="16">
        <v>2400.6799999999998</v>
      </c>
      <c r="F5113" s="1">
        <v>44800</v>
      </c>
      <c r="G5113" t="s">
        <v>2004</v>
      </c>
      <c r="H5113">
        <v>4</v>
      </c>
      <c r="I5113" s="12">
        <f>Table16[[#This Row],[price]]*Table16[[#This Row],[quantity]]</f>
        <v>9602.7199999999993</v>
      </c>
    </row>
    <row r="5114" spans="1:9" x14ac:dyDescent="0.3">
      <c r="A5114" t="s">
        <v>7129</v>
      </c>
      <c r="B5114" t="s">
        <v>1014</v>
      </c>
      <c r="C5114" t="s">
        <v>2001</v>
      </c>
      <c r="D5114">
        <v>3</v>
      </c>
      <c r="E5114" s="16">
        <v>900.24</v>
      </c>
      <c r="F5114" s="1">
        <v>44898</v>
      </c>
      <c r="G5114" t="s">
        <v>2012</v>
      </c>
      <c r="H5114">
        <v>2</v>
      </c>
      <c r="I5114" s="12">
        <f>Table16[[#This Row],[price]]*Table16[[#This Row],[quantity]]</f>
        <v>2700.7200000000003</v>
      </c>
    </row>
    <row r="5115" spans="1:9" x14ac:dyDescent="0.3">
      <c r="A5115" t="s">
        <v>7132</v>
      </c>
      <c r="B5115" t="s">
        <v>1015</v>
      </c>
      <c r="C5115" t="s">
        <v>2011</v>
      </c>
      <c r="D5115">
        <v>5</v>
      </c>
      <c r="E5115" s="16">
        <v>203.3</v>
      </c>
      <c r="F5115" s="1">
        <v>44466</v>
      </c>
      <c r="G5115" t="s">
        <v>2018</v>
      </c>
      <c r="H5115">
        <v>5</v>
      </c>
      <c r="I5115" s="12">
        <f>Table16[[#This Row],[price]]*Table16[[#This Row],[quantity]]</f>
        <v>1016.5</v>
      </c>
    </row>
    <row r="5116" spans="1:9" x14ac:dyDescent="0.3">
      <c r="A5116" t="s">
        <v>7134</v>
      </c>
      <c r="B5116" t="s">
        <v>1015</v>
      </c>
      <c r="C5116" t="s">
        <v>2001</v>
      </c>
      <c r="D5116">
        <v>2</v>
      </c>
      <c r="E5116" s="16">
        <v>600.16</v>
      </c>
      <c r="F5116" s="1">
        <v>44479</v>
      </c>
      <c r="G5116" t="s">
        <v>2041</v>
      </c>
      <c r="H5116">
        <v>2</v>
      </c>
      <c r="I5116" s="12">
        <f>Table16[[#This Row],[price]]*Table16[[#This Row],[quantity]]</f>
        <v>1200.32</v>
      </c>
    </row>
    <row r="5117" spans="1:9" x14ac:dyDescent="0.3">
      <c r="A5117" t="s">
        <v>7131</v>
      </c>
      <c r="B5117" t="s">
        <v>1015</v>
      </c>
      <c r="C5117" t="s">
        <v>2011</v>
      </c>
      <c r="D5117">
        <v>2</v>
      </c>
      <c r="E5117" s="16">
        <v>81.319999999999993</v>
      </c>
      <c r="F5117" s="1">
        <v>44843</v>
      </c>
      <c r="G5117" t="s">
        <v>2004</v>
      </c>
      <c r="H5117">
        <v>4</v>
      </c>
      <c r="I5117" s="12">
        <f>Table16[[#This Row],[price]]*Table16[[#This Row],[quantity]]</f>
        <v>162.63999999999999</v>
      </c>
    </row>
    <row r="5118" spans="1:9" x14ac:dyDescent="0.3">
      <c r="A5118" t="s">
        <v>7133</v>
      </c>
      <c r="B5118" t="s">
        <v>1015</v>
      </c>
      <c r="C5118" t="s">
        <v>2001</v>
      </c>
      <c r="D5118">
        <v>5</v>
      </c>
      <c r="E5118" s="16">
        <v>1500.4</v>
      </c>
      <c r="F5118" s="1">
        <v>44846</v>
      </c>
      <c r="G5118" t="s">
        <v>2009</v>
      </c>
      <c r="H5118">
        <v>3</v>
      </c>
      <c r="I5118" s="12">
        <f>Table16[[#This Row],[price]]*Table16[[#This Row],[quantity]]</f>
        <v>7502</v>
      </c>
    </row>
    <row r="5119" spans="1:9" x14ac:dyDescent="0.3">
      <c r="A5119" t="s">
        <v>7138</v>
      </c>
      <c r="B5119" t="s">
        <v>1016</v>
      </c>
      <c r="C5119" t="s">
        <v>2057</v>
      </c>
      <c r="D5119">
        <v>4</v>
      </c>
      <c r="E5119" s="16">
        <v>46.92</v>
      </c>
      <c r="F5119" s="1">
        <v>44244</v>
      </c>
      <c r="G5119" t="s">
        <v>2004</v>
      </c>
      <c r="H5119">
        <v>2</v>
      </c>
      <c r="I5119" s="12">
        <f>Table16[[#This Row],[price]]*Table16[[#This Row],[quantity]]</f>
        <v>187.68</v>
      </c>
    </row>
    <row r="5120" spans="1:9" x14ac:dyDescent="0.3">
      <c r="A5120" t="s">
        <v>7140</v>
      </c>
      <c r="B5120" t="s">
        <v>1016</v>
      </c>
      <c r="C5120" t="s">
        <v>2001</v>
      </c>
      <c r="D5120">
        <v>5</v>
      </c>
      <c r="E5120" s="16">
        <v>1500.4</v>
      </c>
      <c r="F5120" s="1">
        <v>44302</v>
      </c>
      <c r="G5120" t="s">
        <v>2002</v>
      </c>
      <c r="H5120">
        <v>5</v>
      </c>
      <c r="I5120" s="12">
        <f>Table16[[#This Row],[price]]*Table16[[#This Row],[quantity]]</f>
        <v>7502</v>
      </c>
    </row>
    <row r="5121" spans="1:9" x14ac:dyDescent="0.3">
      <c r="A5121" t="s">
        <v>7143</v>
      </c>
      <c r="B5121" t="s">
        <v>1016</v>
      </c>
      <c r="C5121" t="s">
        <v>2001</v>
      </c>
      <c r="D5121">
        <v>1</v>
      </c>
      <c r="E5121" s="16">
        <v>300.08</v>
      </c>
      <c r="F5121" s="1">
        <v>44476</v>
      </c>
      <c r="G5121" t="s">
        <v>2020</v>
      </c>
      <c r="H5121">
        <v>2</v>
      </c>
      <c r="I5121" s="12">
        <f>Table16[[#This Row],[price]]*Table16[[#This Row],[quantity]]</f>
        <v>300.08</v>
      </c>
    </row>
    <row r="5122" spans="1:9" x14ac:dyDescent="0.3">
      <c r="A5122" t="s">
        <v>7142</v>
      </c>
      <c r="B5122" t="s">
        <v>1016</v>
      </c>
      <c r="C5122" t="s">
        <v>2001</v>
      </c>
      <c r="D5122">
        <v>5</v>
      </c>
      <c r="E5122" s="16">
        <v>1500.4</v>
      </c>
      <c r="F5122" s="1">
        <v>44532</v>
      </c>
      <c r="G5122" t="s">
        <v>2002</v>
      </c>
      <c r="H5122">
        <v>1</v>
      </c>
      <c r="I5122" s="12">
        <f>Table16[[#This Row],[price]]*Table16[[#This Row],[quantity]]</f>
        <v>7502</v>
      </c>
    </row>
    <row r="5123" spans="1:9" x14ac:dyDescent="0.3">
      <c r="A5123" t="s">
        <v>7136</v>
      </c>
      <c r="B5123" t="s">
        <v>1016</v>
      </c>
      <c r="C5123" t="s">
        <v>2011</v>
      </c>
      <c r="D5123">
        <v>5</v>
      </c>
      <c r="E5123" s="16">
        <v>203.3</v>
      </c>
      <c r="F5123" s="1">
        <v>44533</v>
      </c>
      <c r="G5123" t="s">
        <v>2002</v>
      </c>
      <c r="H5123">
        <v>5</v>
      </c>
      <c r="I5123" s="12">
        <f>Table16[[#This Row],[price]]*Table16[[#This Row],[quantity]]</f>
        <v>1016.5</v>
      </c>
    </row>
    <row r="5124" spans="1:9" x14ac:dyDescent="0.3">
      <c r="A5124" t="s">
        <v>7139</v>
      </c>
      <c r="B5124" t="s">
        <v>1016</v>
      </c>
      <c r="C5124" t="s">
        <v>2011</v>
      </c>
      <c r="D5124">
        <v>3</v>
      </c>
      <c r="E5124" s="16">
        <v>121.98</v>
      </c>
      <c r="F5124" s="1">
        <v>44607</v>
      </c>
      <c r="G5124" t="s">
        <v>2064</v>
      </c>
      <c r="H5124">
        <v>4</v>
      </c>
      <c r="I5124" s="12">
        <f>Table16[[#This Row],[price]]*Table16[[#This Row],[quantity]]</f>
        <v>365.94</v>
      </c>
    </row>
    <row r="5125" spans="1:9" x14ac:dyDescent="0.3">
      <c r="A5125" t="s">
        <v>7137</v>
      </c>
      <c r="B5125" t="s">
        <v>1016</v>
      </c>
      <c r="C5125" t="s">
        <v>2008</v>
      </c>
      <c r="D5125">
        <v>2</v>
      </c>
      <c r="E5125" s="16">
        <v>10.46</v>
      </c>
      <c r="F5125" s="1">
        <v>44704</v>
      </c>
      <c r="G5125" t="s">
        <v>2064</v>
      </c>
      <c r="H5125">
        <v>4</v>
      </c>
      <c r="I5125" s="12">
        <f>Table16[[#This Row],[price]]*Table16[[#This Row],[quantity]]</f>
        <v>20.92</v>
      </c>
    </row>
    <row r="5126" spans="1:9" x14ac:dyDescent="0.3">
      <c r="A5126" t="s">
        <v>7135</v>
      </c>
      <c r="B5126" t="s">
        <v>1016</v>
      </c>
      <c r="C5126" t="s">
        <v>2001</v>
      </c>
      <c r="D5126">
        <v>2</v>
      </c>
      <c r="E5126" s="16">
        <v>600.16</v>
      </c>
      <c r="F5126" s="1">
        <v>44744</v>
      </c>
      <c r="G5126" t="s">
        <v>2041</v>
      </c>
      <c r="H5126">
        <v>1</v>
      </c>
      <c r="I5126" s="12">
        <f>Table16[[#This Row],[price]]*Table16[[#This Row],[quantity]]</f>
        <v>1200.32</v>
      </c>
    </row>
    <row r="5127" spans="1:9" x14ac:dyDescent="0.3">
      <c r="A5127" t="s">
        <v>7141</v>
      </c>
      <c r="B5127" t="s">
        <v>1016</v>
      </c>
      <c r="C5127" t="s">
        <v>2011</v>
      </c>
      <c r="D5127">
        <v>1</v>
      </c>
      <c r="E5127" s="16">
        <v>40.659999999999997</v>
      </c>
      <c r="F5127" s="1">
        <v>44793</v>
      </c>
      <c r="G5127" t="s">
        <v>2058</v>
      </c>
      <c r="H5127">
        <v>5</v>
      </c>
      <c r="I5127" s="12">
        <f>Table16[[#This Row],[price]]*Table16[[#This Row],[quantity]]</f>
        <v>40.659999999999997</v>
      </c>
    </row>
    <row r="5128" spans="1:9" x14ac:dyDescent="0.3">
      <c r="A5128" t="s">
        <v>7144</v>
      </c>
      <c r="B5128" t="s">
        <v>1017</v>
      </c>
      <c r="C5128" t="s">
        <v>2057</v>
      </c>
      <c r="D5128">
        <v>4</v>
      </c>
      <c r="E5128" s="16">
        <v>46.92</v>
      </c>
      <c r="F5128" s="1">
        <v>44462</v>
      </c>
      <c r="G5128" t="s">
        <v>2002</v>
      </c>
      <c r="H5128">
        <v>1</v>
      </c>
      <c r="I5128" s="12">
        <f>Table16[[#This Row],[price]]*Table16[[#This Row],[quantity]]</f>
        <v>187.68</v>
      </c>
    </row>
    <row r="5129" spans="1:9" x14ac:dyDescent="0.3">
      <c r="A5129" t="s">
        <v>7146</v>
      </c>
      <c r="B5129" t="s">
        <v>1017</v>
      </c>
      <c r="C5129" t="s">
        <v>2024</v>
      </c>
      <c r="D5129">
        <v>2</v>
      </c>
      <c r="E5129" s="16">
        <v>71.680000000000007</v>
      </c>
      <c r="F5129" s="1">
        <v>44507</v>
      </c>
      <c r="G5129" t="s">
        <v>2064</v>
      </c>
      <c r="H5129">
        <v>3</v>
      </c>
      <c r="I5129" s="12">
        <f>Table16[[#This Row],[price]]*Table16[[#This Row],[quantity]]</f>
        <v>143.36000000000001</v>
      </c>
    </row>
    <row r="5130" spans="1:9" x14ac:dyDescent="0.3">
      <c r="A5130" t="s">
        <v>7145</v>
      </c>
      <c r="B5130" t="s">
        <v>1017</v>
      </c>
      <c r="C5130" t="s">
        <v>2001</v>
      </c>
      <c r="D5130">
        <v>3</v>
      </c>
      <c r="E5130" s="16">
        <v>900.24</v>
      </c>
      <c r="F5130" s="1">
        <v>44595</v>
      </c>
      <c r="G5130" t="s">
        <v>2004</v>
      </c>
      <c r="H5130">
        <v>2</v>
      </c>
      <c r="I5130" s="12">
        <f>Table16[[#This Row],[price]]*Table16[[#This Row],[quantity]]</f>
        <v>2700.7200000000003</v>
      </c>
    </row>
    <row r="5131" spans="1:9" x14ac:dyDescent="0.3">
      <c r="A5131" t="s">
        <v>7150</v>
      </c>
      <c r="B5131" t="s">
        <v>1018</v>
      </c>
      <c r="C5131" t="s">
        <v>2011</v>
      </c>
      <c r="D5131">
        <v>5</v>
      </c>
      <c r="E5131" s="16">
        <v>203.3</v>
      </c>
      <c r="F5131" s="1">
        <v>44375</v>
      </c>
      <c r="G5131" t="s">
        <v>2004</v>
      </c>
      <c r="H5131">
        <v>2</v>
      </c>
      <c r="I5131" s="12">
        <f>Table16[[#This Row],[price]]*Table16[[#This Row],[quantity]]</f>
        <v>1016.5</v>
      </c>
    </row>
    <row r="5132" spans="1:9" x14ac:dyDescent="0.3">
      <c r="A5132" t="s">
        <v>7149</v>
      </c>
      <c r="B5132" t="s">
        <v>1018</v>
      </c>
      <c r="C5132" t="s">
        <v>2008</v>
      </c>
      <c r="D5132">
        <v>3</v>
      </c>
      <c r="E5132" s="16">
        <v>15.69</v>
      </c>
      <c r="F5132" s="1">
        <v>44527</v>
      </c>
      <c r="G5132" t="s">
        <v>2041</v>
      </c>
      <c r="H5132">
        <v>1</v>
      </c>
      <c r="I5132" s="12">
        <f>Table16[[#This Row],[price]]*Table16[[#This Row],[quantity]]</f>
        <v>47.07</v>
      </c>
    </row>
    <row r="5133" spans="1:9" x14ac:dyDescent="0.3">
      <c r="A5133" t="s">
        <v>7148</v>
      </c>
      <c r="B5133" t="s">
        <v>1018</v>
      </c>
      <c r="C5133" t="s">
        <v>2001</v>
      </c>
      <c r="D5133">
        <v>2</v>
      </c>
      <c r="E5133" s="16">
        <v>600.16</v>
      </c>
      <c r="F5133" s="1">
        <v>44545</v>
      </c>
      <c r="G5133" t="s">
        <v>2041</v>
      </c>
      <c r="H5133">
        <v>2</v>
      </c>
      <c r="I5133" s="12">
        <f>Table16[[#This Row],[price]]*Table16[[#This Row],[quantity]]</f>
        <v>1200.32</v>
      </c>
    </row>
    <row r="5134" spans="1:9" x14ac:dyDescent="0.3">
      <c r="A5134" t="s">
        <v>7152</v>
      </c>
      <c r="B5134" t="s">
        <v>1018</v>
      </c>
      <c r="C5134" t="s">
        <v>2024</v>
      </c>
      <c r="D5134">
        <v>1</v>
      </c>
      <c r="E5134" s="16">
        <v>35.840000000000003</v>
      </c>
      <c r="F5134" s="1">
        <v>44809</v>
      </c>
      <c r="G5134" t="s">
        <v>2020</v>
      </c>
      <c r="H5134">
        <v>2</v>
      </c>
      <c r="I5134" s="12">
        <f>Table16[[#This Row],[price]]*Table16[[#This Row],[quantity]]</f>
        <v>35.840000000000003</v>
      </c>
    </row>
    <row r="5135" spans="1:9" x14ac:dyDescent="0.3">
      <c r="A5135" t="s">
        <v>7147</v>
      </c>
      <c r="B5135" t="s">
        <v>1018</v>
      </c>
      <c r="C5135" t="s">
        <v>2008</v>
      </c>
      <c r="D5135">
        <v>4</v>
      </c>
      <c r="E5135" s="16">
        <v>20.92</v>
      </c>
      <c r="F5135" s="1">
        <v>44829</v>
      </c>
      <c r="G5135" t="s">
        <v>2027</v>
      </c>
      <c r="H5135">
        <v>3</v>
      </c>
      <c r="I5135" s="12">
        <f>Table16[[#This Row],[price]]*Table16[[#This Row],[quantity]]</f>
        <v>83.68</v>
      </c>
    </row>
    <row r="5136" spans="1:9" x14ac:dyDescent="0.3">
      <c r="A5136" t="s">
        <v>7151</v>
      </c>
      <c r="B5136" t="s">
        <v>1018</v>
      </c>
      <c r="C5136" t="s">
        <v>2024</v>
      </c>
      <c r="D5136">
        <v>5</v>
      </c>
      <c r="E5136" s="16">
        <v>179.2</v>
      </c>
      <c r="F5136" s="1">
        <v>44887</v>
      </c>
      <c r="G5136" t="s">
        <v>2004</v>
      </c>
      <c r="H5136">
        <v>2</v>
      </c>
      <c r="I5136" s="12">
        <f>Table16[[#This Row],[price]]*Table16[[#This Row],[quantity]]</f>
        <v>896</v>
      </c>
    </row>
    <row r="5137" spans="1:9" x14ac:dyDescent="0.3">
      <c r="A5137" t="s">
        <v>7154</v>
      </c>
      <c r="B5137" t="s">
        <v>1019</v>
      </c>
      <c r="C5137" t="s">
        <v>2001</v>
      </c>
      <c r="D5137">
        <v>3</v>
      </c>
      <c r="E5137" s="16">
        <v>900.24</v>
      </c>
      <c r="F5137" s="1">
        <v>44205</v>
      </c>
      <c r="G5137" t="s">
        <v>2002</v>
      </c>
      <c r="H5137">
        <v>2</v>
      </c>
      <c r="I5137" s="12">
        <f>Table16[[#This Row],[price]]*Table16[[#This Row],[quantity]]</f>
        <v>2700.7200000000003</v>
      </c>
    </row>
    <row r="5138" spans="1:9" x14ac:dyDescent="0.3">
      <c r="A5138" t="s">
        <v>7155</v>
      </c>
      <c r="B5138" t="s">
        <v>1019</v>
      </c>
      <c r="C5138" t="s">
        <v>2001</v>
      </c>
      <c r="D5138">
        <v>2</v>
      </c>
      <c r="E5138" s="16">
        <v>600.16</v>
      </c>
      <c r="F5138" s="1">
        <v>44214</v>
      </c>
      <c r="G5138" t="s">
        <v>2058</v>
      </c>
      <c r="H5138">
        <v>2</v>
      </c>
      <c r="I5138" s="12">
        <f>Table16[[#This Row],[price]]*Table16[[#This Row],[quantity]]</f>
        <v>1200.32</v>
      </c>
    </row>
    <row r="5139" spans="1:9" x14ac:dyDescent="0.3">
      <c r="A5139" t="s">
        <v>7156</v>
      </c>
      <c r="B5139" t="s">
        <v>1019</v>
      </c>
      <c r="C5139" t="s">
        <v>2008</v>
      </c>
      <c r="D5139">
        <v>5</v>
      </c>
      <c r="E5139" s="16">
        <v>26.15</v>
      </c>
      <c r="F5139" s="1">
        <v>44462</v>
      </c>
      <c r="G5139" t="s">
        <v>2004</v>
      </c>
      <c r="H5139">
        <v>2</v>
      </c>
      <c r="I5139" s="12">
        <f>Table16[[#This Row],[price]]*Table16[[#This Row],[quantity]]</f>
        <v>130.75</v>
      </c>
    </row>
    <row r="5140" spans="1:9" x14ac:dyDescent="0.3">
      <c r="A5140" t="s">
        <v>7153</v>
      </c>
      <c r="B5140" t="s">
        <v>1019</v>
      </c>
      <c r="C5140" t="s">
        <v>2057</v>
      </c>
      <c r="D5140">
        <v>4</v>
      </c>
      <c r="E5140" s="16">
        <v>46.92</v>
      </c>
      <c r="F5140" s="1">
        <v>44594</v>
      </c>
      <c r="G5140" t="s">
        <v>2020</v>
      </c>
      <c r="H5140">
        <v>2</v>
      </c>
      <c r="I5140" s="12">
        <f>Table16[[#This Row],[price]]*Table16[[#This Row],[quantity]]</f>
        <v>187.68</v>
      </c>
    </row>
    <row r="5141" spans="1:9" x14ac:dyDescent="0.3">
      <c r="A5141" t="s">
        <v>7159</v>
      </c>
      <c r="B5141" t="s">
        <v>1020</v>
      </c>
      <c r="C5141" t="s">
        <v>2006</v>
      </c>
      <c r="D5141">
        <v>2</v>
      </c>
      <c r="E5141" s="16">
        <v>30.3</v>
      </c>
      <c r="F5141" s="1">
        <v>44334</v>
      </c>
      <c r="G5141" t="s">
        <v>2004</v>
      </c>
      <c r="H5141">
        <v>3</v>
      </c>
      <c r="I5141" s="12">
        <f>Table16[[#This Row],[price]]*Table16[[#This Row],[quantity]]</f>
        <v>60.6</v>
      </c>
    </row>
    <row r="5142" spans="1:9" x14ac:dyDescent="0.3">
      <c r="A5142" t="s">
        <v>7157</v>
      </c>
      <c r="B5142" t="s">
        <v>1020</v>
      </c>
      <c r="C5142" t="s">
        <v>2001</v>
      </c>
      <c r="D5142">
        <v>2</v>
      </c>
      <c r="E5142" s="16">
        <v>600.16</v>
      </c>
      <c r="F5142" s="1">
        <v>44477</v>
      </c>
      <c r="G5142" t="s">
        <v>2064</v>
      </c>
      <c r="H5142">
        <v>1</v>
      </c>
      <c r="I5142" s="12">
        <f>Table16[[#This Row],[price]]*Table16[[#This Row],[quantity]]</f>
        <v>1200.32</v>
      </c>
    </row>
    <row r="5143" spans="1:9" x14ac:dyDescent="0.3">
      <c r="A5143" t="s">
        <v>7158</v>
      </c>
      <c r="B5143" t="s">
        <v>1020</v>
      </c>
      <c r="C5143" t="s">
        <v>2024</v>
      </c>
      <c r="D5143">
        <v>4</v>
      </c>
      <c r="E5143" s="16">
        <v>143.36000000000001</v>
      </c>
      <c r="F5143" s="1">
        <v>44688</v>
      </c>
      <c r="G5143" t="s">
        <v>2027</v>
      </c>
      <c r="H5143">
        <v>1</v>
      </c>
      <c r="I5143" s="12">
        <f>Table16[[#This Row],[price]]*Table16[[#This Row],[quantity]]</f>
        <v>573.44000000000005</v>
      </c>
    </row>
    <row r="5144" spans="1:9" x14ac:dyDescent="0.3">
      <c r="A5144" t="s">
        <v>7161</v>
      </c>
      <c r="B5144" t="s">
        <v>1020</v>
      </c>
      <c r="C5144" t="s">
        <v>2024</v>
      </c>
      <c r="D5144">
        <v>1</v>
      </c>
      <c r="E5144" s="16">
        <v>35.840000000000003</v>
      </c>
      <c r="F5144" s="1">
        <v>44733</v>
      </c>
      <c r="G5144" t="s">
        <v>2027</v>
      </c>
      <c r="H5144">
        <v>5</v>
      </c>
      <c r="I5144" s="12">
        <f>Table16[[#This Row],[price]]*Table16[[#This Row],[quantity]]</f>
        <v>35.840000000000003</v>
      </c>
    </row>
    <row r="5145" spans="1:9" x14ac:dyDescent="0.3">
      <c r="A5145" t="s">
        <v>7160</v>
      </c>
      <c r="B5145" t="s">
        <v>1020</v>
      </c>
      <c r="C5145" t="s">
        <v>2057</v>
      </c>
      <c r="D5145">
        <v>5</v>
      </c>
      <c r="E5145" s="16">
        <v>58.65</v>
      </c>
      <c r="F5145" s="1">
        <v>44862</v>
      </c>
      <c r="G5145" t="s">
        <v>2020</v>
      </c>
      <c r="H5145">
        <v>4</v>
      </c>
      <c r="I5145" s="12">
        <f>Table16[[#This Row],[price]]*Table16[[#This Row],[quantity]]</f>
        <v>293.25</v>
      </c>
    </row>
    <row r="5146" spans="1:9" x14ac:dyDescent="0.3">
      <c r="A5146" t="s">
        <v>7166</v>
      </c>
      <c r="B5146" t="s">
        <v>1021</v>
      </c>
      <c r="C5146" t="s">
        <v>2011</v>
      </c>
      <c r="D5146">
        <v>1</v>
      </c>
      <c r="E5146" s="16">
        <v>40.659999999999997</v>
      </c>
      <c r="F5146" s="1">
        <v>44283</v>
      </c>
      <c r="G5146" t="s">
        <v>2027</v>
      </c>
      <c r="H5146">
        <v>1</v>
      </c>
      <c r="I5146" s="12">
        <f>Table16[[#This Row],[price]]*Table16[[#This Row],[quantity]]</f>
        <v>40.659999999999997</v>
      </c>
    </row>
    <row r="5147" spans="1:9" x14ac:dyDescent="0.3">
      <c r="A5147" t="s">
        <v>7162</v>
      </c>
      <c r="B5147" t="s">
        <v>1021</v>
      </c>
      <c r="C5147" t="s">
        <v>2008</v>
      </c>
      <c r="D5147">
        <v>3</v>
      </c>
      <c r="E5147" s="16">
        <v>15.69</v>
      </c>
      <c r="F5147" s="1">
        <v>44442</v>
      </c>
      <c r="G5147" t="s">
        <v>2002</v>
      </c>
      <c r="H5147">
        <v>1</v>
      </c>
      <c r="I5147" s="12">
        <f>Table16[[#This Row],[price]]*Table16[[#This Row],[quantity]]</f>
        <v>47.07</v>
      </c>
    </row>
    <row r="5148" spans="1:9" x14ac:dyDescent="0.3">
      <c r="A5148" t="s">
        <v>7163</v>
      </c>
      <c r="B5148" t="s">
        <v>1021</v>
      </c>
      <c r="C5148" t="s">
        <v>2001</v>
      </c>
      <c r="D5148">
        <v>2</v>
      </c>
      <c r="E5148" s="16">
        <v>600.16</v>
      </c>
      <c r="F5148" s="1">
        <v>44561</v>
      </c>
      <c r="G5148" t="s">
        <v>2027</v>
      </c>
      <c r="H5148">
        <v>3</v>
      </c>
      <c r="I5148" s="12">
        <f>Table16[[#This Row],[price]]*Table16[[#This Row],[quantity]]</f>
        <v>1200.32</v>
      </c>
    </row>
    <row r="5149" spans="1:9" x14ac:dyDescent="0.3">
      <c r="A5149" t="s">
        <v>7165</v>
      </c>
      <c r="B5149" t="s">
        <v>1021</v>
      </c>
      <c r="C5149" t="s">
        <v>2006</v>
      </c>
      <c r="D5149">
        <v>4</v>
      </c>
      <c r="E5149" s="16">
        <v>60.6</v>
      </c>
      <c r="F5149" s="1">
        <v>44644</v>
      </c>
      <c r="G5149" t="s">
        <v>2004</v>
      </c>
      <c r="H5149">
        <v>1</v>
      </c>
      <c r="I5149" s="12">
        <f>Table16[[#This Row],[price]]*Table16[[#This Row],[quantity]]</f>
        <v>242.4</v>
      </c>
    </row>
    <row r="5150" spans="1:9" x14ac:dyDescent="0.3">
      <c r="A5150" t="s">
        <v>7167</v>
      </c>
      <c r="B5150" t="s">
        <v>1021</v>
      </c>
      <c r="C5150" t="s">
        <v>2001</v>
      </c>
      <c r="D5150">
        <v>4</v>
      </c>
      <c r="E5150" s="16">
        <v>1200.32</v>
      </c>
      <c r="F5150" s="1">
        <v>44909</v>
      </c>
      <c r="G5150" t="s">
        <v>2018</v>
      </c>
      <c r="H5150">
        <v>5</v>
      </c>
      <c r="I5150" s="12">
        <f>Table16[[#This Row],[price]]*Table16[[#This Row],[quantity]]</f>
        <v>4801.28</v>
      </c>
    </row>
    <row r="5151" spans="1:9" x14ac:dyDescent="0.3">
      <c r="A5151" t="s">
        <v>7164</v>
      </c>
      <c r="B5151" t="s">
        <v>1021</v>
      </c>
      <c r="C5151" t="s">
        <v>2001</v>
      </c>
      <c r="D5151">
        <v>5</v>
      </c>
      <c r="E5151" s="16">
        <v>1500.4</v>
      </c>
      <c r="F5151" s="1">
        <v>44952</v>
      </c>
      <c r="G5151" t="s">
        <v>2004</v>
      </c>
      <c r="H5151">
        <v>5</v>
      </c>
      <c r="I5151" s="12">
        <f>Table16[[#This Row],[price]]*Table16[[#This Row],[quantity]]</f>
        <v>7502</v>
      </c>
    </row>
    <row r="5152" spans="1:9" x14ac:dyDescent="0.3">
      <c r="A5152" t="s">
        <v>7168</v>
      </c>
      <c r="B5152" t="s">
        <v>1022</v>
      </c>
      <c r="C5152" t="s">
        <v>2057</v>
      </c>
      <c r="D5152">
        <v>2</v>
      </c>
      <c r="E5152" s="16">
        <v>23.46</v>
      </c>
      <c r="F5152" s="1">
        <v>44554</v>
      </c>
      <c r="G5152" t="s">
        <v>2004</v>
      </c>
      <c r="H5152">
        <v>3</v>
      </c>
      <c r="I5152" s="12">
        <f>Table16[[#This Row],[price]]*Table16[[#This Row],[quantity]]</f>
        <v>46.92</v>
      </c>
    </row>
    <row r="5153" spans="1:9" x14ac:dyDescent="0.3">
      <c r="A5153" t="s">
        <v>7169</v>
      </c>
      <c r="B5153" t="s">
        <v>1022</v>
      </c>
      <c r="C5153" t="s">
        <v>2001</v>
      </c>
      <c r="D5153">
        <v>3</v>
      </c>
      <c r="E5153" s="16">
        <v>900.24</v>
      </c>
      <c r="F5153" s="1">
        <v>44761</v>
      </c>
      <c r="G5153" t="s">
        <v>2041</v>
      </c>
      <c r="H5153">
        <v>2</v>
      </c>
      <c r="I5153" s="12">
        <f>Table16[[#This Row],[price]]*Table16[[#This Row],[quantity]]</f>
        <v>2700.7200000000003</v>
      </c>
    </row>
    <row r="5154" spans="1:9" x14ac:dyDescent="0.3">
      <c r="A5154" t="s">
        <v>7171</v>
      </c>
      <c r="B5154" t="s">
        <v>1023</v>
      </c>
      <c r="C5154" t="s">
        <v>2011</v>
      </c>
      <c r="D5154">
        <v>5</v>
      </c>
      <c r="E5154" s="16">
        <v>203.3</v>
      </c>
      <c r="F5154" s="1">
        <v>44851</v>
      </c>
      <c r="G5154" t="s">
        <v>2004</v>
      </c>
      <c r="H5154">
        <v>3</v>
      </c>
      <c r="I5154" s="12">
        <f>Table16[[#This Row],[price]]*Table16[[#This Row],[quantity]]</f>
        <v>1016.5</v>
      </c>
    </row>
    <row r="5155" spans="1:9" x14ac:dyDescent="0.3">
      <c r="A5155" t="s">
        <v>7170</v>
      </c>
      <c r="B5155" t="s">
        <v>1023</v>
      </c>
      <c r="C5155" t="s">
        <v>2001</v>
      </c>
      <c r="D5155">
        <v>5</v>
      </c>
      <c r="E5155" s="16">
        <v>1500.4</v>
      </c>
      <c r="F5155" s="1">
        <v>44856</v>
      </c>
      <c r="G5155" t="s">
        <v>2027</v>
      </c>
      <c r="H5155">
        <v>5</v>
      </c>
      <c r="I5155" s="12">
        <f>Table16[[#This Row],[price]]*Table16[[#This Row],[quantity]]</f>
        <v>7502</v>
      </c>
    </row>
    <row r="5156" spans="1:9" x14ac:dyDescent="0.3">
      <c r="A5156" t="s">
        <v>7173</v>
      </c>
      <c r="B5156" t="s">
        <v>1024</v>
      </c>
      <c r="C5156" t="s">
        <v>2001</v>
      </c>
      <c r="D5156">
        <v>3</v>
      </c>
      <c r="E5156" s="16">
        <v>900.24</v>
      </c>
      <c r="F5156" s="1">
        <v>44851</v>
      </c>
      <c r="G5156" t="s">
        <v>2058</v>
      </c>
      <c r="H5156">
        <v>5</v>
      </c>
      <c r="I5156" s="12">
        <f>Table16[[#This Row],[price]]*Table16[[#This Row],[quantity]]</f>
        <v>2700.7200000000003</v>
      </c>
    </row>
    <row r="5157" spans="1:9" x14ac:dyDescent="0.3">
      <c r="A5157" t="s">
        <v>7172</v>
      </c>
      <c r="B5157" t="s">
        <v>1024</v>
      </c>
      <c r="C5157" t="s">
        <v>2011</v>
      </c>
      <c r="D5157">
        <v>3</v>
      </c>
      <c r="E5157" s="16">
        <v>121.98</v>
      </c>
      <c r="F5157" s="1">
        <v>44920</v>
      </c>
      <c r="G5157" t="s">
        <v>2004</v>
      </c>
      <c r="H5157">
        <v>5</v>
      </c>
      <c r="I5157" s="12">
        <f>Table16[[#This Row],[price]]*Table16[[#This Row],[quantity]]</f>
        <v>365.94</v>
      </c>
    </row>
    <row r="5158" spans="1:9" x14ac:dyDescent="0.3">
      <c r="A5158" t="s">
        <v>7176</v>
      </c>
      <c r="B5158" t="s">
        <v>1025</v>
      </c>
      <c r="C5158" t="s">
        <v>2001</v>
      </c>
      <c r="D5158">
        <v>3</v>
      </c>
      <c r="E5158" s="16">
        <v>900.24</v>
      </c>
      <c r="F5158" s="1">
        <v>44632</v>
      </c>
      <c r="G5158" t="s">
        <v>2064</v>
      </c>
      <c r="H5158">
        <v>3</v>
      </c>
      <c r="I5158" s="12">
        <f>Table16[[#This Row],[price]]*Table16[[#This Row],[quantity]]</f>
        <v>2700.7200000000003</v>
      </c>
    </row>
    <row r="5159" spans="1:9" x14ac:dyDescent="0.3">
      <c r="A5159" t="s">
        <v>7175</v>
      </c>
      <c r="B5159" t="s">
        <v>1025</v>
      </c>
      <c r="C5159" t="s">
        <v>2011</v>
      </c>
      <c r="D5159">
        <v>5</v>
      </c>
      <c r="E5159" s="16">
        <v>203.3</v>
      </c>
      <c r="F5159" s="1">
        <v>44773</v>
      </c>
      <c r="G5159" t="s">
        <v>2027</v>
      </c>
      <c r="H5159">
        <v>3</v>
      </c>
      <c r="I5159" s="12">
        <f>Table16[[#This Row],[price]]*Table16[[#This Row],[quantity]]</f>
        <v>1016.5</v>
      </c>
    </row>
    <row r="5160" spans="1:9" x14ac:dyDescent="0.3">
      <c r="A5160" t="s">
        <v>7174</v>
      </c>
      <c r="B5160" t="s">
        <v>1025</v>
      </c>
      <c r="C5160" t="s">
        <v>2001</v>
      </c>
      <c r="D5160">
        <v>3</v>
      </c>
      <c r="E5160" s="16">
        <v>900.24</v>
      </c>
      <c r="F5160" s="1">
        <v>44820</v>
      </c>
      <c r="G5160" t="s">
        <v>2020</v>
      </c>
      <c r="H5160">
        <v>4</v>
      </c>
      <c r="I5160" s="12">
        <f>Table16[[#This Row],[price]]*Table16[[#This Row],[quantity]]</f>
        <v>2700.7200000000003</v>
      </c>
    </row>
    <row r="5161" spans="1:9" x14ac:dyDescent="0.3">
      <c r="A5161" t="s">
        <v>7180</v>
      </c>
      <c r="B5161" t="s">
        <v>1026</v>
      </c>
      <c r="C5161" t="s">
        <v>2011</v>
      </c>
      <c r="D5161">
        <v>5</v>
      </c>
      <c r="E5161" s="16">
        <v>203.3</v>
      </c>
      <c r="F5161" s="1">
        <v>44538</v>
      </c>
      <c r="G5161" t="s">
        <v>2027</v>
      </c>
      <c r="H5161">
        <v>3</v>
      </c>
      <c r="I5161" s="12">
        <f>Table16[[#This Row],[price]]*Table16[[#This Row],[quantity]]</f>
        <v>1016.5</v>
      </c>
    </row>
    <row r="5162" spans="1:9" x14ac:dyDescent="0.3">
      <c r="A5162" t="s">
        <v>7178</v>
      </c>
      <c r="B5162" t="s">
        <v>1026</v>
      </c>
      <c r="C5162" t="s">
        <v>2011</v>
      </c>
      <c r="D5162">
        <v>2</v>
      </c>
      <c r="E5162" s="16">
        <v>81.319999999999993</v>
      </c>
      <c r="F5162" s="1">
        <v>44649</v>
      </c>
      <c r="G5162" t="s">
        <v>2004</v>
      </c>
      <c r="H5162">
        <v>4</v>
      </c>
      <c r="I5162" s="12">
        <f>Table16[[#This Row],[price]]*Table16[[#This Row],[quantity]]</f>
        <v>162.63999999999999</v>
      </c>
    </row>
    <row r="5163" spans="1:9" x14ac:dyDescent="0.3">
      <c r="A5163" t="s">
        <v>7182</v>
      </c>
      <c r="B5163" t="s">
        <v>1026</v>
      </c>
      <c r="C5163" t="s">
        <v>2001</v>
      </c>
      <c r="D5163">
        <v>3</v>
      </c>
      <c r="E5163" s="16">
        <v>900.24</v>
      </c>
      <c r="F5163" s="1">
        <v>44703</v>
      </c>
      <c r="G5163" t="s">
        <v>2004</v>
      </c>
      <c r="H5163">
        <v>4</v>
      </c>
      <c r="I5163" s="12">
        <f>Table16[[#This Row],[price]]*Table16[[#This Row],[quantity]]</f>
        <v>2700.7200000000003</v>
      </c>
    </row>
    <row r="5164" spans="1:9" x14ac:dyDescent="0.3">
      <c r="A5164" t="s">
        <v>7181</v>
      </c>
      <c r="B5164" t="s">
        <v>1026</v>
      </c>
      <c r="C5164" t="s">
        <v>2008</v>
      </c>
      <c r="D5164">
        <v>3</v>
      </c>
      <c r="E5164" s="16">
        <v>15.69</v>
      </c>
      <c r="F5164" s="1">
        <v>44714</v>
      </c>
      <c r="G5164" t="s">
        <v>2009</v>
      </c>
      <c r="H5164">
        <v>5</v>
      </c>
      <c r="I5164" s="12">
        <f>Table16[[#This Row],[price]]*Table16[[#This Row],[quantity]]</f>
        <v>47.07</v>
      </c>
    </row>
    <row r="5165" spans="1:9" x14ac:dyDescent="0.3">
      <c r="A5165" t="s">
        <v>7179</v>
      </c>
      <c r="B5165" t="s">
        <v>1026</v>
      </c>
      <c r="C5165" t="s">
        <v>2001</v>
      </c>
      <c r="D5165">
        <v>4</v>
      </c>
      <c r="E5165" s="16">
        <v>1200.32</v>
      </c>
      <c r="F5165" s="1">
        <v>44740</v>
      </c>
      <c r="G5165" t="s">
        <v>2027</v>
      </c>
      <c r="H5165">
        <v>5</v>
      </c>
      <c r="I5165" s="12">
        <f>Table16[[#This Row],[price]]*Table16[[#This Row],[quantity]]</f>
        <v>4801.28</v>
      </c>
    </row>
    <row r="5166" spans="1:9" x14ac:dyDescent="0.3">
      <c r="A5166" t="s">
        <v>7177</v>
      </c>
      <c r="B5166" t="s">
        <v>1026</v>
      </c>
      <c r="C5166" t="s">
        <v>2011</v>
      </c>
      <c r="D5166">
        <v>1</v>
      </c>
      <c r="E5166" s="16">
        <v>40.659999999999997</v>
      </c>
      <c r="F5166" s="1">
        <v>44992</v>
      </c>
      <c r="G5166" t="s">
        <v>2002</v>
      </c>
      <c r="H5166">
        <v>4</v>
      </c>
      <c r="I5166" s="12">
        <f>Table16[[#This Row],[price]]*Table16[[#This Row],[quantity]]</f>
        <v>40.659999999999997</v>
      </c>
    </row>
    <row r="5167" spans="1:9" x14ac:dyDescent="0.3">
      <c r="A5167" t="s">
        <v>7184</v>
      </c>
      <c r="B5167" t="s">
        <v>1027</v>
      </c>
      <c r="C5167" t="s">
        <v>2057</v>
      </c>
      <c r="D5167">
        <v>4</v>
      </c>
      <c r="E5167" s="16">
        <v>46.92</v>
      </c>
      <c r="F5167" s="1">
        <v>44249</v>
      </c>
      <c r="G5167" t="s">
        <v>2004</v>
      </c>
      <c r="H5167">
        <v>1</v>
      </c>
      <c r="I5167" s="12">
        <f>Table16[[#This Row],[price]]*Table16[[#This Row],[quantity]]</f>
        <v>187.68</v>
      </c>
    </row>
    <row r="5168" spans="1:9" x14ac:dyDescent="0.3">
      <c r="A5168" t="s">
        <v>7183</v>
      </c>
      <c r="B5168" t="s">
        <v>1027</v>
      </c>
      <c r="C5168" t="s">
        <v>2057</v>
      </c>
      <c r="D5168">
        <v>5</v>
      </c>
      <c r="E5168" s="16">
        <v>58.65</v>
      </c>
      <c r="F5168" s="1">
        <v>44311</v>
      </c>
      <c r="G5168" t="s">
        <v>2027</v>
      </c>
      <c r="H5168">
        <v>5</v>
      </c>
      <c r="I5168" s="12">
        <f>Table16[[#This Row],[price]]*Table16[[#This Row],[quantity]]</f>
        <v>293.25</v>
      </c>
    </row>
    <row r="5169" spans="1:9" x14ac:dyDescent="0.3">
      <c r="A5169" t="s">
        <v>7186</v>
      </c>
      <c r="B5169" t="s">
        <v>1027</v>
      </c>
      <c r="C5169" t="s">
        <v>2001</v>
      </c>
      <c r="D5169">
        <v>3</v>
      </c>
      <c r="E5169" s="16">
        <v>900.24</v>
      </c>
      <c r="F5169" s="1">
        <v>44571</v>
      </c>
      <c r="G5169" t="s">
        <v>2020</v>
      </c>
      <c r="H5169">
        <v>1</v>
      </c>
      <c r="I5169" s="12">
        <f>Table16[[#This Row],[price]]*Table16[[#This Row],[quantity]]</f>
        <v>2700.7200000000003</v>
      </c>
    </row>
    <row r="5170" spans="1:9" x14ac:dyDescent="0.3">
      <c r="A5170" t="s">
        <v>7185</v>
      </c>
      <c r="B5170" t="s">
        <v>1027</v>
      </c>
      <c r="C5170" t="s">
        <v>2011</v>
      </c>
      <c r="D5170">
        <v>4</v>
      </c>
      <c r="E5170" s="16">
        <v>162.63999999999999</v>
      </c>
      <c r="F5170" s="1">
        <v>44985</v>
      </c>
      <c r="G5170" t="s">
        <v>2009</v>
      </c>
      <c r="H5170">
        <v>1</v>
      </c>
      <c r="I5170" s="12">
        <f>Table16[[#This Row],[price]]*Table16[[#This Row],[quantity]]</f>
        <v>650.55999999999995</v>
      </c>
    </row>
    <row r="5171" spans="1:9" x14ac:dyDescent="0.3">
      <c r="A5171" t="s">
        <v>7188</v>
      </c>
      <c r="B5171" t="s">
        <v>1028</v>
      </c>
      <c r="C5171" t="s">
        <v>2001</v>
      </c>
      <c r="D5171">
        <v>3</v>
      </c>
      <c r="E5171" s="16">
        <v>900.24</v>
      </c>
      <c r="F5171" s="1">
        <v>44216</v>
      </c>
      <c r="G5171" t="s">
        <v>2018</v>
      </c>
      <c r="H5171">
        <v>2</v>
      </c>
      <c r="I5171" s="12">
        <f>Table16[[#This Row],[price]]*Table16[[#This Row],[quantity]]</f>
        <v>2700.7200000000003</v>
      </c>
    </row>
    <row r="5172" spans="1:9" x14ac:dyDescent="0.3">
      <c r="A5172" t="s">
        <v>7187</v>
      </c>
      <c r="B5172" t="s">
        <v>1028</v>
      </c>
      <c r="C5172" t="s">
        <v>2011</v>
      </c>
      <c r="D5172">
        <v>5</v>
      </c>
      <c r="E5172" s="16">
        <v>203.3</v>
      </c>
      <c r="F5172" s="1">
        <v>44388</v>
      </c>
      <c r="G5172" t="s">
        <v>2009</v>
      </c>
      <c r="H5172">
        <v>5</v>
      </c>
      <c r="I5172" s="12">
        <f>Table16[[#This Row],[price]]*Table16[[#This Row],[quantity]]</f>
        <v>1016.5</v>
      </c>
    </row>
    <row r="5173" spans="1:9" x14ac:dyDescent="0.3">
      <c r="A5173" t="s">
        <v>7190</v>
      </c>
      <c r="B5173" t="s">
        <v>1029</v>
      </c>
      <c r="C5173" t="s">
        <v>2015</v>
      </c>
      <c r="D5173">
        <v>4</v>
      </c>
      <c r="E5173" s="16">
        <v>2400.6799999999998</v>
      </c>
      <c r="F5173" s="1">
        <v>44235</v>
      </c>
      <c r="G5173" t="s">
        <v>2020</v>
      </c>
      <c r="H5173">
        <v>4</v>
      </c>
      <c r="I5173" s="12">
        <f>Table16[[#This Row],[price]]*Table16[[#This Row],[quantity]]</f>
        <v>9602.7199999999993</v>
      </c>
    </row>
    <row r="5174" spans="1:9" x14ac:dyDescent="0.3">
      <c r="A5174" t="s">
        <v>7191</v>
      </c>
      <c r="B5174" t="s">
        <v>1029</v>
      </c>
      <c r="C5174" t="s">
        <v>2008</v>
      </c>
      <c r="D5174">
        <v>5</v>
      </c>
      <c r="E5174" s="16">
        <v>26.15</v>
      </c>
      <c r="F5174" s="1">
        <v>44645</v>
      </c>
      <c r="G5174" t="s">
        <v>2027</v>
      </c>
      <c r="H5174">
        <v>5</v>
      </c>
      <c r="I5174" s="12">
        <f>Table16[[#This Row],[price]]*Table16[[#This Row],[quantity]]</f>
        <v>130.75</v>
      </c>
    </row>
    <row r="5175" spans="1:9" x14ac:dyDescent="0.3">
      <c r="A5175" t="s">
        <v>7189</v>
      </c>
      <c r="B5175" t="s">
        <v>1029</v>
      </c>
      <c r="C5175" t="s">
        <v>2017</v>
      </c>
      <c r="D5175">
        <v>1</v>
      </c>
      <c r="E5175" s="16">
        <v>1050</v>
      </c>
      <c r="F5175" s="1">
        <v>44913</v>
      </c>
      <c r="G5175" t="s">
        <v>2004</v>
      </c>
      <c r="H5175">
        <v>1</v>
      </c>
      <c r="I5175" s="12">
        <f>Table16[[#This Row],[price]]*Table16[[#This Row],[quantity]]</f>
        <v>1050</v>
      </c>
    </row>
    <row r="5176" spans="1:9" x14ac:dyDescent="0.3">
      <c r="A5176" t="s">
        <v>7192</v>
      </c>
      <c r="B5176" t="s">
        <v>1030</v>
      </c>
      <c r="C5176" t="s">
        <v>2017</v>
      </c>
      <c r="D5176">
        <v>3</v>
      </c>
      <c r="E5176" s="16">
        <v>3150</v>
      </c>
      <c r="F5176" s="1">
        <v>44483</v>
      </c>
      <c r="G5176" t="s">
        <v>2020</v>
      </c>
      <c r="H5176">
        <v>2</v>
      </c>
      <c r="I5176" s="12">
        <f>Table16[[#This Row],[price]]*Table16[[#This Row],[quantity]]</f>
        <v>9450</v>
      </c>
    </row>
    <row r="5177" spans="1:9" x14ac:dyDescent="0.3">
      <c r="A5177" t="s">
        <v>7194</v>
      </c>
      <c r="B5177" t="s">
        <v>1030</v>
      </c>
      <c r="C5177" t="s">
        <v>2011</v>
      </c>
      <c r="D5177">
        <v>1</v>
      </c>
      <c r="E5177" s="16">
        <v>40.659999999999997</v>
      </c>
      <c r="F5177" s="1">
        <v>44520</v>
      </c>
      <c r="G5177" t="s">
        <v>2020</v>
      </c>
      <c r="H5177">
        <v>1</v>
      </c>
      <c r="I5177" s="12">
        <f>Table16[[#This Row],[price]]*Table16[[#This Row],[quantity]]</f>
        <v>40.659999999999997</v>
      </c>
    </row>
    <row r="5178" spans="1:9" x14ac:dyDescent="0.3">
      <c r="A5178" t="s">
        <v>7195</v>
      </c>
      <c r="B5178" t="s">
        <v>1030</v>
      </c>
      <c r="C5178" t="s">
        <v>2008</v>
      </c>
      <c r="D5178">
        <v>1</v>
      </c>
      <c r="E5178" s="16">
        <v>5.23</v>
      </c>
      <c r="F5178" s="1">
        <v>44594</v>
      </c>
      <c r="G5178" t="s">
        <v>2002</v>
      </c>
      <c r="H5178">
        <v>2</v>
      </c>
      <c r="I5178" s="12">
        <f>Table16[[#This Row],[price]]*Table16[[#This Row],[quantity]]</f>
        <v>5.23</v>
      </c>
    </row>
    <row r="5179" spans="1:9" x14ac:dyDescent="0.3">
      <c r="A5179" t="s">
        <v>7193</v>
      </c>
      <c r="B5179" t="s">
        <v>1030</v>
      </c>
      <c r="C5179" t="s">
        <v>2008</v>
      </c>
      <c r="D5179">
        <v>2</v>
      </c>
      <c r="E5179" s="16">
        <v>10.46</v>
      </c>
      <c r="F5179" s="1">
        <v>44912</v>
      </c>
      <c r="G5179" t="s">
        <v>2027</v>
      </c>
      <c r="H5179">
        <v>5</v>
      </c>
      <c r="I5179" s="12">
        <f>Table16[[#This Row],[price]]*Table16[[#This Row],[quantity]]</f>
        <v>20.92</v>
      </c>
    </row>
    <row r="5180" spans="1:9" x14ac:dyDescent="0.3">
      <c r="A5180" t="s">
        <v>7197</v>
      </c>
      <c r="B5180" t="s">
        <v>1031</v>
      </c>
      <c r="C5180" t="s">
        <v>2001</v>
      </c>
      <c r="D5180">
        <v>2</v>
      </c>
      <c r="E5180" s="16">
        <v>600.16</v>
      </c>
      <c r="F5180" s="1">
        <v>44611</v>
      </c>
      <c r="G5180" t="s">
        <v>2012</v>
      </c>
      <c r="H5180">
        <v>3</v>
      </c>
      <c r="I5180" s="12">
        <f>Table16[[#This Row],[price]]*Table16[[#This Row],[quantity]]</f>
        <v>1200.32</v>
      </c>
    </row>
    <row r="5181" spans="1:9" x14ac:dyDescent="0.3">
      <c r="A5181" t="s">
        <v>7196</v>
      </c>
      <c r="B5181" t="s">
        <v>1031</v>
      </c>
      <c r="C5181" t="s">
        <v>2015</v>
      </c>
      <c r="D5181">
        <v>4</v>
      </c>
      <c r="E5181" s="16">
        <v>2400.6799999999998</v>
      </c>
      <c r="F5181" s="1">
        <v>44757</v>
      </c>
      <c r="G5181" t="s">
        <v>2004</v>
      </c>
      <c r="H5181">
        <v>4</v>
      </c>
      <c r="I5181" s="12">
        <f>Table16[[#This Row],[price]]*Table16[[#This Row],[quantity]]</f>
        <v>9602.7199999999993</v>
      </c>
    </row>
    <row r="5182" spans="1:9" x14ac:dyDescent="0.3">
      <c r="A5182" t="s">
        <v>7198</v>
      </c>
      <c r="B5182" t="s">
        <v>1032</v>
      </c>
      <c r="C5182" t="s">
        <v>2011</v>
      </c>
      <c r="D5182">
        <v>5</v>
      </c>
      <c r="E5182" s="16">
        <v>203.3</v>
      </c>
      <c r="F5182" s="1">
        <v>44587</v>
      </c>
      <c r="G5182" t="s">
        <v>2027</v>
      </c>
      <c r="H5182">
        <v>2</v>
      </c>
      <c r="I5182" s="12">
        <f>Table16[[#This Row],[price]]*Table16[[#This Row],[quantity]]</f>
        <v>1016.5</v>
      </c>
    </row>
    <row r="5183" spans="1:9" x14ac:dyDescent="0.3">
      <c r="A5183" t="s">
        <v>7200</v>
      </c>
      <c r="B5183" t="s">
        <v>1032</v>
      </c>
      <c r="C5183" t="s">
        <v>2011</v>
      </c>
      <c r="D5183">
        <v>4</v>
      </c>
      <c r="E5183" s="16">
        <v>162.63999999999999</v>
      </c>
      <c r="F5183" s="1">
        <v>44591</v>
      </c>
      <c r="G5183" t="s">
        <v>2004</v>
      </c>
      <c r="H5183">
        <v>5</v>
      </c>
      <c r="I5183" s="12">
        <f>Table16[[#This Row],[price]]*Table16[[#This Row],[quantity]]</f>
        <v>650.55999999999995</v>
      </c>
    </row>
    <row r="5184" spans="1:9" x14ac:dyDescent="0.3">
      <c r="A5184" t="s">
        <v>7199</v>
      </c>
      <c r="B5184" t="s">
        <v>1032</v>
      </c>
      <c r="C5184" t="s">
        <v>2001</v>
      </c>
      <c r="D5184">
        <v>1</v>
      </c>
      <c r="E5184" s="16">
        <v>300.08</v>
      </c>
      <c r="F5184" s="1">
        <v>44766</v>
      </c>
      <c r="G5184" t="s">
        <v>2018</v>
      </c>
      <c r="H5184">
        <v>2</v>
      </c>
      <c r="I5184" s="12">
        <f>Table16[[#This Row],[price]]*Table16[[#This Row],[quantity]]</f>
        <v>300.08</v>
      </c>
    </row>
    <row r="5185" spans="1:9" x14ac:dyDescent="0.3">
      <c r="A5185" t="s">
        <v>7202</v>
      </c>
      <c r="B5185" t="s">
        <v>1032</v>
      </c>
      <c r="C5185" t="s">
        <v>2001</v>
      </c>
      <c r="D5185">
        <v>5</v>
      </c>
      <c r="E5185" s="16">
        <v>1500.4</v>
      </c>
      <c r="F5185" s="1">
        <v>44797</v>
      </c>
      <c r="G5185" t="s">
        <v>2058</v>
      </c>
      <c r="H5185">
        <v>4</v>
      </c>
      <c r="I5185" s="12">
        <f>Table16[[#This Row],[price]]*Table16[[#This Row],[quantity]]</f>
        <v>7502</v>
      </c>
    </row>
    <row r="5186" spans="1:9" x14ac:dyDescent="0.3">
      <c r="A5186" t="s">
        <v>7201</v>
      </c>
      <c r="B5186" t="s">
        <v>1032</v>
      </c>
      <c r="C5186" t="s">
        <v>2001</v>
      </c>
      <c r="D5186">
        <v>4</v>
      </c>
      <c r="E5186" s="16">
        <v>1200.32</v>
      </c>
      <c r="F5186" s="1">
        <v>44983</v>
      </c>
      <c r="G5186" t="s">
        <v>2064</v>
      </c>
      <c r="H5186">
        <v>2</v>
      </c>
      <c r="I5186" s="12">
        <f>Table16[[#This Row],[price]]*Table16[[#This Row],[quantity]]</f>
        <v>4801.28</v>
      </c>
    </row>
    <row r="5187" spans="1:9" x14ac:dyDescent="0.3">
      <c r="A5187" t="s">
        <v>7208</v>
      </c>
      <c r="B5187" t="s">
        <v>1033</v>
      </c>
      <c r="C5187" t="s">
        <v>2015</v>
      </c>
      <c r="D5187">
        <v>1</v>
      </c>
      <c r="E5187" s="16">
        <v>600.16999999999996</v>
      </c>
      <c r="F5187" s="1">
        <v>44468</v>
      </c>
      <c r="G5187" t="s">
        <v>2002</v>
      </c>
      <c r="H5187">
        <v>3</v>
      </c>
      <c r="I5187" s="12">
        <f>Table16[[#This Row],[price]]*Table16[[#This Row],[quantity]]</f>
        <v>600.16999999999996</v>
      </c>
    </row>
    <row r="5188" spans="1:9" x14ac:dyDescent="0.3">
      <c r="A5188" t="s">
        <v>7206</v>
      </c>
      <c r="B5188" t="s">
        <v>1033</v>
      </c>
      <c r="C5188" t="s">
        <v>2011</v>
      </c>
      <c r="D5188">
        <v>3</v>
      </c>
      <c r="E5188" s="16">
        <v>121.98</v>
      </c>
      <c r="F5188" s="1">
        <v>44498</v>
      </c>
      <c r="G5188" t="s">
        <v>2002</v>
      </c>
      <c r="H5188">
        <v>2</v>
      </c>
      <c r="I5188" s="12">
        <f>Table16[[#This Row],[price]]*Table16[[#This Row],[quantity]]</f>
        <v>365.94</v>
      </c>
    </row>
    <row r="5189" spans="1:9" x14ac:dyDescent="0.3">
      <c r="A5189" t="s">
        <v>7204</v>
      </c>
      <c r="B5189" t="s">
        <v>1033</v>
      </c>
      <c r="C5189" t="s">
        <v>2001</v>
      </c>
      <c r="D5189">
        <v>2</v>
      </c>
      <c r="E5189" s="16">
        <v>600.16</v>
      </c>
      <c r="F5189" s="1">
        <v>44712</v>
      </c>
      <c r="G5189" t="s">
        <v>2004</v>
      </c>
      <c r="H5189">
        <v>2</v>
      </c>
      <c r="I5189" s="12">
        <f>Table16[[#This Row],[price]]*Table16[[#This Row],[quantity]]</f>
        <v>1200.32</v>
      </c>
    </row>
    <row r="5190" spans="1:9" x14ac:dyDescent="0.3">
      <c r="A5190" t="s">
        <v>7203</v>
      </c>
      <c r="B5190" t="s">
        <v>1033</v>
      </c>
      <c r="C5190" t="s">
        <v>2001</v>
      </c>
      <c r="D5190">
        <v>1</v>
      </c>
      <c r="E5190" s="16">
        <v>300.08</v>
      </c>
      <c r="F5190" s="1">
        <v>44917</v>
      </c>
      <c r="G5190" t="s">
        <v>2027</v>
      </c>
      <c r="H5190">
        <v>5</v>
      </c>
      <c r="I5190" s="12">
        <f>Table16[[#This Row],[price]]*Table16[[#This Row],[quantity]]</f>
        <v>300.08</v>
      </c>
    </row>
    <row r="5191" spans="1:9" x14ac:dyDescent="0.3">
      <c r="A5191" t="s">
        <v>7207</v>
      </c>
      <c r="B5191" t="s">
        <v>1033</v>
      </c>
      <c r="C5191" t="s">
        <v>2011</v>
      </c>
      <c r="D5191">
        <v>3</v>
      </c>
      <c r="E5191" s="16">
        <v>121.98</v>
      </c>
      <c r="F5191" s="1">
        <v>44922</v>
      </c>
      <c r="G5191" t="s">
        <v>2018</v>
      </c>
      <c r="H5191">
        <v>5</v>
      </c>
      <c r="I5191" s="12">
        <f>Table16[[#This Row],[price]]*Table16[[#This Row],[quantity]]</f>
        <v>365.94</v>
      </c>
    </row>
    <row r="5192" spans="1:9" x14ac:dyDescent="0.3">
      <c r="A5192" t="s">
        <v>7205</v>
      </c>
      <c r="B5192" t="s">
        <v>1033</v>
      </c>
      <c r="C5192" t="s">
        <v>2011</v>
      </c>
      <c r="D5192">
        <v>1</v>
      </c>
      <c r="E5192" s="16">
        <v>40.659999999999997</v>
      </c>
      <c r="F5192" s="1">
        <v>44939</v>
      </c>
      <c r="G5192" t="s">
        <v>2004</v>
      </c>
      <c r="H5192">
        <v>5</v>
      </c>
      <c r="I5192" s="12">
        <f>Table16[[#This Row],[price]]*Table16[[#This Row],[quantity]]</f>
        <v>40.659999999999997</v>
      </c>
    </row>
    <row r="5193" spans="1:9" x14ac:dyDescent="0.3">
      <c r="A5193" t="s">
        <v>7212</v>
      </c>
      <c r="B5193" t="s">
        <v>1034</v>
      </c>
      <c r="C5193" t="s">
        <v>2001</v>
      </c>
      <c r="D5193">
        <v>1</v>
      </c>
      <c r="E5193" s="16">
        <v>300.08</v>
      </c>
      <c r="F5193" s="1">
        <v>44293</v>
      </c>
      <c r="G5193" t="s">
        <v>2020</v>
      </c>
      <c r="H5193">
        <v>5</v>
      </c>
      <c r="I5193" s="12">
        <f>Table16[[#This Row],[price]]*Table16[[#This Row],[quantity]]</f>
        <v>300.08</v>
      </c>
    </row>
    <row r="5194" spans="1:9" x14ac:dyDescent="0.3">
      <c r="A5194" t="s">
        <v>7209</v>
      </c>
      <c r="B5194" t="s">
        <v>1034</v>
      </c>
      <c r="C5194" t="s">
        <v>2001</v>
      </c>
      <c r="D5194">
        <v>1</v>
      </c>
      <c r="E5194" s="16">
        <v>300.08</v>
      </c>
      <c r="F5194" s="1">
        <v>44731</v>
      </c>
      <c r="G5194" t="s">
        <v>2027</v>
      </c>
      <c r="H5194">
        <v>3</v>
      </c>
      <c r="I5194" s="12">
        <f>Table16[[#This Row],[price]]*Table16[[#This Row],[quantity]]</f>
        <v>300.08</v>
      </c>
    </row>
    <row r="5195" spans="1:9" x14ac:dyDescent="0.3">
      <c r="A5195" t="s">
        <v>7210</v>
      </c>
      <c r="B5195" t="s">
        <v>1034</v>
      </c>
      <c r="C5195" t="s">
        <v>2001</v>
      </c>
      <c r="D5195">
        <v>5</v>
      </c>
      <c r="E5195" s="16">
        <v>1500.4</v>
      </c>
      <c r="F5195" s="1">
        <v>44748</v>
      </c>
      <c r="G5195" t="s">
        <v>2002</v>
      </c>
      <c r="H5195">
        <v>5</v>
      </c>
      <c r="I5195" s="12">
        <f>Table16[[#This Row],[price]]*Table16[[#This Row],[quantity]]</f>
        <v>7502</v>
      </c>
    </row>
    <row r="5196" spans="1:9" x14ac:dyDescent="0.3">
      <c r="A5196" t="s">
        <v>7211</v>
      </c>
      <c r="B5196" t="s">
        <v>1034</v>
      </c>
      <c r="C5196" t="s">
        <v>2057</v>
      </c>
      <c r="D5196">
        <v>3</v>
      </c>
      <c r="E5196" s="16">
        <v>35.19</v>
      </c>
      <c r="F5196" s="1">
        <v>44819</v>
      </c>
      <c r="G5196" t="s">
        <v>2020</v>
      </c>
      <c r="H5196">
        <v>1</v>
      </c>
      <c r="I5196" s="12">
        <f>Table16[[#This Row],[price]]*Table16[[#This Row],[quantity]]</f>
        <v>105.57</v>
      </c>
    </row>
    <row r="5197" spans="1:9" x14ac:dyDescent="0.3">
      <c r="A5197" t="s">
        <v>7214</v>
      </c>
      <c r="B5197" t="s">
        <v>1035</v>
      </c>
      <c r="C5197" t="s">
        <v>2017</v>
      </c>
      <c r="D5197">
        <v>1</v>
      </c>
      <c r="E5197" s="16">
        <v>1050</v>
      </c>
      <c r="F5197" s="1">
        <v>44448</v>
      </c>
      <c r="G5197" t="s">
        <v>2002</v>
      </c>
      <c r="H5197">
        <v>4</v>
      </c>
      <c r="I5197" s="12">
        <f>Table16[[#This Row],[price]]*Table16[[#This Row],[quantity]]</f>
        <v>1050</v>
      </c>
    </row>
    <row r="5198" spans="1:9" x14ac:dyDescent="0.3">
      <c r="A5198" t="s">
        <v>7216</v>
      </c>
      <c r="B5198" t="s">
        <v>1035</v>
      </c>
      <c r="C5198" t="s">
        <v>2008</v>
      </c>
      <c r="D5198">
        <v>2</v>
      </c>
      <c r="E5198" s="16">
        <v>10.46</v>
      </c>
      <c r="F5198" s="1">
        <v>44480</v>
      </c>
      <c r="G5198" t="s">
        <v>2064</v>
      </c>
      <c r="H5198">
        <v>5</v>
      </c>
      <c r="I5198" s="12">
        <f>Table16[[#This Row],[price]]*Table16[[#This Row],[quantity]]</f>
        <v>20.92</v>
      </c>
    </row>
    <row r="5199" spans="1:9" x14ac:dyDescent="0.3">
      <c r="A5199" t="s">
        <v>7213</v>
      </c>
      <c r="B5199" t="s">
        <v>1035</v>
      </c>
      <c r="C5199" t="s">
        <v>2015</v>
      </c>
      <c r="D5199">
        <v>3</v>
      </c>
      <c r="E5199" s="16">
        <v>1800.51</v>
      </c>
      <c r="F5199" s="1">
        <v>44684</v>
      </c>
      <c r="G5199" t="s">
        <v>2027</v>
      </c>
      <c r="H5199">
        <v>2</v>
      </c>
      <c r="I5199" s="12">
        <f>Table16[[#This Row],[price]]*Table16[[#This Row],[quantity]]</f>
        <v>5401.53</v>
      </c>
    </row>
    <row r="5200" spans="1:9" x14ac:dyDescent="0.3">
      <c r="A5200" t="s">
        <v>7215</v>
      </c>
      <c r="B5200" t="s">
        <v>1035</v>
      </c>
      <c r="C5200" t="s">
        <v>2001</v>
      </c>
      <c r="D5200">
        <v>4</v>
      </c>
      <c r="E5200" s="16">
        <v>1200.32</v>
      </c>
      <c r="F5200" s="1">
        <v>44757</v>
      </c>
      <c r="G5200" t="s">
        <v>2004</v>
      </c>
      <c r="H5200">
        <v>1</v>
      </c>
      <c r="I5200" s="12">
        <f>Table16[[#This Row],[price]]*Table16[[#This Row],[quantity]]</f>
        <v>4801.28</v>
      </c>
    </row>
    <row r="5201" spans="1:9" x14ac:dyDescent="0.3">
      <c r="A5201" t="s">
        <v>7218</v>
      </c>
      <c r="B5201" t="s">
        <v>1036</v>
      </c>
      <c r="C5201" t="s">
        <v>2001</v>
      </c>
      <c r="D5201">
        <v>5</v>
      </c>
      <c r="E5201" s="16">
        <v>1500.4</v>
      </c>
      <c r="F5201" s="1">
        <v>44223</v>
      </c>
      <c r="G5201" t="s">
        <v>2020</v>
      </c>
      <c r="H5201">
        <v>4</v>
      </c>
      <c r="I5201" s="12">
        <f>Table16[[#This Row],[price]]*Table16[[#This Row],[quantity]]</f>
        <v>7502</v>
      </c>
    </row>
    <row r="5202" spans="1:9" x14ac:dyDescent="0.3">
      <c r="A5202" t="s">
        <v>7220</v>
      </c>
      <c r="B5202" t="s">
        <v>1036</v>
      </c>
      <c r="C5202" t="s">
        <v>2015</v>
      </c>
      <c r="D5202">
        <v>3</v>
      </c>
      <c r="E5202" s="16">
        <v>1800.51</v>
      </c>
      <c r="F5202" s="1">
        <v>44363</v>
      </c>
      <c r="G5202" t="s">
        <v>2002</v>
      </c>
      <c r="H5202">
        <v>4</v>
      </c>
      <c r="I5202" s="12">
        <f>Table16[[#This Row],[price]]*Table16[[#This Row],[quantity]]</f>
        <v>5401.53</v>
      </c>
    </row>
    <row r="5203" spans="1:9" x14ac:dyDescent="0.3">
      <c r="A5203" t="s">
        <v>7217</v>
      </c>
      <c r="B5203" t="s">
        <v>1036</v>
      </c>
      <c r="C5203" t="s">
        <v>2001</v>
      </c>
      <c r="D5203">
        <v>1</v>
      </c>
      <c r="E5203" s="16">
        <v>300.08</v>
      </c>
      <c r="F5203" s="1">
        <v>44364</v>
      </c>
      <c r="G5203" t="s">
        <v>2004</v>
      </c>
      <c r="H5203">
        <v>3</v>
      </c>
      <c r="I5203" s="12">
        <f>Table16[[#This Row],[price]]*Table16[[#This Row],[quantity]]</f>
        <v>300.08</v>
      </c>
    </row>
    <row r="5204" spans="1:9" x14ac:dyDescent="0.3">
      <c r="A5204" t="s">
        <v>7219</v>
      </c>
      <c r="B5204" t="s">
        <v>1036</v>
      </c>
      <c r="C5204" t="s">
        <v>2001</v>
      </c>
      <c r="D5204">
        <v>5</v>
      </c>
      <c r="E5204" s="16">
        <v>1500.4</v>
      </c>
      <c r="F5204" s="1">
        <v>44519</v>
      </c>
      <c r="G5204" t="s">
        <v>2004</v>
      </c>
      <c r="H5204">
        <v>4</v>
      </c>
      <c r="I5204" s="12">
        <f>Table16[[#This Row],[price]]*Table16[[#This Row],[quantity]]</f>
        <v>7502</v>
      </c>
    </row>
    <row r="5205" spans="1:9" x14ac:dyDescent="0.3">
      <c r="A5205" t="s">
        <v>7223</v>
      </c>
      <c r="B5205" t="s">
        <v>1037</v>
      </c>
      <c r="C5205" t="s">
        <v>2001</v>
      </c>
      <c r="D5205">
        <v>2</v>
      </c>
      <c r="E5205" s="16">
        <v>600.16</v>
      </c>
      <c r="F5205" s="1">
        <v>44436</v>
      </c>
      <c r="G5205" t="s">
        <v>2004</v>
      </c>
      <c r="H5205">
        <v>5</v>
      </c>
      <c r="I5205" s="12">
        <f>Table16[[#This Row],[price]]*Table16[[#This Row],[quantity]]</f>
        <v>1200.32</v>
      </c>
    </row>
    <row r="5206" spans="1:9" x14ac:dyDescent="0.3">
      <c r="A5206" t="s">
        <v>7222</v>
      </c>
      <c r="B5206" t="s">
        <v>1037</v>
      </c>
      <c r="C5206" t="s">
        <v>2001</v>
      </c>
      <c r="D5206">
        <v>4</v>
      </c>
      <c r="E5206" s="16">
        <v>1200.32</v>
      </c>
      <c r="F5206" s="1">
        <v>44649</v>
      </c>
      <c r="G5206" t="s">
        <v>2027</v>
      </c>
      <c r="H5206">
        <v>3</v>
      </c>
      <c r="I5206" s="12">
        <f>Table16[[#This Row],[price]]*Table16[[#This Row],[quantity]]</f>
        <v>4801.28</v>
      </c>
    </row>
    <row r="5207" spans="1:9" x14ac:dyDescent="0.3">
      <c r="A5207" t="s">
        <v>7221</v>
      </c>
      <c r="B5207" t="s">
        <v>1037</v>
      </c>
      <c r="C5207" t="s">
        <v>2001</v>
      </c>
      <c r="D5207">
        <v>4</v>
      </c>
      <c r="E5207" s="16">
        <v>1200.32</v>
      </c>
      <c r="F5207" s="1">
        <v>44866</v>
      </c>
      <c r="G5207" t="s">
        <v>2064</v>
      </c>
      <c r="H5207">
        <v>2</v>
      </c>
      <c r="I5207" s="12">
        <f>Table16[[#This Row],[price]]*Table16[[#This Row],[quantity]]</f>
        <v>4801.28</v>
      </c>
    </row>
    <row r="5208" spans="1:9" x14ac:dyDescent="0.3">
      <c r="A5208" t="s">
        <v>7225</v>
      </c>
      <c r="B5208" t="s">
        <v>1037</v>
      </c>
      <c r="C5208" t="s">
        <v>2006</v>
      </c>
      <c r="D5208">
        <v>4</v>
      </c>
      <c r="E5208" s="16">
        <v>60.6</v>
      </c>
      <c r="F5208" s="1">
        <v>44911</v>
      </c>
      <c r="G5208" t="s">
        <v>2027</v>
      </c>
      <c r="H5208">
        <v>4</v>
      </c>
      <c r="I5208" s="12">
        <f>Table16[[#This Row],[price]]*Table16[[#This Row],[quantity]]</f>
        <v>242.4</v>
      </c>
    </row>
    <row r="5209" spans="1:9" x14ac:dyDescent="0.3">
      <c r="A5209" t="s">
        <v>7224</v>
      </c>
      <c r="B5209" t="s">
        <v>1037</v>
      </c>
      <c r="C5209" t="s">
        <v>2008</v>
      </c>
      <c r="D5209">
        <v>3</v>
      </c>
      <c r="E5209" s="16">
        <v>15.69</v>
      </c>
      <c r="F5209" s="1">
        <v>44953</v>
      </c>
      <c r="G5209" t="s">
        <v>2004</v>
      </c>
      <c r="H5209">
        <v>4</v>
      </c>
      <c r="I5209" s="12">
        <f>Table16[[#This Row],[price]]*Table16[[#This Row],[quantity]]</f>
        <v>47.07</v>
      </c>
    </row>
    <row r="5210" spans="1:9" x14ac:dyDescent="0.3">
      <c r="A5210" t="s">
        <v>7226</v>
      </c>
      <c r="B5210" t="s">
        <v>1038</v>
      </c>
      <c r="C5210" t="s">
        <v>2001</v>
      </c>
      <c r="D5210">
        <v>4</v>
      </c>
      <c r="E5210" s="16">
        <v>1200.32</v>
      </c>
      <c r="F5210" s="1">
        <v>44233</v>
      </c>
      <c r="G5210" t="s">
        <v>2012</v>
      </c>
      <c r="H5210">
        <v>3</v>
      </c>
      <c r="I5210" s="12">
        <f>Table16[[#This Row],[price]]*Table16[[#This Row],[quantity]]</f>
        <v>4801.28</v>
      </c>
    </row>
    <row r="5211" spans="1:9" x14ac:dyDescent="0.3">
      <c r="A5211" t="s">
        <v>7230</v>
      </c>
      <c r="B5211" t="s">
        <v>1038</v>
      </c>
      <c r="C5211" t="s">
        <v>2008</v>
      </c>
      <c r="D5211">
        <v>3</v>
      </c>
      <c r="E5211" s="16">
        <v>15.69</v>
      </c>
      <c r="F5211" s="1">
        <v>44326</v>
      </c>
      <c r="G5211" t="s">
        <v>2004</v>
      </c>
      <c r="H5211">
        <v>4</v>
      </c>
      <c r="I5211" s="12">
        <f>Table16[[#This Row],[price]]*Table16[[#This Row],[quantity]]</f>
        <v>47.07</v>
      </c>
    </row>
    <row r="5212" spans="1:9" x14ac:dyDescent="0.3">
      <c r="A5212" t="s">
        <v>7228</v>
      </c>
      <c r="B5212" t="s">
        <v>1038</v>
      </c>
      <c r="C5212" t="s">
        <v>2008</v>
      </c>
      <c r="D5212">
        <v>2</v>
      </c>
      <c r="E5212" s="16">
        <v>10.46</v>
      </c>
      <c r="F5212" s="1">
        <v>44362</v>
      </c>
      <c r="G5212" t="s">
        <v>2064</v>
      </c>
      <c r="H5212">
        <v>3</v>
      </c>
      <c r="I5212" s="12">
        <f>Table16[[#This Row],[price]]*Table16[[#This Row],[quantity]]</f>
        <v>20.92</v>
      </c>
    </row>
    <row r="5213" spans="1:9" x14ac:dyDescent="0.3">
      <c r="A5213" t="s">
        <v>7227</v>
      </c>
      <c r="B5213" t="s">
        <v>1038</v>
      </c>
      <c r="C5213" t="s">
        <v>2008</v>
      </c>
      <c r="D5213">
        <v>3</v>
      </c>
      <c r="E5213" s="16">
        <v>15.69</v>
      </c>
      <c r="F5213" s="1">
        <v>44673</v>
      </c>
      <c r="G5213" t="s">
        <v>2027</v>
      </c>
      <c r="H5213">
        <v>1</v>
      </c>
      <c r="I5213" s="12">
        <f>Table16[[#This Row],[price]]*Table16[[#This Row],[quantity]]</f>
        <v>47.07</v>
      </c>
    </row>
    <row r="5214" spans="1:9" x14ac:dyDescent="0.3">
      <c r="A5214" t="s">
        <v>7229</v>
      </c>
      <c r="B5214" t="s">
        <v>1038</v>
      </c>
      <c r="C5214" t="s">
        <v>2017</v>
      </c>
      <c r="D5214">
        <v>4</v>
      </c>
      <c r="E5214" s="16">
        <v>4200</v>
      </c>
      <c r="F5214" s="1">
        <v>44984</v>
      </c>
      <c r="G5214" t="s">
        <v>2012</v>
      </c>
      <c r="H5214">
        <v>1</v>
      </c>
      <c r="I5214" s="12">
        <f>Table16[[#This Row],[price]]*Table16[[#This Row],[quantity]]</f>
        <v>16800</v>
      </c>
    </row>
    <row r="5215" spans="1:9" x14ac:dyDescent="0.3">
      <c r="A5215" t="s">
        <v>7231</v>
      </c>
      <c r="B5215" t="s">
        <v>1039</v>
      </c>
      <c r="C5215" t="s">
        <v>2011</v>
      </c>
      <c r="D5215">
        <v>3</v>
      </c>
      <c r="E5215" s="16">
        <v>121.98</v>
      </c>
      <c r="F5215" s="1">
        <v>44646</v>
      </c>
      <c r="G5215" t="s">
        <v>2002</v>
      </c>
      <c r="H5215">
        <v>5</v>
      </c>
      <c r="I5215" s="12">
        <f>Table16[[#This Row],[price]]*Table16[[#This Row],[quantity]]</f>
        <v>365.94</v>
      </c>
    </row>
    <row r="5216" spans="1:9" x14ac:dyDescent="0.3">
      <c r="A5216" t="s">
        <v>7232</v>
      </c>
      <c r="B5216" t="s">
        <v>1039</v>
      </c>
      <c r="C5216" t="s">
        <v>2001</v>
      </c>
      <c r="D5216">
        <v>4</v>
      </c>
      <c r="E5216" s="16">
        <v>1200.32</v>
      </c>
      <c r="F5216" s="1">
        <v>44804</v>
      </c>
      <c r="G5216" t="s">
        <v>2064</v>
      </c>
      <c r="H5216">
        <v>3</v>
      </c>
      <c r="I5216" s="12">
        <f>Table16[[#This Row],[price]]*Table16[[#This Row],[quantity]]</f>
        <v>4801.28</v>
      </c>
    </row>
    <row r="5217" spans="1:9" x14ac:dyDescent="0.3">
      <c r="A5217" t="s">
        <v>7237</v>
      </c>
      <c r="B5217" t="s">
        <v>1040</v>
      </c>
      <c r="C5217" t="s">
        <v>2001</v>
      </c>
      <c r="D5217">
        <v>4</v>
      </c>
      <c r="E5217" s="16">
        <v>1200.32</v>
      </c>
      <c r="F5217" s="1">
        <v>44501</v>
      </c>
      <c r="G5217" t="s">
        <v>2002</v>
      </c>
      <c r="H5217">
        <v>5</v>
      </c>
      <c r="I5217" s="12">
        <f>Table16[[#This Row],[price]]*Table16[[#This Row],[quantity]]</f>
        <v>4801.28</v>
      </c>
    </row>
    <row r="5218" spans="1:9" x14ac:dyDescent="0.3">
      <c r="A5218" t="s">
        <v>7238</v>
      </c>
      <c r="B5218" t="s">
        <v>1040</v>
      </c>
      <c r="C5218" t="s">
        <v>2015</v>
      </c>
      <c r="D5218">
        <v>5</v>
      </c>
      <c r="E5218" s="16">
        <v>3000.85</v>
      </c>
      <c r="F5218" s="1">
        <v>44601</v>
      </c>
      <c r="G5218" t="s">
        <v>2004</v>
      </c>
      <c r="H5218">
        <v>5</v>
      </c>
      <c r="I5218" s="12">
        <f>Table16[[#This Row],[price]]*Table16[[#This Row],[quantity]]</f>
        <v>15004.25</v>
      </c>
    </row>
    <row r="5219" spans="1:9" x14ac:dyDescent="0.3">
      <c r="A5219" t="s">
        <v>7235</v>
      </c>
      <c r="B5219" t="s">
        <v>1040</v>
      </c>
      <c r="C5219" t="s">
        <v>2001</v>
      </c>
      <c r="D5219">
        <v>1</v>
      </c>
      <c r="E5219" s="16">
        <v>300.08</v>
      </c>
      <c r="F5219" s="1">
        <v>44697</v>
      </c>
      <c r="G5219" t="s">
        <v>2002</v>
      </c>
      <c r="H5219">
        <v>5</v>
      </c>
      <c r="I5219" s="12">
        <f>Table16[[#This Row],[price]]*Table16[[#This Row],[quantity]]</f>
        <v>300.08</v>
      </c>
    </row>
    <row r="5220" spans="1:9" x14ac:dyDescent="0.3">
      <c r="A5220" t="s">
        <v>7239</v>
      </c>
      <c r="B5220" t="s">
        <v>1040</v>
      </c>
      <c r="C5220" t="s">
        <v>2017</v>
      </c>
      <c r="D5220">
        <v>1</v>
      </c>
      <c r="E5220" s="16">
        <v>1050</v>
      </c>
      <c r="F5220" s="1">
        <v>44776</v>
      </c>
      <c r="G5220" t="s">
        <v>2058</v>
      </c>
      <c r="H5220">
        <v>3</v>
      </c>
      <c r="I5220" s="12">
        <f>Table16[[#This Row],[price]]*Table16[[#This Row],[quantity]]</f>
        <v>1050</v>
      </c>
    </row>
    <row r="5221" spans="1:9" x14ac:dyDescent="0.3">
      <c r="A5221" t="s">
        <v>7233</v>
      </c>
      <c r="B5221" t="s">
        <v>1040</v>
      </c>
      <c r="C5221" t="s">
        <v>2017</v>
      </c>
      <c r="D5221">
        <v>2</v>
      </c>
      <c r="E5221" s="16">
        <v>2100</v>
      </c>
      <c r="F5221" s="1">
        <v>44781</v>
      </c>
      <c r="G5221" t="s">
        <v>2012</v>
      </c>
      <c r="H5221">
        <v>3</v>
      </c>
      <c r="I5221" s="12">
        <f>Table16[[#This Row],[price]]*Table16[[#This Row],[quantity]]</f>
        <v>4200</v>
      </c>
    </row>
    <row r="5222" spans="1:9" x14ac:dyDescent="0.3">
      <c r="A5222" t="s">
        <v>7236</v>
      </c>
      <c r="B5222" t="s">
        <v>1040</v>
      </c>
      <c r="C5222" t="s">
        <v>2001</v>
      </c>
      <c r="D5222">
        <v>2</v>
      </c>
      <c r="E5222" s="16">
        <v>600.16</v>
      </c>
      <c r="F5222" s="1">
        <v>44845</v>
      </c>
      <c r="G5222" t="s">
        <v>2012</v>
      </c>
      <c r="H5222">
        <v>1</v>
      </c>
      <c r="I5222" s="12">
        <f>Table16[[#This Row],[price]]*Table16[[#This Row],[quantity]]</f>
        <v>1200.32</v>
      </c>
    </row>
    <row r="5223" spans="1:9" x14ac:dyDescent="0.3">
      <c r="A5223" t="s">
        <v>7234</v>
      </c>
      <c r="B5223" t="s">
        <v>1040</v>
      </c>
      <c r="C5223" t="s">
        <v>2008</v>
      </c>
      <c r="D5223">
        <v>5</v>
      </c>
      <c r="E5223" s="16">
        <v>26.15</v>
      </c>
      <c r="F5223" s="1">
        <v>44951</v>
      </c>
      <c r="G5223" t="s">
        <v>2002</v>
      </c>
      <c r="H5223">
        <v>3</v>
      </c>
      <c r="I5223" s="12">
        <f>Table16[[#This Row],[price]]*Table16[[#This Row],[quantity]]</f>
        <v>130.75</v>
      </c>
    </row>
    <row r="5224" spans="1:9" x14ac:dyDescent="0.3">
      <c r="A5224" t="s">
        <v>7240</v>
      </c>
      <c r="B5224" t="s">
        <v>1041</v>
      </c>
      <c r="C5224" t="s">
        <v>2011</v>
      </c>
      <c r="D5224">
        <v>5</v>
      </c>
      <c r="E5224" s="16">
        <v>203.3</v>
      </c>
      <c r="F5224" s="1">
        <v>44297</v>
      </c>
      <c r="G5224" t="s">
        <v>2064</v>
      </c>
      <c r="H5224">
        <v>1</v>
      </c>
      <c r="I5224" s="12">
        <f>Table16[[#This Row],[price]]*Table16[[#This Row],[quantity]]</f>
        <v>1016.5</v>
      </c>
    </row>
    <row r="5225" spans="1:9" x14ac:dyDescent="0.3">
      <c r="A5225" t="s">
        <v>7241</v>
      </c>
      <c r="B5225" t="s">
        <v>1041</v>
      </c>
      <c r="C5225" t="s">
        <v>2008</v>
      </c>
      <c r="D5225">
        <v>3</v>
      </c>
      <c r="E5225" s="16">
        <v>15.69</v>
      </c>
      <c r="F5225" s="1">
        <v>44637</v>
      </c>
      <c r="G5225" t="s">
        <v>2058</v>
      </c>
      <c r="H5225">
        <v>3</v>
      </c>
      <c r="I5225" s="12">
        <f>Table16[[#This Row],[price]]*Table16[[#This Row],[quantity]]</f>
        <v>47.07</v>
      </c>
    </row>
    <row r="5226" spans="1:9" x14ac:dyDescent="0.3">
      <c r="A5226" t="s">
        <v>7242</v>
      </c>
      <c r="B5226" t="s">
        <v>1041</v>
      </c>
      <c r="C5226" t="s">
        <v>2006</v>
      </c>
      <c r="D5226">
        <v>5</v>
      </c>
      <c r="E5226" s="16">
        <v>75.75</v>
      </c>
      <c r="F5226" s="1">
        <v>44850</v>
      </c>
      <c r="G5226" t="s">
        <v>2004</v>
      </c>
      <c r="H5226">
        <v>4</v>
      </c>
      <c r="I5226" s="12">
        <f>Table16[[#This Row],[price]]*Table16[[#This Row],[quantity]]</f>
        <v>378.75</v>
      </c>
    </row>
    <row r="5227" spans="1:9" x14ac:dyDescent="0.3">
      <c r="A5227" t="s">
        <v>7244</v>
      </c>
      <c r="B5227" t="s">
        <v>1042</v>
      </c>
      <c r="C5227" t="s">
        <v>2001</v>
      </c>
      <c r="D5227">
        <v>5</v>
      </c>
      <c r="E5227" s="16">
        <v>1500.4</v>
      </c>
      <c r="F5227" s="1">
        <v>44206</v>
      </c>
      <c r="G5227" t="s">
        <v>2009</v>
      </c>
      <c r="H5227">
        <v>4</v>
      </c>
      <c r="I5227" s="12">
        <f>Table16[[#This Row],[price]]*Table16[[#This Row],[quantity]]</f>
        <v>7502</v>
      </c>
    </row>
    <row r="5228" spans="1:9" x14ac:dyDescent="0.3">
      <c r="A5228" t="s">
        <v>7246</v>
      </c>
      <c r="B5228" t="s">
        <v>1042</v>
      </c>
      <c r="C5228" t="s">
        <v>2057</v>
      </c>
      <c r="D5228">
        <v>2</v>
      </c>
      <c r="E5228" s="16">
        <v>23.46</v>
      </c>
      <c r="F5228" s="1">
        <v>44254</v>
      </c>
      <c r="G5228" t="s">
        <v>2004</v>
      </c>
      <c r="H5228">
        <v>5</v>
      </c>
      <c r="I5228" s="12">
        <f>Table16[[#This Row],[price]]*Table16[[#This Row],[quantity]]</f>
        <v>46.92</v>
      </c>
    </row>
    <row r="5229" spans="1:9" x14ac:dyDescent="0.3">
      <c r="A5229" t="s">
        <v>7245</v>
      </c>
      <c r="B5229" t="s">
        <v>1042</v>
      </c>
      <c r="C5229" t="s">
        <v>2011</v>
      </c>
      <c r="D5229">
        <v>1</v>
      </c>
      <c r="E5229" s="16">
        <v>40.659999999999997</v>
      </c>
      <c r="F5229" s="1">
        <v>44352</v>
      </c>
      <c r="G5229" t="s">
        <v>2020</v>
      </c>
      <c r="H5229">
        <v>1</v>
      </c>
      <c r="I5229" s="12">
        <f>Table16[[#This Row],[price]]*Table16[[#This Row],[quantity]]</f>
        <v>40.659999999999997</v>
      </c>
    </row>
    <row r="5230" spans="1:9" x14ac:dyDescent="0.3">
      <c r="A5230" t="s">
        <v>7247</v>
      </c>
      <c r="B5230" t="s">
        <v>1042</v>
      </c>
      <c r="C5230" t="s">
        <v>2057</v>
      </c>
      <c r="D5230">
        <v>1</v>
      </c>
      <c r="E5230" s="16">
        <v>11.73</v>
      </c>
      <c r="F5230" s="1">
        <v>44355</v>
      </c>
      <c r="G5230" t="s">
        <v>2027</v>
      </c>
      <c r="H5230">
        <v>5</v>
      </c>
      <c r="I5230" s="12">
        <f>Table16[[#This Row],[price]]*Table16[[#This Row],[quantity]]</f>
        <v>11.73</v>
      </c>
    </row>
    <row r="5231" spans="1:9" x14ac:dyDescent="0.3">
      <c r="A5231" t="s">
        <v>7243</v>
      </c>
      <c r="B5231" t="s">
        <v>1042</v>
      </c>
      <c r="C5231" t="s">
        <v>2008</v>
      </c>
      <c r="D5231">
        <v>3</v>
      </c>
      <c r="E5231" s="16">
        <v>15.69</v>
      </c>
      <c r="F5231" s="1">
        <v>44962</v>
      </c>
      <c r="G5231" t="s">
        <v>2009</v>
      </c>
      <c r="H5231">
        <v>1</v>
      </c>
      <c r="I5231" s="12">
        <f>Table16[[#This Row],[price]]*Table16[[#This Row],[quantity]]</f>
        <v>47.07</v>
      </c>
    </row>
    <row r="5232" spans="1:9" x14ac:dyDescent="0.3">
      <c r="A5232" t="s">
        <v>7250</v>
      </c>
      <c r="B5232" t="s">
        <v>1043</v>
      </c>
      <c r="C5232" t="s">
        <v>2001</v>
      </c>
      <c r="D5232">
        <v>3</v>
      </c>
      <c r="E5232" s="16">
        <v>900.24</v>
      </c>
      <c r="F5232" s="1">
        <v>44375</v>
      </c>
      <c r="G5232" t="s">
        <v>2027</v>
      </c>
      <c r="H5232">
        <v>3</v>
      </c>
      <c r="I5232" s="12">
        <f>Table16[[#This Row],[price]]*Table16[[#This Row],[quantity]]</f>
        <v>2700.7200000000003</v>
      </c>
    </row>
    <row r="5233" spans="1:9" x14ac:dyDescent="0.3">
      <c r="A5233" t="s">
        <v>7248</v>
      </c>
      <c r="B5233" t="s">
        <v>1043</v>
      </c>
      <c r="C5233" t="s">
        <v>2015</v>
      </c>
      <c r="D5233">
        <v>3</v>
      </c>
      <c r="E5233" s="16">
        <v>1800.51</v>
      </c>
      <c r="F5233" s="1">
        <v>44504</v>
      </c>
      <c r="G5233" t="s">
        <v>2027</v>
      </c>
      <c r="H5233">
        <v>4</v>
      </c>
      <c r="I5233" s="12">
        <f>Table16[[#This Row],[price]]*Table16[[#This Row],[quantity]]</f>
        <v>5401.53</v>
      </c>
    </row>
    <row r="5234" spans="1:9" x14ac:dyDescent="0.3">
      <c r="A5234" t="s">
        <v>7249</v>
      </c>
      <c r="B5234" t="s">
        <v>1043</v>
      </c>
      <c r="C5234" t="s">
        <v>2008</v>
      </c>
      <c r="D5234">
        <v>2</v>
      </c>
      <c r="E5234" s="16">
        <v>10.46</v>
      </c>
      <c r="F5234" s="1">
        <v>44549</v>
      </c>
      <c r="G5234" t="s">
        <v>2027</v>
      </c>
      <c r="H5234">
        <v>2</v>
      </c>
      <c r="I5234" s="12">
        <f>Table16[[#This Row],[price]]*Table16[[#This Row],[quantity]]</f>
        <v>20.92</v>
      </c>
    </row>
    <row r="5235" spans="1:9" x14ac:dyDescent="0.3">
      <c r="A5235" t="s">
        <v>7251</v>
      </c>
      <c r="B5235" t="s">
        <v>1043</v>
      </c>
      <c r="C5235" t="s">
        <v>2015</v>
      </c>
      <c r="D5235">
        <v>4</v>
      </c>
      <c r="E5235" s="16">
        <v>2400.6799999999998</v>
      </c>
      <c r="F5235" s="1">
        <v>44844</v>
      </c>
      <c r="G5235" t="s">
        <v>2027</v>
      </c>
      <c r="H5235">
        <v>2</v>
      </c>
      <c r="I5235" s="12">
        <f>Table16[[#This Row],[price]]*Table16[[#This Row],[quantity]]</f>
        <v>9602.7199999999993</v>
      </c>
    </row>
    <row r="5236" spans="1:9" x14ac:dyDescent="0.3">
      <c r="A5236" t="s">
        <v>7252</v>
      </c>
      <c r="B5236" t="s">
        <v>1043</v>
      </c>
      <c r="C5236" t="s">
        <v>2001</v>
      </c>
      <c r="D5236">
        <v>1</v>
      </c>
      <c r="E5236" s="16">
        <v>300.08</v>
      </c>
      <c r="F5236" s="1">
        <v>44982</v>
      </c>
      <c r="G5236" t="s">
        <v>2041</v>
      </c>
      <c r="H5236">
        <v>5</v>
      </c>
      <c r="I5236" s="12">
        <f>Table16[[#This Row],[price]]*Table16[[#This Row],[quantity]]</f>
        <v>300.08</v>
      </c>
    </row>
    <row r="5237" spans="1:9" x14ac:dyDescent="0.3">
      <c r="A5237" t="s">
        <v>7253</v>
      </c>
      <c r="B5237" t="s">
        <v>1044</v>
      </c>
      <c r="C5237" t="s">
        <v>2001</v>
      </c>
      <c r="D5237">
        <v>1</v>
      </c>
      <c r="E5237" s="16">
        <v>300.08</v>
      </c>
      <c r="F5237" s="1">
        <v>44269</v>
      </c>
      <c r="G5237" t="s">
        <v>2027</v>
      </c>
      <c r="H5237">
        <v>3</v>
      </c>
      <c r="I5237" s="12">
        <f>Table16[[#This Row],[price]]*Table16[[#This Row],[quantity]]</f>
        <v>300.08</v>
      </c>
    </row>
    <row r="5238" spans="1:9" x14ac:dyDescent="0.3">
      <c r="A5238" t="s">
        <v>7257</v>
      </c>
      <c r="B5238" t="s">
        <v>1044</v>
      </c>
      <c r="C5238" t="s">
        <v>2008</v>
      </c>
      <c r="D5238">
        <v>1</v>
      </c>
      <c r="E5238" s="16">
        <v>5.23</v>
      </c>
      <c r="F5238" s="1">
        <v>44357</v>
      </c>
      <c r="G5238" t="s">
        <v>2004</v>
      </c>
      <c r="H5238">
        <v>3</v>
      </c>
      <c r="I5238" s="12">
        <f>Table16[[#This Row],[price]]*Table16[[#This Row],[quantity]]</f>
        <v>5.23</v>
      </c>
    </row>
    <row r="5239" spans="1:9" x14ac:dyDescent="0.3">
      <c r="A5239" t="s">
        <v>7254</v>
      </c>
      <c r="B5239" t="s">
        <v>1044</v>
      </c>
      <c r="C5239" t="s">
        <v>2015</v>
      </c>
      <c r="D5239">
        <v>3</v>
      </c>
      <c r="E5239" s="16">
        <v>1800.51</v>
      </c>
      <c r="F5239" s="1">
        <v>44377</v>
      </c>
      <c r="G5239" t="s">
        <v>2027</v>
      </c>
      <c r="H5239">
        <v>1</v>
      </c>
      <c r="I5239" s="12">
        <f>Table16[[#This Row],[price]]*Table16[[#This Row],[quantity]]</f>
        <v>5401.53</v>
      </c>
    </row>
    <row r="5240" spans="1:9" x14ac:dyDescent="0.3">
      <c r="A5240" t="s">
        <v>7255</v>
      </c>
      <c r="B5240" t="s">
        <v>1044</v>
      </c>
      <c r="C5240" t="s">
        <v>2011</v>
      </c>
      <c r="D5240">
        <v>4</v>
      </c>
      <c r="E5240" s="16">
        <v>162.63999999999999</v>
      </c>
      <c r="F5240" s="1">
        <v>44417</v>
      </c>
      <c r="G5240" t="s">
        <v>2004</v>
      </c>
      <c r="H5240">
        <v>4</v>
      </c>
      <c r="I5240" s="12">
        <f>Table16[[#This Row],[price]]*Table16[[#This Row],[quantity]]</f>
        <v>650.55999999999995</v>
      </c>
    </row>
    <row r="5241" spans="1:9" x14ac:dyDescent="0.3">
      <c r="A5241" t="s">
        <v>7256</v>
      </c>
      <c r="B5241" t="s">
        <v>1044</v>
      </c>
      <c r="C5241" t="s">
        <v>2001</v>
      </c>
      <c r="D5241">
        <v>4</v>
      </c>
      <c r="E5241" s="16">
        <v>1200.32</v>
      </c>
      <c r="F5241" s="1">
        <v>44498</v>
      </c>
      <c r="G5241" t="s">
        <v>2004</v>
      </c>
      <c r="H5241">
        <v>3</v>
      </c>
      <c r="I5241" s="12">
        <f>Table16[[#This Row],[price]]*Table16[[#This Row],[quantity]]</f>
        <v>4801.28</v>
      </c>
    </row>
    <row r="5242" spans="1:9" x14ac:dyDescent="0.3">
      <c r="A5242" t="s">
        <v>7260</v>
      </c>
      <c r="B5242" t="s">
        <v>1045</v>
      </c>
      <c r="C5242" t="s">
        <v>2001</v>
      </c>
      <c r="D5242">
        <v>4</v>
      </c>
      <c r="E5242" s="16">
        <v>1200.32</v>
      </c>
      <c r="F5242" s="1">
        <v>44314</v>
      </c>
      <c r="G5242" t="s">
        <v>2027</v>
      </c>
      <c r="H5242">
        <v>1</v>
      </c>
      <c r="I5242" s="12">
        <f>Table16[[#This Row],[price]]*Table16[[#This Row],[quantity]]</f>
        <v>4801.28</v>
      </c>
    </row>
    <row r="5243" spans="1:9" x14ac:dyDescent="0.3">
      <c r="A5243" t="s">
        <v>7261</v>
      </c>
      <c r="B5243" t="s">
        <v>1045</v>
      </c>
      <c r="C5243" t="s">
        <v>2001</v>
      </c>
      <c r="D5243">
        <v>1</v>
      </c>
      <c r="E5243" s="16">
        <v>300.08</v>
      </c>
      <c r="F5243" s="1">
        <v>44492</v>
      </c>
      <c r="G5243" t="s">
        <v>2009</v>
      </c>
      <c r="H5243">
        <v>5</v>
      </c>
      <c r="I5243" s="12">
        <f>Table16[[#This Row],[price]]*Table16[[#This Row],[quantity]]</f>
        <v>300.08</v>
      </c>
    </row>
    <row r="5244" spans="1:9" x14ac:dyDescent="0.3">
      <c r="A5244" t="s">
        <v>7264</v>
      </c>
      <c r="B5244" t="s">
        <v>1045</v>
      </c>
      <c r="C5244" t="s">
        <v>2008</v>
      </c>
      <c r="D5244">
        <v>5</v>
      </c>
      <c r="E5244" s="16">
        <v>26.15</v>
      </c>
      <c r="F5244" s="1">
        <v>44573</v>
      </c>
      <c r="G5244" t="s">
        <v>2002</v>
      </c>
      <c r="H5244">
        <v>2</v>
      </c>
      <c r="I5244" s="12">
        <f>Table16[[#This Row],[price]]*Table16[[#This Row],[quantity]]</f>
        <v>130.75</v>
      </c>
    </row>
    <row r="5245" spans="1:9" x14ac:dyDescent="0.3">
      <c r="A5245" t="s">
        <v>7258</v>
      </c>
      <c r="B5245" t="s">
        <v>1045</v>
      </c>
      <c r="C5245" t="s">
        <v>2001</v>
      </c>
      <c r="D5245">
        <v>2</v>
      </c>
      <c r="E5245" s="16">
        <v>600.16</v>
      </c>
      <c r="F5245" s="1">
        <v>44601</v>
      </c>
      <c r="G5245" t="s">
        <v>2064</v>
      </c>
      <c r="H5245">
        <v>4</v>
      </c>
      <c r="I5245" s="12">
        <f>Table16[[#This Row],[price]]*Table16[[#This Row],[quantity]]</f>
        <v>1200.32</v>
      </c>
    </row>
    <row r="5246" spans="1:9" x14ac:dyDescent="0.3">
      <c r="A5246" t="s">
        <v>7262</v>
      </c>
      <c r="B5246" t="s">
        <v>1045</v>
      </c>
      <c r="C5246" t="s">
        <v>2057</v>
      </c>
      <c r="D5246">
        <v>5</v>
      </c>
      <c r="E5246" s="16">
        <v>58.65</v>
      </c>
      <c r="F5246" s="1">
        <v>44632</v>
      </c>
      <c r="G5246" t="s">
        <v>2027</v>
      </c>
      <c r="H5246">
        <v>5</v>
      </c>
      <c r="I5246" s="12">
        <f>Table16[[#This Row],[price]]*Table16[[#This Row],[quantity]]</f>
        <v>293.25</v>
      </c>
    </row>
    <row r="5247" spans="1:9" x14ac:dyDescent="0.3">
      <c r="A5247" t="s">
        <v>7259</v>
      </c>
      <c r="B5247" t="s">
        <v>1045</v>
      </c>
      <c r="C5247" t="s">
        <v>2001</v>
      </c>
      <c r="D5247">
        <v>5</v>
      </c>
      <c r="E5247" s="16">
        <v>1500.4</v>
      </c>
      <c r="F5247" s="1">
        <v>44646</v>
      </c>
      <c r="G5247" t="s">
        <v>2004</v>
      </c>
      <c r="H5247">
        <v>3</v>
      </c>
      <c r="I5247" s="12">
        <f>Table16[[#This Row],[price]]*Table16[[#This Row],[quantity]]</f>
        <v>7502</v>
      </c>
    </row>
    <row r="5248" spans="1:9" x14ac:dyDescent="0.3">
      <c r="A5248" t="s">
        <v>7263</v>
      </c>
      <c r="B5248" t="s">
        <v>1045</v>
      </c>
      <c r="C5248" t="s">
        <v>2024</v>
      </c>
      <c r="D5248">
        <v>2</v>
      </c>
      <c r="E5248" s="16">
        <v>71.680000000000007</v>
      </c>
      <c r="F5248" s="1">
        <v>44690</v>
      </c>
      <c r="G5248" t="s">
        <v>2020</v>
      </c>
      <c r="H5248">
        <v>1</v>
      </c>
      <c r="I5248" s="12">
        <f>Table16[[#This Row],[price]]*Table16[[#This Row],[quantity]]</f>
        <v>143.36000000000001</v>
      </c>
    </row>
    <row r="5249" spans="1:9" x14ac:dyDescent="0.3">
      <c r="A5249" t="s">
        <v>7265</v>
      </c>
      <c r="B5249" t="s">
        <v>1046</v>
      </c>
      <c r="C5249" t="s">
        <v>2001</v>
      </c>
      <c r="D5249">
        <v>4</v>
      </c>
      <c r="E5249" s="16">
        <v>1200.32</v>
      </c>
      <c r="F5249" s="1">
        <v>44295</v>
      </c>
      <c r="G5249" t="s">
        <v>2002</v>
      </c>
      <c r="H5249">
        <v>2</v>
      </c>
      <c r="I5249" s="12">
        <f>Table16[[#This Row],[price]]*Table16[[#This Row],[quantity]]</f>
        <v>4801.28</v>
      </c>
    </row>
    <row r="5250" spans="1:9" x14ac:dyDescent="0.3">
      <c r="A5250" t="s">
        <v>7267</v>
      </c>
      <c r="B5250" t="s">
        <v>1046</v>
      </c>
      <c r="C5250" t="s">
        <v>2001</v>
      </c>
      <c r="D5250">
        <v>2</v>
      </c>
      <c r="E5250" s="16">
        <v>600.16</v>
      </c>
      <c r="F5250" s="1">
        <v>44391</v>
      </c>
      <c r="G5250" t="s">
        <v>2002</v>
      </c>
      <c r="H5250">
        <v>2</v>
      </c>
      <c r="I5250" s="12">
        <f>Table16[[#This Row],[price]]*Table16[[#This Row],[quantity]]</f>
        <v>1200.32</v>
      </c>
    </row>
    <row r="5251" spans="1:9" x14ac:dyDescent="0.3">
      <c r="A5251" t="s">
        <v>7266</v>
      </c>
      <c r="B5251" t="s">
        <v>1046</v>
      </c>
      <c r="C5251" t="s">
        <v>2001</v>
      </c>
      <c r="D5251">
        <v>1</v>
      </c>
      <c r="E5251" s="16">
        <v>300.08</v>
      </c>
      <c r="F5251" s="1">
        <v>44791</v>
      </c>
      <c r="G5251" t="s">
        <v>2027</v>
      </c>
      <c r="H5251">
        <v>3</v>
      </c>
      <c r="I5251" s="12">
        <f>Table16[[#This Row],[price]]*Table16[[#This Row],[quantity]]</f>
        <v>300.08</v>
      </c>
    </row>
    <row r="5252" spans="1:9" x14ac:dyDescent="0.3">
      <c r="A5252" t="s">
        <v>7268</v>
      </c>
      <c r="B5252" t="s">
        <v>1047</v>
      </c>
      <c r="C5252" t="s">
        <v>2017</v>
      </c>
      <c r="D5252">
        <v>4</v>
      </c>
      <c r="E5252" s="16">
        <v>4200</v>
      </c>
      <c r="F5252" s="1">
        <v>44279</v>
      </c>
      <c r="G5252" t="s">
        <v>2027</v>
      </c>
      <c r="H5252">
        <v>5</v>
      </c>
      <c r="I5252" s="12">
        <f>Table16[[#This Row],[price]]*Table16[[#This Row],[quantity]]</f>
        <v>16800</v>
      </c>
    </row>
    <row r="5253" spans="1:9" x14ac:dyDescent="0.3">
      <c r="A5253" t="s">
        <v>7270</v>
      </c>
      <c r="B5253" t="s">
        <v>1047</v>
      </c>
      <c r="C5253" t="s">
        <v>2008</v>
      </c>
      <c r="D5253">
        <v>5</v>
      </c>
      <c r="E5253" s="16">
        <v>26.15</v>
      </c>
      <c r="F5253" s="1">
        <v>44299</v>
      </c>
      <c r="G5253" t="s">
        <v>2012</v>
      </c>
      <c r="H5253">
        <v>2</v>
      </c>
      <c r="I5253" s="12">
        <f>Table16[[#This Row],[price]]*Table16[[#This Row],[quantity]]</f>
        <v>130.75</v>
      </c>
    </row>
    <row r="5254" spans="1:9" x14ac:dyDescent="0.3">
      <c r="A5254" t="s">
        <v>7274</v>
      </c>
      <c r="B5254" t="s">
        <v>1047</v>
      </c>
      <c r="C5254" t="s">
        <v>2008</v>
      </c>
      <c r="D5254">
        <v>3</v>
      </c>
      <c r="E5254" s="16">
        <v>15.69</v>
      </c>
      <c r="F5254" s="1">
        <v>44497</v>
      </c>
      <c r="G5254" t="s">
        <v>2020</v>
      </c>
      <c r="H5254">
        <v>5</v>
      </c>
      <c r="I5254" s="12">
        <f>Table16[[#This Row],[price]]*Table16[[#This Row],[quantity]]</f>
        <v>47.07</v>
      </c>
    </row>
    <row r="5255" spans="1:9" x14ac:dyDescent="0.3">
      <c r="A5255" t="s">
        <v>7275</v>
      </c>
      <c r="B5255" t="s">
        <v>1047</v>
      </c>
      <c r="C5255" t="s">
        <v>2017</v>
      </c>
      <c r="D5255">
        <v>2</v>
      </c>
      <c r="E5255" s="16">
        <v>2100</v>
      </c>
      <c r="F5255" s="1">
        <v>44530</v>
      </c>
      <c r="G5255" t="s">
        <v>2020</v>
      </c>
      <c r="H5255">
        <v>2</v>
      </c>
      <c r="I5255" s="12">
        <f>Table16[[#This Row],[price]]*Table16[[#This Row],[quantity]]</f>
        <v>4200</v>
      </c>
    </row>
    <row r="5256" spans="1:9" x14ac:dyDescent="0.3">
      <c r="A5256" t="s">
        <v>7273</v>
      </c>
      <c r="B5256" t="s">
        <v>1047</v>
      </c>
      <c r="C5256" t="s">
        <v>2011</v>
      </c>
      <c r="D5256">
        <v>5</v>
      </c>
      <c r="E5256" s="16">
        <v>203.3</v>
      </c>
      <c r="F5256" s="1">
        <v>44530</v>
      </c>
      <c r="G5256" t="s">
        <v>2004</v>
      </c>
      <c r="H5256">
        <v>3</v>
      </c>
      <c r="I5256" s="12">
        <f>Table16[[#This Row],[price]]*Table16[[#This Row],[quantity]]</f>
        <v>1016.5</v>
      </c>
    </row>
    <row r="5257" spans="1:9" x14ac:dyDescent="0.3">
      <c r="A5257" t="s">
        <v>7272</v>
      </c>
      <c r="B5257" t="s">
        <v>1047</v>
      </c>
      <c r="C5257" t="s">
        <v>2001</v>
      </c>
      <c r="D5257">
        <v>1</v>
      </c>
      <c r="E5257" s="16">
        <v>300.08</v>
      </c>
      <c r="F5257" s="1">
        <v>44531</v>
      </c>
      <c r="G5257" t="s">
        <v>2012</v>
      </c>
      <c r="H5257">
        <v>4</v>
      </c>
      <c r="I5257" s="12">
        <f>Table16[[#This Row],[price]]*Table16[[#This Row],[quantity]]</f>
        <v>300.08</v>
      </c>
    </row>
    <row r="5258" spans="1:9" x14ac:dyDescent="0.3">
      <c r="A5258" t="s">
        <v>7271</v>
      </c>
      <c r="B5258" t="s">
        <v>1047</v>
      </c>
      <c r="C5258" t="s">
        <v>2001</v>
      </c>
      <c r="D5258">
        <v>3</v>
      </c>
      <c r="E5258" s="16">
        <v>900.24</v>
      </c>
      <c r="F5258" s="1">
        <v>44669</v>
      </c>
      <c r="G5258" t="s">
        <v>2018</v>
      </c>
      <c r="H5258">
        <v>2</v>
      </c>
      <c r="I5258" s="12">
        <f>Table16[[#This Row],[price]]*Table16[[#This Row],[quantity]]</f>
        <v>2700.7200000000003</v>
      </c>
    </row>
    <row r="5259" spans="1:9" x14ac:dyDescent="0.3">
      <c r="A5259" t="s">
        <v>7276</v>
      </c>
      <c r="B5259" t="s">
        <v>1047</v>
      </c>
      <c r="C5259" t="s">
        <v>2011</v>
      </c>
      <c r="D5259">
        <v>2</v>
      </c>
      <c r="E5259" s="16">
        <v>81.319999999999993</v>
      </c>
      <c r="F5259" s="1">
        <v>44709</v>
      </c>
      <c r="G5259" t="s">
        <v>2012</v>
      </c>
      <c r="H5259">
        <v>4</v>
      </c>
      <c r="I5259" s="12">
        <f>Table16[[#This Row],[price]]*Table16[[#This Row],[quantity]]</f>
        <v>162.63999999999999</v>
      </c>
    </row>
    <row r="5260" spans="1:9" x14ac:dyDescent="0.3">
      <c r="A5260" t="s">
        <v>7269</v>
      </c>
      <c r="B5260" t="s">
        <v>1047</v>
      </c>
      <c r="C5260" t="s">
        <v>2015</v>
      </c>
      <c r="D5260">
        <v>3</v>
      </c>
      <c r="E5260" s="16">
        <v>1800.51</v>
      </c>
      <c r="F5260" s="1">
        <v>44943</v>
      </c>
      <c r="G5260" t="s">
        <v>2027</v>
      </c>
      <c r="H5260">
        <v>1</v>
      </c>
      <c r="I5260" s="12">
        <f>Table16[[#This Row],[price]]*Table16[[#This Row],[quantity]]</f>
        <v>5401.53</v>
      </c>
    </row>
    <row r="5261" spans="1:9" x14ac:dyDescent="0.3">
      <c r="A5261" t="s">
        <v>7278</v>
      </c>
      <c r="B5261" t="s">
        <v>1048</v>
      </c>
      <c r="C5261" t="s">
        <v>2001</v>
      </c>
      <c r="D5261">
        <v>1</v>
      </c>
      <c r="E5261" s="16">
        <v>300.08</v>
      </c>
      <c r="F5261" s="1">
        <v>44570</v>
      </c>
      <c r="G5261" t="s">
        <v>2004</v>
      </c>
      <c r="H5261">
        <v>2</v>
      </c>
      <c r="I5261" s="12">
        <f>Table16[[#This Row],[price]]*Table16[[#This Row],[quantity]]</f>
        <v>300.08</v>
      </c>
    </row>
    <row r="5262" spans="1:9" x14ac:dyDescent="0.3">
      <c r="A5262" t="s">
        <v>7277</v>
      </c>
      <c r="B5262" t="s">
        <v>1048</v>
      </c>
      <c r="C5262" t="s">
        <v>2001</v>
      </c>
      <c r="D5262">
        <v>2</v>
      </c>
      <c r="E5262" s="16">
        <v>600.16</v>
      </c>
      <c r="F5262" s="1">
        <v>44713</v>
      </c>
      <c r="G5262" t="s">
        <v>2004</v>
      </c>
      <c r="H5262">
        <v>4</v>
      </c>
      <c r="I5262" s="12">
        <f>Table16[[#This Row],[price]]*Table16[[#This Row],[quantity]]</f>
        <v>1200.32</v>
      </c>
    </row>
    <row r="5263" spans="1:9" x14ac:dyDescent="0.3">
      <c r="A5263" t="s">
        <v>7280</v>
      </c>
      <c r="B5263" t="s">
        <v>1049</v>
      </c>
      <c r="C5263" t="s">
        <v>2006</v>
      </c>
      <c r="D5263">
        <v>2</v>
      </c>
      <c r="E5263" s="16">
        <v>30.3</v>
      </c>
      <c r="F5263" s="1">
        <v>44214</v>
      </c>
      <c r="G5263" t="s">
        <v>2012</v>
      </c>
      <c r="H5263">
        <v>3</v>
      </c>
      <c r="I5263" s="12">
        <f>Table16[[#This Row],[price]]*Table16[[#This Row],[quantity]]</f>
        <v>60.6</v>
      </c>
    </row>
    <row r="5264" spans="1:9" x14ac:dyDescent="0.3">
      <c r="A5264" t="s">
        <v>7281</v>
      </c>
      <c r="B5264" t="s">
        <v>1049</v>
      </c>
      <c r="C5264" t="s">
        <v>2001</v>
      </c>
      <c r="D5264">
        <v>3</v>
      </c>
      <c r="E5264" s="16">
        <v>900.24</v>
      </c>
      <c r="F5264" s="1">
        <v>44308</v>
      </c>
      <c r="G5264" t="s">
        <v>2009</v>
      </c>
      <c r="H5264">
        <v>5</v>
      </c>
      <c r="I5264" s="12">
        <f>Table16[[#This Row],[price]]*Table16[[#This Row],[quantity]]</f>
        <v>2700.7200000000003</v>
      </c>
    </row>
    <row r="5265" spans="1:9" x14ac:dyDescent="0.3">
      <c r="A5265" t="s">
        <v>7283</v>
      </c>
      <c r="B5265" t="s">
        <v>1049</v>
      </c>
      <c r="C5265" t="s">
        <v>2015</v>
      </c>
      <c r="D5265">
        <v>4</v>
      </c>
      <c r="E5265" s="16">
        <v>2400.6799999999998</v>
      </c>
      <c r="F5265" s="1">
        <v>44460</v>
      </c>
      <c r="G5265" t="s">
        <v>2041</v>
      </c>
      <c r="H5265">
        <v>4</v>
      </c>
      <c r="I5265" s="12">
        <f>Table16[[#This Row],[price]]*Table16[[#This Row],[quantity]]</f>
        <v>9602.7199999999993</v>
      </c>
    </row>
    <row r="5266" spans="1:9" x14ac:dyDescent="0.3">
      <c r="A5266" t="s">
        <v>7279</v>
      </c>
      <c r="B5266" t="s">
        <v>1049</v>
      </c>
      <c r="C5266" t="s">
        <v>2001</v>
      </c>
      <c r="D5266">
        <v>5</v>
      </c>
      <c r="E5266" s="16">
        <v>1500.4</v>
      </c>
      <c r="F5266" s="1">
        <v>44508</v>
      </c>
      <c r="G5266" t="s">
        <v>2058</v>
      </c>
      <c r="H5266">
        <v>5</v>
      </c>
      <c r="I5266" s="12">
        <f>Table16[[#This Row],[price]]*Table16[[#This Row],[quantity]]</f>
        <v>7502</v>
      </c>
    </row>
    <row r="5267" spans="1:9" x14ac:dyDescent="0.3">
      <c r="A5267" t="s">
        <v>7282</v>
      </c>
      <c r="B5267" t="s">
        <v>1049</v>
      </c>
      <c r="C5267" t="s">
        <v>2001</v>
      </c>
      <c r="D5267">
        <v>3</v>
      </c>
      <c r="E5267" s="16">
        <v>900.24</v>
      </c>
      <c r="F5267" s="1">
        <v>44614</v>
      </c>
      <c r="G5267" t="s">
        <v>2004</v>
      </c>
      <c r="H5267">
        <v>3</v>
      </c>
      <c r="I5267" s="12">
        <f>Table16[[#This Row],[price]]*Table16[[#This Row],[quantity]]</f>
        <v>2700.7200000000003</v>
      </c>
    </row>
    <row r="5268" spans="1:9" x14ac:dyDescent="0.3">
      <c r="A5268" t="s">
        <v>7286</v>
      </c>
      <c r="B5268" t="s">
        <v>1050</v>
      </c>
      <c r="C5268" t="s">
        <v>2024</v>
      </c>
      <c r="D5268">
        <v>4</v>
      </c>
      <c r="E5268" s="16">
        <v>143.36000000000001</v>
      </c>
      <c r="F5268" s="1">
        <v>44569</v>
      </c>
      <c r="G5268" t="s">
        <v>2002</v>
      </c>
      <c r="H5268">
        <v>5</v>
      </c>
      <c r="I5268" s="12">
        <f>Table16[[#This Row],[price]]*Table16[[#This Row],[quantity]]</f>
        <v>573.44000000000005</v>
      </c>
    </row>
    <row r="5269" spans="1:9" x14ac:dyDescent="0.3">
      <c r="A5269" t="s">
        <v>7284</v>
      </c>
      <c r="B5269" t="s">
        <v>1050</v>
      </c>
      <c r="C5269" t="s">
        <v>2057</v>
      </c>
      <c r="D5269">
        <v>1</v>
      </c>
      <c r="E5269" s="16">
        <v>11.73</v>
      </c>
      <c r="F5269" s="1">
        <v>44613</v>
      </c>
      <c r="G5269" t="s">
        <v>2004</v>
      </c>
      <c r="H5269">
        <v>3</v>
      </c>
      <c r="I5269" s="12">
        <f>Table16[[#This Row],[price]]*Table16[[#This Row],[quantity]]</f>
        <v>11.73</v>
      </c>
    </row>
    <row r="5270" spans="1:9" x14ac:dyDescent="0.3">
      <c r="A5270" t="s">
        <v>7287</v>
      </c>
      <c r="B5270" t="s">
        <v>1050</v>
      </c>
      <c r="C5270" t="s">
        <v>2011</v>
      </c>
      <c r="D5270">
        <v>4</v>
      </c>
      <c r="E5270" s="16">
        <v>162.63999999999999</v>
      </c>
      <c r="F5270" s="1">
        <v>44692</v>
      </c>
      <c r="G5270" t="s">
        <v>2002</v>
      </c>
      <c r="H5270">
        <v>1</v>
      </c>
      <c r="I5270" s="12">
        <f>Table16[[#This Row],[price]]*Table16[[#This Row],[quantity]]</f>
        <v>650.55999999999995</v>
      </c>
    </row>
    <row r="5271" spans="1:9" x14ac:dyDescent="0.3">
      <c r="A5271" t="s">
        <v>7285</v>
      </c>
      <c r="B5271" t="s">
        <v>1050</v>
      </c>
      <c r="C5271" t="s">
        <v>2024</v>
      </c>
      <c r="D5271">
        <v>5</v>
      </c>
      <c r="E5271" s="16">
        <v>179.2</v>
      </c>
      <c r="F5271" s="1">
        <v>44826</v>
      </c>
      <c r="G5271" t="s">
        <v>2020</v>
      </c>
      <c r="H5271">
        <v>5</v>
      </c>
      <c r="I5271" s="12">
        <f>Table16[[#This Row],[price]]*Table16[[#This Row],[quantity]]</f>
        <v>896</v>
      </c>
    </row>
    <row r="5272" spans="1:9" x14ac:dyDescent="0.3">
      <c r="A5272" t="s">
        <v>7293</v>
      </c>
      <c r="B5272" t="s">
        <v>1051</v>
      </c>
      <c r="C5272" t="s">
        <v>2024</v>
      </c>
      <c r="D5272">
        <v>1</v>
      </c>
      <c r="E5272" s="16">
        <v>35.840000000000003</v>
      </c>
      <c r="F5272" s="1">
        <v>44414</v>
      </c>
      <c r="G5272" t="s">
        <v>2018</v>
      </c>
      <c r="H5272">
        <v>3</v>
      </c>
      <c r="I5272" s="12">
        <f>Table16[[#This Row],[price]]*Table16[[#This Row],[quantity]]</f>
        <v>35.840000000000003</v>
      </c>
    </row>
    <row r="5273" spans="1:9" x14ac:dyDescent="0.3">
      <c r="A5273" t="s">
        <v>7291</v>
      </c>
      <c r="B5273" t="s">
        <v>1051</v>
      </c>
      <c r="C5273" t="s">
        <v>2011</v>
      </c>
      <c r="D5273">
        <v>3</v>
      </c>
      <c r="E5273" s="16">
        <v>121.98</v>
      </c>
      <c r="F5273" s="1">
        <v>44426</v>
      </c>
      <c r="G5273" t="s">
        <v>2004</v>
      </c>
      <c r="H5273">
        <v>1</v>
      </c>
      <c r="I5273" s="12">
        <f>Table16[[#This Row],[price]]*Table16[[#This Row],[quantity]]</f>
        <v>365.94</v>
      </c>
    </row>
    <row r="5274" spans="1:9" x14ac:dyDescent="0.3">
      <c r="A5274" t="s">
        <v>7289</v>
      </c>
      <c r="B5274" t="s">
        <v>1051</v>
      </c>
      <c r="C5274" t="s">
        <v>2015</v>
      </c>
      <c r="D5274">
        <v>4</v>
      </c>
      <c r="E5274" s="16">
        <v>2400.6799999999998</v>
      </c>
      <c r="F5274" s="1">
        <v>44429</v>
      </c>
      <c r="G5274" t="s">
        <v>2064</v>
      </c>
      <c r="H5274">
        <v>1</v>
      </c>
      <c r="I5274" s="12">
        <f>Table16[[#This Row],[price]]*Table16[[#This Row],[quantity]]</f>
        <v>9602.7199999999993</v>
      </c>
    </row>
    <row r="5275" spans="1:9" x14ac:dyDescent="0.3">
      <c r="A5275" t="s">
        <v>7292</v>
      </c>
      <c r="B5275" t="s">
        <v>1051</v>
      </c>
      <c r="C5275" t="s">
        <v>2011</v>
      </c>
      <c r="D5275">
        <v>5</v>
      </c>
      <c r="E5275" s="16">
        <v>203.3</v>
      </c>
      <c r="F5275" s="1">
        <v>44721</v>
      </c>
      <c r="G5275" t="s">
        <v>2004</v>
      </c>
      <c r="H5275">
        <v>5</v>
      </c>
      <c r="I5275" s="12">
        <f>Table16[[#This Row],[price]]*Table16[[#This Row],[quantity]]</f>
        <v>1016.5</v>
      </c>
    </row>
    <row r="5276" spans="1:9" x14ac:dyDescent="0.3">
      <c r="A5276" t="s">
        <v>7288</v>
      </c>
      <c r="B5276" t="s">
        <v>1051</v>
      </c>
      <c r="C5276" t="s">
        <v>2001</v>
      </c>
      <c r="D5276">
        <v>1</v>
      </c>
      <c r="E5276" s="16">
        <v>300.08</v>
      </c>
      <c r="F5276" s="1">
        <v>44936</v>
      </c>
      <c r="G5276" t="s">
        <v>2004</v>
      </c>
      <c r="H5276">
        <v>5</v>
      </c>
      <c r="I5276" s="12">
        <f>Table16[[#This Row],[price]]*Table16[[#This Row],[quantity]]</f>
        <v>300.08</v>
      </c>
    </row>
    <row r="5277" spans="1:9" x14ac:dyDescent="0.3">
      <c r="A5277" t="s">
        <v>7290</v>
      </c>
      <c r="B5277" t="s">
        <v>1051</v>
      </c>
      <c r="C5277" t="s">
        <v>2001</v>
      </c>
      <c r="D5277">
        <v>2</v>
      </c>
      <c r="E5277" s="16">
        <v>600.16</v>
      </c>
      <c r="F5277" s="1">
        <v>44936</v>
      </c>
      <c r="G5277" t="s">
        <v>2027</v>
      </c>
      <c r="H5277">
        <v>4</v>
      </c>
      <c r="I5277" s="12">
        <f>Table16[[#This Row],[price]]*Table16[[#This Row],[quantity]]</f>
        <v>1200.32</v>
      </c>
    </row>
    <row r="5278" spans="1:9" x14ac:dyDescent="0.3">
      <c r="A5278" t="s">
        <v>7294</v>
      </c>
      <c r="B5278" t="s">
        <v>1051</v>
      </c>
      <c r="C5278" t="s">
        <v>2017</v>
      </c>
      <c r="D5278">
        <v>3</v>
      </c>
      <c r="E5278" s="16">
        <v>3150</v>
      </c>
      <c r="F5278" s="1">
        <v>44947</v>
      </c>
      <c r="G5278" t="s">
        <v>2027</v>
      </c>
      <c r="H5278">
        <v>5</v>
      </c>
      <c r="I5278" s="12">
        <f>Table16[[#This Row],[price]]*Table16[[#This Row],[quantity]]</f>
        <v>9450</v>
      </c>
    </row>
    <row r="5279" spans="1:9" x14ac:dyDescent="0.3">
      <c r="A5279" t="s">
        <v>7295</v>
      </c>
      <c r="B5279" t="s">
        <v>1052</v>
      </c>
      <c r="C5279" t="s">
        <v>2001</v>
      </c>
      <c r="D5279">
        <v>1</v>
      </c>
      <c r="E5279" s="16">
        <v>300.08</v>
      </c>
      <c r="F5279" s="1">
        <v>44509</v>
      </c>
      <c r="G5279" t="s">
        <v>2002</v>
      </c>
      <c r="H5279">
        <v>3</v>
      </c>
      <c r="I5279" s="12">
        <f>Table16[[#This Row],[price]]*Table16[[#This Row],[quantity]]</f>
        <v>300.08</v>
      </c>
    </row>
    <row r="5280" spans="1:9" x14ac:dyDescent="0.3">
      <c r="A5280" t="s">
        <v>7296</v>
      </c>
      <c r="B5280" t="s">
        <v>1052</v>
      </c>
      <c r="C5280" t="s">
        <v>2001</v>
      </c>
      <c r="D5280">
        <v>2</v>
      </c>
      <c r="E5280" s="16">
        <v>600.16</v>
      </c>
      <c r="F5280" s="1">
        <v>44741</v>
      </c>
      <c r="G5280" t="s">
        <v>2004</v>
      </c>
      <c r="H5280">
        <v>3</v>
      </c>
      <c r="I5280" s="12">
        <f>Table16[[#This Row],[price]]*Table16[[#This Row],[quantity]]</f>
        <v>1200.32</v>
      </c>
    </row>
    <row r="5281" spans="1:9" x14ac:dyDescent="0.3">
      <c r="A5281" t="s">
        <v>7297</v>
      </c>
      <c r="B5281" t="s">
        <v>1052</v>
      </c>
      <c r="C5281" t="s">
        <v>2017</v>
      </c>
      <c r="D5281">
        <v>5</v>
      </c>
      <c r="E5281" s="16">
        <v>5250</v>
      </c>
      <c r="F5281" s="1">
        <v>44875</v>
      </c>
      <c r="G5281" t="s">
        <v>2027</v>
      </c>
      <c r="H5281">
        <v>2</v>
      </c>
      <c r="I5281" s="12">
        <f>Table16[[#This Row],[price]]*Table16[[#This Row],[quantity]]</f>
        <v>26250</v>
      </c>
    </row>
    <row r="5282" spans="1:9" x14ac:dyDescent="0.3">
      <c r="A5282" t="s">
        <v>7301</v>
      </c>
      <c r="B5282" t="s">
        <v>1053</v>
      </c>
      <c r="C5282" t="s">
        <v>2024</v>
      </c>
      <c r="D5282">
        <v>1</v>
      </c>
      <c r="E5282" s="16">
        <v>35.840000000000003</v>
      </c>
      <c r="F5282" s="1">
        <v>44475</v>
      </c>
      <c r="G5282" t="s">
        <v>2002</v>
      </c>
      <c r="H5282">
        <v>1</v>
      </c>
      <c r="I5282" s="12">
        <f>Table16[[#This Row],[price]]*Table16[[#This Row],[quantity]]</f>
        <v>35.840000000000003</v>
      </c>
    </row>
    <row r="5283" spans="1:9" x14ac:dyDescent="0.3">
      <c r="A5283" t="s">
        <v>7299</v>
      </c>
      <c r="B5283" t="s">
        <v>1053</v>
      </c>
      <c r="C5283" t="s">
        <v>2017</v>
      </c>
      <c r="D5283">
        <v>5</v>
      </c>
      <c r="E5283" s="16">
        <v>5250</v>
      </c>
      <c r="F5283" s="1">
        <v>44516</v>
      </c>
      <c r="G5283" t="s">
        <v>2009</v>
      </c>
      <c r="H5283">
        <v>4</v>
      </c>
      <c r="I5283" s="12">
        <f>Table16[[#This Row],[price]]*Table16[[#This Row],[quantity]]</f>
        <v>26250</v>
      </c>
    </row>
    <row r="5284" spans="1:9" x14ac:dyDescent="0.3">
      <c r="A5284" t="s">
        <v>7303</v>
      </c>
      <c r="B5284" t="s">
        <v>1053</v>
      </c>
      <c r="C5284" t="s">
        <v>2008</v>
      </c>
      <c r="D5284">
        <v>1</v>
      </c>
      <c r="E5284" s="16">
        <v>5.23</v>
      </c>
      <c r="F5284" s="1">
        <v>44686</v>
      </c>
      <c r="G5284" t="s">
        <v>2027</v>
      </c>
      <c r="H5284">
        <v>3</v>
      </c>
      <c r="I5284" s="12">
        <f>Table16[[#This Row],[price]]*Table16[[#This Row],[quantity]]</f>
        <v>5.23</v>
      </c>
    </row>
    <row r="5285" spans="1:9" x14ac:dyDescent="0.3">
      <c r="A5285" t="s">
        <v>7298</v>
      </c>
      <c r="B5285" t="s">
        <v>1053</v>
      </c>
      <c r="C5285" t="s">
        <v>2001</v>
      </c>
      <c r="D5285">
        <v>5</v>
      </c>
      <c r="E5285" s="16">
        <v>1500.4</v>
      </c>
      <c r="F5285" s="1">
        <v>44796</v>
      </c>
      <c r="G5285" t="s">
        <v>2002</v>
      </c>
      <c r="H5285">
        <v>5</v>
      </c>
      <c r="I5285" s="12">
        <f>Table16[[#This Row],[price]]*Table16[[#This Row],[quantity]]</f>
        <v>7502</v>
      </c>
    </row>
    <row r="5286" spans="1:9" x14ac:dyDescent="0.3">
      <c r="A5286" t="s">
        <v>7300</v>
      </c>
      <c r="B5286" t="s">
        <v>1053</v>
      </c>
      <c r="C5286" t="s">
        <v>2015</v>
      </c>
      <c r="D5286">
        <v>5</v>
      </c>
      <c r="E5286" s="16">
        <v>3000.85</v>
      </c>
      <c r="F5286" s="1">
        <v>44851</v>
      </c>
      <c r="G5286" t="s">
        <v>2041</v>
      </c>
      <c r="H5286">
        <v>3</v>
      </c>
      <c r="I5286" s="12">
        <f>Table16[[#This Row],[price]]*Table16[[#This Row],[quantity]]</f>
        <v>15004.25</v>
      </c>
    </row>
    <row r="5287" spans="1:9" x14ac:dyDescent="0.3">
      <c r="A5287" t="s">
        <v>7302</v>
      </c>
      <c r="B5287" t="s">
        <v>1053</v>
      </c>
      <c r="C5287" t="s">
        <v>2015</v>
      </c>
      <c r="D5287">
        <v>3</v>
      </c>
      <c r="E5287" s="16">
        <v>1800.51</v>
      </c>
      <c r="F5287" s="1">
        <v>44966</v>
      </c>
      <c r="G5287" t="s">
        <v>2020</v>
      </c>
      <c r="H5287">
        <v>5</v>
      </c>
      <c r="I5287" s="12">
        <f>Table16[[#This Row],[price]]*Table16[[#This Row],[quantity]]</f>
        <v>5401.53</v>
      </c>
    </row>
    <row r="5288" spans="1:9" x14ac:dyDescent="0.3">
      <c r="A5288" t="s">
        <v>7304</v>
      </c>
      <c r="B5288" t="s">
        <v>1054</v>
      </c>
      <c r="C5288" t="s">
        <v>2011</v>
      </c>
      <c r="D5288">
        <v>5</v>
      </c>
      <c r="E5288" s="16">
        <v>203.3</v>
      </c>
      <c r="F5288" s="1">
        <v>44781</v>
      </c>
      <c r="G5288" t="s">
        <v>2004</v>
      </c>
      <c r="H5288">
        <v>5</v>
      </c>
      <c r="I5288" s="12">
        <f>Table16[[#This Row],[price]]*Table16[[#This Row],[quantity]]</f>
        <v>1016.5</v>
      </c>
    </row>
    <row r="5289" spans="1:9" x14ac:dyDescent="0.3">
      <c r="A5289" t="s">
        <v>7305</v>
      </c>
      <c r="B5289" t="s">
        <v>1054</v>
      </c>
      <c r="C5289" t="s">
        <v>2017</v>
      </c>
      <c r="D5289">
        <v>4</v>
      </c>
      <c r="E5289" s="16">
        <v>4200</v>
      </c>
      <c r="F5289" s="1">
        <v>44851</v>
      </c>
      <c r="G5289" t="s">
        <v>2027</v>
      </c>
      <c r="H5289">
        <v>3</v>
      </c>
      <c r="I5289" s="12">
        <f>Table16[[#This Row],[price]]*Table16[[#This Row],[quantity]]</f>
        <v>16800</v>
      </c>
    </row>
    <row r="5290" spans="1:9" x14ac:dyDescent="0.3">
      <c r="A5290" t="s">
        <v>7306</v>
      </c>
      <c r="B5290" t="s">
        <v>1055</v>
      </c>
      <c r="C5290" t="s">
        <v>2011</v>
      </c>
      <c r="D5290">
        <v>1</v>
      </c>
      <c r="E5290" s="16">
        <v>40.659999999999997</v>
      </c>
      <c r="F5290" s="1">
        <v>44250</v>
      </c>
      <c r="G5290" t="s">
        <v>2058</v>
      </c>
      <c r="H5290">
        <v>1</v>
      </c>
      <c r="I5290" s="12">
        <f>Table16[[#This Row],[price]]*Table16[[#This Row],[quantity]]</f>
        <v>40.659999999999997</v>
      </c>
    </row>
    <row r="5291" spans="1:9" x14ac:dyDescent="0.3">
      <c r="A5291" t="s">
        <v>7309</v>
      </c>
      <c r="B5291" t="s">
        <v>1055</v>
      </c>
      <c r="C5291" t="s">
        <v>2015</v>
      </c>
      <c r="D5291">
        <v>5</v>
      </c>
      <c r="E5291" s="16">
        <v>3000.85</v>
      </c>
      <c r="F5291" s="1">
        <v>44276</v>
      </c>
      <c r="G5291" t="s">
        <v>2004</v>
      </c>
      <c r="H5291">
        <v>3</v>
      </c>
      <c r="I5291" s="12">
        <f>Table16[[#This Row],[price]]*Table16[[#This Row],[quantity]]</f>
        <v>15004.25</v>
      </c>
    </row>
    <row r="5292" spans="1:9" x14ac:dyDescent="0.3">
      <c r="A5292" t="s">
        <v>7307</v>
      </c>
      <c r="B5292" t="s">
        <v>1055</v>
      </c>
      <c r="C5292" t="s">
        <v>2006</v>
      </c>
      <c r="D5292">
        <v>3</v>
      </c>
      <c r="E5292" s="16">
        <v>45.45</v>
      </c>
      <c r="F5292" s="1">
        <v>44296</v>
      </c>
      <c r="G5292" t="s">
        <v>2020</v>
      </c>
      <c r="H5292">
        <v>2</v>
      </c>
      <c r="I5292" s="12">
        <f>Table16[[#This Row],[price]]*Table16[[#This Row],[quantity]]</f>
        <v>136.35000000000002</v>
      </c>
    </row>
    <row r="5293" spans="1:9" x14ac:dyDescent="0.3">
      <c r="A5293" t="s">
        <v>7308</v>
      </c>
      <c r="B5293" t="s">
        <v>1055</v>
      </c>
      <c r="C5293" t="s">
        <v>2001</v>
      </c>
      <c r="D5293">
        <v>3</v>
      </c>
      <c r="E5293" s="16">
        <v>900.24</v>
      </c>
      <c r="F5293" s="1">
        <v>44449</v>
      </c>
      <c r="G5293" t="s">
        <v>2002</v>
      </c>
      <c r="H5293">
        <v>3</v>
      </c>
      <c r="I5293" s="12">
        <f>Table16[[#This Row],[price]]*Table16[[#This Row],[quantity]]</f>
        <v>2700.7200000000003</v>
      </c>
    </row>
    <row r="5294" spans="1:9" x14ac:dyDescent="0.3">
      <c r="A5294" t="s">
        <v>7310</v>
      </c>
      <c r="B5294" t="s">
        <v>1055</v>
      </c>
      <c r="C5294" t="s">
        <v>2001</v>
      </c>
      <c r="D5294">
        <v>1</v>
      </c>
      <c r="E5294" s="16">
        <v>300.08</v>
      </c>
      <c r="F5294" s="1">
        <v>44515</v>
      </c>
      <c r="G5294" t="s">
        <v>2027</v>
      </c>
      <c r="H5294">
        <v>1</v>
      </c>
      <c r="I5294" s="12">
        <f>Table16[[#This Row],[price]]*Table16[[#This Row],[quantity]]</f>
        <v>300.08</v>
      </c>
    </row>
    <row r="5295" spans="1:9" x14ac:dyDescent="0.3">
      <c r="A5295" t="s">
        <v>7312</v>
      </c>
      <c r="B5295" t="s">
        <v>1056</v>
      </c>
      <c r="C5295" t="s">
        <v>2015</v>
      </c>
      <c r="D5295">
        <v>5</v>
      </c>
      <c r="E5295" s="16">
        <v>3000.85</v>
      </c>
      <c r="F5295" s="1">
        <v>44410</v>
      </c>
      <c r="G5295" t="s">
        <v>2020</v>
      </c>
      <c r="H5295">
        <v>3</v>
      </c>
      <c r="I5295" s="12">
        <f>Table16[[#This Row],[price]]*Table16[[#This Row],[quantity]]</f>
        <v>15004.25</v>
      </c>
    </row>
    <row r="5296" spans="1:9" x14ac:dyDescent="0.3">
      <c r="A5296" t="s">
        <v>7313</v>
      </c>
      <c r="B5296" t="s">
        <v>1056</v>
      </c>
      <c r="C5296" t="s">
        <v>2017</v>
      </c>
      <c r="D5296">
        <v>2</v>
      </c>
      <c r="E5296" s="16">
        <v>2100</v>
      </c>
      <c r="F5296" s="1">
        <v>44618</v>
      </c>
      <c r="G5296" t="s">
        <v>2064</v>
      </c>
      <c r="H5296">
        <v>2</v>
      </c>
      <c r="I5296" s="12">
        <f>Table16[[#This Row],[price]]*Table16[[#This Row],[quantity]]</f>
        <v>4200</v>
      </c>
    </row>
    <row r="5297" spans="1:9" x14ac:dyDescent="0.3">
      <c r="A5297" t="s">
        <v>7311</v>
      </c>
      <c r="B5297" t="s">
        <v>1056</v>
      </c>
      <c r="C5297" t="s">
        <v>2011</v>
      </c>
      <c r="D5297">
        <v>4</v>
      </c>
      <c r="E5297" s="16">
        <v>162.63999999999999</v>
      </c>
      <c r="F5297" s="1">
        <v>44628</v>
      </c>
      <c r="G5297" t="s">
        <v>2018</v>
      </c>
      <c r="H5297">
        <v>2</v>
      </c>
      <c r="I5297" s="12">
        <f>Table16[[#This Row],[price]]*Table16[[#This Row],[quantity]]</f>
        <v>650.55999999999995</v>
      </c>
    </row>
    <row r="5298" spans="1:9" x14ac:dyDescent="0.3">
      <c r="A5298" t="s">
        <v>7314</v>
      </c>
      <c r="B5298" t="s">
        <v>1057</v>
      </c>
      <c r="C5298" t="s">
        <v>2011</v>
      </c>
      <c r="D5298">
        <v>3</v>
      </c>
      <c r="E5298" s="16">
        <v>121.98</v>
      </c>
      <c r="F5298" s="1">
        <v>44269</v>
      </c>
      <c r="G5298" t="s">
        <v>2027</v>
      </c>
      <c r="H5298">
        <v>3</v>
      </c>
      <c r="I5298" s="12">
        <f>Table16[[#This Row],[price]]*Table16[[#This Row],[quantity]]</f>
        <v>365.94</v>
      </c>
    </row>
    <row r="5299" spans="1:9" x14ac:dyDescent="0.3">
      <c r="A5299" t="s">
        <v>7316</v>
      </c>
      <c r="B5299" t="s">
        <v>1057</v>
      </c>
      <c r="C5299" t="s">
        <v>2001</v>
      </c>
      <c r="D5299">
        <v>2</v>
      </c>
      <c r="E5299" s="16">
        <v>600.16</v>
      </c>
      <c r="F5299" s="1">
        <v>44303</v>
      </c>
      <c r="G5299" t="s">
        <v>2064</v>
      </c>
      <c r="H5299">
        <v>2</v>
      </c>
      <c r="I5299" s="12">
        <f>Table16[[#This Row],[price]]*Table16[[#This Row],[quantity]]</f>
        <v>1200.32</v>
      </c>
    </row>
    <row r="5300" spans="1:9" x14ac:dyDescent="0.3">
      <c r="A5300" t="s">
        <v>7319</v>
      </c>
      <c r="B5300" t="s">
        <v>1057</v>
      </c>
      <c r="C5300" t="s">
        <v>2001</v>
      </c>
      <c r="D5300">
        <v>2</v>
      </c>
      <c r="E5300" s="16">
        <v>600.16</v>
      </c>
      <c r="F5300" s="1">
        <v>44400</v>
      </c>
      <c r="G5300" t="s">
        <v>2004</v>
      </c>
      <c r="H5300">
        <v>2</v>
      </c>
      <c r="I5300" s="12">
        <f>Table16[[#This Row],[price]]*Table16[[#This Row],[quantity]]</f>
        <v>1200.32</v>
      </c>
    </row>
    <row r="5301" spans="1:9" x14ac:dyDescent="0.3">
      <c r="A5301" t="s">
        <v>7317</v>
      </c>
      <c r="B5301" t="s">
        <v>1057</v>
      </c>
      <c r="C5301" t="s">
        <v>2001</v>
      </c>
      <c r="D5301">
        <v>5</v>
      </c>
      <c r="E5301" s="16">
        <v>1500.4</v>
      </c>
      <c r="F5301" s="1">
        <v>44444</v>
      </c>
      <c r="G5301" t="s">
        <v>2002</v>
      </c>
      <c r="H5301">
        <v>2</v>
      </c>
      <c r="I5301" s="12">
        <f>Table16[[#This Row],[price]]*Table16[[#This Row],[quantity]]</f>
        <v>7502</v>
      </c>
    </row>
    <row r="5302" spans="1:9" x14ac:dyDescent="0.3">
      <c r="A5302" t="s">
        <v>7315</v>
      </c>
      <c r="B5302" t="s">
        <v>1057</v>
      </c>
      <c r="C5302" t="s">
        <v>2024</v>
      </c>
      <c r="D5302">
        <v>3</v>
      </c>
      <c r="E5302" s="16">
        <v>107.52</v>
      </c>
      <c r="F5302" s="1">
        <v>44611</v>
      </c>
      <c r="G5302" t="s">
        <v>2004</v>
      </c>
      <c r="H5302">
        <v>5</v>
      </c>
      <c r="I5302" s="12">
        <f>Table16[[#This Row],[price]]*Table16[[#This Row],[quantity]]</f>
        <v>322.56</v>
      </c>
    </row>
    <row r="5303" spans="1:9" x14ac:dyDescent="0.3">
      <c r="A5303" t="s">
        <v>7318</v>
      </c>
      <c r="B5303" t="s">
        <v>1057</v>
      </c>
      <c r="C5303" t="s">
        <v>2001</v>
      </c>
      <c r="D5303">
        <v>4</v>
      </c>
      <c r="E5303" s="16">
        <v>1200.32</v>
      </c>
      <c r="F5303" s="1">
        <v>44869</v>
      </c>
      <c r="G5303" t="s">
        <v>2027</v>
      </c>
      <c r="H5303">
        <v>5</v>
      </c>
      <c r="I5303" s="12">
        <f>Table16[[#This Row],[price]]*Table16[[#This Row],[quantity]]</f>
        <v>4801.28</v>
      </c>
    </row>
    <row r="5304" spans="1:9" x14ac:dyDescent="0.3">
      <c r="A5304" t="s">
        <v>7320</v>
      </c>
      <c r="B5304" t="s">
        <v>1058</v>
      </c>
      <c r="C5304" t="s">
        <v>2001</v>
      </c>
      <c r="D5304">
        <v>5</v>
      </c>
      <c r="E5304" s="16">
        <v>1500.4</v>
      </c>
      <c r="F5304" s="1">
        <v>44446</v>
      </c>
      <c r="G5304" t="s">
        <v>2009</v>
      </c>
      <c r="H5304">
        <v>5</v>
      </c>
      <c r="I5304" s="12">
        <f>Table16[[#This Row],[price]]*Table16[[#This Row],[quantity]]</f>
        <v>7502</v>
      </c>
    </row>
    <row r="5305" spans="1:9" x14ac:dyDescent="0.3">
      <c r="A5305" t="s">
        <v>7322</v>
      </c>
      <c r="B5305" t="s">
        <v>1058</v>
      </c>
      <c r="C5305" t="s">
        <v>2006</v>
      </c>
      <c r="D5305">
        <v>5</v>
      </c>
      <c r="E5305" s="16">
        <v>75.75</v>
      </c>
      <c r="F5305" s="1">
        <v>44544</v>
      </c>
      <c r="G5305" t="s">
        <v>2002</v>
      </c>
      <c r="H5305">
        <v>5</v>
      </c>
      <c r="I5305" s="12">
        <f>Table16[[#This Row],[price]]*Table16[[#This Row],[quantity]]</f>
        <v>378.75</v>
      </c>
    </row>
    <row r="5306" spans="1:9" x14ac:dyDescent="0.3">
      <c r="A5306" t="s">
        <v>7324</v>
      </c>
      <c r="B5306" t="s">
        <v>1058</v>
      </c>
      <c r="C5306" t="s">
        <v>2024</v>
      </c>
      <c r="D5306">
        <v>2</v>
      </c>
      <c r="E5306" s="16">
        <v>71.680000000000007</v>
      </c>
      <c r="F5306" s="1">
        <v>44595</v>
      </c>
      <c r="G5306" t="s">
        <v>2020</v>
      </c>
      <c r="H5306">
        <v>2</v>
      </c>
      <c r="I5306" s="12">
        <f>Table16[[#This Row],[price]]*Table16[[#This Row],[quantity]]</f>
        <v>143.36000000000001</v>
      </c>
    </row>
    <row r="5307" spans="1:9" x14ac:dyDescent="0.3">
      <c r="A5307" t="s">
        <v>7323</v>
      </c>
      <c r="B5307" t="s">
        <v>1058</v>
      </c>
      <c r="C5307" t="s">
        <v>2011</v>
      </c>
      <c r="D5307">
        <v>3</v>
      </c>
      <c r="E5307" s="16">
        <v>121.98</v>
      </c>
      <c r="F5307" s="1">
        <v>44623</v>
      </c>
      <c r="G5307" t="s">
        <v>2002</v>
      </c>
      <c r="H5307">
        <v>2</v>
      </c>
      <c r="I5307" s="12">
        <f>Table16[[#This Row],[price]]*Table16[[#This Row],[quantity]]</f>
        <v>365.94</v>
      </c>
    </row>
    <row r="5308" spans="1:9" x14ac:dyDescent="0.3">
      <c r="A5308" t="s">
        <v>7321</v>
      </c>
      <c r="B5308" t="s">
        <v>1058</v>
      </c>
      <c r="C5308" t="s">
        <v>2011</v>
      </c>
      <c r="D5308">
        <v>2</v>
      </c>
      <c r="E5308" s="16">
        <v>81.319999999999993</v>
      </c>
      <c r="F5308" s="1">
        <v>44767</v>
      </c>
      <c r="G5308" t="s">
        <v>2027</v>
      </c>
      <c r="H5308">
        <v>2</v>
      </c>
      <c r="I5308" s="12">
        <f>Table16[[#This Row],[price]]*Table16[[#This Row],[quantity]]</f>
        <v>162.63999999999999</v>
      </c>
    </row>
    <row r="5309" spans="1:9" x14ac:dyDescent="0.3">
      <c r="A5309" t="s">
        <v>7327</v>
      </c>
      <c r="B5309" t="s">
        <v>1059</v>
      </c>
      <c r="C5309" t="s">
        <v>2006</v>
      </c>
      <c r="D5309">
        <v>4</v>
      </c>
      <c r="E5309" s="16">
        <v>60.6</v>
      </c>
      <c r="F5309" s="1">
        <v>44485</v>
      </c>
      <c r="G5309" t="s">
        <v>2004</v>
      </c>
      <c r="H5309">
        <v>2</v>
      </c>
      <c r="I5309" s="12">
        <f>Table16[[#This Row],[price]]*Table16[[#This Row],[quantity]]</f>
        <v>242.4</v>
      </c>
    </row>
    <row r="5310" spans="1:9" x14ac:dyDescent="0.3">
      <c r="A5310" t="s">
        <v>7325</v>
      </c>
      <c r="B5310" t="s">
        <v>1059</v>
      </c>
      <c r="C5310" t="s">
        <v>2008</v>
      </c>
      <c r="D5310">
        <v>1</v>
      </c>
      <c r="E5310" s="16">
        <v>5.23</v>
      </c>
      <c r="F5310" s="1">
        <v>44669</v>
      </c>
      <c r="G5310" t="s">
        <v>2012</v>
      </c>
      <c r="H5310">
        <v>2</v>
      </c>
      <c r="I5310" s="12">
        <f>Table16[[#This Row],[price]]*Table16[[#This Row],[quantity]]</f>
        <v>5.23</v>
      </c>
    </row>
    <row r="5311" spans="1:9" x14ac:dyDescent="0.3">
      <c r="A5311" t="s">
        <v>7329</v>
      </c>
      <c r="B5311" t="s">
        <v>1059</v>
      </c>
      <c r="C5311" t="s">
        <v>2001</v>
      </c>
      <c r="D5311">
        <v>2</v>
      </c>
      <c r="E5311" s="16">
        <v>600.16</v>
      </c>
      <c r="F5311" s="1">
        <v>44732</v>
      </c>
      <c r="G5311" t="s">
        <v>2002</v>
      </c>
      <c r="H5311">
        <v>5</v>
      </c>
      <c r="I5311" s="12">
        <f>Table16[[#This Row],[price]]*Table16[[#This Row],[quantity]]</f>
        <v>1200.32</v>
      </c>
    </row>
    <row r="5312" spans="1:9" x14ac:dyDescent="0.3">
      <c r="A5312" t="s">
        <v>7328</v>
      </c>
      <c r="B5312" t="s">
        <v>1059</v>
      </c>
      <c r="C5312" t="s">
        <v>2024</v>
      </c>
      <c r="D5312">
        <v>3</v>
      </c>
      <c r="E5312" s="16">
        <v>107.52</v>
      </c>
      <c r="F5312" s="1">
        <v>44739</v>
      </c>
      <c r="G5312" t="s">
        <v>2002</v>
      </c>
      <c r="H5312">
        <v>4</v>
      </c>
      <c r="I5312" s="12">
        <f>Table16[[#This Row],[price]]*Table16[[#This Row],[quantity]]</f>
        <v>322.56</v>
      </c>
    </row>
    <row r="5313" spans="1:9" x14ac:dyDescent="0.3">
      <c r="A5313" t="s">
        <v>7326</v>
      </c>
      <c r="B5313" t="s">
        <v>1059</v>
      </c>
      <c r="C5313" t="s">
        <v>2008</v>
      </c>
      <c r="D5313">
        <v>2</v>
      </c>
      <c r="E5313" s="16">
        <v>10.46</v>
      </c>
      <c r="F5313" s="1">
        <v>44759</v>
      </c>
      <c r="G5313" t="s">
        <v>2027</v>
      </c>
      <c r="H5313">
        <v>1</v>
      </c>
      <c r="I5313" s="12">
        <f>Table16[[#This Row],[price]]*Table16[[#This Row],[quantity]]</f>
        <v>20.92</v>
      </c>
    </row>
    <row r="5314" spans="1:9" x14ac:dyDescent="0.3">
      <c r="A5314" t="s">
        <v>7330</v>
      </c>
      <c r="B5314" t="s">
        <v>1059</v>
      </c>
      <c r="C5314" t="s">
        <v>2001</v>
      </c>
      <c r="D5314">
        <v>3</v>
      </c>
      <c r="E5314" s="16">
        <v>900.24</v>
      </c>
      <c r="F5314" s="1">
        <v>44822</v>
      </c>
      <c r="G5314" t="s">
        <v>2027</v>
      </c>
      <c r="H5314">
        <v>3</v>
      </c>
      <c r="I5314" s="12">
        <f>Table16[[#This Row],[price]]*Table16[[#This Row],[quantity]]</f>
        <v>2700.7200000000003</v>
      </c>
    </row>
    <row r="5315" spans="1:9" x14ac:dyDescent="0.3">
      <c r="A5315" t="s">
        <v>7331</v>
      </c>
      <c r="B5315" t="s">
        <v>1060</v>
      </c>
      <c r="C5315" t="s">
        <v>2006</v>
      </c>
      <c r="D5315">
        <v>5</v>
      </c>
      <c r="E5315" s="16">
        <v>75.75</v>
      </c>
      <c r="F5315" s="1">
        <v>44252</v>
      </c>
      <c r="G5315" t="s">
        <v>2002</v>
      </c>
      <c r="H5315">
        <v>5</v>
      </c>
      <c r="I5315" s="12">
        <f>Table16[[#This Row],[price]]*Table16[[#This Row],[quantity]]</f>
        <v>378.75</v>
      </c>
    </row>
    <row r="5316" spans="1:9" x14ac:dyDescent="0.3">
      <c r="A5316" t="s">
        <v>7334</v>
      </c>
      <c r="B5316" t="s">
        <v>1060</v>
      </c>
      <c r="C5316" t="s">
        <v>2008</v>
      </c>
      <c r="D5316">
        <v>5</v>
      </c>
      <c r="E5316" s="16">
        <v>26.15</v>
      </c>
      <c r="F5316" s="1">
        <v>44289</v>
      </c>
      <c r="G5316" t="s">
        <v>2020</v>
      </c>
      <c r="H5316">
        <v>3</v>
      </c>
      <c r="I5316" s="12">
        <f>Table16[[#This Row],[price]]*Table16[[#This Row],[quantity]]</f>
        <v>130.75</v>
      </c>
    </row>
    <row r="5317" spans="1:9" x14ac:dyDescent="0.3">
      <c r="A5317" t="s">
        <v>7332</v>
      </c>
      <c r="B5317" t="s">
        <v>1060</v>
      </c>
      <c r="C5317" t="s">
        <v>2008</v>
      </c>
      <c r="D5317">
        <v>1</v>
      </c>
      <c r="E5317" s="16">
        <v>5.23</v>
      </c>
      <c r="F5317" s="1">
        <v>44955</v>
      </c>
      <c r="G5317" t="s">
        <v>2004</v>
      </c>
      <c r="H5317">
        <v>5</v>
      </c>
      <c r="I5317" s="12">
        <f>Table16[[#This Row],[price]]*Table16[[#This Row],[quantity]]</f>
        <v>5.23</v>
      </c>
    </row>
    <row r="5318" spans="1:9" x14ac:dyDescent="0.3">
      <c r="A5318" t="s">
        <v>7333</v>
      </c>
      <c r="B5318" t="s">
        <v>1060</v>
      </c>
      <c r="C5318" t="s">
        <v>2001</v>
      </c>
      <c r="D5318">
        <v>3</v>
      </c>
      <c r="E5318" s="16">
        <v>900.24</v>
      </c>
      <c r="F5318" s="1">
        <v>44980</v>
      </c>
      <c r="G5318" t="s">
        <v>2002</v>
      </c>
      <c r="H5318">
        <v>4</v>
      </c>
      <c r="I5318" s="12">
        <f>Table16[[#This Row],[price]]*Table16[[#This Row],[quantity]]</f>
        <v>2700.7200000000003</v>
      </c>
    </row>
    <row r="5319" spans="1:9" x14ac:dyDescent="0.3">
      <c r="A5319" t="s">
        <v>7336</v>
      </c>
      <c r="B5319" t="s">
        <v>1061</v>
      </c>
      <c r="C5319" t="s">
        <v>2001</v>
      </c>
      <c r="D5319">
        <v>1</v>
      </c>
      <c r="E5319" s="16">
        <v>300.08</v>
      </c>
      <c r="F5319" s="1">
        <v>44613</v>
      </c>
      <c r="G5319" t="s">
        <v>2009</v>
      </c>
      <c r="H5319">
        <v>2</v>
      </c>
      <c r="I5319" s="12">
        <f>Table16[[#This Row],[price]]*Table16[[#This Row],[quantity]]</f>
        <v>300.08</v>
      </c>
    </row>
    <row r="5320" spans="1:9" x14ac:dyDescent="0.3">
      <c r="A5320" t="s">
        <v>7337</v>
      </c>
      <c r="B5320" t="s">
        <v>1061</v>
      </c>
      <c r="C5320" t="s">
        <v>2017</v>
      </c>
      <c r="D5320">
        <v>4</v>
      </c>
      <c r="E5320" s="16">
        <v>4200</v>
      </c>
      <c r="F5320" s="1">
        <v>44900</v>
      </c>
      <c r="G5320" t="s">
        <v>2004</v>
      </c>
      <c r="H5320">
        <v>5</v>
      </c>
      <c r="I5320" s="12">
        <f>Table16[[#This Row],[price]]*Table16[[#This Row],[quantity]]</f>
        <v>16800</v>
      </c>
    </row>
    <row r="5321" spans="1:9" x14ac:dyDescent="0.3">
      <c r="A5321" t="s">
        <v>7335</v>
      </c>
      <c r="B5321" t="s">
        <v>1061</v>
      </c>
      <c r="C5321" t="s">
        <v>2001</v>
      </c>
      <c r="D5321">
        <v>2</v>
      </c>
      <c r="E5321" s="16">
        <v>600.16</v>
      </c>
      <c r="F5321" s="1">
        <v>44932</v>
      </c>
      <c r="G5321" t="s">
        <v>2027</v>
      </c>
      <c r="H5321">
        <v>2</v>
      </c>
      <c r="I5321" s="12">
        <f>Table16[[#This Row],[price]]*Table16[[#This Row],[quantity]]</f>
        <v>1200.32</v>
      </c>
    </row>
    <row r="5322" spans="1:9" x14ac:dyDescent="0.3">
      <c r="A5322" t="s">
        <v>7338</v>
      </c>
      <c r="B5322" t="s">
        <v>1062</v>
      </c>
      <c r="C5322" t="s">
        <v>2057</v>
      </c>
      <c r="D5322">
        <v>3</v>
      </c>
      <c r="E5322" s="16">
        <v>35.19</v>
      </c>
      <c r="F5322" s="1">
        <v>44213</v>
      </c>
      <c r="G5322" t="s">
        <v>2012</v>
      </c>
      <c r="H5322">
        <v>3</v>
      </c>
      <c r="I5322" s="12">
        <f>Table16[[#This Row],[price]]*Table16[[#This Row],[quantity]]</f>
        <v>105.57</v>
      </c>
    </row>
    <row r="5323" spans="1:9" x14ac:dyDescent="0.3">
      <c r="A5323" t="s">
        <v>7340</v>
      </c>
      <c r="B5323" t="s">
        <v>1062</v>
      </c>
      <c r="C5323" t="s">
        <v>2015</v>
      </c>
      <c r="D5323">
        <v>5</v>
      </c>
      <c r="E5323" s="16">
        <v>3000.85</v>
      </c>
      <c r="F5323" s="1">
        <v>44575</v>
      </c>
      <c r="G5323" t="s">
        <v>2002</v>
      </c>
      <c r="H5323">
        <v>3</v>
      </c>
      <c r="I5323" s="12">
        <f>Table16[[#This Row],[price]]*Table16[[#This Row],[quantity]]</f>
        <v>15004.25</v>
      </c>
    </row>
    <row r="5324" spans="1:9" x14ac:dyDescent="0.3">
      <c r="A5324" t="s">
        <v>7341</v>
      </c>
      <c r="B5324" t="s">
        <v>1062</v>
      </c>
      <c r="C5324" t="s">
        <v>2011</v>
      </c>
      <c r="D5324">
        <v>2</v>
      </c>
      <c r="E5324" s="16">
        <v>81.319999999999993</v>
      </c>
      <c r="F5324" s="1">
        <v>44976</v>
      </c>
      <c r="G5324" t="s">
        <v>2064</v>
      </c>
      <c r="H5324">
        <v>5</v>
      </c>
      <c r="I5324" s="12">
        <f>Table16[[#This Row],[price]]*Table16[[#This Row],[quantity]]</f>
        <v>162.63999999999999</v>
      </c>
    </row>
    <row r="5325" spans="1:9" x14ac:dyDescent="0.3">
      <c r="A5325" t="s">
        <v>7339</v>
      </c>
      <c r="B5325" t="s">
        <v>1062</v>
      </c>
      <c r="C5325" t="s">
        <v>2024</v>
      </c>
      <c r="D5325">
        <v>3</v>
      </c>
      <c r="E5325" s="16">
        <v>107.52</v>
      </c>
      <c r="F5325" s="1">
        <v>44989</v>
      </c>
      <c r="G5325" t="s">
        <v>2004</v>
      </c>
      <c r="H5325">
        <v>2</v>
      </c>
      <c r="I5325" s="12">
        <f>Table16[[#This Row],[price]]*Table16[[#This Row],[quantity]]</f>
        <v>322.56</v>
      </c>
    </row>
    <row r="5326" spans="1:9" x14ac:dyDescent="0.3">
      <c r="A5326" t="s">
        <v>7344</v>
      </c>
      <c r="B5326" t="s">
        <v>1063</v>
      </c>
      <c r="C5326" t="s">
        <v>2008</v>
      </c>
      <c r="D5326">
        <v>1</v>
      </c>
      <c r="E5326" s="16">
        <v>5.23</v>
      </c>
      <c r="F5326" s="1">
        <v>44319</v>
      </c>
      <c r="G5326" t="s">
        <v>2018</v>
      </c>
      <c r="H5326">
        <v>2</v>
      </c>
      <c r="I5326" s="12">
        <f>Table16[[#This Row],[price]]*Table16[[#This Row],[quantity]]</f>
        <v>5.23</v>
      </c>
    </row>
    <row r="5327" spans="1:9" x14ac:dyDescent="0.3">
      <c r="A5327" t="s">
        <v>7349</v>
      </c>
      <c r="B5327" t="s">
        <v>1063</v>
      </c>
      <c r="C5327" t="s">
        <v>2006</v>
      </c>
      <c r="D5327">
        <v>1</v>
      </c>
      <c r="E5327" s="16">
        <v>15.15</v>
      </c>
      <c r="F5327" s="1">
        <v>44358</v>
      </c>
      <c r="G5327" t="s">
        <v>2020</v>
      </c>
      <c r="H5327">
        <v>5</v>
      </c>
      <c r="I5327" s="12">
        <f>Table16[[#This Row],[price]]*Table16[[#This Row],[quantity]]</f>
        <v>15.15</v>
      </c>
    </row>
    <row r="5328" spans="1:9" x14ac:dyDescent="0.3">
      <c r="A5328" t="s">
        <v>7348</v>
      </c>
      <c r="B5328" t="s">
        <v>1063</v>
      </c>
      <c r="C5328" t="s">
        <v>2001</v>
      </c>
      <c r="D5328">
        <v>3</v>
      </c>
      <c r="E5328" s="16">
        <v>900.24</v>
      </c>
      <c r="F5328" s="1">
        <v>44463</v>
      </c>
      <c r="G5328" t="s">
        <v>2027</v>
      </c>
      <c r="H5328">
        <v>4</v>
      </c>
      <c r="I5328" s="12">
        <f>Table16[[#This Row],[price]]*Table16[[#This Row],[quantity]]</f>
        <v>2700.7200000000003</v>
      </c>
    </row>
    <row r="5329" spans="1:9" x14ac:dyDescent="0.3">
      <c r="A5329" t="s">
        <v>7342</v>
      </c>
      <c r="B5329" t="s">
        <v>1063</v>
      </c>
      <c r="C5329" t="s">
        <v>2024</v>
      </c>
      <c r="D5329">
        <v>3</v>
      </c>
      <c r="E5329" s="16">
        <v>107.52</v>
      </c>
      <c r="F5329" s="1">
        <v>44551</v>
      </c>
      <c r="G5329" t="s">
        <v>2012</v>
      </c>
      <c r="H5329">
        <v>4</v>
      </c>
      <c r="I5329" s="12">
        <f>Table16[[#This Row],[price]]*Table16[[#This Row],[quantity]]</f>
        <v>322.56</v>
      </c>
    </row>
    <row r="5330" spans="1:9" x14ac:dyDescent="0.3">
      <c r="A5330" t="s">
        <v>7346</v>
      </c>
      <c r="B5330" t="s">
        <v>1063</v>
      </c>
      <c r="C5330" t="s">
        <v>2006</v>
      </c>
      <c r="D5330">
        <v>4</v>
      </c>
      <c r="E5330" s="16">
        <v>60.6</v>
      </c>
      <c r="F5330" s="1">
        <v>44632</v>
      </c>
      <c r="G5330" t="s">
        <v>2009</v>
      </c>
      <c r="H5330">
        <v>4</v>
      </c>
      <c r="I5330" s="12">
        <f>Table16[[#This Row],[price]]*Table16[[#This Row],[quantity]]</f>
        <v>242.4</v>
      </c>
    </row>
    <row r="5331" spans="1:9" x14ac:dyDescent="0.3">
      <c r="A5331" t="s">
        <v>7345</v>
      </c>
      <c r="B5331" t="s">
        <v>1063</v>
      </c>
      <c r="C5331" t="s">
        <v>2008</v>
      </c>
      <c r="D5331">
        <v>4</v>
      </c>
      <c r="E5331" s="16">
        <v>20.92</v>
      </c>
      <c r="F5331" s="1">
        <v>44721</v>
      </c>
      <c r="G5331" t="s">
        <v>2018</v>
      </c>
      <c r="H5331">
        <v>3</v>
      </c>
      <c r="I5331" s="12">
        <f>Table16[[#This Row],[price]]*Table16[[#This Row],[quantity]]</f>
        <v>83.68</v>
      </c>
    </row>
    <row r="5332" spans="1:9" x14ac:dyDescent="0.3">
      <c r="A5332" t="s">
        <v>7343</v>
      </c>
      <c r="B5332" t="s">
        <v>1063</v>
      </c>
      <c r="C5332" t="s">
        <v>2008</v>
      </c>
      <c r="D5332">
        <v>5</v>
      </c>
      <c r="E5332" s="16">
        <v>26.15</v>
      </c>
      <c r="F5332" s="1">
        <v>44774</v>
      </c>
      <c r="G5332" t="s">
        <v>2002</v>
      </c>
      <c r="H5332">
        <v>4</v>
      </c>
      <c r="I5332" s="12">
        <f>Table16[[#This Row],[price]]*Table16[[#This Row],[quantity]]</f>
        <v>130.75</v>
      </c>
    </row>
    <row r="5333" spans="1:9" x14ac:dyDescent="0.3">
      <c r="A5333" t="s">
        <v>7347</v>
      </c>
      <c r="B5333" t="s">
        <v>1063</v>
      </c>
      <c r="C5333" t="s">
        <v>2008</v>
      </c>
      <c r="D5333">
        <v>3</v>
      </c>
      <c r="E5333" s="16">
        <v>15.69</v>
      </c>
      <c r="F5333" s="1">
        <v>44800</v>
      </c>
      <c r="G5333" t="s">
        <v>2058</v>
      </c>
      <c r="H5333">
        <v>3</v>
      </c>
      <c r="I5333" s="12">
        <f>Table16[[#This Row],[price]]*Table16[[#This Row],[quantity]]</f>
        <v>47.07</v>
      </c>
    </row>
    <row r="5334" spans="1:9" x14ac:dyDescent="0.3">
      <c r="A5334" t="s">
        <v>7350</v>
      </c>
      <c r="B5334" t="s">
        <v>1064</v>
      </c>
      <c r="C5334" t="s">
        <v>2011</v>
      </c>
      <c r="D5334">
        <v>3</v>
      </c>
      <c r="E5334" s="16">
        <v>121.98</v>
      </c>
      <c r="F5334" s="1">
        <v>44614</v>
      </c>
      <c r="G5334" t="s">
        <v>2002</v>
      </c>
      <c r="H5334">
        <v>2</v>
      </c>
      <c r="I5334" s="12">
        <f>Table16[[#This Row],[price]]*Table16[[#This Row],[quantity]]</f>
        <v>365.94</v>
      </c>
    </row>
    <row r="5335" spans="1:9" x14ac:dyDescent="0.3">
      <c r="A5335" t="s">
        <v>7352</v>
      </c>
      <c r="B5335" t="s">
        <v>1064</v>
      </c>
      <c r="C5335" t="s">
        <v>2001</v>
      </c>
      <c r="D5335">
        <v>5</v>
      </c>
      <c r="E5335" s="16">
        <v>1500.4</v>
      </c>
      <c r="F5335" s="1">
        <v>44865</v>
      </c>
      <c r="G5335" t="s">
        <v>2064</v>
      </c>
      <c r="H5335">
        <v>2</v>
      </c>
      <c r="I5335" s="12">
        <f>Table16[[#This Row],[price]]*Table16[[#This Row],[quantity]]</f>
        <v>7502</v>
      </c>
    </row>
    <row r="5336" spans="1:9" x14ac:dyDescent="0.3">
      <c r="A5336" t="s">
        <v>7351</v>
      </c>
      <c r="B5336" t="s">
        <v>1064</v>
      </c>
      <c r="C5336" t="s">
        <v>2057</v>
      </c>
      <c r="D5336">
        <v>5</v>
      </c>
      <c r="E5336" s="16">
        <v>58.65</v>
      </c>
      <c r="F5336" s="1">
        <v>44942</v>
      </c>
      <c r="G5336" t="s">
        <v>2064</v>
      </c>
      <c r="H5336">
        <v>3</v>
      </c>
      <c r="I5336" s="12">
        <f>Table16[[#This Row],[price]]*Table16[[#This Row],[quantity]]</f>
        <v>293.25</v>
      </c>
    </row>
    <row r="5337" spans="1:9" x14ac:dyDescent="0.3">
      <c r="A5337" t="s">
        <v>7353</v>
      </c>
      <c r="B5337" t="s">
        <v>1064</v>
      </c>
      <c r="C5337" t="s">
        <v>2001</v>
      </c>
      <c r="D5337">
        <v>3</v>
      </c>
      <c r="E5337" s="16">
        <v>900.24</v>
      </c>
      <c r="F5337" s="1">
        <v>44959</v>
      </c>
      <c r="G5337" t="s">
        <v>2027</v>
      </c>
      <c r="H5337">
        <v>5</v>
      </c>
      <c r="I5337" s="12">
        <f>Table16[[#This Row],[price]]*Table16[[#This Row],[quantity]]</f>
        <v>2700.7200000000003</v>
      </c>
    </row>
    <row r="5338" spans="1:9" x14ac:dyDescent="0.3">
      <c r="A5338" t="s">
        <v>7358</v>
      </c>
      <c r="B5338" t="s">
        <v>1065</v>
      </c>
      <c r="C5338" t="s">
        <v>2001</v>
      </c>
      <c r="D5338">
        <v>5</v>
      </c>
      <c r="E5338" s="16">
        <v>1500.4</v>
      </c>
      <c r="F5338" s="1">
        <v>44353</v>
      </c>
      <c r="G5338" t="s">
        <v>2002</v>
      </c>
      <c r="H5338">
        <v>3</v>
      </c>
      <c r="I5338" s="12">
        <f>Table16[[#This Row],[price]]*Table16[[#This Row],[quantity]]</f>
        <v>7502</v>
      </c>
    </row>
    <row r="5339" spans="1:9" x14ac:dyDescent="0.3">
      <c r="A5339" t="s">
        <v>7359</v>
      </c>
      <c r="B5339" t="s">
        <v>1065</v>
      </c>
      <c r="C5339" t="s">
        <v>2057</v>
      </c>
      <c r="D5339">
        <v>3</v>
      </c>
      <c r="E5339" s="16">
        <v>35.19</v>
      </c>
      <c r="F5339" s="1">
        <v>44456</v>
      </c>
      <c r="G5339" t="s">
        <v>2027</v>
      </c>
      <c r="H5339">
        <v>4</v>
      </c>
      <c r="I5339" s="12">
        <f>Table16[[#This Row],[price]]*Table16[[#This Row],[quantity]]</f>
        <v>105.57</v>
      </c>
    </row>
    <row r="5340" spans="1:9" x14ac:dyDescent="0.3">
      <c r="A5340" t="s">
        <v>7355</v>
      </c>
      <c r="B5340" t="s">
        <v>1065</v>
      </c>
      <c r="C5340" t="s">
        <v>2001</v>
      </c>
      <c r="D5340">
        <v>4</v>
      </c>
      <c r="E5340" s="16">
        <v>1200.32</v>
      </c>
      <c r="F5340" s="1">
        <v>44649</v>
      </c>
      <c r="G5340" t="s">
        <v>2004</v>
      </c>
      <c r="H5340">
        <v>4</v>
      </c>
      <c r="I5340" s="12">
        <f>Table16[[#This Row],[price]]*Table16[[#This Row],[quantity]]</f>
        <v>4801.28</v>
      </c>
    </row>
    <row r="5341" spans="1:9" x14ac:dyDescent="0.3">
      <c r="A5341" t="s">
        <v>7354</v>
      </c>
      <c r="B5341" t="s">
        <v>1065</v>
      </c>
      <c r="C5341" t="s">
        <v>2011</v>
      </c>
      <c r="D5341">
        <v>3</v>
      </c>
      <c r="E5341" s="16">
        <v>121.98</v>
      </c>
      <c r="F5341" s="1">
        <v>44701</v>
      </c>
      <c r="G5341" t="s">
        <v>2064</v>
      </c>
      <c r="H5341">
        <v>3</v>
      </c>
      <c r="I5341" s="12">
        <f>Table16[[#This Row],[price]]*Table16[[#This Row],[quantity]]</f>
        <v>365.94</v>
      </c>
    </row>
    <row r="5342" spans="1:9" x14ac:dyDescent="0.3">
      <c r="A5342" t="s">
        <v>7357</v>
      </c>
      <c r="B5342" t="s">
        <v>1065</v>
      </c>
      <c r="C5342" t="s">
        <v>2015</v>
      </c>
      <c r="D5342">
        <v>1</v>
      </c>
      <c r="E5342" s="16">
        <v>600.16999999999996</v>
      </c>
      <c r="F5342" s="1">
        <v>44862</v>
      </c>
      <c r="G5342" t="s">
        <v>2012</v>
      </c>
      <c r="H5342">
        <v>1</v>
      </c>
      <c r="I5342" s="12">
        <f>Table16[[#This Row],[price]]*Table16[[#This Row],[quantity]]</f>
        <v>600.16999999999996</v>
      </c>
    </row>
    <row r="5343" spans="1:9" x14ac:dyDescent="0.3">
      <c r="A5343" t="s">
        <v>7356</v>
      </c>
      <c r="B5343" t="s">
        <v>1065</v>
      </c>
      <c r="C5343" t="s">
        <v>2011</v>
      </c>
      <c r="D5343">
        <v>3</v>
      </c>
      <c r="E5343" s="16">
        <v>121.98</v>
      </c>
      <c r="F5343" s="1">
        <v>44958</v>
      </c>
      <c r="G5343" t="s">
        <v>2012</v>
      </c>
      <c r="H5343">
        <v>1</v>
      </c>
      <c r="I5343" s="12">
        <f>Table16[[#This Row],[price]]*Table16[[#This Row],[quantity]]</f>
        <v>365.94</v>
      </c>
    </row>
    <row r="5344" spans="1:9" x14ac:dyDescent="0.3">
      <c r="A5344" t="s">
        <v>7360</v>
      </c>
      <c r="B5344" t="s">
        <v>1065</v>
      </c>
      <c r="C5344" t="s">
        <v>2006</v>
      </c>
      <c r="D5344">
        <v>2</v>
      </c>
      <c r="E5344" s="16">
        <v>30.3</v>
      </c>
      <c r="F5344" s="1">
        <v>44969</v>
      </c>
      <c r="G5344" t="s">
        <v>2064</v>
      </c>
      <c r="H5344">
        <v>4</v>
      </c>
      <c r="I5344" s="12">
        <f>Table16[[#This Row],[price]]*Table16[[#This Row],[quantity]]</f>
        <v>60.6</v>
      </c>
    </row>
    <row r="5345" spans="1:9" x14ac:dyDescent="0.3">
      <c r="A5345" t="s">
        <v>7361</v>
      </c>
      <c r="B5345" t="s">
        <v>1066</v>
      </c>
      <c r="C5345" t="s">
        <v>2015</v>
      </c>
      <c r="D5345">
        <v>4</v>
      </c>
      <c r="E5345" s="16">
        <v>2400.6799999999998</v>
      </c>
      <c r="F5345" s="1">
        <v>44415</v>
      </c>
      <c r="G5345" t="s">
        <v>2004</v>
      </c>
      <c r="H5345">
        <v>4</v>
      </c>
      <c r="I5345" s="12">
        <f>Table16[[#This Row],[price]]*Table16[[#This Row],[quantity]]</f>
        <v>9602.7199999999993</v>
      </c>
    </row>
    <row r="5346" spans="1:9" x14ac:dyDescent="0.3">
      <c r="A5346" t="s">
        <v>7363</v>
      </c>
      <c r="B5346" t="s">
        <v>1066</v>
      </c>
      <c r="C5346" t="s">
        <v>2011</v>
      </c>
      <c r="D5346">
        <v>4</v>
      </c>
      <c r="E5346" s="16">
        <v>162.63999999999999</v>
      </c>
      <c r="F5346" s="1">
        <v>44535</v>
      </c>
      <c r="G5346" t="s">
        <v>2004</v>
      </c>
      <c r="H5346">
        <v>2</v>
      </c>
      <c r="I5346" s="12">
        <f>Table16[[#This Row],[price]]*Table16[[#This Row],[quantity]]</f>
        <v>650.55999999999995</v>
      </c>
    </row>
    <row r="5347" spans="1:9" x14ac:dyDescent="0.3">
      <c r="A5347" t="s">
        <v>7362</v>
      </c>
      <c r="B5347" t="s">
        <v>1066</v>
      </c>
      <c r="C5347" t="s">
        <v>2015</v>
      </c>
      <c r="D5347">
        <v>5</v>
      </c>
      <c r="E5347" s="16">
        <v>3000.85</v>
      </c>
      <c r="F5347" s="1">
        <v>44988</v>
      </c>
      <c r="G5347" t="s">
        <v>2027</v>
      </c>
      <c r="H5347">
        <v>4</v>
      </c>
      <c r="I5347" s="12">
        <f>Table16[[#This Row],[price]]*Table16[[#This Row],[quantity]]</f>
        <v>15004.25</v>
      </c>
    </row>
    <row r="5348" spans="1:9" x14ac:dyDescent="0.3">
      <c r="A5348" t="s">
        <v>7365</v>
      </c>
      <c r="B5348" t="s">
        <v>1067</v>
      </c>
      <c r="C5348" t="s">
        <v>2011</v>
      </c>
      <c r="D5348">
        <v>3</v>
      </c>
      <c r="E5348" s="16">
        <v>121.98</v>
      </c>
      <c r="F5348" s="1">
        <v>44307</v>
      </c>
      <c r="G5348" t="s">
        <v>2058</v>
      </c>
      <c r="H5348">
        <v>5</v>
      </c>
      <c r="I5348" s="12">
        <f>Table16[[#This Row],[price]]*Table16[[#This Row],[quantity]]</f>
        <v>365.94</v>
      </c>
    </row>
    <row r="5349" spans="1:9" x14ac:dyDescent="0.3">
      <c r="A5349" t="s">
        <v>7364</v>
      </c>
      <c r="B5349" t="s">
        <v>1067</v>
      </c>
      <c r="C5349" t="s">
        <v>2017</v>
      </c>
      <c r="D5349">
        <v>3</v>
      </c>
      <c r="E5349" s="16">
        <v>3150</v>
      </c>
      <c r="F5349" s="1">
        <v>44562</v>
      </c>
      <c r="G5349" t="s">
        <v>2058</v>
      </c>
      <c r="H5349">
        <v>3</v>
      </c>
      <c r="I5349" s="12">
        <f>Table16[[#This Row],[price]]*Table16[[#This Row],[quantity]]</f>
        <v>9450</v>
      </c>
    </row>
    <row r="5350" spans="1:9" x14ac:dyDescent="0.3">
      <c r="A5350" t="s">
        <v>7368</v>
      </c>
      <c r="B5350" t="s">
        <v>1067</v>
      </c>
      <c r="C5350" t="s">
        <v>2008</v>
      </c>
      <c r="D5350">
        <v>5</v>
      </c>
      <c r="E5350" s="16">
        <v>26.15</v>
      </c>
      <c r="F5350" s="1">
        <v>44603</v>
      </c>
      <c r="G5350" t="s">
        <v>2020</v>
      </c>
      <c r="H5350">
        <v>5</v>
      </c>
      <c r="I5350" s="12">
        <f>Table16[[#This Row],[price]]*Table16[[#This Row],[quantity]]</f>
        <v>130.75</v>
      </c>
    </row>
    <row r="5351" spans="1:9" x14ac:dyDescent="0.3">
      <c r="A5351" t="s">
        <v>7366</v>
      </c>
      <c r="B5351" t="s">
        <v>1067</v>
      </c>
      <c r="C5351" t="s">
        <v>2011</v>
      </c>
      <c r="D5351">
        <v>3</v>
      </c>
      <c r="E5351" s="16">
        <v>121.98</v>
      </c>
      <c r="F5351" s="1">
        <v>44684</v>
      </c>
      <c r="G5351" t="s">
        <v>2009</v>
      </c>
      <c r="H5351">
        <v>3</v>
      </c>
      <c r="I5351" s="12">
        <f>Table16[[#This Row],[price]]*Table16[[#This Row],[quantity]]</f>
        <v>365.94</v>
      </c>
    </row>
    <row r="5352" spans="1:9" x14ac:dyDescent="0.3">
      <c r="A5352" t="s">
        <v>7367</v>
      </c>
      <c r="B5352" t="s">
        <v>1067</v>
      </c>
      <c r="C5352" t="s">
        <v>2008</v>
      </c>
      <c r="D5352">
        <v>5</v>
      </c>
      <c r="E5352" s="16">
        <v>26.15</v>
      </c>
      <c r="F5352" s="1">
        <v>44706</v>
      </c>
      <c r="G5352" t="s">
        <v>2002</v>
      </c>
      <c r="H5352">
        <v>5</v>
      </c>
      <c r="I5352" s="12">
        <f>Table16[[#This Row],[price]]*Table16[[#This Row],[quantity]]</f>
        <v>130.75</v>
      </c>
    </row>
    <row r="5353" spans="1:9" x14ac:dyDescent="0.3">
      <c r="A5353" t="s">
        <v>7371</v>
      </c>
      <c r="B5353" t="s">
        <v>1068</v>
      </c>
      <c r="C5353" t="s">
        <v>2015</v>
      </c>
      <c r="D5353">
        <v>3</v>
      </c>
      <c r="E5353" s="16">
        <v>1800.51</v>
      </c>
      <c r="F5353" s="1">
        <v>44241</v>
      </c>
      <c r="G5353" t="s">
        <v>2027</v>
      </c>
      <c r="H5353">
        <v>1</v>
      </c>
      <c r="I5353" s="12">
        <f>Table16[[#This Row],[price]]*Table16[[#This Row],[quantity]]</f>
        <v>5401.53</v>
      </c>
    </row>
    <row r="5354" spans="1:9" x14ac:dyDescent="0.3">
      <c r="A5354" t="s">
        <v>7369</v>
      </c>
      <c r="B5354" t="s">
        <v>1068</v>
      </c>
      <c r="C5354" t="s">
        <v>2015</v>
      </c>
      <c r="D5354">
        <v>3</v>
      </c>
      <c r="E5354" s="16">
        <v>1800.51</v>
      </c>
      <c r="F5354" s="1">
        <v>44382</v>
      </c>
      <c r="G5354" t="s">
        <v>2012</v>
      </c>
      <c r="H5354">
        <v>3</v>
      </c>
      <c r="I5354" s="12">
        <f>Table16[[#This Row],[price]]*Table16[[#This Row],[quantity]]</f>
        <v>5401.53</v>
      </c>
    </row>
    <row r="5355" spans="1:9" x14ac:dyDescent="0.3">
      <c r="A5355" t="s">
        <v>7370</v>
      </c>
      <c r="B5355" t="s">
        <v>1068</v>
      </c>
      <c r="C5355" t="s">
        <v>2024</v>
      </c>
      <c r="D5355">
        <v>3</v>
      </c>
      <c r="E5355" s="16">
        <v>107.52</v>
      </c>
      <c r="F5355" s="1">
        <v>44581</v>
      </c>
      <c r="G5355" t="s">
        <v>2027</v>
      </c>
      <c r="H5355">
        <v>3</v>
      </c>
      <c r="I5355" s="12">
        <f>Table16[[#This Row],[price]]*Table16[[#This Row],[quantity]]</f>
        <v>322.56</v>
      </c>
    </row>
    <row r="5356" spans="1:9" x14ac:dyDescent="0.3">
      <c r="A5356" t="s">
        <v>7374</v>
      </c>
      <c r="B5356" t="s">
        <v>1069</v>
      </c>
      <c r="C5356" t="s">
        <v>2011</v>
      </c>
      <c r="D5356">
        <v>1</v>
      </c>
      <c r="E5356" s="16">
        <v>40.659999999999997</v>
      </c>
      <c r="F5356" s="1">
        <v>44235</v>
      </c>
      <c r="G5356" t="s">
        <v>2018</v>
      </c>
      <c r="H5356">
        <v>5</v>
      </c>
      <c r="I5356" s="12">
        <f>Table16[[#This Row],[price]]*Table16[[#This Row],[quantity]]</f>
        <v>40.659999999999997</v>
      </c>
    </row>
    <row r="5357" spans="1:9" x14ac:dyDescent="0.3">
      <c r="A5357" t="s">
        <v>7373</v>
      </c>
      <c r="B5357" t="s">
        <v>1069</v>
      </c>
      <c r="C5357" t="s">
        <v>2017</v>
      </c>
      <c r="D5357">
        <v>3</v>
      </c>
      <c r="E5357" s="16">
        <v>3150</v>
      </c>
      <c r="F5357" s="1">
        <v>44366</v>
      </c>
      <c r="G5357" t="s">
        <v>2027</v>
      </c>
      <c r="H5357">
        <v>4</v>
      </c>
      <c r="I5357" s="12">
        <f>Table16[[#This Row],[price]]*Table16[[#This Row],[quantity]]</f>
        <v>9450</v>
      </c>
    </row>
    <row r="5358" spans="1:9" x14ac:dyDescent="0.3">
      <c r="A5358" t="s">
        <v>7372</v>
      </c>
      <c r="B5358" t="s">
        <v>1069</v>
      </c>
      <c r="C5358" t="s">
        <v>2024</v>
      </c>
      <c r="D5358">
        <v>2</v>
      </c>
      <c r="E5358" s="16">
        <v>71.680000000000007</v>
      </c>
      <c r="F5358" s="1">
        <v>44865</v>
      </c>
      <c r="G5358" t="s">
        <v>2004</v>
      </c>
      <c r="H5358">
        <v>2</v>
      </c>
      <c r="I5358" s="12">
        <f>Table16[[#This Row],[price]]*Table16[[#This Row],[quantity]]</f>
        <v>143.36000000000001</v>
      </c>
    </row>
    <row r="5359" spans="1:9" x14ac:dyDescent="0.3">
      <c r="A5359" t="s">
        <v>7376</v>
      </c>
      <c r="B5359" t="s">
        <v>1070</v>
      </c>
      <c r="C5359" t="s">
        <v>2024</v>
      </c>
      <c r="D5359">
        <v>1</v>
      </c>
      <c r="E5359" s="16">
        <v>35.840000000000003</v>
      </c>
      <c r="F5359" s="1">
        <v>44337</v>
      </c>
      <c r="G5359" t="s">
        <v>2027</v>
      </c>
      <c r="H5359">
        <v>4</v>
      </c>
      <c r="I5359" s="12">
        <f>Table16[[#This Row],[price]]*Table16[[#This Row],[quantity]]</f>
        <v>35.840000000000003</v>
      </c>
    </row>
    <row r="5360" spans="1:9" x14ac:dyDescent="0.3">
      <c r="A5360" t="s">
        <v>7381</v>
      </c>
      <c r="B5360" t="s">
        <v>1070</v>
      </c>
      <c r="C5360" t="s">
        <v>2011</v>
      </c>
      <c r="D5360">
        <v>1</v>
      </c>
      <c r="E5360" s="16">
        <v>40.659999999999997</v>
      </c>
      <c r="F5360" s="1">
        <v>44428</v>
      </c>
      <c r="G5360" t="s">
        <v>2064</v>
      </c>
      <c r="H5360">
        <v>3</v>
      </c>
      <c r="I5360" s="12">
        <f>Table16[[#This Row],[price]]*Table16[[#This Row],[quantity]]</f>
        <v>40.659999999999997</v>
      </c>
    </row>
    <row r="5361" spans="1:9" x14ac:dyDescent="0.3">
      <c r="A5361" t="s">
        <v>7377</v>
      </c>
      <c r="B5361" t="s">
        <v>1070</v>
      </c>
      <c r="C5361" t="s">
        <v>2011</v>
      </c>
      <c r="D5361">
        <v>5</v>
      </c>
      <c r="E5361" s="16">
        <v>203.3</v>
      </c>
      <c r="F5361" s="1">
        <v>44441</v>
      </c>
      <c r="G5361" t="s">
        <v>2041</v>
      </c>
      <c r="H5361">
        <v>2</v>
      </c>
      <c r="I5361" s="12">
        <f>Table16[[#This Row],[price]]*Table16[[#This Row],[quantity]]</f>
        <v>1016.5</v>
      </c>
    </row>
    <row r="5362" spans="1:9" x14ac:dyDescent="0.3">
      <c r="A5362" t="s">
        <v>7380</v>
      </c>
      <c r="B5362" t="s">
        <v>1070</v>
      </c>
      <c r="C5362" t="s">
        <v>2008</v>
      </c>
      <c r="D5362">
        <v>1</v>
      </c>
      <c r="E5362" s="16">
        <v>5.23</v>
      </c>
      <c r="F5362" s="1">
        <v>44759</v>
      </c>
      <c r="G5362" t="s">
        <v>2027</v>
      </c>
      <c r="H5362">
        <v>1</v>
      </c>
      <c r="I5362" s="12">
        <f>Table16[[#This Row],[price]]*Table16[[#This Row],[quantity]]</f>
        <v>5.23</v>
      </c>
    </row>
    <row r="5363" spans="1:9" x14ac:dyDescent="0.3">
      <c r="A5363" t="s">
        <v>7379</v>
      </c>
      <c r="B5363" t="s">
        <v>1070</v>
      </c>
      <c r="C5363" t="s">
        <v>2011</v>
      </c>
      <c r="D5363">
        <v>5</v>
      </c>
      <c r="E5363" s="16">
        <v>203.3</v>
      </c>
      <c r="F5363" s="1">
        <v>44810</v>
      </c>
      <c r="G5363" t="s">
        <v>2004</v>
      </c>
      <c r="H5363">
        <v>3</v>
      </c>
      <c r="I5363" s="12">
        <f>Table16[[#This Row],[price]]*Table16[[#This Row],[quantity]]</f>
        <v>1016.5</v>
      </c>
    </row>
    <row r="5364" spans="1:9" x14ac:dyDescent="0.3">
      <c r="A5364" t="s">
        <v>7378</v>
      </c>
      <c r="B5364" t="s">
        <v>1070</v>
      </c>
      <c r="C5364" t="s">
        <v>2008</v>
      </c>
      <c r="D5364">
        <v>2</v>
      </c>
      <c r="E5364" s="16">
        <v>10.46</v>
      </c>
      <c r="F5364" s="1">
        <v>44875</v>
      </c>
      <c r="G5364" t="s">
        <v>2020</v>
      </c>
      <c r="H5364">
        <v>1</v>
      </c>
      <c r="I5364" s="12">
        <f>Table16[[#This Row],[price]]*Table16[[#This Row],[quantity]]</f>
        <v>20.92</v>
      </c>
    </row>
    <row r="5365" spans="1:9" x14ac:dyDescent="0.3">
      <c r="A5365" t="s">
        <v>7375</v>
      </c>
      <c r="B5365" t="s">
        <v>1070</v>
      </c>
      <c r="C5365" t="s">
        <v>2001</v>
      </c>
      <c r="D5365">
        <v>5</v>
      </c>
      <c r="E5365" s="16">
        <v>1500.4</v>
      </c>
      <c r="F5365" s="1">
        <v>44897</v>
      </c>
      <c r="G5365" t="s">
        <v>2012</v>
      </c>
      <c r="H5365">
        <v>1</v>
      </c>
      <c r="I5365" s="12">
        <f>Table16[[#This Row],[price]]*Table16[[#This Row],[quantity]]</f>
        <v>7502</v>
      </c>
    </row>
    <row r="5366" spans="1:9" x14ac:dyDescent="0.3">
      <c r="A5366" t="s">
        <v>7382</v>
      </c>
      <c r="B5366" t="s">
        <v>1071</v>
      </c>
      <c r="C5366" t="s">
        <v>2001</v>
      </c>
      <c r="D5366">
        <v>2</v>
      </c>
      <c r="E5366" s="16">
        <v>600.16</v>
      </c>
      <c r="F5366" s="1">
        <v>44835</v>
      </c>
      <c r="G5366" t="s">
        <v>2004</v>
      </c>
      <c r="H5366">
        <v>3</v>
      </c>
      <c r="I5366" s="12">
        <f>Table16[[#This Row],[price]]*Table16[[#This Row],[quantity]]</f>
        <v>1200.32</v>
      </c>
    </row>
    <row r="5367" spans="1:9" x14ac:dyDescent="0.3">
      <c r="A5367" t="s">
        <v>7383</v>
      </c>
      <c r="B5367" t="s">
        <v>1071</v>
      </c>
      <c r="C5367" t="s">
        <v>2001</v>
      </c>
      <c r="D5367">
        <v>5</v>
      </c>
      <c r="E5367" s="16">
        <v>1500.4</v>
      </c>
      <c r="F5367" s="1">
        <v>44849</v>
      </c>
      <c r="G5367" t="s">
        <v>2002</v>
      </c>
      <c r="H5367">
        <v>2</v>
      </c>
      <c r="I5367" s="12">
        <f>Table16[[#This Row],[price]]*Table16[[#This Row],[quantity]]</f>
        <v>7502</v>
      </c>
    </row>
    <row r="5368" spans="1:9" x14ac:dyDescent="0.3">
      <c r="A5368" t="s">
        <v>7384</v>
      </c>
      <c r="B5368" t="s">
        <v>1071</v>
      </c>
      <c r="C5368" t="s">
        <v>2057</v>
      </c>
      <c r="D5368">
        <v>4</v>
      </c>
      <c r="E5368" s="16">
        <v>46.92</v>
      </c>
      <c r="F5368" s="1">
        <v>44928</v>
      </c>
      <c r="G5368" t="s">
        <v>2002</v>
      </c>
      <c r="H5368">
        <v>1</v>
      </c>
      <c r="I5368" s="12">
        <f>Table16[[#This Row],[price]]*Table16[[#This Row],[quantity]]</f>
        <v>187.68</v>
      </c>
    </row>
    <row r="5369" spans="1:9" x14ac:dyDescent="0.3">
      <c r="A5369" t="s">
        <v>7390</v>
      </c>
      <c r="B5369" t="s">
        <v>1072</v>
      </c>
      <c r="C5369" t="s">
        <v>2011</v>
      </c>
      <c r="D5369">
        <v>2</v>
      </c>
      <c r="E5369" s="16">
        <v>81.319999999999993</v>
      </c>
      <c r="F5369" s="1">
        <v>44233</v>
      </c>
      <c r="G5369" t="s">
        <v>2020</v>
      </c>
      <c r="H5369">
        <v>4</v>
      </c>
      <c r="I5369" s="12">
        <f>Table16[[#This Row],[price]]*Table16[[#This Row],[quantity]]</f>
        <v>162.63999999999999</v>
      </c>
    </row>
    <row r="5370" spans="1:9" x14ac:dyDescent="0.3">
      <c r="A5370" t="s">
        <v>7389</v>
      </c>
      <c r="B5370" t="s">
        <v>1072</v>
      </c>
      <c r="C5370" t="s">
        <v>2001</v>
      </c>
      <c r="D5370">
        <v>1</v>
      </c>
      <c r="E5370" s="16">
        <v>300.08</v>
      </c>
      <c r="F5370" s="1">
        <v>44266</v>
      </c>
      <c r="G5370" t="s">
        <v>2002</v>
      </c>
      <c r="H5370">
        <v>3</v>
      </c>
      <c r="I5370" s="12">
        <f>Table16[[#This Row],[price]]*Table16[[#This Row],[quantity]]</f>
        <v>300.08</v>
      </c>
    </row>
    <row r="5371" spans="1:9" x14ac:dyDescent="0.3">
      <c r="A5371" t="s">
        <v>7386</v>
      </c>
      <c r="B5371" t="s">
        <v>1072</v>
      </c>
      <c r="C5371" t="s">
        <v>2001</v>
      </c>
      <c r="D5371">
        <v>1</v>
      </c>
      <c r="E5371" s="16">
        <v>300.08</v>
      </c>
      <c r="F5371" s="1">
        <v>44340</v>
      </c>
      <c r="G5371" t="s">
        <v>2002</v>
      </c>
      <c r="H5371">
        <v>1</v>
      </c>
      <c r="I5371" s="12">
        <f>Table16[[#This Row],[price]]*Table16[[#This Row],[quantity]]</f>
        <v>300.08</v>
      </c>
    </row>
    <row r="5372" spans="1:9" x14ac:dyDescent="0.3">
      <c r="A5372" t="s">
        <v>7387</v>
      </c>
      <c r="B5372" t="s">
        <v>1072</v>
      </c>
      <c r="C5372" t="s">
        <v>2008</v>
      </c>
      <c r="D5372">
        <v>1</v>
      </c>
      <c r="E5372" s="16">
        <v>5.23</v>
      </c>
      <c r="F5372" s="1">
        <v>44734</v>
      </c>
      <c r="G5372" t="s">
        <v>2002</v>
      </c>
      <c r="H5372">
        <v>5</v>
      </c>
      <c r="I5372" s="12">
        <f>Table16[[#This Row],[price]]*Table16[[#This Row],[quantity]]</f>
        <v>5.23</v>
      </c>
    </row>
    <row r="5373" spans="1:9" x14ac:dyDescent="0.3">
      <c r="A5373" t="s">
        <v>7388</v>
      </c>
      <c r="B5373" t="s">
        <v>1072</v>
      </c>
      <c r="C5373" t="s">
        <v>2015</v>
      </c>
      <c r="D5373">
        <v>5</v>
      </c>
      <c r="E5373" s="16">
        <v>3000.85</v>
      </c>
      <c r="F5373" s="1">
        <v>44808</v>
      </c>
      <c r="G5373" t="s">
        <v>2058</v>
      </c>
      <c r="H5373">
        <v>4</v>
      </c>
      <c r="I5373" s="12">
        <f>Table16[[#This Row],[price]]*Table16[[#This Row],[quantity]]</f>
        <v>15004.25</v>
      </c>
    </row>
    <row r="5374" spans="1:9" x14ac:dyDescent="0.3">
      <c r="A5374" t="s">
        <v>7385</v>
      </c>
      <c r="B5374" t="s">
        <v>1072</v>
      </c>
      <c r="C5374" t="s">
        <v>2015</v>
      </c>
      <c r="D5374">
        <v>2</v>
      </c>
      <c r="E5374" s="16">
        <v>1200.3399999999999</v>
      </c>
      <c r="F5374" s="1">
        <v>44898</v>
      </c>
      <c r="G5374" t="s">
        <v>2004</v>
      </c>
      <c r="H5374">
        <v>2</v>
      </c>
      <c r="I5374" s="12">
        <f>Table16[[#This Row],[price]]*Table16[[#This Row],[quantity]]</f>
        <v>2400.6799999999998</v>
      </c>
    </row>
    <row r="5375" spans="1:9" x14ac:dyDescent="0.3">
      <c r="A5375" t="s">
        <v>7391</v>
      </c>
      <c r="B5375" t="s">
        <v>1073</v>
      </c>
      <c r="C5375" t="s">
        <v>2017</v>
      </c>
      <c r="D5375">
        <v>3</v>
      </c>
      <c r="E5375" s="16">
        <v>3150</v>
      </c>
      <c r="F5375" s="1">
        <v>44243</v>
      </c>
      <c r="G5375" t="s">
        <v>2002</v>
      </c>
      <c r="H5375">
        <v>1</v>
      </c>
      <c r="I5375" s="12">
        <f>Table16[[#This Row],[price]]*Table16[[#This Row],[quantity]]</f>
        <v>9450</v>
      </c>
    </row>
    <row r="5376" spans="1:9" x14ac:dyDescent="0.3">
      <c r="A5376" t="s">
        <v>7392</v>
      </c>
      <c r="B5376" t="s">
        <v>1073</v>
      </c>
      <c r="C5376" t="s">
        <v>2017</v>
      </c>
      <c r="D5376">
        <v>3</v>
      </c>
      <c r="E5376" s="16">
        <v>3150</v>
      </c>
      <c r="F5376" s="1">
        <v>44283</v>
      </c>
      <c r="G5376" t="s">
        <v>2009</v>
      </c>
      <c r="H5376">
        <v>2</v>
      </c>
      <c r="I5376" s="12">
        <f>Table16[[#This Row],[price]]*Table16[[#This Row],[quantity]]</f>
        <v>9450</v>
      </c>
    </row>
    <row r="5377" spans="1:9" x14ac:dyDescent="0.3">
      <c r="A5377" t="s">
        <v>7394</v>
      </c>
      <c r="B5377" t="s">
        <v>1073</v>
      </c>
      <c r="C5377" t="s">
        <v>2024</v>
      </c>
      <c r="D5377">
        <v>3</v>
      </c>
      <c r="E5377" s="16">
        <v>107.52</v>
      </c>
      <c r="F5377" s="1">
        <v>44655</v>
      </c>
      <c r="G5377" t="s">
        <v>2002</v>
      </c>
      <c r="H5377">
        <v>4</v>
      </c>
      <c r="I5377" s="12">
        <f>Table16[[#This Row],[price]]*Table16[[#This Row],[quantity]]</f>
        <v>322.56</v>
      </c>
    </row>
    <row r="5378" spans="1:9" x14ac:dyDescent="0.3">
      <c r="A5378" t="s">
        <v>7393</v>
      </c>
      <c r="B5378" t="s">
        <v>1073</v>
      </c>
      <c r="C5378" t="s">
        <v>2015</v>
      </c>
      <c r="D5378">
        <v>5</v>
      </c>
      <c r="E5378" s="16">
        <v>3000.85</v>
      </c>
      <c r="F5378" s="1">
        <v>44740</v>
      </c>
      <c r="G5378" t="s">
        <v>2002</v>
      </c>
      <c r="H5378">
        <v>2</v>
      </c>
      <c r="I5378" s="12">
        <f>Table16[[#This Row],[price]]*Table16[[#This Row],[quantity]]</f>
        <v>15004.25</v>
      </c>
    </row>
    <row r="5379" spans="1:9" x14ac:dyDescent="0.3">
      <c r="A5379" t="s">
        <v>7396</v>
      </c>
      <c r="B5379" t="s">
        <v>1074</v>
      </c>
      <c r="C5379" t="s">
        <v>2024</v>
      </c>
      <c r="D5379">
        <v>4</v>
      </c>
      <c r="E5379" s="16">
        <v>143.36000000000001</v>
      </c>
      <c r="F5379" s="1">
        <v>44340</v>
      </c>
      <c r="G5379" t="s">
        <v>2027</v>
      </c>
      <c r="H5379">
        <v>1</v>
      </c>
      <c r="I5379" s="12">
        <f>Table16[[#This Row],[price]]*Table16[[#This Row],[quantity]]</f>
        <v>573.44000000000005</v>
      </c>
    </row>
    <row r="5380" spans="1:9" x14ac:dyDescent="0.3">
      <c r="A5380" t="s">
        <v>7397</v>
      </c>
      <c r="B5380" t="s">
        <v>1074</v>
      </c>
      <c r="C5380" t="s">
        <v>2006</v>
      </c>
      <c r="D5380">
        <v>5</v>
      </c>
      <c r="E5380" s="16">
        <v>75.75</v>
      </c>
      <c r="F5380" s="1">
        <v>44731</v>
      </c>
      <c r="G5380" t="s">
        <v>2064</v>
      </c>
      <c r="H5380">
        <v>1</v>
      </c>
      <c r="I5380" s="12">
        <f>Table16[[#This Row],[price]]*Table16[[#This Row],[quantity]]</f>
        <v>378.75</v>
      </c>
    </row>
    <row r="5381" spans="1:9" x14ac:dyDescent="0.3">
      <c r="A5381" t="s">
        <v>7395</v>
      </c>
      <c r="B5381" t="s">
        <v>1074</v>
      </c>
      <c r="C5381" t="s">
        <v>2008</v>
      </c>
      <c r="D5381">
        <v>4</v>
      </c>
      <c r="E5381" s="16">
        <v>20.92</v>
      </c>
      <c r="F5381" s="1">
        <v>44798</v>
      </c>
      <c r="G5381" t="s">
        <v>2027</v>
      </c>
      <c r="H5381">
        <v>4</v>
      </c>
      <c r="I5381" s="12">
        <f>Table16[[#This Row],[price]]*Table16[[#This Row],[quantity]]</f>
        <v>83.68</v>
      </c>
    </row>
    <row r="5382" spans="1:9" x14ac:dyDescent="0.3">
      <c r="A5382" t="s">
        <v>7398</v>
      </c>
      <c r="B5382" t="s">
        <v>1074</v>
      </c>
      <c r="C5382" t="s">
        <v>2011</v>
      </c>
      <c r="D5382">
        <v>3</v>
      </c>
      <c r="E5382" s="16">
        <v>121.98</v>
      </c>
      <c r="F5382" s="1">
        <v>44827</v>
      </c>
      <c r="G5382" t="s">
        <v>2064</v>
      </c>
      <c r="H5382">
        <v>2</v>
      </c>
      <c r="I5382" s="12">
        <f>Table16[[#This Row],[price]]*Table16[[#This Row],[quantity]]</f>
        <v>365.94</v>
      </c>
    </row>
    <row r="5383" spans="1:9" x14ac:dyDescent="0.3">
      <c r="A5383" t="s">
        <v>7404</v>
      </c>
      <c r="B5383" t="s">
        <v>1075</v>
      </c>
      <c r="C5383" t="s">
        <v>2011</v>
      </c>
      <c r="D5383">
        <v>5</v>
      </c>
      <c r="E5383" s="16">
        <v>203.3</v>
      </c>
      <c r="F5383" s="1">
        <v>44222</v>
      </c>
      <c r="G5383" t="s">
        <v>2018</v>
      </c>
      <c r="H5383">
        <v>5</v>
      </c>
      <c r="I5383" s="12">
        <f>Table16[[#This Row],[price]]*Table16[[#This Row],[quantity]]</f>
        <v>1016.5</v>
      </c>
    </row>
    <row r="5384" spans="1:9" x14ac:dyDescent="0.3">
      <c r="A5384" t="s">
        <v>7399</v>
      </c>
      <c r="B5384" t="s">
        <v>1075</v>
      </c>
      <c r="C5384" t="s">
        <v>2008</v>
      </c>
      <c r="D5384">
        <v>4</v>
      </c>
      <c r="E5384" s="16">
        <v>20.92</v>
      </c>
      <c r="F5384" s="1">
        <v>44693</v>
      </c>
      <c r="G5384" t="s">
        <v>2041</v>
      </c>
      <c r="H5384">
        <v>5</v>
      </c>
      <c r="I5384" s="12">
        <f>Table16[[#This Row],[price]]*Table16[[#This Row],[quantity]]</f>
        <v>83.68</v>
      </c>
    </row>
    <row r="5385" spans="1:9" x14ac:dyDescent="0.3">
      <c r="A5385" t="s">
        <v>7401</v>
      </c>
      <c r="B5385" t="s">
        <v>1075</v>
      </c>
      <c r="C5385" t="s">
        <v>2057</v>
      </c>
      <c r="D5385">
        <v>2</v>
      </c>
      <c r="E5385" s="16">
        <v>23.46</v>
      </c>
      <c r="F5385" s="1">
        <v>44726</v>
      </c>
      <c r="G5385" t="s">
        <v>2004</v>
      </c>
      <c r="H5385">
        <v>5</v>
      </c>
      <c r="I5385" s="12">
        <f>Table16[[#This Row],[price]]*Table16[[#This Row],[quantity]]</f>
        <v>46.92</v>
      </c>
    </row>
    <row r="5386" spans="1:9" x14ac:dyDescent="0.3">
      <c r="A5386" t="s">
        <v>7400</v>
      </c>
      <c r="B5386" t="s">
        <v>1075</v>
      </c>
      <c r="C5386" t="s">
        <v>2001</v>
      </c>
      <c r="D5386">
        <v>1</v>
      </c>
      <c r="E5386" s="16">
        <v>300.08</v>
      </c>
      <c r="F5386" s="1">
        <v>44860</v>
      </c>
      <c r="G5386" t="s">
        <v>2027</v>
      </c>
      <c r="H5386">
        <v>1</v>
      </c>
      <c r="I5386" s="12">
        <f>Table16[[#This Row],[price]]*Table16[[#This Row],[quantity]]</f>
        <v>300.08</v>
      </c>
    </row>
    <row r="5387" spans="1:9" x14ac:dyDescent="0.3">
      <c r="A5387" t="s">
        <v>7402</v>
      </c>
      <c r="B5387" t="s">
        <v>1075</v>
      </c>
      <c r="C5387" t="s">
        <v>2008</v>
      </c>
      <c r="D5387">
        <v>1</v>
      </c>
      <c r="E5387" s="16">
        <v>5.23</v>
      </c>
      <c r="F5387" s="1">
        <v>44906</v>
      </c>
      <c r="G5387" t="s">
        <v>2004</v>
      </c>
      <c r="H5387">
        <v>5</v>
      </c>
      <c r="I5387" s="12">
        <f>Table16[[#This Row],[price]]*Table16[[#This Row],[quantity]]</f>
        <v>5.23</v>
      </c>
    </row>
    <row r="5388" spans="1:9" x14ac:dyDescent="0.3">
      <c r="A5388" t="s">
        <v>7403</v>
      </c>
      <c r="B5388" t="s">
        <v>1075</v>
      </c>
      <c r="C5388" t="s">
        <v>2008</v>
      </c>
      <c r="D5388">
        <v>5</v>
      </c>
      <c r="E5388" s="16">
        <v>26.15</v>
      </c>
      <c r="F5388" s="1">
        <v>44919</v>
      </c>
      <c r="G5388" t="s">
        <v>2002</v>
      </c>
      <c r="H5388">
        <v>5</v>
      </c>
      <c r="I5388" s="12">
        <f>Table16[[#This Row],[price]]*Table16[[#This Row],[quantity]]</f>
        <v>130.75</v>
      </c>
    </row>
    <row r="5389" spans="1:9" x14ac:dyDescent="0.3">
      <c r="A5389" t="s">
        <v>7407</v>
      </c>
      <c r="B5389" t="s">
        <v>1076</v>
      </c>
      <c r="C5389" t="s">
        <v>2008</v>
      </c>
      <c r="D5389">
        <v>4</v>
      </c>
      <c r="E5389" s="16">
        <v>20.92</v>
      </c>
      <c r="F5389" s="1">
        <v>44216</v>
      </c>
      <c r="G5389" t="s">
        <v>2012</v>
      </c>
      <c r="H5389">
        <v>1</v>
      </c>
      <c r="I5389" s="12">
        <f>Table16[[#This Row],[price]]*Table16[[#This Row],[quantity]]</f>
        <v>83.68</v>
      </c>
    </row>
    <row r="5390" spans="1:9" x14ac:dyDescent="0.3">
      <c r="A5390" t="s">
        <v>7408</v>
      </c>
      <c r="B5390" t="s">
        <v>1076</v>
      </c>
      <c r="C5390" t="s">
        <v>2001</v>
      </c>
      <c r="D5390">
        <v>5</v>
      </c>
      <c r="E5390" s="16">
        <v>1500.4</v>
      </c>
      <c r="F5390" s="1">
        <v>44271</v>
      </c>
      <c r="G5390" t="s">
        <v>2012</v>
      </c>
      <c r="H5390">
        <v>5</v>
      </c>
      <c r="I5390" s="12">
        <f>Table16[[#This Row],[price]]*Table16[[#This Row],[quantity]]</f>
        <v>7502</v>
      </c>
    </row>
    <row r="5391" spans="1:9" x14ac:dyDescent="0.3">
      <c r="A5391" t="s">
        <v>7412</v>
      </c>
      <c r="B5391" t="s">
        <v>1076</v>
      </c>
      <c r="C5391" t="s">
        <v>2017</v>
      </c>
      <c r="D5391">
        <v>2</v>
      </c>
      <c r="E5391" s="16">
        <v>2100</v>
      </c>
      <c r="F5391" s="1">
        <v>44287</v>
      </c>
      <c r="G5391" t="s">
        <v>2020</v>
      </c>
      <c r="H5391">
        <v>5</v>
      </c>
      <c r="I5391" s="12">
        <f>Table16[[#This Row],[price]]*Table16[[#This Row],[quantity]]</f>
        <v>4200</v>
      </c>
    </row>
    <row r="5392" spans="1:9" x14ac:dyDescent="0.3">
      <c r="A5392" t="s">
        <v>7406</v>
      </c>
      <c r="B5392" t="s">
        <v>1076</v>
      </c>
      <c r="C5392" t="s">
        <v>2006</v>
      </c>
      <c r="D5392">
        <v>1</v>
      </c>
      <c r="E5392" s="16">
        <v>15.15</v>
      </c>
      <c r="F5392" s="1">
        <v>44292</v>
      </c>
      <c r="G5392" t="s">
        <v>2041</v>
      </c>
      <c r="H5392">
        <v>1</v>
      </c>
      <c r="I5392" s="12">
        <f>Table16[[#This Row],[price]]*Table16[[#This Row],[quantity]]</f>
        <v>15.15</v>
      </c>
    </row>
    <row r="5393" spans="1:9" x14ac:dyDescent="0.3">
      <c r="A5393" t="s">
        <v>7405</v>
      </c>
      <c r="B5393" t="s">
        <v>1076</v>
      </c>
      <c r="C5393" t="s">
        <v>2008</v>
      </c>
      <c r="D5393">
        <v>3</v>
      </c>
      <c r="E5393" s="16">
        <v>15.69</v>
      </c>
      <c r="F5393" s="1">
        <v>44400</v>
      </c>
      <c r="G5393" t="s">
        <v>2064</v>
      </c>
      <c r="H5393">
        <v>4</v>
      </c>
      <c r="I5393" s="12">
        <f>Table16[[#This Row],[price]]*Table16[[#This Row],[quantity]]</f>
        <v>47.07</v>
      </c>
    </row>
    <row r="5394" spans="1:9" x14ac:dyDescent="0.3">
      <c r="A5394" t="s">
        <v>7411</v>
      </c>
      <c r="B5394" t="s">
        <v>1076</v>
      </c>
      <c r="C5394" t="s">
        <v>2015</v>
      </c>
      <c r="D5394">
        <v>5</v>
      </c>
      <c r="E5394" s="16">
        <v>3000.85</v>
      </c>
      <c r="F5394" s="1">
        <v>44785</v>
      </c>
      <c r="G5394" t="s">
        <v>2004</v>
      </c>
      <c r="H5394">
        <v>2</v>
      </c>
      <c r="I5394" s="12">
        <f>Table16[[#This Row],[price]]*Table16[[#This Row],[quantity]]</f>
        <v>15004.25</v>
      </c>
    </row>
    <row r="5395" spans="1:9" x14ac:dyDescent="0.3">
      <c r="A5395" t="s">
        <v>7410</v>
      </c>
      <c r="B5395" t="s">
        <v>1076</v>
      </c>
      <c r="C5395" t="s">
        <v>2008</v>
      </c>
      <c r="D5395">
        <v>2</v>
      </c>
      <c r="E5395" s="16">
        <v>10.46</v>
      </c>
      <c r="F5395" s="1">
        <v>44899</v>
      </c>
      <c r="G5395" t="s">
        <v>2064</v>
      </c>
      <c r="H5395">
        <v>4</v>
      </c>
      <c r="I5395" s="12">
        <f>Table16[[#This Row],[price]]*Table16[[#This Row],[quantity]]</f>
        <v>20.92</v>
      </c>
    </row>
    <row r="5396" spans="1:9" x14ac:dyDescent="0.3">
      <c r="A5396" t="s">
        <v>7409</v>
      </c>
      <c r="B5396" t="s">
        <v>1076</v>
      </c>
      <c r="C5396" t="s">
        <v>2001</v>
      </c>
      <c r="D5396">
        <v>1</v>
      </c>
      <c r="E5396" s="16">
        <v>300.08</v>
      </c>
      <c r="F5396" s="1">
        <v>44939</v>
      </c>
      <c r="G5396" t="s">
        <v>2064</v>
      </c>
      <c r="H5396">
        <v>3</v>
      </c>
      <c r="I5396" s="12">
        <f>Table16[[#This Row],[price]]*Table16[[#This Row],[quantity]]</f>
        <v>300.08</v>
      </c>
    </row>
    <row r="5397" spans="1:9" x14ac:dyDescent="0.3">
      <c r="A5397" t="s">
        <v>7413</v>
      </c>
      <c r="B5397" t="s">
        <v>1077</v>
      </c>
      <c r="C5397" t="s">
        <v>2024</v>
      </c>
      <c r="D5397">
        <v>2</v>
      </c>
      <c r="E5397" s="16">
        <v>71.680000000000007</v>
      </c>
      <c r="F5397" s="1">
        <v>44599</v>
      </c>
      <c r="G5397" t="s">
        <v>2027</v>
      </c>
      <c r="H5397">
        <v>4</v>
      </c>
      <c r="I5397" s="12">
        <f>Table16[[#This Row],[price]]*Table16[[#This Row],[quantity]]</f>
        <v>143.36000000000001</v>
      </c>
    </row>
    <row r="5398" spans="1:9" x14ac:dyDescent="0.3">
      <c r="A5398" t="s">
        <v>7414</v>
      </c>
      <c r="B5398" t="s">
        <v>1077</v>
      </c>
      <c r="C5398" t="s">
        <v>2024</v>
      </c>
      <c r="D5398">
        <v>1</v>
      </c>
      <c r="E5398" s="16">
        <v>35.840000000000003</v>
      </c>
      <c r="F5398" s="1">
        <v>44609</v>
      </c>
      <c r="G5398" t="s">
        <v>2027</v>
      </c>
      <c r="H5398">
        <v>5</v>
      </c>
      <c r="I5398" s="12">
        <f>Table16[[#This Row],[price]]*Table16[[#This Row],[quantity]]</f>
        <v>35.840000000000003</v>
      </c>
    </row>
    <row r="5399" spans="1:9" x14ac:dyDescent="0.3">
      <c r="A5399" t="s">
        <v>7417</v>
      </c>
      <c r="B5399" t="s">
        <v>1077</v>
      </c>
      <c r="C5399" t="s">
        <v>2057</v>
      </c>
      <c r="D5399">
        <v>5</v>
      </c>
      <c r="E5399" s="16">
        <v>58.65</v>
      </c>
      <c r="F5399" s="1">
        <v>44790</v>
      </c>
      <c r="G5399" t="s">
        <v>2004</v>
      </c>
      <c r="H5399">
        <v>1</v>
      </c>
      <c r="I5399" s="12">
        <f>Table16[[#This Row],[price]]*Table16[[#This Row],[quantity]]</f>
        <v>293.25</v>
      </c>
    </row>
    <row r="5400" spans="1:9" x14ac:dyDescent="0.3">
      <c r="A5400" t="s">
        <v>7415</v>
      </c>
      <c r="B5400" t="s">
        <v>1077</v>
      </c>
      <c r="C5400" t="s">
        <v>2001</v>
      </c>
      <c r="D5400">
        <v>4</v>
      </c>
      <c r="E5400" s="16">
        <v>1200.32</v>
      </c>
      <c r="F5400" s="1">
        <v>44832</v>
      </c>
      <c r="G5400" t="s">
        <v>2002</v>
      </c>
      <c r="H5400">
        <v>3</v>
      </c>
      <c r="I5400" s="12">
        <f>Table16[[#This Row],[price]]*Table16[[#This Row],[quantity]]</f>
        <v>4801.28</v>
      </c>
    </row>
    <row r="5401" spans="1:9" x14ac:dyDescent="0.3">
      <c r="A5401" t="s">
        <v>7416</v>
      </c>
      <c r="B5401" t="s">
        <v>1077</v>
      </c>
      <c r="C5401" t="s">
        <v>2008</v>
      </c>
      <c r="D5401">
        <v>5</v>
      </c>
      <c r="E5401" s="16">
        <v>26.15</v>
      </c>
      <c r="F5401" s="1">
        <v>44850</v>
      </c>
      <c r="G5401" t="s">
        <v>2004</v>
      </c>
      <c r="H5401">
        <v>2</v>
      </c>
      <c r="I5401" s="12">
        <f>Table16[[#This Row],[price]]*Table16[[#This Row],[quantity]]</f>
        <v>130.75</v>
      </c>
    </row>
    <row r="5402" spans="1:9" x14ac:dyDescent="0.3">
      <c r="A5402" t="s">
        <v>7420</v>
      </c>
      <c r="B5402" t="s">
        <v>1078</v>
      </c>
      <c r="C5402" t="s">
        <v>2008</v>
      </c>
      <c r="D5402">
        <v>5</v>
      </c>
      <c r="E5402" s="16">
        <v>26.15</v>
      </c>
      <c r="F5402" s="1">
        <v>44198</v>
      </c>
      <c r="G5402" t="s">
        <v>2064</v>
      </c>
      <c r="H5402">
        <v>5</v>
      </c>
      <c r="I5402" s="12">
        <f>Table16[[#This Row],[price]]*Table16[[#This Row],[quantity]]</f>
        <v>130.75</v>
      </c>
    </row>
    <row r="5403" spans="1:9" x14ac:dyDescent="0.3">
      <c r="A5403" t="s">
        <v>7424</v>
      </c>
      <c r="B5403" t="s">
        <v>1078</v>
      </c>
      <c r="C5403" t="s">
        <v>2006</v>
      </c>
      <c r="D5403">
        <v>5</v>
      </c>
      <c r="E5403" s="16">
        <v>75.75</v>
      </c>
      <c r="F5403" s="1">
        <v>44363</v>
      </c>
      <c r="G5403" t="s">
        <v>2058</v>
      </c>
      <c r="H5403">
        <v>5</v>
      </c>
      <c r="I5403" s="12">
        <f>Table16[[#This Row],[price]]*Table16[[#This Row],[quantity]]</f>
        <v>378.75</v>
      </c>
    </row>
    <row r="5404" spans="1:9" x14ac:dyDescent="0.3">
      <c r="A5404" t="s">
        <v>7422</v>
      </c>
      <c r="B5404" t="s">
        <v>1078</v>
      </c>
      <c r="C5404" t="s">
        <v>2017</v>
      </c>
      <c r="D5404">
        <v>1</v>
      </c>
      <c r="E5404" s="16">
        <v>1050</v>
      </c>
      <c r="F5404" s="1">
        <v>44580</v>
      </c>
      <c r="G5404" t="s">
        <v>2027</v>
      </c>
      <c r="H5404">
        <v>1</v>
      </c>
      <c r="I5404" s="12">
        <f>Table16[[#This Row],[price]]*Table16[[#This Row],[quantity]]</f>
        <v>1050</v>
      </c>
    </row>
    <row r="5405" spans="1:9" x14ac:dyDescent="0.3">
      <c r="A5405" t="s">
        <v>7423</v>
      </c>
      <c r="B5405" t="s">
        <v>1078</v>
      </c>
      <c r="C5405" t="s">
        <v>2024</v>
      </c>
      <c r="D5405">
        <v>2</v>
      </c>
      <c r="E5405" s="16">
        <v>71.680000000000007</v>
      </c>
      <c r="F5405" s="1">
        <v>44663</v>
      </c>
      <c r="G5405" t="s">
        <v>2041</v>
      </c>
      <c r="H5405">
        <v>2</v>
      </c>
      <c r="I5405" s="12">
        <f>Table16[[#This Row],[price]]*Table16[[#This Row],[quantity]]</f>
        <v>143.36000000000001</v>
      </c>
    </row>
    <row r="5406" spans="1:9" x14ac:dyDescent="0.3">
      <c r="A5406" t="s">
        <v>7418</v>
      </c>
      <c r="B5406" t="s">
        <v>1078</v>
      </c>
      <c r="C5406" t="s">
        <v>2017</v>
      </c>
      <c r="D5406">
        <v>5</v>
      </c>
      <c r="E5406" s="16">
        <v>5250</v>
      </c>
      <c r="F5406" s="1">
        <v>44683</v>
      </c>
      <c r="G5406" t="s">
        <v>2002</v>
      </c>
      <c r="H5406">
        <v>5</v>
      </c>
      <c r="I5406" s="12">
        <f>Table16[[#This Row],[price]]*Table16[[#This Row],[quantity]]</f>
        <v>26250</v>
      </c>
    </row>
    <row r="5407" spans="1:9" x14ac:dyDescent="0.3">
      <c r="A5407" t="s">
        <v>7419</v>
      </c>
      <c r="B5407" t="s">
        <v>1078</v>
      </c>
      <c r="C5407" t="s">
        <v>2008</v>
      </c>
      <c r="D5407">
        <v>4</v>
      </c>
      <c r="E5407" s="16">
        <v>20.92</v>
      </c>
      <c r="F5407" s="1">
        <v>44803</v>
      </c>
      <c r="G5407" t="s">
        <v>2027</v>
      </c>
      <c r="H5407">
        <v>2</v>
      </c>
      <c r="I5407" s="12">
        <f>Table16[[#This Row],[price]]*Table16[[#This Row],[quantity]]</f>
        <v>83.68</v>
      </c>
    </row>
    <row r="5408" spans="1:9" x14ac:dyDescent="0.3">
      <c r="A5408" t="s">
        <v>7421</v>
      </c>
      <c r="B5408" t="s">
        <v>1078</v>
      </c>
      <c r="C5408" t="s">
        <v>2017</v>
      </c>
      <c r="D5408">
        <v>3</v>
      </c>
      <c r="E5408" s="16">
        <v>3150</v>
      </c>
      <c r="F5408" s="1">
        <v>44937</v>
      </c>
      <c r="G5408" t="s">
        <v>2064</v>
      </c>
      <c r="H5408">
        <v>5</v>
      </c>
      <c r="I5408" s="12">
        <f>Table16[[#This Row],[price]]*Table16[[#This Row],[quantity]]</f>
        <v>9450</v>
      </c>
    </row>
    <row r="5409" spans="1:9" x14ac:dyDescent="0.3">
      <c r="A5409" t="s">
        <v>7429</v>
      </c>
      <c r="B5409" t="s">
        <v>1079</v>
      </c>
      <c r="C5409" t="s">
        <v>2017</v>
      </c>
      <c r="D5409">
        <v>5</v>
      </c>
      <c r="E5409" s="16">
        <v>5250</v>
      </c>
      <c r="F5409" s="1">
        <v>44363</v>
      </c>
      <c r="G5409" t="s">
        <v>2004</v>
      </c>
      <c r="H5409">
        <v>4</v>
      </c>
      <c r="I5409" s="12">
        <f>Table16[[#This Row],[price]]*Table16[[#This Row],[quantity]]</f>
        <v>26250</v>
      </c>
    </row>
    <row r="5410" spans="1:9" x14ac:dyDescent="0.3">
      <c r="A5410" t="s">
        <v>7431</v>
      </c>
      <c r="B5410" t="s">
        <v>1079</v>
      </c>
      <c r="C5410" t="s">
        <v>2001</v>
      </c>
      <c r="D5410">
        <v>5</v>
      </c>
      <c r="E5410" s="16">
        <v>1500.4</v>
      </c>
      <c r="F5410" s="1">
        <v>44473</v>
      </c>
      <c r="G5410" t="s">
        <v>2027</v>
      </c>
      <c r="H5410">
        <v>2</v>
      </c>
      <c r="I5410" s="12">
        <f>Table16[[#This Row],[price]]*Table16[[#This Row],[quantity]]</f>
        <v>7502</v>
      </c>
    </row>
    <row r="5411" spans="1:9" x14ac:dyDescent="0.3">
      <c r="A5411" t="s">
        <v>7425</v>
      </c>
      <c r="B5411" t="s">
        <v>1079</v>
      </c>
      <c r="C5411" t="s">
        <v>2015</v>
      </c>
      <c r="D5411">
        <v>3</v>
      </c>
      <c r="E5411" s="16">
        <v>1800.51</v>
      </c>
      <c r="F5411" s="1">
        <v>44651</v>
      </c>
      <c r="G5411" t="s">
        <v>2020</v>
      </c>
      <c r="H5411">
        <v>4</v>
      </c>
      <c r="I5411" s="12">
        <f>Table16[[#This Row],[price]]*Table16[[#This Row],[quantity]]</f>
        <v>5401.53</v>
      </c>
    </row>
    <row r="5412" spans="1:9" x14ac:dyDescent="0.3">
      <c r="A5412" t="s">
        <v>7428</v>
      </c>
      <c r="B5412" t="s">
        <v>1079</v>
      </c>
      <c r="C5412" t="s">
        <v>2001</v>
      </c>
      <c r="D5412">
        <v>2</v>
      </c>
      <c r="E5412" s="16">
        <v>600.16</v>
      </c>
      <c r="F5412" s="1">
        <v>44674</v>
      </c>
      <c r="G5412" t="s">
        <v>2018</v>
      </c>
      <c r="H5412">
        <v>2</v>
      </c>
      <c r="I5412" s="12">
        <f>Table16[[#This Row],[price]]*Table16[[#This Row],[quantity]]</f>
        <v>1200.32</v>
      </c>
    </row>
    <row r="5413" spans="1:9" x14ac:dyDescent="0.3">
      <c r="A5413" t="s">
        <v>7430</v>
      </c>
      <c r="B5413" t="s">
        <v>1079</v>
      </c>
      <c r="C5413" t="s">
        <v>2024</v>
      </c>
      <c r="D5413">
        <v>5</v>
      </c>
      <c r="E5413" s="16">
        <v>179.2</v>
      </c>
      <c r="F5413" s="1">
        <v>44745</v>
      </c>
      <c r="G5413" t="s">
        <v>2002</v>
      </c>
      <c r="H5413">
        <v>5</v>
      </c>
      <c r="I5413" s="12">
        <f>Table16[[#This Row],[price]]*Table16[[#This Row],[quantity]]</f>
        <v>896</v>
      </c>
    </row>
    <row r="5414" spans="1:9" x14ac:dyDescent="0.3">
      <c r="A5414" t="s">
        <v>7426</v>
      </c>
      <c r="B5414" t="s">
        <v>1079</v>
      </c>
      <c r="C5414" t="s">
        <v>2015</v>
      </c>
      <c r="D5414">
        <v>5</v>
      </c>
      <c r="E5414" s="16">
        <v>3000.85</v>
      </c>
      <c r="F5414" s="1">
        <v>44848</v>
      </c>
      <c r="G5414" t="s">
        <v>2027</v>
      </c>
      <c r="H5414">
        <v>1</v>
      </c>
      <c r="I5414" s="12">
        <f>Table16[[#This Row],[price]]*Table16[[#This Row],[quantity]]</f>
        <v>15004.25</v>
      </c>
    </row>
    <row r="5415" spans="1:9" x14ac:dyDescent="0.3">
      <c r="A5415" t="s">
        <v>7427</v>
      </c>
      <c r="B5415" t="s">
        <v>1079</v>
      </c>
      <c r="C5415" t="s">
        <v>2008</v>
      </c>
      <c r="D5415">
        <v>4</v>
      </c>
      <c r="E5415" s="16">
        <v>20.92</v>
      </c>
      <c r="F5415" s="1">
        <v>44887</v>
      </c>
      <c r="G5415" t="s">
        <v>2004</v>
      </c>
      <c r="H5415">
        <v>1</v>
      </c>
      <c r="I5415" s="12">
        <f>Table16[[#This Row],[price]]*Table16[[#This Row],[quantity]]</f>
        <v>83.68</v>
      </c>
    </row>
    <row r="5416" spans="1:9" x14ac:dyDescent="0.3">
      <c r="A5416" t="s">
        <v>7432</v>
      </c>
      <c r="B5416" t="s">
        <v>1080</v>
      </c>
      <c r="C5416" t="s">
        <v>2024</v>
      </c>
      <c r="D5416">
        <v>4</v>
      </c>
      <c r="E5416" s="16">
        <v>143.36000000000001</v>
      </c>
      <c r="F5416" s="1">
        <v>44308</v>
      </c>
      <c r="G5416" t="s">
        <v>2027</v>
      </c>
      <c r="H5416">
        <v>1</v>
      </c>
      <c r="I5416" s="12">
        <f>Table16[[#This Row],[price]]*Table16[[#This Row],[quantity]]</f>
        <v>573.44000000000005</v>
      </c>
    </row>
    <row r="5417" spans="1:9" x14ac:dyDescent="0.3">
      <c r="A5417" t="s">
        <v>7436</v>
      </c>
      <c r="B5417" t="s">
        <v>1080</v>
      </c>
      <c r="C5417" t="s">
        <v>2011</v>
      </c>
      <c r="D5417">
        <v>5</v>
      </c>
      <c r="E5417" s="16">
        <v>203.3</v>
      </c>
      <c r="F5417" s="1">
        <v>44351</v>
      </c>
      <c r="G5417" t="s">
        <v>2064</v>
      </c>
      <c r="H5417">
        <v>3</v>
      </c>
      <c r="I5417" s="12">
        <f>Table16[[#This Row],[price]]*Table16[[#This Row],[quantity]]</f>
        <v>1016.5</v>
      </c>
    </row>
    <row r="5418" spans="1:9" x14ac:dyDescent="0.3">
      <c r="A5418" t="s">
        <v>7434</v>
      </c>
      <c r="B5418" t="s">
        <v>1080</v>
      </c>
      <c r="C5418" t="s">
        <v>2006</v>
      </c>
      <c r="D5418">
        <v>5</v>
      </c>
      <c r="E5418" s="16">
        <v>75.75</v>
      </c>
      <c r="F5418" s="1">
        <v>44357</v>
      </c>
      <c r="G5418" t="s">
        <v>2004</v>
      </c>
      <c r="H5418">
        <v>2</v>
      </c>
      <c r="I5418" s="12">
        <f>Table16[[#This Row],[price]]*Table16[[#This Row],[quantity]]</f>
        <v>378.75</v>
      </c>
    </row>
    <row r="5419" spans="1:9" x14ac:dyDescent="0.3">
      <c r="A5419" t="s">
        <v>7435</v>
      </c>
      <c r="B5419" t="s">
        <v>1080</v>
      </c>
      <c r="C5419" t="s">
        <v>2015</v>
      </c>
      <c r="D5419">
        <v>4</v>
      </c>
      <c r="E5419" s="16">
        <v>2400.6799999999998</v>
      </c>
      <c r="F5419" s="1">
        <v>44881</v>
      </c>
      <c r="G5419" t="s">
        <v>2064</v>
      </c>
      <c r="H5419">
        <v>3</v>
      </c>
      <c r="I5419" s="12">
        <f>Table16[[#This Row],[price]]*Table16[[#This Row],[quantity]]</f>
        <v>9602.7199999999993</v>
      </c>
    </row>
    <row r="5420" spans="1:9" x14ac:dyDescent="0.3">
      <c r="A5420" t="s">
        <v>7433</v>
      </c>
      <c r="B5420" t="s">
        <v>1080</v>
      </c>
      <c r="C5420" t="s">
        <v>2011</v>
      </c>
      <c r="D5420">
        <v>4</v>
      </c>
      <c r="E5420" s="16">
        <v>162.63999999999999</v>
      </c>
      <c r="F5420" s="1">
        <v>44986</v>
      </c>
      <c r="G5420" t="s">
        <v>2004</v>
      </c>
      <c r="H5420">
        <v>4</v>
      </c>
      <c r="I5420" s="12">
        <f>Table16[[#This Row],[price]]*Table16[[#This Row],[quantity]]</f>
        <v>650.55999999999995</v>
      </c>
    </row>
    <row r="5421" spans="1:9" x14ac:dyDescent="0.3">
      <c r="A5421" t="s">
        <v>7438</v>
      </c>
      <c r="B5421" t="s">
        <v>1081</v>
      </c>
      <c r="C5421" t="s">
        <v>2057</v>
      </c>
      <c r="D5421">
        <v>2</v>
      </c>
      <c r="E5421" s="16">
        <v>23.46</v>
      </c>
      <c r="F5421" s="1">
        <v>44239</v>
      </c>
      <c r="G5421" t="s">
        <v>2020</v>
      </c>
      <c r="H5421">
        <v>5</v>
      </c>
      <c r="I5421" s="12">
        <f>Table16[[#This Row],[price]]*Table16[[#This Row],[quantity]]</f>
        <v>46.92</v>
      </c>
    </row>
    <row r="5422" spans="1:9" x14ac:dyDescent="0.3">
      <c r="A5422" t="s">
        <v>7437</v>
      </c>
      <c r="B5422" t="s">
        <v>1081</v>
      </c>
      <c r="C5422" t="s">
        <v>2057</v>
      </c>
      <c r="D5422">
        <v>4</v>
      </c>
      <c r="E5422" s="16">
        <v>46.92</v>
      </c>
      <c r="F5422" s="1">
        <v>44961</v>
      </c>
      <c r="G5422" t="s">
        <v>2020</v>
      </c>
      <c r="H5422">
        <v>5</v>
      </c>
      <c r="I5422" s="12">
        <f>Table16[[#This Row],[price]]*Table16[[#This Row],[quantity]]</f>
        <v>187.68</v>
      </c>
    </row>
    <row r="5423" spans="1:9" x14ac:dyDescent="0.3">
      <c r="A5423" t="s">
        <v>7441</v>
      </c>
      <c r="B5423" t="s">
        <v>1082</v>
      </c>
      <c r="C5423" t="s">
        <v>2011</v>
      </c>
      <c r="D5423">
        <v>3</v>
      </c>
      <c r="E5423" s="16">
        <v>121.98</v>
      </c>
      <c r="F5423" s="1">
        <v>44235</v>
      </c>
      <c r="G5423" t="s">
        <v>2027</v>
      </c>
      <c r="H5423">
        <v>1</v>
      </c>
      <c r="I5423" s="12">
        <f>Table16[[#This Row],[price]]*Table16[[#This Row],[quantity]]</f>
        <v>365.94</v>
      </c>
    </row>
    <row r="5424" spans="1:9" x14ac:dyDescent="0.3">
      <c r="A5424" t="s">
        <v>7444</v>
      </c>
      <c r="B5424" t="s">
        <v>1082</v>
      </c>
      <c r="C5424" t="s">
        <v>2001</v>
      </c>
      <c r="D5424">
        <v>5</v>
      </c>
      <c r="E5424" s="16">
        <v>1500.4</v>
      </c>
      <c r="F5424" s="1">
        <v>44359</v>
      </c>
      <c r="G5424" t="s">
        <v>2004</v>
      </c>
      <c r="H5424">
        <v>4</v>
      </c>
      <c r="I5424" s="12">
        <f>Table16[[#This Row],[price]]*Table16[[#This Row],[quantity]]</f>
        <v>7502</v>
      </c>
    </row>
    <row r="5425" spans="1:9" x14ac:dyDescent="0.3">
      <c r="A5425" t="s">
        <v>7440</v>
      </c>
      <c r="B5425" t="s">
        <v>1082</v>
      </c>
      <c r="C5425" t="s">
        <v>2015</v>
      </c>
      <c r="D5425">
        <v>4</v>
      </c>
      <c r="E5425" s="16">
        <v>2400.6799999999998</v>
      </c>
      <c r="F5425" s="1">
        <v>44372</v>
      </c>
      <c r="G5425" t="s">
        <v>2018</v>
      </c>
      <c r="H5425">
        <v>3</v>
      </c>
      <c r="I5425" s="12">
        <f>Table16[[#This Row],[price]]*Table16[[#This Row],[quantity]]</f>
        <v>9602.7199999999993</v>
      </c>
    </row>
    <row r="5426" spans="1:9" x14ac:dyDescent="0.3">
      <c r="A5426" t="s">
        <v>7442</v>
      </c>
      <c r="B5426" t="s">
        <v>1082</v>
      </c>
      <c r="C5426" t="s">
        <v>2001</v>
      </c>
      <c r="D5426">
        <v>4</v>
      </c>
      <c r="E5426" s="16">
        <v>1200.32</v>
      </c>
      <c r="F5426" s="1">
        <v>44381</v>
      </c>
      <c r="G5426" t="s">
        <v>2018</v>
      </c>
      <c r="H5426">
        <v>5</v>
      </c>
      <c r="I5426" s="12">
        <f>Table16[[#This Row],[price]]*Table16[[#This Row],[quantity]]</f>
        <v>4801.28</v>
      </c>
    </row>
    <row r="5427" spans="1:9" x14ac:dyDescent="0.3">
      <c r="A5427" t="s">
        <v>7443</v>
      </c>
      <c r="B5427" t="s">
        <v>1082</v>
      </c>
      <c r="C5427" t="s">
        <v>2001</v>
      </c>
      <c r="D5427">
        <v>4</v>
      </c>
      <c r="E5427" s="16">
        <v>1200.32</v>
      </c>
      <c r="F5427" s="1">
        <v>44409</v>
      </c>
      <c r="G5427" t="s">
        <v>2041</v>
      </c>
      <c r="H5427">
        <v>2</v>
      </c>
      <c r="I5427" s="12">
        <f>Table16[[#This Row],[price]]*Table16[[#This Row],[quantity]]</f>
        <v>4801.28</v>
      </c>
    </row>
    <row r="5428" spans="1:9" x14ac:dyDescent="0.3">
      <c r="A5428" t="s">
        <v>7439</v>
      </c>
      <c r="B5428" t="s">
        <v>1082</v>
      </c>
      <c r="C5428" t="s">
        <v>2017</v>
      </c>
      <c r="D5428">
        <v>4</v>
      </c>
      <c r="E5428" s="16">
        <v>4200</v>
      </c>
      <c r="F5428" s="1">
        <v>44591</v>
      </c>
      <c r="G5428" t="s">
        <v>2027</v>
      </c>
      <c r="H5428">
        <v>1</v>
      </c>
      <c r="I5428" s="12">
        <f>Table16[[#This Row],[price]]*Table16[[#This Row],[quantity]]</f>
        <v>16800</v>
      </c>
    </row>
    <row r="5429" spans="1:9" x14ac:dyDescent="0.3">
      <c r="A5429" t="s">
        <v>7446</v>
      </c>
      <c r="B5429" t="s">
        <v>1083</v>
      </c>
      <c r="C5429" t="s">
        <v>2001</v>
      </c>
      <c r="D5429">
        <v>2</v>
      </c>
      <c r="E5429" s="16">
        <v>600.16</v>
      </c>
      <c r="F5429" s="1">
        <v>44394</v>
      </c>
      <c r="G5429" t="s">
        <v>2002</v>
      </c>
      <c r="H5429">
        <v>3</v>
      </c>
      <c r="I5429" s="12">
        <f>Table16[[#This Row],[price]]*Table16[[#This Row],[quantity]]</f>
        <v>1200.32</v>
      </c>
    </row>
    <row r="5430" spans="1:9" x14ac:dyDescent="0.3">
      <c r="A5430" t="s">
        <v>7447</v>
      </c>
      <c r="B5430" t="s">
        <v>1083</v>
      </c>
      <c r="C5430" t="s">
        <v>2017</v>
      </c>
      <c r="D5430">
        <v>5</v>
      </c>
      <c r="E5430" s="16">
        <v>5250</v>
      </c>
      <c r="F5430" s="1">
        <v>44510</v>
      </c>
      <c r="G5430" t="s">
        <v>2002</v>
      </c>
      <c r="H5430">
        <v>5</v>
      </c>
      <c r="I5430" s="12">
        <f>Table16[[#This Row],[price]]*Table16[[#This Row],[quantity]]</f>
        <v>26250</v>
      </c>
    </row>
    <row r="5431" spans="1:9" x14ac:dyDescent="0.3">
      <c r="A5431" t="s">
        <v>7445</v>
      </c>
      <c r="B5431" t="s">
        <v>1083</v>
      </c>
      <c r="C5431" t="s">
        <v>2006</v>
      </c>
      <c r="D5431">
        <v>2</v>
      </c>
      <c r="E5431" s="16">
        <v>30.3</v>
      </c>
      <c r="F5431" s="1">
        <v>44657</v>
      </c>
      <c r="G5431" t="s">
        <v>2004</v>
      </c>
      <c r="H5431">
        <v>1</v>
      </c>
      <c r="I5431" s="12">
        <f>Table16[[#This Row],[price]]*Table16[[#This Row],[quantity]]</f>
        <v>60.6</v>
      </c>
    </row>
    <row r="5432" spans="1:9" x14ac:dyDescent="0.3">
      <c r="A5432" t="s">
        <v>7448</v>
      </c>
      <c r="B5432" t="s">
        <v>1083</v>
      </c>
      <c r="C5432" t="s">
        <v>2001</v>
      </c>
      <c r="D5432">
        <v>2</v>
      </c>
      <c r="E5432" s="16">
        <v>600.16</v>
      </c>
      <c r="F5432" s="1">
        <v>44720</v>
      </c>
      <c r="G5432" t="s">
        <v>2020</v>
      </c>
      <c r="H5432">
        <v>2</v>
      </c>
      <c r="I5432" s="12">
        <f>Table16[[#This Row],[price]]*Table16[[#This Row],[quantity]]</f>
        <v>1200.32</v>
      </c>
    </row>
    <row r="5433" spans="1:9" x14ac:dyDescent="0.3">
      <c r="A5433" t="s">
        <v>7449</v>
      </c>
      <c r="B5433" t="s">
        <v>1083</v>
      </c>
      <c r="C5433" t="s">
        <v>2001</v>
      </c>
      <c r="D5433">
        <v>5</v>
      </c>
      <c r="E5433" s="16">
        <v>1500.4</v>
      </c>
      <c r="F5433" s="1">
        <v>44817</v>
      </c>
      <c r="G5433" t="s">
        <v>2018</v>
      </c>
      <c r="H5433">
        <v>1</v>
      </c>
      <c r="I5433" s="12">
        <f>Table16[[#This Row],[price]]*Table16[[#This Row],[quantity]]</f>
        <v>7502</v>
      </c>
    </row>
    <row r="5434" spans="1:9" x14ac:dyDescent="0.3">
      <c r="A5434" t="s">
        <v>7452</v>
      </c>
      <c r="B5434" t="s">
        <v>1084</v>
      </c>
      <c r="C5434" t="s">
        <v>2001</v>
      </c>
      <c r="D5434">
        <v>5</v>
      </c>
      <c r="E5434" s="16">
        <v>1500.4</v>
      </c>
      <c r="F5434" s="1">
        <v>44198</v>
      </c>
      <c r="G5434" t="s">
        <v>2020</v>
      </c>
      <c r="H5434">
        <v>4</v>
      </c>
      <c r="I5434" s="12">
        <f>Table16[[#This Row],[price]]*Table16[[#This Row],[quantity]]</f>
        <v>7502</v>
      </c>
    </row>
    <row r="5435" spans="1:9" x14ac:dyDescent="0.3">
      <c r="A5435" t="s">
        <v>7450</v>
      </c>
      <c r="B5435" t="s">
        <v>1084</v>
      </c>
      <c r="C5435" t="s">
        <v>2008</v>
      </c>
      <c r="D5435">
        <v>4</v>
      </c>
      <c r="E5435" s="16">
        <v>20.92</v>
      </c>
      <c r="F5435" s="1">
        <v>44349</v>
      </c>
      <c r="G5435" t="s">
        <v>2064</v>
      </c>
      <c r="H5435">
        <v>3</v>
      </c>
      <c r="I5435" s="12">
        <f>Table16[[#This Row],[price]]*Table16[[#This Row],[quantity]]</f>
        <v>83.68</v>
      </c>
    </row>
    <row r="5436" spans="1:9" x14ac:dyDescent="0.3">
      <c r="A5436" t="s">
        <v>7453</v>
      </c>
      <c r="B5436" t="s">
        <v>1084</v>
      </c>
      <c r="C5436" t="s">
        <v>2001</v>
      </c>
      <c r="D5436">
        <v>2</v>
      </c>
      <c r="E5436" s="16">
        <v>600.16</v>
      </c>
      <c r="F5436" s="1">
        <v>44398</v>
      </c>
      <c r="G5436" t="s">
        <v>2004</v>
      </c>
      <c r="H5436">
        <v>5</v>
      </c>
      <c r="I5436" s="12">
        <f>Table16[[#This Row],[price]]*Table16[[#This Row],[quantity]]</f>
        <v>1200.32</v>
      </c>
    </row>
    <row r="5437" spans="1:9" x14ac:dyDescent="0.3">
      <c r="A5437" t="s">
        <v>7451</v>
      </c>
      <c r="B5437" t="s">
        <v>1084</v>
      </c>
      <c r="C5437" t="s">
        <v>2001</v>
      </c>
      <c r="D5437">
        <v>2</v>
      </c>
      <c r="E5437" s="16">
        <v>600.16</v>
      </c>
      <c r="F5437" s="1">
        <v>44555</v>
      </c>
      <c r="G5437" t="s">
        <v>2004</v>
      </c>
      <c r="H5437">
        <v>4</v>
      </c>
      <c r="I5437" s="12">
        <f>Table16[[#This Row],[price]]*Table16[[#This Row],[quantity]]</f>
        <v>1200.32</v>
      </c>
    </row>
    <row r="5438" spans="1:9" x14ac:dyDescent="0.3">
      <c r="A5438" t="s">
        <v>7454</v>
      </c>
      <c r="B5438" t="s">
        <v>1084</v>
      </c>
      <c r="C5438" t="s">
        <v>2024</v>
      </c>
      <c r="D5438">
        <v>3</v>
      </c>
      <c r="E5438" s="16">
        <v>107.52</v>
      </c>
      <c r="F5438" s="1">
        <v>44932</v>
      </c>
      <c r="G5438" t="s">
        <v>2058</v>
      </c>
      <c r="H5438">
        <v>5</v>
      </c>
      <c r="I5438" s="12">
        <f>Table16[[#This Row],[price]]*Table16[[#This Row],[quantity]]</f>
        <v>322.56</v>
      </c>
    </row>
    <row r="5439" spans="1:9" x14ac:dyDescent="0.3">
      <c r="A5439" t="s">
        <v>7455</v>
      </c>
      <c r="B5439" t="s">
        <v>1085</v>
      </c>
      <c r="C5439" t="s">
        <v>2001</v>
      </c>
      <c r="D5439">
        <v>3</v>
      </c>
      <c r="E5439" s="16">
        <v>900.24</v>
      </c>
      <c r="F5439" s="1">
        <v>44274</v>
      </c>
      <c r="G5439" t="s">
        <v>2012</v>
      </c>
      <c r="H5439">
        <v>3</v>
      </c>
      <c r="I5439" s="12">
        <f>Table16[[#This Row],[price]]*Table16[[#This Row],[quantity]]</f>
        <v>2700.7200000000003</v>
      </c>
    </row>
    <row r="5440" spans="1:9" x14ac:dyDescent="0.3">
      <c r="A5440" t="s">
        <v>7456</v>
      </c>
      <c r="B5440" t="s">
        <v>1085</v>
      </c>
      <c r="C5440" t="s">
        <v>2011</v>
      </c>
      <c r="D5440">
        <v>5</v>
      </c>
      <c r="E5440" s="16">
        <v>203.3</v>
      </c>
      <c r="F5440" s="1">
        <v>44401</v>
      </c>
      <c r="G5440" t="s">
        <v>2018</v>
      </c>
      <c r="H5440">
        <v>2</v>
      </c>
      <c r="I5440" s="12">
        <f>Table16[[#This Row],[price]]*Table16[[#This Row],[quantity]]</f>
        <v>1016.5</v>
      </c>
    </row>
    <row r="5441" spans="1:9" x14ac:dyDescent="0.3">
      <c r="A5441" t="s">
        <v>7457</v>
      </c>
      <c r="B5441" t="s">
        <v>1085</v>
      </c>
      <c r="C5441" t="s">
        <v>2024</v>
      </c>
      <c r="D5441">
        <v>1</v>
      </c>
      <c r="E5441" s="16">
        <v>35.840000000000003</v>
      </c>
      <c r="F5441" s="1">
        <v>44610</v>
      </c>
      <c r="G5441" t="s">
        <v>2004</v>
      </c>
      <c r="H5441">
        <v>3</v>
      </c>
      <c r="I5441" s="12">
        <f>Table16[[#This Row],[price]]*Table16[[#This Row],[quantity]]</f>
        <v>35.840000000000003</v>
      </c>
    </row>
    <row r="5442" spans="1:9" x14ac:dyDescent="0.3">
      <c r="A5442" t="s">
        <v>7461</v>
      </c>
      <c r="B5442" t="s">
        <v>1086</v>
      </c>
      <c r="C5442" t="s">
        <v>2057</v>
      </c>
      <c r="D5442">
        <v>5</v>
      </c>
      <c r="E5442" s="16">
        <v>58.65</v>
      </c>
      <c r="F5442" s="1">
        <v>44215</v>
      </c>
      <c r="G5442" t="s">
        <v>2064</v>
      </c>
      <c r="H5442">
        <v>2</v>
      </c>
      <c r="I5442" s="12">
        <f>Table16[[#This Row],[price]]*Table16[[#This Row],[quantity]]</f>
        <v>293.25</v>
      </c>
    </row>
    <row r="5443" spans="1:9" x14ac:dyDescent="0.3">
      <c r="A5443" t="s">
        <v>7459</v>
      </c>
      <c r="B5443" t="s">
        <v>1086</v>
      </c>
      <c r="C5443" t="s">
        <v>2001</v>
      </c>
      <c r="D5443">
        <v>3</v>
      </c>
      <c r="E5443" s="16">
        <v>900.24</v>
      </c>
      <c r="F5443" s="1">
        <v>44627</v>
      </c>
      <c r="G5443" t="s">
        <v>2004</v>
      </c>
      <c r="H5443">
        <v>2</v>
      </c>
      <c r="I5443" s="12">
        <f>Table16[[#This Row],[price]]*Table16[[#This Row],[quantity]]</f>
        <v>2700.7200000000003</v>
      </c>
    </row>
    <row r="5444" spans="1:9" x14ac:dyDescent="0.3">
      <c r="A5444" t="s">
        <v>7458</v>
      </c>
      <c r="B5444" t="s">
        <v>1086</v>
      </c>
      <c r="C5444" t="s">
        <v>2011</v>
      </c>
      <c r="D5444">
        <v>3</v>
      </c>
      <c r="E5444" s="16">
        <v>121.98</v>
      </c>
      <c r="F5444" s="1">
        <v>44719</v>
      </c>
      <c r="G5444" t="s">
        <v>2027</v>
      </c>
      <c r="H5444">
        <v>1</v>
      </c>
      <c r="I5444" s="12">
        <f>Table16[[#This Row],[price]]*Table16[[#This Row],[quantity]]</f>
        <v>365.94</v>
      </c>
    </row>
    <row r="5445" spans="1:9" x14ac:dyDescent="0.3">
      <c r="A5445" t="s">
        <v>7460</v>
      </c>
      <c r="B5445" t="s">
        <v>1086</v>
      </c>
      <c r="C5445" t="s">
        <v>2017</v>
      </c>
      <c r="D5445">
        <v>5</v>
      </c>
      <c r="E5445" s="16">
        <v>5250</v>
      </c>
      <c r="F5445" s="1">
        <v>44830</v>
      </c>
      <c r="G5445" t="s">
        <v>2027</v>
      </c>
      <c r="H5445">
        <v>5</v>
      </c>
      <c r="I5445" s="12">
        <f>Table16[[#This Row],[price]]*Table16[[#This Row],[quantity]]</f>
        <v>26250</v>
      </c>
    </row>
    <row r="5446" spans="1:9" x14ac:dyDescent="0.3">
      <c r="A5446" t="s">
        <v>7466</v>
      </c>
      <c r="B5446" t="s">
        <v>1087</v>
      </c>
      <c r="C5446" t="s">
        <v>2001</v>
      </c>
      <c r="D5446">
        <v>5</v>
      </c>
      <c r="E5446" s="16">
        <v>1500.4</v>
      </c>
      <c r="F5446" s="1">
        <v>44261</v>
      </c>
      <c r="G5446" t="s">
        <v>2002</v>
      </c>
      <c r="H5446">
        <v>3</v>
      </c>
      <c r="I5446" s="12">
        <f>Table16[[#This Row],[price]]*Table16[[#This Row],[quantity]]</f>
        <v>7502</v>
      </c>
    </row>
    <row r="5447" spans="1:9" x14ac:dyDescent="0.3">
      <c r="A5447" t="s">
        <v>7464</v>
      </c>
      <c r="B5447" t="s">
        <v>1087</v>
      </c>
      <c r="C5447" t="s">
        <v>2015</v>
      </c>
      <c r="D5447">
        <v>3</v>
      </c>
      <c r="E5447" s="16">
        <v>1800.51</v>
      </c>
      <c r="F5447" s="1">
        <v>44308</v>
      </c>
      <c r="G5447" t="s">
        <v>2004</v>
      </c>
      <c r="H5447">
        <v>3</v>
      </c>
      <c r="I5447" s="12">
        <f>Table16[[#This Row],[price]]*Table16[[#This Row],[quantity]]</f>
        <v>5401.53</v>
      </c>
    </row>
    <row r="5448" spans="1:9" x14ac:dyDescent="0.3">
      <c r="A5448" t="s">
        <v>7462</v>
      </c>
      <c r="B5448" t="s">
        <v>1087</v>
      </c>
      <c r="C5448" t="s">
        <v>2015</v>
      </c>
      <c r="D5448">
        <v>1</v>
      </c>
      <c r="E5448" s="16">
        <v>600.16999999999996</v>
      </c>
      <c r="F5448" s="1">
        <v>44563</v>
      </c>
      <c r="G5448" t="s">
        <v>2020</v>
      </c>
      <c r="H5448">
        <v>5</v>
      </c>
      <c r="I5448" s="12">
        <f>Table16[[#This Row],[price]]*Table16[[#This Row],[quantity]]</f>
        <v>600.16999999999996</v>
      </c>
    </row>
    <row r="5449" spans="1:9" x14ac:dyDescent="0.3">
      <c r="A5449" t="s">
        <v>7463</v>
      </c>
      <c r="B5449" t="s">
        <v>1087</v>
      </c>
      <c r="C5449" t="s">
        <v>2057</v>
      </c>
      <c r="D5449">
        <v>5</v>
      </c>
      <c r="E5449" s="16">
        <v>58.65</v>
      </c>
      <c r="F5449" s="1">
        <v>44817</v>
      </c>
      <c r="G5449" t="s">
        <v>2041</v>
      </c>
      <c r="H5449">
        <v>1</v>
      </c>
      <c r="I5449" s="12">
        <f>Table16[[#This Row],[price]]*Table16[[#This Row],[quantity]]</f>
        <v>293.25</v>
      </c>
    </row>
    <row r="5450" spans="1:9" x14ac:dyDescent="0.3">
      <c r="A5450" t="s">
        <v>7465</v>
      </c>
      <c r="B5450" t="s">
        <v>1087</v>
      </c>
      <c r="C5450" t="s">
        <v>2001</v>
      </c>
      <c r="D5450">
        <v>5</v>
      </c>
      <c r="E5450" s="16">
        <v>1500.4</v>
      </c>
      <c r="F5450" s="1">
        <v>44846</v>
      </c>
      <c r="G5450" t="s">
        <v>2041</v>
      </c>
      <c r="H5450">
        <v>3</v>
      </c>
      <c r="I5450" s="12">
        <f>Table16[[#This Row],[price]]*Table16[[#This Row],[quantity]]</f>
        <v>7502</v>
      </c>
    </row>
    <row r="5451" spans="1:9" x14ac:dyDescent="0.3">
      <c r="A5451" t="s">
        <v>7469</v>
      </c>
      <c r="B5451" t="s">
        <v>1088</v>
      </c>
      <c r="C5451" t="s">
        <v>2024</v>
      </c>
      <c r="D5451">
        <v>1</v>
      </c>
      <c r="E5451" s="16">
        <v>35.840000000000003</v>
      </c>
      <c r="F5451" s="1">
        <v>44301</v>
      </c>
      <c r="G5451" t="s">
        <v>2012</v>
      </c>
      <c r="H5451">
        <v>2</v>
      </c>
      <c r="I5451" s="12">
        <f>Table16[[#This Row],[price]]*Table16[[#This Row],[quantity]]</f>
        <v>35.840000000000003</v>
      </c>
    </row>
    <row r="5452" spans="1:9" x14ac:dyDescent="0.3">
      <c r="A5452" t="s">
        <v>7474</v>
      </c>
      <c r="B5452" t="s">
        <v>1088</v>
      </c>
      <c r="C5452" t="s">
        <v>2024</v>
      </c>
      <c r="D5452">
        <v>1</v>
      </c>
      <c r="E5452" s="16">
        <v>35.840000000000003</v>
      </c>
      <c r="F5452" s="1">
        <v>44480</v>
      </c>
      <c r="G5452" t="s">
        <v>2027</v>
      </c>
      <c r="H5452">
        <v>1</v>
      </c>
      <c r="I5452" s="12">
        <f>Table16[[#This Row],[price]]*Table16[[#This Row],[quantity]]</f>
        <v>35.840000000000003</v>
      </c>
    </row>
    <row r="5453" spans="1:9" x14ac:dyDescent="0.3">
      <c r="A5453" t="s">
        <v>7471</v>
      </c>
      <c r="B5453" t="s">
        <v>1088</v>
      </c>
      <c r="C5453" t="s">
        <v>2011</v>
      </c>
      <c r="D5453">
        <v>4</v>
      </c>
      <c r="E5453" s="16">
        <v>162.63999999999999</v>
      </c>
      <c r="F5453" s="1">
        <v>44572</v>
      </c>
      <c r="G5453" t="s">
        <v>2002</v>
      </c>
      <c r="H5453">
        <v>4</v>
      </c>
      <c r="I5453" s="12">
        <f>Table16[[#This Row],[price]]*Table16[[#This Row],[quantity]]</f>
        <v>650.55999999999995</v>
      </c>
    </row>
    <row r="5454" spans="1:9" x14ac:dyDescent="0.3">
      <c r="A5454" t="s">
        <v>7470</v>
      </c>
      <c r="B5454" t="s">
        <v>1088</v>
      </c>
      <c r="C5454" t="s">
        <v>2015</v>
      </c>
      <c r="D5454">
        <v>2</v>
      </c>
      <c r="E5454" s="16">
        <v>1200.3399999999999</v>
      </c>
      <c r="F5454" s="1">
        <v>44620</v>
      </c>
      <c r="G5454" t="s">
        <v>2002</v>
      </c>
      <c r="H5454">
        <v>3</v>
      </c>
      <c r="I5454" s="12">
        <f>Table16[[#This Row],[price]]*Table16[[#This Row],[quantity]]</f>
        <v>2400.6799999999998</v>
      </c>
    </row>
    <row r="5455" spans="1:9" x14ac:dyDescent="0.3">
      <c r="A5455" t="s">
        <v>7468</v>
      </c>
      <c r="B5455" t="s">
        <v>1088</v>
      </c>
      <c r="C5455" t="s">
        <v>2008</v>
      </c>
      <c r="D5455">
        <v>2</v>
      </c>
      <c r="E5455" s="16">
        <v>10.46</v>
      </c>
      <c r="F5455" s="1">
        <v>44715</v>
      </c>
      <c r="G5455" t="s">
        <v>2004</v>
      </c>
      <c r="H5455">
        <v>4</v>
      </c>
      <c r="I5455" s="12">
        <f>Table16[[#This Row],[price]]*Table16[[#This Row],[quantity]]</f>
        <v>20.92</v>
      </c>
    </row>
    <row r="5456" spans="1:9" x14ac:dyDescent="0.3">
      <c r="A5456" t="s">
        <v>7472</v>
      </c>
      <c r="B5456" t="s">
        <v>1088</v>
      </c>
      <c r="C5456" t="s">
        <v>2015</v>
      </c>
      <c r="D5456">
        <v>5</v>
      </c>
      <c r="E5456" s="16">
        <v>3000.85</v>
      </c>
      <c r="F5456" s="1">
        <v>44814</v>
      </c>
      <c r="G5456" t="s">
        <v>2027</v>
      </c>
      <c r="H5456">
        <v>1</v>
      </c>
      <c r="I5456" s="12">
        <f>Table16[[#This Row],[price]]*Table16[[#This Row],[quantity]]</f>
        <v>15004.25</v>
      </c>
    </row>
    <row r="5457" spans="1:9" x14ac:dyDescent="0.3">
      <c r="A5457" t="s">
        <v>7473</v>
      </c>
      <c r="B5457" t="s">
        <v>1088</v>
      </c>
      <c r="C5457" t="s">
        <v>2011</v>
      </c>
      <c r="D5457">
        <v>3</v>
      </c>
      <c r="E5457" s="16">
        <v>121.98</v>
      </c>
      <c r="F5457" s="1">
        <v>44924</v>
      </c>
      <c r="G5457" t="s">
        <v>2064</v>
      </c>
      <c r="H5457">
        <v>4</v>
      </c>
      <c r="I5457" s="12">
        <f>Table16[[#This Row],[price]]*Table16[[#This Row],[quantity]]</f>
        <v>365.94</v>
      </c>
    </row>
    <row r="5458" spans="1:9" x14ac:dyDescent="0.3">
      <c r="A5458" t="s">
        <v>7467</v>
      </c>
      <c r="B5458" t="s">
        <v>1088</v>
      </c>
      <c r="C5458" t="s">
        <v>2008</v>
      </c>
      <c r="D5458">
        <v>2</v>
      </c>
      <c r="E5458" s="16">
        <v>10.46</v>
      </c>
      <c r="F5458" s="1">
        <v>44988</v>
      </c>
      <c r="G5458" t="s">
        <v>2027</v>
      </c>
      <c r="H5458">
        <v>2</v>
      </c>
      <c r="I5458" s="12">
        <f>Table16[[#This Row],[price]]*Table16[[#This Row],[quantity]]</f>
        <v>20.92</v>
      </c>
    </row>
    <row r="5459" spans="1:9" x14ac:dyDescent="0.3">
      <c r="A5459" t="s">
        <v>7475</v>
      </c>
      <c r="B5459" t="s">
        <v>1089</v>
      </c>
      <c r="C5459" t="s">
        <v>2024</v>
      </c>
      <c r="D5459">
        <v>4</v>
      </c>
      <c r="E5459" s="16">
        <v>143.36000000000001</v>
      </c>
      <c r="F5459" s="1">
        <v>44354</v>
      </c>
      <c r="G5459" t="s">
        <v>2041</v>
      </c>
      <c r="H5459">
        <v>1</v>
      </c>
      <c r="I5459" s="12">
        <f>Table16[[#This Row],[price]]*Table16[[#This Row],[quantity]]</f>
        <v>573.44000000000005</v>
      </c>
    </row>
    <row r="5460" spans="1:9" x14ac:dyDescent="0.3">
      <c r="A5460" t="s">
        <v>7476</v>
      </c>
      <c r="B5460" t="s">
        <v>1089</v>
      </c>
      <c r="C5460" t="s">
        <v>2024</v>
      </c>
      <c r="D5460">
        <v>5</v>
      </c>
      <c r="E5460" s="16">
        <v>179.2</v>
      </c>
      <c r="F5460" s="1">
        <v>44367</v>
      </c>
      <c r="G5460" t="s">
        <v>2020</v>
      </c>
      <c r="H5460">
        <v>1</v>
      </c>
      <c r="I5460" s="12">
        <f>Table16[[#This Row],[price]]*Table16[[#This Row],[quantity]]</f>
        <v>896</v>
      </c>
    </row>
    <row r="5461" spans="1:9" x14ac:dyDescent="0.3">
      <c r="A5461" t="s">
        <v>7477</v>
      </c>
      <c r="B5461" t="s">
        <v>1089</v>
      </c>
      <c r="C5461" t="s">
        <v>2024</v>
      </c>
      <c r="D5461">
        <v>2</v>
      </c>
      <c r="E5461" s="16">
        <v>71.680000000000007</v>
      </c>
      <c r="F5461" s="1">
        <v>44655</v>
      </c>
      <c r="G5461" t="s">
        <v>2027</v>
      </c>
      <c r="H5461">
        <v>3</v>
      </c>
      <c r="I5461" s="12">
        <f>Table16[[#This Row],[price]]*Table16[[#This Row],[quantity]]</f>
        <v>143.36000000000001</v>
      </c>
    </row>
    <row r="5462" spans="1:9" x14ac:dyDescent="0.3">
      <c r="A5462" t="s">
        <v>7480</v>
      </c>
      <c r="B5462" t="s">
        <v>1090</v>
      </c>
      <c r="C5462" t="s">
        <v>2024</v>
      </c>
      <c r="D5462">
        <v>2</v>
      </c>
      <c r="E5462" s="16">
        <v>71.680000000000007</v>
      </c>
      <c r="F5462" s="1">
        <v>44212</v>
      </c>
      <c r="G5462" t="s">
        <v>2064</v>
      </c>
      <c r="H5462">
        <v>3</v>
      </c>
      <c r="I5462" s="12">
        <f>Table16[[#This Row],[price]]*Table16[[#This Row],[quantity]]</f>
        <v>143.36000000000001</v>
      </c>
    </row>
    <row r="5463" spans="1:9" x14ac:dyDescent="0.3">
      <c r="A5463" t="s">
        <v>7479</v>
      </c>
      <c r="B5463" t="s">
        <v>1090</v>
      </c>
      <c r="C5463" t="s">
        <v>2057</v>
      </c>
      <c r="D5463">
        <v>2</v>
      </c>
      <c r="E5463" s="16">
        <v>23.46</v>
      </c>
      <c r="F5463" s="1">
        <v>44219</v>
      </c>
      <c r="G5463" t="s">
        <v>2058</v>
      </c>
      <c r="H5463">
        <v>5</v>
      </c>
      <c r="I5463" s="12">
        <f>Table16[[#This Row],[price]]*Table16[[#This Row],[quantity]]</f>
        <v>46.92</v>
      </c>
    </row>
    <row r="5464" spans="1:9" x14ac:dyDescent="0.3">
      <c r="A5464" t="s">
        <v>7478</v>
      </c>
      <c r="B5464" t="s">
        <v>1090</v>
      </c>
      <c r="C5464" t="s">
        <v>2001</v>
      </c>
      <c r="D5464">
        <v>3</v>
      </c>
      <c r="E5464" s="16">
        <v>900.24</v>
      </c>
      <c r="F5464" s="1">
        <v>44268</v>
      </c>
      <c r="G5464" t="s">
        <v>2002</v>
      </c>
      <c r="H5464">
        <v>5</v>
      </c>
      <c r="I5464" s="12">
        <f>Table16[[#This Row],[price]]*Table16[[#This Row],[quantity]]</f>
        <v>2700.7200000000003</v>
      </c>
    </row>
    <row r="5465" spans="1:9" x14ac:dyDescent="0.3">
      <c r="A5465" t="s">
        <v>7481</v>
      </c>
      <c r="B5465" t="s">
        <v>1090</v>
      </c>
      <c r="C5465" t="s">
        <v>2024</v>
      </c>
      <c r="D5465">
        <v>4</v>
      </c>
      <c r="E5465" s="16">
        <v>143.36000000000001</v>
      </c>
      <c r="F5465" s="1">
        <v>44834</v>
      </c>
      <c r="G5465" t="s">
        <v>2004</v>
      </c>
      <c r="H5465">
        <v>1</v>
      </c>
      <c r="I5465" s="12">
        <f>Table16[[#This Row],[price]]*Table16[[#This Row],[quantity]]</f>
        <v>573.44000000000005</v>
      </c>
    </row>
    <row r="5466" spans="1:9" x14ac:dyDescent="0.3">
      <c r="A5466" t="s">
        <v>7482</v>
      </c>
      <c r="B5466" t="s">
        <v>1090</v>
      </c>
      <c r="C5466" t="s">
        <v>2001</v>
      </c>
      <c r="D5466">
        <v>2</v>
      </c>
      <c r="E5466" s="16">
        <v>600.16</v>
      </c>
      <c r="F5466" s="1">
        <v>44913</v>
      </c>
      <c r="G5466" t="s">
        <v>2027</v>
      </c>
      <c r="H5466">
        <v>5</v>
      </c>
      <c r="I5466" s="12">
        <f>Table16[[#This Row],[price]]*Table16[[#This Row],[quantity]]</f>
        <v>1200.32</v>
      </c>
    </row>
    <row r="5467" spans="1:9" x14ac:dyDescent="0.3">
      <c r="A5467" t="s">
        <v>7485</v>
      </c>
      <c r="B5467" t="s">
        <v>1091</v>
      </c>
      <c r="C5467" t="s">
        <v>2001</v>
      </c>
      <c r="D5467">
        <v>2</v>
      </c>
      <c r="E5467" s="16">
        <v>600.16</v>
      </c>
      <c r="F5467" s="1">
        <v>44272</v>
      </c>
      <c r="G5467" t="s">
        <v>2009</v>
      </c>
      <c r="H5467">
        <v>5</v>
      </c>
      <c r="I5467" s="12">
        <f>Table16[[#This Row],[price]]*Table16[[#This Row],[quantity]]</f>
        <v>1200.32</v>
      </c>
    </row>
    <row r="5468" spans="1:9" x14ac:dyDescent="0.3">
      <c r="A5468" t="s">
        <v>7483</v>
      </c>
      <c r="B5468" t="s">
        <v>1091</v>
      </c>
      <c r="C5468" t="s">
        <v>2011</v>
      </c>
      <c r="D5468">
        <v>3</v>
      </c>
      <c r="E5468" s="16">
        <v>121.98</v>
      </c>
      <c r="F5468" s="1">
        <v>44277</v>
      </c>
      <c r="G5468" t="s">
        <v>2004</v>
      </c>
      <c r="H5468">
        <v>5</v>
      </c>
      <c r="I5468" s="12">
        <f>Table16[[#This Row],[price]]*Table16[[#This Row],[quantity]]</f>
        <v>365.94</v>
      </c>
    </row>
    <row r="5469" spans="1:9" x14ac:dyDescent="0.3">
      <c r="A5469" t="s">
        <v>7490</v>
      </c>
      <c r="B5469" t="s">
        <v>1091</v>
      </c>
      <c r="C5469" t="s">
        <v>2011</v>
      </c>
      <c r="D5469">
        <v>1</v>
      </c>
      <c r="E5469" s="16">
        <v>40.659999999999997</v>
      </c>
      <c r="F5469" s="1">
        <v>44359</v>
      </c>
      <c r="G5469" t="s">
        <v>2002</v>
      </c>
      <c r="H5469">
        <v>5</v>
      </c>
      <c r="I5469" s="12">
        <f>Table16[[#This Row],[price]]*Table16[[#This Row],[quantity]]</f>
        <v>40.659999999999997</v>
      </c>
    </row>
    <row r="5470" spans="1:9" x14ac:dyDescent="0.3">
      <c r="A5470" t="s">
        <v>7487</v>
      </c>
      <c r="B5470" t="s">
        <v>1091</v>
      </c>
      <c r="C5470" t="s">
        <v>2006</v>
      </c>
      <c r="D5470">
        <v>1</v>
      </c>
      <c r="E5470" s="16">
        <v>15.15</v>
      </c>
      <c r="F5470" s="1">
        <v>44529</v>
      </c>
      <c r="G5470" t="s">
        <v>2020</v>
      </c>
      <c r="H5470">
        <v>4</v>
      </c>
      <c r="I5470" s="12">
        <f>Table16[[#This Row],[price]]*Table16[[#This Row],[quantity]]</f>
        <v>15.15</v>
      </c>
    </row>
    <row r="5471" spans="1:9" x14ac:dyDescent="0.3">
      <c r="A5471" t="s">
        <v>7486</v>
      </c>
      <c r="B5471" t="s">
        <v>1091</v>
      </c>
      <c r="C5471" t="s">
        <v>2001</v>
      </c>
      <c r="D5471">
        <v>1</v>
      </c>
      <c r="E5471" s="16">
        <v>300.08</v>
      </c>
      <c r="F5471" s="1">
        <v>44646</v>
      </c>
      <c r="G5471" t="s">
        <v>2012</v>
      </c>
      <c r="H5471">
        <v>2</v>
      </c>
      <c r="I5471" s="12">
        <f>Table16[[#This Row],[price]]*Table16[[#This Row],[quantity]]</f>
        <v>300.08</v>
      </c>
    </row>
    <row r="5472" spans="1:9" x14ac:dyDescent="0.3">
      <c r="A5472" t="s">
        <v>7489</v>
      </c>
      <c r="B5472" t="s">
        <v>1091</v>
      </c>
      <c r="C5472" t="s">
        <v>2001</v>
      </c>
      <c r="D5472">
        <v>1</v>
      </c>
      <c r="E5472" s="16">
        <v>300.08</v>
      </c>
      <c r="F5472" s="1">
        <v>44682</v>
      </c>
      <c r="G5472" t="s">
        <v>2041</v>
      </c>
      <c r="H5472">
        <v>5</v>
      </c>
      <c r="I5472" s="12">
        <f>Table16[[#This Row],[price]]*Table16[[#This Row],[quantity]]</f>
        <v>300.08</v>
      </c>
    </row>
    <row r="5473" spans="1:9" x14ac:dyDescent="0.3">
      <c r="A5473" t="s">
        <v>7488</v>
      </c>
      <c r="B5473" t="s">
        <v>1091</v>
      </c>
      <c r="C5473" t="s">
        <v>2024</v>
      </c>
      <c r="D5473">
        <v>5</v>
      </c>
      <c r="E5473" s="16">
        <v>179.2</v>
      </c>
      <c r="F5473" s="1">
        <v>44724</v>
      </c>
      <c r="G5473" t="s">
        <v>2004</v>
      </c>
      <c r="H5473">
        <v>4</v>
      </c>
      <c r="I5473" s="12">
        <f>Table16[[#This Row],[price]]*Table16[[#This Row],[quantity]]</f>
        <v>896</v>
      </c>
    </row>
    <row r="5474" spans="1:9" x14ac:dyDescent="0.3">
      <c r="A5474" t="s">
        <v>7484</v>
      </c>
      <c r="B5474" t="s">
        <v>1091</v>
      </c>
      <c r="C5474" t="s">
        <v>2008</v>
      </c>
      <c r="D5474">
        <v>5</v>
      </c>
      <c r="E5474" s="16">
        <v>26.15</v>
      </c>
      <c r="F5474" s="1">
        <v>44818</v>
      </c>
      <c r="G5474" t="s">
        <v>2002</v>
      </c>
      <c r="H5474">
        <v>4</v>
      </c>
      <c r="I5474" s="12">
        <f>Table16[[#This Row],[price]]*Table16[[#This Row],[quantity]]</f>
        <v>130.75</v>
      </c>
    </row>
    <row r="5475" spans="1:9" x14ac:dyDescent="0.3">
      <c r="A5475" t="s">
        <v>7493</v>
      </c>
      <c r="B5475" t="s">
        <v>1092</v>
      </c>
      <c r="C5475" t="s">
        <v>2008</v>
      </c>
      <c r="D5475">
        <v>5</v>
      </c>
      <c r="E5475" s="16">
        <v>26.15</v>
      </c>
      <c r="F5475" s="1">
        <v>44252</v>
      </c>
      <c r="G5475" t="s">
        <v>2064</v>
      </c>
      <c r="H5475">
        <v>5</v>
      </c>
      <c r="I5475" s="12">
        <f>Table16[[#This Row],[price]]*Table16[[#This Row],[quantity]]</f>
        <v>130.75</v>
      </c>
    </row>
    <row r="5476" spans="1:9" x14ac:dyDescent="0.3">
      <c r="A5476" t="s">
        <v>7491</v>
      </c>
      <c r="B5476" t="s">
        <v>1092</v>
      </c>
      <c r="C5476" t="s">
        <v>2008</v>
      </c>
      <c r="D5476">
        <v>4</v>
      </c>
      <c r="E5476" s="16">
        <v>20.92</v>
      </c>
      <c r="F5476" s="1">
        <v>44287</v>
      </c>
      <c r="G5476" t="s">
        <v>2012</v>
      </c>
      <c r="H5476">
        <v>2</v>
      </c>
      <c r="I5476" s="12">
        <f>Table16[[#This Row],[price]]*Table16[[#This Row],[quantity]]</f>
        <v>83.68</v>
      </c>
    </row>
    <row r="5477" spans="1:9" x14ac:dyDescent="0.3">
      <c r="A5477" t="s">
        <v>7494</v>
      </c>
      <c r="B5477" t="s">
        <v>1092</v>
      </c>
      <c r="C5477" t="s">
        <v>2008</v>
      </c>
      <c r="D5477">
        <v>4</v>
      </c>
      <c r="E5477" s="16">
        <v>20.92</v>
      </c>
      <c r="F5477" s="1">
        <v>44623</v>
      </c>
      <c r="G5477" t="s">
        <v>2009</v>
      </c>
      <c r="H5477">
        <v>3</v>
      </c>
      <c r="I5477" s="12">
        <f>Table16[[#This Row],[price]]*Table16[[#This Row],[quantity]]</f>
        <v>83.68</v>
      </c>
    </row>
    <row r="5478" spans="1:9" x14ac:dyDescent="0.3">
      <c r="A5478" t="s">
        <v>7492</v>
      </c>
      <c r="B5478" t="s">
        <v>1092</v>
      </c>
      <c r="C5478" t="s">
        <v>2001</v>
      </c>
      <c r="D5478">
        <v>1</v>
      </c>
      <c r="E5478" s="16">
        <v>300.08</v>
      </c>
      <c r="F5478" s="1">
        <v>44887</v>
      </c>
      <c r="G5478" t="s">
        <v>2004</v>
      </c>
      <c r="H5478">
        <v>4</v>
      </c>
      <c r="I5478" s="12">
        <f>Table16[[#This Row],[price]]*Table16[[#This Row],[quantity]]</f>
        <v>300.08</v>
      </c>
    </row>
    <row r="5479" spans="1:9" x14ac:dyDescent="0.3">
      <c r="A5479" t="s">
        <v>7498</v>
      </c>
      <c r="B5479" t="s">
        <v>1093</v>
      </c>
      <c r="C5479" t="s">
        <v>2001</v>
      </c>
      <c r="D5479">
        <v>1</v>
      </c>
      <c r="E5479" s="16">
        <v>300.08</v>
      </c>
      <c r="F5479" s="1">
        <v>44271</v>
      </c>
      <c r="G5479" t="s">
        <v>2004</v>
      </c>
      <c r="H5479">
        <v>4</v>
      </c>
      <c r="I5479" s="12">
        <f>Table16[[#This Row],[price]]*Table16[[#This Row],[quantity]]</f>
        <v>300.08</v>
      </c>
    </row>
    <row r="5480" spans="1:9" x14ac:dyDescent="0.3">
      <c r="A5480" t="s">
        <v>7496</v>
      </c>
      <c r="B5480" t="s">
        <v>1093</v>
      </c>
      <c r="C5480" t="s">
        <v>2001</v>
      </c>
      <c r="D5480">
        <v>5</v>
      </c>
      <c r="E5480" s="16">
        <v>1500.4</v>
      </c>
      <c r="F5480" s="1">
        <v>44292</v>
      </c>
      <c r="G5480" t="s">
        <v>2041</v>
      </c>
      <c r="H5480">
        <v>4</v>
      </c>
      <c r="I5480" s="12">
        <f>Table16[[#This Row],[price]]*Table16[[#This Row],[quantity]]</f>
        <v>7502</v>
      </c>
    </row>
    <row r="5481" spans="1:9" x14ac:dyDescent="0.3">
      <c r="A5481" t="s">
        <v>7495</v>
      </c>
      <c r="B5481" t="s">
        <v>1093</v>
      </c>
      <c r="C5481" t="s">
        <v>2006</v>
      </c>
      <c r="D5481">
        <v>1</v>
      </c>
      <c r="E5481" s="16">
        <v>15.15</v>
      </c>
      <c r="F5481" s="1">
        <v>44335</v>
      </c>
      <c r="G5481" t="s">
        <v>2058</v>
      </c>
      <c r="H5481">
        <v>4</v>
      </c>
      <c r="I5481" s="12">
        <f>Table16[[#This Row],[price]]*Table16[[#This Row],[quantity]]</f>
        <v>15.15</v>
      </c>
    </row>
    <row r="5482" spans="1:9" x14ac:dyDescent="0.3">
      <c r="A5482" t="s">
        <v>7497</v>
      </c>
      <c r="B5482" t="s">
        <v>1093</v>
      </c>
      <c r="C5482" t="s">
        <v>2017</v>
      </c>
      <c r="D5482">
        <v>3</v>
      </c>
      <c r="E5482" s="16">
        <v>3150</v>
      </c>
      <c r="F5482" s="1">
        <v>44433</v>
      </c>
      <c r="G5482" t="s">
        <v>2058</v>
      </c>
      <c r="H5482">
        <v>2</v>
      </c>
      <c r="I5482" s="12">
        <f>Table16[[#This Row],[price]]*Table16[[#This Row],[quantity]]</f>
        <v>9450</v>
      </c>
    </row>
    <row r="5483" spans="1:9" x14ac:dyDescent="0.3">
      <c r="A5483" t="s">
        <v>7499</v>
      </c>
      <c r="B5483" t="s">
        <v>1093</v>
      </c>
      <c r="C5483" t="s">
        <v>2015</v>
      </c>
      <c r="D5483">
        <v>5</v>
      </c>
      <c r="E5483" s="16">
        <v>3000.85</v>
      </c>
      <c r="F5483" s="1">
        <v>44814</v>
      </c>
      <c r="G5483" t="s">
        <v>2027</v>
      </c>
      <c r="H5483">
        <v>5</v>
      </c>
      <c r="I5483" s="12">
        <f>Table16[[#This Row],[price]]*Table16[[#This Row],[quantity]]</f>
        <v>15004.25</v>
      </c>
    </row>
    <row r="5484" spans="1:9" x14ac:dyDescent="0.3">
      <c r="A5484" t="s">
        <v>7502</v>
      </c>
      <c r="B5484" t="s">
        <v>1094</v>
      </c>
      <c r="C5484" t="s">
        <v>2024</v>
      </c>
      <c r="D5484">
        <v>5</v>
      </c>
      <c r="E5484" s="16">
        <v>179.2</v>
      </c>
      <c r="F5484" s="1">
        <v>44261</v>
      </c>
      <c r="G5484" t="s">
        <v>2027</v>
      </c>
      <c r="H5484">
        <v>4</v>
      </c>
      <c r="I5484" s="12">
        <f>Table16[[#This Row],[price]]*Table16[[#This Row],[quantity]]</f>
        <v>896</v>
      </c>
    </row>
    <row r="5485" spans="1:9" x14ac:dyDescent="0.3">
      <c r="A5485" t="s">
        <v>7504</v>
      </c>
      <c r="B5485" t="s">
        <v>1094</v>
      </c>
      <c r="C5485" t="s">
        <v>2011</v>
      </c>
      <c r="D5485">
        <v>3</v>
      </c>
      <c r="E5485" s="16">
        <v>121.98</v>
      </c>
      <c r="F5485" s="1">
        <v>44424</v>
      </c>
      <c r="G5485" t="s">
        <v>2027</v>
      </c>
      <c r="H5485">
        <v>1</v>
      </c>
      <c r="I5485" s="12">
        <f>Table16[[#This Row],[price]]*Table16[[#This Row],[quantity]]</f>
        <v>365.94</v>
      </c>
    </row>
    <row r="5486" spans="1:9" x14ac:dyDescent="0.3">
      <c r="A5486" t="s">
        <v>7503</v>
      </c>
      <c r="B5486" t="s">
        <v>1094</v>
      </c>
      <c r="C5486" t="s">
        <v>2001</v>
      </c>
      <c r="D5486">
        <v>5</v>
      </c>
      <c r="E5486" s="16">
        <v>1500.4</v>
      </c>
      <c r="F5486" s="1">
        <v>44511</v>
      </c>
      <c r="G5486" t="s">
        <v>2018</v>
      </c>
      <c r="H5486">
        <v>3</v>
      </c>
      <c r="I5486" s="12">
        <f>Table16[[#This Row],[price]]*Table16[[#This Row],[quantity]]</f>
        <v>7502</v>
      </c>
    </row>
    <row r="5487" spans="1:9" x14ac:dyDescent="0.3">
      <c r="A5487" t="s">
        <v>7501</v>
      </c>
      <c r="B5487" t="s">
        <v>1094</v>
      </c>
      <c r="C5487" t="s">
        <v>2011</v>
      </c>
      <c r="D5487">
        <v>1</v>
      </c>
      <c r="E5487" s="16">
        <v>40.659999999999997</v>
      </c>
      <c r="F5487" s="1">
        <v>44512</v>
      </c>
      <c r="G5487" t="s">
        <v>2027</v>
      </c>
      <c r="H5487">
        <v>1</v>
      </c>
      <c r="I5487" s="12">
        <f>Table16[[#This Row],[price]]*Table16[[#This Row],[quantity]]</f>
        <v>40.659999999999997</v>
      </c>
    </row>
    <row r="5488" spans="1:9" x14ac:dyDescent="0.3">
      <c r="A5488" t="s">
        <v>7500</v>
      </c>
      <c r="B5488" t="s">
        <v>1094</v>
      </c>
      <c r="C5488" t="s">
        <v>2001</v>
      </c>
      <c r="D5488">
        <v>1</v>
      </c>
      <c r="E5488" s="16">
        <v>300.08</v>
      </c>
      <c r="F5488" s="1">
        <v>44772</v>
      </c>
      <c r="G5488" t="s">
        <v>2018</v>
      </c>
      <c r="H5488">
        <v>2</v>
      </c>
      <c r="I5488" s="12">
        <f>Table16[[#This Row],[price]]*Table16[[#This Row],[quantity]]</f>
        <v>300.08</v>
      </c>
    </row>
    <row r="5489" spans="1:9" x14ac:dyDescent="0.3">
      <c r="A5489" t="s">
        <v>7505</v>
      </c>
      <c r="B5489" t="s">
        <v>1095</v>
      </c>
      <c r="C5489" t="s">
        <v>2001</v>
      </c>
      <c r="D5489">
        <v>4</v>
      </c>
      <c r="E5489" s="16">
        <v>1200.32</v>
      </c>
      <c r="F5489" s="1">
        <v>44407</v>
      </c>
      <c r="G5489" t="s">
        <v>2004</v>
      </c>
      <c r="H5489">
        <v>1</v>
      </c>
      <c r="I5489" s="12">
        <f>Table16[[#This Row],[price]]*Table16[[#This Row],[quantity]]</f>
        <v>4801.28</v>
      </c>
    </row>
    <row r="5490" spans="1:9" x14ac:dyDescent="0.3">
      <c r="A5490" t="s">
        <v>7506</v>
      </c>
      <c r="B5490" t="s">
        <v>1095</v>
      </c>
      <c r="C5490" t="s">
        <v>2015</v>
      </c>
      <c r="D5490">
        <v>4</v>
      </c>
      <c r="E5490" s="16">
        <v>2400.6799999999998</v>
      </c>
      <c r="F5490" s="1">
        <v>44812</v>
      </c>
      <c r="G5490" t="s">
        <v>2002</v>
      </c>
      <c r="H5490">
        <v>3</v>
      </c>
      <c r="I5490" s="12">
        <f>Table16[[#This Row],[price]]*Table16[[#This Row],[quantity]]</f>
        <v>9602.7199999999993</v>
      </c>
    </row>
    <row r="5491" spans="1:9" x14ac:dyDescent="0.3">
      <c r="A5491" t="s">
        <v>7507</v>
      </c>
      <c r="B5491" t="s">
        <v>1095</v>
      </c>
      <c r="C5491" t="s">
        <v>2011</v>
      </c>
      <c r="D5491">
        <v>5</v>
      </c>
      <c r="E5491" s="16">
        <v>203.3</v>
      </c>
      <c r="F5491" s="1">
        <v>44958</v>
      </c>
      <c r="G5491" t="s">
        <v>2041</v>
      </c>
      <c r="H5491">
        <v>4</v>
      </c>
      <c r="I5491" s="12">
        <f>Table16[[#This Row],[price]]*Table16[[#This Row],[quantity]]</f>
        <v>1016.5</v>
      </c>
    </row>
    <row r="5492" spans="1:9" x14ac:dyDescent="0.3">
      <c r="A5492" t="s">
        <v>7508</v>
      </c>
      <c r="B5492" t="s">
        <v>1095</v>
      </c>
      <c r="C5492" t="s">
        <v>2008</v>
      </c>
      <c r="D5492">
        <v>2</v>
      </c>
      <c r="E5492" s="16">
        <v>10.46</v>
      </c>
      <c r="F5492" s="1">
        <v>44990</v>
      </c>
      <c r="G5492" t="s">
        <v>2027</v>
      </c>
      <c r="H5492">
        <v>1</v>
      </c>
      <c r="I5492" s="12">
        <f>Table16[[#This Row],[price]]*Table16[[#This Row],[quantity]]</f>
        <v>20.92</v>
      </c>
    </row>
    <row r="5493" spans="1:9" x14ac:dyDescent="0.3">
      <c r="A5493" t="s">
        <v>7515</v>
      </c>
      <c r="B5493" t="s">
        <v>1096</v>
      </c>
      <c r="C5493" t="s">
        <v>2011</v>
      </c>
      <c r="D5493">
        <v>3</v>
      </c>
      <c r="E5493" s="16">
        <v>121.98</v>
      </c>
      <c r="F5493" s="1">
        <v>44210</v>
      </c>
      <c r="G5493" t="s">
        <v>2004</v>
      </c>
      <c r="H5493">
        <v>3</v>
      </c>
      <c r="I5493" s="12">
        <f>Table16[[#This Row],[price]]*Table16[[#This Row],[quantity]]</f>
        <v>365.94</v>
      </c>
    </row>
    <row r="5494" spans="1:9" x14ac:dyDescent="0.3">
      <c r="A5494" t="s">
        <v>7511</v>
      </c>
      <c r="B5494" t="s">
        <v>1096</v>
      </c>
      <c r="C5494" t="s">
        <v>2001</v>
      </c>
      <c r="D5494">
        <v>2</v>
      </c>
      <c r="E5494" s="16">
        <v>600.16</v>
      </c>
      <c r="F5494" s="1">
        <v>44240</v>
      </c>
      <c r="G5494" t="s">
        <v>2004</v>
      </c>
      <c r="H5494">
        <v>3</v>
      </c>
      <c r="I5494" s="12">
        <f>Table16[[#This Row],[price]]*Table16[[#This Row],[quantity]]</f>
        <v>1200.32</v>
      </c>
    </row>
    <row r="5495" spans="1:9" x14ac:dyDescent="0.3">
      <c r="A5495" t="s">
        <v>7510</v>
      </c>
      <c r="B5495" t="s">
        <v>1096</v>
      </c>
      <c r="C5495" t="s">
        <v>2008</v>
      </c>
      <c r="D5495">
        <v>3</v>
      </c>
      <c r="E5495" s="16">
        <v>15.69</v>
      </c>
      <c r="F5495" s="1">
        <v>44432</v>
      </c>
      <c r="G5495" t="s">
        <v>2002</v>
      </c>
      <c r="H5495">
        <v>1</v>
      </c>
      <c r="I5495" s="12">
        <f>Table16[[#This Row],[price]]*Table16[[#This Row],[quantity]]</f>
        <v>47.07</v>
      </c>
    </row>
    <row r="5496" spans="1:9" x14ac:dyDescent="0.3">
      <c r="A5496" t="s">
        <v>7513</v>
      </c>
      <c r="B5496" t="s">
        <v>1096</v>
      </c>
      <c r="C5496" t="s">
        <v>2006</v>
      </c>
      <c r="D5496">
        <v>5</v>
      </c>
      <c r="E5496" s="16">
        <v>75.75</v>
      </c>
      <c r="F5496" s="1">
        <v>44579</v>
      </c>
      <c r="G5496" t="s">
        <v>2020</v>
      </c>
      <c r="H5496">
        <v>4</v>
      </c>
      <c r="I5496" s="12">
        <f>Table16[[#This Row],[price]]*Table16[[#This Row],[quantity]]</f>
        <v>378.75</v>
      </c>
    </row>
    <row r="5497" spans="1:9" x14ac:dyDescent="0.3">
      <c r="A5497" t="s">
        <v>7509</v>
      </c>
      <c r="B5497" t="s">
        <v>1096</v>
      </c>
      <c r="C5497" t="s">
        <v>2001</v>
      </c>
      <c r="D5497">
        <v>3</v>
      </c>
      <c r="E5497" s="16">
        <v>900.24</v>
      </c>
      <c r="F5497" s="1">
        <v>44809</v>
      </c>
      <c r="G5497" t="s">
        <v>2027</v>
      </c>
      <c r="H5497">
        <v>5</v>
      </c>
      <c r="I5497" s="12">
        <f>Table16[[#This Row],[price]]*Table16[[#This Row],[quantity]]</f>
        <v>2700.7200000000003</v>
      </c>
    </row>
    <row r="5498" spans="1:9" x14ac:dyDescent="0.3">
      <c r="A5498" t="s">
        <v>7514</v>
      </c>
      <c r="B5498" t="s">
        <v>1096</v>
      </c>
      <c r="C5498" t="s">
        <v>2001</v>
      </c>
      <c r="D5498">
        <v>1</v>
      </c>
      <c r="E5498" s="16">
        <v>300.08</v>
      </c>
      <c r="F5498" s="1">
        <v>44821</v>
      </c>
      <c r="G5498" t="s">
        <v>2064</v>
      </c>
      <c r="H5498">
        <v>2</v>
      </c>
      <c r="I5498" s="12">
        <f>Table16[[#This Row],[price]]*Table16[[#This Row],[quantity]]</f>
        <v>300.08</v>
      </c>
    </row>
    <row r="5499" spans="1:9" x14ac:dyDescent="0.3">
      <c r="A5499" t="s">
        <v>7512</v>
      </c>
      <c r="B5499" t="s">
        <v>1096</v>
      </c>
      <c r="C5499" t="s">
        <v>2011</v>
      </c>
      <c r="D5499">
        <v>2</v>
      </c>
      <c r="E5499" s="16">
        <v>81.319999999999993</v>
      </c>
      <c r="F5499" s="1">
        <v>44823</v>
      </c>
      <c r="G5499" t="s">
        <v>2004</v>
      </c>
      <c r="H5499">
        <v>3</v>
      </c>
      <c r="I5499" s="12">
        <f>Table16[[#This Row],[price]]*Table16[[#This Row],[quantity]]</f>
        <v>162.63999999999999</v>
      </c>
    </row>
    <row r="5500" spans="1:9" x14ac:dyDescent="0.3">
      <c r="A5500" t="s">
        <v>7519</v>
      </c>
      <c r="B5500" t="s">
        <v>1097</v>
      </c>
      <c r="C5500" t="s">
        <v>2006</v>
      </c>
      <c r="D5500">
        <v>3</v>
      </c>
      <c r="E5500" s="16">
        <v>45.45</v>
      </c>
      <c r="F5500" s="1">
        <v>44386</v>
      </c>
      <c r="G5500" t="s">
        <v>2064</v>
      </c>
      <c r="H5500">
        <v>3</v>
      </c>
      <c r="I5500" s="12">
        <f>Table16[[#This Row],[price]]*Table16[[#This Row],[quantity]]</f>
        <v>136.35000000000002</v>
      </c>
    </row>
    <row r="5501" spans="1:9" x14ac:dyDescent="0.3">
      <c r="A5501" t="s">
        <v>7517</v>
      </c>
      <c r="B5501" t="s">
        <v>1097</v>
      </c>
      <c r="C5501" t="s">
        <v>2024</v>
      </c>
      <c r="D5501">
        <v>3</v>
      </c>
      <c r="E5501" s="16">
        <v>107.52</v>
      </c>
      <c r="F5501" s="1">
        <v>44760</v>
      </c>
      <c r="G5501" t="s">
        <v>2004</v>
      </c>
      <c r="H5501">
        <v>4</v>
      </c>
      <c r="I5501" s="12">
        <f>Table16[[#This Row],[price]]*Table16[[#This Row],[quantity]]</f>
        <v>322.56</v>
      </c>
    </row>
    <row r="5502" spans="1:9" x14ac:dyDescent="0.3">
      <c r="A5502" t="s">
        <v>7518</v>
      </c>
      <c r="B5502" t="s">
        <v>1097</v>
      </c>
      <c r="C5502" t="s">
        <v>2001</v>
      </c>
      <c r="D5502">
        <v>5</v>
      </c>
      <c r="E5502" s="16">
        <v>1500.4</v>
      </c>
      <c r="F5502" s="1">
        <v>44828</v>
      </c>
      <c r="G5502" t="s">
        <v>2027</v>
      </c>
      <c r="H5502">
        <v>5</v>
      </c>
      <c r="I5502" s="12">
        <f>Table16[[#This Row],[price]]*Table16[[#This Row],[quantity]]</f>
        <v>7502</v>
      </c>
    </row>
    <row r="5503" spans="1:9" x14ac:dyDescent="0.3">
      <c r="A5503" t="s">
        <v>7516</v>
      </c>
      <c r="B5503" t="s">
        <v>1097</v>
      </c>
      <c r="C5503" t="s">
        <v>2001</v>
      </c>
      <c r="D5503">
        <v>4</v>
      </c>
      <c r="E5503" s="16">
        <v>1200.32</v>
      </c>
      <c r="F5503" s="1">
        <v>44943</v>
      </c>
      <c r="G5503" t="s">
        <v>2027</v>
      </c>
      <c r="H5503">
        <v>3</v>
      </c>
      <c r="I5503" s="12">
        <f>Table16[[#This Row],[price]]*Table16[[#This Row],[quantity]]</f>
        <v>4801.28</v>
      </c>
    </row>
    <row r="5504" spans="1:9" x14ac:dyDescent="0.3">
      <c r="A5504" t="s">
        <v>7522</v>
      </c>
      <c r="B5504" t="s">
        <v>1098</v>
      </c>
      <c r="C5504" t="s">
        <v>2008</v>
      </c>
      <c r="D5504">
        <v>5</v>
      </c>
      <c r="E5504" s="16">
        <v>26.15</v>
      </c>
      <c r="F5504" s="1">
        <v>44563</v>
      </c>
      <c r="G5504" t="s">
        <v>2058</v>
      </c>
      <c r="H5504">
        <v>1</v>
      </c>
      <c r="I5504" s="12">
        <f>Table16[[#This Row],[price]]*Table16[[#This Row],[quantity]]</f>
        <v>130.75</v>
      </c>
    </row>
    <row r="5505" spans="1:9" x14ac:dyDescent="0.3">
      <c r="A5505" t="s">
        <v>7523</v>
      </c>
      <c r="B5505" t="s">
        <v>1098</v>
      </c>
      <c r="C5505" t="s">
        <v>2006</v>
      </c>
      <c r="D5505">
        <v>3</v>
      </c>
      <c r="E5505" s="16">
        <v>45.45</v>
      </c>
      <c r="F5505" s="1">
        <v>44566</v>
      </c>
      <c r="G5505" t="s">
        <v>2064</v>
      </c>
      <c r="H5505">
        <v>4</v>
      </c>
      <c r="I5505" s="12">
        <f>Table16[[#This Row],[price]]*Table16[[#This Row],[quantity]]</f>
        <v>136.35000000000002</v>
      </c>
    </row>
    <row r="5506" spans="1:9" x14ac:dyDescent="0.3">
      <c r="A5506" t="s">
        <v>7526</v>
      </c>
      <c r="B5506" t="s">
        <v>1098</v>
      </c>
      <c r="C5506" t="s">
        <v>2017</v>
      </c>
      <c r="D5506">
        <v>5</v>
      </c>
      <c r="E5506" s="16">
        <v>5250</v>
      </c>
      <c r="F5506" s="1">
        <v>44681</v>
      </c>
      <c r="G5506" t="s">
        <v>2027</v>
      </c>
      <c r="H5506">
        <v>3</v>
      </c>
      <c r="I5506" s="12">
        <f>Table16[[#This Row],[price]]*Table16[[#This Row],[quantity]]</f>
        <v>26250</v>
      </c>
    </row>
    <row r="5507" spans="1:9" x14ac:dyDescent="0.3">
      <c r="A5507" t="s">
        <v>7524</v>
      </c>
      <c r="B5507" t="s">
        <v>1098</v>
      </c>
      <c r="C5507" t="s">
        <v>2011</v>
      </c>
      <c r="D5507">
        <v>3</v>
      </c>
      <c r="E5507" s="16">
        <v>121.98</v>
      </c>
      <c r="F5507" s="1">
        <v>44687</v>
      </c>
      <c r="G5507" t="s">
        <v>2004</v>
      </c>
      <c r="H5507">
        <v>3</v>
      </c>
      <c r="I5507" s="12">
        <f>Table16[[#This Row],[price]]*Table16[[#This Row],[quantity]]</f>
        <v>365.94</v>
      </c>
    </row>
    <row r="5508" spans="1:9" x14ac:dyDescent="0.3">
      <c r="A5508" t="s">
        <v>7521</v>
      </c>
      <c r="B5508" t="s">
        <v>1098</v>
      </c>
      <c r="C5508" t="s">
        <v>2001</v>
      </c>
      <c r="D5508">
        <v>5</v>
      </c>
      <c r="E5508" s="16">
        <v>1500.4</v>
      </c>
      <c r="F5508" s="1">
        <v>44770</v>
      </c>
      <c r="G5508" t="s">
        <v>2018</v>
      </c>
      <c r="H5508">
        <v>1</v>
      </c>
      <c r="I5508" s="12">
        <f>Table16[[#This Row],[price]]*Table16[[#This Row],[quantity]]</f>
        <v>7502</v>
      </c>
    </row>
    <row r="5509" spans="1:9" x14ac:dyDescent="0.3">
      <c r="A5509" t="s">
        <v>7525</v>
      </c>
      <c r="B5509" t="s">
        <v>1098</v>
      </c>
      <c r="C5509" t="s">
        <v>2008</v>
      </c>
      <c r="D5509">
        <v>4</v>
      </c>
      <c r="E5509" s="16">
        <v>20.92</v>
      </c>
      <c r="F5509" s="1">
        <v>44771</v>
      </c>
      <c r="G5509" t="s">
        <v>2020</v>
      </c>
      <c r="H5509">
        <v>1</v>
      </c>
      <c r="I5509" s="12">
        <f>Table16[[#This Row],[price]]*Table16[[#This Row],[quantity]]</f>
        <v>83.68</v>
      </c>
    </row>
    <row r="5510" spans="1:9" x14ac:dyDescent="0.3">
      <c r="A5510" t="s">
        <v>7520</v>
      </c>
      <c r="B5510" t="s">
        <v>1098</v>
      </c>
      <c r="C5510" t="s">
        <v>2057</v>
      </c>
      <c r="D5510">
        <v>1</v>
      </c>
      <c r="E5510" s="16">
        <v>11.73</v>
      </c>
      <c r="F5510" s="1">
        <v>44850</v>
      </c>
      <c r="G5510" t="s">
        <v>2020</v>
      </c>
      <c r="H5510">
        <v>2</v>
      </c>
      <c r="I5510" s="12">
        <f>Table16[[#This Row],[price]]*Table16[[#This Row],[quantity]]</f>
        <v>11.73</v>
      </c>
    </row>
    <row r="5511" spans="1:9" x14ac:dyDescent="0.3">
      <c r="A5511" t="s">
        <v>7527</v>
      </c>
      <c r="B5511" t="s">
        <v>1099</v>
      </c>
      <c r="C5511" t="s">
        <v>2001</v>
      </c>
      <c r="D5511">
        <v>1</v>
      </c>
      <c r="E5511" s="16">
        <v>300.08</v>
      </c>
      <c r="F5511" s="1">
        <v>44409</v>
      </c>
      <c r="G5511" t="s">
        <v>2018</v>
      </c>
      <c r="H5511">
        <v>2</v>
      </c>
      <c r="I5511" s="12">
        <f>Table16[[#This Row],[price]]*Table16[[#This Row],[quantity]]</f>
        <v>300.08</v>
      </c>
    </row>
    <row r="5512" spans="1:9" x14ac:dyDescent="0.3">
      <c r="A5512" t="s">
        <v>7530</v>
      </c>
      <c r="B5512" t="s">
        <v>1099</v>
      </c>
      <c r="C5512" t="s">
        <v>2057</v>
      </c>
      <c r="D5512">
        <v>4</v>
      </c>
      <c r="E5512" s="16">
        <v>46.92</v>
      </c>
      <c r="F5512" s="1">
        <v>44546</v>
      </c>
      <c r="G5512" t="s">
        <v>2064</v>
      </c>
      <c r="H5512">
        <v>1</v>
      </c>
      <c r="I5512" s="12">
        <f>Table16[[#This Row],[price]]*Table16[[#This Row],[quantity]]</f>
        <v>187.68</v>
      </c>
    </row>
    <row r="5513" spans="1:9" x14ac:dyDescent="0.3">
      <c r="A5513" t="s">
        <v>7528</v>
      </c>
      <c r="B5513" t="s">
        <v>1099</v>
      </c>
      <c r="C5513" t="s">
        <v>2011</v>
      </c>
      <c r="D5513">
        <v>1</v>
      </c>
      <c r="E5513" s="16">
        <v>40.659999999999997</v>
      </c>
      <c r="F5513" s="1">
        <v>44561</v>
      </c>
      <c r="G5513" t="s">
        <v>2041</v>
      </c>
      <c r="H5513">
        <v>2</v>
      </c>
      <c r="I5513" s="12">
        <f>Table16[[#This Row],[price]]*Table16[[#This Row],[quantity]]</f>
        <v>40.659999999999997</v>
      </c>
    </row>
    <row r="5514" spans="1:9" x14ac:dyDescent="0.3">
      <c r="A5514" t="s">
        <v>7531</v>
      </c>
      <c r="B5514" t="s">
        <v>1099</v>
      </c>
      <c r="C5514" t="s">
        <v>2011</v>
      </c>
      <c r="D5514">
        <v>3</v>
      </c>
      <c r="E5514" s="16">
        <v>121.98</v>
      </c>
      <c r="F5514" s="1">
        <v>44639</v>
      </c>
      <c r="G5514" t="s">
        <v>2004</v>
      </c>
      <c r="H5514">
        <v>5</v>
      </c>
      <c r="I5514" s="12">
        <f>Table16[[#This Row],[price]]*Table16[[#This Row],[quantity]]</f>
        <v>365.94</v>
      </c>
    </row>
    <row r="5515" spans="1:9" x14ac:dyDescent="0.3">
      <c r="A5515" t="s">
        <v>7529</v>
      </c>
      <c r="B5515" t="s">
        <v>1099</v>
      </c>
      <c r="C5515" t="s">
        <v>2017</v>
      </c>
      <c r="D5515">
        <v>4</v>
      </c>
      <c r="E5515" s="16">
        <v>4200</v>
      </c>
      <c r="F5515" s="1">
        <v>44711</v>
      </c>
      <c r="G5515" t="s">
        <v>2004</v>
      </c>
      <c r="H5515">
        <v>2</v>
      </c>
      <c r="I5515" s="12">
        <f>Table16[[#This Row],[price]]*Table16[[#This Row],[quantity]]</f>
        <v>16800</v>
      </c>
    </row>
    <row r="5516" spans="1:9" x14ac:dyDescent="0.3">
      <c r="A5516" t="s">
        <v>7535</v>
      </c>
      <c r="B5516" t="s">
        <v>1100</v>
      </c>
      <c r="C5516" t="s">
        <v>2057</v>
      </c>
      <c r="D5516">
        <v>4</v>
      </c>
      <c r="E5516" s="16">
        <v>46.92</v>
      </c>
      <c r="F5516" s="1">
        <v>44263</v>
      </c>
      <c r="G5516" t="s">
        <v>2064</v>
      </c>
      <c r="H5516">
        <v>5</v>
      </c>
      <c r="I5516" s="12">
        <f>Table16[[#This Row],[price]]*Table16[[#This Row],[quantity]]</f>
        <v>187.68</v>
      </c>
    </row>
    <row r="5517" spans="1:9" x14ac:dyDescent="0.3">
      <c r="A5517" t="s">
        <v>7532</v>
      </c>
      <c r="B5517" t="s">
        <v>1100</v>
      </c>
      <c r="C5517" t="s">
        <v>2001</v>
      </c>
      <c r="D5517">
        <v>2</v>
      </c>
      <c r="E5517" s="16">
        <v>600.16</v>
      </c>
      <c r="F5517" s="1">
        <v>44464</v>
      </c>
      <c r="G5517" t="s">
        <v>2064</v>
      </c>
      <c r="H5517">
        <v>5</v>
      </c>
      <c r="I5517" s="12">
        <f>Table16[[#This Row],[price]]*Table16[[#This Row],[quantity]]</f>
        <v>1200.32</v>
      </c>
    </row>
    <row r="5518" spans="1:9" x14ac:dyDescent="0.3">
      <c r="A5518" t="s">
        <v>7536</v>
      </c>
      <c r="B5518" t="s">
        <v>1100</v>
      </c>
      <c r="C5518" t="s">
        <v>2001</v>
      </c>
      <c r="D5518">
        <v>3</v>
      </c>
      <c r="E5518" s="16">
        <v>900.24</v>
      </c>
      <c r="F5518" s="1">
        <v>44509</v>
      </c>
      <c r="G5518" t="s">
        <v>2012</v>
      </c>
      <c r="H5518">
        <v>2</v>
      </c>
      <c r="I5518" s="12">
        <f>Table16[[#This Row],[price]]*Table16[[#This Row],[quantity]]</f>
        <v>2700.7200000000003</v>
      </c>
    </row>
    <row r="5519" spans="1:9" x14ac:dyDescent="0.3">
      <c r="A5519" t="s">
        <v>7534</v>
      </c>
      <c r="B5519" t="s">
        <v>1100</v>
      </c>
      <c r="C5519" t="s">
        <v>2057</v>
      </c>
      <c r="D5519">
        <v>1</v>
      </c>
      <c r="E5519" s="16">
        <v>11.73</v>
      </c>
      <c r="F5519" s="1">
        <v>44535</v>
      </c>
      <c r="G5519" t="s">
        <v>2002</v>
      </c>
      <c r="H5519">
        <v>3</v>
      </c>
      <c r="I5519" s="12">
        <f>Table16[[#This Row],[price]]*Table16[[#This Row],[quantity]]</f>
        <v>11.73</v>
      </c>
    </row>
    <row r="5520" spans="1:9" x14ac:dyDescent="0.3">
      <c r="A5520" t="s">
        <v>7538</v>
      </c>
      <c r="B5520" t="s">
        <v>1100</v>
      </c>
      <c r="C5520" t="s">
        <v>2001</v>
      </c>
      <c r="D5520">
        <v>5</v>
      </c>
      <c r="E5520" s="16">
        <v>1500.4</v>
      </c>
      <c r="F5520" s="1">
        <v>44808</v>
      </c>
      <c r="G5520" t="s">
        <v>2027</v>
      </c>
      <c r="H5520">
        <v>1</v>
      </c>
      <c r="I5520" s="12">
        <f>Table16[[#This Row],[price]]*Table16[[#This Row],[quantity]]</f>
        <v>7502</v>
      </c>
    </row>
    <row r="5521" spans="1:9" x14ac:dyDescent="0.3">
      <c r="A5521" t="s">
        <v>7537</v>
      </c>
      <c r="B5521" t="s">
        <v>1100</v>
      </c>
      <c r="C5521" t="s">
        <v>2011</v>
      </c>
      <c r="D5521">
        <v>1</v>
      </c>
      <c r="E5521" s="16">
        <v>40.659999999999997</v>
      </c>
      <c r="F5521" s="1">
        <v>44830</v>
      </c>
      <c r="G5521" t="s">
        <v>2058</v>
      </c>
      <c r="H5521">
        <v>5</v>
      </c>
      <c r="I5521" s="12">
        <f>Table16[[#This Row],[price]]*Table16[[#This Row],[quantity]]</f>
        <v>40.659999999999997</v>
      </c>
    </row>
    <row r="5522" spans="1:9" x14ac:dyDescent="0.3">
      <c r="A5522" t="s">
        <v>7533</v>
      </c>
      <c r="B5522" t="s">
        <v>1100</v>
      </c>
      <c r="C5522" t="s">
        <v>2001</v>
      </c>
      <c r="D5522">
        <v>4</v>
      </c>
      <c r="E5522" s="16">
        <v>1200.32</v>
      </c>
      <c r="F5522" s="1">
        <v>44846</v>
      </c>
      <c r="G5522" t="s">
        <v>2027</v>
      </c>
      <c r="H5522">
        <v>3</v>
      </c>
      <c r="I5522" s="12">
        <f>Table16[[#This Row],[price]]*Table16[[#This Row],[quantity]]</f>
        <v>4801.28</v>
      </c>
    </row>
    <row r="5523" spans="1:9" x14ac:dyDescent="0.3">
      <c r="A5523" t="s">
        <v>7540</v>
      </c>
      <c r="B5523" t="s">
        <v>1101</v>
      </c>
      <c r="C5523" t="s">
        <v>2011</v>
      </c>
      <c r="D5523">
        <v>4</v>
      </c>
      <c r="E5523" s="16">
        <v>162.63999999999999</v>
      </c>
      <c r="F5523" s="1">
        <v>44216</v>
      </c>
      <c r="G5523" t="s">
        <v>2027</v>
      </c>
      <c r="H5523">
        <v>4</v>
      </c>
      <c r="I5523" s="12">
        <f>Table16[[#This Row],[price]]*Table16[[#This Row],[quantity]]</f>
        <v>650.55999999999995</v>
      </c>
    </row>
    <row r="5524" spans="1:9" x14ac:dyDescent="0.3">
      <c r="A5524" t="s">
        <v>7543</v>
      </c>
      <c r="B5524" t="s">
        <v>1101</v>
      </c>
      <c r="C5524" t="s">
        <v>2015</v>
      </c>
      <c r="D5524">
        <v>2</v>
      </c>
      <c r="E5524" s="16">
        <v>1200.3399999999999</v>
      </c>
      <c r="F5524" s="1">
        <v>44397</v>
      </c>
      <c r="G5524" t="s">
        <v>2004</v>
      </c>
      <c r="H5524">
        <v>4</v>
      </c>
      <c r="I5524" s="12">
        <f>Table16[[#This Row],[price]]*Table16[[#This Row],[quantity]]</f>
        <v>2400.6799999999998</v>
      </c>
    </row>
    <row r="5525" spans="1:9" x14ac:dyDescent="0.3">
      <c r="A5525" t="s">
        <v>7541</v>
      </c>
      <c r="B5525" t="s">
        <v>1101</v>
      </c>
      <c r="C5525" t="s">
        <v>2008</v>
      </c>
      <c r="D5525">
        <v>2</v>
      </c>
      <c r="E5525" s="16">
        <v>10.46</v>
      </c>
      <c r="F5525" s="1">
        <v>44460</v>
      </c>
      <c r="G5525" t="s">
        <v>2027</v>
      </c>
      <c r="H5525">
        <v>3</v>
      </c>
      <c r="I5525" s="12">
        <f>Table16[[#This Row],[price]]*Table16[[#This Row],[quantity]]</f>
        <v>20.92</v>
      </c>
    </row>
    <row r="5526" spans="1:9" x14ac:dyDescent="0.3">
      <c r="A5526" t="s">
        <v>7539</v>
      </c>
      <c r="B5526" t="s">
        <v>1101</v>
      </c>
      <c r="C5526" t="s">
        <v>2008</v>
      </c>
      <c r="D5526">
        <v>4</v>
      </c>
      <c r="E5526" s="16">
        <v>20.92</v>
      </c>
      <c r="F5526" s="1">
        <v>44851</v>
      </c>
      <c r="G5526" t="s">
        <v>2064</v>
      </c>
      <c r="H5526">
        <v>5</v>
      </c>
      <c r="I5526" s="12">
        <f>Table16[[#This Row],[price]]*Table16[[#This Row],[quantity]]</f>
        <v>83.68</v>
      </c>
    </row>
    <row r="5527" spans="1:9" x14ac:dyDescent="0.3">
      <c r="A5527" t="s">
        <v>7542</v>
      </c>
      <c r="B5527" t="s">
        <v>1101</v>
      </c>
      <c r="C5527" t="s">
        <v>2015</v>
      </c>
      <c r="D5527">
        <v>3</v>
      </c>
      <c r="E5527" s="16">
        <v>1800.51</v>
      </c>
      <c r="F5527" s="1">
        <v>44975</v>
      </c>
      <c r="G5527" t="s">
        <v>2027</v>
      </c>
      <c r="H5527">
        <v>5</v>
      </c>
      <c r="I5527" s="12">
        <f>Table16[[#This Row],[price]]*Table16[[#This Row],[quantity]]</f>
        <v>5401.53</v>
      </c>
    </row>
    <row r="5528" spans="1:9" x14ac:dyDescent="0.3">
      <c r="A5528" t="s">
        <v>7549</v>
      </c>
      <c r="B5528" t="s">
        <v>1102</v>
      </c>
      <c r="C5528" t="s">
        <v>2006</v>
      </c>
      <c r="D5528">
        <v>2</v>
      </c>
      <c r="E5528" s="16">
        <v>30.3</v>
      </c>
      <c r="F5528" s="1">
        <v>44251</v>
      </c>
      <c r="G5528" t="s">
        <v>2002</v>
      </c>
      <c r="H5528">
        <v>4</v>
      </c>
      <c r="I5528" s="12">
        <f>Table16[[#This Row],[price]]*Table16[[#This Row],[quantity]]</f>
        <v>60.6</v>
      </c>
    </row>
    <row r="5529" spans="1:9" x14ac:dyDescent="0.3">
      <c r="A5529" t="s">
        <v>7544</v>
      </c>
      <c r="B5529" t="s">
        <v>1102</v>
      </c>
      <c r="C5529" t="s">
        <v>2011</v>
      </c>
      <c r="D5529">
        <v>4</v>
      </c>
      <c r="E5529" s="16">
        <v>162.63999999999999</v>
      </c>
      <c r="F5529" s="1">
        <v>44438</v>
      </c>
      <c r="G5529" t="s">
        <v>2020</v>
      </c>
      <c r="H5529">
        <v>5</v>
      </c>
      <c r="I5529" s="12">
        <f>Table16[[#This Row],[price]]*Table16[[#This Row],[quantity]]</f>
        <v>650.55999999999995</v>
      </c>
    </row>
    <row r="5530" spans="1:9" x14ac:dyDescent="0.3">
      <c r="A5530" t="s">
        <v>7548</v>
      </c>
      <c r="B5530" t="s">
        <v>1102</v>
      </c>
      <c r="C5530" t="s">
        <v>2006</v>
      </c>
      <c r="D5530">
        <v>5</v>
      </c>
      <c r="E5530" s="16">
        <v>75.75</v>
      </c>
      <c r="F5530" s="1">
        <v>44596</v>
      </c>
      <c r="G5530" t="s">
        <v>2002</v>
      </c>
      <c r="H5530">
        <v>3</v>
      </c>
      <c r="I5530" s="12">
        <f>Table16[[#This Row],[price]]*Table16[[#This Row],[quantity]]</f>
        <v>378.75</v>
      </c>
    </row>
    <row r="5531" spans="1:9" x14ac:dyDescent="0.3">
      <c r="A5531" t="s">
        <v>7546</v>
      </c>
      <c r="B5531" t="s">
        <v>1102</v>
      </c>
      <c r="C5531" t="s">
        <v>2024</v>
      </c>
      <c r="D5531">
        <v>5</v>
      </c>
      <c r="E5531" s="16">
        <v>179.2</v>
      </c>
      <c r="F5531" s="1">
        <v>44602</v>
      </c>
      <c r="G5531" t="s">
        <v>2002</v>
      </c>
      <c r="H5531">
        <v>4</v>
      </c>
      <c r="I5531" s="12">
        <f>Table16[[#This Row],[price]]*Table16[[#This Row],[quantity]]</f>
        <v>896</v>
      </c>
    </row>
    <row r="5532" spans="1:9" x14ac:dyDescent="0.3">
      <c r="A5532" t="s">
        <v>7547</v>
      </c>
      <c r="B5532" t="s">
        <v>1102</v>
      </c>
      <c r="C5532" t="s">
        <v>2001</v>
      </c>
      <c r="D5532">
        <v>2</v>
      </c>
      <c r="E5532" s="16">
        <v>600.16</v>
      </c>
      <c r="F5532" s="1">
        <v>44670</v>
      </c>
      <c r="G5532" t="s">
        <v>2002</v>
      </c>
      <c r="H5532">
        <v>4</v>
      </c>
      <c r="I5532" s="12">
        <f>Table16[[#This Row],[price]]*Table16[[#This Row],[quantity]]</f>
        <v>1200.32</v>
      </c>
    </row>
    <row r="5533" spans="1:9" x14ac:dyDescent="0.3">
      <c r="A5533" t="s">
        <v>7550</v>
      </c>
      <c r="B5533" t="s">
        <v>1102</v>
      </c>
      <c r="C5533" t="s">
        <v>2006</v>
      </c>
      <c r="D5533">
        <v>2</v>
      </c>
      <c r="E5533" s="16">
        <v>30.3</v>
      </c>
      <c r="F5533" s="1">
        <v>44732</v>
      </c>
      <c r="G5533" t="s">
        <v>2058</v>
      </c>
      <c r="H5533">
        <v>1</v>
      </c>
      <c r="I5533" s="12">
        <f>Table16[[#This Row],[price]]*Table16[[#This Row],[quantity]]</f>
        <v>60.6</v>
      </c>
    </row>
    <row r="5534" spans="1:9" x14ac:dyDescent="0.3">
      <c r="A5534" t="s">
        <v>7545</v>
      </c>
      <c r="B5534" t="s">
        <v>1102</v>
      </c>
      <c r="C5534" t="s">
        <v>2001</v>
      </c>
      <c r="D5534">
        <v>2</v>
      </c>
      <c r="E5534" s="16">
        <v>600.16</v>
      </c>
      <c r="F5534" s="1">
        <v>44920</v>
      </c>
      <c r="G5534" t="s">
        <v>2027</v>
      </c>
      <c r="H5534">
        <v>5</v>
      </c>
      <c r="I5534" s="12">
        <f>Table16[[#This Row],[price]]*Table16[[#This Row],[quantity]]</f>
        <v>1200.32</v>
      </c>
    </row>
    <row r="5535" spans="1:9" x14ac:dyDescent="0.3">
      <c r="A5535" t="s">
        <v>7551</v>
      </c>
      <c r="B5535" t="s">
        <v>1103</v>
      </c>
      <c r="C5535" t="s">
        <v>2001</v>
      </c>
      <c r="D5535">
        <v>3</v>
      </c>
      <c r="E5535" s="16">
        <v>900.24</v>
      </c>
      <c r="F5535" s="1">
        <v>44231</v>
      </c>
      <c r="G5535" t="s">
        <v>2004</v>
      </c>
      <c r="H5535">
        <v>2</v>
      </c>
      <c r="I5535" s="12">
        <f>Table16[[#This Row],[price]]*Table16[[#This Row],[quantity]]</f>
        <v>2700.7200000000003</v>
      </c>
    </row>
    <row r="5536" spans="1:9" x14ac:dyDescent="0.3">
      <c r="A5536" t="s">
        <v>7554</v>
      </c>
      <c r="B5536" t="s">
        <v>1103</v>
      </c>
      <c r="C5536" t="s">
        <v>2001</v>
      </c>
      <c r="D5536">
        <v>2</v>
      </c>
      <c r="E5536" s="16">
        <v>600.16</v>
      </c>
      <c r="F5536" s="1">
        <v>44304</v>
      </c>
      <c r="G5536" t="s">
        <v>2064</v>
      </c>
      <c r="H5536">
        <v>2</v>
      </c>
      <c r="I5536" s="12">
        <f>Table16[[#This Row],[price]]*Table16[[#This Row],[quantity]]</f>
        <v>1200.32</v>
      </c>
    </row>
    <row r="5537" spans="1:9" x14ac:dyDescent="0.3">
      <c r="A5537" t="s">
        <v>7556</v>
      </c>
      <c r="B5537" t="s">
        <v>1103</v>
      </c>
      <c r="C5537" t="s">
        <v>2017</v>
      </c>
      <c r="D5537">
        <v>4</v>
      </c>
      <c r="E5537" s="16">
        <v>4200</v>
      </c>
      <c r="F5537" s="1">
        <v>44306</v>
      </c>
      <c r="G5537" t="s">
        <v>2027</v>
      </c>
      <c r="H5537">
        <v>4</v>
      </c>
      <c r="I5537" s="12">
        <f>Table16[[#This Row],[price]]*Table16[[#This Row],[quantity]]</f>
        <v>16800</v>
      </c>
    </row>
    <row r="5538" spans="1:9" x14ac:dyDescent="0.3">
      <c r="A5538" t="s">
        <v>7553</v>
      </c>
      <c r="B5538" t="s">
        <v>1103</v>
      </c>
      <c r="C5538" t="s">
        <v>2008</v>
      </c>
      <c r="D5538">
        <v>3</v>
      </c>
      <c r="E5538" s="16">
        <v>15.69</v>
      </c>
      <c r="F5538" s="1">
        <v>44600</v>
      </c>
      <c r="G5538" t="s">
        <v>2002</v>
      </c>
      <c r="H5538">
        <v>4</v>
      </c>
      <c r="I5538" s="12">
        <f>Table16[[#This Row],[price]]*Table16[[#This Row],[quantity]]</f>
        <v>47.07</v>
      </c>
    </row>
    <row r="5539" spans="1:9" x14ac:dyDescent="0.3">
      <c r="A5539" t="s">
        <v>7552</v>
      </c>
      <c r="B5539" t="s">
        <v>1103</v>
      </c>
      <c r="C5539" t="s">
        <v>2001</v>
      </c>
      <c r="D5539">
        <v>2</v>
      </c>
      <c r="E5539" s="16">
        <v>600.16</v>
      </c>
      <c r="F5539" s="1">
        <v>44753</v>
      </c>
      <c r="G5539" t="s">
        <v>2020</v>
      </c>
      <c r="H5539">
        <v>4</v>
      </c>
      <c r="I5539" s="12">
        <f>Table16[[#This Row],[price]]*Table16[[#This Row],[quantity]]</f>
        <v>1200.32</v>
      </c>
    </row>
    <row r="5540" spans="1:9" x14ac:dyDescent="0.3">
      <c r="A5540" t="s">
        <v>7555</v>
      </c>
      <c r="B5540" t="s">
        <v>1103</v>
      </c>
      <c r="C5540" t="s">
        <v>2024</v>
      </c>
      <c r="D5540">
        <v>2</v>
      </c>
      <c r="E5540" s="16">
        <v>71.680000000000007</v>
      </c>
      <c r="F5540" s="1">
        <v>44844</v>
      </c>
      <c r="G5540" t="s">
        <v>2058</v>
      </c>
      <c r="H5540">
        <v>5</v>
      </c>
      <c r="I5540" s="12">
        <f>Table16[[#This Row],[price]]*Table16[[#This Row],[quantity]]</f>
        <v>143.36000000000001</v>
      </c>
    </row>
    <row r="5541" spans="1:9" x14ac:dyDescent="0.3">
      <c r="A5541" t="s">
        <v>7558</v>
      </c>
      <c r="B5541" t="s">
        <v>1104</v>
      </c>
      <c r="C5541" t="s">
        <v>2006</v>
      </c>
      <c r="D5541">
        <v>4</v>
      </c>
      <c r="E5541" s="16">
        <v>60.6</v>
      </c>
      <c r="F5541" s="1">
        <v>44305</v>
      </c>
      <c r="G5541" t="s">
        <v>2004</v>
      </c>
      <c r="H5541">
        <v>2</v>
      </c>
      <c r="I5541" s="12">
        <f>Table16[[#This Row],[price]]*Table16[[#This Row],[quantity]]</f>
        <v>242.4</v>
      </c>
    </row>
    <row r="5542" spans="1:9" x14ac:dyDescent="0.3">
      <c r="A5542" t="s">
        <v>7557</v>
      </c>
      <c r="B5542" t="s">
        <v>1104</v>
      </c>
      <c r="C5542" t="s">
        <v>2011</v>
      </c>
      <c r="D5542">
        <v>1</v>
      </c>
      <c r="E5542" s="16">
        <v>40.659999999999997</v>
      </c>
      <c r="F5542" s="1">
        <v>44406</v>
      </c>
      <c r="G5542" t="s">
        <v>2027</v>
      </c>
      <c r="H5542">
        <v>5</v>
      </c>
      <c r="I5542" s="12">
        <f>Table16[[#This Row],[price]]*Table16[[#This Row],[quantity]]</f>
        <v>40.659999999999997</v>
      </c>
    </row>
    <row r="5543" spans="1:9" x14ac:dyDescent="0.3">
      <c r="A5543" t="s">
        <v>7559</v>
      </c>
      <c r="B5543" t="s">
        <v>1104</v>
      </c>
      <c r="C5543" t="s">
        <v>2015</v>
      </c>
      <c r="D5543">
        <v>2</v>
      </c>
      <c r="E5543" s="16">
        <v>1200.3399999999999</v>
      </c>
      <c r="F5543" s="1">
        <v>44487</v>
      </c>
      <c r="G5543" t="s">
        <v>2027</v>
      </c>
      <c r="H5543">
        <v>1</v>
      </c>
      <c r="I5543" s="12">
        <f>Table16[[#This Row],[price]]*Table16[[#This Row],[quantity]]</f>
        <v>2400.6799999999998</v>
      </c>
    </row>
    <row r="5544" spans="1:9" x14ac:dyDescent="0.3">
      <c r="A5544" t="s">
        <v>7560</v>
      </c>
      <c r="B5544" t="s">
        <v>1104</v>
      </c>
      <c r="C5544" t="s">
        <v>2006</v>
      </c>
      <c r="D5544">
        <v>5</v>
      </c>
      <c r="E5544" s="16">
        <v>75.75</v>
      </c>
      <c r="F5544" s="1">
        <v>44556</v>
      </c>
      <c r="G5544" t="s">
        <v>2027</v>
      </c>
      <c r="H5544">
        <v>1</v>
      </c>
      <c r="I5544" s="12">
        <f>Table16[[#This Row],[price]]*Table16[[#This Row],[quantity]]</f>
        <v>378.75</v>
      </c>
    </row>
    <row r="5545" spans="1:9" x14ac:dyDescent="0.3">
      <c r="A5545" t="s">
        <v>7563</v>
      </c>
      <c r="B5545" t="s">
        <v>1104</v>
      </c>
      <c r="C5545" t="s">
        <v>2015</v>
      </c>
      <c r="D5545">
        <v>1</v>
      </c>
      <c r="E5545" s="16">
        <v>600.16999999999996</v>
      </c>
      <c r="F5545" s="1">
        <v>44578</v>
      </c>
      <c r="G5545" t="s">
        <v>2018</v>
      </c>
      <c r="H5545">
        <v>4</v>
      </c>
      <c r="I5545" s="12">
        <f>Table16[[#This Row],[price]]*Table16[[#This Row],[quantity]]</f>
        <v>600.16999999999996</v>
      </c>
    </row>
    <row r="5546" spans="1:9" x14ac:dyDescent="0.3">
      <c r="A5546" t="s">
        <v>7561</v>
      </c>
      <c r="B5546" t="s">
        <v>1104</v>
      </c>
      <c r="C5546" t="s">
        <v>2024</v>
      </c>
      <c r="D5546">
        <v>2</v>
      </c>
      <c r="E5546" s="16">
        <v>71.680000000000007</v>
      </c>
      <c r="F5546" s="1">
        <v>44788</v>
      </c>
      <c r="G5546" t="s">
        <v>2041</v>
      </c>
      <c r="H5546">
        <v>5</v>
      </c>
      <c r="I5546" s="12">
        <f>Table16[[#This Row],[price]]*Table16[[#This Row],[quantity]]</f>
        <v>143.36000000000001</v>
      </c>
    </row>
    <row r="5547" spans="1:9" x14ac:dyDescent="0.3">
      <c r="A5547" t="s">
        <v>7562</v>
      </c>
      <c r="B5547" t="s">
        <v>1104</v>
      </c>
      <c r="C5547" t="s">
        <v>2057</v>
      </c>
      <c r="D5547">
        <v>4</v>
      </c>
      <c r="E5547" s="16">
        <v>46.92</v>
      </c>
      <c r="F5547" s="1">
        <v>44813</v>
      </c>
      <c r="G5547" t="s">
        <v>2027</v>
      </c>
      <c r="H5547">
        <v>4</v>
      </c>
      <c r="I5547" s="12">
        <f>Table16[[#This Row],[price]]*Table16[[#This Row],[quantity]]</f>
        <v>187.68</v>
      </c>
    </row>
    <row r="5548" spans="1:9" x14ac:dyDescent="0.3">
      <c r="A5548" t="s">
        <v>7565</v>
      </c>
      <c r="B5548" t="s">
        <v>1105</v>
      </c>
      <c r="C5548" t="s">
        <v>2008</v>
      </c>
      <c r="D5548">
        <v>2</v>
      </c>
      <c r="E5548" s="16">
        <v>10.46</v>
      </c>
      <c r="F5548" s="1">
        <v>44480</v>
      </c>
      <c r="G5548" t="s">
        <v>2009</v>
      </c>
      <c r="H5548">
        <v>5</v>
      </c>
      <c r="I5548" s="12">
        <f>Table16[[#This Row],[price]]*Table16[[#This Row],[quantity]]</f>
        <v>20.92</v>
      </c>
    </row>
    <row r="5549" spans="1:9" x14ac:dyDescent="0.3">
      <c r="A5549" t="s">
        <v>7564</v>
      </c>
      <c r="B5549" t="s">
        <v>1105</v>
      </c>
      <c r="C5549" t="s">
        <v>2024</v>
      </c>
      <c r="D5549">
        <v>3</v>
      </c>
      <c r="E5549" s="16">
        <v>107.52</v>
      </c>
      <c r="F5549" s="1">
        <v>44773</v>
      </c>
      <c r="G5549" t="s">
        <v>2009</v>
      </c>
      <c r="H5549">
        <v>3</v>
      </c>
      <c r="I5549" s="12">
        <f>Table16[[#This Row],[price]]*Table16[[#This Row],[quantity]]</f>
        <v>322.56</v>
      </c>
    </row>
    <row r="5550" spans="1:9" x14ac:dyDescent="0.3">
      <c r="A5550" t="s">
        <v>7567</v>
      </c>
      <c r="B5550" t="s">
        <v>1105</v>
      </c>
      <c r="C5550" t="s">
        <v>2008</v>
      </c>
      <c r="D5550">
        <v>5</v>
      </c>
      <c r="E5550" s="16">
        <v>26.15</v>
      </c>
      <c r="F5550" s="1">
        <v>44840</v>
      </c>
      <c r="G5550" t="s">
        <v>2002</v>
      </c>
      <c r="H5550">
        <v>1</v>
      </c>
      <c r="I5550" s="12">
        <f>Table16[[#This Row],[price]]*Table16[[#This Row],[quantity]]</f>
        <v>130.75</v>
      </c>
    </row>
    <row r="5551" spans="1:9" x14ac:dyDescent="0.3">
      <c r="A5551" t="s">
        <v>7566</v>
      </c>
      <c r="B5551" t="s">
        <v>1105</v>
      </c>
      <c r="C5551" t="s">
        <v>2001</v>
      </c>
      <c r="D5551">
        <v>3</v>
      </c>
      <c r="E5551" s="16">
        <v>900.24</v>
      </c>
      <c r="F5551" s="1">
        <v>44920</v>
      </c>
      <c r="G5551" t="s">
        <v>2012</v>
      </c>
      <c r="H5551">
        <v>4</v>
      </c>
      <c r="I5551" s="12">
        <f>Table16[[#This Row],[price]]*Table16[[#This Row],[quantity]]</f>
        <v>2700.7200000000003</v>
      </c>
    </row>
    <row r="5552" spans="1:9" x14ac:dyDescent="0.3">
      <c r="A5552" t="s">
        <v>7569</v>
      </c>
      <c r="B5552" t="s">
        <v>1106</v>
      </c>
      <c r="C5552" t="s">
        <v>2001</v>
      </c>
      <c r="D5552">
        <v>2</v>
      </c>
      <c r="E5552" s="16">
        <v>600.16</v>
      </c>
      <c r="F5552" s="1">
        <v>44210</v>
      </c>
      <c r="G5552" t="s">
        <v>2004</v>
      </c>
      <c r="H5552">
        <v>3</v>
      </c>
      <c r="I5552" s="12">
        <f>Table16[[#This Row],[price]]*Table16[[#This Row],[quantity]]</f>
        <v>1200.32</v>
      </c>
    </row>
    <row r="5553" spans="1:9" x14ac:dyDescent="0.3">
      <c r="A5553" t="s">
        <v>7574</v>
      </c>
      <c r="B5553" t="s">
        <v>1106</v>
      </c>
      <c r="C5553" t="s">
        <v>2024</v>
      </c>
      <c r="D5553">
        <v>5</v>
      </c>
      <c r="E5553" s="16">
        <v>179.2</v>
      </c>
      <c r="F5553" s="1">
        <v>44346</v>
      </c>
      <c r="G5553" t="s">
        <v>2027</v>
      </c>
      <c r="H5553">
        <v>1</v>
      </c>
      <c r="I5553" s="12">
        <f>Table16[[#This Row],[price]]*Table16[[#This Row],[quantity]]</f>
        <v>896</v>
      </c>
    </row>
    <row r="5554" spans="1:9" x14ac:dyDescent="0.3">
      <c r="A5554" t="s">
        <v>7571</v>
      </c>
      <c r="B5554" t="s">
        <v>1106</v>
      </c>
      <c r="C5554" t="s">
        <v>2008</v>
      </c>
      <c r="D5554">
        <v>1</v>
      </c>
      <c r="E5554" s="16">
        <v>5.23</v>
      </c>
      <c r="F5554" s="1">
        <v>44397</v>
      </c>
      <c r="G5554" t="s">
        <v>2058</v>
      </c>
      <c r="H5554">
        <v>4</v>
      </c>
      <c r="I5554" s="12">
        <f>Table16[[#This Row],[price]]*Table16[[#This Row],[quantity]]</f>
        <v>5.23</v>
      </c>
    </row>
    <row r="5555" spans="1:9" x14ac:dyDescent="0.3">
      <c r="A5555" t="s">
        <v>7568</v>
      </c>
      <c r="B5555" t="s">
        <v>1106</v>
      </c>
      <c r="C5555" t="s">
        <v>2001</v>
      </c>
      <c r="D5555">
        <v>4</v>
      </c>
      <c r="E5555" s="16">
        <v>1200.32</v>
      </c>
      <c r="F5555" s="1">
        <v>44471</v>
      </c>
      <c r="G5555" t="s">
        <v>2027</v>
      </c>
      <c r="H5555">
        <v>5</v>
      </c>
      <c r="I5555" s="12">
        <f>Table16[[#This Row],[price]]*Table16[[#This Row],[quantity]]</f>
        <v>4801.28</v>
      </c>
    </row>
    <row r="5556" spans="1:9" x14ac:dyDescent="0.3">
      <c r="A5556" t="s">
        <v>7572</v>
      </c>
      <c r="B5556" t="s">
        <v>1106</v>
      </c>
      <c r="C5556" t="s">
        <v>2011</v>
      </c>
      <c r="D5556">
        <v>1</v>
      </c>
      <c r="E5556" s="16">
        <v>40.659999999999997</v>
      </c>
      <c r="F5556" s="1">
        <v>44503</v>
      </c>
      <c r="G5556" t="s">
        <v>2018</v>
      </c>
      <c r="H5556">
        <v>4</v>
      </c>
      <c r="I5556" s="12">
        <f>Table16[[#This Row],[price]]*Table16[[#This Row],[quantity]]</f>
        <v>40.659999999999997</v>
      </c>
    </row>
    <row r="5557" spans="1:9" x14ac:dyDescent="0.3">
      <c r="A5557" t="s">
        <v>7573</v>
      </c>
      <c r="B5557" t="s">
        <v>1106</v>
      </c>
      <c r="C5557" t="s">
        <v>2001</v>
      </c>
      <c r="D5557">
        <v>1</v>
      </c>
      <c r="E5557" s="16">
        <v>300.08</v>
      </c>
      <c r="F5557" s="1">
        <v>44543</v>
      </c>
      <c r="G5557" t="s">
        <v>2041</v>
      </c>
      <c r="H5557">
        <v>5</v>
      </c>
      <c r="I5557" s="12">
        <f>Table16[[#This Row],[price]]*Table16[[#This Row],[quantity]]</f>
        <v>300.08</v>
      </c>
    </row>
    <row r="5558" spans="1:9" x14ac:dyDescent="0.3">
      <c r="A5558" t="s">
        <v>7570</v>
      </c>
      <c r="B5558" t="s">
        <v>1106</v>
      </c>
      <c r="C5558" t="s">
        <v>2057</v>
      </c>
      <c r="D5558">
        <v>4</v>
      </c>
      <c r="E5558" s="16">
        <v>46.92</v>
      </c>
      <c r="F5558" s="1">
        <v>44877</v>
      </c>
      <c r="G5558" t="s">
        <v>2027</v>
      </c>
      <c r="H5558">
        <v>2</v>
      </c>
      <c r="I5558" s="12">
        <f>Table16[[#This Row],[price]]*Table16[[#This Row],[quantity]]</f>
        <v>187.68</v>
      </c>
    </row>
    <row r="5559" spans="1:9" x14ac:dyDescent="0.3">
      <c r="A5559" t="s">
        <v>7579</v>
      </c>
      <c r="B5559" t="s">
        <v>1107</v>
      </c>
      <c r="C5559" t="s">
        <v>2015</v>
      </c>
      <c r="D5559">
        <v>2</v>
      </c>
      <c r="E5559" s="16">
        <v>1200.3399999999999</v>
      </c>
      <c r="F5559" s="1">
        <v>44353</v>
      </c>
      <c r="G5559" t="s">
        <v>2002</v>
      </c>
      <c r="H5559">
        <v>2</v>
      </c>
      <c r="I5559" s="12">
        <f>Table16[[#This Row],[price]]*Table16[[#This Row],[quantity]]</f>
        <v>2400.6799999999998</v>
      </c>
    </row>
    <row r="5560" spans="1:9" x14ac:dyDescent="0.3">
      <c r="A5560" t="s">
        <v>7578</v>
      </c>
      <c r="B5560" t="s">
        <v>1107</v>
      </c>
      <c r="C5560" t="s">
        <v>2008</v>
      </c>
      <c r="D5560">
        <v>2</v>
      </c>
      <c r="E5560" s="16">
        <v>10.46</v>
      </c>
      <c r="F5560" s="1">
        <v>44487</v>
      </c>
      <c r="G5560" t="s">
        <v>2004</v>
      </c>
      <c r="H5560">
        <v>4</v>
      </c>
      <c r="I5560" s="12">
        <f>Table16[[#This Row],[price]]*Table16[[#This Row],[quantity]]</f>
        <v>20.92</v>
      </c>
    </row>
    <row r="5561" spans="1:9" x14ac:dyDescent="0.3">
      <c r="A5561" t="s">
        <v>7575</v>
      </c>
      <c r="B5561" t="s">
        <v>1107</v>
      </c>
      <c r="C5561" t="s">
        <v>2001</v>
      </c>
      <c r="D5561">
        <v>4</v>
      </c>
      <c r="E5561" s="16">
        <v>1200.32</v>
      </c>
      <c r="F5561" s="1">
        <v>44548</v>
      </c>
      <c r="G5561" t="s">
        <v>2027</v>
      </c>
      <c r="H5561">
        <v>4</v>
      </c>
      <c r="I5561" s="12">
        <f>Table16[[#This Row],[price]]*Table16[[#This Row],[quantity]]</f>
        <v>4801.28</v>
      </c>
    </row>
    <row r="5562" spans="1:9" x14ac:dyDescent="0.3">
      <c r="A5562" t="s">
        <v>7577</v>
      </c>
      <c r="B5562" t="s">
        <v>1107</v>
      </c>
      <c r="C5562" t="s">
        <v>2001</v>
      </c>
      <c r="D5562">
        <v>1</v>
      </c>
      <c r="E5562" s="16">
        <v>300.08</v>
      </c>
      <c r="F5562" s="1">
        <v>44589</v>
      </c>
      <c r="G5562" t="s">
        <v>2012</v>
      </c>
      <c r="H5562">
        <v>2</v>
      </c>
      <c r="I5562" s="12">
        <f>Table16[[#This Row],[price]]*Table16[[#This Row],[quantity]]</f>
        <v>300.08</v>
      </c>
    </row>
    <row r="5563" spans="1:9" x14ac:dyDescent="0.3">
      <c r="A5563" t="s">
        <v>7580</v>
      </c>
      <c r="B5563" t="s">
        <v>1107</v>
      </c>
      <c r="C5563" t="s">
        <v>2001</v>
      </c>
      <c r="D5563">
        <v>1</v>
      </c>
      <c r="E5563" s="16">
        <v>300.08</v>
      </c>
      <c r="F5563" s="1">
        <v>44769</v>
      </c>
      <c r="G5563" t="s">
        <v>2004</v>
      </c>
      <c r="H5563">
        <v>5</v>
      </c>
      <c r="I5563" s="12">
        <f>Table16[[#This Row],[price]]*Table16[[#This Row],[quantity]]</f>
        <v>300.08</v>
      </c>
    </row>
    <row r="5564" spans="1:9" x14ac:dyDescent="0.3">
      <c r="A5564" t="s">
        <v>7576</v>
      </c>
      <c r="B5564" t="s">
        <v>1107</v>
      </c>
      <c r="C5564" t="s">
        <v>2057</v>
      </c>
      <c r="D5564">
        <v>5</v>
      </c>
      <c r="E5564" s="16">
        <v>58.65</v>
      </c>
      <c r="F5564" s="1">
        <v>44837</v>
      </c>
      <c r="G5564" t="s">
        <v>2004</v>
      </c>
      <c r="H5564">
        <v>5</v>
      </c>
      <c r="I5564" s="12">
        <f>Table16[[#This Row],[price]]*Table16[[#This Row],[quantity]]</f>
        <v>293.25</v>
      </c>
    </row>
    <row r="5565" spans="1:9" x14ac:dyDescent="0.3">
      <c r="A5565" t="s">
        <v>7582</v>
      </c>
      <c r="B5565" t="s">
        <v>1108</v>
      </c>
      <c r="C5565" t="s">
        <v>2024</v>
      </c>
      <c r="D5565">
        <v>3</v>
      </c>
      <c r="E5565" s="16">
        <v>107.52</v>
      </c>
      <c r="F5565" s="1">
        <v>44358</v>
      </c>
      <c r="G5565" t="s">
        <v>2002</v>
      </c>
      <c r="H5565">
        <v>3</v>
      </c>
      <c r="I5565" s="12">
        <f>Table16[[#This Row],[price]]*Table16[[#This Row],[quantity]]</f>
        <v>322.56</v>
      </c>
    </row>
    <row r="5566" spans="1:9" x14ac:dyDescent="0.3">
      <c r="A5566" t="s">
        <v>7583</v>
      </c>
      <c r="B5566" t="s">
        <v>1108</v>
      </c>
      <c r="C5566" t="s">
        <v>2057</v>
      </c>
      <c r="D5566">
        <v>5</v>
      </c>
      <c r="E5566" s="16">
        <v>58.65</v>
      </c>
      <c r="F5566" s="1">
        <v>44572</v>
      </c>
      <c r="G5566" t="s">
        <v>2002</v>
      </c>
      <c r="H5566">
        <v>4</v>
      </c>
      <c r="I5566" s="12">
        <f>Table16[[#This Row],[price]]*Table16[[#This Row],[quantity]]</f>
        <v>293.25</v>
      </c>
    </row>
    <row r="5567" spans="1:9" x14ac:dyDescent="0.3">
      <c r="A5567" t="s">
        <v>7584</v>
      </c>
      <c r="B5567" t="s">
        <v>1108</v>
      </c>
      <c r="C5567" t="s">
        <v>2008</v>
      </c>
      <c r="D5567">
        <v>3</v>
      </c>
      <c r="E5567" s="16">
        <v>15.69</v>
      </c>
      <c r="F5567" s="1">
        <v>44723</v>
      </c>
      <c r="G5567" t="s">
        <v>2027</v>
      </c>
      <c r="H5567">
        <v>5</v>
      </c>
      <c r="I5567" s="12">
        <f>Table16[[#This Row],[price]]*Table16[[#This Row],[quantity]]</f>
        <v>47.07</v>
      </c>
    </row>
    <row r="5568" spans="1:9" x14ac:dyDescent="0.3">
      <c r="A5568" t="s">
        <v>7585</v>
      </c>
      <c r="B5568" t="s">
        <v>1108</v>
      </c>
      <c r="C5568" t="s">
        <v>2001</v>
      </c>
      <c r="D5568">
        <v>5</v>
      </c>
      <c r="E5568" s="16">
        <v>1500.4</v>
      </c>
      <c r="F5568" s="1">
        <v>44857</v>
      </c>
      <c r="G5568" t="s">
        <v>2027</v>
      </c>
      <c r="H5568">
        <v>5</v>
      </c>
      <c r="I5568" s="12">
        <f>Table16[[#This Row],[price]]*Table16[[#This Row],[quantity]]</f>
        <v>7502</v>
      </c>
    </row>
    <row r="5569" spans="1:9" x14ac:dyDescent="0.3">
      <c r="A5569" t="s">
        <v>7581</v>
      </c>
      <c r="B5569" t="s">
        <v>1108</v>
      </c>
      <c r="C5569" t="s">
        <v>2015</v>
      </c>
      <c r="D5569">
        <v>3</v>
      </c>
      <c r="E5569" s="16">
        <v>1800.51</v>
      </c>
      <c r="F5569" s="1">
        <v>44964</v>
      </c>
      <c r="G5569" t="s">
        <v>2041</v>
      </c>
      <c r="H5569">
        <v>5</v>
      </c>
      <c r="I5569" s="12">
        <f>Table16[[#This Row],[price]]*Table16[[#This Row],[quantity]]</f>
        <v>5401.53</v>
      </c>
    </row>
    <row r="5570" spans="1:9" x14ac:dyDescent="0.3">
      <c r="A5570" t="s">
        <v>7587</v>
      </c>
      <c r="B5570" t="s">
        <v>1109</v>
      </c>
      <c r="C5570" t="s">
        <v>2001</v>
      </c>
      <c r="D5570">
        <v>5</v>
      </c>
      <c r="E5570" s="16">
        <v>1500.4</v>
      </c>
      <c r="F5570" s="1">
        <v>44223</v>
      </c>
      <c r="G5570" t="s">
        <v>2004</v>
      </c>
      <c r="H5570">
        <v>3</v>
      </c>
      <c r="I5570" s="12">
        <f>Table16[[#This Row],[price]]*Table16[[#This Row],[quantity]]</f>
        <v>7502</v>
      </c>
    </row>
    <row r="5571" spans="1:9" x14ac:dyDescent="0.3">
      <c r="A5571" t="s">
        <v>7589</v>
      </c>
      <c r="B5571" t="s">
        <v>1109</v>
      </c>
      <c r="C5571" t="s">
        <v>2024</v>
      </c>
      <c r="D5571">
        <v>3</v>
      </c>
      <c r="E5571" s="16">
        <v>107.52</v>
      </c>
      <c r="F5571" s="1">
        <v>44253</v>
      </c>
      <c r="G5571" t="s">
        <v>2004</v>
      </c>
      <c r="H5571">
        <v>2</v>
      </c>
      <c r="I5571" s="12">
        <f>Table16[[#This Row],[price]]*Table16[[#This Row],[quantity]]</f>
        <v>322.56</v>
      </c>
    </row>
    <row r="5572" spans="1:9" x14ac:dyDescent="0.3">
      <c r="A5572" t="s">
        <v>7590</v>
      </c>
      <c r="B5572" t="s">
        <v>1109</v>
      </c>
      <c r="C5572" t="s">
        <v>2001</v>
      </c>
      <c r="D5572">
        <v>4</v>
      </c>
      <c r="E5572" s="16">
        <v>1200.32</v>
      </c>
      <c r="F5572" s="1">
        <v>44511</v>
      </c>
      <c r="G5572" t="s">
        <v>2004</v>
      </c>
      <c r="H5572">
        <v>1</v>
      </c>
      <c r="I5572" s="12">
        <f>Table16[[#This Row],[price]]*Table16[[#This Row],[quantity]]</f>
        <v>4801.28</v>
      </c>
    </row>
    <row r="5573" spans="1:9" x14ac:dyDescent="0.3">
      <c r="A5573" t="s">
        <v>7588</v>
      </c>
      <c r="B5573" t="s">
        <v>1109</v>
      </c>
      <c r="C5573" t="s">
        <v>2001</v>
      </c>
      <c r="D5573">
        <v>3</v>
      </c>
      <c r="E5573" s="16">
        <v>900.24</v>
      </c>
      <c r="F5573" s="1">
        <v>44747</v>
      </c>
      <c r="G5573" t="s">
        <v>2002</v>
      </c>
      <c r="H5573">
        <v>1</v>
      </c>
      <c r="I5573" s="12">
        <f>Table16[[#This Row],[price]]*Table16[[#This Row],[quantity]]</f>
        <v>2700.7200000000003</v>
      </c>
    </row>
    <row r="5574" spans="1:9" x14ac:dyDescent="0.3">
      <c r="A5574" t="s">
        <v>7591</v>
      </c>
      <c r="B5574" t="s">
        <v>1109</v>
      </c>
      <c r="C5574" t="s">
        <v>2024</v>
      </c>
      <c r="D5574">
        <v>1</v>
      </c>
      <c r="E5574" s="16">
        <v>35.840000000000003</v>
      </c>
      <c r="F5574" s="1">
        <v>44838</v>
      </c>
      <c r="G5574" t="s">
        <v>2058</v>
      </c>
      <c r="H5574">
        <v>4</v>
      </c>
      <c r="I5574" s="12">
        <f>Table16[[#This Row],[price]]*Table16[[#This Row],[quantity]]</f>
        <v>35.840000000000003</v>
      </c>
    </row>
    <row r="5575" spans="1:9" x14ac:dyDescent="0.3">
      <c r="A5575" t="s">
        <v>7586</v>
      </c>
      <c r="B5575" t="s">
        <v>1109</v>
      </c>
      <c r="C5575" t="s">
        <v>2001</v>
      </c>
      <c r="D5575">
        <v>2</v>
      </c>
      <c r="E5575" s="16">
        <v>600.16</v>
      </c>
      <c r="F5575" s="1">
        <v>44859</v>
      </c>
      <c r="G5575" t="s">
        <v>2020</v>
      </c>
      <c r="H5575">
        <v>2</v>
      </c>
      <c r="I5575" s="12">
        <f>Table16[[#This Row],[price]]*Table16[[#This Row],[quantity]]</f>
        <v>1200.32</v>
      </c>
    </row>
    <row r="5576" spans="1:9" x14ac:dyDescent="0.3">
      <c r="A5576" t="s">
        <v>7596</v>
      </c>
      <c r="B5576" t="s">
        <v>1110</v>
      </c>
      <c r="C5576" t="s">
        <v>2024</v>
      </c>
      <c r="D5576">
        <v>4</v>
      </c>
      <c r="E5576" s="16">
        <v>143.36000000000001</v>
      </c>
      <c r="F5576" s="1">
        <v>44246</v>
      </c>
      <c r="G5576" t="s">
        <v>2018</v>
      </c>
      <c r="H5576">
        <v>4</v>
      </c>
      <c r="I5576" s="12">
        <f>Table16[[#This Row],[price]]*Table16[[#This Row],[quantity]]</f>
        <v>573.44000000000005</v>
      </c>
    </row>
    <row r="5577" spans="1:9" x14ac:dyDescent="0.3">
      <c r="A5577" t="s">
        <v>7594</v>
      </c>
      <c r="B5577" t="s">
        <v>1110</v>
      </c>
      <c r="C5577" t="s">
        <v>2001</v>
      </c>
      <c r="D5577">
        <v>4</v>
      </c>
      <c r="E5577" s="16">
        <v>1200.32</v>
      </c>
      <c r="F5577" s="1">
        <v>44263</v>
      </c>
      <c r="G5577" t="s">
        <v>2020</v>
      </c>
      <c r="H5577">
        <v>2</v>
      </c>
      <c r="I5577" s="12">
        <f>Table16[[#This Row],[price]]*Table16[[#This Row],[quantity]]</f>
        <v>4801.28</v>
      </c>
    </row>
    <row r="5578" spans="1:9" x14ac:dyDescent="0.3">
      <c r="A5578" t="s">
        <v>7595</v>
      </c>
      <c r="B5578" t="s">
        <v>1110</v>
      </c>
      <c r="C5578" t="s">
        <v>2015</v>
      </c>
      <c r="D5578">
        <v>3</v>
      </c>
      <c r="E5578" s="16">
        <v>1800.51</v>
      </c>
      <c r="F5578" s="1">
        <v>44342</v>
      </c>
      <c r="G5578" t="s">
        <v>2004</v>
      </c>
      <c r="H5578">
        <v>5</v>
      </c>
      <c r="I5578" s="12">
        <f>Table16[[#This Row],[price]]*Table16[[#This Row],[quantity]]</f>
        <v>5401.53</v>
      </c>
    </row>
    <row r="5579" spans="1:9" x14ac:dyDescent="0.3">
      <c r="A5579" t="s">
        <v>7593</v>
      </c>
      <c r="B5579" t="s">
        <v>1110</v>
      </c>
      <c r="C5579" t="s">
        <v>2001</v>
      </c>
      <c r="D5579">
        <v>1</v>
      </c>
      <c r="E5579" s="16">
        <v>300.08</v>
      </c>
      <c r="F5579" s="1">
        <v>44411</v>
      </c>
      <c r="G5579" t="s">
        <v>2009</v>
      </c>
      <c r="H5579">
        <v>5</v>
      </c>
      <c r="I5579" s="12">
        <f>Table16[[#This Row],[price]]*Table16[[#This Row],[quantity]]</f>
        <v>300.08</v>
      </c>
    </row>
    <row r="5580" spans="1:9" x14ac:dyDescent="0.3">
      <c r="A5580" t="s">
        <v>7592</v>
      </c>
      <c r="B5580" t="s">
        <v>1110</v>
      </c>
      <c r="C5580" t="s">
        <v>2001</v>
      </c>
      <c r="D5580">
        <v>3</v>
      </c>
      <c r="E5580" s="16">
        <v>900.24</v>
      </c>
      <c r="F5580" s="1">
        <v>44442</v>
      </c>
      <c r="G5580" t="s">
        <v>2002</v>
      </c>
      <c r="H5580">
        <v>4</v>
      </c>
      <c r="I5580" s="12">
        <f>Table16[[#This Row],[price]]*Table16[[#This Row],[quantity]]</f>
        <v>2700.7200000000003</v>
      </c>
    </row>
    <row r="5581" spans="1:9" x14ac:dyDescent="0.3">
      <c r="A5581" t="s">
        <v>7601</v>
      </c>
      <c r="B5581" t="s">
        <v>1111</v>
      </c>
      <c r="C5581" t="s">
        <v>2017</v>
      </c>
      <c r="D5581">
        <v>3</v>
      </c>
      <c r="E5581" s="16">
        <v>3150</v>
      </c>
      <c r="F5581" s="1">
        <v>44331</v>
      </c>
      <c r="G5581" t="s">
        <v>2027</v>
      </c>
      <c r="H5581">
        <v>5</v>
      </c>
      <c r="I5581" s="12">
        <f>Table16[[#This Row],[price]]*Table16[[#This Row],[quantity]]</f>
        <v>9450</v>
      </c>
    </row>
    <row r="5582" spans="1:9" x14ac:dyDescent="0.3">
      <c r="A5582" t="s">
        <v>7597</v>
      </c>
      <c r="B5582" t="s">
        <v>1111</v>
      </c>
      <c r="C5582" t="s">
        <v>2015</v>
      </c>
      <c r="D5582">
        <v>5</v>
      </c>
      <c r="E5582" s="16">
        <v>3000.85</v>
      </c>
      <c r="F5582" s="1">
        <v>44740</v>
      </c>
      <c r="G5582" t="s">
        <v>2018</v>
      </c>
      <c r="H5582">
        <v>3</v>
      </c>
      <c r="I5582" s="12">
        <f>Table16[[#This Row],[price]]*Table16[[#This Row],[quantity]]</f>
        <v>15004.25</v>
      </c>
    </row>
    <row r="5583" spans="1:9" x14ac:dyDescent="0.3">
      <c r="A5583" t="s">
        <v>7600</v>
      </c>
      <c r="B5583" t="s">
        <v>1111</v>
      </c>
      <c r="C5583" t="s">
        <v>2006</v>
      </c>
      <c r="D5583">
        <v>4</v>
      </c>
      <c r="E5583" s="16">
        <v>60.6</v>
      </c>
      <c r="F5583" s="1">
        <v>44743</v>
      </c>
      <c r="G5583" t="s">
        <v>2012</v>
      </c>
      <c r="H5583">
        <v>2</v>
      </c>
      <c r="I5583" s="12">
        <f>Table16[[#This Row],[price]]*Table16[[#This Row],[quantity]]</f>
        <v>242.4</v>
      </c>
    </row>
    <row r="5584" spans="1:9" x14ac:dyDescent="0.3">
      <c r="A5584" t="s">
        <v>7599</v>
      </c>
      <c r="B5584" t="s">
        <v>1111</v>
      </c>
      <c r="C5584" t="s">
        <v>2001</v>
      </c>
      <c r="D5584">
        <v>1</v>
      </c>
      <c r="E5584" s="16">
        <v>300.08</v>
      </c>
      <c r="F5584" s="1">
        <v>44752</v>
      </c>
      <c r="G5584" t="s">
        <v>2004</v>
      </c>
      <c r="H5584">
        <v>3</v>
      </c>
      <c r="I5584" s="12">
        <f>Table16[[#This Row],[price]]*Table16[[#This Row],[quantity]]</f>
        <v>300.08</v>
      </c>
    </row>
    <row r="5585" spans="1:9" x14ac:dyDescent="0.3">
      <c r="A5585" t="s">
        <v>7598</v>
      </c>
      <c r="B5585" t="s">
        <v>1111</v>
      </c>
      <c r="C5585" t="s">
        <v>2017</v>
      </c>
      <c r="D5585">
        <v>5</v>
      </c>
      <c r="E5585" s="16">
        <v>5250</v>
      </c>
      <c r="F5585" s="1">
        <v>44789</v>
      </c>
      <c r="G5585" t="s">
        <v>2002</v>
      </c>
      <c r="H5585">
        <v>2</v>
      </c>
      <c r="I5585" s="12">
        <f>Table16[[#This Row],[price]]*Table16[[#This Row],[quantity]]</f>
        <v>26250</v>
      </c>
    </row>
    <row r="5586" spans="1:9" x14ac:dyDescent="0.3">
      <c r="A5586" t="s">
        <v>7602</v>
      </c>
      <c r="B5586" t="s">
        <v>1112</v>
      </c>
      <c r="C5586" t="s">
        <v>2011</v>
      </c>
      <c r="D5586">
        <v>2</v>
      </c>
      <c r="E5586" s="16">
        <v>81.319999999999993</v>
      </c>
      <c r="F5586" s="1">
        <v>44320</v>
      </c>
      <c r="G5586" t="s">
        <v>2020</v>
      </c>
      <c r="H5586">
        <v>4</v>
      </c>
      <c r="I5586" s="12">
        <f>Table16[[#This Row],[price]]*Table16[[#This Row],[quantity]]</f>
        <v>162.63999999999999</v>
      </c>
    </row>
    <row r="5587" spans="1:9" x14ac:dyDescent="0.3">
      <c r="A5587" t="s">
        <v>7605</v>
      </c>
      <c r="B5587" t="s">
        <v>1112</v>
      </c>
      <c r="C5587" t="s">
        <v>2011</v>
      </c>
      <c r="D5587">
        <v>3</v>
      </c>
      <c r="E5587" s="16">
        <v>121.98</v>
      </c>
      <c r="F5587" s="1">
        <v>44563</v>
      </c>
      <c r="G5587" t="s">
        <v>2004</v>
      </c>
      <c r="H5587">
        <v>4</v>
      </c>
      <c r="I5587" s="12">
        <f>Table16[[#This Row],[price]]*Table16[[#This Row],[quantity]]</f>
        <v>365.94</v>
      </c>
    </row>
    <row r="5588" spans="1:9" x14ac:dyDescent="0.3">
      <c r="A5588" t="s">
        <v>7603</v>
      </c>
      <c r="B5588" t="s">
        <v>1112</v>
      </c>
      <c r="C5588" t="s">
        <v>2008</v>
      </c>
      <c r="D5588">
        <v>2</v>
      </c>
      <c r="E5588" s="16">
        <v>10.46</v>
      </c>
      <c r="F5588" s="1">
        <v>44643</v>
      </c>
      <c r="G5588" t="s">
        <v>2027</v>
      </c>
      <c r="H5588">
        <v>1</v>
      </c>
      <c r="I5588" s="12">
        <f>Table16[[#This Row],[price]]*Table16[[#This Row],[quantity]]</f>
        <v>20.92</v>
      </c>
    </row>
    <row r="5589" spans="1:9" x14ac:dyDescent="0.3">
      <c r="A5589" t="s">
        <v>7606</v>
      </c>
      <c r="B5589" t="s">
        <v>1112</v>
      </c>
      <c r="C5589" t="s">
        <v>2015</v>
      </c>
      <c r="D5589">
        <v>4</v>
      </c>
      <c r="E5589" s="16">
        <v>2400.6799999999998</v>
      </c>
      <c r="F5589" s="1">
        <v>44855</v>
      </c>
      <c r="G5589" t="s">
        <v>2027</v>
      </c>
      <c r="H5589">
        <v>2</v>
      </c>
      <c r="I5589" s="12">
        <f>Table16[[#This Row],[price]]*Table16[[#This Row],[quantity]]</f>
        <v>9602.7199999999993</v>
      </c>
    </row>
    <row r="5590" spans="1:9" x14ac:dyDescent="0.3">
      <c r="A5590" t="s">
        <v>7604</v>
      </c>
      <c r="B5590" t="s">
        <v>1112</v>
      </c>
      <c r="C5590" t="s">
        <v>2001</v>
      </c>
      <c r="D5590">
        <v>2</v>
      </c>
      <c r="E5590" s="16">
        <v>600.16</v>
      </c>
      <c r="F5590" s="1">
        <v>44863</v>
      </c>
      <c r="G5590" t="s">
        <v>2018</v>
      </c>
      <c r="H5590">
        <v>5</v>
      </c>
      <c r="I5590" s="12">
        <f>Table16[[#This Row],[price]]*Table16[[#This Row],[quantity]]</f>
        <v>1200.32</v>
      </c>
    </row>
    <row r="5591" spans="1:9" x14ac:dyDescent="0.3">
      <c r="A5591" t="s">
        <v>7611</v>
      </c>
      <c r="B5591" t="s">
        <v>1113</v>
      </c>
      <c r="C5591" t="s">
        <v>2006</v>
      </c>
      <c r="D5591">
        <v>3</v>
      </c>
      <c r="E5591" s="16">
        <v>45.45</v>
      </c>
      <c r="F5591" s="1">
        <v>44276</v>
      </c>
      <c r="G5591" t="s">
        <v>2004</v>
      </c>
      <c r="H5591">
        <v>1</v>
      </c>
      <c r="I5591" s="12">
        <f>Table16[[#This Row],[price]]*Table16[[#This Row],[quantity]]</f>
        <v>136.35000000000002</v>
      </c>
    </row>
    <row r="5592" spans="1:9" x14ac:dyDescent="0.3">
      <c r="A5592" t="s">
        <v>7607</v>
      </c>
      <c r="B5592" t="s">
        <v>1113</v>
      </c>
      <c r="C5592" t="s">
        <v>2001</v>
      </c>
      <c r="D5592">
        <v>2</v>
      </c>
      <c r="E5592" s="16">
        <v>600.16</v>
      </c>
      <c r="F5592" s="1">
        <v>44416</v>
      </c>
      <c r="G5592" t="s">
        <v>2009</v>
      </c>
      <c r="H5592">
        <v>1</v>
      </c>
      <c r="I5592" s="12">
        <f>Table16[[#This Row],[price]]*Table16[[#This Row],[quantity]]</f>
        <v>1200.32</v>
      </c>
    </row>
    <row r="5593" spans="1:9" x14ac:dyDescent="0.3">
      <c r="A5593" t="s">
        <v>7612</v>
      </c>
      <c r="B5593" t="s">
        <v>1113</v>
      </c>
      <c r="C5593" t="s">
        <v>2008</v>
      </c>
      <c r="D5593">
        <v>3</v>
      </c>
      <c r="E5593" s="16">
        <v>15.69</v>
      </c>
      <c r="F5593" s="1">
        <v>44492</v>
      </c>
      <c r="G5593" t="s">
        <v>2020</v>
      </c>
      <c r="H5593">
        <v>5</v>
      </c>
      <c r="I5593" s="12">
        <f>Table16[[#This Row],[price]]*Table16[[#This Row],[quantity]]</f>
        <v>47.07</v>
      </c>
    </row>
    <row r="5594" spans="1:9" x14ac:dyDescent="0.3">
      <c r="A5594" t="s">
        <v>7613</v>
      </c>
      <c r="B5594" t="s">
        <v>1113</v>
      </c>
      <c r="C5594" t="s">
        <v>2008</v>
      </c>
      <c r="D5594">
        <v>4</v>
      </c>
      <c r="E5594" s="16">
        <v>20.92</v>
      </c>
      <c r="F5594" s="1">
        <v>44661</v>
      </c>
      <c r="G5594" t="s">
        <v>2027</v>
      </c>
      <c r="H5594">
        <v>4</v>
      </c>
      <c r="I5594" s="12">
        <f>Table16[[#This Row],[price]]*Table16[[#This Row],[quantity]]</f>
        <v>83.68</v>
      </c>
    </row>
    <row r="5595" spans="1:9" x14ac:dyDescent="0.3">
      <c r="A5595" t="s">
        <v>7609</v>
      </c>
      <c r="B5595" t="s">
        <v>1113</v>
      </c>
      <c r="C5595" t="s">
        <v>2024</v>
      </c>
      <c r="D5595">
        <v>4</v>
      </c>
      <c r="E5595" s="16">
        <v>143.36000000000001</v>
      </c>
      <c r="F5595" s="1">
        <v>44771</v>
      </c>
      <c r="G5595" t="s">
        <v>2027</v>
      </c>
      <c r="H5595">
        <v>4</v>
      </c>
      <c r="I5595" s="12">
        <f>Table16[[#This Row],[price]]*Table16[[#This Row],[quantity]]</f>
        <v>573.44000000000005</v>
      </c>
    </row>
    <row r="5596" spans="1:9" x14ac:dyDescent="0.3">
      <c r="A5596" t="s">
        <v>7610</v>
      </c>
      <c r="B5596" t="s">
        <v>1113</v>
      </c>
      <c r="C5596" t="s">
        <v>2008</v>
      </c>
      <c r="D5596">
        <v>2</v>
      </c>
      <c r="E5596" s="16">
        <v>10.46</v>
      </c>
      <c r="F5596" s="1">
        <v>44837</v>
      </c>
      <c r="G5596" t="s">
        <v>2004</v>
      </c>
      <c r="H5596">
        <v>5</v>
      </c>
      <c r="I5596" s="12">
        <f>Table16[[#This Row],[price]]*Table16[[#This Row],[quantity]]</f>
        <v>20.92</v>
      </c>
    </row>
    <row r="5597" spans="1:9" x14ac:dyDescent="0.3">
      <c r="A5597" t="s">
        <v>7608</v>
      </c>
      <c r="B5597" t="s">
        <v>1113</v>
      </c>
      <c r="C5597" t="s">
        <v>2008</v>
      </c>
      <c r="D5597">
        <v>5</v>
      </c>
      <c r="E5597" s="16">
        <v>26.15</v>
      </c>
      <c r="F5597" s="1">
        <v>44866</v>
      </c>
      <c r="G5597" t="s">
        <v>2004</v>
      </c>
      <c r="H5597">
        <v>4</v>
      </c>
      <c r="I5597" s="12">
        <f>Table16[[#This Row],[price]]*Table16[[#This Row],[quantity]]</f>
        <v>130.75</v>
      </c>
    </row>
    <row r="5598" spans="1:9" x14ac:dyDescent="0.3">
      <c r="A5598" t="s">
        <v>7615</v>
      </c>
      <c r="B5598" t="s">
        <v>1114</v>
      </c>
      <c r="C5598" t="s">
        <v>2011</v>
      </c>
      <c r="D5598">
        <v>2</v>
      </c>
      <c r="E5598" s="16">
        <v>81.319999999999993</v>
      </c>
      <c r="F5598" s="1">
        <v>44288</v>
      </c>
      <c r="G5598" t="s">
        <v>2058</v>
      </c>
      <c r="H5598">
        <v>3</v>
      </c>
      <c r="I5598" s="12">
        <f>Table16[[#This Row],[price]]*Table16[[#This Row],[quantity]]</f>
        <v>162.63999999999999</v>
      </c>
    </row>
    <row r="5599" spans="1:9" x14ac:dyDescent="0.3">
      <c r="A5599" t="s">
        <v>7614</v>
      </c>
      <c r="B5599" t="s">
        <v>1114</v>
      </c>
      <c r="C5599" t="s">
        <v>2001</v>
      </c>
      <c r="D5599">
        <v>4</v>
      </c>
      <c r="E5599" s="16">
        <v>1200.32</v>
      </c>
      <c r="F5599" s="1">
        <v>44328</v>
      </c>
      <c r="G5599" t="s">
        <v>2002</v>
      </c>
      <c r="H5599">
        <v>3</v>
      </c>
      <c r="I5599" s="12">
        <f>Table16[[#This Row],[price]]*Table16[[#This Row],[quantity]]</f>
        <v>4801.28</v>
      </c>
    </row>
    <row r="5600" spans="1:9" x14ac:dyDescent="0.3">
      <c r="A5600" t="s">
        <v>7617</v>
      </c>
      <c r="B5600" t="s">
        <v>1114</v>
      </c>
      <c r="C5600" t="s">
        <v>2008</v>
      </c>
      <c r="D5600">
        <v>4</v>
      </c>
      <c r="E5600" s="16">
        <v>20.92</v>
      </c>
      <c r="F5600" s="1">
        <v>44462</v>
      </c>
      <c r="G5600" t="s">
        <v>2004</v>
      </c>
      <c r="H5600">
        <v>2</v>
      </c>
      <c r="I5600" s="12">
        <f>Table16[[#This Row],[price]]*Table16[[#This Row],[quantity]]</f>
        <v>83.68</v>
      </c>
    </row>
    <row r="5601" spans="1:9" x14ac:dyDescent="0.3">
      <c r="A5601" t="s">
        <v>7616</v>
      </c>
      <c r="B5601" t="s">
        <v>1114</v>
      </c>
      <c r="C5601" t="s">
        <v>2024</v>
      </c>
      <c r="D5601">
        <v>5</v>
      </c>
      <c r="E5601" s="16">
        <v>179.2</v>
      </c>
      <c r="F5601" s="1">
        <v>44907</v>
      </c>
      <c r="G5601" t="s">
        <v>2027</v>
      </c>
      <c r="H5601">
        <v>3</v>
      </c>
      <c r="I5601" s="12">
        <f>Table16[[#This Row],[price]]*Table16[[#This Row],[quantity]]</f>
        <v>896</v>
      </c>
    </row>
    <row r="5602" spans="1:9" x14ac:dyDescent="0.3">
      <c r="A5602" t="s">
        <v>7620</v>
      </c>
      <c r="B5602" t="s">
        <v>1115</v>
      </c>
      <c r="C5602" t="s">
        <v>2001</v>
      </c>
      <c r="D5602">
        <v>4</v>
      </c>
      <c r="E5602" s="16">
        <v>1200.32</v>
      </c>
      <c r="F5602" s="1">
        <v>44465</v>
      </c>
      <c r="G5602" t="s">
        <v>2009</v>
      </c>
      <c r="H5602">
        <v>3</v>
      </c>
      <c r="I5602" s="12">
        <f>Table16[[#This Row],[price]]*Table16[[#This Row],[quantity]]</f>
        <v>4801.28</v>
      </c>
    </row>
    <row r="5603" spans="1:9" x14ac:dyDescent="0.3">
      <c r="A5603" t="s">
        <v>7619</v>
      </c>
      <c r="B5603" t="s">
        <v>1115</v>
      </c>
      <c r="C5603" t="s">
        <v>2015</v>
      </c>
      <c r="D5603">
        <v>2</v>
      </c>
      <c r="E5603" s="16">
        <v>1200.3399999999999</v>
      </c>
      <c r="F5603" s="1">
        <v>44480</v>
      </c>
      <c r="G5603" t="s">
        <v>2058</v>
      </c>
      <c r="H5603">
        <v>1</v>
      </c>
      <c r="I5603" s="12">
        <f>Table16[[#This Row],[price]]*Table16[[#This Row],[quantity]]</f>
        <v>2400.6799999999998</v>
      </c>
    </row>
    <row r="5604" spans="1:9" x14ac:dyDescent="0.3">
      <c r="A5604" t="s">
        <v>7622</v>
      </c>
      <c r="B5604" t="s">
        <v>1115</v>
      </c>
      <c r="C5604" t="s">
        <v>2001</v>
      </c>
      <c r="D5604">
        <v>3</v>
      </c>
      <c r="E5604" s="16">
        <v>900.24</v>
      </c>
      <c r="F5604" s="1">
        <v>44531</v>
      </c>
      <c r="G5604" t="s">
        <v>2027</v>
      </c>
      <c r="H5604">
        <v>3</v>
      </c>
      <c r="I5604" s="12">
        <f>Table16[[#This Row],[price]]*Table16[[#This Row],[quantity]]</f>
        <v>2700.7200000000003</v>
      </c>
    </row>
    <row r="5605" spans="1:9" x14ac:dyDescent="0.3">
      <c r="A5605" t="s">
        <v>7621</v>
      </c>
      <c r="B5605" t="s">
        <v>1115</v>
      </c>
      <c r="C5605" t="s">
        <v>2001</v>
      </c>
      <c r="D5605">
        <v>1</v>
      </c>
      <c r="E5605" s="16">
        <v>300.08</v>
      </c>
      <c r="F5605" s="1">
        <v>44591</v>
      </c>
      <c r="G5605" t="s">
        <v>2027</v>
      </c>
      <c r="H5605">
        <v>2</v>
      </c>
      <c r="I5605" s="12">
        <f>Table16[[#This Row],[price]]*Table16[[#This Row],[quantity]]</f>
        <v>300.08</v>
      </c>
    </row>
    <row r="5606" spans="1:9" x14ac:dyDescent="0.3">
      <c r="A5606" t="s">
        <v>7618</v>
      </c>
      <c r="B5606" t="s">
        <v>1115</v>
      </c>
      <c r="C5606" t="s">
        <v>2001</v>
      </c>
      <c r="D5606">
        <v>1</v>
      </c>
      <c r="E5606" s="16">
        <v>300.08</v>
      </c>
      <c r="F5606" s="1">
        <v>44713</v>
      </c>
      <c r="G5606" t="s">
        <v>2027</v>
      </c>
      <c r="H5606">
        <v>3</v>
      </c>
      <c r="I5606" s="12">
        <f>Table16[[#This Row],[price]]*Table16[[#This Row],[quantity]]</f>
        <v>300.08</v>
      </c>
    </row>
    <row r="5607" spans="1:9" x14ac:dyDescent="0.3">
      <c r="A5607" t="s">
        <v>7623</v>
      </c>
      <c r="B5607" t="s">
        <v>1115</v>
      </c>
      <c r="C5607" t="s">
        <v>2015</v>
      </c>
      <c r="D5607">
        <v>1</v>
      </c>
      <c r="E5607" s="16">
        <v>600.16999999999996</v>
      </c>
      <c r="F5607" s="1">
        <v>44717</v>
      </c>
      <c r="G5607" t="s">
        <v>2058</v>
      </c>
      <c r="H5607">
        <v>2</v>
      </c>
      <c r="I5607" s="12">
        <f>Table16[[#This Row],[price]]*Table16[[#This Row],[quantity]]</f>
        <v>600.16999999999996</v>
      </c>
    </row>
    <row r="5608" spans="1:9" x14ac:dyDescent="0.3">
      <c r="A5608" t="s">
        <v>7625</v>
      </c>
      <c r="B5608" t="s">
        <v>1115</v>
      </c>
      <c r="C5608" t="s">
        <v>2008</v>
      </c>
      <c r="D5608">
        <v>3</v>
      </c>
      <c r="E5608" s="16">
        <v>15.69</v>
      </c>
      <c r="F5608" s="1">
        <v>44718</v>
      </c>
      <c r="G5608" t="s">
        <v>2009</v>
      </c>
      <c r="H5608">
        <v>5</v>
      </c>
      <c r="I5608" s="12">
        <f>Table16[[#This Row],[price]]*Table16[[#This Row],[quantity]]</f>
        <v>47.07</v>
      </c>
    </row>
    <row r="5609" spans="1:9" x14ac:dyDescent="0.3">
      <c r="A5609" t="s">
        <v>7624</v>
      </c>
      <c r="B5609" t="s">
        <v>1115</v>
      </c>
      <c r="C5609" t="s">
        <v>2011</v>
      </c>
      <c r="D5609">
        <v>3</v>
      </c>
      <c r="E5609" s="16">
        <v>121.98</v>
      </c>
      <c r="F5609" s="1">
        <v>44831</v>
      </c>
      <c r="G5609" t="s">
        <v>2020</v>
      </c>
      <c r="H5609">
        <v>2</v>
      </c>
      <c r="I5609" s="12">
        <f>Table16[[#This Row],[price]]*Table16[[#This Row],[quantity]]</f>
        <v>365.94</v>
      </c>
    </row>
    <row r="5610" spans="1:9" x14ac:dyDescent="0.3">
      <c r="A5610" t="s">
        <v>7628</v>
      </c>
      <c r="B5610" t="s">
        <v>1116</v>
      </c>
      <c r="C5610" t="s">
        <v>2024</v>
      </c>
      <c r="D5610">
        <v>5</v>
      </c>
      <c r="E5610" s="16">
        <v>179.2</v>
      </c>
      <c r="F5610" s="1">
        <v>44337</v>
      </c>
      <c r="G5610" t="s">
        <v>2064</v>
      </c>
      <c r="H5610">
        <v>5</v>
      </c>
      <c r="I5610" s="12">
        <f>Table16[[#This Row],[price]]*Table16[[#This Row],[quantity]]</f>
        <v>896</v>
      </c>
    </row>
    <row r="5611" spans="1:9" x14ac:dyDescent="0.3">
      <c r="A5611" t="s">
        <v>7627</v>
      </c>
      <c r="B5611" t="s">
        <v>1116</v>
      </c>
      <c r="C5611" t="s">
        <v>2008</v>
      </c>
      <c r="D5611">
        <v>3</v>
      </c>
      <c r="E5611" s="16">
        <v>15.69</v>
      </c>
      <c r="F5611" s="1">
        <v>44827</v>
      </c>
      <c r="G5611" t="s">
        <v>2027</v>
      </c>
      <c r="H5611">
        <v>2</v>
      </c>
      <c r="I5611" s="12">
        <f>Table16[[#This Row],[price]]*Table16[[#This Row],[quantity]]</f>
        <v>47.07</v>
      </c>
    </row>
    <row r="5612" spans="1:9" x14ac:dyDescent="0.3">
      <c r="A5612" t="s">
        <v>7629</v>
      </c>
      <c r="B5612" t="s">
        <v>1116</v>
      </c>
      <c r="C5612" t="s">
        <v>2001</v>
      </c>
      <c r="D5612">
        <v>1</v>
      </c>
      <c r="E5612" s="16">
        <v>300.08</v>
      </c>
      <c r="F5612" s="1">
        <v>44832</v>
      </c>
      <c r="G5612" t="s">
        <v>2027</v>
      </c>
      <c r="H5612">
        <v>2</v>
      </c>
      <c r="I5612" s="12">
        <f>Table16[[#This Row],[price]]*Table16[[#This Row],[quantity]]</f>
        <v>300.08</v>
      </c>
    </row>
    <row r="5613" spans="1:9" x14ac:dyDescent="0.3">
      <c r="A5613" t="s">
        <v>7630</v>
      </c>
      <c r="B5613" t="s">
        <v>1116</v>
      </c>
      <c r="C5613" t="s">
        <v>2011</v>
      </c>
      <c r="D5613">
        <v>4</v>
      </c>
      <c r="E5613" s="16">
        <v>162.63999999999999</v>
      </c>
      <c r="F5613" s="1">
        <v>44870</v>
      </c>
      <c r="G5613" t="s">
        <v>2004</v>
      </c>
      <c r="H5613">
        <v>3</v>
      </c>
      <c r="I5613" s="12">
        <f>Table16[[#This Row],[price]]*Table16[[#This Row],[quantity]]</f>
        <v>650.55999999999995</v>
      </c>
    </row>
    <row r="5614" spans="1:9" x14ac:dyDescent="0.3">
      <c r="A5614" t="s">
        <v>7626</v>
      </c>
      <c r="B5614" t="s">
        <v>1116</v>
      </c>
      <c r="C5614" t="s">
        <v>2015</v>
      </c>
      <c r="D5614">
        <v>5</v>
      </c>
      <c r="E5614" s="16">
        <v>3000.85</v>
      </c>
      <c r="F5614" s="1">
        <v>44904</v>
      </c>
      <c r="G5614" t="s">
        <v>2027</v>
      </c>
      <c r="H5614">
        <v>3</v>
      </c>
      <c r="I5614" s="12">
        <f>Table16[[#This Row],[price]]*Table16[[#This Row],[quantity]]</f>
        <v>15004.25</v>
      </c>
    </row>
    <row r="5615" spans="1:9" x14ac:dyDescent="0.3">
      <c r="A5615" t="s">
        <v>7632</v>
      </c>
      <c r="B5615" t="s">
        <v>1117</v>
      </c>
      <c r="C5615" t="s">
        <v>2057</v>
      </c>
      <c r="D5615">
        <v>5</v>
      </c>
      <c r="E5615" s="16">
        <v>58.65</v>
      </c>
      <c r="F5615" s="1">
        <v>44315</v>
      </c>
      <c r="G5615" t="s">
        <v>2004</v>
      </c>
      <c r="H5615">
        <v>4</v>
      </c>
      <c r="I5615" s="12">
        <f>Table16[[#This Row],[price]]*Table16[[#This Row],[quantity]]</f>
        <v>293.25</v>
      </c>
    </row>
    <row r="5616" spans="1:9" x14ac:dyDescent="0.3">
      <c r="A5616" t="s">
        <v>7633</v>
      </c>
      <c r="B5616" t="s">
        <v>1117</v>
      </c>
      <c r="C5616" t="s">
        <v>2008</v>
      </c>
      <c r="D5616">
        <v>5</v>
      </c>
      <c r="E5616" s="16">
        <v>26.15</v>
      </c>
      <c r="F5616" s="1">
        <v>44430</v>
      </c>
      <c r="G5616" t="s">
        <v>2004</v>
      </c>
      <c r="H5616">
        <v>5</v>
      </c>
      <c r="I5616" s="12">
        <f>Table16[[#This Row],[price]]*Table16[[#This Row],[quantity]]</f>
        <v>130.75</v>
      </c>
    </row>
    <row r="5617" spans="1:9" x14ac:dyDescent="0.3">
      <c r="A5617" t="s">
        <v>7631</v>
      </c>
      <c r="B5617" t="s">
        <v>1117</v>
      </c>
      <c r="C5617" t="s">
        <v>2024</v>
      </c>
      <c r="D5617">
        <v>3</v>
      </c>
      <c r="E5617" s="16">
        <v>107.52</v>
      </c>
      <c r="F5617" s="1">
        <v>44565</v>
      </c>
      <c r="G5617" t="s">
        <v>2027</v>
      </c>
      <c r="H5617">
        <v>2</v>
      </c>
      <c r="I5617" s="12">
        <f>Table16[[#This Row],[price]]*Table16[[#This Row],[quantity]]</f>
        <v>322.56</v>
      </c>
    </row>
    <row r="5618" spans="1:9" x14ac:dyDescent="0.3">
      <c r="A5618" t="s">
        <v>7635</v>
      </c>
      <c r="B5618" t="s">
        <v>1117</v>
      </c>
      <c r="C5618" t="s">
        <v>2011</v>
      </c>
      <c r="D5618">
        <v>2</v>
      </c>
      <c r="E5618" s="16">
        <v>81.319999999999993</v>
      </c>
      <c r="F5618" s="1">
        <v>44640</v>
      </c>
      <c r="G5618" t="s">
        <v>2027</v>
      </c>
      <c r="H5618">
        <v>2</v>
      </c>
      <c r="I5618" s="12">
        <f>Table16[[#This Row],[price]]*Table16[[#This Row],[quantity]]</f>
        <v>162.63999999999999</v>
      </c>
    </row>
    <row r="5619" spans="1:9" x14ac:dyDescent="0.3">
      <c r="A5619" t="s">
        <v>7634</v>
      </c>
      <c r="B5619" t="s">
        <v>1117</v>
      </c>
      <c r="C5619" t="s">
        <v>2001</v>
      </c>
      <c r="D5619">
        <v>2</v>
      </c>
      <c r="E5619" s="16">
        <v>600.16</v>
      </c>
      <c r="F5619" s="1">
        <v>44680</v>
      </c>
      <c r="G5619" t="s">
        <v>2018</v>
      </c>
      <c r="H5619">
        <v>5</v>
      </c>
      <c r="I5619" s="12">
        <f>Table16[[#This Row],[price]]*Table16[[#This Row],[quantity]]</f>
        <v>1200.32</v>
      </c>
    </row>
    <row r="5620" spans="1:9" x14ac:dyDescent="0.3">
      <c r="A5620" t="s">
        <v>7636</v>
      </c>
      <c r="B5620" t="s">
        <v>1118</v>
      </c>
      <c r="C5620" t="s">
        <v>2001</v>
      </c>
      <c r="D5620">
        <v>4</v>
      </c>
      <c r="E5620" s="16">
        <v>1200.32</v>
      </c>
      <c r="F5620" s="1">
        <v>44429</v>
      </c>
      <c r="G5620" t="s">
        <v>2012</v>
      </c>
      <c r="H5620">
        <v>3</v>
      </c>
      <c r="I5620" s="12">
        <f>Table16[[#This Row],[price]]*Table16[[#This Row],[quantity]]</f>
        <v>4801.28</v>
      </c>
    </row>
    <row r="5621" spans="1:9" x14ac:dyDescent="0.3">
      <c r="A5621" t="s">
        <v>7638</v>
      </c>
      <c r="B5621" t="s">
        <v>1119</v>
      </c>
      <c r="C5621" t="s">
        <v>2001</v>
      </c>
      <c r="D5621">
        <v>5</v>
      </c>
      <c r="E5621" s="16">
        <v>1500.4</v>
      </c>
      <c r="F5621" s="1">
        <v>44512</v>
      </c>
      <c r="G5621" t="s">
        <v>2018</v>
      </c>
      <c r="H5621">
        <v>2</v>
      </c>
      <c r="I5621" s="12">
        <f>Table16[[#This Row],[price]]*Table16[[#This Row],[quantity]]</f>
        <v>7502</v>
      </c>
    </row>
    <row r="5622" spans="1:9" x14ac:dyDescent="0.3">
      <c r="A5622" t="s">
        <v>7639</v>
      </c>
      <c r="B5622" t="s">
        <v>1119</v>
      </c>
      <c r="C5622" t="s">
        <v>2006</v>
      </c>
      <c r="D5622">
        <v>2</v>
      </c>
      <c r="E5622" s="16">
        <v>30.3</v>
      </c>
      <c r="F5622" s="1">
        <v>44542</v>
      </c>
      <c r="G5622" t="s">
        <v>2027</v>
      </c>
      <c r="H5622">
        <v>1</v>
      </c>
      <c r="I5622" s="12">
        <f>Table16[[#This Row],[price]]*Table16[[#This Row],[quantity]]</f>
        <v>60.6</v>
      </c>
    </row>
    <row r="5623" spans="1:9" x14ac:dyDescent="0.3">
      <c r="A5623" t="s">
        <v>7640</v>
      </c>
      <c r="B5623" t="s">
        <v>1119</v>
      </c>
      <c r="C5623" t="s">
        <v>2017</v>
      </c>
      <c r="D5623">
        <v>1</v>
      </c>
      <c r="E5623" s="16">
        <v>1050</v>
      </c>
      <c r="F5623" s="1">
        <v>44629</v>
      </c>
      <c r="G5623" t="s">
        <v>2027</v>
      </c>
      <c r="H5623">
        <v>5</v>
      </c>
      <c r="I5623" s="12">
        <f>Table16[[#This Row],[price]]*Table16[[#This Row],[quantity]]</f>
        <v>1050</v>
      </c>
    </row>
    <row r="5624" spans="1:9" x14ac:dyDescent="0.3">
      <c r="A5624" t="s">
        <v>7637</v>
      </c>
      <c r="B5624" t="s">
        <v>1119</v>
      </c>
      <c r="C5624" t="s">
        <v>2011</v>
      </c>
      <c r="D5624">
        <v>5</v>
      </c>
      <c r="E5624" s="16">
        <v>203.3</v>
      </c>
      <c r="F5624" s="1">
        <v>44880</v>
      </c>
      <c r="G5624" t="s">
        <v>2002</v>
      </c>
      <c r="H5624">
        <v>2</v>
      </c>
      <c r="I5624" s="12">
        <f>Table16[[#This Row],[price]]*Table16[[#This Row],[quantity]]</f>
        <v>1016.5</v>
      </c>
    </row>
    <row r="5625" spans="1:9" x14ac:dyDescent="0.3">
      <c r="A5625" t="s">
        <v>7643</v>
      </c>
      <c r="B5625" t="s">
        <v>1120</v>
      </c>
      <c r="C5625" t="s">
        <v>2015</v>
      </c>
      <c r="D5625">
        <v>1</v>
      </c>
      <c r="E5625" s="16">
        <v>600.16999999999996</v>
      </c>
      <c r="F5625" s="1">
        <v>44405</v>
      </c>
      <c r="G5625" t="s">
        <v>2004</v>
      </c>
      <c r="H5625">
        <v>4</v>
      </c>
      <c r="I5625" s="12">
        <f>Table16[[#This Row],[price]]*Table16[[#This Row],[quantity]]</f>
        <v>600.16999999999996</v>
      </c>
    </row>
    <row r="5626" spans="1:9" x14ac:dyDescent="0.3">
      <c r="A5626" t="s">
        <v>7642</v>
      </c>
      <c r="B5626" t="s">
        <v>1120</v>
      </c>
      <c r="C5626" t="s">
        <v>2017</v>
      </c>
      <c r="D5626">
        <v>3</v>
      </c>
      <c r="E5626" s="16">
        <v>3150</v>
      </c>
      <c r="F5626" s="1">
        <v>44582</v>
      </c>
      <c r="G5626" t="s">
        <v>2027</v>
      </c>
      <c r="H5626">
        <v>5</v>
      </c>
      <c r="I5626" s="12">
        <f>Table16[[#This Row],[price]]*Table16[[#This Row],[quantity]]</f>
        <v>9450</v>
      </c>
    </row>
    <row r="5627" spans="1:9" x14ac:dyDescent="0.3">
      <c r="A5627" t="s">
        <v>7641</v>
      </c>
      <c r="B5627" t="s">
        <v>1120</v>
      </c>
      <c r="C5627" t="s">
        <v>2011</v>
      </c>
      <c r="D5627">
        <v>5</v>
      </c>
      <c r="E5627" s="16">
        <v>203.3</v>
      </c>
      <c r="F5627" s="1">
        <v>44585</v>
      </c>
      <c r="G5627" t="s">
        <v>2004</v>
      </c>
      <c r="H5627">
        <v>1</v>
      </c>
      <c r="I5627" s="12">
        <f>Table16[[#This Row],[price]]*Table16[[#This Row],[quantity]]</f>
        <v>1016.5</v>
      </c>
    </row>
    <row r="5628" spans="1:9" x14ac:dyDescent="0.3">
      <c r="A5628" t="s">
        <v>7644</v>
      </c>
      <c r="B5628" t="s">
        <v>1120</v>
      </c>
      <c r="C5628" t="s">
        <v>2057</v>
      </c>
      <c r="D5628">
        <v>3</v>
      </c>
      <c r="E5628" s="16">
        <v>35.19</v>
      </c>
      <c r="F5628" s="1">
        <v>44730</v>
      </c>
      <c r="G5628" t="s">
        <v>2027</v>
      </c>
      <c r="H5628">
        <v>3</v>
      </c>
      <c r="I5628" s="12">
        <f>Table16[[#This Row],[price]]*Table16[[#This Row],[quantity]]</f>
        <v>105.57</v>
      </c>
    </row>
    <row r="5629" spans="1:9" x14ac:dyDescent="0.3">
      <c r="A5629" t="s">
        <v>7646</v>
      </c>
      <c r="B5629" t="s">
        <v>1121</v>
      </c>
      <c r="C5629" t="s">
        <v>2001</v>
      </c>
      <c r="D5629">
        <v>4</v>
      </c>
      <c r="E5629" s="16">
        <v>1200.32</v>
      </c>
      <c r="F5629" s="1">
        <v>44312</v>
      </c>
      <c r="G5629" t="s">
        <v>2027</v>
      </c>
      <c r="H5629">
        <v>5</v>
      </c>
      <c r="I5629" s="12">
        <f>Table16[[#This Row],[price]]*Table16[[#This Row],[quantity]]</f>
        <v>4801.28</v>
      </c>
    </row>
    <row r="5630" spans="1:9" x14ac:dyDescent="0.3">
      <c r="A5630" t="s">
        <v>7653</v>
      </c>
      <c r="B5630" t="s">
        <v>1121</v>
      </c>
      <c r="C5630" t="s">
        <v>2001</v>
      </c>
      <c r="D5630">
        <v>4</v>
      </c>
      <c r="E5630" s="16">
        <v>1200.32</v>
      </c>
      <c r="F5630" s="1">
        <v>44314</v>
      </c>
      <c r="G5630" t="s">
        <v>2064</v>
      </c>
      <c r="H5630">
        <v>4</v>
      </c>
      <c r="I5630" s="12">
        <f>Table16[[#This Row],[price]]*Table16[[#This Row],[quantity]]</f>
        <v>4801.28</v>
      </c>
    </row>
    <row r="5631" spans="1:9" x14ac:dyDescent="0.3">
      <c r="A5631" t="s">
        <v>7647</v>
      </c>
      <c r="B5631" t="s">
        <v>1121</v>
      </c>
      <c r="C5631" t="s">
        <v>2057</v>
      </c>
      <c r="D5631">
        <v>2</v>
      </c>
      <c r="E5631" s="16">
        <v>23.46</v>
      </c>
      <c r="F5631" s="1">
        <v>44362</v>
      </c>
      <c r="G5631" t="s">
        <v>2004</v>
      </c>
      <c r="H5631">
        <v>3</v>
      </c>
      <c r="I5631" s="12">
        <f>Table16[[#This Row],[price]]*Table16[[#This Row],[quantity]]</f>
        <v>46.92</v>
      </c>
    </row>
    <row r="5632" spans="1:9" x14ac:dyDescent="0.3">
      <c r="A5632" t="s">
        <v>7649</v>
      </c>
      <c r="B5632" t="s">
        <v>1121</v>
      </c>
      <c r="C5632" t="s">
        <v>2011</v>
      </c>
      <c r="D5632">
        <v>3</v>
      </c>
      <c r="E5632" s="16">
        <v>121.98</v>
      </c>
      <c r="F5632" s="1">
        <v>44378</v>
      </c>
      <c r="G5632" t="s">
        <v>2064</v>
      </c>
      <c r="H5632">
        <v>2</v>
      </c>
      <c r="I5632" s="12">
        <f>Table16[[#This Row],[price]]*Table16[[#This Row],[quantity]]</f>
        <v>365.94</v>
      </c>
    </row>
    <row r="5633" spans="1:9" x14ac:dyDescent="0.3">
      <c r="A5633" t="s">
        <v>7645</v>
      </c>
      <c r="B5633" t="s">
        <v>1121</v>
      </c>
      <c r="C5633" t="s">
        <v>2015</v>
      </c>
      <c r="D5633">
        <v>5</v>
      </c>
      <c r="E5633" s="16">
        <v>3000.85</v>
      </c>
      <c r="F5633" s="1">
        <v>44434</v>
      </c>
      <c r="G5633" t="s">
        <v>2009</v>
      </c>
      <c r="H5633">
        <v>5</v>
      </c>
      <c r="I5633" s="12">
        <f>Table16[[#This Row],[price]]*Table16[[#This Row],[quantity]]</f>
        <v>15004.25</v>
      </c>
    </row>
    <row r="5634" spans="1:9" x14ac:dyDescent="0.3">
      <c r="A5634" t="s">
        <v>7654</v>
      </c>
      <c r="B5634" t="s">
        <v>1121</v>
      </c>
      <c r="C5634" t="s">
        <v>2001</v>
      </c>
      <c r="D5634">
        <v>3</v>
      </c>
      <c r="E5634" s="16">
        <v>900.24</v>
      </c>
      <c r="F5634" s="1">
        <v>44560</v>
      </c>
      <c r="G5634" t="s">
        <v>2027</v>
      </c>
      <c r="H5634">
        <v>5</v>
      </c>
      <c r="I5634" s="12">
        <f>Table16[[#This Row],[price]]*Table16[[#This Row],[quantity]]</f>
        <v>2700.7200000000003</v>
      </c>
    </row>
    <row r="5635" spans="1:9" x14ac:dyDescent="0.3">
      <c r="A5635" t="s">
        <v>7652</v>
      </c>
      <c r="B5635" t="s">
        <v>1121</v>
      </c>
      <c r="C5635" t="s">
        <v>2001</v>
      </c>
      <c r="D5635">
        <v>3</v>
      </c>
      <c r="E5635" s="16">
        <v>900.24</v>
      </c>
      <c r="F5635" s="1">
        <v>44645</v>
      </c>
      <c r="G5635" t="s">
        <v>2002</v>
      </c>
      <c r="H5635">
        <v>2</v>
      </c>
      <c r="I5635" s="12">
        <f>Table16[[#This Row],[price]]*Table16[[#This Row],[quantity]]</f>
        <v>2700.7200000000003</v>
      </c>
    </row>
    <row r="5636" spans="1:9" x14ac:dyDescent="0.3">
      <c r="A5636" t="s">
        <v>7651</v>
      </c>
      <c r="B5636" t="s">
        <v>1121</v>
      </c>
      <c r="C5636" t="s">
        <v>2008</v>
      </c>
      <c r="D5636">
        <v>2</v>
      </c>
      <c r="E5636" s="16">
        <v>10.46</v>
      </c>
      <c r="F5636" s="1">
        <v>44701</v>
      </c>
      <c r="G5636" t="s">
        <v>2020</v>
      </c>
      <c r="H5636">
        <v>3</v>
      </c>
      <c r="I5636" s="12">
        <f>Table16[[#This Row],[price]]*Table16[[#This Row],[quantity]]</f>
        <v>20.92</v>
      </c>
    </row>
    <row r="5637" spans="1:9" x14ac:dyDescent="0.3">
      <c r="A5637" t="s">
        <v>7655</v>
      </c>
      <c r="B5637" t="s">
        <v>1121</v>
      </c>
      <c r="C5637" t="s">
        <v>2024</v>
      </c>
      <c r="D5637">
        <v>4</v>
      </c>
      <c r="E5637" s="16">
        <v>143.36000000000001</v>
      </c>
      <c r="F5637" s="1">
        <v>44958</v>
      </c>
      <c r="G5637" t="s">
        <v>2058</v>
      </c>
      <c r="H5637">
        <v>1</v>
      </c>
      <c r="I5637" s="12">
        <f>Table16[[#This Row],[price]]*Table16[[#This Row],[quantity]]</f>
        <v>573.44000000000005</v>
      </c>
    </row>
    <row r="5638" spans="1:9" x14ac:dyDescent="0.3">
      <c r="A5638" t="s">
        <v>7650</v>
      </c>
      <c r="B5638" t="s">
        <v>1121</v>
      </c>
      <c r="C5638" t="s">
        <v>2001</v>
      </c>
      <c r="D5638">
        <v>4</v>
      </c>
      <c r="E5638" s="16">
        <v>1200.32</v>
      </c>
      <c r="F5638" s="1">
        <v>44961</v>
      </c>
      <c r="G5638" t="s">
        <v>2002</v>
      </c>
      <c r="H5638">
        <v>3</v>
      </c>
      <c r="I5638" s="12">
        <f>Table16[[#This Row],[price]]*Table16[[#This Row],[quantity]]</f>
        <v>4801.28</v>
      </c>
    </row>
    <row r="5639" spans="1:9" x14ac:dyDescent="0.3">
      <c r="A5639" t="s">
        <v>7648</v>
      </c>
      <c r="B5639" t="s">
        <v>1121</v>
      </c>
      <c r="C5639" t="s">
        <v>2015</v>
      </c>
      <c r="D5639">
        <v>3</v>
      </c>
      <c r="E5639" s="16">
        <v>1800.51</v>
      </c>
      <c r="F5639" s="1">
        <v>44964</v>
      </c>
      <c r="G5639" t="s">
        <v>2027</v>
      </c>
      <c r="H5639">
        <v>5</v>
      </c>
      <c r="I5639" s="12">
        <f>Table16[[#This Row],[price]]*Table16[[#This Row],[quantity]]</f>
        <v>5401.53</v>
      </c>
    </row>
    <row r="5640" spans="1:9" x14ac:dyDescent="0.3">
      <c r="A5640" t="s">
        <v>7662</v>
      </c>
      <c r="B5640" t="s">
        <v>1122</v>
      </c>
      <c r="C5640" t="s">
        <v>2008</v>
      </c>
      <c r="D5640">
        <v>4</v>
      </c>
      <c r="E5640" s="16">
        <v>20.92</v>
      </c>
      <c r="F5640" s="1">
        <v>44335</v>
      </c>
      <c r="G5640" t="s">
        <v>2004</v>
      </c>
      <c r="H5640">
        <v>1</v>
      </c>
      <c r="I5640" s="12">
        <f>Table16[[#This Row],[price]]*Table16[[#This Row],[quantity]]</f>
        <v>83.68</v>
      </c>
    </row>
    <row r="5641" spans="1:9" x14ac:dyDescent="0.3">
      <c r="A5641" t="s">
        <v>7659</v>
      </c>
      <c r="B5641" t="s">
        <v>1122</v>
      </c>
      <c r="C5641" t="s">
        <v>2001</v>
      </c>
      <c r="D5641">
        <v>2</v>
      </c>
      <c r="E5641" s="16">
        <v>600.16</v>
      </c>
      <c r="F5641" s="1">
        <v>44473</v>
      </c>
      <c r="G5641" t="s">
        <v>2027</v>
      </c>
      <c r="H5641">
        <v>3</v>
      </c>
      <c r="I5641" s="12">
        <f>Table16[[#This Row],[price]]*Table16[[#This Row],[quantity]]</f>
        <v>1200.32</v>
      </c>
    </row>
    <row r="5642" spans="1:9" x14ac:dyDescent="0.3">
      <c r="A5642" t="s">
        <v>7663</v>
      </c>
      <c r="B5642" t="s">
        <v>1122</v>
      </c>
      <c r="C5642" t="s">
        <v>2011</v>
      </c>
      <c r="D5642">
        <v>3</v>
      </c>
      <c r="E5642" s="16">
        <v>121.98</v>
      </c>
      <c r="F5642" s="1">
        <v>44632</v>
      </c>
      <c r="G5642" t="s">
        <v>2027</v>
      </c>
      <c r="H5642">
        <v>1</v>
      </c>
      <c r="I5642" s="12">
        <f>Table16[[#This Row],[price]]*Table16[[#This Row],[quantity]]</f>
        <v>365.94</v>
      </c>
    </row>
    <row r="5643" spans="1:9" x14ac:dyDescent="0.3">
      <c r="A5643" t="s">
        <v>7658</v>
      </c>
      <c r="B5643" t="s">
        <v>1122</v>
      </c>
      <c r="C5643" t="s">
        <v>2008</v>
      </c>
      <c r="D5643">
        <v>2</v>
      </c>
      <c r="E5643" s="16">
        <v>10.46</v>
      </c>
      <c r="F5643" s="1">
        <v>44664</v>
      </c>
      <c r="G5643" t="s">
        <v>2004</v>
      </c>
      <c r="H5643">
        <v>2</v>
      </c>
      <c r="I5643" s="12">
        <f>Table16[[#This Row],[price]]*Table16[[#This Row],[quantity]]</f>
        <v>20.92</v>
      </c>
    </row>
    <row r="5644" spans="1:9" x14ac:dyDescent="0.3">
      <c r="A5644" t="s">
        <v>7661</v>
      </c>
      <c r="B5644" t="s">
        <v>1122</v>
      </c>
      <c r="C5644" t="s">
        <v>2008</v>
      </c>
      <c r="D5644">
        <v>2</v>
      </c>
      <c r="E5644" s="16">
        <v>10.46</v>
      </c>
      <c r="F5644" s="1">
        <v>44693</v>
      </c>
      <c r="G5644" t="s">
        <v>2020</v>
      </c>
      <c r="H5644">
        <v>5</v>
      </c>
      <c r="I5644" s="12">
        <f>Table16[[#This Row],[price]]*Table16[[#This Row],[quantity]]</f>
        <v>20.92</v>
      </c>
    </row>
    <row r="5645" spans="1:9" x14ac:dyDescent="0.3">
      <c r="A5645" t="s">
        <v>7656</v>
      </c>
      <c r="B5645" t="s">
        <v>1122</v>
      </c>
      <c r="C5645" t="s">
        <v>2024</v>
      </c>
      <c r="D5645">
        <v>3</v>
      </c>
      <c r="E5645" s="16">
        <v>107.52</v>
      </c>
      <c r="F5645" s="1">
        <v>44751</v>
      </c>
      <c r="G5645" t="s">
        <v>2002</v>
      </c>
      <c r="H5645">
        <v>4</v>
      </c>
      <c r="I5645" s="12">
        <f>Table16[[#This Row],[price]]*Table16[[#This Row],[quantity]]</f>
        <v>322.56</v>
      </c>
    </row>
    <row r="5646" spans="1:9" x14ac:dyDescent="0.3">
      <c r="A5646" t="s">
        <v>7657</v>
      </c>
      <c r="B5646" t="s">
        <v>1122</v>
      </c>
      <c r="C5646" t="s">
        <v>2008</v>
      </c>
      <c r="D5646">
        <v>4</v>
      </c>
      <c r="E5646" s="16">
        <v>20.92</v>
      </c>
      <c r="F5646" s="1">
        <v>44753</v>
      </c>
      <c r="G5646" t="s">
        <v>2064</v>
      </c>
      <c r="H5646">
        <v>2</v>
      </c>
      <c r="I5646" s="12">
        <f>Table16[[#This Row],[price]]*Table16[[#This Row],[quantity]]</f>
        <v>83.68</v>
      </c>
    </row>
    <row r="5647" spans="1:9" x14ac:dyDescent="0.3">
      <c r="A5647" t="s">
        <v>7660</v>
      </c>
      <c r="B5647" t="s">
        <v>1122</v>
      </c>
      <c r="C5647" t="s">
        <v>2008</v>
      </c>
      <c r="D5647">
        <v>3</v>
      </c>
      <c r="E5647" s="16">
        <v>15.69</v>
      </c>
      <c r="F5647" s="1">
        <v>44895</v>
      </c>
      <c r="G5647" t="s">
        <v>2041</v>
      </c>
      <c r="H5647">
        <v>5</v>
      </c>
      <c r="I5647" s="12">
        <f>Table16[[#This Row],[price]]*Table16[[#This Row],[quantity]]</f>
        <v>47.07</v>
      </c>
    </row>
    <row r="5648" spans="1:9" x14ac:dyDescent="0.3">
      <c r="A5648" t="s">
        <v>7666</v>
      </c>
      <c r="B5648" t="s">
        <v>1123</v>
      </c>
      <c r="C5648" t="s">
        <v>2017</v>
      </c>
      <c r="D5648">
        <v>3</v>
      </c>
      <c r="E5648" s="16">
        <v>3150</v>
      </c>
      <c r="F5648" s="1">
        <v>44270</v>
      </c>
      <c r="G5648" t="s">
        <v>2020</v>
      </c>
      <c r="H5648">
        <v>4</v>
      </c>
      <c r="I5648" s="12">
        <f>Table16[[#This Row],[price]]*Table16[[#This Row],[quantity]]</f>
        <v>9450</v>
      </c>
    </row>
    <row r="5649" spans="1:9" x14ac:dyDescent="0.3">
      <c r="A5649" t="s">
        <v>7667</v>
      </c>
      <c r="B5649" t="s">
        <v>1123</v>
      </c>
      <c r="C5649" t="s">
        <v>2057</v>
      </c>
      <c r="D5649">
        <v>4</v>
      </c>
      <c r="E5649" s="16">
        <v>46.92</v>
      </c>
      <c r="F5649" s="1">
        <v>44319</v>
      </c>
      <c r="G5649" t="s">
        <v>2002</v>
      </c>
      <c r="H5649">
        <v>2</v>
      </c>
      <c r="I5649" s="12">
        <f>Table16[[#This Row],[price]]*Table16[[#This Row],[quantity]]</f>
        <v>187.68</v>
      </c>
    </row>
    <row r="5650" spans="1:9" x14ac:dyDescent="0.3">
      <c r="A5650" t="s">
        <v>7665</v>
      </c>
      <c r="B5650" t="s">
        <v>1123</v>
      </c>
      <c r="C5650" t="s">
        <v>2017</v>
      </c>
      <c r="D5650">
        <v>5</v>
      </c>
      <c r="E5650" s="16">
        <v>5250</v>
      </c>
      <c r="F5650" s="1">
        <v>44418</v>
      </c>
      <c r="G5650" t="s">
        <v>2064</v>
      </c>
      <c r="H5650">
        <v>1</v>
      </c>
      <c r="I5650" s="12">
        <f>Table16[[#This Row],[price]]*Table16[[#This Row],[quantity]]</f>
        <v>26250</v>
      </c>
    </row>
    <row r="5651" spans="1:9" x14ac:dyDescent="0.3">
      <c r="A5651" t="s">
        <v>7668</v>
      </c>
      <c r="B5651" t="s">
        <v>1123</v>
      </c>
      <c r="C5651" t="s">
        <v>2024</v>
      </c>
      <c r="D5651">
        <v>1</v>
      </c>
      <c r="E5651" s="16">
        <v>35.840000000000003</v>
      </c>
      <c r="F5651" s="1">
        <v>44618</v>
      </c>
      <c r="G5651" t="s">
        <v>2064</v>
      </c>
      <c r="H5651">
        <v>4</v>
      </c>
      <c r="I5651" s="12">
        <f>Table16[[#This Row],[price]]*Table16[[#This Row],[quantity]]</f>
        <v>35.840000000000003</v>
      </c>
    </row>
    <row r="5652" spans="1:9" x14ac:dyDescent="0.3">
      <c r="A5652" t="s">
        <v>7669</v>
      </c>
      <c r="B5652" t="s">
        <v>1123</v>
      </c>
      <c r="C5652" t="s">
        <v>2057</v>
      </c>
      <c r="D5652">
        <v>2</v>
      </c>
      <c r="E5652" s="16">
        <v>23.46</v>
      </c>
      <c r="F5652" s="1">
        <v>44623</v>
      </c>
      <c r="G5652" t="s">
        <v>2002</v>
      </c>
      <c r="H5652">
        <v>3</v>
      </c>
      <c r="I5652" s="12">
        <f>Table16[[#This Row],[price]]*Table16[[#This Row],[quantity]]</f>
        <v>46.92</v>
      </c>
    </row>
    <row r="5653" spans="1:9" x14ac:dyDescent="0.3">
      <c r="A5653" t="s">
        <v>7664</v>
      </c>
      <c r="B5653" t="s">
        <v>1123</v>
      </c>
      <c r="C5653" t="s">
        <v>2011</v>
      </c>
      <c r="D5653">
        <v>3</v>
      </c>
      <c r="E5653" s="16">
        <v>121.98</v>
      </c>
      <c r="F5653" s="1">
        <v>44819</v>
      </c>
      <c r="G5653" t="s">
        <v>2018</v>
      </c>
      <c r="H5653">
        <v>5</v>
      </c>
      <c r="I5653" s="12">
        <f>Table16[[#This Row],[price]]*Table16[[#This Row],[quantity]]</f>
        <v>365.94</v>
      </c>
    </row>
    <row r="5654" spans="1:9" x14ac:dyDescent="0.3">
      <c r="A5654" t="s">
        <v>7670</v>
      </c>
      <c r="B5654" t="s">
        <v>1123</v>
      </c>
      <c r="C5654" t="s">
        <v>2057</v>
      </c>
      <c r="D5654">
        <v>3</v>
      </c>
      <c r="E5654" s="16">
        <v>35.19</v>
      </c>
      <c r="F5654" s="1">
        <v>44883</v>
      </c>
      <c r="G5654" t="s">
        <v>2020</v>
      </c>
      <c r="H5654">
        <v>1</v>
      </c>
      <c r="I5654" s="12">
        <f>Table16[[#This Row],[price]]*Table16[[#This Row],[quantity]]</f>
        <v>105.57</v>
      </c>
    </row>
    <row r="5655" spans="1:9" x14ac:dyDescent="0.3">
      <c r="A5655" t="s">
        <v>7675</v>
      </c>
      <c r="B5655" t="s">
        <v>1124</v>
      </c>
      <c r="C5655" t="s">
        <v>2015</v>
      </c>
      <c r="D5655">
        <v>4</v>
      </c>
      <c r="E5655" s="16">
        <v>2400.6799999999998</v>
      </c>
      <c r="F5655" s="1">
        <v>44341</v>
      </c>
      <c r="G5655" t="s">
        <v>2002</v>
      </c>
      <c r="H5655">
        <v>5</v>
      </c>
      <c r="I5655" s="12">
        <f>Table16[[#This Row],[price]]*Table16[[#This Row],[quantity]]</f>
        <v>9602.7199999999993</v>
      </c>
    </row>
    <row r="5656" spans="1:9" x14ac:dyDescent="0.3">
      <c r="A5656" t="s">
        <v>7672</v>
      </c>
      <c r="B5656" t="s">
        <v>1124</v>
      </c>
      <c r="C5656" t="s">
        <v>2017</v>
      </c>
      <c r="D5656">
        <v>5</v>
      </c>
      <c r="E5656" s="16">
        <v>5250</v>
      </c>
      <c r="F5656" s="1">
        <v>44704</v>
      </c>
      <c r="G5656" t="s">
        <v>2027</v>
      </c>
      <c r="H5656">
        <v>4</v>
      </c>
      <c r="I5656" s="12">
        <f>Table16[[#This Row],[price]]*Table16[[#This Row],[quantity]]</f>
        <v>26250</v>
      </c>
    </row>
    <row r="5657" spans="1:9" x14ac:dyDescent="0.3">
      <c r="A5657" t="s">
        <v>7673</v>
      </c>
      <c r="B5657" t="s">
        <v>1124</v>
      </c>
      <c r="C5657" t="s">
        <v>2008</v>
      </c>
      <c r="D5657">
        <v>1</v>
      </c>
      <c r="E5657" s="16">
        <v>5.23</v>
      </c>
      <c r="F5657" s="1">
        <v>44930</v>
      </c>
      <c r="G5657" t="s">
        <v>2058</v>
      </c>
      <c r="H5657">
        <v>3</v>
      </c>
      <c r="I5657" s="12">
        <f>Table16[[#This Row],[price]]*Table16[[#This Row],[quantity]]</f>
        <v>5.23</v>
      </c>
    </row>
    <row r="5658" spans="1:9" x14ac:dyDescent="0.3">
      <c r="A5658" t="s">
        <v>7671</v>
      </c>
      <c r="B5658" t="s">
        <v>1124</v>
      </c>
      <c r="C5658" t="s">
        <v>2011</v>
      </c>
      <c r="D5658">
        <v>4</v>
      </c>
      <c r="E5658" s="16">
        <v>162.63999999999999</v>
      </c>
      <c r="F5658" s="1">
        <v>44941</v>
      </c>
      <c r="G5658" t="s">
        <v>2041</v>
      </c>
      <c r="H5658">
        <v>5</v>
      </c>
      <c r="I5658" s="12">
        <f>Table16[[#This Row],[price]]*Table16[[#This Row],[quantity]]</f>
        <v>650.55999999999995</v>
      </c>
    </row>
    <row r="5659" spans="1:9" x14ac:dyDescent="0.3">
      <c r="A5659" t="s">
        <v>7674</v>
      </c>
      <c r="B5659" t="s">
        <v>1124</v>
      </c>
      <c r="C5659" t="s">
        <v>2001</v>
      </c>
      <c r="D5659">
        <v>4</v>
      </c>
      <c r="E5659" s="16">
        <v>1200.32</v>
      </c>
      <c r="F5659" s="1">
        <v>44966</v>
      </c>
      <c r="G5659" t="s">
        <v>2027</v>
      </c>
      <c r="H5659">
        <v>1</v>
      </c>
      <c r="I5659" s="12">
        <f>Table16[[#This Row],[price]]*Table16[[#This Row],[quantity]]</f>
        <v>4801.28</v>
      </c>
    </row>
    <row r="5660" spans="1:9" x14ac:dyDescent="0.3">
      <c r="A5660" t="s">
        <v>7683</v>
      </c>
      <c r="B5660" t="s">
        <v>1125</v>
      </c>
      <c r="C5660" t="s">
        <v>2057</v>
      </c>
      <c r="D5660">
        <v>1</v>
      </c>
      <c r="E5660" s="16">
        <v>11.73</v>
      </c>
      <c r="F5660" s="1">
        <v>44251</v>
      </c>
      <c r="G5660" t="s">
        <v>2020</v>
      </c>
      <c r="H5660">
        <v>4</v>
      </c>
      <c r="I5660" s="12">
        <f>Table16[[#This Row],[price]]*Table16[[#This Row],[quantity]]</f>
        <v>11.73</v>
      </c>
    </row>
    <row r="5661" spans="1:9" x14ac:dyDescent="0.3">
      <c r="A5661" t="s">
        <v>7677</v>
      </c>
      <c r="B5661" t="s">
        <v>1125</v>
      </c>
      <c r="C5661" t="s">
        <v>2006</v>
      </c>
      <c r="D5661">
        <v>2</v>
      </c>
      <c r="E5661" s="16">
        <v>30.3</v>
      </c>
      <c r="F5661" s="1">
        <v>44252</v>
      </c>
      <c r="G5661" t="s">
        <v>2058</v>
      </c>
      <c r="H5661">
        <v>4</v>
      </c>
      <c r="I5661" s="12">
        <f>Table16[[#This Row],[price]]*Table16[[#This Row],[quantity]]</f>
        <v>60.6</v>
      </c>
    </row>
    <row r="5662" spans="1:9" x14ac:dyDescent="0.3">
      <c r="A5662" t="s">
        <v>7679</v>
      </c>
      <c r="B5662" t="s">
        <v>1125</v>
      </c>
      <c r="C5662" t="s">
        <v>2006</v>
      </c>
      <c r="D5662">
        <v>3</v>
      </c>
      <c r="E5662" s="16">
        <v>45.45</v>
      </c>
      <c r="F5662" s="1">
        <v>44418</v>
      </c>
      <c r="G5662" t="s">
        <v>2041</v>
      </c>
      <c r="H5662">
        <v>2</v>
      </c>
      <c r="I5662" s="12">
        <f>Table16[[#This Row],[price]]*Table16[[#This Row],[quantity]]</f>
        <v>136.35000000000002</v>
      </c>
    </row>
    <row r="5663" spans="1:9" x14ac:dyDescent="0.3">
      <c r="A5663" t="s">
        <v>7680</v>
      </c>
      <c r="B5663" t="s">
        <v>1125</v>
      </c>
      <c r="C5663" t="s">
        <v>2001</v>
      </c>
      <c r="D5663">
        <v>3</v>
      </c>
      <c r="E5663" s="16">
        <v>900.24</v>
      </c>
      <c r="F5663" s="1">
        <v>44492</v>
      </c>
      <c r="G5663" t="s">
        <v>2027</v>
      </c>
      <c r="H5663">
        <v>3</v>
      </c>
      <c r="I5663" s="12">
        <f>Table16[[#This Row],[price]]*Table16[[#This Row],[quantity]]</f>
        <v>2700.7200000000003</v>
      </c>
    </row>
    <row r="5664" spans="1:9" x14ac:dyDescent="0.3">
      <c r="A5664" t="s">
        <v>7678</v>
      </c>
      <c r="B5664" t="s">
        <v>1125</v>
      </c>
      <c r="C5664" t="s">
        <v>2008</v>
      </c>
      <c r="D5664">
        <v>3</v>
      </c>
      <c r="E5664" s="16">
        <v>15.69</v>
      </c>
      <c r="F5664" s="1">
        <v>44556</v>
      </c>
      <c r="G5664" t="s">
        <v>2027</v>
      </c>
      <c r="H5664">
        <v>3</v>
      </c>
      <c r="I5664" s="12">
        <f>Table16[[#This Row],[price]]*Table16[[#This Row],[quantity]]</f>
        <v>47.07</v>
      </c>
    </row>
    <row r="5665" spans="1:9" x14ac:dyDescent="0.3">
      <c r="A5665" t="s">
        <v>7682</v>
      </c>
      <c r="B5665" t="s">
        <v>1125</v>
      </c>
      <c r="C5665" t="s">
        <v>2057</v>
      </c>
      <c r="D5665">
        <v>3</v>
      </c>
      <c r="E5665" s="16">
        <v>35.19</v>
      </c>
      <c r="F5665" s="1">
        <v>44573</v>
      </c>
      <c r="G5665" t="s">
        <v>2004</v>
      </c>
      <c r="H5665">
        <v>4</v>
      </c>
      <c r="I5665" s="12">
        <f>Table16[[#This Row],[price]]*Table16[[#This Row],[quantity]]</f>
        <v>105.57</v>
      </c>
    </row>
    <row r="5666" spans="1:9" x14ac:dyDescent="0.3">
      <c r="A5666" t="s">
        <v>7681</v>
      </c>
      <c r="B5666" t="s">
        <v>1125</v>
      </c>
      <c r="C5666" t="s">
        <v>2011</v>
      </c>
      <c r="D5666">
        <v>1</v>
      </c>
      <c r="E5666" s="16">
        <v>40.659999999999997</v>
      </c>
      <c r="F5666" s="1">
        <v>44730</v>
      </c>
      <c r="G5666" t="s">
        <v>2002</v>
      </c>
      <c r="H5666">
        <v>1</v>
      </c>
      <c r="I5666" s="12">
        <f>Table16[[#This Row],[price]]*Table16[[#This Row],[quantity]]</f>
        <v>40.659999999999997</v>
      </c>
    </row>
    <row r="5667" spans="1:9" x14ac:dyDescent="0.3">
      <c r="A5667" t="s">
        <v>7676</v>
      </c>
      <c r="B5667" t="s">
        <v>1125</v>
      </c>
      <c r="C5667" t="s">
        <v>2017</v>
      </c>
      <c r="D5667">
        <v>1</v>
      </c>
      <c r="E5667" s="16">
        <v>1050</v>
      </c>
      <c r="F5667" s="1">
        <v>44908</v>
      </c>
      <c r="G5667" t="s">
        <v>2002</v>
      </c>
      <c r="H5667">
        <v>2</v>
      </c>
      <c r="I5667" s="12">
        <f>Table16[[#This Row],[price]]*Table16[[#This Row],[quantity]]</f>
        <v>1050</v>
      </c>
    </row>
    <row r="5668" spans="1:9" x14ac:dyDescent="0.3">
      <c r="A5668" t="s">
        <v>7689</v>
      </c>
      <c r="B5668" t="s">
        <v>1126</v>
      </c>
      <c r="C5668" t="s">
        <v>2057</v>
      </c>
      <c r="D5668">
        <v>1</v>
      </c>
      <c r="E5668" s="16">
        <v>11.73</v>
      </c>
      <c r="F5668" s="1">
        <v>44265</v>
      </c>
      <c r="G5668" t="s">
        <v>2041</v>
      </c>
      <c r="H5668">
        <v>1</v>
      </c>
      <c r="I5668" s="12">
        <f>Table16[[#This Row],[price]]*Table16[[#This Row],[quantity]]</f>
        <v>11.73</v>
      </c>
    </row>
    <row r="5669" spans="1:9" x14ac:dyDescent="0.3">
      <c r="A5669" t="s">
        <v>7685</v>
      </c>
      <c r="B5669" t="s">
        <v>1126</v>
      </c>
      <c r="C5669" t="s">
        <v>2011</v>
      </c>
      <c r="D5669">
        <v>2</v>
      </c>
      <c r="E5669" s="16">
        <v>81.319999999999993</v>
      </c>
      <c r="F5669" s="1">
        <v>44270</v>
      </c>
      <c r="G5669" t="s">
        <v>2002</v>
      </c>
      <c r="H5669">
        <v>4</v>
      </c>
      <c r="I5669" s="12">
        <f>Table16[[#This Row],[price]]*Table16[[#This Row],[quantity]]</f>
        <v>162.63999999999999</v>
      </c>
    </row>
    <row r="5670" spans="1:9" x14ac:dyDescent="0.3">
      <c r="A5670" t="s">
        <v>7690</v>
      </c>
      <c r="B5670" t="s">
        <v>1126</v>
      </c>
      <c r="C5670" t="s">
        <v>2011</v>
      </c>
      <c r="D5670">
        <v>1</v>
      </c>
      <c r="E5670" s="16">
        <v>40.659999999999997</v>
      </c>
      <c r="F5670" s="1">
        <v>44284</v>
      </c>
      <c r="G5670" t="s">
        <v>2002</v>
      </c>
      <c r="H5670">
        <v>5</v>
      </c>
      <c r="I5670" s="12">
        <f>Table16[[#This Row],[price]]*Table16[[#This Row],[quantity]]</f>
        <v>40.659999999999997</v>
      </c>
    </row>
    <row r="5671" spans="1:9" x14ac:dyDescent="0.3">
      <c r="A5671" t="s">
        <v>7686</v>
      </c>
      <c r="B5671" t="s">
        <v>1126</v>
      </c>
      <c r="C5671" t="s">
        <v>2001</v>
      </c>
      <c r="D5671">
        <v>4</v>
      </c>
      <c r="E5671" s="16">
        <v>1200.32</v>
      </c>
      <c r="F5671" s="1">
        <v>44503</v>
      </c>
      <c r="G5671" t="s">
        <v>2002</v>
      </c>
      <c r="H5671">
        <v>1</v>
      </c>
      <c r="I5671" s="12">
        <f>Table16[[#This Row],[price]]*Table16[[#This Row],[quantity]]</f>
        <v>4801.28</v>
      </c>
    </row>
    <row r="5672" spans="1:9" x14ac:dyDescent="0.3">
      <c r="A5672" t="s">
        <v>7688</v>
      </c>
      <c r="B5672" t="s">
        <v>1126</v>
      </c>
      <c r="C5672" t="s">
        <v>2008</v>
      </c>
      <c r="D5672">
        <v>3</v>
      </c>
      <c r="E5672" s="16">
        <v>15.69</v>
      </c>
      <c r="F5672" s="1">
        <v>44696</v>
      </c>
      <c r="G5672" t="s">
        <v>2002</v>
      </c>
      <c r="H5672">
        <v>4</v>
      </c>
      <c r="I5672" s="12">
        <f>Table16[[#This Row],[price]]*Table16[[#This Row],[quantity]]</f>
        <v>47.07</v>
      </c>
    </row>
    <row r="5673" spans="1:9" x14ac:dyDescent="0.3">
      <c r="A5673" t="s">
        <v>7684</v>
      </c>
      <c r="B5673" t="s">
        <v>1126</v>
      </c>
      <c r="C5673" t="s">
        <v>2006</v>
      </c>
      <c r="D5673">
        <v>5</v>
      </c>
      <c r="E5673" s="16">
        <v>75.75</v>
      </c>
      <c r="F5673" s="1">
        <v>44748</v>
      </c>
      <c r="G5673" t="s">
        <v>2012</v>
      </c>
      <c r="H5673">
        <v>4</v>
      </c>
      <c r="I5673" s="12">
        <f>Table16[[#This Row],[price]]*Table16[[#This Row],[quantity]]</f>
        <v>378.75</v>
      </c>
    </row>
    <row r="5674" spans="1:9" x14ac:dyDescent="0.3">
      <c r="A5674" t="s">
        <v>7687</v>
      </c>
      <c r="B5674" t="s">
        <v>1126</v>
      </c>
      <c r="C5674" t="s">
        <v>2011</v>
      </c>
      <c r="D5674">
        <v>1</v>
      </c>
      <c r="E5674" s="16">
        <v>40.659999999999997</v>
      </c>
      <c r="F5674" s="1">
        <v>44761</v>
      </c>
      <c r="G5674" t="s">
        <v>2002</v>
      </c>
      <c r="H5674">
        <v>5</v>
      </c>
      <c r="I5674" s="12">
        <f>Table16[[#This Row],[price]]*Table16[[#This Row],[quantity]]</f>
        <v>40.659999999999997</v>
      </c>
    </row>
    <row r="5675" spans="1:9" x14ac:dyDescent="0.3">
      <c r="A5675" t="s">
        <v>7692</v>
      </c>
      <c r="B5675" t="s">
        <v>1127</v>
      </c>
      <c r="C5675" t="s">
        <v>2001</v>
      </c>
      <c r="D5675">
        <v>3</v>
      </c>
      <c r="E5675" s="16">
        <v>900.24</v>
      </c>
      <c r="F5675" s="1">
        <v>44279</v>
      </c>
      <c r="G5675" t="s">
        <v>2064</v>
      </c>
      <c r="H5675">
        <v>1</v>
      </c>
      <c r="I5675" s="12">
        <f>Table16[[#This Row],[price]]*Table16[[#This Row],[quantity]]</f>
        <v>2700.7200000000003</v>
      </c>
    </row>
    <row r="5676" spans="1:9" x14ac:dyDescent="0.3">
      <c r="A5676" t="s">
        <v>7693</v>
      </c>
      <c r="B5676" t="s">
        <v>1127</v>
      </c>
      <c r="C5676" t="s">
        <v>2001</v>
      </c>
      <c r="D5676">
        <v>2</v>
      </c>
      <c r="E5676" s="16">
        <v>600.16</v>
      </c>
      <c r="F5676" s="1">
        <v>44613</v>
      </c>
      <c r="G5676" t="s">
        <v>2064</v>
      </c>
      <c r="H5676">
        <v>3</v>
      </c>
      <c r="I5676" s="12">
        <f>Table16[[#This Row],[price]]*Table16[[#This Row],[quantity]]</f>
        <v>1200.32</v>
      </c>
    </row>
    <row r="5677" spans="1:9" x14ac:dyDescent="0.3">
      <c r="A5677" t="s">
        <v>7691</v>
      </c>
      <c r="B5677" t="s">
        <v>1127</v>
      </c>
      <c r="C5677" t="s">
        <v>2024</v>
      </c>
      <c r="D5677">
        <v>1</v>
      </c>
      <c r="E5677" s="16">
        <v>35.840000000000003</v>
      </c>
      <c r="F5677" s="1">
        <v>44887</v>
      </c>
      <c r="G5677" t="s">
        <v>2027</v>
      </c>
      <c r="H5677">
        <v>4</v>
      </c>
      <c r="I5677" s="12">
        <f>Table16[[#This Row],[price]]*Table16[[#This Row],[quantity]]</f>
        <v>35.840000000000003</v>
      </c>
    </row>
    <row r="5678" spans="1:9" x14ac:dyDescent="0.3">
      <c r="A5678" t="s">
        <v>7694</v>
      </c>
      <c r="B5678" t="s">
        <v>1128</v>
      </c>
      <c r="C5678" t="s">
        <v>2001</v>
      </c>
      <c r="D5678">
        <v>2</v>
      </c>
      <c r="E5678" s="16">
        <v>600.16</v>
      </c>
      <c r="F5678" s="1">
        <v>44547</v>
      </c>
      <c r="G5678" t="s">
        <v>2009</v>
      </c>
      <c r="H5678">
        <v>1</v>
      </c>
      <c r="I5678" s="12">
        <f>Table16[[#This Row],[price]]*Table16[[#This Row],[quantity]]</f>
        <v>1200.32</v>
      </c>
    </row>
    <row r="5679" spans="1:9" x14ac:dyDescent="0.3">
      <c r="A5679" t="s">
        <v>7695</v>
      </c>
      <c r="B5679" t="s">
        <v>1128</v>
      </c>
      <c r="C5679" t="s">
        <v>2008</v>
      </c>
      <c r="D5679">
        <v>5</v>
      </c>
      <c r="E5679" s="16">
        <v>26.15</v>
      </c>
      <c r="F5679" s="1">
        <v>44925</v>
      </c>
      <c r="G5679" t="s">
        <v>2004</v>
      </c>
      <c r="H5679">
        <v>2</v>
      </c>
      <c r="I5679" s="12">
        <f>Table16[[#This Row],[price]]*Table16[[#This Row],[quantity]]</f>
        <v>130.75</v>
      </c>
    </row>
    <row r="5680" spans="1:9" x14ac:dyDescent="0.3">
      <c r="A5680" t="s">
        <v>7697</v>
      </c>
      <c r="B5680" t="s">
        <v>1129</v>
      </c>
      <c r="C5680" t="s">
        <v>2008</v>
      </c>
      <c r="D5680">
        <v>3</v>
      </c>
      <c r="E5680" s="16">
        <v>15.69</v>
      </c>
      <c r="F5680" s="1">
        <v>44415</v>
      </c>
      <c r="G5680" t="s">
        <v>2027</v>
      </c>
      <c r="H5680">
        <v>1</v>
      </c>
      <c r="I5680" s="12">
        <f>Table16[[#This Row],[price]]*Table16[[#This Row],[quantity]]</f>
        <v>47.07</v>
      </c>
    </row>
    <row r="5681" spans="1:9" x14ac:dyDescent="0.3">
      <c r="A5681" t="s">
        <v>7698</v>
      </c>
      <c r="B5681" t="s">
        <v>1129</v>
      </c>
      <c r="C5681" t="s">
        <v>2001</v>
      </c>
      <c r="D5681">
        <v>1</v>
      </c>
      <c r="E5681" s="16">
        <v>300.08</v>
      </c>
      <c r="F5681" s="1">
        <v>44662</v>
      </c>
      <c r="G5681" t="s">
        <v>2002</v>
      </c>
      <c r="H5681">
        <v>4</v>
      </c>
      <c r="I5681" s="12">
        <f>Table16[[#This Row],[price]]*Table16[[#This Row],[quantity]]</f>
        <v>300.08</v>
      </c>
    </row>
    <row r="5682" spans="1:9" x14ac:dyDescent="0.3">
      <c r="A5682" t="s">
        <v>7699</v>
      </c>
      <c r="B5682" t="s">
        <v>1129</v>
      </c>
      <c r="C5682" t="s">
        <v>2017</v>
      </c>
      <c r="D5682">
        <v>1</v>
      </c>
      <c r="E5682" s="16">
        <v>1050</v>
      </c>
      <c r="F5682" s="1">
        <v>44689</v>
      </c>
      <c r="G5682" t="s">
        <v>2012</v>
      </c>
      <c r="H5682">
        <v>3</v>
      </c>
      <c r="I5682" s="12">
        <f>Table16[[#This Row],[price]]*Table16[[#This Row],[quantity]]</f>
        <v>1050</v>
      </c>
    </row>
    <row r="5683" spans="1:9" x14ac:dyDescent="0.3">
      <c r="A5683" t="s">
        <v>7696</v>
      </c>
      <c r="B5683" t="s">
        <v>1129</v>
      </c>
      <c r="C5683" t="s">
        <v>2001</v>
      </c>
      <c r="D5683">
        <v>3</v>
      </c>
      <c r="E5683" s="16">
        <v>900.24</v>
      </c>
      <c r="F5683" s="1">
        <v>44920</v>
      </c>
      <c r="G5683" t="s">
        <v>2004</v>
      </c>
      <c r="H5683">
        <v>4</v>
      </c>
      <c r="I5683" s="12">
        <f>Table16[[#This Row],[price]]*Table16[[#This Row],[quantity]]</f>
        <v>2700.7200000000003</v>
      </c>
    </row>
    <row r="5684" spans="1:9" x14ac:dyDescent="0.3">
      <c r="A5684" t="s">
        <v>7700</v>
      </c>
      <c r="B5684" t="s">
        <v>1129</v>
      </c>
      <c r="C5684" t="s">
        <v>2001</v>
      </c>
      <c r="D5684">
        <v>2</v>
      </c>
      <c r="E5684" s="16">
        <v>600.16</v>
      </c>
      <c r="F5684" s="1">
        <v>44959</v>
      </c>
      <c r="G5684" t="s">
        <v>2027</v>
      </c>
      <c r="H5684">
        <v>2</v>
      </c>
      <c r="I5684" s="12">
        <f>Table16[[#This Row],[price]]*Table16[[#This Row],[quantity]]</f>
        <v>1200.32</v>
      </c>
    </row>
    <row r="5685" spans="1:9" x14ac:dyDescent="0.3">
      <c r="A5685" t="s">
        <v>7703</v>
      </c>
      <c r="B5685" t="s">
        <v>1130</v>
      </c>
      <c r="C5685" t="s">
        <v>2001</v>
      </c>
      <c r="D5685">
        <v>2</v>
      </c>
      <c r="E5685" s="16">
        <v>600.16</v>
      </c>
      <c r="F5685" s="1">
        <v>44271</v>
      </c>
      <c r="G5685" t="s">
        <v>2018</v>
      </c>
      <c r="H5685">
        <v>5</v>
      </c>
      <c r="I5685" s="12">
        <f>Table16[[#This Row],[price]]*Table16[[#This Row],[quantity]]</f>
        <v>1200.32</v>
      </c>
    </row>
    <row r="5686" spans="1:9" x14ac:dyDescent="0.3">
      <c r="A5686" t="s">
        <v>7701</v>
      </c>
      <c r="B5686" t="s">
        <v>1130</v>
      </c>
      <c r="C5686" t="s">
        <v>2024</v>
      </c>
      <c r="D5686">
        <v>3</v>
      </c>
      <c r="E5686" s="16">
        <v>107.52</v>
      </c>
      <c r="F5686" s="1">
        <v>44333</v>
      </c>
      <c r="G5686" t="s">
        <v>2064</v>
      </c>
      <c r="H5686">
        <v>3</v>
      </c>
      <c r="I5686" s="12">
        <f>Table16[[#This Row],[price]]*Table16[[#This Row],[quantity]]</f>
        <v>322.56</v>
      </c>
    </row>
    <row r="5687" spans="1:9" x14ac:dyDescent="0.3">
      <c r="A5687" t="s">
        <v>7702</v>
      </c>
      <c r="B5687" t="s">
        <v>1130</v>
      </c>
      <c r="C5687" t="s">
        <v>2011</v>
      </c>
      <c r="D5687">
        <v>3</v>
      </c>
      <c r="E5687" s="16">
        <v>121.98</v>
      </c>
      <c r="F5687" s="1">
        <v>44552</v>
      </c>
      <c r="G5687" t="s">
        <v>2004</v>
      </c>
      <c r="H5687">
        <v>2</v>
      </c>
      <c r="I5687" s="12">
        <f>Table16[[#This Row],[price]]*Table16[[#This Row],[quantity]]</f>
        <v>365.94</v>
      </c>
    </row>
    <row r="5688" spans="1:9" x14ac:dyDescent="0.3">
      <c r="A5688" t="s">
        <v>7705</v>
      </c>
      <c r="B5688" t="s">
        <v>1130</v>
      </c>
      <c r="C5688" t="s">
        <v>2015</v>
      </c>
      <c r="D5688">
        <v>4</v>
      </c>
      <c r="E5688" s="16">
        <v>2400.6799999999998</v>
      </c>
      <c r="F5688" s="1">
        <v>44554</v>
      </c>
      <c r="G5688" t="s">
        <v>2020</v>
      </c>
      <c r="H5688">
        <v>5</v>
      </c>
      <c r="I5688" s="12">
        <f>Table16[[#This Row],[price]]*Table16[[#This Row],[quantity]]</f>
        <v>9602.7199999999993</v>
      </c>
    </row>
    <row r="5689" spans="1:9" x14ac:dyDescent="0.3">
      <c r="A5689" t="s">
        <v>7704</v>
      </c>
      <c r="B5689" t="s">
        <v>1130</v>
      </c>
      <c r="C5689" t="s">
        <v>2001</v>
      </c>
      <c r="D5689">
        <v>1</v>
      </c>
      <c r="E5689" s="16">
        <v>300.08</v>
      </c>
      <c r="F5689" s="1">
        <v>44790</v>
      </c>
      <c r="G5689" t="s">
        <v>2002</v>
      </c>
      <c r="H5689">
        <v>3</v>
      </c>
      <c r="I5689" s="12">
        <f>Table16[[#This Row],[price]]*Table16[[#This Row],[quantity]]</f>
        <v>300.08</v>
      </c>
    </row>
    <row r="5690" spans="1:9" x14ac:dyDescent="0.3">
      <c r="A5690" t="s">
        <v>7706</v>
      </c>
      <c r="B5690" t="s">
        <v>1130</v>
      </c>
      <c r="C5690" t="s">
        <v>2001</v>
      </c>
      <c r="D5690">
        <v>4</v>
      </c>
      <c r="E5690" s="16">
        <v>1200.32</v>
      </c>
      <c r="F5690" s="1">
        <v>44865</v>
      </c>
      <c r="G5690" t="s">
        <v>2004</v>
      </c>
      <c r="H5690">
        <v>3</v>
      </c>
      <c r="I5690" s="12">
        <f>Table16[[#This Row],[price]]*Table16[[#This Row],[quantity]]</f>
        <v>4801.28</v>
      </c>
    </row>
    <row r="5691" spans="1:9" x14ac:dyDescent="0.3">
      <c r="A5691" t="s">
        <v>7708</v>
      </c>
      <c r="B5691" t="s">
        <v>1131</v>
      </c>
      <c r="C5691" t="s">
        <v>2001</v>
      </c>
      <c r="D5691">
        <v>4</v>
      </c>
      <c r="E5691" s="16">
        <v>1200.32</v>
      </c>
      <c r="F5691" s="1">
        <v>44213</v>
      </c>
      <c r="G5691" t="s">
        <v>2064</v>
      </c>
      <c r="H5691">
        <v>5</v>
      </c>
      <c r="I5691" s="12">
        <f>Table16[[#This Row],[price]]*Table16[[#This Row],[quantity]]</f>
        <v>4801.28</v>
      </c>
    </row>
    <row r="5692" spans="1:9" x14ac:dyDescent="0.3">
      <c r="A5692" t="s">
        <v>7709</v>
      </c>
      <c r="B5692" t="s">
        <v>1131</v>
      </c>
      <c r="C5692" t="s">
        <v>2057</v>
      </c>
      <c r="D5692">
        <v>4</v>
      </c>
      <c r="E5692" s="16">
        <v>46.92</v>
      </c>
      <c r="F5692" s="1">
        <v>44384</v>
      </c>
      <c r="G5692" t="s">
        <v>2064</v>
      </c>
      <c r="H5692">
        <v>3</v>
      </c>
      <c r="I5692" s="12">
        <f>Table16[[#This Row],[price]]*Table16[[#This Row],[quantity]]</f>
        <v>187.68</v>
      </c>
    </row>
    <row r="5693" spans="1:9" x14ac:dyDescent="0.3">
      <c r="A5693" t="s">
        <v>7710</v>
      </c>
      <c r="B5693" t="s">
        <v>1131</v>
      </c>
      <c r="C5693" t="s">
        <v>2017</v>
      </c>
      <c r="D5693">
        <v>2</v>
      </c>
      <c r="E5693" s="16">
        <v>2100</v>
      </c>
      <c r="F5693" s="1">
        <v>44505</v>
      </c>
      <c r="G5693" t="s">
        <v>2027</v>
      </c>
      <c r="H5693">
        <v>5</v>
      </c>
      <c r="I5693" s="12">
        <f>Table16[[#This Row],[price]]*Table16[[#This Row],[quantity]]</f>
        <v>4200</v>
      </c>
    </row>
    <row r="5694" spans="1:9" x14ac:dyDescent="0.3">
      <c r="A5694" t="s">
        <v>7711</v>
      </c>
      <c r="B5694" t="s">
        <v>1131</v>
      </c>
      <c r="C5694" t="s">
        <v>2057</v>
      </c>
      <c r="D5694">
        <v>3</v>
      </c>
      <c r="E5694" s="16">
        <v>35.19</v>
      </c>
      <c r="F5694" s="1">
        <v>44609</v>
      </c>
      <c r="G5694" t="s">
        <v>2027</v>
      </c>
      <c r="H5694">
        <v>5</v>
      </c>
      <c r="I5694" s="12">
        <f>Table16[[#This Row],[price]]*Table16[[#This Row],[quantity]]</f>
        <v>105.57</v>
      </c>
    </row>
    <row r="5695" spans="1:9" x14ac:dyDescent="0.3">
      <c r="A5695" t="s">
        <v>7707</v>
      </c>
      <c r="B5695" t="s">
        <v>1131</v>
      </c>
      <c r="C5695" t="s">
        <v>2011</v>
      </c>
      <c r="D5695">
        <v>4</v>
      </c>
      <c r="E5695" s="16">
        <v>162.63999999999999</v>
      </c>
      <c r="F5695" s="1">
        <v>44820</v>
      </c>
      <c r="G5695" t="s">
        <v>2004</v>
      </c>
      <c r="H5695">
        <v>4</v>
      </c>
      <c r="I5695" s="12">
        <f>Table16[[#This Row],[price]]*Table16[[#This Row],[quantity]]</f>
        <v>650.55999999999995</v>
      </c>
    </row>
    <row r="5696" spans="1:9" x14ac:dyDescent="0.3">
      <c r="A5696" t="s">
        <v>7712</v>
      </c>
      <c r="B5696" t="s">
        <v>1131</v>
      </c>
      <c r="C5696" t="s">
        <v>2001</v>
      </c>
      <c r="D5696">
        <v>4</v>
      </c>
      <c r="E5696" s="16">
        <v>1200.32</v>
      </c>
      <c r="F5696" s="1">
        <v>44938</v>
      </c>
      <c r="G5696" t="s">
        <v>2002</v>
      </c>
      <c r="H5696">
        <v>5</v>
      </c>
      <c r="I5696" s="12">
        <f>Table16[[#This Row],[price]]*Table16[[#This Row],[quantity]]</f>
        <v>4801.28</v>
      </c>
    </row>
    <row r="5697" spans="1:9" x14ac:dyDescent="0.3">
      <c r="A5697" t="s">
        <v>7714</v>
      </c>
      <c r="B5697" t="s">
        <v>1132</v>
      </c>
      <c r="C5697" t="s">
        <v>2001</v>
      </c>
      <c r="D5697">
        <v>5</v>
      </c>
      <c r="E5697" s="16">
        <v>1500.4</v>
      </c>
      <c r="F5697" s="1">
        <v>44459</v>
      </c>
      <c r="G5697" t="s">
        <v>2012</v>
      </c>
      <c r="H5697">
        <v>2</v>
      </c>
      <c r="I5697" s="12">
        <f>Table16[[#This Row],[price]]*Table16[[#This Row],[quantity]]</f>
        <v>7502</v>
      </c>
    </row>
    <row r="5698" spans="1:9" x14ac:dyDescent="0.3">
      <c r="A5698" t="s">
        <v>7713</v>
      </c>
      <c r="B5698" t="s">
        <v>1132</v>
      </c>
      <c r="C5698" t="s">
        <v>2001</v>
      </c>
      <c r="D5698">
        <v>4</v>
      </c>
      <c r="E5698" s="16">
        <v>1200.32</v>
      </c>
      <c r="F5698" s="1">
        <v>44860</v>
      </c>
      <c r="G5698" t="s">
        <v>2041</v>
      </c>
      <c r="H5698">
        <v>3</v>
      </c>
      <c r="I5698" s="12">
        <f>Table16[[#This Row],[price]]*Table16[[#This Row],[quantity]]</f>
        <v>4801.28</v>
      </c>
    </row>
    <row r="5699" spans="1:9" x14ac:dyDescent="0.3">
      <c r="A5699" t="s">
        <v>7715</v>
      </c>
      <c r="B5699" t="s">
        <v>1133</v>
      </c>
      <c r="C5699" t="s">
        <v>2001</v>
      </c>
      <c r="D5699">
        <v>3</v>
      </c>
      <c r="E5699" s="16">
        <v>900.24</v>
      </c>
      <c r="F5699" s="1">
        <v>44539</v>
      </c>
      <c r="G5699" t="s">
        <v>2002</v>
      </c>
      <c r="H5699">
        <v>5</v>
      </c>
      <c r="I5699" s="12">
        <f>Table16[[#This Row],[price]]*Table16[[#This Row],[quantity]]</f>
        <v>2700.7200000000003</v>
      </c>
    </row>
    <row r="5700" spans="1:9" x14ac:dyDescent="0.3">
      <c r="A5700" t="s">
        <v>7716</v>
      </c>
      <c r="B5700" t="s">
        <v>1133</v>
      </c>
      <c r="C5700" t="s">
        <v>2001</v>
      </c>
      <c r="D5700">
        <v>1</v>
      </c>
      <c r="E5700" s="16">
        <v>300.08</v>
      </c>
      <c r="F5700" s="1">
        <v>44785</v>
      </c>
      <c r="G5700" t="s">
        <v>2004</v>
      </c>
      <c r="H5700">
        <v>5</v>
      </c>
      <c r="I5700" s="12">
        <f>Table16[[#This Row],[price]]*Table16[[#This Row],[quantity]]</f>
        <v>300.08</v>
      </c>
    </row>
    <row r="5701" spans="1:9" x14ac:dyDescent="0.3">
      <c r="A5701" t="s">
        <v>7717</v>
      </c>
      <c r="B5701" t="s">
        <v>1133</v>
      </c>
      <c r="C5701" t="s">
        <v>2001</v>
      </c>
      <c r="D5701">
        <v>3</v>
      </c>
      <c r="E5701" s="16">
        <v>900.24</v>
      </c>
      <c r="F5701" s="1">
        <v>44886</v>
      </c>
      <c r="G5701" t="s">
        <v>2002</v>
      </c>
      <c r="H5701">
        <v>2</v>
      </c>
      <c r="I5701" s="12">
        <f>Table16[[#This Row],[price]]*Table16[[#This Row],[quantity]]</f>
        <v>2700.7200000000003</v>
      </c>
    </row>
    <row r="5702" spans="1:9" x14ac:dyDescent="0.3">
      <c r="A5702" t="s">
        <v>7718</v>
      </c>
      <c r="B5702" t="s">
        <v>1133</v>
      </c>
      <c r="C5702" t="s">
        <v>2001</v>
      </c>
      <c r="D5702">
        <v>3</v>
      </c>
      <c r="E5702" s="16">
        <v>900.24</v>
      </c>
      <c r="F5702" s="1">
        <v>44985</v>
      </c>
      <c r="G5702" t="s">
        <v>2004</v>
      </c>
      <c r="H5702">
        <v>4</v>
      </c>
      <c r="I5702" s="12">
        <f>Table16[[#This Row],[price]]*Table16[[#This Row],[quantity]]</f>
        <v>2700.7200000000003</v>
      </c>
    </row>
    <row r="5703" spans="1:9" x14ac:dyDescent="0.3">
      <c r="A5703" t="s">
        <v>7720</v>
      </c>
      <c r="B5703" t="s">
        <v>1134</v>
      </c>
      <c r="C5703" t="s">
        <v>2001</v>
      </c>
      <c r="D5703">
        <v>3</v>
      </c>
      <c r="E5703" s="16">
        <v>900.24</v>
      </c>
      <c r="F5703" s="1">
        <v>44429</v>
      </c>
      <c r="G5703" t="s">
        <v>2012</v>
      </c>
      <c r="H5703">
        <v>2</v>
      </c>
      <c r="I5703" s="12">
        <f>Table16[[#This Row],[price]]*Table16[[#This Row],[quantity]]</f>
        <v>2700.7200000000003</v>
      </c>
    </row>
    <row r="5704" spans="1:9" x14ac:dyDescent="0.3">
      <c r="A5704" t="s">
        <v>7719</v>
      </c>
      <c r="B5704" t="s">
        <v>1134</v>
      </c>
      <c r="C5704" t="s">
        <v>2008</v>
      </c>
      <c r="D5704">
        <v>5</v>
      </c>
      <c r="E5704" s="16">
        <v>26.15</v>
      </c>
      <c r="F5704" s="1">
        <v>44655</v>
      </c>
      <c r="G5704" t="s">
        <v>2041</v>
      </c>
      <c r="H5704">
        <v>3</v>
      </c>
      <c r="I5704" s="12">
        <f>Table16[[#This Row],[price]]*Table16[[#This Row],[quantity]]</f>
        <v>130.75</v>
      </c>
    </row>
    <row r="5705" spans="1:9" x14ac:dyDescent="0.3">
      <c r="A5705" t="s">
        <v>7721</v>
      </c>
      <c r="B5705" t="s">
        <v>1135</v>
      </c>
      <c r="C5705" t="s">
        <v>2017</v>
      </c>
      <c r="D5705">
        <v>1</v>
      </c>
      <c r="E5705" s="16">
        <v>1050</v>
      </c>
      <c r="F5705" s="1">
        <v>44579</v>
      </c>
      <c r="G5705" t="s">
        <v>2064</v>
      </c>
      <c r="H5705">
        <v>1</v>
      </c>
      <c r="I5705" s="12">
        <f>Table16[[#This Row],[price]]*Table16[[#This Row],[quantity]]</f>
        <v>1050</v>
      </c>
    </row>
    <row r="5706" spans="1:9" x14ac:dyDescent="0.3">
      <c r="A5706" t="s">
        <v>7727</v>
      </c>
      <c r="B5706" t="s">
        <v>1136</v>
      </c>
      <c r="C5706" t="s">
        <v>2017</v>
      </c>
      <c r="D5706">
        <v>2</v>
      </c>
      <c r="E5706" s="16">
        <v>2100</v>
      </c>
      <c r="F5706" s="1">
        <v>44619</v>
      </c>
      <c r="G5706" t="s">
        <v>2002</v>
      </c>
      <c r="H5706">
        <v>2</v>
      </c>
      <c r="I5706" s="12">
        <f>Table16[[#This Row],[price]]*Table16[[#This Row],[quantity]]</f>
        <v>4200</v>
      </c>
    </row>
    <row r="5707" spans="1:9" x14ac:dyDescent="0.3">
      <c r="A5707" t="s">
        <v>7726</v>
      </c>
      <c r="B5707" t="s">
        <v>1136</v>
      </c>
      <c r="C5707" t="s">
        <v>2011</v>
      </c>
      <c r="D5707">
        <v>2</v>
      </c>
      <c r="E5707" s="16">
        <v>81.319999999999993</v>
      </c>
      <c r="F5707" s="1">
        <v>44748</v>
      </c>
      <c r="G5707" t="s">
        <v>2002</v>
      </c>
      <c r="H5707">
        <v>5</v>
      </c>
      <c r="I5707" s="12">
        <f>Table16[[#This Row],[price]]*Table16[[#This Row],[quantity]]</f>
        <v>162.63999999999999</v>
      </c>
    </row>
    <row r="5708" spans="1:9" x14ac:dyDescent="0.3">
      <c r="A5708" t="s">
        <v>7724</v>
      </c>
      <c r="B5708" t="s">
        <v>1136</v>
      </c>
      <c r="C5708" t="s">
        <v>2057</v>
      </c>
      <c r="D5708">
        <v>4</v>
      </c>
      <c r="E5708" s="16">
        <v>46.92</v>
      </c>
      <c r="F5708" s="1">
        <v>44795</v>
      </c>
      <c r="G5708" t="s">
        <v>2004</v>
      </c>
      <c r="H5708">
        <v>3</v>
      </c>
      <c r="I5708" s="12">
        <f>Table16[[#This Row],[price]]*Table16[[#This Row],[quantity]]</f>
        <v>187.68</v>
      </c>
    </row>
    <row r="5709" spans="1:9" x14ac:dyDescent="0.3">
      <c r="A5709" t="s">
        <v>7725</v>
      </c>
      <c r="B5709" t="s">
        <v>1136</v>
      </c>
      <c r="C5709" t="s">
        <v>2001</v>
      </c>
      <c r="D5709">
        <v>1</v>
      </c>
      <c r="E5709" s="16">
        <v>300.08</v>
      </c>
      <c r="F5709" s="1">
        <v>44864</v>
      </c>
      <c r="G5709" t="s">
        <v>2002</v>
      </c>
      <c r="H5709">
        <v>1</v>
      </c>
      <c r="I5709" s="12">
        <f>Table16[[#This Row],[price]]*Table16[[#This Row],[quantity]]</f>
        <v>300.08</v>
      </c>
    </row>
    <row r="5710" spans="1:9" x14ac:dyDescent="0.3">
      <c r="A5710" t="s">
        <v>7722</v>
      </c>
      <c r="B5710" t="s">
        <v>1136</v>
      </c>
      <c r="C5710" t="s">
        <v>2001</v>
      </c>
      <c r="D5710">
        <v>4</v>
      </c>
      <c r="E5710" s="16">
        <v>1200.32</v>
      </c>
      <c r="F5710" s="1">
        <v>44871</v>
      </c>
      <c r="G5710" t="s">
        <v>2002</v>
      </c>
      <c r="H5710">
        <v>2</v>
      </c>
      <c r="I5710" s="12">
        <f>Table16[[#This Row],[price]]*Table16[[#This Row],[quantity]]</f>
        <v>4801.28</v>
      </c>
    </row>
    <row r="5711" spans="1:9" x14ac:dyDescent="0.3">
      <c r="A5711" t="s">
        <v>7723</v>
      </c>
      <c r="B5711" t="s">
        <v>1136</v>
      </c>
      <c r="C5711" t="s">
        <v>2011</v>
      </c>
      <c r="D5711">
        <v>5</v>
      </c>
      <c r="E5711" s="16">
        <v>203.3</v>
      </c>
      <c r="F5711" s="1">
        <v>44951</v>
      </c>
      <c r="G5711" t="s">
        <v>2009</v>
      </c>
      <c r="H5711">
        <v>2</v>
      </c>
      <c r="I5711" s="12">
        <f>Table16[[#This Row],[price]]*Table16[[#This Row],[quantity]]</f>
        <v>1016.5</v>
      </c>
    </row>
    <row r="5712" spans="1:9" x14ac:dyDescent="0.3">
      <c r="A5712" t="s">
        <v>7728</v>
      </c>
      <c r="B5712" t="s">
        <v>1137</v>
      </c>
      <c r="C5712" t="s">
        <v>2008</v>
      </c>
      <c r="D5712">
        <v>4</v>
      </c>
      <c r="E5712" s="16">
        <v>20.92</v>
      </c>
      <c r="F5712" s="1">
        <v>44488</v>
      </c>
      <c r="G5712" t="s">
        <v>2012</v>
      </c>
      <c r="H5712">
        <v>5</v>
      </c>
      <c r="I5712" s="12">
        <f>Table16[[#This Row],[price]]*Table16[[#This Row],[quantity]]</f>
        <v>83.68</v>
      </c>
    </row>
    <row r="5713" spans="1:9" x14ac:dyDescent="0.3">
      <c r="A5713" t="s">
        <v>7730</v>
      </c>
      <c r="B5713" t="s">
        <v>1137</v>
      </c>
      <c r="C5713" t="s">
        <v>2024</v>
      </c>
      <c r="D5713">
        <v>3</v>
      </c>
      <c r="E5713" s="16">
        <v>107.52</v>
      </c>
      <c r="F5713" s="1">
        <v>44678</v>
      </c>
      <c r="G5713" t="s">
        <v>2002</v>
      </c>
      <c r="H5713">
        <v>2</v>
      </c>
      <c r="I5713" s="12">
        <f>Table16[[#This Row],[price]]*Table16[[#This Row],[quantity]]</f>
        <v>322.56</v>
      </c>
    </row>
    <row r="5714" spans="1:9" x14ac:dyDescent="0.3">
      <c r="A5714" t="s">
        <v>7729</v>
      </c>
      <c r="B5714" t="s">
        <v>1137</v>
      </c>
      <c r="C5714" t="s">
        <v>2024</v>
      </c>
      <c r="D5714">
        <v>4</v>
      </c>
      <c r="E5714" s="16">
        <v>143.36000000000001</v>
      </c>
      <c r="F5714" s="1">
        <v>44911</v>
      </c>
      <c r="G5714" t="s">
        <v>2020</v>
      </c>
      <c r="H5714">
        <v>4</v>
      </c>
      <c r="I5714" s="12">
        <f>Table16[[#This Row],[price]]*Table16[[#This Row],[quantity]]</f>
        <v>573.44000000000005</v>
      </c>
    </row>
    <row r="5715" spans="1:9" x14ac:dyDescent="0.3">
      <c r="A5715" t="s">
        <v>7734</v>
      </c>
      <c r="B5715" t="s">
        <v>1138</v>
      </c>
      <c r="C5715" t="s">
        <v>2017</v>
      </c>
      <c r="D5715">
        <v>3</v>
      </c>
      <c r="E5715" s="16">
        <v>3150</v>
      </c>
      <c r="F5715" s="1">
        <v>44322</v>
      </c>
      <c r="G5715" t="s">
        <v>2009</v>
      </c>
      <c r="H5715">
        <v>3</v>
      </c>
      <c r="I5715" s="12">
        <f>Table16[[#This Row],[price]]*Table16[[#This Row],[quantity]]</f>
        <v>9450</v>
      </c>
    </row>
    <row r="5716" spans="1:9" x14ac:dyDescent="0.3">
      <c r="A5716" t="s">
        <v>7733</v>
      </c>
      <c r="B5716" t="s">
        <v>1138</v>
      </c>
      <c r="C5716" t="s">
        <v>2008</v>
      </c>
      <c r="D5716">
        <v>1</v>
      </c>
      <c r="E5716" s="16">
        <v>5.23</v>
      </c>
      <c r="F5716" s="1">
        <v>44612</v>
      </c>
      <c r="G5716" t="s">
        <v>2012</v>
      </c>
      <c r="H5716">
        <v>1</v>
      </c>
      <c r="I5716" s="12">
        <f>Table16[[#This Row],[price]]*Table16[[#This Row],[quantity]]</f>
        <v>5.23</v>
      </c>
    </row>
    <row r="5717" spans="1:9" x14ac:dyDescent="0.3">
      <c r="A5717" t="s">
        <v>7732</v>
      </c>
      <c r="B5717" t="s">
        <v>1138</v>
      </c>
      <c r="C5717" t="s">
        <v>2015</v>
      </c>
      <c r="D5717">
        <v>3</v>
      </c>
      <c r="E5717" s="16">
        <v>1800.51</v>
      </c>
      <c r="F5717" s="1">
        <v>44757</v>
      </c>
      <c r="G5717" t="s">
        <v>2020</v>
      </c>
      <c r="H5717">
        <v>4</v>
      </c>
      <c r="I5717" s="12">
        <f>Table16[[#This Row],[price]]*Table16[[#This Row],[quantity]]</f>
        <v>5401.53</v>
      </c>
    </row>
    <row r="5718" spans="1:9" x14ac:dyDescent="0.3">
      <c r="A5718" t="s">
        <v>7731</v>
      </c>
      <c r="B5718" t="s">
        <v>1138</v>
      </c>
      <c r="C5718" t="s">
        <v>2011</v>
      </c>
      <c r="D5718">
        <v>1</v>
      </c>
      <c r="E5718" s="16">
        <v>40.659999999999997</v>
      </c>
      <c r="F5718" s="1">
        <v>44774</v>
      </c>
      <c r="G5718" t="s">
        <v>2027</v>
      </c>
      <c r="H5718">
        <v>5</v>
      </c>
      <c r="I5718" s="12">
        <f>Table16[[#This Row],[price]]*Table16[[#This Row],[quantity]]</f>
        <v>40.659999999999997</v>
      </c>
    </row>
    <row r="5719" spans="1:9" x14ac:dyDescent="0.3">
      <c r="A5719" t="s">
        <v>7735</v>
      </c>
      <c r="B5719" t="s">
        <v>1139</v>
      </c>
      <c r="C5719" t="s">
        <v>2011</v>
      </c>
      <c r="D5719">
        <v>4</v>
      </c>
      <c r="E5719" s="16">
        <v>162.63999999999999</v>
      </c>
      <c r="F5719" s="1">
        <v>44393</v>
      </c>
      <c r="G5719" t="s">
        <v>2018</v>
      </c>
      <c r="H5719">
        <v>5</v>
      </c>
      <c r="I5719" s="12">
        <f>Table16[[#This Row],[price]]*Table16[[#This Row],[quantity]]</f>
        <v>650.55999999999995</v>
      </c>
    </row>
    <row r="5720" spans="1:9" x14ac:dyDescent="0.3">
      <c r="A5720" t="s">
        <v>7737</v>
      </c>
      <c r="B5720" t="s">
        <v>1139</v>
      </c>
      <c r="C5720" t="s">
        <v>2011</v>
      </c>
      <c r="D5720">
        <v>4</v>
      </c>
      <c r="E5720" s="16">
        <v>162.63999999999999</v>
      </c>
      <c r="F5720" s="1">
        <v>44428</v>
      </c>
      <c r="G5720" t="s">
        <v>2002</v>
      </c>
      <c r="H5720">
        <v>5</v>
      </c>
      <c r="I5720" s="12">
        <f>Table16[[#This Row],[price]]*Table16[[#This Row],[quantity]]</f>
        <v>650.55999999999995</v>
      </c>
    </row>
    <row r="5721" spans="1:9" x14ac:dyDescent="0.3">
      <c r="A5721" t="s">
        <v>7740</v>
      </c>
      <c r="B5721" t="s">
        <v>1139</v>
      </c>
      <c r="C5721" t="s">
        <v>2001</v>
      </c>
      <c r="D5721">
        <v>1</v>
      </c>
      <c r="E5721" s="16">
        <v>300.08</v>
      </c>
      <c r="F5721" s="1">
        <v>44792</v>
      </c>
      <c r="G5721" t="s">
        <v>2064</v>
      </c>
      <c r="H5721">
        <v>1</v>
      </c>
      <c r="I5721" s="12">
        <f>Table16[[#This Row],[price]]*Table16[[#This Row],[quantity]]</f>
        <v>300.08</v>
      </c>
    </row>
    <row r="5722" spans="1:9" x14ac:dyDescent="0.3">
      <c r="A5722" t="s">
        <v>7739</v>
      </c>
      <c r="B5722" t="s">
        <v>1139</v>
      </c>
      <c r="C5722" t="s">
        <v>2024</v>
      </c>
      <c r="D5722">
        <v>2</v>
      </c>
      <c r="E5722" s="16">
        <v>71.680000000000007</v>
      </c>
      <c r="F5722" s="1">
        <v>44847</v>
      </c>
      <c r="G5722" t="s">
        <v>2027</v>
      </c>
      <c r="H5722">
        <v>5</v>
      </c>
      <c r="I5722" s="12">
        <f>Table16[[#This Row],[price]]*Table16[[#This Row],[quantity]]</f>
        <v>143.36000000000001</v>
      </c>
    </row>
    <row r="5723" spans="1:9" x14ac:dyDescent="0.3">
      <c r="A5723" t="s">
        <v>7736</v>
      </c>
      <c r="B5723" t="s">
        <v>1139</v>
      </c>
      <c r="C5723" t="s">
        <v>2001</v>
      </c>
      <c r="D5723">
        <v>5</v>
      </c>
      <c r="E5723" s="16">
        <v>1500.4</v>
      </c>
      <c r="F5723" s="1">
        <v>44860</v>
      </c>
      <c r="G5723" t="s">
        <v>2009</v>
      </c>
      <c r="H5723">
        <v>5</v>
      </c>
      <c r="I5723" s="12">
        <f>Table16[[#This Row],[price]]*Table16[[#This Row],[quantity]]</f>
        <v>7502</v>
      </c>
    </row>
    <row r="5724" spans="1:9" x14ac:dyDescent="0.3">
      <c r="A5724" t="s">
        <v>7738</v>
      </c>
      <c r="B5724" t="s">
        <v>1139</v>
      </c>
      <c r="C5724" t="s">
        <v>2008</v>
      </c>
      <c r="D5724">
        <v>3</v>
      </c>
      <c r="E5724" s="16">
        <v>15.69</v>
      </c>
      <c r="F5724" s="1">
        <v>44865</v>
      </c>
      <c r="G5724" t="s">
        <v>2041</v>
      </c>
      <c r="H5724">
        <v>3</v>
      </c>
      <c r="I5724" s="12">
        <f>Table16[[#This Row],[price]]*Table16[[#This Row],[quantity]]</f>
        <v>47.07</v>
      </c>
    </row>
    <row r="5725" spans="1:9" x14ac:dyDescent="0.3">
      <c r="A5725" t="s">
        <v>7741</v>
      </c>
      <c r="B5725" t="s">
        <v>1140</v>
      </c>
      <c r="C5725" t="s">
        <v>2017</v>
      </c>
      <c r="D5725">
        <v>1</v>
      </c>
      <c r="E5725" s="16">
        <v>1050</v>
      </c>
      <c r="F5725" s="1">
        <v>44505</v>
      </c>
      <c r="G5725" t="s">
        <v>2027</v>
      </c>
      <c r="H5725">
        <v>4</v>
      </c>
      <c r="I5725" s="12">
        <f>Table16[[#This Row],[price]]*Table16[[#This Row],[quantity]]</f>
        <v>1050</v>
      </c>
    </row>
    <row r="5726" spans="1:9" x14ac:dyDescent="0.3">
      <c r="A5726" t="s">
        <v>7742</v>
      </c>
      <c r="B5726" t="s">
        <v>1140</v>
      </c>
      <c r="C5726" t="s">
        <v>2001</v>
      </c>
      <c r="D5726">
        <v>3</v>
      </c>
      <c r="E5726" s="16">
        <v>900.24</v>
      </c>
      <c r="F5726" s="1">
        <v>44836</v>
      </c>
      <c r="G5726" t="s">
        <v>2004</v>
      </c>
      <c r="H5726">
        <v>3</v>
      </c>
      <c r="I5726" s="12">
        <f>Table16[[#This Row],[price]]*Table16[[#This Row],[quantity]]</f>
        <v>2700.7200000000003</v>
      </c>
    </row>
    <row r="5727" spans="1:9" x14ac:dyDescent="0.3">
      <c r="A5727" t="s">
        <v>7743</v>
      </c>
      <c r="B5727" t="s">
        <v>1140</v>
      </c>
      <c r="C5727" t="s">
        <v>2001</v>
      </c>
      <c r="D5727">
        <v>2</v>
      </c>
      <c r="E5727" s="16">
        <v>600.16</v>
      </c>
      <c r="F5727" s="1">
        <v>44948</v>
      </c>
      <c r="G5727" t="s">
        <v>2004</v>
      </c>
      <c r="H5727">
        <v>3</v>
      </c>
      <c r="I5727" s="12">
        <f>Table16[[#This Row],[price]]*Table16[[#This Row],[quantity]]</f>
        <v>1200.32</v>
      </c>
    </row>
    <row r="5728" spans="1:9" x14ac:dyDescent="0.3">
      <c r="A5728" t="s">
        <v>7746</v>
      </c>
      <c r="B5728" t="s">
        <v>1141</v>
      </c>
      <c r="C5728" t="s">
        <v>2017</v>
      </c>
      <c r="D5728">
        <v>2</v>
      </c>
      <c r="E5728" s="16">
        <v>2100</v>
      </c>
      <c r="F5728" s="1">
        <v>44268</v>
      </c>
      <c r="G5728" t="s">
        <v>2020</v>
      </c>
      <c r="H5728">
        <v>3</v>
      </c>
      <c r="I5728" s="12">
        <f>Table16[[#This Row],[price]]*Table16[[#This Row],[quantity]]</f>
        <v>4200</v>
      </c>
    </row>
    <row r="5729" spans="1:9" x14ac:dyDescent="0.3">
      <c r="A5729" t="s">
        <v>7745</v>
      </c>
      <c r="B5729" t="s">
        <v>1141</v>
      </c>
      <c r="C5729" t="s">
        <v>2001</v>
      </c>
      <c r="D5729">
        <v>4</v>
      </c>
      <c r="E5729" s="16">
        <v>1200.32</v>
      </c>
      <c r="F5729" s="1">
        <v>44384</v>
      </c>
      <c r="G5729" t="s">
        <v>2004</v>
      </c>
      <c r="H5729">
        <v>1</v>
      </c>
      <c r="I5729" s="12">
        <f>Table16[[#This Row],[price]]*Table16[[#This Row],[quantity]]</f>
        <v>4801.28</v>
      </c>
    </row>
    <row r="5730" spans="1:9" x14ac:dyDescent="0.3">
      <c r="A5730" t="s">
        <v>7744</v>
      </c>
      <c r="B5730" t="s">
        <v>1141</v>
      </c>
      <c r="C5730" t="s">
        <v>2024</v>
      </c>
      <c r="D5730">
        <v>5</v>
      </c>
      <c r="E5730" s="16">
        <v>179.2</v>
      </c>
      <c r="F5730" s="1">
        <v>44418</v>
      </c>
      <c r="G5730" t="s">
        <v>2009</v>
      </c>
      <c r="H5730">
        <v>4</v>
      </c>
      <c r="I5730" s="12">
        <f>Table16[[#This Row],[price]]*Table16[[#This Row],[quantity]]</f>
        <v>896</v>
      </c>
    </row>
    <row r="5731" spans="1:9" x14ac:dyDescent="0.3">
      <c r="A5731" t="s">
        <v>7747</v>
      </c>
      <c r="B5731" t="s">
        <v>1142</v>
      </c>
      <c r="C5731" t="s">
        <v>2011</v>
      </c>
      <c r="D5731">
        <v>4</v>
      </c>
      <c r="E5731" s="16">
        <v>162.63999999999999</v>
      </c>
      <c r="F5731" s="1">
        <v>44444</v>
      </c>
      <c r="G5731" t="s">
        <v>2027</v>
      </c>
      <c r="H5731">
        <v>4</v>
      </c>
      <c r="I5731" s="12">
        <f>Table16[[#This Row],[price]]*Table16[[#This Row],[quantity]]</f>
        <v>650.55999999999995</v>
      </c>
    </row>
    <row r="5732" spans="1:9" x14ac:dyDescent="0.3">
      <c r="A5732" t="s">
        <v>7748</v>
      </c>
      <c r="B5732" t="s">
        <v>1142</v>
      </c>
      <c r="C5732" t="s">
        <v>2001</v>
      </c>
      <c r="D5732">
        <v>5</v>
      </c>
      <c r="E5732" s="16">
        <v>1500.4</v>
      </c>
      <c r="F5732" s="1">
        <v>44772</v>
      </c>
      <c r="G5732" t="s">
        <v>2002</v>
      </c>
      <c r="H5732">
        <v>4</v>
      </c>
      <c r="I5732" s="12">
        <f>Table16[[#This Row],[price]]*Table16[[#This Row],[quantity]]</f>
        <v>7502</v>
      </c>
    </row>
    <row r="5733" spans="1:9" x14ac:dyDescent="0.3">
      <c r="A5733" t="s">
        <v>7750</v>
      </c>
      <c r="B5733" t="s">
        <v>1143</v>
      </c>
      <c r="C5733" t="s">
        <v>2057</v>
      </c>
      <c r="D5733">
        <v>1</v>
      </c>
      <c r="E5733" s="16">
        <v>11.73</v>
      </c>
      <c r="F5733" s="1">
        <v>44326</v>
      </c>
      <c r="G5733" t="s">
        <v>2027</v>
      </c>
      <c r="H5733">
        <v>1</v>
      </c>
      <c r="I5733" s="12">
        <f>Table16[[#This Row],[price]]*Table16[[#This Row],[quantity]]</f>
        <v>11.73</v>
      </c>
    </row>
    <row r="5734" spans="1:9" x14ac:dyDescent="0.3">
      <c r="A5734" t="s">
        <v>7751</v>
      </c>
      <c r="B5734" t="s">
        <v>1143</v>
      </c>
      <c r="C5734" t="s">
        <v>2011</v>
      </c>
      <c r="D5734">
        <v>4</v>
      </c>
      <c r="E5734" s="16">
        <v>162.63999999999999</v>
      </c>
      <c r="F5734" s="1">
        <v>44494</v>
      </c>
      <c r="G5734" t="s">
        <v>2020</v>
      </c>
      <c r="H5734">
        <v>1</v>
      </c>
      <c r="I5734" s="12">
        <f>Table16[[#This Row],[price]]*Table16[[#This Row],[quantity]]</f>
        <v>650.55999999999995</v>
      </c>
    </row>
    <row r="5735" spans="1:9" x14ac:dyDescent="0.3">
      <c r="A5735" t="s">
        <v>7749</v>
      </c>
      <c r="B5735" t="s">
        <v>1143</v>
      </c>
      <c r="C5735" t="s">
        <v>2001</v>
      </c>
      <c r="D5735">
        <v>3</v>
      </c>
      <c r="E5735" s="16">
        <v>900.24</v>
      </c>
      <c r="F5735" s="1">
        <v>44529</v>
      </c>
      <c r="G5735" t="s">
        <v>2004</v>
      </c>
      <c r="H5735">
        <v>1</v>
      </c>
      <c r="I5735" s="12">
        <f>Table16[[#This Row],[price]]*Table16[[#This Row],[quantity]]</f>
        <v>2700.7200000000003</v>
      </c>
    </row>
    <row r="5736" spans="1:9" x14ac:dyDescent="0.3">
      <c r="A5736" t="s">
        <v>7752</v>
      </c>
      <c r="B5736" t="s">
        <v>1144</v>
      </c>
      <c r="C5736" t="s">
        <v>2015</v>
      </c>
      <c r="D5736">
        <v>2</v>
      </c>
      <c r="E5736" s="16">
        <v>1200.3399999999999</v>
      </c>
      <c r="F5736" s="1">
        <v>44593</v>
      </c>
      <c r="G5736" t="s">
        <v>2002</v>
      </c>
      <c r="H5736">
        <v>3</v>
      </c>
      <c r="I5736" s="12">
        <f>Table16[[#This Row],[price]]*Table16[[#This Row],[quantity]]</f>
        <v>2400.6799999999998</v>
      </c>
    </row>
    <row r="5737" spans="1:9" x14ac:dyDescent="0.3">
      <c r="A5737" t="s">
        <v>7754</v>
      </c>
      <c r="B5737" t="s">
        <v>1144</v>
      </c>
      <c r="C5737" t="s">
        <v>2015</v>
      </c>
      <c r="D5737">
        <v>4</v>
      </c>
      <c r="E5737" s="16">
        <v>2400.6799999999998</v>
      </c>
      <c r="F5737" s="1">
        <v>44674</v>
      </c>
      <c r="G5737" t="s">
        <v>2064</v>
      </c>
      <c r="H5737">
        <v>5</v>
      </c>
      <c r="I5737" s="12">
        <f>Table16[[#This Row],[price]]*Table16[[#This Row],[quantity]]</f>
        <v>9602.7199999999993</v>
      </c>
    </row>
    <row r="5738" spans="1:9" x14ac:dyDescent="0.3">
      <c r="A5738" t="s">
        <v>7753</v>
      </c>
      <c r="B5738" t="s">
        <v>1144</v>
      </c>
      <c r="C5738" t="s">
        <v>2001</v>
      </c>
      <c r="D5738">
        <v>2</v>
      </c>
      <c r="E5738" s="16">
        <v>600.16</v>
      </c>
      <c r="F5738" s="1">
        <v>44773</v>
      </c>
      <c r="G5738" t="s">
        <v>2002</v>
      </c>
      <c r="H5738">
        <v>3</v>
      </c>
      <c r="I5738" s="12">
        <f>Table16[[#This Row],[price]]*Table16[[#This Row],[quantity]]</f>
        <v>1200.32</v>
      </c>
    </row>
    <row r="5739" spans="1:9" x14ac:dyDescent="0.3">
      <c r="A5739" t="s">
        <v>7756</v>
      </c>
      <c r="B5739" t="s">
        <v>1145</v>
      </c>
      <c r="C5739" t="s">
        <v>2001</v>
      </c>
      <c r="D5739">
        <v>5</v>
      </c>
      <c r="E5739" s="16">
        <v>1500.4</v>
      </c>
      <c r="F5739" s="1">
        <v>44224</v>
      </c>
      <c r="G5739" t="s">
        <v>2004</v>
      </c>
      <c r="H5739">
        <v>5</v>
      </c>
      <c r="I5739" s="12">
        <f>Table16[[#This Row],[price]]*Table16[[#This Row],[quantity]]</f>
        <v>7502</v>
      </c>
    </row>
    <row r="5740" spans="1:9" x14ac:dyDescent="0.3">
      <c r="A5740" t="s">
        <v>7758</v>
      </c>
      <c r="B5740" t="s">
        <v>1145</v>
      </c>
      <c r="C5740" t="s">
        <v>2011</v>
      </c>
      <c r="D5740">
        <v>5</v>
      </c>
      <c r="E5740" s="16">
        <v>203.3</v>
      </c>
      <c r="F5740" s="1">
        <v>44721</v>
      </c>
      <c r="G5740" t="s">
        <v>2027</v>
      </c>
      <c r="H5740">
        <v>3</v>
      </c>
      <c r="I5740" s="12">
        <f>Table16[[#This Row],[price]]*Table16[[#This Row],[quantity]]</f>
        <v>1016.5</v>
      </c>
    </row>
    <row r="5741" spans="1:9" x14ac:dyDescent="0.3">
      <c r="A5741" t="s">
        <v>7755</v>
      </c>
      <c r="B5741" t="s">
        <v>1145</v>
      </c>
      <c r="C5741" t="s">
        <v>2017</v>
      </c>
      <c r="D5741">
        <v>3</v>
      </c>
      <c r="E5741" s="16">
        <v>3150</v>
      </c>
      <c r="F5741" s="1">
        <v>44815</v>
      </c>
      <c r="G5741" t="s">
        <v>2004</v>
      </c>
      <c r="H5741">
        <v>4</v>
      </c>
      <c r="I5741" s="12">
        <f>Table16[[#This Row],[price]]*Table16[[#This Row],[quantity]]</f>
        <v>9450</v>
      </c>
    </row>
    <row r="5742" spans="1:9" x14ac:dyDescent="0.3">
      <c r="A5742" t="s">
        <v>7757</v>
      </c>
      <c r="B5742" t="s">
        <v>1145</v>
      </c>
      <c r="C5742" t="s">
        <v>2001</v>
      </c>
      <c r="D5742">
        <v>2</v>
      </c>
      <c r="E5742" s="16">
        <v>600.16</v>
      </c>
      <c r="F5742" s="1">
        <v>44867</v>
      </c>
      <c r="G5742" t="s">
        <v>2027</v>
      </c>
      <c r="H5742">
        <v>3</v>
      </c>
      <c r="I5742" s="12">
        <f>Table16[[#This Row],[price]]*Table16[[#This Row],[quantity]]</f>
        <v>1200.32</v>
      </c>
    </row>
    <row r="5743" spans="1:9" x14ac:dyDescent="0.3">
      <c r="A5743" t="s">
        <v>7761</v>
      </c>
      <c r="B5743" t="s">
        <v>1146</v>
      </c>
      <c r="C5743" t="s">
        <v>2011</v>
      </c>
      <c r="D5743">
        <v>5</v>
      </c>
      <c r="E5743" s="16">
        <v>203.3</v>
      </c>
      <c r="F5743" s="1">
        <v>44265</v>
      </c>
      <c r="G5743" t="s">
        <v>2009</v>
      </c>
      <c r="H5743">
        <v>5</v>
      </c>
      <c r="I5743" s="12">
        <f>Table16[[#This Row],[price]]*Table16[[#This Row],[quantity]]</f>
        <v>1016.5</v>
      </c>
    </row>
    <row r="5744" spans="1:9" x14ac:dyDescent="0.3">
      <c r="A5744" t="s">
        <v>7760</v>
      </c>
      <c r="B5744" t="s">
        <v>1146</v>
      </c>
      <c r="C5744" t="s">
        <v>2017</v>
      </c>
      <c r="D5744">
        <v>4</v>
      </c>
      <c r="E5744" s="16">
        <v>4200</v>
      </c>
      <c r="F5744" s="1">
        <v>44318</v>
      </c>
      <c r="G5744" t="s">
        <v>2041</v>
      </c>
      <c r="H5744">
        <v>4</v>
      </c>
      <c r="I5744" s="12">
        <f>Table16[[#This Row],[price]]*Table16[[#This Row],[quantity]]</f>
        <v>16800</v>
      </c>
    </row>
    <row r="5745" spans="1:9" x14ac:dyDescent="0.3">
      <c r="A5745" t="s">
        <v>7763</v>
      </c>
      <c r="B5745" t="s">
        <v>1146</v>
      </c>
      <c r="C5745" t="s">
        <v>2001</v>
      </c>
      <c r="D5745">
        <v>5</v>
      </c>
      <c r="E5745" s="16">
        <v>1500.4</v>
      </c>
      <c r="F5745" s="1">
        <v>44504</v>
      </c>
      <c r="G5745" t="s">
        <v>2012</v>
      </c>
      <c r="H5745">
        <v>2</v>
      </c>
      <c r="I5745" s="12">
        <f>Table16[[#This Row],[price]]*Table16[[#This Row],[quantity]]</f>
        <v>7502</v>
      </c>
    </row>
    <row r="5746" spans="1:9" x14ac:dyDescent="0.3">
      <c r="A5746" t="s">
        <v>7759</v>
      </c>
      <c r="B5746" t="s">
        <v>1146</v>
      </c>
      <c r="C5746" t="s">
        <v>2001</v>
      </c>
      <c r="D5746">
        <v>2</v>
      </c>
      <c r="E5746" s="16">
        <v>600.16</v>
      </c>
      <c r="F5746" s="1">
        <v>44549</v>
      </c>
      <c r="G5746" t="s">
        <v>2058</v>
      </c>
      <c r="H5746">
        <v>2</v>
      </c>
      <c r="I5746" s="12">
        <f>Table16[[#This Row],[price]]*Table16[[#This Row],[quantity]]</f>
        <v>1200.32</v>
      </c>
    </row>
    <row r="5747" spans="1:9" x14ac:dyDescent="0.3">
      <c r="A5747" t="s">
        <v>7762</v>
      </c>
      <c r="B5747" t="s">
        <v>1146</v>
      </c>
      <c r="C5747" t="s">
        <v>2001</v>
      </c>
      <c r="D5747">
        <v>1</v>
      </c>
      <c r="E5747" s="16">
        <v>300.08</v>
      </c>
      <c r="F5747" s="1">
        <v>44901</v>
      </c>
      <c r="G5747" t="s">
        <v>2020</v>
      </c>
      <c r="H5747">
        <v>4</v>
      </c>
      <c r="I5747" s="12">
        <f>Table16[[#This Row],[price]]*Table16[[#This Row],[quantity]]</f>
        <v>300.08</v>
      </c>
    </row>
    <row r="5748" spans="1:9" x14ac:dyDescent="0.3">
      <c r="A5748" t="s">
        <v>7764</v>
      </c>
      <c r="B5748" t="s">
        <v>1146</v>
      </c>
      <c r="C5748" t="s">
        <v>2015</v>
      </c>
      <c r="D5748">
        <v>2</v>
      </c>
      <c r="E5748" s="16">
        <v>1200.3399999999999</v>
      </c>
      <c r="F5748" s="1">
        <v>44974</v>
      </c>
      <c r="G5748" t="s">
        <v>2002</v>
      </c>
      <c r="H5748">
        <v>4</v>
      </c>
      <c r="I5748" s="12">
        <f>Table16[[#This Row],[price]]*Table16[[#This Row],[quantity]]</f>
        <v>2400.6799999999998</v>
      </c>
    </row>
    <row r="5749" spans="1:9" x14ac:dyDescent="0.3">
      <c r="A5749" t="s">
        <v>7766</v>
      </c>
      <c r="B5749" t="s">
        <v>1147</v>
      </c>
      <c r="C5749" t="s">
        <v>2015</v>
      </c>
      <c r="D5749">
        <v>1</v>
      </c>
      <c r="E5749" s="16">
        <v>600.16999999999996</v>
      </c>
      <c r="F5749" s="1">
        <v>44722</v>
      </c>
      <c r="G5749" t="s">
        <v>2004</v>
      </c>
      <c r="H5749">
        <v>5</v>
      </c>
      <c r="I5749" s="12">
        <f>Table16[[#This Row],[price]]*Table16[[#This Row],[quantity]]</f>
        <v>600.16999999999996</v>
      </c>
    </row>
    <row r="5750" spans="1:9" x14ac:dyDescent="0.3">
      <c r="A5750" t="s">
        <v>7767</v>
      </c>
      <c r="B5750" t="s">
        <v>1147</v>
      </c>
      <c r="C5750" t="s">
        <v>2001</v>
      </c>
      <c r="D5750">
        <v>3</v>
      </c>
      <c r="E5750" s="16">
        <v>900.24</v>
      </c>
      <c r="F5750" s="1">
        <v>44921</v>
      </c>
      <c r="G5750" t="s">
        <v>2002</v>
      </c>
      <c r="H5750">
        <v>1</v>
      </c>
      <c r="I5750" s="12">
        <f>Table16[[#This Row],[price]]*Table16[[#This Row],[quantity]]</f>
        <v>2700.7200000000003</v>
      </c>
    </row>
    <row r="5751" spans="1:9" x14ac:dyDescent="0.3">
      <c r="A5751" t="s">
        <v>7765</v>
      </c>
      <c r="B5751" t="s">
        <v>1147</v>
      </c>
      <c r="C5751" t="s">
        <v>2001</v>
      </c>
      <c r="D5751">
        <v>1</v>
      </c>
      <c r="E5751" s="16">
        <v>300.08</v>
      </c>
      <c r="F5751" s="1">
        <v>44941</v>
      </c>
      <c r="G5751" t="s">
        <v>2020</v>
      </c>
      <c r="H5751">
        <v>1</v>
      </c>
      <c r="I5751" s="12">
        <f>Table16[[#This Row],[price]]*Table16[[#This Row],[quantity]]</f>
        <v>300.08</v>
      </c>
    </row>
    <row r="5752" spans="1:9" x14ac:dyDescent="0.3">
      <c r="A5752" t="s">
        <v>7770</v>
      </c>
      <c r="B5752" t="s">
        <v>1148</v>
      </c>
      <c r="C5752" t="s">
        <v>2001</v>
      </c>
      <c r="D5752">
        <v>3</v>
      </c>
      <c r="E5752" s="16">
        <v>900.24</v>
      </c>
      <c r="F5752" s="1">
        <v>44486</v>
      </c>
      <c r="G5752" t="s">
        <v>2027</v>
      </c>
      <c r="H5752">
        <v>4</v>
      </c>
      <c r="I5752" s="12">
        <f>Table16[[#This Row],[price]]*Table16[[#This Row],[quantity]]</f>
        <v>2700.7200000000003</v>
      </c>
    </row>
    <row r="5753" spans="1:9" x14ac:dyDescent="0.3">
      <c r="A5753" t="s">
        <v>7768</v>
      </c>
      <c r="B5753" t="s">
        <v>1148</v>
      </c>
      <c r="C5753" t="s">
        <v>2001</v>
      </c>
      <c r="D5753">
        <v>4</v>
      </c>
      <c r="E5753" s="16">
        <v>1200.32</v>
      </c>
      <c r="F5753" s="1">
        <v>44838</v>
      </c>
      <c r="G5753" t="s">
        <v>2041</v>
      </c>
      <c r="H5753">
        <v>2</v>
      </c>
      <c r="I5753" s="12">
        <f>Table16[[#This Row],[price]]*Table16[[#This Row],[quantity]]</f>
        <v>4801.28</v>
      </c>
    </row>
    <row r="5754" spans="1:9" x14ac:dyDescent="0.3">
      <c r="A5754" t="s">
        <v>7769</v>
      </c>
      <c r="B5754" t="s">
        <v>1148</v>
      </c>
      <c r="C5754" t="s">
        <v>2001</v>
      </c>
      <c r="D5754">
        <v>3</v>
      </c>
      <c r="E5754" s="16">
        <v>900.24</v>
      </c>
      <c r="F5754" s="1">
        <v>44878</v>
      </c>
      <c r="G5754" t="s">
        <v>2004</v>
      </c>
      <c r="H5754">
        <v>5</v>
      </c>
      <c r="I5754" s="12">
        <f>Table16[[#This Row],[price]]*Table16[[#This Row],[quantity]]</f>
        <v>2700.7200000000003</v>
      </c>
    </row>
    <row r="5755" spans="1:9" x14ac:dyDescent="0.3">
      <c r="A5755" t="s">
        <v>7773</v>
      </c>
      <c r="B5755" t="s">
        <v>1149</v>
      </c>
      <c r="C5755" t="s">
        <v>2001</v>
      </c>
      <c r="D5755">
        <v>4</v>
      </c>
      <c r="E5755" s="16">
        <v>1200.32</v>
      </c>
      <c r="F5755" s="1">
        <v>44235</v>
      </c>
      <c r="G5755" t="s">
        <v>2012</v>
      </c>
      <c r="H5755">
        <v>4</v>
      </c>
      <c r="I5755" s="12">
        <f>Table16[[#This Row],[price]]*Table16[[#This Row],[quantity]]</f>
        <v>4801.28</v>
      </c>
    </row>
    <row r="5756" spans="1:9" x14ac:dyDescent="0.3">
      <c r="A5756" t="s">
        <v>7775</v>
      </c>
      <c r="B5756" t="s">
        <v>1149</v>
      </c>
      <c r="C5756" t="s">
        <v>2017</v>
      </c>
      <c r="D5756">
        <v>2</v>
      </c>
      <c r="E5756" s="16">
        <v>2100</v>
      </c>
      <c r="F5756" s="1">
        <v>44385</v>
      </c>
      <c r="G5756" t="s">
        <v>2064</v>
      </c>
      <c r="H5756">
        <v>5</v>
      </c>
      <c r="I5756" s="12">
        <f>Table16[[#This Row],[price]]*Table16[[#This Row],[quantity]]</f>
        <v>4200</v>
      </c>
    </row>
    <row r="5757" spans="1:9" x14ac:dyDescent="0.3">
      <c r="A5757" t="s">
        <v>7774</v>
      </c>
      <c r="B5757" t="s">
        <v>1149</v>
      </c>
      <c r="C5757" t="s">
        <v>2001</v>
      </c>
      <c r="D5757">
        <v>1</v>
      </c>
      <c r="E5757" s="16">
        <v>300.08</v>
      </c>
      <c r="F5757" s="1">
        <v>44462</v>
      </c>
      <c r="G5757" t="s">
        <v>2004</v>
      </c>
      <c r="H5757">
        <v>5</v>
      </c>
      <c r="I5757" s="12">
        <f>Table16[[#This Row],[price]]*Table16[[#This Row],[quantity]]</f>
        <v>300.08</v>
      </c>
    </row>
    <row r="5758" spans="1:9" x14ac:dyDescent="0.3">
      <c r="A5758" t="s">
        <v>7777</v>
      </c>
      <c r="B5758" t="s">
        <v>1149</v>
      </c>
      <c r="C5758" t="s">
        <v>2001</v>
      </c>
      <c r="D5758">
        <v>1</v>
      </c>
      <c r="E5758" s="16">
        <v>300.08</v>
      </c>
      <c r="F5758" s="1">
        <v>44732</v>
      </c>
      <c r="G5758" t="s">
        <v>2027</v>
      </c>
      <c r="H5758">
        <v>4</v>
      </c>
      <c r="I5758" s="12">
        <f>Table16[[#This Row],[price]]*Table16[[#This Row],[quantity]]</f>
        <v>300.08</v>
      </c>
    </row>
    <row r="5759" spans="1:9" x14ac:dyDescent="0.3">
      <c r="A5759" t="s">
        <v>7776</v>
      </c>
      <c r="B5759" t="s">
        <v>1149</v>
      </c>
      <c r="C5759" t="s">
        <v>2006</v>
      </c>
      <c r="D5759">
        <v>4</v>
      </c>
      <c r="E5759" s="16">
        <v>60.6</v>
      </c>
      <c r="F5759" s="1">
        <v>44752</v>
      </c>
      <c r="G5759" t="s">
        <v>2009</v>
      </c>
      <c r="H5759">
        <v>4</v>
      </c>
      <c r="I5759" s="12">
        <f>Table16[[#This Row],[price]]*Table16[[#This Row],[quantity]]</f>
        <v>242.4</v>
      </c>
    </row>
    <row r="5760" spans="1:9" x14ac:dyDescent="0.3">
      <c r="A5760" t="s">
        <v>7772</v>
      </c>
      <c r="B5760" t="s">
        <v>1149</v>
      </c>
      <c r="C5760" t="s">
        <v>2015</v>
      </c>
      <c r="D5760">
        <v>5</v>
      </c>
      <c r="E5760" s="16">
        <v>3000.85</v>
      </c>
      <c r="F5760" s="1">
        <v>44772</v>
      </c>
      <c r="G5760" t="s">
        <v>2004</v>
      </c>
      <c r="H5760">
        <v>3</v>
      </c>
      <c r="I5760" s="12">
        <f>Table16[[#This Row],[price]]*Table16[[#This Row],[quantity]]</f>
        <v>15004.25</v>
      </c>
    </row>
    <row r="5761" spans="1:9" x14ac:dyDescent="0.3">
      <c r="A5761" t="s">
        <v>7771</v>
      </c>
      <c r="B5761" t="s">
        <v>1149</v>
      </c>
      <c r="C5761" t="s">
        <v>2017</v>
      </c>
      <c r="D5761">
        <v>5</v>
      </c>
      <c r="E5761" s="16">
        <v>5250</v>
      </c>
      <c r="F5761" s="1">
        <v>44917</v>
      </c>
      <c r="G5761" t="s">
        <v>2002</v>
      </c>
      <c r="H5761">
        <v>4</v>
      </c>
      <c r="I5761" s="12">
        <f>Table16[[#This Row],[price]]*Table16[[#This Row],[quantity]]</f>
        <v>26250</v>
      </c>
    </row>
    <row r="5762" spans="1:9" x14ac:dyDescent="0.3">
      <c r="A5762" t="s">
        <v>7778</v>
      </c>
      <c r="B5762" t="s">
        <v>1150</v>
      </c>
      <c r="C5762" t="s">
        <v>2024</v>
      </c>
      <c r="D5762">
        <v>2</v>
      </c>
      <c r="E5762" s="16">
        <v>71.680000000000007</v>
      </c>
      <c r="F5762" s="1">
        <v>44407</v>
      </c>
      <c r="G5762" t="s">
        <v>2020</v>
      </c>
      <c r="H5762">
        <v>3</v>
      </c>
      <c r="I5762" s="12">
        <f>Table16[[#This Row],[price]]*Table16[[#This Row],[quantity]]</f>
        <v>143.36000000000001</v>
      </c>
    </row>
    <row r="5763" spans="1:9" x14ac:dyDescent="0.3">
      <c r="A5763" t="s">
        <v>7779</v>
      </c>
      <c r="B5763" t="s">
        <v>1150</v>
      </c>
      <c r="C5763" t="s">
        <v>2008</v>
      </c>
      <c r="D5763">
        <v>3</v>
      </c>
      <c r="E5763" s="16">
        <v>15.69</v>
      </c>
      <c r="F5763" s="1">
        <v>44539</v>
      </c>
      <c r="G5763" t="s">
        <v>2027</v>
      </c>
      <c r="H5763">
        <v>1</v>
      </c>
      <c r="I5763" s="12">
        <f>Table16[[#This Row],[price]]*Table16[[#This Row],[quantity]]</f>
        <v>47.07</v>
      </c>
    </row>
    <row r="5764" spans="1:9" x14ac:dyDescent="0.3">
      <c r="A5764" t="s">
        <v>7780</v>
      </c>
      <c r="B5764" t="s">
        <v>1150</v>
      </c>
      <c r="C5764" t="s">
        <v>2011</v>
      </c>
      <c r="D5764">
        <v>3</v>
      </c>
      <c r="E5764" s="16">
        <v>121.98</v>
      </c>
      <c r="F5764" s="1">
        <v>44674</v>
      </c>
      <c r="G5764" t="s">
        <v>2020</v>
      </c>
      <c r="H5764">
        <v>1</v>
      </c>
      <c r="I5764" s="12">
        <f>Table16[[#This Row],[price]]*Table16[[#This Row],[quantity]]</f>
        <v>365.94</v>
      </c>
    </row>
    <row r="5765" spans="1:9" x14ac:dyDescent="0.3">
      <c r="A5765" t="s">
        <v>7781</v>
      </c>
      <c r="B5765" t="s">
        <v>1151</v>
      </c>
      <c r="C5765" t="s">
        <v>2024</v>
      </c>
      <c r="D5765">
        <v>1</v>
      </c>
      <c r="E5765" s="16">
        <v>35.840000000000003</v>
      </c>
      <c r="F5765" s="1">
        <v>44371</v>
      </c>
      <c r="G5765" t="s">
        <v>2004</v>
      </c>
      <c r="H5765">
        <v>2</v>
      </c>
      <c r="I5765" s="12">
        <f>Table16[[#This Row],[price]]*Table16[[#This Row],[quantity]]</f>
        <v>35.840000000000003</v>
      </c>
    </row>
    <row r="5766" spans="1:9" x14ac:dyDescent="0.3">
      <c r="A5766" t="s">
        <v>7783</v>
      </c>
      <c r="B5766" t="s">
        <v>1151</v>
      </c>
      <c r="C5766" t="s">
        <v>2001</v>
      </c>
      <c r="D5766">
        <v>2</v>
      </c>
      <c r="E5766" s="16">
        <v>600.16</v>
      </c>
      <c r="F5766" s="1">
        <v>44453</v>
      </c>
      <c r="G5766" t="s">
        <v>2027</v>
      </c>
      <c r="H5766">
        <v>3</v>
      </c>
      <c r="I5766" s="12">
        <f>Table16[[#This Row],[price]]*Table16[[#This Row],[quantity]]</f>
        <v>1200.32</v>
      </c>
    </row>
    <row r="5767" spans="1:9" x14ac:dyDescent="0.3">
      <c r="A5767" t="s">
        <v>7782</v>
      </c>
      <c r="B5767" t="s">
        <v>1151</v>
      </c>
      <c r="C5767" t="s">
        <v>2057</v>
      </c>
      <c r="D5767">
        <v>1</v>
      </c>
      <c r="E5767" s="16">
        <v>11.73</v>
      </c>
      <c r="F5767" s="1">
        <v>44915</v>
      </c>
      <c r="G5767" t="s">
        <v>2002</v>
      </c>
      <c r="H5767">
        <v>2</v>
      </c>
      <c r="I5767" s="12">
        <f>Table16[[#This Row],[price]]*Table16[[#This Row],[quantity]]</f>
        <v>11.73</v>
      </c>
    </row>
    <row r="5768" spans="1:9" x14ac:dyDescent="0.3">
      <c r="A5768" t="s">
        <v>7784</v>
      </c>
      <c r="B5768" t="s">
        <v>1151</v>
      </c>
      <c r="C5768" t="s">
        <v>2001</v>
      </c>
      <c r="D5768">
        <v>3</v>
      </c>
      <c r="E5768" s="16">
        <v>900.24</v>
      </c>
      <c r="F5768" s="1">
        <v>44942</v>
      </c>
      <c r="G5768" t="s">
        <v>2004</v>
      </c>
      <c r="H5768">
        <v>5</v>
      </c>
      <c r="I5768" s="12">
        <f>Table16[[#This Row],[price]]*Table16[[#This Row],[quantity]]</f>
        <v>2700.7200000000003</v>
      </c>
    </row>
    <row r="5769" spans="1:9" x14ac:dyDescent="0.3">
      <c r="A5769" t="s">
        <v>7785</v>
      </c>
      <c r="B5769" t="s">
        <v>1152</v>
      </c>
      <c r="C5769" t="s">
        <v>2015</v>
      </c>
      <c r="D5769">
        <v>1</v>
      </c>
      <c r="E5769" s="16">
        <v>600.16999999999996</v>
      </c>
      <c r="F5769" s="1">
        <v>44505</v>
      </c>
      <c r="G5769" t="s">
        <v>2027</v>
      </c>
      <c r="H5769">
        <v>1</v>
      </c>
      <c r="I5769" s="12">
        <f>Table16[[#This Row],[price]]*Table16[[#This Row],[quantity]]</f>
        <v>600.16999999999996</v>
      </c>
    </row>
    <row r="5770" spans="1:9" x14ac:dyDescent="0.3">
      <c r="A5770" t="s">
        <v>7787</v>
      </c>
      <c r="B5770" t="s">
        <v>1152</v>
      </c>
      <c r="C5770" t="s">
        <v>2057</v>
      </c>
      <c r="D5770">
        <v>1</v>
      </c>
      <c r="E5770" s="16">
        <v>11.73</v>
      </c>
      <c r="F5770" s="1">
        <v>44775</v>
      </c>
      <c r="G5770" t="s">
        <v>2041</v>
      </c>
      <c r="H5770">
        <v>3</v>
      </c>
      <c r="I5770" s="12">
        <f>Table16[[#This Row],[price]]*Table16[[#This Row],[quantity]]</f>
        <v>11.73</v>
      </c>
    </row>
    <row r="5771" spans="1:9" x14ac:dyDescent="0.3">
      <c r="A5771" t="s">
        <v>7790</v>
      </c>
      <c r="B5771" t="s">
        <v>1152</v>
      </c>
      <c r="C5771" t="s">
        <v>2015</v>
      </c>
      <c r="D5771">
        <v>5</v>
      </c>
      <c r="E5771" s="16">
        <v>3000.85</v>
      </c>
      <c r="F5771" s="1">
        <v>44782</v>
      </c>
      <c r="G5771" t="s">
        <v>2004</v>
      </c>
      <c r="H5771">
        <v>5</v>
      </c>
      <c r="I5771" s="12">
        <f>Table16[[#This Row],[price]]*Table16[[#This Row],[quantity]]</f>
        <v>15004.25</v>
      </c>
    </row>
    <row r="5772" spans="1:9" x14ac:dyDescent="0.3">
      <c r="A5772" t="s">
        <v>7791</v>
      </c>
      <c r="B5772" t="s">
        <v>1152</v>
      </c>
      <c r="C5772" t="s">
        <v>2024</v>
      </c>
      <c r="D5772">
        <v>3</v>
      </c>
      <c r="E5772" s="16">
        <v>107.52</v>
      </c>
      <c r="F5772" s="1">
        <v>44825</v>
      </c>
      <c r="G5772" t="s">
        <v>2027</v>
      </c>
      <c r="H5772">
        <v>3</v>
      </c>
      <c r="I5772" s="12">
        <f>Table16[[#This Row],[price]]*Table16[[#This Row],[quantity]]</f>
        <v>322.56</v>
      </c>
    </row>
    <row r="5773" spans="1:9" x14ac:dyDescent="0.3">
      <c r="A5773" t="s">
        <v>7786</v>
      </c>
      <c r="B5773" t="s">
        <v>1152</v>
      </c>
      <c r="C5773" t="s">
        <v>2015</v>
      </c>
      <c r="D5773">
        <v>2</v>
      </c>
      <c r="E5773" s="16">
        <v>1200.3399999999999</v>
      </c>
      <c r="F5773" s="1">
        <v>44843</v>
      </c>
      <c r="G5773" t="s">
        <v>2009</v>
      </c>
      <c r="H5773">
        <v>4</v>
      </c>
      <c r="I5773" s="12">
        <f>Table16[[#This Row],[price]]*Table16[[#This Row],[quantity]]</f>
        <v>2400.6799999999998</v>
      </c>
    </row>
    <row r="5774" spans="1:9" x14ac:dyDescent="0.3">
      <c r="A5774" t="s">
        <v>7788</v>
      </c>
      <c r="B5774" t="s">
        <v>1152</v>
      </c>
      <c r="C5774" t="s">
        <v>2001</v>
      </c>
      <c r="D5774">
        <v>4</v>
      </c>
      <c r="E5774" s="16">
        <v>1200.32</v>
      </c>
      <c r="F5774" s="1">
        <v>44906</v>
      </c>
      <c r="G5774" t="s">
        <v>2020</v>
      </c>
      <c r="H5774">
        <v>1</v>
      </c>
      <c r="I5774" s="12">
        <f>Table16[[#This Row],[price]]*Table16[[#This Row],[quantity]]</f>
        <v>4801.28</v>
      </c>
    </row>
    <row r="5775" spans="1:9" x14ac:dyDescent="0.3">
      <c r="A5775" t="s">
        <v>7789</v>
      </c>
      <c r="B5775" t="s">
        <v>1152</v>
      </c>
      <c r="C5775" t="s">
        <v>2024</v>
      </c>
      <c r="D5775">
        <v>3</v>
      </c>
      <c r="E5775" s="16">
        <v>107.52</v>
      </c>
      <c r="F5775" s="1">
        <v>44956</v>
      </c>
      <c r="G5775" t="s">
        <v>2018</v>
      </c>
      <c r="H5775">
        <v>4</v>
      </c>
      <c r="I5775" s="12">
        <f>Table16[[#This Row],[price]]*Table16[[#This Row],[quantity]]</f>
        <v>322.56</v>
      </c>
    </row>
    <row r="5776" spans="1:9" x14ac:dyDescent="0.3">
      <c r="A5776" t="s">
        <v>7793</v>
      </c>
      <c r="B5776" t="s">
        <v>1153</v>
      </c>
      <c r="C5776" t="s">
        <v>2008</v>
      </c>
      <c r="D5776">
        <v>4</v>
      </c>
      <c r="E5776" s="16">
        <v>20.92</v>
      </c>
      <c r="F5776" s="1">
        <v>44228</v>
      </c>
      <c r="G5776" t="s">
        <v>2004</v>
      </c>
      <c r="H5776">
        <v>1</v>
      </c>
      <c r="I5776" s="12">
        <f>Table16[[#This Row],[price]]*Table16[[#This Row],[quantity]]</f>
        <v>83.68</v>
      </c>
    </row>
    <row r="5777" spans="1:9" x14ac:dyDescent="0.3">
      <c r="A5777" t="s">
        <v>7792</v>
      </c>
      <c r="B5777" t="s">
        <v>1153</v>
      </c>
      <c r="C5777" t="s">
        <v>2001</v>
      </c>
      <c r="D5777">
        <v>3</v>
      </c>
      <c r="E5777" s="16">
        <v>900.24</v>
      </c>
      <c r="F5777" s="1">
        <v>44269</v>
      </c>
      <c r="G5777" t="s">
        <v>2020</v>
      </c>
      <c r="H5777">
        <v>5</v>
      </c>
      <c r="I5777" s="12">
        <f>Table16[[#This Row],[price]]*Table16[[#This Row],[quantity]]</f>
        <v>2700.7200000000003</v>
      </c>
    </row>
    <row r="5778" spans="1:9" x14ac:dyDescent="0.3">
      <c r="A5778" t="s">
        <v>7798</v>
      </c>
      <c r="B5778" t="s">
        <v>1153</v>
      </c>
      <c r="C5778" t="s">
        <v>2024</v>
      </c>
      <c r="D5778">
        <v>4</v>
      </c>
      <c r="E5778" s="16">
        <v>143.36000000000001</v>
      </c>
      <c r="F5778" s="1">
        <v>44674</v>
      </c>
      <c r="G5778" t="s">
        <v>2012</v>
      </c>
      <c r="H5778">
        <v>1</v>
      </c>
      <c r="I5778" s="12">
        <f>Table16[[#This Row],[price]]*Table16[[#This Row],[quantity]]</f>
        <v>573.44000000000005</v>
      </c>
    </row>
    <row r="5779" spans="1:9" x14ac:dyDescent="0.3">
      <c r="A5779" t="s">
        <v>7796</v>
      </c>
      <c r="B5779" t="s">
        <v>1153</v>
      </c>
      <c r="C5779" t="s">
        <v>2006</v>
      </c>
      <c r="D5779">
        <v>3</v>
      </c>
      <c r="E5779" s="16">
        <v>45.45</v>
      </c>
      <c r="F5779" s="1">
        <v>44808</v>
      </c>
      <c r="G5779" t="s">
        <v>2004</v>
      </c>
      <c r="H5779">
        <v>5</v>
      </c>
      <c r="I5779" s="12">
        <f>Table16[[#This Row],[price]]*Table16[[#This Row],[quantity]]</f>
        <v>136.35000000000002</v>
      </c>
    </row>
    <row r="5780" spans="1:9" x14ac:dyDescent="0.3">
      <c r="A5780" t="s">
        <v>7797</v>
      </c>
      <c r="B5780" t="s">
        <v>1153</v>
      </c>
      <c r="C5780" t="s">
        <v>2024</v>
      </c>
      <c r="D5780">
        <v>2</v>
      </c>
      <c r="E5780" s="16">
        <v>71.680000000000007</v>
      </c>
      <c r="F5780" s="1">
        <v>44827</v>
      </c>
      <c r="G5780" t="s">
        <v>2041</v>
      </c>
      <c r="H5780">
        <v>5</v>
      </c>
      <c r="I5780" s="12">
        <f>Table16[[#This Row],[price]]*Table16[[#This Row],[quantity]]</f>
        <v>143.36000000000001</v>
      </c>
    </row>
    <row r="5781" spans="1:9" x14ac:dyDescent="0.3">
      <c r="A5781" t="s">
        <v>7794</v>
      </c>
      <c r="B5781" t="s">
        <v>1153</v>
      </c>
      <c r="C5781" t="s">
        <v>2015</v>
      </c>
      <c r="D5781">
        <v>4</v>
      </c>
      <c r="E5781" s="16">
        <v>2400.6799999999998</v>
      </c>
      <c r="F5781" s="1">
        <v>44838</v>
      </c>
      <c r="G5781" t="s">
        <v>2009</v>
      </c>
      <c r="H5781">
        <v>3</v>
      </c>
      <c r="I5781" s="12">
        <f>Table16[[#This Row],[price]]*Table16[[#This Row],[quantity]]</f>
        <v>9602.7199999999993</v>
      </c>
    </row>
    <row r="5782" spans="1:9" x14ac:dyDescent="0.3">
      <c r="A5782" t="s">
        <v>7795</v>
      </c>
      <c r="B5782" t="s">
        <v>1153</v>
      </c>
      <c r="C5782" t="s">
        <v>2001</v>
      </c>
      <c r="D5782">
        <v>1</v>
      </c>
      <c r="E5782" s="16">
        <v>300.08</v>
      </c>
      <c r="F5782" s="1">
        <v>44941</v>
      </c>
      <c r="G5782" t="s">
        <v>2020</v>
      </c>
      <c r="H5782">
        <v>5</v>
      </c>
      <c r="I5782" s="12">
        <f>Table16[[#This Row],[price]]*Table16[[#This Row],[quantity]]</f>
        <v>300.08</v>
      </c>
    </row>
    <row r="5783" spans="1:9" x14ac:dyDescent="0.3">
      <c r="A5783" t="s">
        <v>7799</v>
      </c>
      <c r="B5783" t="s">
        <v>1154</v>
      </c>
      <c r="C5783" t="s">
        <v>2011</v>
      </c>
      <c r="D5783">
        <v>2</v>
      </c>
      <c r="E5783" s="16">
        <v>81.319999999999993</v>
      </c>
      <c r="F5783" s="1">
        <v>44220</v>
      </c>
      <c r="G5783" t="s">
        <v>2064</v>
      </c>
      <c r="H5783">
        <v>1</v>
      </c>
      <c r="I5783" s="12">
        <f>Table16[[#This Row],[price]]*Table16[[#This Row],[quantity]]</f>
        <v>162.63999999999999</v>
      </c>
    </row>
    <row r="5784" spans="1:9" x14ac:dyDescent="0.3">
      <c r="A5784" t="s">
        <v>7803</v>
      </c>
      <c r="B5784" t="s">
        <v>1154</v>
      </c>
      <c r="C5784" t="s">
        <v>2008</v>
      </c>
      <c r="D5784">
        <v>5</v>
      </c>
      <c r="E5784" s="16">
        <v>26.15</v>
      </c>
      <c r="F5784" s="1">
        <v>44276</v>
      </c>
      <c r="G5784" t="s">
        <v>2004</v>
      </c>
      <c r="H5784">
        <v>4</v>
      </c>
      <c r="I5784" s="12">
        <f>Table16[[#This Row],[price]]*Table16[[#This Row],[quantity]]</f>
        <v>130.75</v>
      </c>
    </row>
    <row r="5785" spans="1:9" x14ac:dyDescent="0.3">
      <c r="A5785" t="s">
        <v>7802</v>
      </c>
      <c r="B5785" t="s">
        <v>1154</v>
      </c>
      <c r="C5785" t="s">
        <v>2008</v>
      </c>
      <c r="D5785">
        <v>1</v>
      </c>
      <c r="E5785" s="16">
        <v>5.23</v>
      </c>
      <c r="F5785" s="1">
        <v>44485</v>
      </c>
      <c r="G5785" t="s">
        <v>2027</v>
      </c>
      <c r="H5785">
        <v>4</v>
      </c>
      <c r="I5785" s="12">
        <f>Table16[[#This Row],[price]]*Table16[[#This Row],[quantity]]</f>
        <v>5.23</v>
      </c>
    </row>
    <row r="5786" spans="1:9" x14ac:dyDescent="0.3">
      <c r="A5786" t="s">
        <v>7805</v>
      </c>
      <c r="B5786" t="s">
        <v>1154</v>
      </c>
      <c r="C5786" t="s">
        <v>2057</v>
      </c>
      <c r="D5786">
        <v>2</v>
      </c>
      <c r="E5786" s="16">
        <v>23.46</v>
      </c>
      <c r="F5786" s="1">
        <v>44518</v>
      </c>
      <c r="G5786" t="s">
        <v>2004</v>
      </c>
      <c r="H5786">
        <v>4</v>
      </c>
      <c r="I5786" s="12">
        <f>Table16[[#This Row],[price]]*Table16[[#This Row],[quantity]]</f>
        <v>46.92</v>
      </c>
    </row>
    <row r="5787" spans="1:9" x14ac:dyDescent="0.3">
      <c r="A5787" t="s">
        <v>7801</v>
      </c>
      <c r="B5787" t="s">
        <v>1154</v>
      </c>
      <c r="C5787" t="s">
        <v>2011</v>
      </c>
      <c r="D5787">
        <v>4</v>
      </c>
      <c r="E5787" s="16">
        <v>162.63999999999999</v>
      </c>
      <c r="F5787" s="1">
        <v>44541</v>
      </c>
      <c r="G5787" t="s">
        <v>2027</v>
      </c>
      <c r="H5787">
        <v>3</v>
      </c>
      <c r="I5787" s="12">
        <f>Table16[[#This Row],[price]]*Table16[[#This Row],[quantity]]</f>
        <v>650.55999999999995</v>
      </c>
    </row>
    <row r="5788" spans="1:9" x14ac:dyDescent="0.3">
      <c r="A5788" t="s">
        <v>7800</v>
      </c>
      <c r="B5788" t="s">
        <v>1154</v>
      </c>
      <c r="C5788" t="s">
        <v>2011</v>
      </c>
      <c r="D5788">
        <v>5</v>
      </c>
      <c r="E5788" s="16">
        <v>203.3</v>
      </c>
      <c r="F5788" s="1">
        <v>44546</v>
      </c>
      <c r="G5788" t="s">
        <v>2027</v>
      </c>
      <c r="H5788">
        <v>1</v>
      </c>
      <c r="I5788" s="12">
        <f>Table16[[#This Row],[price]]*Table16[[#This Row],[quantity]]</f>
        <v>1016.5</v>
      </c>
    </row>
    <row r="5789" spans="1:9" x14ac:dyDescent="0.3">
      <c r="A5789" t="s">
        <v>7804</v>
      </c>
      <c r="B5789" t="s">
        <v>1154</v>
      </c>
      <c r="C5789" t="s">
        <v>2008</v>
      </c>
      <c r="D5789">
        <v>2</v>
      </c>
      <c r="E5789" s="16">
        <v>10.46</v>
      </c>
      <c r="F5789" s="1">
        <v>44588</v>
      </c>
      <c r="G5789" t="s">
        <v>2018</v>
      </c>
      <c r="H5789">
        <v>2</v>
      </c>
      <c r="I5789" s="12">
        <f>Table16[[#This Row],[price]]*Table16[[#This Row],[quantity]]</f>
        <v>20.92</v>
      </c>
    </row>
    <row r="5790" spans="1:9" x14ac:dyDescent="0.3">
      <c r="A5790" t="s">
        <v>7809</v>
      </c>
      <c r="B5790" t="s">
        <v>1155</v>
      </c>
      <c r="C5790" t="s">
        <v>2017</v>
      </c>
      <c r="D5790">
        <v>1</v>
      </c>
      <c r="E5790" s="16">
        <v>1050</v>
      </c>
      <c r="F5790" s="1">
        <v>44263</v>
      </c>
      <c r="G5790" t="s">
        <v>2027</v>
      </c>
      <c r="H5790">
        <v>1</v>
      </c>
      <c r="I5790" s="12">
        <f>Table16[[#This Row],[price]]*Table16[[#This Row],[quantity]]</f>
        <v>1050</v>
      </c>
    </row>
    <row r="5791" spans="1:9" x14ac:dyDescent="0.3">
      <c r="A5791" t="s">
        <v>7810</v>
      </c>
      <c r="B5791" t="s">
        <v>1155</v>
      </c>
      <c r="C5791" t="s">
        <v>2006</v>
      </c>
      <c r="D5791">
        <v>5</v>
      </c>
      <c r="E5791" s="16">
        <v>75.75</v>
      </c>
      <c r="F5791" s="1">
        <v>44351</v>
      </c>
      <c r="G5791" t="s">
        <v>2004</v>
      </c>
      <c r="H5791">
        <v>4</v>
      </c>
      <c r="I5791" s="12">
        <f>Table16[[#This Row],[price]]*Table16[[#This Row],[quantity]]</f>
        <v>378.75</v>
      </c>
    </row>
    <row r="5792" spans="1:9" x14ac:dyDescent="0.3">
      <c r="A5792" t="s">
        <v>7807</v>
      </c>
      <c r="B5792" t="s">
        <v>1155</v>
      </c>
      <c r="C5792" t="s">
        <v>2001</v>
      </c>
      <c r="D5792">
        <v>3</v>
      </c>
      <c r="E5792" s="16">
        <v>900.24</v>
      </c>
      <c r="F5792" s="1">
        <v>44398</v>
      </c>
      <c r="G5792" t="s">
        <v>2058</v>
      </c>
      <c r="H5792">
        <v>1</v>
      </c>
      <c r="I5792" s="12">
        <f>Table16[[#This Row],[price]]*Table16[[#This Row],[quantity]]</f>
        <v>2700.7200000000003</v>
      </c>
    </row>
    <row r="5793" spans="1:9" x14ac:dyDescent="0.3">
      <c r="A5793" t="s">
        <v>7811</v>
      </c>
      <c r="B5793" t="s">
        <v>1155</v>
      </c>
      <c r="C5793" t="s">
        <v>2008</v>
      </c>
      <c r="D5793">
        <v>4</v>
      </c>
      <c r="E5793" s="16">
        <v>20.92</v>
      </c>
      <c r="F5793" s="1">
        <v>44477</v>
      </c>
      <c r="G5793" t="s">
        <v>2027</v>
      </c>
      <c r="H5793">
        <v>3</v>
      </c>
      <c r="I5793" s="12">
        <f>Table16[[#This Row],[price]]*Table16[[#This Row],[quantity]]</f>
        <v>83.68</v>
      </c>
    </row>
    <row r="5794" spans="1:9" x14ac:dyDescent="0.3">
      <c r="A5794" t="s">
        <v>7808</v>
      </c>
      <c r="B5794" t="s">
        <v>1155</v>
      </c>
      <c r="C5794" t="s">
        <v>2001</v>
      </c>
      <c r="D5794">
        <v>4</v>
      </c>
      <c r="E5794" s="16">
        <v>1200.32</v>
      </c>
      <c r="F5794" s="1">
        <v>44500</v>
      </c>
      <c r="G5794" t="s">
        <v>2027</v>
      </c>
      <c r="H5794">
        <v>3</v>
      </c>
      <c r="I5794" s="12">
        <f>Table16[[#This Row],[price]]*Table16[[#This Row],[quantity]]</f>
        <v>4801.28</v>
      </c>
    </row>
    <row r="5795" spans="1:9" x14ac:dyDescent="0.3">
      <c r="A5795" t="s">
        <v>7812</v>
      </c>
      <c r="B5795" t="s">
        <v>1155</v>
      </c>
      <c r="C5795" t="s">
        <v>2001</v>
      </c>
      <c r="D5795">
        <v>2</v>
      </c>
      <c r="E5795" s="16">
        <v>600.16</v>
      </c>
      <c r="F5795" s="1">
        <v>44658</v>
      </c>
      <c r="G5795" t="s">
        <v>2012</v>
      </c>
      <c r="H5795">
        <v>3</v>
      </c>
      <c r="I5795" s="12">
        <f>Table16[[#This Row],[price]]*Table16[[#This Row],[quantity]]</f>
        <v>1200.32</v>
      </c>
    </row>
    <row r="5796" spans="1:9" x14ac:dyDescent="0.3">
      <c r="A5796" t="s">
        <v>7813</v>
      </c>
      <c r="B5796" t="s">
        <v>1155</v>
      </c>
      <c r="C5796" t="s">
        <v>2015</v>
      </c>
      <c r="D5796">
        <v>1</v>
      </c>
      <c r="E5796" s="16">
        <v>600.16999999999996</v>
      </c>
      <c r="F5796" s="1">
        <v>44817</v>
      </c>
      <c r="G5796" t="s">
        <v>2064</v>
      </c>
      <c r="H5796">
        <v>1</v>
      </c>
      <c r="I5796" s="12">
        <f>Table16[[#This Row],[price]]*Table16[[#This Row],[quantity]]</f>
        <v>600.16999999999996</v>
      </c>
    </row>
    <row r="5797" spans="1:9" x14ac:dyDescent="0.3">
      <c r="A5797" t="s">
        <v>7806</v>
      </c>
      <c r="B5797" t="s">
        <v>1155</v>
      </c>
      <c r="C5797" t="s">
        <v>2008</v>
      </c>
      <c r="D5797">
        <v>3</v>
      </c>
      <c r="E5797" s="16">
        <v>15.69</v>
      </c>
      <c r="F5797" s="1">
        <v>44969</v>
      </c>
      <c r="G5797" t="s">
        <v>2020</v>
      </c>
      <c r="H5797">
        <v>3</v>
      </c>
      <c r="I5797" s="12">
        <f>Table16[[#This Row],[price]]*Table16[[#This Row],[quantity]]</f>
        <v>47.07</v>
      </c>
    </row>
    <row r="5798" spans="1:9" x14ac:dyDescent="0.3">
      <c r="A5798" t="s">
        <v>7816</v>
      </c>
      <c r="B5798" t="s">
        <v>1156</v>
      </c>
      <c r="C5798" t="s">
        <v>2017</v>
      </c>
      <c r="D5798">
        <v>3</v>
      </c>
      <c r="E5798" s="16">
        <v>3150</v>
      </c>
      <c r="F5798" s="1">
        <v>44232</v>
      </c>
      <c r="G5798" t="s">
        <v>2027</v>
      </c>
      <c r="H5798">
        <v>4</v>
      </c>
      <c r="I5798" s="12">
        <f>Table16[[#This Row],[price]]*Table16[[#This Row],[quantity]]</f>
        <v>9450</v>
      </c>
    </row>
    <row r="5799" spans="1:9" x14ac:dyDescent="0.3">
      <c r="A5799" t="s">
        <v>7814</v>
      </c>
      <c r="B5799" t="s">
        <v>1156</v>
      </c>
      <c r="C5799" t="s">
        <v>2001</v>
      </c>
      <c r="D5799">
        <v>2</v>
      </c>
      <c r="E5799" s="16">
        <v>600.16</v>
      </c>
      <c r="F5799" s="1">
        <v>44429</v>
      </c>
      <c r="G5799" t="s">
        <v>2009</v>
      </c>
      <c r="H5799">
        <v>5</v>
      </c>
      <c r="I5799" s="12">
        <f>Table16[[#This Row],[price]]*Table16[[#This Row],[quantity]]</f>
        <v>1200.32</v>
      </c>
    </row>
    <row r="5800" spans="1:9" x14ac:dyDescent="0.3">
      <c r="A5800" t="s">
        <v>7817</v>
      </c>
      <c r="B5800" t="s">
        <v>1156</v>
      </c>
      <c r="C5800" t="s">
        <v>2008</v>
      </c>
      <c r="D5800">
        <v>4</v>
      </c>
      <c r="E5800" s="16">
        <v>20.92</v>
      </c>
      <c r="F5800" s="1">
        <v>44506</v>
      </c>
      <c r="G5800" t="s">
        <v>2058</v>
      </c>
      <c r="H5800">
        <v>1</v>
      </c>
      <c r="I5800" s="12">
        <f>Table16[[#This Row],[price]]*Table16[[#This Row],[quantity]]</f>
        <v>83.68</v>
      </c>
    </row>
    <row r="5801" spans="1:9" x14ac:dyDescent="0.3">
      <c r="A5801" t="s">
        <v>7815</v>
      </c>
      <c r="B5801" t="s">
        <v>1156</v>
      </c>
      <c r="C5801" t="s">
        <v>2001</v>
      </c>
      <c r="D5801">
        <v>3</v>
      </c>
      <c r="E5801" s="16">
        <v>900.24</v>
      </c>
      <c r="F5801" s="1">
        <v>44619</v>
      </c>
      <c r="G5801" t="s">
        <v>2058</v>
      </c>
      <c r="H5801">
        <v>3</v>
      </c>
      <c r="I5801" s="12">
        <f>Table16[[#This Row],[price]]*Table16[[#This Row],[quantity]]</f>
        <v>2700.7200000000003</v>
      </c>
    </row>
    <row r="5802" spans="1:9" x14ac:dyDescent="0.3">
      <c r="A5802" t="s">
        <v>7818</v>
      </c>
      <c r="B5802" t="s">
        <v>1156</v>
      </c>
      <c r="C5802" t="s">
        <v>2008</v>
      </c>
      <c r="D5802">
        <v>2</v>
      </c>
      <c r="E5802" s="16">
        <v>10.46</v>
      </c>
      <c r="F5802" s="1">
        <v>44658</v>
      </c>
      <c r="G5802" t="s">
        <v>2027</v>
      </c>
      <c r="H5802">
        <v>1</v>
      </c>
      <c r="I5802" s="12">
        <f>Table16[[#This Row],[price]]*Table16[[#This Row],[quantity]]</f>
        <v>20.92</v>
      </c>
    </row>
    <row r="5803" spans="1:9" x14ac:dyDescent="0.3">
      <c r="A5803" t="s">
        <v>7820</v>
      </c>
      <c r="B5803" t="s">
        <v>1157</v>
      </c>
      <c r="C5803" t="s">
        <v>2008</v>
      </c>
      <c r="D5803">
        <v>2</v>
      </c>
      <c r="E5803" s="16">
        <v>10.46</v>
      </c>
      <c r="F5803" s="1">
        <v>44260</v>
      </c>
      <c r="G5803" t="s">
        <v>2002</v>
      </c>
      <c r="H5803">
        <v>4</v>
      </c>
      <c r="I5803" s="12">
        <f>Table16[[#This Row],[price]]*Table16[[#This Row],[quantity]]</f>
        <v>20.92</v>
      </c>
    </row>
    <row r="5804" spans="1:9" x14ac:dyDescent="0.3">
      <c r="A5804" t="s">
        <v>7824</v>
      </c>
      <c r="B5804" t="s">
        <v>1157</v>
      </c>
      <c r="C5804" t="s">
        <v>2001</v>
      </c>
      <c r="D5804">
        <v>1</v>
      </c>
      <c r="E5804" s="16">
        <v>300.08</v>
      </c>
      <c r="F5804" s="1">
        <v>44298</v>
      </c>
      <c r="G5804" t="s">
        <v>2027</v>
      </c>
      <c r="H5804">
        <v>4</v>
      </c>
      <c r="I5804" s="12">
        <f>Table16[[#This Row],[price]]*Table16[[#This Row],[quantity]]</f>
        <v>300.08</v>
      </c>
    </row>
    <row r="5805" spans="1:9" x14ac:dyDescent="0.3">
      <c r="A5805" t="s">
        <v>7822</v>
      </c>
      <c r="B5805" t="s">
        <v>1157</v>
      </c>
      <c r="C5805" t="s">
        <v>2024</v>
      </c>
      <c r="D5805">
        <v>3</v>
      </c>
      <c r="E5805" s="16">
        <v>107.52</v>
      </c>
      <c r="F5805" s="1">
        <v>44454</v>
      </c>
      <c r="G5805" t="s">
        <v>2064</v>
      </c>
      <c r="H5805">
        <v>1</v>
      </c>
      <c r="I5805" s="12">
        <f>Table16[[#This Row],[price]]*Table16[[#This Row],[quantity]]</f>
        <v>322.56</v>
      </c>
    </row>
    <row r="5806" spans="1:9" x14ac:dyDescent="0.3">
      <c r="A5806" t="s">
        <v>7819</v>
      </c>
      <c r="B5806" t="s">
        <v>1157</v>
      </c>
      <c r="C5806" t="s">
        <v>2011</v>
      </c>
      <c r="D5806">
        <v>3</v>
      </c>
      <c r="E5806" s="16">
        <v>121.98</v>
      </c>
      <c r="F5806" s="1">
        <v>44629</v>
      </c>
      <c r="G5806" t="s">
        <v>2041</v>
      </c>
      <c r="H5806">
        <v>4</v>
      </c>
      <c r="I5806" s="12">
        <f>Table16[[#This Row],[price]]*Table16[[#This Row],[quantity]]</f>
        <v>365.94</v>
      </c>
    </row>
    <row r="5807" spans="1:9" x14ac:dyDescent="0.3">
      <c r="A5807" t="s">
        <v>7823</v>
      </c>
      <c r="B5807" t="s">
        <v>1157</v>
      </c>
      <c r="C5807" t="s">
        <v>2011</v>
      </c>
      <c r="D5807">
        <v>1</v>
      </c>
      <c r="E5807" s="16">
        <v>40.659999999999997</v>
      </c>
      <c r="F5807" s="1">
        <v>44673</v>
      </c>
      <c r="G5807" t="s">
        <v>2027</v>
      </c>
      <c r="H5807">
        <v>4</v>
      </c>
      <c r="I5807" s="12">
        <f>Table16[[#This Row],[price]]*Table16[[#This Row],[quantity]]</f>
        <v>40.659999999999997</v>
      </c>
    </row>
    <row r="5808" spans="1:9" x14ac:dyDescent="0.3">
      <c r="A5808" t="s">
        <v>7825</v>
      </c>
      <c r="B5808" t="s">
        <v>1157</v>
      </c>
      <c r="C5808" t="s">
        <v>2024</v>
      </c>
      <c r="D5808">
        <v>4</v>
      </c>
      <c r="E5808" s="16">
        <v>143.36000000000001</v>
      </c>
      <c r="F5808" s="1">
        <v>44836</v>
      </c>
      <c r="G5808" t="s">
        <v>2027</v>
      </c>
      <c r="H5808">
        <v>3</v>
      </c>
      <c r="I5808" s="12">
        <f>Table16[[#This Row],[price]]*Table16[[#This Row],[quantity]]</f>
        <v>573.44000000000005</v>
      </c>
    </row>
    <row r="5809" spans="1:9" x14ac:dyDescent="0.3">
      <c r="A5809" t="s">
        <v>7821</v>
      </c>
      <c r="B5809" t="s">
        <v>1157</v>
      </c>
      <c r="C5809" t="s">
        <v>2006</v>
      </c>
      <c r="D5809">
        <v>3</v>
      </c>
      <c r="E5809" s="16">
        <v>45.45</v>
      </c>
      <c r="F5809" s="1">
        <v>44959</v>
      </c>
      <c r="G5809" t="s">
        <v>2002</v>
      </c>
      <c r="H5809">
        <v>5</v>
      </c>
      <c r="I5809" s="12">
        <f>Table16[[#This Row],[price]]*Table16[[#This Row],[quantity]]</f>
        <v>136.35000000000002</v>
      </c>
    </row>
    <row r="5810" spans="1:9" x14ac:dyDescent="0.3">
      <c r="A5810" t="s">
        <v>7829</v>
      </c>
      <c r="B5810" t="s">
        <v>1158</v>
      </c>
      <c r="C5810" t="s">
        <v>2057</v>
      </c>
      <c r="D5810">
        <v>3</v>
      </c>
      <c r="E5810" s="16">
        <v>35.19</v>
      </c>
      <c r="F5810" s="1">
        <v>44249</v>
      </c>
      <c r="G5810" t="s">
        <v>2002</v>
      </c>
      <c r="H5810">
        <v>5</v>
      </c>
      <c r="I5810" s="12">
        <f>Table16[[#This Row],[price]]*Table16[[#This Row],[quantity]]</f>
        <v>105.57</v>
      </c>
    </row>
    <row r="5811" spans="1:9" x14ac:dyDescent="0.3">
      <c r="A5811" t="s">
        <v>7827</v>
      </c>
      <c r="B5811" t="s">
        <v>1158</v>
      </c>
      <c r="C5811" t="s">
        <v>2024</v>
      </c>
      <c r="D5811">
        <v>4</v>
      </c>
      <c r="E5811" s="16">
        <v>143.36000000000001</v>
      </c>
      <c r="F5811" s="1">
        <v>44341</v>
      </c>
      <c r="G5811" t="s">
        <v>2004</v>
      </c>
      <c r="H5811">
        <v>1</v>
      </c>
      <c r="I5811" s="12">
        <f>Table16[[#This Row],[price]]*Table16[[#This Row],[quantity]]</f>
        <v>573.44000000000005</v>
      </c>
    </row>
    <row r="5812" spans="1:9" x14ac:dyDescent="0.3">
      <c r="A5812" t="s">
        <v>7826</v>
      </c>
      <c r="B5812" t="s">
        <v>1158</v>
      </c>
      <c r="C5812" t="s">
        <v>2011</v>
      </c>
      <c r="D5812">
        <v>2</v>
      </c>
      <c r="E5812" s="16">
        <v>81.319999999999993</v>
      </c>
      <c r="F5812" s="1">
        <v>44390</v>
      </c>
      <c r="G5812" t="s">
        <v>2064</v>
      </c>
      <c r="H5812">
        <v>2</v>
      </c>
      <c r="I5812" s="12">
        <f>Table16[[#This Row],[price]]*Table16[[#This Row],[quantity]]</f>
        <v>162.63999999999999</v>
      </c>
    </row>
    <row r="5813" spans="1:9" x14ac:dyDescent="0.3">
      <c r="A5813" t="s">
        <v>7828</v>
      </c>
      <c r="B5813" t="s">
        <v>1158</v>
      </c>
      <c r="C5813" t="s">
        <v>2001</v>
      </c>
      <c r="D5813">
        <v>3</v>
      </c>
      <c r="E5813" s="16">
        <v>900.24</v>
      </c>
      <c r="F5813" s="1">
        <v>44803</v>
      </c>
      <c r="G5813" t="s">
        <v>2041</v>
      </c>
      <c r="H5813">
        <v>3</v>
      </c>
      <c r="I5813" s="12">
        <f>Table16[[#This Row],[price]]*Table16[[#This Row],[quantity]]</f>
        <v>2700.7200000000003</v>
      </c>
    </row>
    <row r="5814" spans="1:9" x14ac:dyDescent="0.3">
      <c r="A5814" t="s">
        <v>7830</v>
      </c>
      <c r="B5814" t="s">
        <v>1159</v>
      </c>
      <c r="C5814" t="s">
        <v>2001</v>
      </c>
      <c r="D5814">
        <v>5</v>
      </c>
      <c r="E5814" s="16">
        <v>1500.4</v>
      </c>
      <c r="F5814" s="1">
        <v>44482</v>
      </c>
      <c r="G5814" t="s">
        <v>2004</v>
      </c>
      <c r="H5814">
        <v>1</v>
      </c>
      <c r="I5814" s="12">
        <f>Table16[[#This Row],[price]]*Table16[[#This Row],[quantity]]</f>
        <v>7502</v>
      </c>
    </row>
    <row r="5815" spans="1:9" x14ac:dyDescent="0.3">
      <c r="A5815" t="s">
        <v>7831</v>
      </c>
      <c r="B5815" t="s">
        <v>1159</v>
      </c>
      <c r="C5815" t="s">
        <v>2008</v>
      </c>
      <c r="D5815">
        <v>3</v>
      </c>
      <c r="E5815" s="16">
        <v>15.69</v>
      </c>
      <c r="F5815" s="1">
        <v>44813</v>
      </c>
      <c r="G5815" t="s">
        <v>2004</v>
      </c>
      <c r="H5815">
        <v>1</v>
      </c>
      <c r="I5815" s="12">
        <f>Table16[[#This Row],[price]]*Table16[[#This Row],[quantity]]</f>
        <v>47.07</v>
      </c>
    </row>
    <row r="5816" spans="1:9" x14ac:dyDescent="0.3">
      <c r="A5816" t="s">
        <v>7832</v>
      </c>
      <c r="B5816" t="s">
        <v>1160</v>
      </c>
      <c r="C5816" t="s">
        <v>2001</v>
      </c>
      <c r="D5816">
        <v>4</v>
      </c>
      <c r="E5816" s="16">
        <v>1200.32</v>
      </c>
      <c r="F5816" s="1">
        <v>44333</v>
      </c>
      <c r="G5816" t="s">
        <v>2064</v>
      </c>
      <c r="H5816">
        <v>2</v>
      </c>
      <c r="I5816" s="12">
        <f>Table16[[#This Row],[price]]*Table16[[#This Row],[quantity]]</f>
        <v>4801.28</v>
      </c>
    </row>
    <row r="5817" spans="1:9" x14ac:dyDescent="0.3">
      <c r="A5817" t="s">
        <v>7833</v>
      </c>
      <c r="B5817" t="s">
        <v>1160</v>
      </c>
      <c r="C5817" t="s">
        <v>2015</v>
      </c>
      <c r="D5817">
        <v>5</v>
      </c>
      <c r="E5817" s="16">
        <v>3000.85</v>
      </c>
      <c r="F5817" s="1">
        <v>44739</v>
      </c>
      <c r="G5817" t="s">
        <v>2041</v>
      </c>
      <c r="H5817">
        <v>4</v>
      </c>
      <c r="I5817" s="12">
        <f>Table16[[#This Row],[price]]*Table16[[#This Row],[quantity]]</f>
        <v>15004.25</v>
      </c>
    </row>
    <row r="5818" spans="1:9" x14ac:dyDescent="0.3">
      <c r="A5818" t="s">
        <v>7835</v>
      </c>
      <c r="B5818" t="s">
        <v>1161</v>
      </c>
      <c r="C5818" t="s">
        <v>2001</v>
      </c>
      <c r="D5818">
        <v>5</v>
      </c>
      <c r="E5818" s="16">
        <v>1500.4</v>
      </c>
      <c r="F5818" s="1">
        <v>44466</v>
      </c>
      <c r="G5818" t="s">
        <v>2004</v>
      </c>
      <c r="H5818">
        <v>4</v>
      </c>
      <c r="I5818" s="12">
        <f>Table16[[#This Row],[price]]*Table16[[#This Row],[quantity]]</f>
        <v>7502</v>
      </c>
    </row>
    <row r="5819" spans="1:9" x14ac:dyDescent="0.3">
      <c r="A5819" t="s">
        <v>7834</v>
      </c>
      <c r="B5819" t="s">
        <v>1161</v>
      </c>
      <c r="C5819" t="s">
        <v>2001</v>
      </c>
      <c r="D5819">
        <v>1</v>
      </c>
      <c r="E5819" s="16">
        <v>300.08</v>
      </c>
      <c r="F5819" s="1">
        <v>44657</v>
      </c>
      <c r="G5819" t="s">
        <v>2027</v>
      </c>
      <c r="H5819">
        <v>4</v>
      </c>
      <c r="I5819" s="12">
        <f>Table16[[#This Row],[price]]*Table16[[#This Row],[quantity]]</f>
        <v>300.08</v>
      </c>
    </row>
    <row r="5820" spans="1:9" x14ac:dyDescent="0.3">
      <c r="A5820" t="s">
        <v>7836</v>
      </c>
      <c r="B5820" t="s">
        <v>1161</v>
      </c>
      <c r="C5820" t="s">
        <v>2001</v>
      </c>
      <c r="D5820">
        <v>2</v>
      </c>
      <c r="E5820" s="16">
        <v>600.16</v>
      </c>
      <c r="F5820" s="1">
        <v>44881</v>
      </c>
      <c r="G5820" t="s">
        <v>2002</v>
      </c>
      <c r="H5820">
        <v>2</v>
      </c>
      <c r="I5820" s="12">
        <f>Table16[[#This Row],[price]]*Table16[[#This Row],[quantity]]</f>
        <v>1200.32</v>
      </c>
    </row>
    <row r="5821" spans="1:9" x14ac:dyDescent="0.3">
      <c r="A5821" t="s">
        <v>7837</v>
      </c>
      <c r="B5821" t="s">
        <v>1162</v>
      </c>
      <c r="C5821" t="s">
        <v>2008</v>
      </c>
      <c r="D5821">
        <v>3</v>
      </c>
      <c r="E5821" s="16">
        <v>15.69</v>
      </c>
      <c r="F5821" s="1">
        <v>44477</v>
      </c>
      <c r="G5821" t="s">
        <v>2058</v>
      </c>
      <c r="H5821">
        <v>4</v>
      </c>
      <c r="I5821" s="12">
        <f>Table16[[#This Row],[price]]*Table16[[#This Row],[quantity]]</f>
        <v>47.07</v>
      </c>
    </row>
    <row r="5822" spans="1:9" x14ac:dyDescent="0.3">
      <c r="A5822" t="s">
        <v>7838</v>
      </c>
      <c r="B5822" t="s">
        <v>1162</v>
      </c>
      <c r="C5822" t="s">
        <v>2008</v>
      </c>
      <c r="D5822">
        <v>3</v>
      </c>
      <c r="E5822" s="16">
        <v>15.69</v>
      </c>
      <c r="F5822" s="1">
        <v>44591</v>
      </c>
      <c r="G5822" t="s">
        <v>2002</v>
      </c>
      <c r="H5822">
        <v>4</v>
      </c>
      <c r="I5822" s="12">
        <f>Table16[[#This Row],[price]]*Table16[[#This Row],[quantity]]</f>
        <v>47.07</v>
      </c>
    </row>
    <row r="5823" spans="1:9" x14ac:dyDescent="0.3">
      <c r="A5823" t="s">
        <v>7839</v>
      </c>
      <c r="B5823" t="s">
        <v>1162</v>
      </c>
      <c r="C5823" t="s">
        <v>2001</v>
      </c>
      <c r="D5823">
        <v>4</v>
      </c>
      <c r="E5823" s="16">
        <v>1200.32</v>
      </c>
      <c r="F5823" s="1">
        <v>44614</v>
      </c>
      <c r="G5823" t="s">
        <v>2027</v>
      </c>
      <c r="H5823">
        <v>2</v>
      </c>
      <c r="I5823" s="12">
        <f>Table16[[#This Row],[price]]*Table16[[#This Row],[quantity]]</f>
        <v>4801.28</v>
      </c>
    </row>
    <row r="5824" spans="1:9" x14ac:dyDescent="0.3">
      <c r="A5824" t="s">
        <v>7843</v>
      </c>
      <c r="B5824" t="s">
        <v>1163</v>
      </c>
      <c r="C5824" t="s">
        <v>2024</v>
      </c>
      <c r="D5824">
        <v>3</v>
      </c>
      <c r="E5824" s="16">
        <v>107.52</v>
      </c>
      <c r="F5824" s="1">
        <v>44221</v>
      </c>
      <c r="G5824" t="s">
        <v>2004</v>
      </c>
      <c r="H5824">
        <v>5</v>
      </c>
      <c r="I5824" s="12">
        <f>Table16[[#This Row],[price]]*Table16[[#This Row],[quantity]]</f>
        <v>322.56</v>
      </c>
    </row>
    <row r="5825" spans="1:9" x14ac:dyDescent="0.3">
      <c r="A5825" t="s">
        <v>7840</v>
      </c>
      <c r="B5825" t="s">
        <v>1163</v>
      </c>
      <c r="C5825" t="s">
        <v>2011</v>
      </c>
      <c r="D5825">
        <v>1</v>
      </c>
      <c r="E5825" s="16">
        <v>40.659999999999997</v>
      </c>
      <c r="F5825" s="1">
        <v>44339</v>
      </c>
      <c r="G5825" t="s">
        <v>2002</v>
      </c>
      <c r="H5825">
        <v>5</v>
      </c>
      <c r="I5825" s="12">
        <f>Table16[[#This Row],[price]]*Table16[[#This Row],[quantity]]</f>
        <v>40.659999999999997</v>
      </c>
    </row>
    <row r="5826" spans="1:9" x14ac:dyDescent="0.3">
      <c r="A5826" t="s">
        <v>7844</v>
      </c>
      <c r="B5826" t="s">
        <v>1163</v>
      </c>
      <c r="C5826" t="s">
        <v>2017</v>
      </c>
      <c r="D5826">
        <v>4</v>
      </c>
      <c r="E5826" s="16">
        <v>4200</v>
      </c>
      <c r="F5826" s="1">
        <v>44416</v>
      </c>
      <c r="G5826" t="s">
        <v>2027</v>
      </c>
      <c r="H5826">
        <v>2</v>
      </c>
      <c r="I5826" s="12">
        <f>Table16[[#This Row],[price]]*Table16[[#This Row],[quantity]]</f>
        <v>16800</v>
      </c>
    </row>
    <row r="5827" spans="1:9" x14ac:dyDescent="0.3">
      <c r="A5827" t="s">
        <v>7846</v>
      </c>
      <c r="B5827" t="s">
        <v>1163</v>
      </c>
      <c r="C5827" t="s">
        <v>2008</v>
      </c>
      <c r="D5827">
        <v>5</v>
      </c>
      <c r="E5827" s="16">
        <v>26.15</v>
      </c>
      <c r="F5827" s="1">
        <v>44526</v>
      </c>
      <c r="G5827" t="s">
        <v>2002</v>
      </c>
      <c r="H5827">
        <v>5</v>
      </c>
      <c r="I5827" s="12">
        <f>Table16[[#This Row],[price]]*Table16[[#This Row],[quantity]]</f>
        <v>130.75</v>
      </c>
    </row>
    <row r="5828" spans="1:9" x14ac:dyDescent="0.3">
      <c r="A5828" t="s">
        <v>7842</v>
      </c>
      <c r="B5828" t="s">
        <v>1163</v>
      </c>
      <c r="C5828" t="s">
        <v>2006</v>
      </c>
      <c r="D5828">
        <v>5</v>
      </c>
      <c r="E5828" s="16">
        <v>75.75</v>
      </c>
      <c r="F5828" s="1">
        <v>44809</v>
      </c>
      <c r="G5828" t="s">
        <v>2020</v>
      </c>
      <c r="H5828">
        <v>4</v>
      </c>
      <c r="I5828" s="12">
        <f>Table16[[#This Row],[price]]*Table16[[#This Row],[quantity]]</f>
        <v>378.75</v>
      </c>
    </row>
    <row r="5829" spans="1:9" x14ac:dyDescent="0.3">
      <c r="A5829" t="s">
        <v>7841</v>
      </c>
      <c r="B5829" t="s">
        <v>1163</v>
      </c>
      <c r="C5829" t="s">
        <v>2008</v>
      </c>
      <c r="D5829">
        <v>2</v>
      </c>
      <c r="E5829" s="16">
        <v>10.46</v>
      </c>
      <c r="F5829" s="1">
        <v>44852</v>
      </c>
      <c r="G5829" t="s">
        <v>2027</v>
      </c>
      <c r="H5829">
        <v>1</v>
      </c>
      <c r="I5829" s="12">
        <f>Table16[[#This Row],[price]]*Table16[[#This Row],[quantity]]</f>
        <v>20.92</v>
      </c>
    </row>
    <row r="5830" spans="1:9" x14ac:dyDescent="0.3">
      <c r="A5830" t="s">
        <v>7845</v>
      </c>
      <c r="B5830" t="s">
        <v>1163</v>
      </c>
      <c r="C5830" t="s">
        <v>2008</v>
      </c>
      <c r="D5830">
        <v>1</v>
      </c>
      <c r="E5830" s="16">
        <v>5.23</v>
      </c>
      <c r="F5830" s="1">
        <v>44952</v>
      </c>
      <c r="G5830" t="s">
        <v>2009</v>
      </c>
      <c r="H5830">
        <v>4</v>
      </c>
      <c r="I5830" s="12">
        <f>Table16[[#This Row],[price]]*Table16[[#This Row],[quantity]]</f>
        <v>5.23</v>
      </c>
    </row>
    <row r="5831" spans="1:9" x14ac:dyDescent="0.3">
      <c r="A5831" t="s">
        <v>7848</v>
      </c>
      <c r="B5831" t="s">
        <v>1164</v>
      </c>
      <c r="C5831" t="s">
        <v>2011</v>
      </c>
      <c r="D5831">
        <v>4</v>
      </c>
      <c r="E5831" s="16">
        <v>162.63999999999999</v>
      </c>
      <c r="F5831" s="1">
        <v>44495</v>
      </c>
      <c r="G5831" t="s">
        <v>2020</v>
      </c>
      <c r="H5831">
        <v>4</v>
      </c>
      <c r="I5831" s="12">
        <f>Table16[[#This Row],[price]]*Table16[[#This Row],[quantity]]</f>
        <v>650.55999999999995</v>
      </c>
    </row>
    <row r="5832" spans="1:9" x14ac:dyDescent="0.3">
      <c r="A5832" t="s">
        <v>7847</v>
      </c>
      <c r="B5832" t="s">
        <v>1164</v>
      </c>
      <c r="C5832" t="s">
        <v>2057</v>
      </c>
      <c r="D5832">
        <v>2</v>
      </c>
      <c r="E5832" s="16">
        <v>23.46</v>
      </c>
      <c r="F5832" s="1">
        <v>44570</v>
      </c>
      <c r="G5832" t="s">
        <v>2012</v>
      </c>
      <c r="H5832">
        <v>1</v>
      </c>
      <c r="I5832" s="12">
        <f>Table16[[#This Row],[price]]*Table16[[#This Row],[quantity]]</f>
        <v>46.92</v>
      </c>
    </row>
    <row r="5833" spans="1:9" x14ac:dyDescent="0.3">
      <c r="A5833" t="s">
        <v>7849</v>
      </c>
      <c r="B5833" t="s">
        <v>1164</v>
      </c>
      <c r="C5833" t="s">
        <v>2008</v>
      </c>
      <c r="D5833">
        <v>1</v>
      </c>
      <c r="E5833" s="16">
        <v>5.23</v>
      </c>
      <c r="F5833" s="1">
        <v>44817</v>
      </c>
      <c r="G5833" t="s">
        <v>2004</v>
      </c>
      <c r="H5833">
        <v>5</v>
      </c>
      <c r="I5833" s="12">
        <f>Table16[[#This Row],[price]]*Table16[[#This Row],[quantity]]</f>
        <v>5.23</v>
      </c>
    </row>
    <row r="5834" spans="1:9" x14ac:dyDescent="0.3">
      <c r="A5834" t="s">
        <v>7850</v>
      </c>
      <c r="B5834" t="s">
        <v>1164</v>
      </c>
      <c r="C5834" t="s">
        <v>2008</v>
      </c>
      <c r="D5834">
        <v>5</v>
      </c>
      <c r="E5834" s="16">
        <v>26.15</v>
      </c>
      <c r="F5834" s="1">
        <v>44935</v>
      </c>
      <c r="G5834" t="s">
        <v>2004</v>
      </c>
      <c r="H5834">
        <v>1</v>
      </c>
      <c r="I5834" s="12">
        <f>Table16[[#This Row],[price]]*Table16[[#This Row],[quantity]]</f>
        <v>130.75</v>
      </c>
    </row>
    <row r="5835" spans="1:9" x14ac:dyDescent="0.3">
      <c r="A5835" t="s">
        <v>7851</v>
      </c>
      <c r="B5835" t="s">
        <v>1165</v>
      </c>
      <c r="C5835" t="s">
        <v>2011</v>
      </c>
      <c r="D5835">
        <v>3</v>
      </c>
      <c r="E5835" s="16">
        <v>121.98</v>
      </c>
      <c r="F5835" s="1">
        <v>44614</v>
      </c>
      <c r="G5835" t="s">
        <v>2058</v>
      </c>
      <c r="H5835">
        <v>2</v>
      </c>
      <c r="I5835" s="12">
        <f>Table16[[#This Row],[price]]*Table16[[#This Row],[quantity]]</f>
        <v>365.94</v>
      </c>
    </row>
    <row r="5836" spans="1:9" x14ac:dyDescent="0.3">
      <c r="A5836" t="s">
        <v>7852</v>
      </c>
      <c r="B5836" t="s">
        <v>1166</v>
      </c>
      <c r="C5836" t="s">
        <v>2024</v>
      </c>
      <c r="D5836">
        <v>2</v>
      </c>
      <c r="E5836" s="16">
        <v>71.680000000000007</v>
      </c>
      <c r="F5836" s="1">
        <v>44324</v>
      </c>
      <c r="G5836" t="s">
        <v>2027</v>
      </c>
      <c r="H5836">
        <v>2</v>
      </c>
      <c r="I5836" s="12">
        <f>Table16[[#This Row],[price]]*Table16[[#This Row],[quantity]]</f>
        <v>143.36000000000001</v>
      </c>
    </row>
    <row r="5837" spans="1:9" x14ac:dyDescent="0.3">
      <c r="A5837" t="s">
        <v>7856</v>
      </c>
      <c r="B5837" t="s">
        <v>1166</v>
      </c>
      <c r="C5837" t="s">
        <v>2001</v>
      </c>
      <c r="D5837">
        <v>2</v>
      </c>
      <c r="E5837" s="16">
        <v>600.16</v>
      </c>
      <c r="F5837" s="1">
        <v>44455</v>
      </c>
      <c r="G5837" t="s">
        <v>2027</v>
      </c>
      <c r="H5837">
        <v>4</v>
      </c>
      <c r="I5837" s="12">
        <f>Table16[[#This Row],[price]]*Table16[[#This Row],[quantity]]</f>
        <v>1200.32</v>
      </c>
    </row>
    <row r="5838" spans="1:9" x14ac:dyDescent="0.3">
      <c r="A5838" t="s">
        <v>7854</v>
      </c>
      <c r="B5838" t="s">
        <v>1166</v>
      </c>
      <c r="C5838" t="s">
        <v>2006</v>
      </c>
      <c r="D5838">
        <v>2</v>
      </c>
      <c r="E5838" s="16">
        <v>30.3</v>
      </c>
      <c r="F5838" s="1">
        <v>44456</v>
      </c>
      <c r="G5838" t="s">
        <v>2004</v>
      </c>
      <c r="H5838">
        <v>5</v>
      </c>
      <c r="I5838" s="12">
        <f>Table16[[#This Row],[price]]*Table16[[#This Row],[quantity]]</f>
        <v>60.6</v>
      </c>
    </row>
    <row r="5839" spans="1:9" x14ac:dyDescent="0.3">
      <c r="A5839" t="s">
        <v>7855</v>
      </c>
      <c r="B5839" t="s">
        <v>1166</v>
      </c>
      <c r="C5839" t="s">
        <v>2001</v>
      </c>
      <c r="D5839">
        <v>4</v>
      </c>
      <c r="E5839" s="16">
        <v>1200.32</v>
      </c>
      <c r="F5839" s="1">
        <v>44605</v>
      </c>
      <c r="G5839" t="s">
        <v>2064</v>
      </c>
      <c r="H5839">
        <v>4</v>
      </c>
      <c r="I5839" s="12">
        <f>Table16[[#This Row],[price]]*Table16[[#This Row],[quantity]]</f>
        <v>4801.28</v>
      </c>
    </row>
    <row r="5840" spans="1:9" x14ac:dyDescent="0.3">
      <c r="A5840" t="s">
        <v>7853</v>
      </c>
      <c r="B5840" t="s">
        <v>1166</v>
      </c>
      <c r="C5840" t="s">
        <v>2001</v>
      </c>
      <c r="D5840">
        <v>3</v>
      </c>
      <c r="E5840" s="16">
        <v>900.24</v>
      </c>
      <c r="F5840" s="1">
        <v>44773</v>
      </c>
      <c r="G5840" t="s">
        <v>2004</v>
      </c>
      <c r="H5840">
        <v>3</v>
      </c>
      <c r="I5840" s="12">
        <f>Table16[[#This Row],[price]]*Table16[[#This Row],[quantity]]</f>
        <v>2700.7200000000003</v>
      </c>
    </row>
    <row r="5841" spans="1:9" x14ac:dyDescent="0.3">
      <c r="A5841" t="s">
        <v>7858</v>
      </c>
      <c r="B5841" t="s">
        <v>1167</v>
      </c>
      <c r="C5841" t="s">
        <v>2001</v>
      </c>
      <c r="D5841">
        <v>2</v>
      </c>
      <c r="E5841" s="16">
        <v>600.16</v>
      </c>
      <c r="F5841" s="1">
        <v>44219</v>
      </c>
      <c r="G5841" t="s">
        <v>2027</v>
      </c>
      <c r="H5841">
        <v>5</v>
      </c>
      <c r="I5841" s="12">
        <f>Table16[[#This Row],[price]]*Table16[[#This Row],[quantity]]</f>
        <v>1200.32</v>
      </c>
    </row>
    <row r="5842" spans="1:9" x14ac:dyDescent="0.3">
      <c r="A5842" t="s">
        <v>7857</v>
      </c>
      <c r="B5842" t="s">
        <v>1167</v>
      </c>
      <c r="C5842" t="s">
        <v>2008</v>
      </c>
      <c r="D5842">
        <v>2</v>
      </c>
      <c r="E5842" s="16">
        <v>10.46</v>
      </c>
      <c r="F5842" s="1">
        <v>44858</v>
      </c>
      <c r="G5842" t="s">
        <v>2058</v>
      </c>
      <c r="H5842">
        <v>4</v>
      </c>
      <c r="I5842" s="12">
        <f>Table16[[#This Row],[price]]*Table16[[#This Row],[quantity]]</f>
        <v>20.92</v>
      </c>
    </row>
    <row r="5843" spans="1:9" x14ac:dyDescent="0.3">
      <c r="A5843" t="s">
        <v>7864</v>
      </c>
      <c r="B5843" t="s">
        <v>1168</v>
      </c>
      <c r="C5843" t="s">
        <v>2008</v>
      </c>
      <c r="D5843">
        <v>1</v>
      </c>
      <c r="E5843" s="16">
        <v>5.23</v>
      </c>
      <c r="F5843" s="1">
        <v>44214</v>
      </c>
      <c r="G5843" t="s">
        <v>2020</v>
      </c>
      <c r="H5843">
        <v>5</v>
      </c>
      <c r="I5843" s="12">
        <f>Table16[[#This Row],[price]]*Table16[[#This Row],[quantity]]</f>
        <v>5.23</v>
      </c>
    </row>
    <row r="5844" spans="1:9" x14ac:dyDescent="0.3">
      <c r="A5844" t="s">
        <v>7865</v>
      </c>
      <c r="B5844" t="s">
        <v>1168</v>
      </c>
      <c r="C5844" t="s">
        <v>2001</v>
      </c>
      <c r="D5844">
        <v>5</v>
      </c>
      <c r="E5844" s="16">
        <v>1500.4</v>
      </c>
      <c r="F5844" s="1">
        <v>44234</v>
      </c>
      <c r="G5844" t="s">
        <v>2004</v>
      </c>
      <c r="H5844">
        <v>5</v>
      </c>
      <c r="I5844" s="12">
        <f>Table16[[#This Row],[price]]*Table16[[#This Row],[quantity]]</f>
        <v>7502</v>
      </c>
    </row>
    <row r="5845" spans="1:9" x14ac:dyDescent="0.3">
      <c r="A5845" t="s">
        <v>7861</v>
      </c>
      <c r="B5845" t="s">
        <v>1168</v>
      </c>
      <c r="C5845" t="s">
        <v>2001</v>
      </c>
      <c r="D5845">
        <v>2</v>
      </c>
      <c r="E5845" s="16">
        <v>600.16</v>
      </c>
      <c r="F5845" s="1">
        <v>44484</v>
      </c>
      <c r="G5845" t="s">
        <v>2020</v>
      </c>
      <c r="H5845">
        <v>1</v>
      </c>
      <c r="I5845" s="12">
        <f>Table16[[#This Row],[price]]*Table16[[#This Row],[quantity]]</f>
        <v>1200.32</v>
      </c>
    </row>
    <row r="5846" spans="1:9" x14ac:dyDescent="0.3">
      <c r="A5846" t="s">
        <v>7866</v>
      </c>
      <c r="B5846" t="s">
        <v>1168</v>
      </c>
      <c r="C5846" t="s">
        <v>2001</v>
      </c>
      <c r="D5846">
        <v>1</v>
      </c>
      <c r="E5846" s="16">
        <v>300.08</v>
      </c>
      <c r="F5846" s="1">
        <v>44528</v>
      </c>
      <c r="G5846" t="s">
        <v>2012</v>
      </c>
      <c r="H5846">
        <v>4</v>
      </c>
      <c r="I5846" s="12">
        <f>Table16[[#This Row],[price]]*Table16[[#This Row],[quantity]]</f>
        <v>300.08</v>
      </c>
    </row>
    <row r="5847" spans="1:9" x14ac:dyDescent="0.3">
      <c r="A5847" t="s">
        <v>7859</v>
      </c>
      <c r="B5847" t="s">
        <v>1168</v>
      </c>
      <c r="C5847" t="s">
        <v>2001</v>
      </c>
      <c r="D5847">
        <v>5</v>
      </c>
      <c r="E5847" s="16">
        <v>1500.4</v>
      </c>
      <c r="F5847" s="1">
        <v>44567</v>
      </c>
      <c r="G5847" t="s">
        <v>2027</v>
      </c>
      <c r="H5847">
        <v>5</v>
      </c>
      <c r="I5847" s="12">
        <f>Table16[[#This Row],[price]]*Table16[[#This Row],[quantity]]</f>
        <v>7502</v>
      </c>
    </row>
    <row r="5848" spans="1:9" x14ac:dyDescent="0.3">
      <c r="A5848" t="s">
        <v>7863</v>
      </c>
      <c r="B5848" t="s">
        <v>1168</v>
      </c>
      <c r="C5848" t="s">
        <v>2008</v>
      </c>
      <c r="D5848">
        <v>5</v>
      </c>
      <c r="E5848" s="16">
        <v>26.15</v>
      </c>
      <c r="F5848" s="1">
        <v>44590</v>
      </c>
      <c r="G5848" t="s">
        <v>2004</v>
      </c>
      <c r="H5848">
        <v>2</v>
      </c>
      <c r="I5848" s="12">
        <f>Table16[[#This Row],[price]]*Table16[[#This Row],[quantity]]</f>
        <v>130.75</v>
      </c>
    </row>
    <row r="5849" spans="1:9" x14ac:dyDescent="0.3">
      <c r="A5849" t="s">
        <v>7860</v>
      </c>
      <c r="B5849" t="s">
        <v>1168</v>
      </c>
      <c r="C5849" t="s">
        <v>2006</v>
      </c>
      <c r="D5849">
        <v>5</v>
      </c>
      <c r="E5849" s="16">
        <v>75.75</v>
      </c>
      <c r="F5849" s="1">
        <v>44949</v>
      </c>
      <c r="G5849" t="s">
        <v>2012</v>
      </c>
      <c r="H5849">
        <v>2</v>
      </c>
      <c r="I5849" s="12">
        <f>Table16[[#This Row],[price]]*Table16[[#This Row],[quantity]]</f>
        <v>378.75</v>
      </c>
    </row>
    <row r="5850" spans="1:9" x14ac:dyDescent="0.3">
      <c r="A5850" t="s">
        <v>7862</v>
      </c>
      <c r="B5850" t="s">
        <v>1168</v>
      </c>
      <c r="C5850" t="s">
        <v>2011</v>
      </c>
      <c r="D5850">
        <v>5</v>
      </c>
      <c r="E5850" s="16">
        <v>203.3</v>
      </c>
      <c r="F5850" s="1">
        <v>44950</v>
      </c>
      <c r="G5850" t="s">
        <v>2027</v>
      </c>
      <c r="H5850">
        <v>5</v>
      </c>
      <c r="I5850" s="12">
        <f>Table16[[#This Row],[price]]*Table16[[#This Row],[quantity]]</f>
        <v>1016.5</v>
      </c>
    </row>
    <row r="5851" spans="1:9" x14ac:dyDescent="0.3">
      <c r="A5851" t="s">
        <v>7869</v>
      </c>
      <c r="B5851" t="s">
        <v>1169</v>
      </c>
      <c r="C5851" t="s">
        <v>2008</v>
      </c>
      <c r="D5851">
        <v>5</v>
      </c>
      <c r="E5851" s="16">
        <v>26.15</v>
      </c>
      <c r="F5851" s="1">
        <v>44284</v>
      </c>
      <c r="G5851" t="s">
        <v>2004</v>
      </c>
      <c r="H5851">
        <v>5</v>
      </c>
      <c r="I5851" s="12">
        <f>Table16[[#This Row],[price]]*Table16[[#This Row],[quantity]]</f>
        <v>130.75</v>
      </c>
    </row>
    <row r="5852" spans="1:9" x14ac:dyDescent="0.3">
      <c r="A5852" t="s">
        <v>7870</v>
      </c>
      <c r="B5852" t="s">
        <v>1169</v>
      </c>
      <c r="C5852" t="s">
        <v>2001</v>
      </c>
      <c r="D5852">
        <v>2</v>
      </c>
      <c r="E5852" s="16">
        <v>600.16</v>
      </c>
      <c r="F5852" s="1">
        <v>44430</v>
      </c>
      <c r="G5852" t="s">
        <v>2004</v>
      </c>
      <c r="H5852">
        <v>5</v>
      </c>
      <c r="I5852" s="12">
        <f>Table16[[#This Row],[price]]*Table16[[#This Row],[quantity]]</f>
        <v>1200.32</v>
      </c>
    </row>
    <row r="5853" spans="1:9" x14ac:dyDescent="0.3">
      <c r="A5853" t="s">
        <v>7868</v>
      </c>
      <c r="B5853" t="s">
        <v>1169</v>
      </c>
      <c r="C5853" t="s">
        <v>2024</v>
      </c>
      <c r="D5853">
        <v>2</v>
      </c>
      <c r="E5853" s="16">
        <v>71.680000000000007</v>
      </c>
      <c r="F5853" s="1">
        <v>44510</v>
      </c>
      <c r="G5853" t="s">
        <v>2004</v>
      </c>
      <c r="H5853">
        <v>1</v>
      </c>
      <c r="I5853" s="12">
        <f>Table16[[#This Row],[price]]*Table16[[#This Row],[quantity]]</f>
        <v>143.36000000000001</v>
      </c>
    </row>
    <row r="5854" spans="1:9" x14ac:dyDescent="0.3">
      <c r="A5854" t="s">
        <v>7871</v>
      </c>
      <c r="B5854" t="s">
        <v>1169</v>
      </c>
      <c r="C5854" t="s">
        <v>2008</v>
      </c>
      <c r="D5854">
        <v>4</v>
      </c>
      <c r="E5854" s="16">
        <v>20.92</v>
      </c>
      <c r="F5854" s="1">
        <v>44711</v>
      </c>
      <c r="G5854" t="s">
        <v>2002</v>
      </c>
      <c r="H5854">
        <v>5</v>
      </c>
      <c r="I5854" s="12">
        <f>Table16[[#This Row],[price]]*Table16[[#This Row],[quantity]]</f>
        <v>83.68</v>
      </c>
    </row>
    <row r="5855" spans="1:9" x14ac:dyDescent="0.3">
      <c r="A5855" t="s">
        <v>7873</v>
      </c>
      <c r="B5855" t="s">
        <v>1169</v>
      </c>
      <c r="C5855" t="s">
        <v>2001</v>
      </c>
      <c r="D5855">
        <v>1</v>
      </c>
      <c r="E5855" s="16">
        <v>300.08</v>
      </c>
      <c r="F5855" s="1">
        <v>44757</v>
      </c>
      <c r="G5855" t="s">
        <v>2004</v>
      </c>
      <c r="H5855">
        <v>2</v>
      </c>
      <c r="I5855" s="12">
        <f>Table16[[#This Row],[price]]*Table16[[#This Row],[quantity]]</f>
        <v>300.08</v>
      </c>
    </row>
    <row r="5856" spans="1:9" x14ac:dyDescent="0.3">
      <c r="A5856" t="s">
        <v>7872</v>
      </c>
      <c r="B5856" t="s">
        <v>1169</v>
      </c>
      <c r="C5856" t="s">
        <v>2017</v>
      </c>
      <c r="D5856">
        <v>1</v>
      </c>
      <c r="E5856" s="16">
        <v>1050</v>
      </c>
      <c r="F5856" s="1">
        <v>44833</v>
      </c>
      <c r="G5856" t="s">
        <v>2018</v>
      </c>
      <c r="H5856">
        <v>3</v>
      </c>
      <c r="I5856" s="12">
        <f>Table16[[#This Row],[price]]*Table16[[#This Row],[quantity]]</f>
        <v>1050</v>
      </c>
    </row>
    <row r="5857" spans="1:9" x14ac:dyDescent="0.3">
      <c r="A5857" t="s">
        <v>7867</v>
      </c>
      <c r="B5857" t="s">
        <v>1169</v>
      </c>
      <c r="C5857" t="s">
        <v>2001</v>
      </c>
      <c r="D5857">
        <v>4</v>
      </c>
      <c r="E5857" s="16">
        <v>1200.32</v>
      </c>
      <c r="F5857" s="1">
        <v>44975</v>
      </c>
      <c r="G5857" t="s">
        <v>2020</v>
      </c>
      <c r="H5857">
        <v>5</v>
      </c>
      <c r="I5857" s="12">
        <f>Table16[[#This Row],[price]]*Table16[[#This Row],[quantity]]</f>
        <v>4801.28</v>
      </c>
    </row>
    <row r="5858" spans="1:9" x14ac:dyDescent="0.3">
      <c r="A5858" t="s">
        <v>7878</v>
      </c>
      <c r="B5858" t="s">
        <v>1170</v>
      </c>
      <c r="C5858" t="s">
        <v>2011</v>
      </c>
      <c r="D5858">
        <v>1</v>
      </c>
      <c r="E5858" s="16">
        <v>40.659999999999997</v>
      </c>
      <c r="F5858" s="1">
        <v>44487</v>
      </c>
      <c r="G5858" t="s">
        <v>2020</v>
      </c>
      <c r="H5858">
        <v>5</v>
      </c>
      <c r="I5858" s="12">
        <f>Table16[[#This Row],[price]]*Table16[[#This Row],[quantity]]</f>
        <v>40.659999999999997</v>
      </c>
    </row>
    <row r="5859" spans="1:9" x14ac:dyDescent="0.3">
      <c r="A5859" t="s">
        <v>7875</v>
      </c>
      <c r="B5859" t="s">
        <v>1170</v>
      </c>
      <c r="C5859" t="s">
        <v>2001</v>
      </c>
      <c r="D5859">
        <v>5</v>
      </c>
      <c r="E5859" s="16">
        <v>1500.4</v>
      </c>
      <c r="F5859" s="1">
        <v>44504</v>
      </c>
      <c r="G5859" t="s">
        <v>2018</v>
      </c>
      <c r="H5859">
        <v>5</v>
      </c>
      <c r="I5859" s="12">
        <f>Table16[[#This Row],[price]]*Table16[[#This Row],[quantity]]</f>
        <v>7502</v>
      </c>
    </row>
    <row r="5860" spans="1:9" x14ac:dyDescent="0.3">
      <c r="A5860" t="s">
        <v>7876</v>
      </c>
      <c r="B5860" t="s">
        <v>1170</v>
      </c>
      <c r="C5860" t="s">
        <v>2011</v>
      </c>
      <c r="D5860">
        <v>5</v>
      </c>
      <c r="E5860" s="16">
        <v>203.3</v>
      </c>
      <c r="F5860" s="1">
        <v>44571</v>
      </c>
      <c r="G5860" t="s">
        <v>2020</v>
      </c>
      <c r="H5860">
        <v>2</v>
      </c>
      <c r="I5860" s="12">
        <f>Table16[[#This Row],[price]]*Table16[[#This Row],[quantity]]</f>
        <v>1016.5</v>
      </c>
    </row>
    <row r="5861" spans="1:9" x14ac:dyDescent="0.3">
      <c r="A5861" t="s">
        <v>7877</v>
      </c>
      <c r="B5861" t="s">
        <v>1170</v>
      </c>
      <c r="C5861" t="s">
        <v>2001</v>
      </c>
      <c r="D5861">
        <v>1</v>
      </c>
      <c r="E5861" s="16">
        <v>300.08</v>
      </c>
      <c r="F5861" s="1">
        <v>44864</v>
      </c>
      <c r="G5861" t="s">
        <v>2002</v>
      </c>
      <c r="H5861">
        <v>3</v>
      </c>
      <c r="I5861" s="12">
        <f>Table16[[#This Row],[price]]*Table16[[#This Row],[quantity]]</f>
        <v>300.08</v>
      </c>
    </row>
    <row r="5862" spans="1:9" x14ac:dyDescent="0.3">
      <c r="A5862" t="s">
        <v>7874</v>
      </c>
      <c r="B5862" t="s">
        <v>1170</v>
      </c>
      <c r="C5862" t="s">
        <v>2015</v>
      </c>
      <c r="D5862">
        <v>3</v>
      </c>
      <c r="E5862" s="16">
        <v>1800.51</v>
      </c>
      <c r="F5862" s="1">
        <v>44921</v>
      </c>
      <c r="G5862" t="s">
        <v>2027</v>
      </c>
      <c r="H5862">
        <v>4</v>
      </c>
      <c r="I5862" s="12">
        <f>Table16[[#This Row],[price]]*Table16[[#This Row],[quantity]]</f>
        <v>5401.53</v>
      </c>
    </row>
    <row r="5863" spans="1:9" x14ac:dyDescent="0.3">
      <c r="A5863" t="s">
        <v>7879</v>
      </c>
      <c r="B5863" t="s">
        <v>1171</v>
      </c>
      <c r="C5863" t="s">
        <v>2001</v>
      </c>
      <c r="D5863">
        <v>1</v>
      </c>
      <c r="E5863" s="16">
        <v>300.08</v>
      </c>
      <c r="F5863" s="1">
        <v>44481</v>
      </c>
      <c r="G5863" t="s">
        <v>2009</v>
      </c>
      <c r="H5863">
        <v>3</v>
      </c>
      <c r="I5863" s="12">
        <f>Table16[[#This Row],[price]]*Table16[[#This Row],[quantity]]</f>
        <v>300.08</v>
      </c>
    </row>
    <row r="5864" spans="1:9" x14ac:dyDescent="0.3">
      <c r="A5864" t="s">
        <v>7882</v>
      </c>
      <c r="B5864" t="s">
        <v>1171</v>
      </c>
      <c r="C5864" t="s">
        <v>2001</v>
      </c>
      <c r="D5864">
        <v>5</v>
      </c>
      <c r="E5864" s="16">
        <v>1500.4</v>
      </c>
      <c r="F5864" s="1">
        <v>44547</v>
      </c>
      <c r="G5864" t="s">
        <v>2002</v>
      </c>
      <c r="H5864">
        <v>2</v>
      </c>
      <c r="I5864" s="12">
        <f>Table16[[#This Row],[price]]*Table16[[#This Row],[quantity]]</f>
        <v>7502</v>
      </c>
    </row>
    <row r="5865" spans="1:9" x14ac:dyDescent="0.3">
      <c r="A5865" t="s">
        <v>7880</v>
      </c>
      <c r="B5865" t="s">
        <v>1171</v>
      </c>
      <c r="C5865" t="s">
        <v>2001</v>
      </c>
      <c r="D5865">
        <v>5</v>
      </c>
      <c r="E5865" s="16">
        <v>1500.4</v>
      </c>
      <c r="F5865" s="1">
        <v>44657</v>
      </c>
      <c r="G5865" t="s">
        <v>2041</v>
      </c>
      <c r="H5865">
        <v>1</v>
      </c>
      <c r="I5865" s="12">
        <f>Table16[[#This Row],[price]]*Table16[[#This Row],[quantity]]</f>
        <v>7502</v>
      </c>
    </row>
    <row r="5866" spans="1:9" x14ac:dyDescent="0.3">
      <c r="A5866" t="s">
        <v>7884</v>
      </c>
      <c r="B5866" t="s">
        <v>1171</v>
      </c>
      <c r="C5866" t="s">
        <v>2001</v>
      </c>
      <c r="D5866">
        <v>5</v>
      </c>
      <c r="E5866" s="16">
        <v>1500.4</v>
      </c>
      <c r="F5866" s="1">
        <v>44697</v>
      </c>
      <c r="G5866" t="s">
        <v>2027</v>
      </c>
      <c r="H5866">
        <v>4</v>
      </c>
      <c r="I5866" s="12">
        <f>Table16[[#This Row],[price]]*Table16[[#This Row],[quantity]]</f>
        <v>7502</v>
      </c>
    </row>
    <row r="5867" spans="1:9" x14ac:dyDescent="0.3">
      <c r="A5867" t="s">
        <v>7881</v>
      </c>
      <c r="B5867" t="s">
        <v>1171</v>
      </c>
      <c r="C5867" t="s">
        <v>2017</v>
      </c>
      <c r="D5867">
        <v>4</v>
      </c>
      <c r="E5867" s="16">
        <v>4200</v>
      </c>
      <c r="F5867" s="1">
        <v>44897</v>
      </c>
      <c r="G5867" t="s">
        <v>2027</v>
      </c>
      <c r="H5867">
        <v>1</v>
      </c>
      <c r="I5867" s="12">
        <f>Table16[[#This Row],[price]]*Table16[[#This Row],[quantity]]</f>
        <v>16800</v>
      </c>
    </row>
    <row r="5868" spans="1:9" x14ac:dyDescent="0.3">
      <c r="A5868" t="s">
        <v>7883</v>
      </c>
      <c r="B5868" t="s">
        <v>1171</v>
      </c>
      <c r="C5868" t="s">
        <v>2001</v>
      </c>
      <c r="D5868">
        <v>5</v>
      </c>
      <c r="E5868" s="16">
        <v>1500.4</v>
      </c>
      <c r="F5868" s="1">
        <v>44914</v>
      </c>
      <c r="G5868" t="s">
        <v>2002</v>
      </c>
      <c r="H5868">
        <v>1</v>
      </c>
      <c r="I5868" s="12">
        <f>Table16[[#This Row],[price]]*Table16[[#This Row],[quantity]]</f>
        <v>7502</v>
      </c>
    </row>
    <row r="5869" spans="1:9" x14ac:dyDescent="0.3">
      <c r="A5869" t="s">
        <v>7886</v>
      </c>
      <c r="B5869" t="s">
        <v>1172</v>
      </c>
      <c r="C5869" t="s">
        <v>2024</v>
      </c>
      <c r="D5869">
        <v>2</v>
      </c>
      <c r="E5869" s="16">
        <v>71.680000000000007</v>
      </c>
      <c r="F5869" s="1">
        <v>44246</v>
      </c>
      <c r="G5869" t="s">
        <v>2004</v>
      </c>
      <c r="H5869">
        <v>5</v>
      </c>
      <c r="I5869" s="12">
        <f>Table16[[#This Row],[price]]*Table16[[#This Row],[quantity]]</f>
        <v>143.36000000000001</v>
      </c>
    </row>
    <row r="5870" spans="1:9" x14ac:dyDescent="0.3">
      <c r="A5870" t="s">
        <v>7887</v>
      </c>
      <c r="B5870" t="s">
        <v>1172</v>
      </c>
      <c r="C5870" t="s">
        <v>2008</v>
      </c>
      <c r="D5870">
        <v>1</v>
      </c>
      <c r="E5870" s="16">
        <v>5.23</v>
      </c>
      <c r="F5870" s="1">
        <v>44500</v>
      </c>
      <c r="G5870" t="s">
        <v>2064</v>
      </c>
      <c r="H5870">
        <v>5</v>
      </c>
      <c r="I5870" s="12">
        <f>Table16[[#This Row],[price]]*Table16[[#This Row],[quantity]]</f>
        <v>5.23</v>
      </c>
    </row>
    <row r="5871" spans="1:9" x14ac:dyDescent="0.3">
      <c r="A5871" t="s">
        <v>7885</v>
      </c>
      <c r="B5871" t="s">
        <v>1172</v>
      </c>
      <c r="C5871" t="s">
        <v>2024</v>
      </c>
      <c r="D5871">
        <v>4</v>
      </c>
      <c r="E5871" s="16">
        <v>143.36000000000001</v>
      </c>
      <c r="F5871" s="1">
        <v>44624</v>
      </c>
      <c r="G5871" t="s">
        <v>2027</v>
      </c>
      <c r="H5871">
        <v>4</v>
      </c>
      <c r="I5871" s="12">
        <f>Table16[[#This Row],[price]]*Table16[[#This Row],[quantity]]</f>
        <v>573.44000000000005</v>
      </c>
    </row>
    <row r="5872" spans="1:9" x14ac:dyDescent="0.3">
      <c r="A5872" t="s">
        <v>7891</v>
      </c>
      <c r="B5872" t="s">
        <v>1173</v>
      </c>
      <c r="C5872" t="s">
        <v>2001</v>
      </c>
      <c r="D5872">
        <v>4</v>
      </c>
      <c r="E5872" s="16">
        <v>1200.32</v>
      </c>
      <c r="F5872" s="1">
        <v>44279</v>
      </c>
      <c r="G5872" t="s">
        <v>2058</v>
      </c>
      <c r="H5872">
        <v>4</v>
      </c>
      <c r="I5872" s="12">
        <f>Table16[[#This Row],[price]]*Table16[[#This Row],[quantity]]</f>
        <v>4801.28</v>
      </c>
    </row>
    <row r="5873" spans="1:9" x14ac:dyDescent="0.3">
      <c r="A5873" t="s">
        <v>7892</v>
      </c>
      <c r="B5873" t="s">
        <v>1173</v>
      </c>
      <c r="C5873" t="s">
        <v>2001</v>
      </c>
      <c r="D5873">
        <v>4</v>
      </c>
      <c r="E5873" s="16">
        <v>1200.32</v>
      </c>
      <c r="F5873" s="1">
        <v>44359</v>
      </c>
      <c r="G5873" t="s">
        <v>2027</v>
      </c>
      <c r="H5873">
        <v>2</v>
      </c>
      <c r="I5873" s="12">
        <f>Table16[[#This Row],[price]]*Table16[[#This Row],[quantity]]</f>
        <v>4801.28</v>
      </c>
    </row>
    <row r="5874" spans="1:9" x14ac:dyDescent="0.3">
      <c r="A5874" t="s">
        <v>7890</v>
      </c>
      <c r="B5874" t="s">
        <v>1173</v>
      </c>
      <c r="C5874" t="s">
        <v>2006</v>
      </c>
      <c r="D5874">
        <v>2</v>
      </c>
      <c r="E5874" s="16">
        <v>30.3</v>
      </c>
      <c r="F5874" s="1">
        <v>44611</v>
      </c>
      <c r="G5874" t="s">
        <v>2027</v>
      </c>
      <c r="H5874">
        <v>5</v>
      </c>
      <c r="I5874" s="12">
        <f>Table16[[#This Row],[price]]*Table16[[#This Row],[quantity]]</f>
        <v>60.6</v>
      </c>
    </row>
    <row r="5875" spans="1:9" x14ac:dyDescent="0.3">
      <c r="A5875" t="s">
        <v>7888</v>
      </c>
      <c r="B5875" t="s">
        <v>1173</v>
      </c>
      <c r="C5875" t="s">
        <v>2015</v>
      </c>
      <c r="D5875">
        <v>2</v>
      </c>
      <c r="E5875" s="16">
        <v>1200.3399999999999</v>
      </c>
      <c r="F5875" s="1">
        <v>44798</v>
      </c>
      <c r="G5875" t="s">
        <v>2004</v>
      </c>
      <c r="H5875">
        <v>2</v>
      </c>
      <c r="I5875" s="12">
        <f>Table16[[#This Row],[price]]*Table16[[#This Row],[quantity]]</f>
        <v>2400.6799999999998</v>
      </c>
    </row>
    <row r="5876" spans="1:9" x14ac:dyDescent="0.3">
      <c r="A5876" t="s">
        <v>7893</v>
      </c>
      <c r="B5876" t="s">
        <v>1173</v>
      </c>
      <c r="C5876" t="s">
        <v>2001</v>
      </c>
      <c r="D5876">
        <v>5</v>
      </c>
      <c r="E5876" s="16">
        <v>1500.4</v>
      </c>
      <c r="F5876" s="1">
        <v>44835</v>
      </c>
      <c r="G5876" t="s">
        <v>2027</v>
      </c>
      <c r="H5876">
        <v>2</v>
      </c>
      <c r="I5876" s="12">
        <f>Table16[[#This Row],[price]]*Table16[[#This Row],[quantity]]</f>
        <v>7502</v>
      </c>
    </row>
    <row r="5877" spans="1:9" x14ac:dyDescent="0.3">
      <c r="A5877" t="s">
        <v>7889</v>
      </c>
      <c r="B5877" t="s">
        <v>1173</v>
      </c>
      <c r="C5877" t="s">
        <v>2017</v>
      </c>
      <c r="D5877">
        <v>2</v>
      </c>
      <c r="E5877" s="16">
        <v>2100</v>
      </c>
      <c r="F5877" s="1">
        <v>44933</v>
      </c>
      <c r="G5877" t="s">
        <v>2027</v>
      </c>
      <c r="H5877">
        <v>4</v>
      </c>
      <c r="I5877" s="12">
        <f>Table16[[#This Row],[price]]*Table16[[#This Row],[quantity]]</f>
        <v>4200</v>
      </c>
    </row>
    <row r="5878" spans="1:9" x14ac:dyDescent="0.3">
      <c r="A5878" t="s">
        <v>7895</v>
      </c>
      <c r="B5878" t="s">
        <v>1174</v>
      </c>
      <c r="C5878" t="s">
        <v>2006</v>
      </c>
      <c r="D5878">
        <v>2</v>
      </c>
      <c r="E5878" s="16">
        <v>30.3</v>
      </c>
      <c r="F5878" s="1">
        <v>44271</v>
      </c>
      <c r="G5878" t="s">
        <v>2002</v>
      </c>
      <c r="H5878">
        <v>5</v>
      </c>
      <c r="I5878" s="12">
        <f>Table16[[#This Row],[price]]*Table16[[#This Row],[quantity]]</f>
        <v>60.6</v>
      </c>
    </row>
    <row r="5879" spans="1:9" x14ac:dyDescent="0.3">
      <c r="A5879" t="s">
        <v>7898</v>
      </c>
      <c r="B5879" t="s">
        <v>1174</v>
      </c>
      <c r="C5879" t="s">
        <v>2001</v>
      </c>
      <c r="D5879">
        <v>4</v>
      </c>
      <c r="E5879" s="16">
        <v>1200.32</v>
      </c>
      <c r="F5879" s="1">
        <v>44339</v>
      </c>
      <c r="G5879" t="s">
        <v>2018</v>
      </c>
      <c r="H5879">
        <v>1</v>
      </c>
      <c r="I5879" s="12">
        <f>Table16[[#This Row],[price]]*Table16[[#This Row],[quantity]]</f>
        <v>4801.28</v>
      </c>
    </row>
    <row r="5880" spans="1:9" x14ac:dyDescent="0.3">
      <c r="A5880" t="s">
        <v>7897</v>
      </c>
      <c r="B5880" t="s">
        <v>1174</v>
      </c>
      <c r="C5880" t="s">
        <v>2006</v>
      </c>
      <c r="D5880">
        <v>3</v>
      </c>
      <c r="E5880" s="16">
        <v>45.45</v>
      </c>
      <c r="F5880" s="1">
        <v>44446</v>
      </c>
      <c r="G5880" t="s">
        <v>2027</v>
      </c>
      <c r="H5880">
        <v>2</v>
      </c>
      <c r="I5880" s="12">
        <f>Table16[[#This Row],[price]]*Table16[[#This Row],[quantity]]</f>
        <v>136.35000000000002</v>
      </c>
    </row>
    <row r="5881" spans="1:9" x14ac:dyDescent="0.3">
      <c r="A5881" t="s">
        <v>7894</v>
      </c>
      <c r="B5881" t="s">
        <v>1174</v>
      </c>
      <c r="C5881" t="s">
        <v>2024</v>
      </c>
      <c r="D5881">
        <v>3</v>
      </c>
      <c r="E5881" s="16">
        <v>107.52</v>
      </c>
      <c r="F5881" s="1">
        <v>44721</v>
      </c>
      <c r="G5881" t="s">
        <v>2020</v>
      </c>
      <c r="H5881">
        <v>4</v>
      </c>
      <c r="I5881" s="12">
        <f>Table16[[#This Row],[price]]*Table16[[#This Row],[quantity]]</f>
        <v>322.56</v>
      </c>
    </row>
    <row r="5882" spans="1:9" x14ac:dyDescent="0.3">
      <c r="A5882" t="s">
        <v>7896</v>
      </c>
      <c r="B5882" t="s">
        <v>1174</v>
      </c>
      <c r="C5882" t="s">
        <v>2017</v>
      </c>
      <c r="D5882">
        <v>5</v>
      </c>
      <c r="E5882" s="16">
        <v>5250</v>
      </c>
      <c r="F5882" s="1">
        <v>44900</v>
      </c>
      <c r="G5882" t="s">
        <v>2004</v>
      </c>
      <c r="H5882">
        <v>4</v>
      </c>
      <c r="I5882" s="12">
        <f>Table16[[#This Row],[price]]*Table16[[#This Row],[quantity]]</f>
        <v>26250</v>
      </c>
    </row>
    <row r="5883" spans="1:9" x14ac:dyDescent="0.3">
      <c r="A5883" t="s">
        <v>7900</v>
      </c>
      <c r="B5883" t="s">
        <v>1175</v>
      </c>
      <c r="C5883" t="s">
        <v>2001</v>
      </c>
      <c r="D5883">
        <v>5</v>
      </c>
      <c r="E5883" s="16">
        <v>1500.4</v>
      </c>
      <c r="F5883" s="1">
        <v>44227</v>
      </c>
      <c r="G5883" t="s">
        <v>2027</v>
      </c>
      <c r="H5883">
        <v>4</v>
      </c>
      <c r="I5883" s="12">
        <f>Table16[[#This Row],[price]]*Table16[[#This Row],[quantity]]</f>
        <v>7502</v>
      </c>
    </row>
    <row r="5884" spans="1:9" x14ac:dyDescent="0.3">
      <c r="A5884" t="s">
        <v>7904</v>
      </c>
      <c r="B5884" t="s">
        <v>1175</v>
      </c>
      <c r="C5884" t="s">
        <v>2001</v>
      </c>
      <c r="D5884">
        <v>5</v>
      </c>
      <c r="E5884" s="16">
        <v>1500.4</v>
      </c>
      <c r="F5884" s="1">
        <v>44466</v>
      </c>
      <c r="G5884" t="s">
        <v>2002</v>
      </c>
      <c r="H5884">
        <v>1</v>
      </c>
      <c r="I5884" s="12">
        <f>Table16[[#This Row],[price]]*Table16[[#This Row],[quantity]]</f>
        <v>7502</v>
      </c>
    </row>
    <row r="5885" spans="1:9" x14ac:dyDescent="0.3">
      <c r="A5885" t="s">
        <v>7901</v>
      </c>
      <c r="B5885" t="s">
        <v>1175</v>
      </c>
      <c r="C5885" t="s">
        <v>2008</v>
      </c>
      <c r="D5885">
        <v>2</v>
      </c>
      <c r="E5885" s="16">
        <v>10.46</v>
      </c>
      <c r="F5885" s="1">
        <v>44669</v>
      </c>
      <c r="G5885" t="s">
        <v>2004</v>
      </c>
      <c r="H5885">
        <v>3</v>
      </c>
      <c r="I5885" s="12">
        <f>Table16[[#This Row],[price]]*Table16[[#This Row],[quantity]]</f>
        <v>20.92</v>
      </c>
    </row>
    <row r="5886" spans="1:9" x14ac:dyDescent="0.3">
      <c r="A5886" t="s">
        <v>7902</v>
      </c>
      <c r="B5886" t="s">
        <v>1175</v>
      </c>
      <c r="C5886" t="s">
        <v>2024</v>
      </c>
      <c r="D5886">
        <v>2</v>
      </c>
      <c r="E5886" s="16">
        <v>71.680000000000007</v>
      </c>
      <c r="F5886" s="1">
        <v>44769</v>
      </c>
      <c r="G5886" t="s">
        <v>2027</v>
      </c>
      <c r="H5886">
        <v>2</v>
      </c>
      <c r="I5886" s="12">
        <f>Table16[[#This Row],[price]]*Table16[[#This Row],[quantity]]</f>
        <v>143.36000000000001</v>
      </c>
    </row>
    <row r="5887" spans="1:9" x14ac:dyDescent="0.3">
      <c r="A5887" t="s">
        <v>7899</v>
      </c>
      <c r="B5887" t="s">
        <v>1175</v>
      </c>
      <c r="C5887" t="s">
        <v>2006</v>
      </c>
      <c r="D5887">
        <v>3</v>
      </c>
      <c r="E5887" s="16">
        <v>45.45</v>
      </c>
      <c r="F5887" s="1">
        <v>44804</v>
      </c>
      <c r="G5887" t="s">
        <v>2004</v>
      </c>
      <c r="H5887">
        <v>1</v>
      </c>
      <c r="I5887" s="12">
        <f>Table16[[#This Row],[price]]*Table16[[#This Row],[quantity]]</f>
        <v>136.35000000000002</v>
      </c>
    </row>
    <row r="5888" spans="1:9" x14ac:dyDescent="0.3">
      <c r="A5888" t="s">
        <v>7903</v>
      </c>
      <c r="B5888" t="s">
        <v>1175</v>
      </c>
      <c r="C5888" t="s">
        <v>2008</v>
      </c>
      <c r="D5888">
        <v>2</v>
      </c>
      <c r="E5888" s="16">
        <v>10.46</v>
      </c>
      <c r="F5888" s="1">
        <v>44935</v>
      </c>
      <c r="G5888" t="s">
        <v>2027</v>
      </c>
      <c r="H5888">
        <v>1</v>
      </c>
      <c r="I5888" s="12">
        <f>Table16[[#This Row],[price]]*Table16[[#This Row],[quantity]]</f>
        <v>20.92</v>
      </c>
    </row>
    <row r="5889" spans="1:9" x14ac:dyDescent="0.3">
      <c r="A5889" t="s">
        <v>7907</v>
      </c>
      <c r="B5889" t="s">
        <v>1176</v>
      </c>
      <c r="C5889" t="s">
        <v>2008</v>
      </c>
      <c r="D5889">
        <v>2</v>
      </c>
      <c r="E5889" s="16">
        <v>10.46</v>
      </c>
      <c r="F5889" s="1">
        <v>44503</v>
      </c>
      <c r="G5889" t="s">
        <v>2064</v>
      </c>
      <c r="H5889">
        <v>5</v>
      </c>
      <c r="I5889" s="12">
        <f>Table16[[#This Row],[price]]*Table16[[#This Row],[quantity]]</f>
        <v>20.92</v>
      </c>
    </row>
    <row r="5890" spans="1:9" x14ac:dyDescent="0.3">
      <c r="A5890" t="s">
        <v>7906</v>
      </c>
      <c r="B5890" t="s">
        <v>1176</v>
      </c>
      <c r="C5890" t="s">
        <v>2006</v>
      </c>
      <c r="D5890">
        <v>4</v>
      </c>
      <c r="E5890" s="16">
        <v>60.6</v>
      </c>
      <c r="F5890" s="1">
        <v>44660</v>
      </c>
      <c r="G5890" t="s">
        <v>2018</v>
      </c>
      <c r="H5890">
        <v>3</v>
      </c>
      <c r="I5890" s="12">
        <f>Table16[[#This Row],[price]]*Table16[[#This Row],[quantity]]</f>
        <v>242.4</v>
      </c>
    </row>
    <row r="5891" spans="1:9" x14ac:dyDescent="0.3">
      <c r="A5891" t="s">
        <v>7908</v>
      </c>
      <c r="B5891" t="s">
        <v>1176</v>
      </c>
      <c r="C5891" t="s">
        <v>2008</v>
      </c>
      <c r="D5891">
        <v>2</v>
      </c>
      <c r="E5891" s="16">
        <v>10.46</v>
      </c>
      <c r="F5891" s="1">
        <v>44674</v>
      </c>
      <c r="G5891" t="s">
        <v>2002</v>
      </c>
      <c r="H5891">
        <v>2</v>
      </c>
      <c r="I5891" s="12">
        <f>Table16[[#This Row],[price]]*Table16[[#This Row],[quantity]]</f>
        <v>20.92</v>
      </c>
    </row>
    <row r="5892" spans="1:9" x14ac:dyDescent="0.3">
      <c r="A5892" t="s">
        <v>7905</v>
      </c>
      <c r="B5892" t="s">
        <v>1176</v>
      </c>
      <c r="C5892" t="s">
        <v>2001</v>
      </c>
      <c r="D5892">
        <v>5</v>
      </c>
      <c r="E5892" s="16">
        <v>1500.4</v>
      </c>
      <c r="F5892" s="1">
        <v>44960</v>
      </c>
      <c r="G5892" t="s">
        <v>2004</v>
      </c>
      <c r="H5892">
        <v>2</v>
      </c>
      <c r="I5892" s="12">
        <f>Table16[[#This Row],[price]]*Table16[[#This Row],[quantity]]</f>
        <v>7502</v>
      </c>
    </row>
    <row r="5893" spans="1:9" x14ac:dyDescent="0.3">
      <c r="A5893" t="s">
        <v>7910</v>
      </c>
      <c r="B5893" t="s">
        <v>1177</v>
      </c>
      <c r="C5893" t="s">
        <v>2024</v>
      </c>
      <c r="D5893">
        <v>5</v>
      </c>
      <c r="E5893" s="16">
        <v>179.2</v>
      </c>
      <c r="F5893" s="1">
        <v>44492</v>
      </c>
      <c r="G5893" t="s">
        <v>2002</v>
      </c>
      <c r="H5893">
        <v>4</v>
      </c>
      <c r="I5893" s="12">
        <f>Table16[[#This Row],[price]]*Table16[[#This Row],[quantity]]</f>
        <v>896</v>
      </c>
    </row>
    <row r="5894" spans="1:9" x14ac:dyDescent="0.3">
      <c r="A5894" t="s">
        <v>7909</v>
      </c>
      <c r="B5894" t="s">
        <v>1177</v>
      </c>
      <c r="C5894" t="s">
        <v>2001</v>
      </c>
      <c r="D5894">
        <v>4</v>
      </c>
      <c r="E5894" s="16">
        <v>1200.32</v>
      </c>
      <c r="F5894" s="1">
        <v>44808</v>
      </c>
      <c r="G5894" t="s">
        <v>2020</v>
      </c>
      <c r="H5894">
        <v>3</v>
      </c>
      <c r="I5894" s="12">
        <f>Table16[[#This Row],[price]]*Table16[[#This Row],[quantity]]</f>
        <v>4801.28</v>
      </c>
    </row>
    <row r="5895" spans="1:9" x14ac:dyDescent="0.3">
      <c r="A5895" t="s">
        <v>7912</v>
      </c>
      <c r="B5895" t="s">
        <v>1177</v>
      </c>
      <c r="C5895" t="s">
        <v>2011</v>
      </c>
      <c r="D5895">
        <v>2</v>
      </c>
      <c r="E5895" s="16">
        <v>81.319999999999993</v>
      </c>
      <c r="F5895" s="1">
        <v>44886</v>
      </c>
      <c r="G5895" t="s">
        <v>2027</v>
      </c>
      <c r="H5895">
        <v>1</v>
      </c>
      <c r="I5895" s="12">
        <f>Table16[[#This Row],[price]]*Table16[[#This Row],[quantity]]</f>
        <v>162.63999999999999</v>
      </c>
    </row>
    <row r="5896" spans="1:9" x14ac:dyDescent="0.3">
      <c r="A5896" t="s">
        <v>7911</v>
      </c>
      <c r="B5896" t="s">
        <v>1177</v>
      </c>
      <c r="C5896" t="s">
        <v>2008</v>
      </c>
      <c r="D5896">
        <v>3</v>
      </c>
      <c r="E5896" s="16">
        <v>15.69</v>
      </c>
      <c r="F5896" s="1">
        <v>44926</v>
      </c>
      <c r="G5896" t="s">
        <v>2002</v>
      </c>
      <c r="H5896">
        <v>1</v>
      </c>
      <c r="I5896" s="12">
        <f>Table16[[#This Row],[price]]*Table16[[#This Row],[quantity]]</f>
        <v>47.07</v>
      </c>
    </row>
    <row r="5897" spans="1:9" x14ac:dyDescent="0.3">
      <c r="A5897" t="s">
        <v>7915</v>
      </c>
      <c r="B5897" t="s">
        <v>1178</v>
      </c>
      <c r="C5897" t="s">
        <v>2011</v>
      </c>
      <c r="D5897">
        <v>3</v>
      </c>
      <c r="E5897" s="16">
        <v>121.98</v>
      </c>
      <c r="F5897" s="1">
        <v>44354</v>
      </c>
      <c r="G5897" t="s">
        <v>2009</v>
      </c>
      <c r="H5897">
        <v>3</v>
      </c>
      <c r="I5897" s="12">
        <f>Table16[[#This Row],[price]]*Table16[[#This Row],[quantity]]</f>
        <v>365.94</v>
      </c>
    </row>
    <row r="5898" spans="1:9" x14ac:dyDescent="0.3">
      <c r="A5898" t="s">
        <v>7914</v>
      </c>
      <c r="B5898" t="s">
        <v>1178</v>
      </c>
      <c r="C5898" t="s">
        <v>2011</v>
      </c>
      <c r="D5898">
        <v>4</v>
      </c>
      <c r="E5898" s="16">
        <v>162.63999999999999</v>
      </c>
      <c r="F5898" s="1">
        <v>44374</v>
      </c>
      <c r="G5898" t="s">
        <v>2004</v>
      </c>
      <c r="H5898">
        <v>3</v>
      </c>
      <c r="I5898" s="12">
        <f>Table16[[#This Row],[price]]*Table16[[#This Row],[quantity]]</f>
        <v>650.55999999999995</v>
      </c>
    </row>
    <row r="5899" spans="1:9" x14ac:dyDescent="0.3">
      <c r="A5899" t="s">
        <v>7917</v>
      </c>
      <c r="B5899" t="s">
        <v>1178</v>
      </c>
      <c r="C5899" t="s">
        <v>2001</v>
      </c>
      <c r="D5899">
        <v>3</v>
      </c>
      <c r="E5899" s="16">
        <v>900.24</v>
      </c>
      <c r="F5899" s="1">
        <v>44506</v>
      </c>
      <c r="G5899" t="s">
        <v>2004</v>
      </c>
      <c r="H5899">
        <v>2</v>
      </c>
      <c r="I5899" s="12">
        <f>Table16[[#This Row],[price]]*Table16[[#This Row],[quantity]]</f>
        <v>2700.7200000000003</v>
      </c>
    </row>
    <row r="5900" spans="1:9" x14ac:dyDescent="0.3">
      <c r="A5900" t="s">
        <v>7913</v>
      </c>
      <c r="B5900" t="s">
        <v>1178</v>
      </c>
      <c r="C5900" t="s">
        <v>2001</v>
      </c>
      <c r="D5900">
        <v>1</v>
      </c>
      <c r="E5900" s="16">
        <v>300.08</v>
      </c>
      <c r="F5900" s="1">
        <v>44611</v>
      </c>
      <c r="G5900" t="s">
        <v>2020</v>
      </c>
      <c r="H5900">
        <v>1</v>
      </c>
      <c r="I5900" s="12">
        <f>Table16[[#This Row],[price]]*Table16[[#This Row],[quantity]]</f>
        <v>300.08</v>
      </c>
    </row>
    <row r="5901" spans="1:9" x14ac:dyDescent="0.3">
      <c r="A5901" t="s">
        <v>7916</v>
      </c>
      <c r="B5901" t="s">
        <v>1178</v>
      </c>
      <c r="C5901" t="s">
        <v>2001</v>
      </c>
      <c r="D5901">
        <v>4</v>
      </c>
      <c r="E5901" s="16">
        <v>1200.32</v>
      </c>
      <c r="F5901" s="1">
        <v>44939</v>
      </c>
      <c r="G5901" t="s">
        <v>2041</v>
      </c>
      <c r="H5901">
        <v>4</v>
      </c>
      <c r="I5901" s="12">
        <f>Table16[[#This Row],[price]]*Table16[[#This Row],[quantity]]</f>
        <v>4801.28</v>
      </c>
    </row>
    <row r="5902" spans="1:9" x14ac:dyDescent="0.3">
      <c r="A5902" t="s">
        <v>7918</v>
      </c>
      <c r="B5902" t="s">
        <v>1179</v>
      </c>
      <c r="C5902" t="s">
        <v>2011</v>
      </c>
      <c r="D5902">
        <v>3</v>
      </c>
      <c r="E5902" s="16">
        <v>121.98</v>
      </c>
      <c r="F5902" s="1">
        <v>44228</v>
      </c>
      <c r="G5902" t="s">
        <v>2002</v>
      </c>
      <c r="H5902">
        <v>5</v>
      </c>
      <c r="I5902" s="12">
        <f>Table16[[#This Row],[price]]*Table16[[#This Row],[quantity]]</f>
        <v>365.94</v>
      </c>
    </row>
    <row r="5903" spans="1:9" x14ac:dyDescent="0.3">
      <c r="A5903" t="s">
        <v>7919</v>
      </c>
      <c r="B5903" t="s">
        <v>1179</v>
      </c>
      <c r="C5903" t="s">
        <v>2008</v>
      </c>
      <c r="D5903">
        <v>1</v>
      </c>
      <c r="E5903" s="16">
        <v>5.23</v>
      </c>
      <c r="F5903" s="1">
        <v>44588</v>
      </c>
      <c r="G5903" t="s">
        <v>2064</v>
      </c>
      <c r="H5903">
        <v>1</v>
      </c>
      <c r="I5903" s="12">
        <f>Table16[[#This Row],[price]]*Table16[[#This Row],[quantity]]</f>
        <v>5.23</v>
      </c>
    </row>
    <row r="5904" spans="1:9" x14ac:dyDescent="0.3">
      <c r="A5904" t="s">
        <v>7923</v>
      </c>
      <c r="B5904" t="s">
        <v>1179</v>
      </c>
      <c r="C5904" t="s">
        <v>2015</v>
      </c>
      <c r="D5904">
        <v>5</v>
      </c>
      <c r="E5904" s="16">
        <v>3000.85</v>
      </c>
      <c r="F5904" s="1">
        <v>44631</v>
      </c>
      <c r="G5904" t="s">
        <v>2041</v>
      </c>
      <c r="H5904">
        <v>5</v>
      </c>
      <c r="I5904" s="12">
        <f>Table16[[#This Row],[price]]*Table16[[#This Row],[quantity]]</f>
        <v>15004.25</v>
      </c>
    </row>
    <row r="5905" spans="1:9" x14ac:dyDescent="0.3">
      <c r="A5905" t="s">
        <v>7920</v>
      </c>
      <c r="B5905" t="s">
        <v>1179</v>
      </c>
      <c r="C5905" t="s">
        <v>2001</v>
      </c>
      <c r="D5905">
        <v>3</v>
      </c>
      <c r="E5905" s="16">
        <v>900.24</v>
      </c>
      <c r="F5905" s="1">
        <v>44657</v>
      </c>
      <c r="G5905" t="s">
        <v>2027</v>
      </c>
      <c r="H5905">
        <v>2</v>
      </c>
      <c r="I5905" s="12">
        <f>Table16[[#This Row],[price]]*Table16[[#This Row],[quantity]]</f>
        <v>2700.7200000000003</v>
      </c>
    </row>
    <row r="5906" spans="1:9" x14ac:dyDescent="0.3">
      <c r="A5906" t="s">
        <v>7922</v>
      </c>
      <c r="B5906" t="s">
        <v>1179</v>
      </c>
      <c r="C5906" t="s">
        <v>2001</v>
      </c>
      <c r="D5906">
        <v>4</v>
      </c>
      <c r="E5906" s="16">
        <v>1200.32</v>
      </c>
      <c r="F5906" s="1">
        <v>44751</v>
      </c>
      <c r="G5906" t="s">
        <v>2002</v>
      </c>
      <c r="H5906">
        <v>5</v>
      </c>
      <c r="I5906" s="12">
        <f>Table16[[#This Row],[price]]*Table16[[#This Row],[quantity]]</f>
        <v>4801.28</v>
      </c>
    </row>
    <row r="5907" spans="1:9" x14ac:dyDescent="0.3">
      <c r="A5907" t="s">
        <v>7921</v>
      </c>
      <c r="B5907" t="s">
        <v>1179</v>
      </c>
      <c r="C5907" t="s">
        <v>2001</v>
      </c>
      <c r="D5907">
        <v>4</v>
      </c>
      <c r="E5907" s="16">
        <v>1200.32</v>
      </c>
      <c r="F5907" s="1">
        <v>44825</v>
      </c>
      <c r="G5907" t="s">
        <v>2004</v>
      </c>
      <c r="H5907">
        <v>4</v>
      </c>
      <c r="I5907" s="12">
        <f>Table16[[#This Row],[price]]*Table16[[#This Row],[quantity]]</f>
        <v>4801.28</v>
      </c>
    </row>
    <row r="5908" spans="1:9" x14ac:dyDescent="0.3">
      <c r="A5908" t="s">
        <v>7924</v>
      </c>
      <c r="B5908" t="s">
        <v>1180</v>
      </c>
      <c r="C5908" t="s">
        <v>2001</v>
      </c>
      <c r="D5908">
        <v>4</v>
      </c>
      <c r="E5908" s="16">
        <v>1200.32</v>
      </c>
      <c r="F5908" s="1">
        <v>44213</v>
      </c>
      <c r="G5908" t="s">
        <v>2002</v>
      </c>
      <c r="H5908">
        <v>3</v>
      </c>
      <c r="I5908" s="12">
        <f>Table16[[#This Row],[price]]*Table16[[#This Row],[quantity]]</f>
        <v>4801.28</v>
      </c>
    </row>
    <row r="5909" spans="1:9" x14ac:dyDescent="0.3">
      <c r="A5909" t="s">
        <v>7932</v>
      </c>
      <c r="B5909" t="s">
        <v>1180</v>
      </c>
      <c r="C5909" t="s">
        <v>2008</v>
      </c>
      <c r="D5909">
        <v>3</v>
      </c>
      <c r="E5909" s="16">
        <v>15.69</v>
      </c>
      <c r="F5909" s="1">
        <v>44238</v>
      </c>
      <c r="G5909" t="s">
        <v>2002</v>
      </c>
      <c r="H5909">
        <v>4</v>
      </c>
      <c r="I5909" s="12">
        <f>Table16[[#This Row],[price]]*Table16[[#This Row],[quantity]]</f>
        <v>47.07</v>
      </c>
    </row>
    <row r="5910" spans="1:9" x14ac:dyDescent="0.3">
      <c r="A5910" t="s">
        <v>7926</v>
      </c>
      <c r="B5910" t="s">
        <v>1180</v>
      </c>
      <c r="C5910" t="s">
        <v>2024</v>
      </c>
      <c r="D5910">
        <v>3</v>
      </c>
      <c r="E5910" s="16">
        <v>107.52</v>
      </c>
      <c r="F5910" s="1">
        <v>44261</v>
      </c>
      <c r="G5910" t="s">
        <v>2002</v>
      </c>
      <c r="H5910">
        <v>3</v>
      </c>
      <c r="I5910" s="12">
        <f>Table16[[#This Row],[price]]*Table16[[#This Row],[quantity]]</f>
        <v>322.56</v>
      </c>
    </row>
    <row r="5911" spans="1:9" x14ac:dyDescent="0.3">
      <c r="A5911" t="s">
        <v>7929</v>
      </c>
      <c r="B5911" t="s">
        <v>1180</v>
      </c>
      <c r="C5911" t="s">
        <v>2024</v>
      </c>
      <c r="D5911">
        <v>2</v>
      </c>
      <c r="E5911" s="16">
        <v>71.680000000000007</v>
      </c>
      <c r="F5911" s="1">
        <v>44332</v>
      </c>
      <c r="G5911" t="s">
        <v>2064</v>
      </c>
      <c r="H5911">
        <v>1</v>
      </c>
      <c r="I5911" s="12">
        <f>Table16[[#This Row],[price]]*Table16[[#This Row],[quantity]]</f>
        <v>143.36000000000001</v>
      </c>
    </row>
    <row r="5912" spans="1:9" x14ac:dyDescent="0.3">
      <c r="A5912" t="s">
        <v>7925</v>
      </c>
      <c r="B5912" t="s">
        <v>1180</v>
      </c>
      <c r="C5912" t="s">
        <v>2017</v>
      </c>
      <c r="D5912">
        <v>4</v>
      </c>
      <c r="E5912" s="16">
        <v>4200</v>
      </c>
      <c r="F5912" s="1">
        <v>44408</v>
      </c>
      <c r="G5912" t="s">
        <v>2002</v>
      </c>
      <c r="H5912">
        <v>5</v>
      </c>
      <c r="I5912" s="12">
        <f>Table16[[#This Row],[price]]*Table16[[#This Row],[quantity]]</f>
        <v>16800</v>
      </c>
    </row>
    <row r="5913" spans="1:9" x14ac:dyDescent="0.3">
      <c r="A5913" t="s">
        <v>7930</v>
      </c>
      <c r="B5913" t="s">
        <v>1180</v>
      </c>
      <c r="C5913" t="s">
        <v>2011</v>
      </c>
      <c r="D5913">
        <v>5</v>
      </c>
      <c r="E5913" s="16">
        <v>203.3</v>
      </c>
      <c r="F5913" s="1">
        <v>44473</v>
      </c>
      <c r="G5913" t="s">
        <v>2041</v>
      </c>
      <c r="H5913">
        <v>2</v>
      </c>
      <c r="I5913" s="12">
        <f>Table16[[#This Row],[price]]*Table16[[#This Row],[quantity]]</f>
        <v>1016.5</v>
      </c>
    </row>
    <row r="5914" spans="1:9" x14ac:dyDescent="0.3">
      <c r="A5914" t="s">
        <v>7928</v>
      </c>
      <c r="B5914" t="s">
        <v>1180</v>
      </c>
      <c r="C5914" t="s">
        <v>2001</v>
      </c>
      <c r="D5914">
        <v>4</v>
      </c>
      <c r="E5914" s="16">
        <v>1200.32</v>
      </c>
      <c r="F5914" s="1">
        <v>44529</v>
      </c>
      <c r="G5914" t="s">
        <v>2064</v>
      </c>
      <c r="H5914">
        <v>3</v>
      </c>
      <c r="I5914" s="12">
        <f>Table16[[#This Row],[price]]*Table16[[#This Row],[quantity]]</f>
        <v>4801.28</v>
      </c>
    </row>
    <row r="5915" spans="1:9" x14ac:dyDescent="0.3">
      <c r="A5915" t="s">
        <v>7927</v>
      </c>
      <c r="B5915" t="s">
        <v>1180</v>
      </c>
      <c r="C5915" t="s">
        <v>2017</v>
      </c>
      <c r="D5915">
        <v>4</v>
      </c>
      <c r="E5915" s="16">
        <v>4200</v>
      </c>
      <c r="F5915" s="1">
        <v>44539</v>
      </c>
      <c r="G5915" t="s">
        <v>2027</v>
      </c>
      <c r="H5915">
        <v>2</v>
      </c>
      <c r="I5915" s="12">
        <f>Table16[[#This Row],[price]]*Table16[[#This Row],[quantity]]</f>
        <v>16800</v>
      </c>
    </row>
    <row r="5916" spans="1:9" x14ac:dyDescent="0.3">
      <c r="A5916" t="s">
        <v>7931</v>
      </c>
      <c r="B5916" t="s">
        <v>1180</v>
      </c>
      <c r="C5916" t="s">
        <v>2024</v>
      </c>
      <c r="D5916">
        <v>2</v>
      </c>
      <c r="E5916" s="16">
        <v>71.680000000000007</v>
      </c>
      <c r="F5916" s="1">
        <v>44781</v>
      </c>
      <c r="G5916" t="s">
        <v>2002</v>
      </c>
      <c r="H5916">
        <v>2</v>
      </c>
      <c r="I5916" s="12">
        <f>Table16[[#This Row],[price]]*Table16[[#This Row],[quantity]]</f>
        <v>143.36000000000001</v>
      </c>
    </row>
    <row r="5917" spans="1:9" x14ac:dyDescent="0.3">
      <c r="A5917" t="s">
        <v>7935</v>
      </c>
      <c r="B5917" t="s">
        <v>1181</v>
      </c>
      <c r="C5917" t="s">
        <v>2024</v>
      </c>
      <c r="D5917">
        <v>1</v>
      </c>
      <c r="E5917" s="16">
        <v>35.840000000000003</v>
      </c>
      <c r="F5917" s="1">
        <v>44275</v>
      </c>
      <c r="G5917" t="s">
        <v>2058</v>
      </c>
      <c r="H5917">
        <v>3</v>
      </c>
      <c r="I5917" s="12">
        <f>Table16[[#This Row],[price]]*Table16[[#This Row],[quantity]]</f>
        <v>35.840000000000003</v>
      </c>
    </row>
    <row r="5918" spans="1:9" x14ac:dyDescent="0.3">
      <c r="A5918" t="s">
        <v>7933</v>
      </c>
      <c r="B5918" t="s">
        <v>1181</v>
      </c>
      <c r="C5918" t="s">
        <v>2001</v>
      </c>
      <c r="D5918">
        <v>4</v>
      </c>
      <c r="E5918" s="16">
        <v>1200.32</v>
      </c>
      <c r="F5918" s="1">
        <v>44288</v>
      </c>
      <c r="G5918" t="s">
        <v>2004</v>
      </c>
      <c r="H5918">
        <v>5</v>
      </c>
      <c r="I5918" s="12">
        <f>Table16[[#This Row],[price]]*Table16[[#This Row],[quantity]]</f>
        <v>4801.28</v>
      </c>
    </row>
    <row r="5919" spans="1:9" x14ac:dyDescent="0.3">
      <c r="A5919" t="s">
        <v>7938</v>
      </c>
      <c r="B5919" t="s">
        <v>1181</v>
      </c>
      <c r="C5919" t="s">
        <v>2001</v>
      </c>
      <c r="D5919">
        <v>5</v>
      </c>
      <c r="E5919" s="16">
        <v>1500.4</v>
      </c>
      <c r="F5919" s="1">
        <v>44581</v>
      </c>
      <c r="G5919" t="s">
        <v>2004</v>
      </c>
      <c r="H5919">
        <v>3</v>
      </c>
      <c r="I5919" s="12">
        <f>Table16[[#This Row],[price]]*Table16[[#This Row],[quantity]]</f>
        <v>7502</v>
      </c>
    </row>
    <row r="5920" spans="1:9" x14ac:dyDescent="0.3">
      <c r="A5920" t="s">
        <v>7934</v>
      </c>
      <c r="B5920" t="s">
        <v>1181</v>
      </c>
      <c r="C5920" t="s">
        <v>2001</v>
      </c>
      <c r="D5920">
        <v>1</v>
      </c>
      <c r="E5920" s="16">
        <v>300.08</v>
      </c>
      <c r="F5920" s="1">
        <v>44594</v>
      </c>
      <c r="G5920" t="s">
        <v>2004</v>
      </c>
      <c r="H5920">
        <v>2</v>
      </c>
      <c r="I5920" s="12">
        <f>Table16[[#This Row],[price]]*Table16[[#This Row],[quantity]]</f>
        <v>300.08</v>
      </c>
    </row>
    <row r="5921" spans="1:9" x14ac:dyDescent="0.3">
      <c r="A5921" t="s">
        <v>7937</v>
      </c>
      <c r="B5921" t="s">
        <v>1181</v>
      </c>
      <c r="C5921" t="s">
        <v>2001</v>
      </c>
      <c r="D5921">
        <v>1</v>
      </c>
      <c r="E5921" s="16">
        <v>300.08</v>
      </c>
      <c r="F5921" s="1">
        <v>44697</v>
      </c>
      <c r="G5921" t="s">
        <v>2027</v>
      </c>
      <c r="H5921">
        <v>2</v>
      </c>
      <c r="I5921" s="12">
        <f>Table16[[#This Row],[price]]*Table16[[#This Row],[quantity]]</f>
        <v>300.08</v>
      </c>
    </row>
    <row r="5922" spans="1:9" x14ac:dyDescent="0.3">
      <c r="A5922" t="s">
        <v>7936</v>
      </c>
      <c r="B5922" t="s">
        <v>1181</v>
      </c>
      <c r="C5922" t="s">
        <v>2024</v>
      </c>
      <c r="D5922">
        <v>4</v>
      </c>
      <c r="E5922" s="16">
        <v>143.36000000000001</v>
      </c>
      <c r="F5922" s="1">
        <v>44703</v>
      </c>
      <c r="G5922" t="s">
        <v>2004</v>
      </c>
      <c r="H5922">
        <v>1</v>
      </c>
      <c r="I5922" s="12">
        <f>Table16[[#This Row],[price]]*Table16[[#This Row],[quantity]]</f>
        <v>573.44000000000005</v>
      </c>
    </row>
    <row r="5923" spans="1:9" x14ac:dyDescent="0.3">
      <c r="A5923" t="s">
        <v>7940</v>
      </c>
      <c r="B5923" t="s">
        <v>1182</v>
      </c>
      <c r="C5923" t="s">
        <v>2017</v>
      </c>
      <c r="D5923">
        <v>1</v>
      </c>
      <c r="E5923" s="16">
        <v>1050</v>
      </c>
      <c r="F5923" s="1">
        <v>44601</v>
      </c>
      <c r="G5923" t="s">
        <v>2064</v>
      </c>
      <c r="H5923">
        <v>4</v>
      </c>
      <c r="I5923" s="12">
        <f>Table16[[#This Row],[price]]*Table16[[#This Row],[quantity]]</f>
        <v>1050</v>
      </c>
    </row>
    <row r="5924" spans="1:9" x14ac:dyDescent="0.3">
      <c r="A5924" t="s">
        <v>7943</v>
      </c>
      <c r="B5924" t="s">
        <v>1182</v>
      </c>
      <c r="C5924" t="s">
        <v>2024</v>
      </c>
      <c r="D5924">
        <v>4</v>
      </c>
      <c r="E5924" s="16">
        <v>143.36000000000001</v>
      </c>
      <c r="F5924" s="1">
        <v>44698</v>
      </c>
      <c r="G5924" t="s">
        <v>2027</v>
      </c>
      <c r="H5924">
        <v>5</v>
      </c>
      <c r="I5924" s="12">
        <f>Table16[[#This Row],[price]]*Table16[[#This Row],[quantity]]</f>
        <v>573.44000000000005</v>
      </c>
    </row>
    <row r="5925" spans="1:9" x14ac:dyDescent="0.3">
      <c r="A5925" t="s">
        <v>7941</v>
      </c>
      <c r="B5925" t="s">
        <v>1182</v>
      </c>
      <c r="C5925" t="s">
        <v>2024</v>
      </c>
      <c r="D5925">
        <v>1</v>
      </c>
      <c r="E5925" s="16">
        <v>35.840000000000003</v>
      </c>
      <c r="F5925" s="1">
        <v>44738</v>
      </c>
      <c r="G5925" t="s">
        <v>2027</v>
      </c>
      <c r="H5925">
        <v>3</v>
      </c>
      <c r="I5925" s="12">
        <f>Table16[[#This Row],[price]]*Table16[[#This Row],[quantity]]</f>
        <v>35.840000000000003</v>
      </c>
    </row>
    <row r="5926" spans="1:9" x14ac:dyDescent="0.3">
      <c r="A5926" t="s">
        <v>7942</v>
      </c>
      <c r="B5926" t="s">
        <v>1182</v>
      </c>
      <c r="C5926" t="s">
        <v>2011</v>
      </c>
      <c r="D5926">
        <v>2</v>
      </c>
      <c r="E5926" s="16">
        <v>81.319999999999993</v>
      </c>
      <c r="F5926" s="1">
        <v>44767</v>
      </c>
      <c r="G5926" t="s">
        <v>2027</v>
      </c>
      <c r="H5926">
        <v>5</v>
      </c>
      <c r="I5926" s="12">
        <f>Table16[[#This Row],[price]]*Table16[[#This Row],[quantity]]</f>
        <v>162.63999999999999</v>
      </c>
    </row>
    <row r="5927" spans="1:9" x14ac:dyDescent="0.3">
      <c r="A5927" t="s">
        <v>7944</v>
      </c>
      <c r="B5927" t="s">
        <v>1182</v>
      </c>
      <c r="C5927" t="s">
        <v>2001</v>
      </c>
      <c r="D5927">
        <v>1</v>
      </c>
      <c r="E5927" s="16">
        <v>300.08</v>
      </c>
      <c r="F5927" s="1">
        <v>44774</v>
      </c>
      <c r="G5927" t="s">
        <v>2020</v>
      </c>
      <c r="H5927">
        <v>1</v>
      </c>
      <c r="I5927" s="12">
        <f>Table16[[#This Row],[price]]*Table16[[#This Row],[quantity]]</f>
        <v>300.08</v>
      </c>
    </row>
    <row r="5928" spans="1:9" x14ac:dyDescent="0.3">
      <c r="A5928" t="s">
        <v>7939</v>
      </c>
      <c r="B5928" t="s">
        <v>1182</v>
      </c>
      <c r="C5928" t="s">
        <v>2015</v>
      </c>
      <c r="D5928">
        <v>5</v>
      </c>
      <c r="E5928" s="16">
        <v>3000.85</v>
      </c>
      <c r="F5928" s="1">
        <v>44796</v>
      </c>
      <c r="G5928" t="s">
        <v>2064</v>
      </c>
      <c r="H5928">
        <v>3</v>
      </c>
      <c r="I5928" s="12">
        <f>Table16[[#This Row],[price]]*Table16[[#This Row],[quantity]]</f>
        <v>15004.25</v>
      </c>
    </row>
    <row r="5929" spans="1:9" x14ac:dyDescent="0.3">
      <c r="A5929" t="s">
        <v>7947</v>
      </c>
      <c r="B5929" t="s">
        <v>1183</v>
      </c>
      <c r="C5929" t="s">
        <v>2001</v>
      </c>
      <c r="D5929">
        <v>1</v>
      </c>
      <c r="E5929" s="16">
        <v>300.08</v>
      </c>
      <c r="F5929" s="1">
        <v>44235</v>
      </c>
      <c r="G5929" t="s">
        <v>2027</v>
      </c>
      <c r="H5929">
        <v>4</v>
      </c>
      <c r="I5929" s="12">
        <f>Table16[[#This Row],[price]]*Table16[[#This Row],[quantity]]</f>
        <v>300.08</v>
      </c>
    </row>
    <row r="5930" spans="1:9" x14ac:dyDescent="0.3">
      <c r="A5930" t="s">
        <v>7948</v>
      </c>
      <c r="B5930" t="s">
        <v>1183</v>
      </c>
      <c r="C5930" t="s">
        <v>2001</v>
      </c>
      <c r="D5930">
        <v>2</v>
      </c>
      <c r="E5930" s="16">
        <v>600.16</v>
      </c>
      <c r="F5930" s="1">
        <v>44312</v>
      </c>
      <c r="G5930" t="s">
        <v>2027</v>
      </c>
      <c r="H5930">
        <v>5</v>
      </c>
      <c r="I5930" s="12">
        <f>Table16[[#This Row],[price]]*Table16[[#This Row],[quantity]]</f>
        <v>1200.32</v>
      </c>
    </row>
    <row r="5931" spans="1:9" x14ac:dyDescent="0.3">
      <c r="A5931" t="s">
        <v>7945</v>
      </c>
      <c r="B5931" t="s">
        <v>1183</v>
      </c>
      <c r="C5931" t="s">
        <v>2001</v>
      </c>
      <c r="D5931">
        <v>4</v>
      </c>
      <c r="E5931" s="16">
        <v>1200.32</v>
      </c>
      <c r="F5931" s="1">
        <v>44504</v>
      </c>
      <c r="G5931" t="s">
        <v>2027</v>
      </c>
      <c r="H5931">
        <v>1</v>
      </c>
      <c r="I5931" s="12">
        <f>Table16[[#This Row],[price]]*Table16[[#This Row],[quantity]]</f>
        <v>4801.28</v>
      </c>
    </row>
    <row r="5932" spans="1:9" x14ac:dyDescent="0.3">
      <c r="A5932" t="s">
        <v>7946</v>
      </c>
      <c r="B5932" t="s">
        <v>1183</v>
      </c>
      <c r="C5932" t="s">
        <v>2001</v>
      </c>
      <c r="D5932">
        <v>3</v>
      </c>
      <c r="E5932" s="16">
        <v>900.24</v>
      </c>
      <c r="F5932" s="1">
        <v>44632</v>
      </c>
      <c r="G5932" t="s">
        <v>2020</v>
      </c>
      <c r="H5932">
        <v>2</v>
      </c>
      <c r="I5932" s="12">
        <f>Table16[[#This Row],[price]]*Table16[[#This Row],[quantity]]</f>
        <v>2700.7200000000003</v>
      </c>
    </row>
    <row r="5933" spans="1:9" x14ac:dyDescent="0.3">
      <c r="A5933" t="s">
        <v>7951</v>
      </c>
      <c r="B5933" t="s">
        <v>1184</v>
      </c>
      <c r="C5933" t="s">
        <v>2057</v>
      </c>
      <c r="D5933">
        <v>3</v>
      </c>
      <c r="E5933" s="16">
        <v>35.19</v>
      </c>
      <c r="F5933" s="1">
        <v>44228</v>
      </c>
      <c r="G5933" t="s">
        <v>2027</v>
      </c>
      <c r="H5933">
        <v>2</v>
      </c>
      <c r="I5933" s="12">
        <f>Table16[[#This Row],[price]]*Table16[[#This Row],[quantity]]</f>
        <v>105.57</v>
      </c>
    </row>
    <row r="5934" spans="1:9" x14ac:dyDescent="0.3">
      <c r="A5934" t="s">
        <v>7953</v>
      </c>
      <c r="B5934" t="s">
        <v>1184</v>
      </c>
      <c r="C5934" t="s">
        <v>2011</v>
      </c>
      <c r="D5934">
        <v>1</v>
      </c>
      <c r="E5934" s="16">
        <v>40.659999999999997</v>
      </c>
      <c r="F5934" s="1">
        <v>44338</v>
      </c>
      <c r="G5934" t="s">
        <v>2020</v>
      </c>
      <c r="H5934">
        <v>5</v>
      </c>
      <c r="I5934" s="12">
        <f>Table16[[#This Row],[price]]*Table16[[#This Row],[quantity]]</f>
        <v>40.659999999999997</v>
      </c>
    </row>
    <row r="5935" spans="1:9" x14ac:dyDescent="0.3">
      <c r="A5935" t="s">
        <v>7949</v>
      </c>
      <c r="B5935" t="s">
        <v>1184</v>
      </c>
      <c r="C5935" t="s">
        <v>2024</v>
      </c>
      <c r="D5935">
        <v>4</v>
      </c>
      <c r="E5935" s="16">
        <v>143.36000000000001</v>
      </c>
      <c r="F5935" s="1">
        <v>44374</v>
      </c>
      <c r="G5935" t="s">
        <v>2020</v>
      </c>
      <c r="H5935">
        <v>1</v>
      </c>
      <c r="I5935" s="12">
        <f>Table16[[#This Row],[price]]*Table16[[#This Row],[quantity]]</f>
        <v>573.44000000000005</v>
      </c>
    </row>
    <row r="5936" spans="1:9" x14ac:dyDescent="0.3">
      <c r="A5936" t="s">
        <v>7952</v>
      </c>
      <c r="B5936" t="s">
        <v>1184</v>
      </c>
      <c r="C5936" t="s">
        <v>2017</v>
      </c>
      <c r="D5936">
        <v>1</v>
      </c>
      <c r="E5936" s="16">
        <v>1050</v>
      </c>
      <c r="F5936" s="1">
        <v>44665</v>
      </c>
      <c r="G5936" t="s">
        <v>2020</v>
      </c>
      <c r="H5936">
        <v>2</v>
      </c>
      <c r="I5936" s="12">
        <f>Table16[[#This Row],[price]]*Table16[[#This Row],[quantity]]</f>
        <v>1050</v>
      </c>
    </row>
    <row r="5937" spans="1:9" x14ac:dyDescent="0.3">
      <c r="A5937" t="s">
        <v>7950</v>
      </c>
      <c r="B5937" t="s">
        <v>1184</v>
      </c>
      <c r="C5937" t="s">
        <v>2008</v>
      </c>
      <c r="D5937">
        <v>1</v>
      </c>
      <c r="E5937" s="16">
        <v>5.23</v>
      </c>
      <c r="F5937" s="1">
        <v>44983</v>
      </c>
      <c r="G5937" t="s">
        <v>2064</v>
      </c>
      <c r="H5937">
        <v>1</v>
      </c>
      <c r="I5937" s="12">
        <f>Table16[[#This Row],[price]]*Table16[[#This Row],[quantity]]</f>
        <v>5.23</v>
      </c>
    </row>
    <row r="5938" spans="1:9" x14ac:dyDescent="0.3">
      <c r="A5938" t="s">
        <v>7955</v>
      </c>
      <c r="B5938" t="s">
        <v>1185</v>
      </c>
      <c r="C5938" t="s">
        <v>2008</v>
      </c>
      <c r="D5938">
        <v>4</v>
      </c>
      <c r="E5938" s="16">
        <v>20.92</v>
      </c>
      <c r="F5938" s="1">
        <v>44300</v>
      </c>
      <c r="G5938" t="s">
        <v>2009</v>
      </c>
      <c r="H5938">
        <v>1</v>
      </c>
      <c r="I5938" s="12">
        <f>Table16[[#This Row],[price]]*Table16[[#This Row],[quantity]]</f>
        <v>83.68</v>
      </c>
    </row>
    <row r="5939" spans="1:9" x14ac:dyDescent="0.3">
      <c r="A5939" t="s">
        <v>7956</v>
      </c>
      <c r="B5939" t="s">
        <v>1185</v>
      </c>
      <c r="C5939" t="s">
        <v>2015</v>
      </c>
      <c r="D5939">
        <v>5</v>
      </c>
      <c r="E5939" s="16">
        <v>3000.85</v>
      </c>
      <c r="F5939" s="1">
        <v>44776</v>
      </c>
      <c r="G5939" t="s">
        <v>2027</v>
      </c>
      <c r="H5939">
        <v>4</v>
      </c>
      <c r="I5939" s="12">
        <f>Table16[[#This Row],[price]]*Table16[[#This Row],[quantity]]</f>
        <v>15004.25</v>
      </c>
    </row>
    <row r="5940" spans="1:9" x14ac:dyDescent="0.3">
      <c r="A5940" t="s">
        <v>7957</v>
      </c>
      <c r="B5940" t="s">
        <v>1185</v>
      </c>
      <c r="C5940" t="s">
        <v>2008</v>
      </c>
      <c r="D5940">
        <v>1</v>
      </c>
      <c r="E5940" s="16">
        <v>5.23</v>
      </c>
      <c r="F5940" s="1">
        <v>44818</v>
      </c>
      <c r="G5940" t="s">
        <v>2002</v>
      </c>
      <c r="H5940">
        <v>2</v>
      </c>
      <c r="I5940" s="12">
        <f>Table16[[#This Row],[price]]*Table16[[#This Row],[quantity]]</f>
        <v>5.23</v>
      </c>
    </row>
    <row r="5941" spans="1:9" x14ac:dyDescent="0.3">
      <c r="A5941" t="s">
        <v>7954</v>
      </c>
      <c r="B5941" t="s">
        <v>1185</v>
      </c>
      <c r="C5941" t="s">
        <v>2008</v>
      </c>
      <c r="D5941">
        <v>3</v>
      </c>
      <c r="E5941" s="16">
        <v>15.69</v>
      </c>
      <c r="F5941" s="1">
        <v>44840</v>
      </c>
      <c r="G5941" t="s">
        <v>2064</v>
      </c>
      <c r="H5941">
        <v>1</v>
      </c>
      <c r="I5941" s="12">
        <f>Table16[[#This Row],[price]]*Table16[[#This Row],[quantity]]</f>
        <v>47.07</v>
      </c>
    </row>
    <row r="5942" spans="1:9" x14ac:dyDescent="0.3">
      <c r="A5942" t="s">
        <v>7964</v>
      </c>
      <c r="B5942" t="s">
        <v>1186</v>
      </c>
      <c r="C5942" t="s">
        <v>2008</v>
      </c>
      <c r="D5942">
        <v>2</v>
      </c>
      <c r="E5942" s="16">
        <v>10.46</v>
      </c>
      <c r="F5942" s="1">
        <v>44222</v>
      </c>
      <c r="G5942" t="s">
        <v>2027</v>
      </c>
      <c r="H5942">
        <v>1</v>
      </c>
      <c r="I5942" s="12">
        <f>Table16[[#This Row],[price]]*Table16[[#This Row],[quantity]]</f>
        <v>20.92</v>
      </c>
    </row>
    <row r="5943" spans="1:9" x14ac:dyDescent="0.3">
      <c r="A5943" t="s">
        <v>7958</v>
      </c>
      <c r="B5943" t="s">
        <v>1186</v>
      </c>
      <c r="C5943" t="s">
        <v>2001</v>
      </c>
      <c r="D5943">
        <v>2</v>
      </c>
      <c r="E5943" s="16">
        <v>600.16</v>
      </c>
      <c r="F5943" s="1">
        <v>44284</v>
      </c>
      <c r="G5943" t="s">
        <v>2009</v>
      </c>
      <c r="H5943">
        <v>4</v>
      </c>
      <c r="I5943" s="12">
        <f>Table16[[#This Row],[price]]*Table16[[#This Row],[quantity]]</f>
        <v>1200.32</v>
      </c>
    </row>
    <row r="5944" spans="1:9" x14ac:dyDescent="0.3">
      <c r="A5944" t="s">
        <v>7959</v>
      </c>
      <c r="B5944" t="s">
        <v>1186</v>
      </c>
      <c r="C5944" t="s">
        <v>2024</v>
      </c>
      <c r="D5944">
        <v>1</v>
      </c>
      <c r="E5944" s="16">
        <v>35.840000000000003</v>
      </c>
      <c r="F5944" s="1">
        <v>44352</v>
      </c>
      <c r="G5944" t="s">
        <v>2058</v>
      </c>
      <c r="H5944">
        <v>2</v>
      </c>
      <c r="I5944" s="12">
        <f>Table16[[#This Row],[price]]*Table16[[#This Row],[quantity]]</f>
        <v>35.840000000000003</v>
      </c>
    </row>
    <row r="5945" spans="1:9" x14ac:dyDescent="0.3">
      <c r="A5945" t="s">
        <v>7961</v>
      </c>
      <c r="B5945" t="s">
        <v>1186</v>
      </c>
      <c r="C5945" t="s">
        <v>2001</v>
      </c>
      <c r="D5945">
        <v>4</v>
      </c>
      <c r="E5945" s="16">
        <v>1200.32</v>
      </c>
      <c r="F5945" s="1">
        <v>44416</v>
      </c>
      <c r="G5945" t="s">
        <v>2004</v>
      </c>
      <c r="H5945">
        <v>3</v>
      </c>
      <c r="I5945" s="12">
        <f>Table16[[#This Row],[price]]*Table16[[#This Row],[quantity]]</f>
        <v>4801.28</v>
      </c>
    </row>
    <row r="5946" spans="1:9" x14ac:dyDescent="0.3">
      <c r="A5946" t="s">
        <v>7963</v>
      </c>
      <c r="B5946" t="s">
        <v>1186</v>
      </c>
      <c r="C5946" t="s">
        <v>2001</v>
      </c>
      <c r="D5946">
        <v>1</v>
      </c>
      <c r="E5946" s="16">
        <v>300.08</v>
      </c>
      <c r="F5946" s="1">
        <v>44451</v>
      </c>
      <c r="G5946" t="s">
        <v>2002</v>
      </c>
      <c r="H5946">
        <v>4</v>
      </c>
      <c r="I5946" s="12">
        <f>Table16[[#This Row],[price]]*Table16[[#This Row],[quantity]]</f>
        <v>300.08</v>
      </c>
    </row>
    <row r="5947" spans="1:9" x14ac:dyDescent="0.3">
      <c r="A5947" t="s">
        <v>7965</v>
      </c>
      <c r="B5947" t="s">
        <v>1186</v>
      </c>
      <c r="C5947" t="s">
        <v>2011</v>
      </c>
      <c r="D5947">
        <v>3</v>
      </c>
      <c r="E5947" s="16">
        <v>121.98</v>
      </c>
      <c r="F5947" s="1">
        <v>44454</v>
      </c>
      <c r="G5947" t="s">
        <v>2027</v>
      </c>
      <c r="H5947">
        <v>4</v>
      </c>
      <c r="I5947" s="12">
        <f>Table16[[#This Row],[price]]*Table16[[#This Row],[quantity]]</f>
        <v>365.94</v>
      </c>
    </row>
    <row r="5948" spans="1:9" x14ac:dyDescent="0.3">
      <c r="A5948" t="s">
        <v>7962</v>
      </c>
      <c r="B5948" t="s">
        <v>1186</v>
      </c>
      <c r="C5948" t="s">
        <v>2001</v>
      </c>
      <c r="D5948">
        <v>5</v>
      </c>
      <c r="E5948" s="16">
        <v>1500.4</v>
      </c>
      <c r="F5948" s="1">
        <v>44635</v>
      </c>
      <c r="G5948" t="s">
        <v>2004</v>
      </c>
      <c r="H5948">
        <v>1</v>
      </c>
      <c r="I5948" s="12">
        <f>Table16[[#This Row],[price]]*Table16[[#This Row],[quantity]]</f>
        <v>7502</v>
      </c>
    </row>
    <row r="5949" spans="1:9" x14ac:dyDescent="0.3">
      <c r="A5949" t="s">
        <v>7960</v>
      </c>
      <c r="B5949" t="s">
        <v>1186</v>
      </c>
      <c r="C5949" t="s">
        <v>2024</v>
      </c>
      <c r="D5949">
        <v>3</v>
      </c>
      <c r="E5949" s="16">
        <v>107.52</v>
      </c>
      <c r="F5949" s="1">
        <v>44882</v>
      </c>
      <c r="G5949" t="s">
        <v>2058</v>
      </c>
      <c r="H5949">
        <v>3</v>
      </c>
      <c r="I5949" s="12">
        <f>Table16[[#This Row],[price]]*Table16[[#This Row],[quantity]]</f>
        <v>322.56</v>
      </c>
    </row>
    <row r="5950" spans="1:9" x14ac:dyDescent="0.3">
      <c r="A5950" t="s">
        <v>7971</v>
      </c>
      <c r="B5950" t="s">
        <v>1187</v>
      </c>
      <c r="C5950" t="s">
        <v>2001</v>
      </c>
      <c r="D5950">
        <v>3</v>
      </c>
      <c r="E5950" s="16">
        <v>900.24</v>
      </c>
      <c r="F5950" s="1">
        <v>44315</v>
      </c>
      <c r="G5950" t="s">
        <v>2018</v>
      </c>
      <c r="H5950">
        <v>5</v>
      </c>
      <c r="I5950" s="12">
        <f>Table16[[#This Row],[price]]*Table16[[#This Row],[quantity]]</f>
        <v>2700.7200000000003</v>
      </c>
    </row>
    <row r="5951" spans="1:9" x14ac:dyDescent="0.3">
      <c r="A5951" t="s">
        <v>7970</v>
      </c>
      <c r="B5951" t="s">
        <v>1187</v>
      </c>
      <c r="C5951" t="s">
        <v>2001</v>
      </c>
      <c r="D5951">
        <v>1</v>
      </c>
      <c r="E5951" s="16">
        <v>300.08</v>
      </c>
      <c r="F5951" s="1">
        <v>44341</v>
      </c>
      <c r="G5951" t="s">
        <v>2020</v>
      </c>
      <c r="H5951">
        <v>4</v>
      </c>
      <c r="I5951" s="12">
        <f>Table16[[#This Row],[price]]*Table16[[#This Row],[quantity]]</f>
        <v>300.08</v>
      </c>
    </row>
    <row r="5952" spans="1:9" x14ac:dyDescent="0.3">
      <c r="A5952" t="s">
        <v>7966</v>
      </c>
      <c r="B5952" t="s">
        <v>1187</v>
      </c>
      <c r="C5952" t="s">
        <v>2017</v>
      </c>
      <c r="D5952">
        <v>3</v>
      </c>
      <c r="E5952" s="16">
        <v>3150</v>
      </c>
      <c r="F5952" s="1">
        <v>44354</v>
      </c>
      <c r="G5952" t="s">
        <v>2002</v>
      </c>
      <c r="H5952">
        <v>2</v>
      </c>
      <c r="I5952" s="12">
        <f>Table16[[#This Row],[price]]*Table16[[#This Row],[quantity]]</f>
        <v>9450</v>
      </c>
    </row>
    <row r="5953" spans="1:9" x14ac:dyDescent="0.3">
      <c r="A5953" t="s">
        <v>7969</v>
      </c>
      <c r="B5953" t="s">
        <v>1187</v>
      </c>
      <c r="C5953" t="s">
        <v>2008</v>
      </c>
      <c r="D5953">
        <v>5</v>
      </c>
      <c r="E5953" s="16">
        <v>26.15</v>
      </c>
      <c r="F5953" s="1">
        <v>44520</v>
      </c>
      <c r="G5953" t="s">
        <v>2064</v>
      </c>
      <c r="H5953">
        <v>4</v>
      </c>
      <c r="I5953" s="12">
        <f>Table16[[#This Row],[price]]*Table16[[#This Row],[quantity]]</f>
        <v>130.75</v>
      </c>
    </row>
    <row r="5954" spans="1:9" x14ac:dyDescent="0.3">
      <c r="A5954" t="s">
        <v>7967</v>
      </c>
      <c r="B5954" t="s">
        <v>1187</v>
      </c>
      <c r="C5954" t="s">
        <v>2024</v>
      </c>
      <c r="D5954">
        <v>3</v>
      </c>
      <c r="E5954" s="16">
        <v>107.52</v>
      </c>
      <c r="F5954" s="1">
        <v>44667</v>
      </c>
      <c r="G5954" t="s">
        <v>2027</v>
      </c>
      <c r="H5954">
        <v>3</v>
      </c>
      <c r="I5954" s="12">
        <f>Table16[[#This Row],[price]]*Table16[[#This Row],[quantity]]</f>
        <v>322.56</v>
      </c>
    </row>
    <row r="5955" spans="1:9" x14ac:dyDescent="0.3">
      <c r="A5955" t="s">
        <v>7968</v>
      </c>
      <c r="B5955" t="s">
        <v>1187</v>
      </c>
      <c r="C5955" t="s">
        <v>2008</v>
      </c>
      <c r="D5955">
        <v>5</v>
      </c>
      <c r="E5955" s="16">
        <v>26.15</v>
      </c>
      <c r="F5955" s="1">
        <v>44811</v>
      </c>
      <c r="G5955" t="s">
        <v>2004</v>
      </c>
      <c r="H5955">
        <v>3</v>
      </c>
      <c r="I5955" s="12">
        <f>Table16[[#This Row],[price]]*Table16[[#This Row],[quantity]]</f>
        <v>130.75</v>
      </c>
    </row>
    <row r="5956" spans="1:9" x14ac:dyDescent="0.3">
      <c r="A5956" t="s">
        <v>7973</v>
      </c>
      <c r="B5956" t="s">
        <v>1188</v>
      </c>
      <c r="C5956" t="s">
        <v>2001</v>
      </c>
      <c r="D5956">
        <v>1</v>
      </c>
      <c r="E5956" s="16">
        <v>300.08</v>
      </c>
      <c r="F5956" s="1">
        <v>44510</v>
      </c>
      <c r="G5956" t="s">
        <v>2004</v>
      </c>
      <c r="H5956">
        <v>1</v>
      </c>
      <c r="I5956" s="12">
        <f>Table16[[#This Row],[price]]*Table16[[#This Row],[quantity]]</f>
        <v>300.08</v>
      </c>
    </row>
    <row r="5957" spans="1:9" x14ac:dyDescent="0.3">
      <c r="A5957" t="s">
        <v>7972</v>
      </c>
      <c r="B5957" t="s">
        <v>1188</v>
      </c>
      <c r="C5957" t="s">
        <v>2057</v>
      </c>
      <c r="D5957">
        <v>1</v>
      </c>
      <c r="E5957" s="16">
        <v>11.73</v>
      </c>
      <c r="F5957" s="1">
        <v>44602</v>
      </c>
      <c r="G5957" t="s">
        <v>2004</v>
      </c>
      <c r="H5957">
        <v>4</v>
      </c>
      <c r="I5957" s="12">
        <f>Table16[[#This Row],[price]]*Table16[[#This Row],[quantity]]</f>
        <v>11.73</v>
      </c>
    </row>
    <row r="5958" spans="1:9" x14ac:dyDescent="0.3">
      <c r="A5958" t="s">
        <v>7975</v>
      </c>
      <c r="B5958" t="s">
        <v>1189</v>
      </c>
      <c r="C5958" t="s">
        <v>2015</v>
      </c>
      <c r="D5958">
        <v>3</v>
      </c>
      <c r="E5958" s="16">
        <v>1800.51</v>
      </c>
      <c r="F5958" s="1">
        <v>44217</v>
      </c>
      <c r="G5958" t="s">
        <v>2027</v>
      </c>
      <c r="H5958">
        <v>5</v>
      </c>
      <c r="I5958" s="12">
        <f>Table16[[#This Row],[price]]*Table16[[#This Row],[quantity]]</f>
        <v>5401.53</v>
      </c>
    </row>
    <row r="5959" spans="1:9" x14ac:dyDescent="0.3">
      <c r="A5959" t="s">
        <v>7978</v>
      </c>
      <c r="B5959" t="s">
        <v>1189</v>
      </c>
      <c r="C5959" t="s">
        <v>2015</v>
      </c>
      <c r="D5959">
        <v>2</v>
      </c>
      <c r="E5959" s="16">
        <v>1200.3399999999999</v>
      </c>
      <c r="F5959" s="1">
        <v>44331</v>
      </c>
      <c r="G5959" t="s">
        <v>2018</v>
      </c>
      <c r="H5959">
        <v>5</v>
      </c>
      <c r="I5959" s="12">
        <f>Table16[[#This Row],[price]]*Table16[[#This Row],[quantity]]</f>
        <v>2400.6799999999998</v>
      </c>
    </row>
    <row r="5960" spans="1:9" x14ac:dyDescent="0.3">
      <c r="A5960" t="s">
        <v>7980</v>
      </c>
      <c r="B5960" t="s">
        <v>1189</v>
      </c>
      <c r="C5960" t="s">
        <v>2011</v>
      </c>
      <c r="D5960">
        <v>5</v>
      </c>
      <c r="E5960" s="16">
        <v>203.3</v>
      </c>
      <c r="F5960" s="1">
        <v>44489</v>
      </c>
      <c r="G5960" t="s">
        <v>2027</v>
      </c>
      <c r="H5960">
        <v>2</v>
      </c>
      <c r="I5960" s="12">
        <f>Table16[[#This Row],[price]]*Table16[[#This Row],[quantity]]</f>
        <v>1016.5</v>
      </c>
    </row>
    <row r="5961" spans="1:9" x14ac:dyDescent="0.3">
      <c r="A5961" t="s">
        <v>7974</v>
      </c>
      <c r="B5961" t="s">
        <v>1189</v>
      </c>
      <c r="C5961" t="s">
        <v>2001</v>
      </c>
      <c r="D5961">
        <v>5</v>
      </c>
      <c r="E5961" s="16">
        <v>1500.4</v>
      </c>
      <c r="F5961" s="1">
        <v>44514</v>
      </c>
      <c r="G5961" t="s">
        <v>2004</v>
      </c>
      <c r="H5961">
        <v>5</v>
      </c>
      <c r="I5961" s="12">
        <f>Table16[[#This Row],[price]]*Table16[[#This Row],[quantity]]</f>
        <v>7502</v>
      </c>
    </row>
    <row r="5962" spans="1:9" x14ac:dyDescent="0.3">
      <c r="A5962" t="s">
        <v>7979</v>
      </c>
      <c r="B5962" t="s">
        <v>1189</v>
      </c>
      <c r="C5962" t="s">
        <v>2001</v>
      </c>
      <c r="D5962">
        <v>5</v>
      </c>
      <c r="E5962" s="16">
        <v>1500.4</v>
      </c>
      <c r="F5962" s="1">
        <v>44655</v>
      </c>
      <c r="G5962" t="s">
        <v>2020</v>
      </c>
      <c r="H5962">
        <v>5</v>
      </c>
      <c r="I5962" s="12">
        <f>Table16[[#This Row],[price]]*Table16[[#This Row],[quantity]]</f>
        <v>7502</v>
      </c>
    </row>
    <row r="5963" spans="1:9" x14ac:dyDescent="0.3">
      <c r="A5963" t="s">
        <v>7977</v>
      </c>
      <c r="B5963" t="s">
        <v>1189</v>
      </c>
      <c r="C5963" t="s">
        <v>2017</v>
      </c>
      <c r="D5963">
        <v>1</v>
      </c>
      <c r="E5963" s="16">
        <v>1050</v>
      </c>
      <c r="F5963" s="1">
        <v>44721</v>
      </c>
      <c r="G5963" t="s">
        <v>2027</v>
      </c>
      <c r="H5963">
        <v>3</v>
      </c>
      <c r="I5963" s="12">
        <f>Table16[[#This Row],[price]]*Table16[[#This Row],[quantity]]</f>
        <v>1050</v>
      </c>
    </row>
    <row r="5964" spans="1:9" x14ac:dyDescent="0.3">
      <c r="A5964" t="s">
        <v>7976</v>
      </c>
      <c r="B5964" t="s">
        <v>1189</v>
      </c>
      <c r="C5964" t="s">
        <v>2001</v>
      </c>
      <c r="D5964">
        <v>2</v>
      </c>
      <c r="E5964" s="16">
        <v>600.16</v>
      </c>
      <c r="F5964" s="1">
        <v>44730</v>
      </c>
      <c r="G5964" t="s">
        <v>2064</v>
      </c>
      <c r="H5964">
        <v>4</v>
      </c>
      <c r="I5964" s="12">
        <f>Table16[[#This Row],[price]]*Table16[[#This Row],[quantity]]</f>
        <v>1200.32</v>
      </c>
    </row>
    <row r="5965" spans="1:9" x14ac:dyDescent="0.3">
      <c r="A5965" t="s">
        <v>7985</v>
      </c>
      <c r="B5965" t="s">
        <v>1190</v>
      </c>
      <c r="C5965" t="s">
        <v>2015</v>
      </c>
      <c r="D5965">
        <v>5</v>
      </c>
      <c r="E5965" s="16">
        <v>3000.85</v>
      </c>
      <c r="F5965" s="1">
        <v>44198</v>
      </c>
      <c r="G5965" t="s">
        <v>2064</v>
      </c>
      <c r="H5965">
        <v>5</v>
      </c>
      <c r="I5965" s="12">
        <f>Table16[[#This Row],[price]]*Table16[[#This Row],[quantity]]</f>
        <v>15004.25</v>
      </c>
    </row>
    <row r="5966" spans="1:9" x14ac:dyDescent="0.3">
      <c r="A5966" t="s">
        <v>7983</v>
      </c>
      <c r="B5966" t="s">
        <v>1190</v>
      </c>
      <c r="C5966" t="s">
        <v>2006</v>
      </c>
      <c r="D5966">
        <v>1</v>
      </c>
      <c r="E5966" s="16">
        <v>15.15</v>
      </c>
      <c r="F5966" s="1">
        <v>44304</v>
      </c>
      <c r="G5966" t="s">
        <v>2004</v>
      </c>
      <c r="H5966">
        <v>2</v>
      </c>
      <c r="I5966" s="12">
        <f>Table16[[#This Row],[price]]*Table16[[#This Row],[quantity]]</f>
        <v>15.15</v>
      </c>
    </row>
    <row r="5967" spans="1:9" x14ac:dyDescent="0.3">
      <c r="A5967" t="s">
        <v>7982</v>
      </c>
      <c r="B5967" t="s">
        <v>1190</v>
      </c>
      <c r="C5967" t="s">
        <v>2008</v>
      </c>
      <c r="D5967">
        <v>3</v>
      </c>
      <c r="E5967" s="16">
        <v>15.69</v>
      </c>
      <c r="F5967" s="1">
        <v>44455</v>
      </c>
      <c r="G5967" t="s">
        <v>2002</v>
      </c>
      <c r="H5967">
        <v>2</v>
      </c>
      <c r="I5967" s="12">
        <f>Table16[[#This Row],[price]]*Table16[[#This Row],[quantity]]</f>
        <v>47.07</v>
      </c>
    </row>
    <row r="5968" spans="1:9" x14ac:dyDescent="0.3">
      <c r="A5968" t="s">
        <v>7984</v>
      </c>
      <c r="B5968" t="s">
        <v>1190</v>
      </c>
      <c r="C5968" t="s">
        <v>2001</v>
      </c>
      <c r="D5968">
        <v>5</v>
      </c>
      <c r="E5968" s="16">
        <v>1500.4</v>
      </c>
      <c r="F5968" s="1">
        <v>44634</v>
      </c>
      <c r="G5968" t="s">
        <v>2027</v>
      </c>
      <c r="H5968">
        <v>1</v>
      </c>
      <c r="I5968" s="12">
        <f>Table16[[#This Row],[price]]*Table16[[#This Row],[quantity]]</f>
        <v>7502</v>
      </c>
    </row>
    <row r="5969" spans="1:9" x14ac:dyDescent="0.3">
      <c r="A5969" t="s">
        <v>7981</v>
      </c>
      <c r="B5969" t="s">
        <v>1190</v>
      </c>
      <c r="C5969" t="s">
        <v>2015</v>
      </c>
      <c r="D5969">
        <v>2</v>
      </c>
      <c r="E5969" s="16">
        <v>1200.3399999999999</v>
      </c>
      <c r="F5969" s="1">
        <v>44757</v>
      </c>
      <c r="G5969" t="s">
        <v>2020</v>
      </c>
      <c r="H5969">
        <v>4</v>
      </c>
      <c r="I5969" s="12">
        <f>Table16[[#This Row],[price]]*Table16[[#This Row],[quantity]]</f>
        <v>2400.6799999999998</v>
      </c>
    </row>
    <row r="5970" spans="1:9" x14ac:dyDescent="0.3">
      <c r="A5970" t="s">
        <v>7988</v>
      </c>
      <c r="B5970" t="s">
        <v>1191</v>
      </c>
      <c r="C5970" t="s">
        <v>2008</v>
      </c>
      <c r="D5970">
        <v>1</v>
      </c>
      <c r="E5970" s="16">
        <v>5.23</v>
      </c>
      <c r="F5970" s="1">
        <v>44322</v>
      </c>
      <c r="G5970" t="s">
        <v>2002</v>
      </c>
      <c r="H5970">
        <v>3</v>
      </c>
      <c r="I5970" s="12">
        <f>Table16[[#This Row],[price]]*Table16[[#This Row],[quantity]]</f>
        <v>5.23</v>
      </c>
    </row>
    <row r="5971" spans="1:9" x14ac:dyDescent="0.3">
      <c r="A5971" t="s">
        <v>7992</v>
      </c>
      <c r="B5971" t="s">
        <v>1191</v>
      </c>
      <c r="C5971" t="s">
        <v>2008</v>
      </c>
      <c r="D5971">
        <v>2</v>
      </c>
      <c r="E5971" s="16">
        <v>10.46</v>
      </c>
      <c r="F5971" s="1">
        <v>44386</v>
      </c>
      <c r="G5971" t="s">
        <v>2027</v>
      </c>
      <c r="H5971">
        <v>4</v>
      </c>
      <c r="I5971" s="12">
        <f>Table16[[#This Row],[price]]*Table16[[#This Row],[quantity]]</f>
        <v>20.92</v>
      </c>
    </row>
    <row r="5972" spans="1:9" x14ac:dyDescent="0.3">
      <c r="A5972" t="s">
        <v>7989</v>
      </c>
      <c r="B5972" t="s">
        <v>1191</v>
      </c>
      <c r="C5972" t="s">
        <v>2015</v>
      </c>
      <c r="D5972">
        <v>4</v>
      </c>
      <c r="E5972" s="16">
        <v>2400.6799999999998</v>
      </c>
      <c r="F5972" s="1">
        <v>44465</v>
      </c>
      <c r="G5972" t="s">
        <v>2009</v>
      </c>
      <c r="H5972">
        <v>3</v>
      </c>
      <c r="I5972" s="12">
        <f>Table16[[#This Row],[price]]*Table16[[#This Row],[quantity]]</f>
        <v>9602.7199999999993</v>
      </c>
    </row>
    <row r="5973" spans="1:9" x14ac:dyDescent="0.3">
      <c r="A5973" t="s">
        <v>7987</v>
      </c>
      <c r="B5973" t="s">
        <v>1191</v>
      </c>
      <c r="C5973" t="s">
        <v>2015</v>
      </c>
      <c r="D5973">
        <v>3</v>
      </c>
      <c r="E5973" s="16">
        <v>1800.51</v>
      </c>
      <c r="F5973" s="1">
        <v>44481</v>
      </c>
      <c r="G5973" t="s">
        <v>2004</v>
      </c>
      <c r="H5973">
        <v>3</v>
      </c>
      <c r="I5973" s="12">
        <f>Table16[[#This Row],[price]]*Table16[[#This Row],[quantity]]</f>
        <v>5401.53</v>
      </c>
    </row>
    <row r="5974" spans="1:9" x14ac:dyDescent="0.3">
      <c r="A5974" t="s">
        <v>7986</v>
      </c>
      <c r="B5974" t="s">
        <v>1191</v>
      </c>
      <c r="C5974" t="s">
        <v>2017</v>
      </c>
      <c r="D5974">
        <v>1</v>
      </c>
      <c r="E5974" s="16">
        <v>1050</v>
      </c>
      <c r="F5974" s="1">
        <v>44567</v>
      </c>
      <c r="G5974" t="s">
        <v>2004</v>
      </c>
      <c r="H5974">
        <v>2</v>
      </c>
      <c r="I5974" s="12">
        <f>Table16[[#This Row],[price]]*Table16[[#This Row],[quantity]]</f>
        <v>1050</v>
      </c>
    </row>
    <row r="5975" spans="1:9" x14ac:dyDescent="0.3">
      <c r="A5975" t="s">
        <v>7991</v>
      </c>
      <c r="B5975" t="s">
        <v>1191</v>
      </c>
      <c r="C5975" t="s">
        <v>2017</v>
      </c>
      <c r="D5975">
        <v>5</v>
      </c>
      <c r="E5975" s="16">
        <v>5250</v>
      </c>
      <c r="F5975" s="1">
        <v>44785</v>
      </c>
      <c r="G5975" t="s">
        <v>2027</v>
      </c>
      <c r="H5975">
        <v>1</v>
      </c>
      <c r="I5975" s="12">
        <f>Table16[[#This Row],[price]]*Table16[[#This Row],[quantity]]</f>
        <v>26250</v>
      </c>
    </row>
    <row r="5976" spans="1:9" x14ac:dyDescent="0.3">
      <c r="A5976" t="s">
        <v>7990</v>
      </c>
      <c r="B5976" t="s">
        <v>1191</v>
      </c>
      <c r="C5976" t="s">
        <v>2001</v>
      </c>
      <c r="D5976">
        <v>2</v>
      </c>
      <c r="E5976" s="16">
        <v>600.16</v>
      </c>
      <c r="F5976" s="1">
        <v>44802</v>
      </c>
      <c r="G5976" t="s">
        <v>2027</v>
      </c>
      <c r="H5976">
        <v>4</v>
      </c>
      <c r="I5976" s="12">
        <f>Table16[[#This Row],[price]]*Table16[[#This Row],[quantity]]</f>
        <v>1200.32</v>
      </c>
    </row>
    <row r="5977" spans="1:9" x14ac:dyDescent="0.3">
      <c r="A5977" t="s">
        <v>7993</v>
      </c>
      <c r="B5977" t="s">
        <v>1192</v>
      </c>
      <c r="C5977" t="s">
        <v>2008</v>
      </c>
      <c r="D5977">
        <v>3</v>
      </c>
      <c r="E5977" s="16">
        <v>15.69</v>
      </c>
      <c r="F5977" s="1">
        <v>44212</v>
      </c>
      <c r="G5977" t="s">
        <v>2027</v>
      </c>
      <c r="H5977">
        <v>4</v>
      </c>
      <c r="I5977" s="12">
        <f>Table16[[#This Row],[price]]*Table16[[#This Row],[quantity]]</f>
        <v>47.07</v>
      </c>
    </row>
    <row r="5978" spans="1:9" x14ac:dyDescent="0.3">
      <c r="A5978" t="s">
        <v>7996</v>
      </c>
      <c r="B5978" t="s">
        <v>1192</v>
      </c>
      <c r="C5978" t="s">
        <v>2001</v>
      </c>
      <c r="D5978">
        <v>2</v>
      </c>
      <c r="E5978" s="16">
        <v>600.16</v>
      </c>
      <c r="F5978" s="1">
        <v>44301</v>
      </c>
      <c r="G5978" t="s">
        <v>2027</v>
      </c>
      <c r="H5978">
        <v>5</v>
      </c>
      <c r="I5978" s="12">
        <f>Table16[[#This Row],[price]]*Table16[[#This Row],[quantity]]</f>
        <v>1200.32</v>
      </c>
    </row>
    <row r="5979" spans="1:9" x14ac:dyDescent="0.3">
      <c r="A5979" t="s">
        <v>7995</v>
      </c>
      <c r="B5979" t="s">
        <v>1192</v>
      </c>
      <c r="C5979" t="s">
        <v>2001</v>
      </c>
      <c r="D5979">
        <v>1</v>
      </c>
      <c r="E5979" s="16">
        <v>300.08</v>
      </c>
      <c r="F5979" s="1">
        <v>44331</v>
      </c>
      <c r="G5979" t="s">
        <v>2020</v>
      </c>
      <c r="H5979">
        <v>1</v>
      </c>
      <c r="I5979" s="12">
        <f>Table16[[#This Row],[price]]*Table16[[#This Row],[quantity]]</f>
        <v>300.08</v>
      </c>
    </row>
    <row r="5980" spans="1:9" x14ac:dyDescent="0.3">
      <c r="A5980" t="s">
        <v>7997</v>
      </c>
      <c r="B5980" t="s">
        <v>1192</v>
      </c>
      <c r="C5980" t="s">
        <v>2001</v>
      </c>
      <c r="D5980">
        <v>5</v>
      </c>
      <c r="E5980" s="16">
        <v>1500.4</v>
      </c>
      <c r="F5980" s="1">
        <v>44376</v>
      </c>
      <c r="G5980" t="s">
        <v>2004</v>
      </c>
      <c r="H5980">
        <v>2</v>
      </c>
      <c r="I5980" s="12">
        <f>Table16[[#This Row],[price]]*Table16[[#This Row],[quantity]]</f>
        <v>7502</v>
      </c>
    </row>
    <row r="5981" spans="1:9" x14ac:dyDescent="0.3">
      <c r="A5981" t="s">
        <v>7998</v>
      </c>
      <c r="B5981" t="s">
        <v>1192</v>
      </c>
      <c r="C5981" t="s">
        <v>2011</v>
      </c>
      <c r="D5981">
        <v>5</v>
      </c>
      <c r="E5981" s="16">
        <v>203.3</v>
      </c>
      <c r="F5981" s="1">
        <v>44431</v>
      </c>
      <c r="G5981" t="s">
        <v>2004</v>
      </c>
      <c r="H5981">
        <v>5</v>
      </c>
      <c r="I5981" s="12">
        <f>Table16[[#This Row],[price]]*Table16[[#This Row],[quantity]]</f>
        <v>1016.5</v>
      </c>
    </row>
    <row r="5982" spans="1:9" x14ac:dyDescent="0.3">
      <c r="A5982" t="s">
        <v>7994</v>
      </c>
      <c r="B5982" t="s">
        <v>1192</v>
      </c>
      <c r="C5982" t="s">
        <v>2001</v>
      </c>
      <c r="D5982">
        <v>5</v>
      </c>
      <c r="E5982" s="16">
        <v>1500.4</v>
      </c>
      <c r="F5982" s="1">
        <v>44507</v>
      </c>
      <c r="G5982" t="s">
        <v>2009</v>
      </c>
      <c r="H5982">
        <v>1</v>
      </c>
      <c r="I5982" s="12">
        <f>Table16[[#This Row],[price]]*Table16[[#This Row],[quantity]]</f>
        <v>7502</v>
      </c>
    </row>
    <row r="5983" spans="1:9" x14ac:dyDescent="0.3">
      <c r="A5983" t="s">
        <v>7999</v>
      </c>
      <c r="B5983" t="s">
        <v>1192</v>
      </c>
      <c r="C5983" t="s">
        <v>2057</v>
      </c>
      <c r="D5983">
        <v>3</v>
      </c>
      <c r="E5983" s="16">
        <v>35.19</v>
      </c>
      <c r="F5983" s="1">
        <v>44533</v>
      </c>
      <c r="G5983" t="s">
        <v>2012</v>
      </c>
      <c r="H5983">
        <v>4</v>
      </c>
      <c r="I5983" s="12">
        <f>Table16[[#This Row],[price]]*Table16[[#This Row],[quantity]]</f>
        <v>105.57</v>
      </c>
    </row>
    <row r="5984" spans="1:9" x14ac:dyDescent="0.3">
      <c r="A5984" t="s">
        <v>8001</v>
      </c>
      <c r="B5984" t="s">
        <v>1193</v>
      </c>
      <c r="C5984" t="s">
        <v>2006</v>
      </c>
      <c r="D5984">
        <v>3</v>
      </c>
      <c r="E5984" s="16">
        <v>45.45</v>
      </c>
      <c r="F5984" s="1">
        <v>44382</v>
      </c>
      <c r="G5984" t="s">
        <v>2020</v>
      </c>
      <c r="H5984">
        <v>5</v>
      </c>
      <c r="I5984" s="12">
        <f>Table16[[#This Row],[price]]*Table16[[#This Row],[quantity]]</f>
        <v>136.35000000000002</v>
      </c>
    </row>
    <row r="5985" spans="1:9" x14ac:dyDescent="0.3">
      <c r="A5985" t="s">
        <v>8002</v>
      </c>
      <c r="B5985" t="s">
        <v>1193</v>
      </c>
      <c r="C5985" t="s">
        <v>2008</v>
      </c>
      <c r="D5985">
        <v>5</v>
      </c>
      <c r="E5985" s="16">
        <v>26.15</v>
      </c>
      <c r="F5985" s="1">
        <v>44515</v>
      </c>
      <c r="G5985" t="s">
        <v>2012</v>
      </c>
      <c r="H5985">
        <v>5</v>
      </c>
      <c r="I5985" s="12">
        <f>Table16[[#This Row],[price]]*Table16[[#This Row],[quantity]]</f>
        <v>130.75</v>
      </c>
    </row>
    <row r="5986" spans="1:9" x14ac:dyDescent="0.3">
      <c r="A5986" t="s">
        <v>8000</v>
      </c>
      <c r="B5986" t="s">
        <v>1193</v>
      </c>
      <c r="C5986" t="s">
        <v>2057</v>
      </c>
      <c r="D5986">
        <v>2</v>
      </c>
      <c r="E5986" s="16">
        <v>23.46</v>
      </c>
      <c r="F5986" s="1">
        <v>44584</v>
      </c>
      <c r="G5986" t="s">
        <v>2020</v>
      </c>
      <c r="H5986">
        <v>3</v>
      </c>
      <c r="I5986" s="12">
        <f>Table16[[#This Row],[price]]*Table16[[#This Row],[quantity]]</f>
        <v>46.92</v>
      </c>
    </row>
    <row r="5987" spans="1:9" x14ac:dyDescent="0.3">
      <c r="A5987" t="s">
        <v>8003</v>
      </c>
      <c r="B5987" t="s">
        <v>1193</v>
      </c>
      <c r="C5987" t="s">
        <v>2001</v>
      </c>
      <c r="D5987">
        <v>1</v>
      </c>
      <c r="E5987" s="16">
        <v>300.08</v>
      </c>
      <c r="F5987" s="1">
        <v>44794</v>
      </c>
      <c r="G5987" t="s">
        <v>2018</v>
      </c>
      <c r="H5987">
        <v>5</v>
      </c>
      <c r="I5987" s="12">
        <f>Table16[[#This Row],[price]]*Table16[[#This Row],[quantity]]</f>
        <v>300.08</v>
      </c>
    </row>
    <row r="5988" spans="1:9" x14ac:dyDescent="0.3">
      <c r="A5988" t="s">
        <v>8007</v>
      </c>
      <c r="B5988" t="s">
        <v>1194</v>
      </c>
      <c r="C5988" t="s">
        <v>2001</v>
      </c>
      <c r="D5988">
        <v>5</v>
      </c>
      <c r="E5988" s="16">
        <v>1500.4</v>
      </c>
      <c r="F5988" s="1">
        <v>44316</v>
      </c>
      <c r="G5988" t="s">
        <v>2009</v>
      </c>
      <c r="H5988">
        <v>3</v>
      </c>
      <c r="I5988" s="12">
        <f>Table16[[#This Row],[price]]*Table16[[#This Row],[quantity]]</f>
        <v>7502</v>
      </c>
    </row>
    <row r="5989" spans="1:9" x14ac:dyDescent="0.3">
      <c r="A5989" t="s">
        <v>8005</v>
      </c>
      <c r="B5989" t="s">
        <v>1194</v>
      </c>
      <c r="C5989" t="s">
        <v>2008</v>
      </c>
      <c r="D5989">
        <v>2</v>
      </c>
      <c r="E5989" s="16">
        <v>10.46</v>
      </c>
      <c r="F5989" s="1">
        <v>44352</v>
      </c>
      <c r="G5989" t="s">
        <v>2002</v>
      </c>
      <c r="H5989">
        <v>1</v>
      </c>
      <c r="I5989" s="12">
        <f>Table16[[#This Row],[price]]*Table16[[#This Row],[quantity]]</f>
        <v>20.92</v>
      </c>
    </row>
    <row r="5990" spans="1:9" x14ac:dyDescent="0.3">
      <c r="A5990" t="s">
        <v>8008</v>
      </c>
      <c r="B5990" t="s">
        <v>1194</v>
      </c>
      <c r="C5990" t="s">
        <v>2008</v>
      </c>
      <c r="D5990">
        <v>2</v>
      </c>
      <c r="E5990" s="16">
        <v>10.46</v>
      </c>
      <c r="F5990" s="1">
        <v>44380</v>
      </c>
      <c r="G5990" t="s">
        <v>2018</v>
      </c>
      <c r="H5990">
        <v>1</v>
      </c>
      <c r="I5990" s="12">
        <f>Table16[[#This Row],[price]]*Table16[[#This Row],[quantity]]</f>
        <v>20.92</v>
      </c>
    </row>
    <row r="5991" spans="1:9" x14ac:dyDescent="0.3">
      <c r="A5991" t="s">
        <v>8009</v>
      </c>
      <c r="B5991" t="s">
        <v>1194</v>
      </c>
      <c r="C5991" t="s">
        <v>2001</v>
      </c>
      <c r="D5991">
        <v>1</v>
      </c>
      <c r="E5991" s="16">
        <v>300.08</v>
      </c>
      <c r="F5991" s="1">
        <v>44447</v>
      </c>
      <c r="G5991" t="s">
        <v>2004</v>
      </c>
      <c r="H5991">
        <v>2</v>
      </c>
      <c r="I5991" s="12">
        <f>Table16[[#This Row],[price]]*Table16[[#This Row],[quantity]]</f>
        <v>300.08</v>
      </c>
    </row>
    <row r="5992" spans="1:9" x14ac:dyDescent="0.3">
      <c r="A5992" t="s">
        <v>8010</v>
      </c>
      <c r="B5992" t="s">
        <v>1194</v>
      </c>
      <c r="C5992" t="s">
        <v>2024</v>
      </c>
      <c r="D5992">
        <v>1</v>
      </c>
      <c r="E5992" s="16">
        <v>35.840000000000003</v>
      </c>
      <c r="F5992" s="1">
        <v>44466</v>
      </c>
      <c r="G5992" t="s">
        <v>2020</v>
      </c>
      <c r="H5992">
        <v>1</v>
      </c>
      <c r="I5992" s="12">
        <f>Table16[[#This Row],[price]]*Table16[[#This Row],[quantity]]</f>
        <v>35.840000000000003</v>
      </c>
    </row>
    <row r="5993" spans="1:9" x14ac:dyDescent="0.3">
      <c r="A5993" t="s">
        <v>8006</v>
      </c>
      <c r="B5993" t="s">
        <v>1194</v>
      </c>
      <c r="C5993" t="s">
        <v>2001</v>
      </c>
      <c r="D5993">
        <v>5</v>
      </c>
      <c r="E5993" s="16">
        <v>1500.4</v>
      </c>
      <c r="F5993" s="1">
        <v>44663</v>
      </c>
      <c r="G5993" t="s">
        <v>2027</v>
      </c>
      <c r="H5993">
        <v>1</v>
      </c>
      <c r="I5993" s="12">
        <f>Table16[[#This Row],[price]]*Table16[[#This Row],[quantity]]</f>
        <v>7502</v>
      </c>
    </row>
    <row r="5994" spans="1:9" x14ac:dyDescent="0.3">
      <c r="A5994" t="s">
        <v>8004</v>
      </c>
      <c r="B5994" t="s">
        <v>1194</v>
      </c>
      <c r="C5994" t="s">
        <v>2024</v>
      </c>
      <c r="D5994">
        <v>3</v>
      </c>
      <c r="E5994" s="16">
        <v>107.52</v>
      </c>
      <c r="F5994" s="1">
        <v>44989</v>
      </c>
      <c r="G5994" t="s">
        <v>2064</v>
      </c>
      <c r="H5994">
        <v>3</v>
      </c>
      <c r="I5994" s="12">
        <f>Table16[[#This Row],[price]]*Table16[[#This Row],[quantity]]</f>
        <v>322.56</v>
      </c>
    </row>
    <row r="5995" spans="1:9" x14ac:dyDescent="0.3">
      <c r="A5995" t="s">
        <v>8015</v>
      </c>
      <c r="B5995" t="s">
        <v>1195</v>
      </c>
      <c r="C5995" t="s">
        <v>2008</v>
      </c>
      <c r="D5995">
        <v>5</v>
      </c>
      <c r="E5995" s="16">
        <v>26.15</v>
      </c>
      <c r="F5995" s="1">
        <v>44321</v>
      </c>
      <c r="G5995" t="s">
        <v>2020</v>
      </c>
      <c r="H5995">
        <v>1</v>
      </c>
      <c r="I5995" s="12">
        <f>Table16[[#This Row],[price]]*Table16[[#This Row],[quantity]]</f>
        <v>130.75</v>
      </c>
    </row>
    <row r="5996" spans="1:9" x14ac:dyDescent="0.3">
      <c r="A5996" t="s">
        <v>8013</v>
      </c>
      <c r="B5996" t="s">
        <v>1195</v>
      </c>
      <c r="C5996" t="s">
        <v>2008</v>
      </c>
      <c r="D5996">
        <v>1</v>
      </c>
      <c r="E5996" s="16">
        <v>5.23</v>
      </c>
      <c r="F5996" s="1">
        <v>44499</v>
      </c>
      <c r="G5996" t="s">
        <v>2027</v>
      </c>
      <c r="H5996">
        <v>4</v>
      </c>
      <c r="I5996" s="12">
        <f>Table16[[#This Row],[price]]*Table16[[#This Row],[quantity]]</f>
        <v>5.23</v>
      </c>
    </row>
    <row r="5997" spans="1:9" x14ac:dyDescent="0.3">
      <c r="A5997" t="s">
        <v>8014</v>
      </c>
      <c r="B5997" t="s">
        <v>1195</v>
      </c>
      <c r="C5997" t="s">
        <v>2017</v>
      </c>
      <c r="D5997">
        <v>2</v>
      </c>
      <c r="E5997" s="16">
        <v>2100</v>
      </c>
      <c r="F5997" s="1">
        <v>44683</v>
      </c>
      <c r="G5997" t="s">
        <v>2004</v>
      </c>
      <c r="H5997">
        <v>5</v>
      </c>
      <c r="I5997" s="12">
        <f>Table16[[#This Row],[price]]*Table16[[#This Row],[quantity]]</f>
        <v>4200</v>
      </c>
    </row>
    <row r="5998" spans="1:9" x14ac:dyDescent="0.3">
      <c r="A5998" t="s">
        <v>8011</v>
      </c>
      <c r="B5998" t="s">
        <v>1195</v>
      </c>
      <c r="C5998" t="s">
        <v>2011</v>
      </c>
      <c r="D5998">
        <v>5</v>
      </c>
      <c r="E5998" s="16">
        <v>203.3</v>
      </c>
      <c r="F5998" s="1">
        <v>44696</v>
      </c>
      <c r="G5998" t="s">
        <v>2002</v>
      </c>
      <c r="H5998">
        <v>2</v>
      </c>
      <c r="I5998" s="12">
        <f>Table16[[#This Row],[price]]*Table16[[#This Row],[quantity]]</f>
        <v>1016.5</v>
      </c>
    </row>
    <row r="5999" spans="1:9" x14ac:dyDescent="0.3">
      <c r="A5999" t="s">
        <v>8012</v>
      </c>
      <c r="B5999" t="s">
        <v>1195</v>
      </c>
      <c r="C5999" t="s">
        <v>2024</v>
      </c>
      <c r="D5999">
        <v>4</v>
      </c>
      <c r="E5999" s="16">
        <v>143.36000000000001</v>
      </c>
      <c r="F5999" s="1">
        <v>44945</v>
      </c>
      <c r="G5999" t="s">
        <v>2027</v>
      </c>
      <c r="H5999">
        <v>5</v>
      </c>
      <c r="I5999" s="12">
        <f>Table16[[#This Row],[price]]*Table16[[#This Row],[quantity]]</f>
        <v>573.44000000000005</v>
      </c>
    </row>
    <row r="6000" spans="1:9" x14ac:dyDescent="0.3">
      <c r="A6000" t="s">
        <v>8017</v>
      </c>
      <c r="B6000" t="s">
        <v>1196</v>
      </c>
      <c r="C6000" t="s">
        <v>2001</v>
      </c>
      <c r="D6000">
        <v>2</v>
      </c>
      <c r="E6000" s="16">
        <v>600.16</v>
      </c>
      <c r="F6000" s="1">
        <v>44438</v>
      </c>
      <c r="G6000" t="s">
        <v>2027</v>
      </c>
      <c r="H6000">
        <v>5</v>
      </c>
      <c r="I6000" s="12">
        <f>Table16[[#This Row],[price]]*Table16[[#This Row],[quantity]]</f>
        <v>1200.32</v>
      </c>
    </row>
    <row r="6001" spans="1:9" x14ac:dyDescent="0.3">
      <c r="A6001" t="s">
        <v>8019</v>
      </c>
      <c r="B6001" t="s">
        <v>1196</v>
      </c>
      <c r="C6001" t="s">
        <v>2011</v>
      </c>
      <c r="D6001">
        <v>3</v>
      </c>
      <c r="E6001" s="16">
        <v>121.98</v>
      </c>
      <c r="F6001" s="1">
        <v>44716</v>
      </c>
      <c r="G6001" t="s">
        <v>2064</v>
      </c>
      <c r="H6001">
        <v>5</v>
      </c>
      <c r="I6001" s="12">
        <f>Table16[[#This Row],[price]]*Table16[[#This Row],[quantity]]</f>
        <v>365.94</v>
      </c>
    </row>
    <row r="6002" spans="1:9" x14ac:dyDescent="0.3">
      <c r="A6002" t="s">
        <v>8018</v>
      </c>
      <c r="B6002" t="s">
        <v>1196</v>
      </c>
      <c r="C6002" t="s">
        <v>2008</v>
      </c>
      <c r="D6002">
        <v>1</v>
      </c>
      <c r="E6002" s="16">
        <v>5.23</v>
      </c>
      <c r="F6002" s="1">
        <v>44874</v>
      </c>
      <c r="G6002" t="s">
        <v>2020</v>
      </c>
      <c r="H6002">
        <v>1</v>
      </c>
      <c r="I6002" s="12">
        <f>Table16[[#This Row],[price]]*Table16[[#This Row],[quantity]]</f>
        <v>5.23</v>
      </c>
    </row>
    <row r="6003" spans="1:9" x14ac:dyDescent="0.3">
      <c r="A6003" t="s">
        <v>8016</v>
      </c>
      <c r="B6003" t="s">
        <v>1196</v>
      </c>
      <c r="C6003" t="s">
        <v>2024</v>
      </c>
      <c r="D6003">
        <v>1</v>
      </c>
      <c r="E6003" s="16">
        <v>35.840000000000003</v>
      </c>
      <c r="F6003" s="1">
        <v>44931</v>
      </c>
      <c r="G6003" t="s">
        <v>2058</v>
      </c>
      <c r="H6003">
        <v>5</v>
      </c>
      <c r="I6003" s="12">
        <f>Table16[[#This Row],[price]]*Table16[[#This Row],[quantity]]</f>
        <v>35.840000000000003</v>
      </c>
    </row>
    <row r="6004" spans="1:9" x14ac:dyDescent="0.3">
      <c r="A6004" t="s">
        <v>8021</v>
      </c>
      <c r="B6004" t="s">
        <v>1197</v>
      </c>
      <c r="C6004" t="s">
        <v>2001</v>
      </c>
      <c r="D6004">
        <v>1</v>
      </c>
      <c r="E6004" s="16">
        <v>300.08</v>
      </c>
      <c r="F6004" s="1">
        <v>44307</v>
      </c>
      <c r="G6004" t="s">
        <v>2020</v>
      </c>
      <c r="H6004">
        <v>5</v>
      </c>
      <c r="I6004" s="12">
        <f>Table16[[#This Row],[price]]*Table16[[#This Row],[quantity]]</f>
        <v>300.08</v>
      </c>
    </row>
    <row r="6005" spans="1:9" x14ac:dyDescent="0.3">
      <c r="A6005" t="s">
        <v>8020</v>
      </c>
      <c r="B6005" t="s">
        <v>1197</v>
      </c>
      <c r="C6005" t="s">
        <v>2001</v>
      </c>
      <c r="D6005">
        <v>2</v>
      </c>
      <c r="E6005" s="16">
        <v>600.16</v>
      </c>
      <c r="F6005" s="1">
        <v>44366</v>
      </c>
      <c r="G6005" t="s">
        <v>2027</v>
      </c>
      <c r="H6005">
        <v>2</v>
      </c>
      <c r="I6005" s="12">
        <f>Table16[[#This Row],[price]]*Table16[[#This Row],[quantity]]</f>
        <v>1200.32</v>
      </c>
    </row>
    <row r="6006" spans="1:9" x14ac:dyDescent="0.3">
      <c r="A6006" t="s">
        <v>8025</v>
      </c>
      <c r="B6006" t="s">
        <v>1197</v>
      </c>
      <c r="C6006" t="s">
        <v>2008</v>
      </c>
      <c r="D6006">
        <v>4</v>
      </c>
      <c r="E6006" s="16">
        <v>20.92</v>
      </c>
      <c r="F6006" s="1">
        <v>44419</v>
      </c>
      <c r="G6006" t="s">
        <v>2004</v>
      </c>
      <c r="H6006">
        <v>1</v>
      </c>
      <c r="I6006" s="12">
        <f>Table16[[#This Row],[price]]*Table16[[#This Row],[quantity]]</f>
        <v>83.68</v>
      </c>
    </row>
    <row r="6007" spans="1:9" x14ac:dyDescent="0.3">
      <c r="A6007" t="s">
        <v>8022</v>
      </c>
      <c r="B6007" t="s">
        <v>1197</v>
      </c>
      <c r="C6007" t="s">
        <v>2008</v>
      </c>
      <c r="D6007">
        <v>2</v>
      </c>
      <c r="E6007" s="16">
        <v>10.46</v>
      </c>
      <c r="F6007" s="1">
        <v>44502</v>
      </c>
      <c r="G6007" t="s">
        <v>2012</v>
      </c>
      <c r="H6007">
        <v>1</v>
      </c>
      <c r="I6007" s="12">
        <f>Table16[[#This Row],[price]]*Table16[[#This Row],[quantity]]</f>
        <v>20.92</v>
      </c>
    </row>
    <row r="6008" spans="1:9" x14ac:dyDescent="0.3">
      <c r="A6008" t="s">
        <v>8024</v>
      </c>
      <c r="B6008" t="s">
        <v>1197</v>
      </c>
      <c r="C6008" t="s">
        <v>2001</v>
      </c>
      <c r="D6008">
        <v>4</v>
      </c>
      <c r="E6008" s="16">
        <v>1200.32</v>
      </c>
      <c r="F6008" s="1">
        <v>44547</v>
      </c>
      <c r="G6008" t="s">
        <v>2002</v>
      </c>
      <c r="H6008">
        <v>1</v>
      </c>
      <c r="I6008" s="12">
        <f>Table16[[#This Row],[price]]*Table16[[#This Row],[quantity]]</f>
        <v>4801.28</v>
      </c>
    </row>
    <row r="6009" spans="1:9" x14ac:dyDescent="0.3">
      <c r="A6009" t="s">
        <v>8026</v>
      </c>
      <c r="B6009" t="s">
        <v>1197</v>
      </c>
      <c r="C6009" t="s">
        <v>2015</v>
      </c>
      <c r="D6009">
        <v>3</v>
      </c>
      <c r="E6009" s="16">
        <v>1800.51</v>
      </c>
      <c r="F6009" s="1">
        <v>44553</v>
      </c>
      <c r="G6009" t="s">
        <v>2041</v>
      </c>
      <c r="H6009">
        <v>3</v>
      </c>
      <c r="I6009" s="12">
        <f>Table16[[#This Row],[price]]*Table16[[#This Row],[quantity]]</f>
        <v>5401.53</v>
      </c>
    </row>
    <row r="6010" spans="1:9" x14ac:dyDescent="0.3">
      <c r="A6010" t="s">
        <v>8023</v>
      </c>
      <c r="B6010" t="s">
        <v>1197</v>
      </c>
      <c r="C6010" t="s">
        <v>2008</v>
      </c>
      <c r="D6010">
        <v>1</v>
      </c>
      <c r="E6010" s="16">
        <v>5.23</v>
      </c>
      <c r="F6010" s="1">
        <v>44682</v>
      </c>
      <c r="G6010" t="s">
        <v>2012</v>
      </c>
      <c r="H6010">
        <v>3</v>
      </c>
      <c r="I6010" s="12">
        <f>Table16[[#This Row],[price]]*Table16[[#This Row],[quantity]]</f>
        <v>5.23</v>
      </c>
    </row>
    <row r="6011" spans="1:9" x14ac:dyDescent="0.3">
      <c r="A6011" t="s">
        <v>8028</v>
      </c>
      <c r="B6011" t="s">
        <v>1198</v>
      </c>
      <c r="C6011" t="s">
        <v>2001</v>
      </c>
      <c r="D6011">
        <v>5</v>
      </c>
      <c r="E6011" s="16">
        <v>1500.4</v>
      </c>
      <c r="F6011" s="1">
        <v>44819</v>
      </c>
      <c r="G6011" t="s">
        <v>2041</v>
      </c>
      <c r="H6011">
        <v>4</v>
      </c>
      <c r="I6011" s="12">
        <f>Table16[[#This Row],[price]]*Table16[[#This Row],[quantity]]</f>
        <v>7502</v>
      </c>
    </row>
    <row r="6012" spans="1:9" x14ac:dyDescent="0.3">
      <c r="A6012" t="s">
        <v>8027</v>
      </c>
      <c r="B6012" t="s">
        <v>1198</v>
      </c>
      <c r="C6012" t="s">
        <v>2017</v>
      </c>
      <c r="D6012">
        <v>2</v>
      </c>
      <c r="E6012" s="16">
        <v>2100</v>
      </c>
      <c r="F6012" s="1">
        <v>44819</v>
      </c>
      <c r="G6012" t="s">
        <v>2027</v>
      </c>
      <c r="H6012">
        <v>2</v>
      </c>
      <c r="I6012" s="12">
        <f>Table16[[#This Row],[price]]*Table16[[#This Row],[quantity]]</f>
        <v>4200</v>
      </c>
    </row>
    <row r="6013" spans="1:9" x14ac:dyDescent="0.3">
      <c r="A6013" t="s">
        <v>8030</v>
      </c>
      <c r="B6013" t="s">
        <v>1198</v>
      </c>
      <c r="C6013" t="s">
        <v>2001</v>
      </c>
      <c r="D6013">
        <v>5</v>
      </c>
      <c r="E6013" s="16">
        <v>1500.4</v>
      </c>
      <c r="F6013" s="1">
        <v>44927</v>
      </c>
      <c r="G6013" t="s">
        <v>2004</v>
      </c>
      <c r="H6013">
        <v>5</v>
      </c>
      <c r="I6013" s="12">
        <f>Table16[[#This Row],[price]]*Table16[[#This Row],[quantity]]</f>
        <v>7502</v>
      </c>
    </row>
    <row r="6014" spans="1:9" x14ac:dyDescent="0.3">
      <c r="A6014" t="s">
        <v>8029</v>
      </c>
      <c r="B6014" t="s">
        <v>1198</v>
      </c>
      <c r="C6014" t="s">
        <v>2001</v>
      </c>
      <c r="D6014">
        <v>2</v>
      </c>
      <c r="E6014" s="16">
        <v>600.16</v>
      </c>
      <c r="F6014" s="1">
        <v>44973</v>
      </c>
      <c r="G6014" t="s">
        <v>2027</v>
      </c>
      <c r="H6014">
        <v>1</v>
      </c>
      <c r="I6014" s="12">
        <f>Table16[[#This Row],[price]]*Table16[[#This Row],[quantity]]</f>
        <v>1200.32</v>
      </c>
    </row>
    <row r="6015" spans="1:9" x14ac:dyDescent="0.3">
      <c r="A6015" t="s">
        <v>8031</v>
      </c>
      <c r="B6015" t="s">
        <v>1199</v>
      </c>
      <c r="C6015" t="s">
        <v>2001</v>
      </c>
      <c r="D6015">
        <v>5</v>
      </c>
      <c r="E6015" s="16">
        <v>1500.4</v>
      </c>
      <c r="F6015" s="1">
        <v>44451</v>
      </c>
      <c r="G6015" t="s">
        <v>2027</v>
      </c>
      <c r="H6015">
        <v>3</v>
      </c>
      <c r="I6015" s="12">
        <f>Table16[[#This Row],[price]]*Table16[[#This Row],[quantity]]</f>
        <v>7502</v>
      </c>
    </row>
    <row r="6016" spans="1:9" x14ac:dyDescent="0.3">
      <c r="A6016" t="s">
        <v>8033</v>
      </c>
      <c r="B6016" t="s">
        <v>1200</v>
      </c>
      <c r="C6016" t="s">
        <v>2057</v>
      </c>
      <c r="D6016">
        <v>4</v>
      </c>
      <c r="E6016" s="16">
        <v>46.92</v>
      </c>
      <c r="F6016" s="1">
        <v>44369</v>
      </c>
      <c r="G6016" t="s">
        <v>2018</v>
      </c>
      <c r="H6016">
        <v>3</v>
      </c>
      <c r="I6016" s="12">
        <f>Table16[[#This Row],[price]]*Table16[[#This Row],[quantity]]</f>
        <v>187.68</v>
      </c>
    </row>
    <row r="6017" spans="1:9" x14ac:dyDescent="0.3">
      <c r="A6017" t="s">
        <v>8032</v>
      </c>
      <c r="B6017" t="s">
        <v>1200</v>
      </c>
      <c r="C6017" t="s">
        <v>2001</v>
      </c>
      <c r="D6017">
        <v>2</v>
      </c>
      <c r="E6017" s="16">
        <v>600.16</v>
      </c>
      <c r="F6017" s="1">
        <v>44766</v>
      </c>
      <c r="G6017" t="s">
        <v>2027</v>
      </c>
      <c r="H6017">
        <v>5</v>
      </c>
      <c r="I6017" s="12">
        <f>Table16[[#This Row],[price]]*Table16[[#This Row],[quantity]]</f>
        <v>1200.32</v>
      </c>
    </row>
    <row r="6018" spans="1:9" x14ac:dyDescent="0.3">
      <c r="A6018" t="s">
        <v>8035</v>
      </c>
      <c r="B6018" t="s">
        <v>1201</v>
      </c>
      <c r="C6018" t="s">
        <v>2001</v>
      </c>
      <c r="D6018">
        <v>1</v>
      </c>
      <c r="E6018" s="16">
        <v>300.08</v>
      </c>
      <c r="F6018" s="1">
        <v>44393</v>
      </c>
      <c r="G6018" t="s">
        <v>2018</v>
      </c>
      <c r="H6018">
        <v>5</v>
      </c>
      <c r="I6018" s="12">
        <f>Table16[[#This Row],[price]]*Table16[[#This Row],[quantity]]</f>
        <v>300.08</v>
      </c>
    </row>
    <row r="6019" spans="1:9" x14ac:dyDescent="0.3">
      <c r="A6019" t="s">
        <v>8034</v>
      </c>
      <c r="B6019" t="s">
        <v>1201</v>
      </c>
      <c r="C6019" t="s">
        <v>2001</v>
      </c>
      <c r="D6019">
        <v>4</v>
      </c>
      <c r="E6019" s="16">
        <v>1200.32</v>
      </c>
      <c r="F6019" s="1">
        <v>44900</v>
      </c>
      <c r="G6019" t="s">
        <v>2004</v>
      </c>
      <c r="H6019">
        <v>3</v>
      </c>
      <c r="I6019" s="12">
        <f>Table16[[#This Row],[price]]*Table16[[#This Row],[quantity]]</f>
        <v>4801.28</v>
      </c>
    </row>
    <row r="6020" spans="1:9" x14ac:dyDescent="0.3">
      <c r="A6020" t="s">
        <v>8037</v>
      </c>
      <c r="B6020" t="s">
        <v>1202</v>
      </c>
      <c r="C6020" t="s">
        <v>2008</v>
      </c>
      <c r="D6020">
        <v>2</v>
      </c>
      <c r="E6020" s="16">
        <v>10.46</v>
      </c>
      <c r="F6020" s="1">
        <v>44287</v>
      </c>
      <c r="G6020" t="s">
        <v>2027</v>
      </c>
      <c r="H6020">
        <v>4</v>
      </c>
      <c r="I6020" s="12">
        <f>Table16[[#This Row],[price]]*Table16[[#This Row],[quantity]]</f>
        <v>20.92</v>
      </c>
    </row>
    <row r="6021" spans="1:9" x14ac:dyDescent="0.3">
      <c r="A6021" t="s">
        <v>8038</v>
      </c>
      <c r="B6021" t="s">
        <v>1202</v>
      </c>
      <c r="C6021" t="s">
        <v>2011</v>
      </c>
      <c r="D6021">
        <v>1</v>
      </c>
      <c r="E6021" s="16">
        <v>40.659999999999997</v>
      </c>
      <c r="F6021" s="1">
        <v>44436</v>
      </c>
      <c r="G6021" t="s">
        <v>2020</v>
      </c>
      <c r="H6021">
        <v>3</v>
      </c>
      <c r="I6021" s="12">
        <f>Table16[[#This Row],[price]]*Table16[[#This Row],[quantity]]</f>
        <v>40.659999999999997</v>
      </c>
    </row>
    <row r="6022" spans="1:9" x14ac:dyDescent="0.3">
      <c r="A6022" t="s">
        <v>8041</v>
      </c>
      <c r="B6022" t="s">
        <v>1202</v>
      </c>
      <c r="C6022" t="s">
        <v>2001</v>
      </c>
      <c r="D6022">
        <v>4</v>
      </c>
      <c r="E6022" s="16">
        <v>1200.32</v>
      </c>
      <c r="F6022" s="1">
        <v>44447</v>
      </c>
      <c r="G6022" t="s">
        <v>2002</v>
      </c>
      <c r="H6022">
        <v>1</v>
      </c>
      <c r="I6022" s="12">
        <f>Table16[[#This Row],[price]]*Table16[[#This Row],[quantity]]</f>
        <v>4801.28</v>
      </c>
    </row>
    <row r="6023" spans="1:9" x14ac:dyDescent="0.3">
      <c r="A6023" t="s">
        <v>8039</v>
      </c>
      <c r="B6023" t="s">
        <v>1202</v>
      </c>
      <c r="C6023" t="s">
        <v>2008</v>
      </c>
      <c r="D6023">
        <v>3</v>
      </c>
      <c r="E6023" s="16">
        <v>15.69</v>
      </c>
      <c r="F6023" s="1">
        <v>44663</v>
      </c>
      <c r="G6023" t="s">
        <v>2002</v>
      </c>
      <c r="H6023">
        <v>5</v>
      </c>
      <c r="I6023" s="12">
        <f>Table16[[#This Row],[price]]*Table16[[#This Row],[quantity]]</f>
        <v>47.07</v>
      </c>
    </row>
    <row r="6024" spans="1:9" x14ac:dyDescent="0.3">
      <c r="A6024" t="s">
        <v>8044</v>
      </c>
      <c r="B6024" t="s">
        <v>1202</v>
      </c>
      <c r="C6024" t="s">
        <v>2001</v>
      </c>
      <c r="D6024">
        <v>2</v>
      </c>
      <c r="E6024" s="16">
        <v>600.16</v>
      </c>
      <c r="F6024" s="1">
        <v>44723</v>
      </c>
      <c r="G6024" t="s">
        <v>2027</v>
      </c>
      <c r="H6024">
        <v>2</v>
      </c>
      <c r="I6024" s="12">
        <f>Table16[[#This Row],[price]]*Table16[[#This Row],[quantity]]</f>
        <v>1200.32</v>
      </c>
    </row>
    <row r="6025" spans="1:9" x14ac:dyDescent="0.3">
      <c r="A6025" t="s">
        <v>8043</v>
      </c>
      <c r="B6025" t="s">
        <v>1202</v>
      </c>
      <c r="C6025" t="s">
        <v>2006</v>
      </c>
      <c r="D6025">
        <v>1</v>
      </c>
      <c r="E6025" s="16">
        <v>15.15</v>
      </c>
      <c r="F6025" s="1">
        <v>44885</v>
      </c>
      <c r="G6025" t="s">
        <v>2058</v>
      </c>
      <c r="H6025">
        <v>5</v>
      </c>
      <c r="I6025" s="12">
        <f>Table16[[#This Row],[price]]*Table16[[#This Row],[quantity]]</f>
        <v>15.15</v>
      </c>
    </row>
    <row r="6026" spans="1:9" x14ac:dyDescent="0.3">
      <c r="A6026" t="s">
        <v>8040</v>
      </c>
      <c r="B6026" t="s">
        <v>1202</v>
      </c>
      <c r="C6026" t="s">
        <v>2011</v>
      </c>
      <c r="D6026">
        <v>3</v>
      </c>
      <c r="E6026" s="16">
        <v>121.98</v>
      </c>
      <c r="F6026" s="1">
        <v>44890</v>
      </c>
      <c r="G6026" t="s">
        <v>2009</v>
      </c>
      <c r="H6026">
        <v>2</v>
      </c>
      <c r="I6026" s="12">
        <f>Table16[[#This Row],[price]]*Table16[[#This Row],[quantity]]</f>
        <v>365.94</v>
      </c>
    </row>
    <row r="6027" spans="1:9" x14ac:dyDescent="0.3">
      <c r="A6027" t="s">
        <v>8042</v>
      </c>
      <c r="B6027" t="s">
        <v>1202</v>
      </c>
      <c r="C6027" t="s">
        <v>2006</v>
      </c>
      <c r="D6027">
        <v>5</v>
      </c>
      <c r="E6027" s="16">
        <v>75.75</v>
      </c>
      <c r="F6027" s="1">
        <v>44930</v>
      </c>
      <c r="G6027" t="s">
        <v>2020</v>
      </c>
      <c r="H6027">
        <v>2</v>
      </c>
      <c r="I6027" s="12">
        <f>Table16[[#This Row],[price]]*Table16[[#This Row],[quantity]]</f>
        <v>378.75</v>
      </c>
    </row>
    <row r="6028" spans="1:9" x14ac:dyDescent="0.3">
      <c r="A6028" t="s">
        <v>8036</v>
      </c>
      <c r="B6028" t="s">
        <v>1202</v>
      </c>
      <c r="C6028" t="s">
        <v>2001</v>
      </c>
      <c r="D6028">
        <v>3</v>
      </c>
      <c r="E6028" s="16">
        <v>900.24</v>
      </c>
      <c r="F6028" s="1">
        <v>44968</v>
      </c>
      <c r="G6028" t="s">
        <v>2064</v>
      </c>
      <c r="H6028">
        <v>2</v>
      </c>
      <c r="I6028" s="12">
        <f>Table16[[#This Row],[price]]*Table16[[#This Row],[quantity]]</f>
        <v>2700.7200000000003</v>
      </c>
    </row>
    <row r="6029" spans="1:9" x14ac:dyDescent="0.3">
      <c r="A6029" t="s">
        <v>8045</v>
      </c>
      <c r="B6029" t="s">
        <v>1203</v>
      </c>
      <c r="C6029" t="s">
        <v>2001</v>
      </c>
      <c r="D6029">
        <v>3</v>
      </c>
      <c r="E6029" s="16">
        <v>900.24</v>
      </c>
      <c r="F6029" s="1">
        <v>44259</v>
      </c>
      <c r="G6029" t="s">
        <v>2002</v>
      </c>
      <c r="H6029">
        <v>3</v>
      </c>
      <c r="I6029" s="12">
        <f>Table16[[#This Row],[price]]*Table16[[#This Row],[quantity]]</f>
        <v>2700.7200000000003</v>
      </c>
    </row>
    <row r="6030" spans="1:9" x14ac:dyDescent="0.3">
      <c r="A6030" t="s">
        <v>8047</v>
      </c>
      <c r="B6030" t="s">
        <v>1203</v>
      </c>
      <c r="C6030" t="s">
        <v>2001</v>
      </c>
      <c r="D6030">
        <v>1</v>
      </c>
      <c r="E6030" s="16">
        <v>300.08</v>
      </c>
      <c r="F6030" s="1">
        <v>44545</v>
      </c>
      <c r="G6030" t="s">
        <v>2002</v>
      </c>
      <c r="H6030">
        <v>1</v>
      </c>
      <c r="I6030" s="12">
        <f>Table16[[#This Row],[price]]*Table16[[#This Row],[quantity]]</f>
        <v>300.08</v>
      </c>
    </row>
    <row r="6031" spans="1:9" x14ac:dyDescent="0.3">
      <c r="A6031" t="s">
        <v>8046</v>
      </c>
      <c r="B6031" t="s">
        <v>1203</v>
      </c>
      <c r="C6031" t="s">
        <v>2011</v>
      </c>
      <c r="D6031">
        <v>1</v>
      </c>
      <c r="E6031" s="16">
        <v>40.659999999999997</v>
      </c>
      <c r="F6031" s="1">
        <v>44579</v>
      </c>
      <c r="G6031" t="s">
        <v>2027</v>
      </c>
      <c r="H6031">
        <v>5</v>
      </c>
      <c r="I6031" s="12">
        <f>Table16[[#This Row],[price]]*Table16[[#This Row],[quantity]]</f>
        <v>40.659999999999997</v>
      </c>
    </row>
    <row r="6032" spans="1:9" x14ac:dyDescent="0.3">
      <c r="A6032" t="s">
        <v>8048</v>
      </c>
      <c r="B6032" t="s">
        <v>1203</v>
      </c>
      <c r="C6032" t="s">
        <v>2006</v>
      </c>
      <c r="D6032">
        <v>2</v>
      </c>
      <c r="E6032" s="16">
        <v>30.3</v>
      </c>
      <c r="F6032" s="1">
        <v>44666</v>
      </c>
      <c r="G6032" t="s">
        <v>2004</v>
      </c>
      <c r="H6032">
        <v>3</v>
      </c>
      <c r="I6032" s="12">
        <f>Table16[[#This Row],[price]]*Table16[[#This Row],[quantity]]</f>
        <v>60.6</v>
      </c>
    </row>
    <row r="6033" spans="1:9" x14ac:dyDescent="0.3">
      <c r="A6033" t="s">
        <v>8050</v>
      </c>
      <c r="B6033" t="s">
        <v>1203</v>
      </c>
      <c r="C6033" t="s">
        <v>2001</v>
      </c>
      <c r="D6033">
        <v>5</v>
      </c>
      <c r="E6033" s="16">
        <v>1500.4</v>
      </c>
      <c r="F6033" s="1">
        <v>44731</v>
      </c>
      <c r="G6033" t="s">
        <v>2004</v>
      </c>
      <c r="H6033">
        <v>3</v>
      </c>
      <c r="I6033" s="12">
        <f>Table16[[#This Row],[price]]*Table16[[#This Row],[quantity]]</f>
        <v>7502</v>
      </c>
    </row>
    <row r="6034" spans="1:9" x14ac:dyDescent="0.3">
      <c r="A6034" t="s">
        <v>8049</v>
      </c>
      <c r="B6034" t="s">
        <v>1203</v>
      </c>
      <c r="C6034" t="s">
        <v>2011</v>
      </c>
      <c r="D6034">
        <v>5</v>
      </c>
      <c r="E6034" s="16">
        <v>203.3</v>
      </c>
      <c r="F6034" s="1">
        <v>44810</v>
      </c>
      <c r="G6034" t="s">
        <v>2018</v>
      </c>
      <c r="H6034">
        <v>4</v>
      </c>
      <c r="I6034" s="12">
        <f>Table16[[#This Row],[price]]*Table16[[#This Row],[quantity]]</f>
        <v>1016.5</v>
      </c>
    </row>
    <row r="6035" spans="1:9" x14ac:dyDescent="0.3">
      <c r="A6035" t="s">
        <v>8051</v>
      </c>
      <c r="B6035" t="s">
        <v>1204</v>
      </c>
      <c r="C6035" t="s">
        <v>2001</v>
      </c>
      <c r="D6035">
        <v>5</v>
      </c>
      <c r="E6035" s="16">
        <v>1500.4</v>
      </c>
      <c r="F6035" s="1">
        <v>44791</v>
      </c>
      <c r="G6035" t="s">
        <v>2027</v>
      </c>
      <c r="H6035">
        <v>1</v>
      </c>
      <c r="I6035" s="12">
        <f>Table16[[#This Row],[price]]*Table16[[#This Row],[quantity]]</f>
        <v>7502</v>
      </c>
    </row>
    <row r="6036" spans="1:9" x14ac:dyDescent="0.3">
      <c r="A6036" t="s">
        <v>8054</v>
      </c>
      <c r="B6036" t="s">
        <v>1204</v>
      </c>
      <c r="C6036" t="s">
        <v>2024</v>
      </c>
      <c r="D6036">
        <v>5</v>
      </c>
      <c r="E6036" s="16">
        <v>179.2</v>
      </c>
      <c r="F6036" s="1">
        <v>44803</v>
      </c>
      <c r="G6036" t="s">
        <v>2027</v>
      </c>
      <c r="H6036">
        <v>3</v>
      </c>
      <c r="I6036" s="12">
        <f>Table16[[#This Row],[price]]*Table16[[#This Row],[quantity]]</f>
        <v>896</v>
      </c>
    </row>
    <row r="6037" spans="1:9" x14ac:dyDescent="0.3">
      <c r="A6037" t="s">
        <v>8055</v>
      </c>
      <c r="B6037" t="s">
        <v>1204</v>
      </c>
      <c r="C6037" t="s">
        <v>2001</v>
      </c>
      <c r="D6037">
        <v>1</v>
      </c>
      <c r="E6037" s="16">
        <v>300.08</v>
      </c>
      <c r="F6037" s="1">
        <v>44860</v>
      </c>
      <c r="G6037" t="s">
        <v>2018</v>
      </c>
      <c r="H6037">
        <v>1</v>
      </c>
      <c r="I6037" s="12">
        <f>Table16[[#This Row],[price]]*Table16[[#This Row],[quantity]]</f>
        <v>300.08</v>
      </c>
    </row>
    <row r="6038" spans="1:9" x14ac:dyDescent="0.3">
      <c r="A6038" t="s">
        <v>8056</v>
      </c>
      <c r="B6038" t="s">
        <v>1204</v>
      </c>
      <c r="C6038" t="s">
        <v>2001</v>
      </c>
      <c r="D6038">
        <v>1</v>
      </c>
      <c r="E6038" s="16">
        <v>300.08</v>
      </c>
      <c r="F6038" s="1">
        <v>44878</v>
      </c>
      <c r="G6038" t="s">
        <v>2002</v>
      </c>
      <c r="H6038">
        <v>3</v>
      </c>
      <c r="I6038" s="12">
        <f>Table16[[#This Row],[price]]*Table16[[#This Row],[quantity]]</f>
        <v>300.08</v>
      </c>
    </row>
    <row r="6039" spans="1:9" x14ac:dyDescent="0.3">
      <c r="A6039" t="s">
        <v>8052</v>
      </c>
      <c r="B6039" t="s">
        <v>1204</v>
      </c>
      <c r="C6039" t="s">
        <v>2001</v>
      </c>
      <c r="D6039">
        <v>3</v>
      </c>
      <c r="E6039" s="16">
        <v>900.24</v>
      </c>
      <c r="F6039" s="1">
        <v>44961</v>
      </c>
      <c r="G6039" t="s">
        <v>2018</v>
      </c>
      <c r="H6039">
        <v>4</v>
      </c>
      <c r="I6039" s="12">
        <f>Table16[[#This Row],[price]]*Table16[[#This Row],[quantity]]</f>
        <v>2700.7200000000003</v>
      </c>
    </row>
    <row r="6040" spans="1:9" x14ac:dyDescent="0.3">
      <c r="A6040" t="s">
        <v>8053</v>
      </c>
      <c r="B6040" t="s">
        <v>1204</v>
      </c>
      <c r="C6040" t="s">
        <v>2006</v>
      </c>
      <c r="D6040">
        <v>2</v>
      </c>
      <c r="E6040" s="16">
        <v>30.3</v>
      </c>
      <c r="F6040" s="1">
        <v>44968</v>
      </c>
      <c r="G6040" t="s">
        <v>2058</v>
      </c>
      <c r="H6040">
        <v>1</v>
      </c>
      <c r="I6040" s="12">
        <f>Table16[[#This Row],[price]]*Table16[[#This Row],[quantity]]</f>
        <v>60.6</v>
      </c>
    </row>
    <row r="6041" spans="1:9" x14ac:dyDescent="0.3">
      <c r="A6041" t="s">
        <v>8058</v>
      </c>
      <c r="B6041" t="s">
        <v>1205</v>
      </c>
      <c r="C6041" t="s">
        <v>2006</v>
      </c>
      <c r="D6041">
        <v>1</v>
      </c>
      <c r="E6041" s="16">
        <v>15.15</v>
      </c>
      <c r="F6041" s="1">
        <v>44213</v>
      </c>
      <c r="G6041" t="s">
        <v>2018</v>
      </c>
      <c r="H6041">
        <v>4</v>
      </c>
      <c r="I6041" s="12">
        <f>Table16[[#This Row],[price]]*Table16[[#This Row],[quantity]]</f>
        <v>15.15</v>
      </c>
    </row>
    <row r="6042" spans="1:9" x14ac:dyDescent="0.3">
      <c r="A6042" t="s">
        <v>8057</v>
      </c>
      <c r="B6042" t="s">
        <v>1205</v>
      </c>
      <c r="C6042" t="s">
        <v>2008</v>
      </c>
      <c r="D6042">
        <v>5</v>
      </c>
      <c r="E6042" s="16">
        <v>26.15</v>
      </c>
      <c r="F6042" s="1">
        <v>44527</v>
      </c>
      <c r="G6042" t="s">
        <v>2064</v>
      </c>
      <c r="H6042">
        <v>2</v>
      </c>
      <c r="I6042" s="12">
        <f>Table16[[#This Row],[price]]*Table16[[#This Row],[quantity]]</f>
        <v>130.75</v>
      </c>
    </row>
    <row r="6043" spans="1:9" x14ac:dyDescent="0.3">
      <c r="A6043" t="s">
        <v>8059</v>
      </c>
      <c r="B6043" t="s">
        <v>1206</v>
      </c>
      <c r="C6043" t="s">
        <v>2011</v>
      </c>
      <c r="D6043">
        <v>5</v>
      </c>
      <c r="E6043" s="16">
        <v>203.3</v>
      </c>
      <c r="F6043" s="1">
        <v>44338</v>
      </c>
      <c r="G6043" t="s">
        <v>2041</v>
      </c>
      <c r="H6043">
        <v>3</v>
      </c>
      <c r="I6043" s="12">
        <f>Table16[[#This Row],[price]]*Table16[[#This Row],[quantity]]</f>
        <v>1016.5</v>
      </c>
    </row>
    <row r="6044" spans="1:9" x14ac:dyDescent="0.3">
      <c r="A6044" t="s">
        <v>8062</v>
      </c>
      <c r="B6044" t="s">
        <v>1206</v>
      </c>
      <c r="C6044" t="s">
        <v>2006</v>
      </c>
      <c r="D6044">
        <v>2</v>
      </c>
      <c r="E6044" s="16">
        <v>30.3</v>
      </c>
      <c r="F6044" s="1">
        <v>44493</v>
      </c>
      <c r="G6044" t="s">
        <v>2027</v>
      </c>
      <c r="H6044">
        <v>3</v>
      </c>
      <c r="I6044" s="12">
        <f>Table16[[#This Row],[price]]*Table16[[#This Row],[quantity]]</f>
        <v>60.6</v>
      </c>
    </row>
    <row r="6045" spans="1:9" x14ac:dyDescent="0.3">
      <c r="A6045" t="s">
        <v>8061</v>
      </c>
      <c r="B6045" t="s">
        <v>1206</v>
      </c>
      <c r="C6045" t="s">
        <v>2011</v>
      </c>
      <c r="D6045">
        <v>2</v>
      </c>
      <c r="E6045" s="16">
        <v>81.319999999999993</v>
      </c>
      <c r="F6045" s="1">
        <v>44673</v>
      </c>
      <c r="G6045" t="s">
        <v>2064</v>
      </c>
      <c r="H6045">
        <v>5</v>
      </c>
      <c r="I6045" s="12">
        <f>Table16[[#This Row],[price]]*Table16[[#This Row],[quantity]]</f>
        <v>162.63999999999999</v>
      </c>
    </row>
    <row r="6046" spans="1:9" x14ac:dyDescent="0.3">
      <c r="A6046" t="s">
        <v>8063</v>
      </c>
      <c r="B6046" t="s">
        <v>1206</v>
      </c>
      <c r="C6046" t="s">
        <v>2001</v>
      </c>
      <c r="D6046">
        <v>3</v>
      </c>
      <c r="E6046" s="16">
        <v>900.24</v>
      </c>
      <c r="F6046" s="1">
        <v>44875</v>
      </c>
      <c r="G6046" t="s">
        <v>2020</v>
      </c>
      <c r="H6046">
        <v>5</v>
      </c>
      <c r="I6046" s="12">
        <f>Table16[[#This Row],[price]]*Table16[[#This Row],[quantity]]</f>
        <v>2700.7200000000003</v>
      </c>
    </row>
    <row r="6047" spans="1:9" x14ac:dyDescent="0.3">
      <c r="A6047" t="s">
        <v>8060</v>
      </c>
      <c r="B6047" t="s">
        <v>1206</v>
      </c>
      <c r="C6047" t="s">
        <v>2008</v>
      </c>
      <c r="D6047">
        <v>5</v>
      </c>
      <c r="E6047" s="16">
        <v>26.15</v>
      </c>
      <c r="F6047" s="1">
        <v>44952</v>
      </c>
      <c r="G6047" t="s">
        <v>2027</v>
      </c>
      <c r="H6047">
        <v>5</v>
      </c>
      <c r="I6047" s="12">
        <f>Table16[[#This Row],[price]]*Table16[[#This Row],[quantity]]</f>
        <v>130.75</v>
      </c>
    </row>
    <row r="6048" spans="1:9" x14ac:dyDescent="0.3">
      <c r="A6048" t="s">
        <v>8068</v>
      </c>
      <c r="B6048" t="s">
        <v>1207</v>
      </c>
      <c r="C6048" t="s">
        <v>2024</v>
      </c>
      <c r="D6048">
        <v>4</v>
      </c>
      <c r="E6048" s="16">
        <v>143.36000000000001</v>
      </c>
      <c r="F6048" s="1">
        <v>44221</v>
      </c>
      <c r="G6048" t="s">
        <v>2004</v>
      </c>
      <c r="H6048">
        <v>5</v>
      </c>
      <c r="I6048" s="12">
        <f>Table16[[#This Row],[price]]*Table16[[#This Row],[quantity]]</f>
        <v>573.44000000000005</v>
      </c>
    </row>
    <row r="6049" spans="1:9" x14ac:dyDescent="0.3">
      <c r="A6049" t="s">
        <v>8067</v>
      </c>
      <c r="B6049" t="s">
        <v>1207</v>
      </c>
      <c r="C6049" t="s">
        <v>2001</v>
      </c>
      <c r="D6049">
        <v>2</v>
      </c>
      <c r="E6049" s="16">
        <v>600.16</v>
      </c>
      <c r="F6049" s="1">
        <v>44648</v>
      </c>
      <c r="G6049" t="s">
        <v>2012</v>
      </c>
      <c r="H6049">
        <v>3</v>
      </c>
      <c r="I6049" s="12">
        <f>Table16[[#This Row],[price]]*Table16[[#This Row],[quantity]]</f>
        <v>1200.32</v>
      </c>
    </row>
    <row r="6050" spans="1:9" x14ac:dyDescent="0.3">
      <c r="A6050" t="s">
        <v>8069</v>
      </c>
      <c r="B6050" t="s">
        <v>1207</v>
      </c>
      <c r="C6050" t="s">
        <v>2001</v>
      </c>
      <c r="D6050">
        <v>5</v>
      </c>
      <c r="E6050" s="16">
        <v>1500.4</v>
      </c>
      <c r="F6050" s="1">
        <v>44787</v>
      </c>
      <c r="G6050" t="s">
        <v>2012</v>
      </c>
      <c r="H6050">
        <v>4</v>
      </c>
      <c r="I6050" s="12">
        <f>Table16[[#This Row],[price]]*Table16[[#This Row],[quantity]]</f>
        <v>7502</v>
      </c>
    </row>
    <row r="6051" spans="1:9" x14ac:dyDescent="0.3">
      <c r="A6051" t="s">
        <v>8064</v>
      </c>
      <c r="B6051" t="s">
        <v>1207</v>
      </c>
      <c r="C6051" t="s">
        <v>2001</v>
      </c>
      <c r="D6051">
        <v>1</v>
      </c>
      <c r="E6051" s="16">
        <v>300.08</v>
      </c>
      <c r="F6051" s="1">
        <v>44881</v>
      </c>
      <c r="G6051" t="s">
        <v>2027</v>
      </c>
      <c r="H6051">
        <v>2</v>
      </c>
      <c r="I6051" s="12">
        <f>Table16[[#This Row],[price]]*Table16[[#This Row],[quantity]]</f>
        <v>300.08</v>
      </c>
    </row>
    <row r="6052" spans="1:9" x14ac:dyDescent="0.3">
      <c r="A6052" t="s">
        <v>8065</v>
      </c>
      <c r="B6052" t="s">
        <v>1207</v>
      </c>
      <c r="C6052" t="s">
        <v>2008</v>
      </c>
      <c r="D6052">
        <v>4</v>
      </c>
      <c r="E6052" s="16">
        <v>20.92</v>
      </c>
      <c r="F6052" s="1">
        <v>44911</v>
      </c>
      <c r="G6052" t="s">
        <v>2064</v>
      </c>
      <c r="H6052">
        <v>4</v>
      </c>
      <c r="I6052" s="12">
        <f>Table16[[#This Row],[price]]*Table16[[#This Row],[quantity]]</f>
        <v>83.68</v>
      </c>
    </row>
    <row r="6053" spans="1:9" x14ac:dyDescent="0.3">
      <c r="A6053" t="s">
        <v>8066</v>
      </c>
      <c r="B6053" t="s">
        <v>1207</v>
      </c>
      <c r="C6053" t="s">
        <v>2011</v>
      </c>
      <c r="D6053">
        <v>3</v>
      </c>
      <c r="E6053" s="16">
        <v>121.98</v>
      </c>
      <c r="F6053" s="1">
        <v>44938</v>
      </c>
      <c r="G6053" t="s">
        <v>2012</v>
      </c>
      <c r="H6053">
        <v>5</v>
      </c>
      <c r="I6053" s="12">
        <f>Table16[[#This Row],[price]]*Table16[[#This Row],[quantity]]</f>
        <v>365.94</v>
      </c>
    </row>
    <row r="6054" spans="1:9" x14ac:dyDescent="0.3">
      <c r="A6054" t="s">
        <v>8077</v>
      </c>
      <c r="B6054" t="s">
        <v>1208</v>
      </c>
      <c r="C6054" t="s">
        <v>2011</v>
      </c>
      <c r="D6054">
        <v>5</v>
      </c>
      <c r="E6054" s="16">
        <v>203.3</v>
      </c>
      <c r="F6054" s="1">
        <v>44261</v>
      </c>
      <c r="G6054" t="s">
        <v>2018</v>
      </c>
      <c r="H6054">
        <v>3</v>
      </c>
      <c r="I6054" s="12">
        <f>Table16[[#This Row],[price]]*Table16[[#This Row],[quantity]]</f>
        <v>1016.5</v>
      </c>
    </row>
    <row r="6055" spans="1:9" x14ac:dyDescent="0.3">
      <c r="A6055" t="s">
        <v>8073</v>
      </c>
      <c r="B6055" t="s">
        <v>1208</v>
      </c>
      <c r="C6055" t="s">
        <v>2001</v>
      </c>
      <c r="D6055">
        <v>1</v>
      </c>
      <c r="E6055" s="16">
        <v>300.08</v>
      </c>
      <c r="F6055" s="1">
        <v>44273</v>
      </c>
      <c r="G6055" t="s">
        <v>2041</v>
      </c>
      <c r="H6055">
        <v>1</v>
      </c>
      <c r="I6055" s="12">
        <f>Table16[[#This Row],[price]]*Table16[[#This Row],[quantity]]</f>
        <v>300.08</v>
      </c>
    </row>
    <row r="6056" spans="1:9" x14ac:dyDescent="0.3">
      <c r="A6056" t="s">
        <v>8075</v>
      </c>
      <c r="B6056" t="s">
        <v>1208</v>
      </c>
      <c r="C6056" t="s">
        <v>2001</v>
      </c>
      <c r="D6056">
        <v>2</v>
      </c>
      <c r="E6056" s="16">
        <v>600.16</v>
      </c>
      <c r="F6056" s="1">
        <v>44549</v>
      </c>
      <c r="G6056" t="s">
        <v>2020</v>
      </c>
      <c r="H6056">
        <v>5</v>
      </c>
      <c r="I6056" s="12">
        <f>Table16[[#This Row],[price]]*Table16[[#This Row],[quantity]]</f>
        <v>1200.32</v>
      </c>
    </row>
    <row r="6057" spans="1:9" x14ac:dyDescent="0.3">
      <c r="A6057" t="s">
        <v>8076</v>
      </c>
      <c r="B6057" t="s">
        <v>1208</v>
      </c>
      <c r="C6057" t="s">
        <v>2017</v>
      </c>
      <c r="D6057">
        <v>3</v>
      </c>
      <c r="E6057" s="16">
        <v>3150</v>
      </c>
      <c r="F6057" s="1">
        <v>44568</v>
      </c>
      <c r="G6057" t="s">
        <v>2064</v>
      </c>
      <c r="H6057">
        <v>4</v>
      </c>
      <c r="I6057" s="12">
        <f>Table16[[#This Row],[price]]*Table16[[#This Row],[quantity]]</f>
        <v>9450</v>
      </c>
    </row>
    <row r="6058" spans="1:9" x14ac:dyDescent="0.3">
      <c r="A6058" t="s">
        <v>8074</v>
      </c>
      <c r="B6058" t="s">
        <v>1208</v>
      </c>
      <c r="C6058" t="s">
        <v>2008</v>
      </c>
      <c r="D6058">
        <v>1</v>
      </c>
      <c r="E6058" s="16">
        <v>5.23</v>
      </c>
      <c r="F6058" s="1">
        <v>44568</v>
      </c>
      <c r="G6058" t="s">
        <v>2027</v>
      </c>
      <c r="H6058">
        <v>1</v>
      </c>
      <c r="I6058" s="12">
        <f>Table16[[#This Row],[price]]*Table16[[#This Row],[quantity]]</f>
        <v>5.23</v>
      </c>
    </row>
    <row r="6059" spans="1:9" x14ac:dyDescent="0.3">
      <c r="A6059" t="s">
        <v>8071</v>
      </c>
      <c r="B6059" t="s">
        <v>1208</v>
      </c>
      <c r="C6059" t="s">
        <v>2024</v>
      </c>
      <c r="D6059">
        <v>5</v>
      </c>
      <c r="E6059" s="16">
        <v>179.2</v>
      </c>
      <c r="F6059" s="1">
        <v>44786</v>
      </c>
      <c r="G6059" t="s">
        <v>2058</v>
      </c>
      <c r="H6059">
        <v>5</v>
      </c>
      <c r="I6059" s="12">
        <f>Table16[[#This Row],[price]]*Table16[[#This Row],[quantity]]</f>
        <v>896</v>
      </c>
    </row>
    <row r="6060" spans="1:9" x14ac:dyDescent="0.3">
      <c r="A6060" t="s">
        <v>8072</v>
      </c>
      <c r="B6060" t="s">
        <v>1208</v>
      </c>
      <c r="C6060" t="s">
        <v>2015</v>
      </c>
      <c r="D6060">
        <v>4</v>
      </c>
      <c r="E6060" s="16">
        <v>2400.6799999999998</v>
      </c>
      <c r="F6060" s="1">
        <v>44796</v>
      </c>
      <c r="G6060" t="s">
        <v>2012</v>
      </c>
      <c r="H6060">
        <v>1</v>
      </c>
      <c r="I6060" s="12">
        <f>Table16[[#This Row],[price]]*Table16[[#This Row],[quantity]]</f>
        <v>9602.7199999999993</v>
      </c>
    </row>
    <row r="6061" spans="1:9" x14ac:dyDescent="0.3">
      <c r="A6061" t="s">
        <v>8070</v>
      </c>
      <c r="B6061" t="s">
        <v>1208</v>
      </c>
      <c r="C6061" t="s">
        <v>2001</v>
      </c>
      <c r="D6061">
        <v>1</v>
      </c>
      <c r="E6061" s="16">
        <v>300.08</v>
      </c>
      <c r="F6061" s="1">
        <v>44955</v>
      </c>
      <c r="G6061" t="s">
        <v>2002</v>
      </c>
      <c r="H6061">
        <v>3</v>
      </c>
      <c r="I6061" s="12">
        <f>Table16[[#This Row],[price]]*Table16[[#This Row],[quantity]]</f>
        <v>300.08</v>
      </c>
    </row>
    <row r="6062" spans="1:9" x14ac:dyDescent="0.3">
      <c r="A6062" t="s">
        <v>8079</v>
      </c>
      <c r="B6062" t="s">
        <v>1209</v>
      </c>
      <c r="C6062" t="s">
        <v>2011</v>
      </c>
      <c r="D6062">
        <v>2</v>
      </c>
      <c r="E6062" s="16">
        <v>81.319999999999993</v>
      </c>
      <c r="F6062" s="1">
        <v>44216</v>
      </c>
      <c r="G6062" t="s">
        <v>2004</v>
      </c>
      <c r="H6062">
        <v>1</v>
      </c>
      <c r="I6062" s="12">
        <f>Table16[[#This Row],[price]]*Table16[[#This Row],[quantity]]</f>
        <v>162.63999999999999</v>
      </c>
    </row>
    <row r="6063" spans="1:9" x14ac:dyDescent="0.3">
      <c r="A6063" t="s">
        <v>8078</v>
      </c>
      <c r="B6063" t="s">
        <v>1209</v>
      </c>
      <c r="C6063" t="s">
        <v>2015</v>
      </c>
      <c r="D6063">
        <v>3</v>
      </c>
      <c r="E6063" s="16">
        <v>1800.51</v>
      </c>
      <c r="F6063" s="1">
        <v>44651</v>
      </c>
      <c r="G6063" t="s">
        <v>2020</v>
      </c>
      <c r="H6063">
        <v>3</v>
      </c>
      <c r="I6063" s="12">
        <f>Table16[[#This Row],[price]]*Table16[[#This Row],[quantity]]</f>
        <v>5401.53</v>
      </c>
    </row>
    <row r="6064" spans="1:9" x14ac:dyDescent="0.3">
      <c r="A6064" t="s">
        <v>8080</v>
      </c>
      <c r="B6064" t="s">
        <v>1209</v>
      </c>
      <c r="C6064" t="s">
        <v>2001</v>
      </c>
      <c r="D6064">
        <v>5</v>
      </c>
      <c r="E6064" s="16">
        <v>1500.4</v>
      </c>
      <c r="F6064" s="1">
        <v>44786</v>
      </c>
      <c r="G6064" t="s">
        <v>2002</v>
      </c>
      <c r="H6064">
        <v>4</v>
      </c>
      <c r="I6064" s="12">
        <f>Table16[[#This Row],[price]]*Table16[[#This Row],[quantity]]</f>
        <v>7502</v>
      </c>
    </row>
    <row r="6065" spans="1:9" x14ac:dyDescent="0.3">
      <c r="A6065" t="s">
        <v>8081</v>
      </c>
      <c r="B6065" t="s">
        <v>1209</v>
      </c>
      <c r="C6065" t="s">
        <v>2001</v>
      </c>
      <c r="D6065">
        <v>2</v>
      </c>
      <c r="E6065" s="16">
        <v>600.16</v>
      </c>
      <c r="F6065" s="1">
        <v>44878</v>
      </c>
      <c r="G6065" t="s">
        <v>2027</v>
      </c>
      <c r="H6065">
        <v>2</v>
      </c>
      <c r="I6065" s="12">
        <f>Table16[[#This Row],[price]]*Table16[[#This Row],[quantity]]</f>
        <v>1200.32</v>
      </c>
    </row>
    <row r="6066" spans="1:9" x14ac:dyDescent="0.3">
      <c r="A6066" t="s">
        <v>8082</v>
      </c>
      <c r="B6066" t="s">
        <v>1210</v>
      </c>
      <c r="C6066" t="s">
        <v>2001</v>
      </c>
      <c r="D6066">
        <v>1</v>
      </c>
      <c r="E6066" s="16">
        <v>300.08</v>
      </c>
      <c r="F6066" s="1">
        <v>44645</v>
      </c>
      <c r="G6066" t="s">
        <v>2004</v>
      </c>
      <c r="H6066">
        <v>4</v>
      </c>
      <c r="I6066" s="12">
        <f>Table16[[#This Row],[price]]*Table16[[#This Row],[quantity]]</f>
        <v>300.08</v>
      </c>
    </row>
    <row r="6067" spans="1:9" x14ac:dyDescent="0.3">
      <c r="A6067" t="s">
        <v>8083</v>
      </c>
      <c r="B6067" t="s">
        <v>1210</v>
      </c>
      <c r="C6067" t="s">
        <v>2015</v>
      </c>
      <c r="D6067">
        <v>1</v>
      </c>
      <c r="E6067" s="16">
        <v>600.16999999999996</v>
      </c>
      <c r="F6067" s="1">
        <v>44763</v>
      </c>
      <c r="G6067" t="s">
        <v>2064</v>
      </c>
      <c r="H6067">
        <v>4</v>
      </c>
      <c r="I6067" s="12">
        <f>Table16[[#This Row],[price]]*Table16[[#This Row],[quantity]]</f>
        <v>600.16999999999996</v>
      </c>
    </row>
    <row r="6068" spans="1:9" x14ac:dyDescent="0.3">
      <c r="A6068" t="s">
        <v>8084</v>
      </c>
      <c r="B6068" t="s">
        <v>1210</v>
      </c>
      <c r="C6068" t="s">
        <v>2008</v>
      </c>
      <c r="D6068">
        <v>1</v>
      </c>
      <c r="E6068" s="16">
        <v>5.23</v>
      </c>
      <c r="F6068" s="1">
        <v>44966</v>
      </c>
      <c r="G6068" t="s">
        <v>2041</v>
      </c>
      <c r="H6068">
        <v>1</v>
      </c>
      <c r="I6068" s="12">
        <f>Table16[[#This Row],[price]]*Table16[[#This Row],[quantity]]</f>
        <v>5.23</v>
      </c>
    </row>
    <row r="6069" spans="1:9" x14ac:dyDescent="0.3">
      <c r="A6069" t="s">
        <v>8088</v>
      </c>
      <c r="B6069" t="s">
        <v>1211</v>
      </c>
      <c r="C6069" t="s">
        <v>2001</v>
      </c>
      <c r="D6069">
        <v>3</v>
      </c>
      <c r="E6069" s="16">
        <v>900.24</v>
      </c>
      <c r="F6069" s="1">
        <v>44200</v>
      </c>
      <c r="G6069" t="s">
        <v>2004</v>
      </c>
      <c r="H6069">
        <v>4</v>
      </c>
      <c r="I6069" s="12">
        <f>Table16[[#This Row],[price]]*Table16[[#This Row],[quantity]]</f>
        <v>2700.7200000000003</v>
      </c>
    </row>
    <row r="6070" spans="1:9" x14ac:dyDescent="0.3">
      <c r="A6070" t="s">
        <v>8085</v>
      </c>
      <c r="B6070" t="s">
        <v>1211</v>
      </c>
      <c r="C6070" t="s">
        <v>2017</v>
      </c>
      <c r="D6070">
        <v>2</v>
      </c>
      <c r="E6070" s="16">
        <v>2100</v>
      </c>
      <c r="F6070" s="1">
        <v>44207</v>
      </c>
      <c r="G6070" t="s">
        <v>2020</v>
      </c>
      <c r="H6070">
        <v>4</v>
      </c>
      <c r="I6070" s="12">
        <f>Table16[[#This Row],[price]]*Table16[[#This Row],[quantity]]</f>
        <v>4200</v>
      </c>
    </row>
    <row r="6071" spans="1:9" x14ac:dyDescent="0.3">
      <c r="A6071" t="s">
        <v>8087</v>
      </c>
      <c r="B6071" t="s">
        <v>1211</v>
      </c>
      <c r="C6071" t="s">
        <v>2024</v>
      </c>
      <c r="D6071">
        <v>3</v>
      </c>
      <c r="E6071" s="16">
        <v>107.52</v>
      </c>
      <c r="F6071" s="1">
        <v>44402</v>
      </c>
      <c r="G6071" t="s">
        <v>2004</v>
      </c>
      <c r="H6071">
        <v>2</v>
      </c>
      <c r="I6071" s="12">
        <f>Table16[[#This Row],[price]]*Table16[[#This Row],[quantity]]</f>
        <v>322.56</v>
      </c>
    </row>
    <row r="6072" spans="1:9" x14ac:dyDescent="0.3">
      <c r="A6072" t="s">
        <v>8086</v>
      </c>
      <c r="B6072" t="s">
        <v>1211</v>
      </c>
      <c r="C6072" t="s">
        <v>2011</v>
      </c>
      <c r="D6072">
        <v>5</v>
      </c>
      <c r="E6072" s="16">
        <v>203.3</v>
      </c>
      <c r="F6072" s="1">
        <v>44671</v>
      </c>
      <c r="G6072" t="s">
        <v>2027</v>
      </c>
      <c r="H6072">
        <v>1</v>
      </c>
      <c r="I6072" s="12">
        <f>Table16[[#This Row],[price]]*Table16[[#This Row],[quantity]]</f>
        <v>1016.5</v>
      </c>
    </row>
    <row r="6073" spans="1:9" x14ac:dyDescent="0.3">
      <c r="A6073" t="s">
        <v>8092</v>
      </c>
      <c r="B6073" t="s">
        <v>1212</v>
      </c>
      <c r="C6073" t="s">
        <v>2001</v>
      </c>
      <c r="D6073">
        <v>2</v>
      </c>
      <c r="E6073" s="16">
        <v>600.16</v>
      </c>
      <c r="F6073" s="1">
        <v>44262</v>
      </c>
      <c r="G6073" t="s">
        <v>2064</v>
      </c>
      <c r="H6073">
        <v>1</v>
      </c>
      <c r="I6073" s="12">
        <f>Table16[[#This Row],[price]]*Table16[[#This Row],[quantity]]</f>
        <v>1200.32</v>
      </c>
    </row>
    <row r="6074" spans="1:9" x14ac:dyDescent="0.3">
      <c r="A6074" t="s">
        <v>8094</v>
      </c>
      <c r="B6074" t="s">
        <v>1212</v>
      </c>
      <c r="C6074" t="s">
        <v>2001</v>
      </c>
      <c r="D6074">
        <v>4</v>
      </c>
      <c r="E6074" s="16">
        <v>1200.32</v>
      </c>
      <c r="F6074" s="1">
        <v>44467</v>
      </c>
      <c r="G6074" t="s">
        <v>2027</v>
      </c>
      <c r="H6074">
        <v>4</v>
      </c>
      <c r="I6074" s="12">
        <f>Table16[[#This Row],[price]]*Table16[[#This Row],[quantity]]</f>
        <v>4801.28</v>
      </c>
    </row>
    <row r="6075" spans="1:9" x14ac:dyDescent="0.3">
      <c r="A6075" t="s">
        <v>8090</v>
      </c>
      <c r="B6075" t="s">
        <v>1212</v>
      </c>
      <c r="C6075" t="s">
        <v>2015</v>
      </c>
      <c r="D6075">
        <v>3</v>
      </c>
      <c r="E6075" s="16">
        <v>1800.51</v>
      </c>
      <c r="F6075" s="1">
        <v>44637</v>
      </c>
      <c r="G6075" t="s">
        <v>2004</v>
      </c>
      <c r="H6075">
        <v>5</v>
      </c>
      <c r="I6075" s="12">
        <f>Table16[[#This Row],[price]]*Table16[[#This Row],[quantity]]</f>
        <v>5401.53</v>
      </c>
    </row>
    <row r="6076" spans="1:9" x14ac:dyDescent="0.3">
      <c r="A6076" t="s">
        <v>8096</v>
      </c>
      <c r="B6076" t="s">
        <v>1212</v>
      </c>
      <c r="C6076" t="s">
        <v>2001</v>
      </c>
      <c r="D6076">
        <v>5</v>
      </c>
      <c r="E6076" s="16">
        <v>1500.4</v>
      </c>
      <c r="F6076" s="1">
        <v>44642</v>
      </c>
      <c r="G6076" t="s">
        <v>2064</v>
      </c>
      <c r="H6076">
        <v>2</v>
      </c>
      <c r="I6076" s="12">
        <f>Table16[[#This Row],[price]]*Table16[[#This Row],[quantity]]</f>
        <v>7502</v>
      </c>
    </row>
    <row r="6077" spans="1:9" x14ac:dyDescent="0.3">
      <c r="A6077" t="s">
        <v>8093</v>
      </c>
      <c r="B6077" t="s">
        <v>1212</v>
      </c>
      <c r="C6077" t="s">
        <v>2057</v>
      </c>
      <c r="D6077">
        <v>3</v>
      </c>
      <c r="E6077" s="16">
        <v>35.19</v>
      </c>
      <c r="F6077" s="1">
        <v>44729</v>
      </c>
      <c r="G6077" t="s">
        <v>2018</v>
      </c>
      <c r="H6077">
        <v>4</v>
      </c>
      <c r="I6077" s="12">
        <f>Table16[[#This Row],[price]]*Table16[[#This Row],[quantity]]</f>
        <v>105.57</v>
      </c>
    </row>
    <row r="6078" spans="1:9" x14ac:dyDescent="0.3">
      <c r="A6078" t="s">
        <v>8095</v>
      </c>
      <c r="B6078" t="s">
        <v>1212</v>
      </c>
      <c r="C6078" t="s">
        <v>2011</v>
      </c>
      <c r="D6078">
        <v>2</v>
      </c>
      <c r="E6078" s="16">
        <v>81.319999999999993</v>
      </c>
      <c r="F6078" s="1">
        <v>44816</v>
      </c>
      <c r="G6078" t="s">
        <v>2020</v>
      </c>
      <c r="H6078">
        <v>4</v>
      </c>
      <c r="I6078" s="12">
        <f>Table16[[#This Row],[price]]*Table16[[#This Row],[quantity]]</f>
        <v>162.63999999999999</v>
      </c>
    </row>
    <row r="6079" spans="1:9" x14ac:dyDescent="0.3">
      <c r="A6079" t="s">
        <v>8089</v>
      </c>
      <c r="B6079" t="s">
        <v>1212</v>
      </c>
      <c r="C6079" t="s">
        <v>2011</v>
      </c>
      <c r="D6079">
        <v>1</v>
      </c>
      <c r="E6079" s="16">
        <v>40.659999999999997</v>
      </c>
      <c r="F6079" s="1">
        <v>44954</v>
      </c>
      <c r="G6079" t="s">
        <v>2064</v>
      </c>
      <c r="H6079">
        <v>5</v>
      </c>
      <c r="I6079" s="12">
        <f>Table16[[#This Row],[price]]*Table16[[#This Row],[quantity]]</f>
        <v>40.659999999999997</v>
      </c>
    </row>
    <row r="6080" spans="1:9" x14ac:dyDescent="0.3">
      <c r="A6080" t="s">
        <v>8091</v>
      </c>
      <c r="B6080" t="s">
        <v>1212</v>
      </c>
      <c r="C6080" t="s">
        <v>2011</v>
      </c>
      <c r="D6080">
        <v>1</v>
      </c>
      <c r="E6080" s="16">
        <v>40.659999999999997</v>
      </c>
      <c r="F6080" s="1">
        <v>44969</v>
      </c>
      <c r="G6080" t="s">
        <v>2058</v>
      </c>
      <c r="H6080">
        <v>4</v>
      </c>
      <c r="I6080" s="12">
        <f>Table16[[#This Row],[price]]*Table16[[#This Row],[quantity]]</f>
        <v>40.659999999999997</v>
      </c>
    </row>
    <row r="6081" spans="1:9" x14ac:dyDescent="0.3">
      <c r="A6081" t="s">
        <v>8099</v>
      </c>
      <c r="B6081" t="s">
        <v>1213</v>
      </c>
      <c r="C6081" t="s">
        <v>2024</v>
      </c>
      <c r="D6081">
        <v>4</v>
      </c>
      <c r="E6081" s="16">
        <v>143.36000000000001</v>
      </c>
      <c r="F6081" s="1">
        <v>44311</v>
      </c>
      <c r="G6081" t="s">
        <v>2027</v>
      </c>
      <c r="H6081">
        <v>5</v>
      </c>
      <c r="I6081" s="12">
        <f>Table16[[#This Row],[price]]*Table16[[#This Row],[quantity]]</f>
        <v>573.44000000000005</v>
      </c>
    </row>
    <row r="6082" spans="1:9" x14ac:dyDescent="0.3">
      <c r="A6082" t="s">
        <v>8097</v>
      </c>
      <c r="B6082" t="s">
        <v>1213</v>
      </c>
      <c r="C6082" t="s">
        <v>2011</v>
      </c>
      <c r="D6082">
        <v>2</v>
      </c>
      <c r="E6082" s="16">
        <v>81.319999999999993</v>
      </c>
      <c r="F6082" s="1">
        <v>44412</v>
      </c>
      <c r="G6082" t="s">
        <v>2020</v>
      </c>
      <c r="H6082">
        <v>4</v>
      </c>
      <c r="I6082" s="12">
        <f>Table16[[#This Row],[price]]*Table16[[#This Row],[quantity]]</f>
        <v>162.63999999999999</v>
      </c>
    </row>
    <row r="6083" spans="1:9" x14ac:dyDescent="0.3">
      <c r="A6083" t="s">
        <v>8098</v>
      </c>
      <c r="B6083" t="s">
        <v>1213</v>
      </c>
      <c r="C6083" t="s">
        <v>2008</v>
      </c>
      <c r="D6083">
        <v>5</v>
      </c>
      <c r="E6083" s="16">
        <v>26.15</v>
      </c>
      <c r="F6083" s="1">
        <v>44627</v>
      </c>
      <c r="G6083" t="s">
        <v>2020</v>
      </c>
      <c r="H6083">
        <v>1</v>
      </c>
      <c r="I6083" s="12">
        <f>Table16[[#This Row],[price]]*Table16[[#This Row],[quantity]]</f>
        <v>130.75</v>
      </c>
    </row>
    <row r="6084" spans="1:9" x14ac:dyDescent="0.3">
      <c r="A6084" t="s">
        <v>8100</v>
      </c>
      <c r="B6084" t="s">
        <v>1213</v>
      </c>
      <c r="C6084" t="s">
        <v>2015</v>
      </c>
      <c r="D6084">
        <v>4</v>
      </c>
      <c r="E6084" s="16">
        <v>2400.6799999999998</v>
      </c>
      <c r="F6084" s="1">
        <v>44918</v>
      </c>
      <c r="G6084" t="s">
        <v>2009</v>
      </c>
      <c r="H6084">
        <v>1</v>
      </c>
      <c r="I6084" s="12">
        <f>Table16[[#This Row],[price]]*Table16[[#This Row],[quantity]]</f>
        <v>9602.7199999999993</v>
      </c>
    </row>
    <row r="6085" spans="1:9" x14ac:dyDescent="0.3">
      <c r="A6085" t="s">
        <v>8101</v>
      </c>
      <c r="B6085" t="s">
        <v>1213</v>
      </c>
      <c r="C6085" t="s">
        <v>2015</v>
      </c>
      <c r="D6085">
        <v>4</v>
      </c>
      <c r="E6085" s="16">
        <v>2400.6799999999998</v>
      </c>
      <c r="F6085" s="1">
        <v>44933</v>
      </c>
      <c r="G6085" t="s">
        <v>2002</v>
      </c>
      <c r="H6085">
        <v>2</v>
      </c>
      <c r="I6085" s="12">
        <f>Table16[[#This Row],[price]]*Table16[[#This Row],[quantity]]</f>
        <v>9602.7199999999993</v>
      </c>
    </row>
    <row r="6086" spans="1:9" x14ac:dyDescent="0.3">
      <c r="A6086" t="s">
        <v>8111</v>
      </c>
      <c r="B6086" t="s">
        <v>1214</v>
      </c>
      <c r="C6086" t="s">
        <v>2008</v>
      </c>
      <c r="D6086">
        <v>5</v>
      </c>
      <c r="E6086" s="16">
        <v>26.15</v>
      </c>
      <c r="F6086" s="1">
        <v>44265</v>
      </c>
      <c r="G6086" t="s">
        <v>2064</v>
      </c>
      <c r="H6086">
        <v>3</v>
      </c>
      <c r="I6086" s="12">
        <f>Table16[[#This Row],[price]]*Table16[[#This Row],[quantity]]</f>
        <v>130.75</v>
      </c>
    </row>
    <row r="6087" spans="1:9" x14ac:dyDescent="0.3">
      <c r="A6087" t="s">
        <v>8108</v>
      </c>
      <c r="B6087" t="s">
        <v>1214</v>
      </c>
      <c r="C6087" t="s">
        <v>2015</v>
      </c>
      <c r="D6087">
        <v>4</v>
      </c>
      <c r="E6087" s="16">
        <v>2400.6799999999998</v>
      </c>
      <c r="F6087" s="1">
        <v>44390</v>
      </c>
      <c r="G6087" t="s">
        <v>2064</v>
      </c>
      <c r="H6087">
        <v>4</v>
      </c>
      <c r="I6087" s="12">
        <f>Table16[[#This Row],[price]]*Table16[[#This Row],[quantity]]</f>
        <v>9602.7199999999993</v>
      </c>
    </row>
    <row r="6088" spans="1:9" x14ac:dyDescent="0.3">
      <c r="A6088" t="s">
        <v>8109</v>
      </c>
      <c r="B6088" t="s">
        <v>1214</v>
      </c>
      <c r="C6088" t="s">
        <v>2024</v>
      </c>
      <c r="D6088">
        <v>2</v>
      </c>
      <c r="E6088" s="16">
        <v>71.680000000000007</v>
      </c>
      <c r="F6088" s="1">
        <v>44398</v>
      </c>
      <c r="G6088" t="s">
        <v>2012</v>
      </c>
      <c r="H6088">
        <v>5</v>
      </c>
      <c r="I6088" s="12">
        <f>Table16[[#This Row],[price]]*Table16[[#This Row],[quantity]]</f>
        <v>143.36000000000001</v>
      </c>
    </row>
    <row r="6089" spans="1:9" x14ac:dyDescent="0.3">
      <c r="A6089" t="s">
        <v>8102</v>
      </c>
      <c r="B6089" t="s">
        <v>1214</v>
      </c>
      <c r="C6089" t="s">
        <v>2001</v>
      </c>
      <c r="D6089">
        <v>4</v>
      </c>
      <c r="E6089" s="16">
        <v>1200.32</v>
      </c>
      <c r="F6089" s="1">
        <v>44415</v>
      </c>
      <c r="G6089" t="s">
        <v>2020</v>
      </c>
      <c r="H6089">
        <v>5</v>
      </c>
      <c r="I6089" s="12">
        <f>Table16[[#This Row],[price]]*Table16[[#This Row],[quantity]]</f>
        <v>4801.28</v>
      </c>
    </row>
    <row r="6090" spans="1:9" x14ac:dyDescent="0.3">
      <c r="A6090" t="s">
        <v>8106</v>
      </c>
      <c r="B6090" t="s">
        <v>1214</v>
      </c>
      <c r="C6090" t="s">
        <v>2008</v>
      </c>
      <c r="D6090">
        <v>4</v>
      </c>
      <c r="E6090" s="16">
        <v>20.92</v>
      </c>
      <c r="F6090" s="1">
        <v>44514</v>
      </c>
      <c r="G6090" t="s">
        <v>2012</v>
      </c>
      <c r="H6090">
        <v>4</v>
      </c>
      <c r="I6090" s="12">
        <f>Table16[[#This Row],[price]]*Table16[[#This Row],[quantity]]</f>
        <v>83.68</v>
      </c>
    </row>
    <row r="6091" spans="1:9" x14ac:dyDescent="0.3">
      <c r="A6091" t="s">
        <v>8110</v>
      </c>
      <c r="B6091" t="s">
        <v>1214</v>
      </c>
      <c r="C6091" t="s">
        <v>2001</v>
      </c>
      <c r="D6091">
        <v>3</v>
      </c>
      <c r="E6091" s="16">
        <v>900.24</v>
      </c>
      <c r="F6091" s="1">
        <v>44517</v>
      </c>
      <c r="G6091" t="s">
        <v>2004</v>
      </c>
      <c r="H6091">
        <v>1</v>
      </c>
      <c r="I6091" s="12">
        <f>Table16[[#This Row],[price]]*Table16[[#This Row],[quantity]]</f>
        <v>2700.7200000000003</v>
      </c>
    </row>
    <row r="6092" spans="1:9" x14ac:dyDescent="0.3">
      <c r="A6092" t="s">
        <v>8103</v>
      </c>
      <c r="B6092" t="s">
        <v>1214</v>
      </c>
      <c r="C6092" t="s">
        <v>2008</v>
      </c>
      <c r="D6092">
        <v>2</v>
      </c>
      <c r="E6092" s="16">
        <v>10.46</v>
      </c>
      <c r="F6092" s="1">
        <v>44531</v>
      </c>
      <c r="G6092" t="s">
        <v>2020</v>
      </c>
      <c r="H6092">
        <v>4</v>
      </c>
      <c r="I6092" s="12">
        <f>Table16[[#This Row],[price]]*Table16[[#This Row],[quantity]]</f>
        <v>20.92</v>
      </c>
    </row>
    <row r="6093" spans="1:9" x14ac:dyDescent="0.3">
      <c r="A6093" t="s">
        <v>8107</v>
      </c>
      <c r="B6093" t="s">
        <v>1214</v>
      </c>
      <c r="C6093" t="s">
        <v>2011</v>
      </c>
      <c r="D6093">
        <v>1</v>
      </c>
      <c r="E6093" s="16">
        <v>40.659999999999997</v>
      </c>
      <c r="F6093" s="1">
        <v>44639</v>
      </c>
      <c r="G6093" t="s">
        <v>2009</v>
      </c>
      <c r="H6093">
        <v>2</v>
      </c>
      <c r="I6093" s="12">
        <f>Table16[[#This Row],[price]]*Table16[[#This Row],[quantity]]</f>
        <v>40.659999999999997</v>
      </c>
    </row>
    <row r="6094" spans="1:9" x14ac:dyDescent="0.3">
      <c r="A6094" t="s">
        <v>8104</v>
      </c>
      <c r="B6094" t="s">
        <v>1214</v>
      </c>
      <c r="C6094" t="s">
        <v>2015</v>
      </c>
      <c r="D6094">
        <v>5</v>
      </c>
      <c r="E6094" s="16">
        <v>3000.85</v>
      </c>
      <c r="F6094" s="1">
        <v>44923</v>
      </c>
      <c r="G6094" t="s">
        <v>2018</v>
      </c>
      <c r="H6094">
        <v>5</v>
      </c>
      <c r="I6094" s="12">
        <f>Table16[[#This Row],[price]]*Table16[[#This Row],[quantity]]</f>
        <v>15004.25</v>
      </c>
    </row>
    <row r="6095" spans="1:9" x14ac:dyDescent="0.3">
      <c r="A6095" t="s">
        <v>8105</v>
      </c>
      <c r="B6095" t="s">
        <v>1214</v>
      </c>
      <c r="C6095" t="s">
        <v>2024</v>
      </c>
      <c r="D6095">
        <v>1</v>
      </c>
      <c r="E6095" s="16">
        <v>35.840000000000003</v>
      </c>
      <c r="F6095" s="1">
        <v>44968</v>
      </c>
      <c r="G6095" t="s">
        <v>2002</v>
      </c>
      <c r="H6095">
        <v>1</v>
      </c>
      <c r="I6095" s="12">
        <f>Table16[[#This Row],[price]]*Table16[[#This Row],[quantity]]</f>
        <v>35.840000000000003</v>
      </c>
    </row>
    <row r="6096" spans="1:9" x14ac:dyDescent="0.3">
      <c r="A6096" t="s">
        <v>8117</v>
      </c>
      <c r="B6096" t="s">
        <v>1215</v>
      </c>
      <c r="C6096" t="s">
        <v>2001</v>
      </c>
      <c r="D6096">
        <v>5</v>
      </c>
      <c r="E6096" s="16">
        <v>1500.4</v>
      </c>
      <c r="F6096" s="1">
        <v>44210</v>
      </c>
      <c r="G6096" t="s">
        <v>2020</v>
      </c>
      <c r="H6096">
        <v>2</v>
      </c>
      <c r="I6096" s="12">
        <f>Table16[[#This Row],[price]]*Table16[[#This Row],[quantity]]</f>
        <v>7502</v>
      </c>
    </row>
    <row r="6097" spans="1:9" x14ac:dyDescent="0.3">
      <c r="A6097" t="s">
        <v>8114</v>
      </c>
      <c r="B6097" t="s">
        <v>1215</v>
      </c>
      <c r="C6097" t="s">
        <v>2001</v>
      </c>
      <c r="D6097">
        <v>5</v>
      </c>
      <c r="E6097" s="16">
        <v>1500.4</v>
      </c>
      <c r="F6097" s="1">
        <v>44306</v>
      </c>
      <c r="G6097" t="s">
        <v>2004</v>
      </c>
      <c r="H6097">
        <v>4</v>
      </c>
      <c r="I6097" s="12">
        <f>Table16[[#This Row],[price]]*Table16[[#This Row],[quantity]]</f>
        <v>7502</v>
      </c>
    </row>
    <row r="6098" spans="1:9" x14ac:dyDescent="0.3">
      <c r="A6098" t="s">
        <v>8113</v>
      </c>
      <c r="B6098" t="s">
        <v>1215</v>
      </c>
      <c r="C6098" t="s">
        <v>2001</v>
      </c>
      <c r="D6098">
        <v>5</v>
      </c>
      <c r="E6098" s="16">
        <v>1500.4</v>
      </c>
      <c r="F6098" s="1">
        <v>44308</v>
      </c>
      <c r="G6098" t="s">
        <v>2012</v>
      </c>
      <c r="H6098">
        <v>5</v>
      </c>
      <c r="I6098" s="12">
        <f>Table16[[#This Row],[price]]*Table16[[#This Row],[quantity]]</f>
        <v>7502</v>
      </c>
    </row>
    <row r="6099" spans="1:9" x14ac:dyDescent="0.3">
      <c r="A6099" t="s">
        <v>8121</v>
      </c>
      <c r="B6099" t="s">
        <v>1215</v>
      </c>
      <c r="C6099" t="s">
        <v>2008</v>
      </c>
      <c r="D6099">
        <v>4</v>
      </c>
      <c r="E6099" s="16">
        <v>20.92</v>
      </c>
      <c r="F6099" s="1">
        <v>44619</v>
      </c>
      <c r="G6099" t="s">
        <v>2002</v>
      </c>
      <c r="H6099">
        <v>5</v>
      </c>
      <c r="I6099" s="12">
        <f>Table16[[#This Row],[price]]*Table16[[#This Row],[quantity]]</f>
        <v>83.68</v>
      </c>
    </row>
    <row r="6100" spans="1:9" x14ac:dyDescent="0.3">
      <c r="A6100" t="s">
        <v>8118</v>
      </c>
      <c r="B6100" t="s">
        <v>1215</v>
      </c>
      <c r="C6100" t="s">
        <v>2011</v>
      </c>
      <c r="D6100">
        <v>2</v>
      </c>
      <c r="E6100" s="16">
        <v>81.319999999999993</v>
      </c>
      <c r="F6100" s="1">
        <v>44623</v>
      </c>
      <c r="G6100" t="s">
        <v>2020</v>
      </c>
      <c r="H6100">
        <v>1</v>
      </c>
      <c r="I6100" s="12">
        <f>Table16[[#This Row],[price]]*Table16[[#This Row],[quantity]]</f>
        <v>162.63999999999999</v>
      </c>
    </row>
    <row r="6101" spans="1:9" x14ac:dyDescent="0.3">
      <c r="A6101" t="s">
        <v>8119</v>
      </c>
      <c r="B6101" t="s">
        <v>1215</v>
      </c>
      <c r="C6101" t="s">
        <v>2024</v>
      </c>
      <c r="D6101">
        <v>5</v>
      </c>
      <c r="E6101" s="16">
        <v>179.2</v>
      </c>
      <c r="F6101" s="1">
        <v>44769</v>
      </c>
      <c r="G6101" t="s">
        <v>2064</v>
      </c>
      <c r="H6101">
        <v>1</v>
      </c>
      <c r="I6101" s="12">
        <f>Table16[[#This Row],[price]]*Table16[[#This Row],[quantity]]</f>
        <v>896</v>
      </c>
    </row>
    <row r="6102" spans="1:9" x14ac:dyDescent="0.3">
      <c r="A6102" t="s">
        <v>8116</v>
      </c>
      <c r="B6102" t="s">
        <v>1215</v>
      </c>
      <c r="C6102" t="s">
        <v>2008</v>
      </c>
      <c r="D6102">
        <v>2</v>
      </c>
      <c r="E6102" s="16">
        <v>10.46</v>
      </c>
      <c r="F6102" s="1">
        <v>44832</v>
      </c>
      <c r="G6102" t="s">
        <v>2004</v>
      </c>
      <c r="H6102">
        <v>2</v>
      </c>
      <c r="I6102" s="12">
        <f>Table16[[#This Row],[price]]*Table16[[#This Row],[quantity]]</f>
        <v>20.92</v>
      </c>
    </row>
    <row r="6103" spans="1:9" x14ac:dyDescent="0.3">
      <c r="A6103" t="s">
        <v>8120</v>
      </c>
      <c r="B6103" t="s">
        <v>1215</v>
      </c>
      <c r="C6103" t="s">
        <v>2006</v>
      </c>
      <c r="D6103">
        <v>5</v>
      </c>
      <c r="E6103" s="16">
        <v>75.75</v>
      </c>
      <c r="F6103" s="1">
        <v>44891</v>
      </c>
      <c r="G6103" t="s">
        <v>2009</v>
      </c>
      <c r="H6103">
        <v>2</v>
      </c>
      <c r="I6103" s="12">
        <f>Table16[[#This Row],[price]]*Table16[[#This Row],[quantity]]</f>
        <v>378.75</v>
      </c>
    </row>
    <row r="6104" spans="1:9" x14ac:dyDescent="0.3">
      <c r="A6104" t="s">
        <v>8115</v>
      </c>
      <c r="B6104" t="s">
        <v>1215</v>
      </c>
      <c r="C6104" t="s">
        <v>2017</v>
      </c>
      <c r="D6104">
        <v>2</v>
      </c>
      <c r="E6104" s="16">
        <v>2100</v>
      </c>
      <c r="F6104" s="1">
        <v>44916</v>
      </c>
      <c r="G6104" t="s">
        <v>2002</v>
      </c>
      <c r="H6104">
        <v>5</v>
      </c>
      <c r="I6104" s="12">
        <f>Table16[[#This Row],[price]]*Table16[[#This Row],[quantity]]</f>
        <v>4200</v>
      </c>
    </row>
    <row r="6105" spans="1:9" x14ac:dyDescent="0.3">
      <c r="A6105" t="s">
        <v>8112</v>
      </c>
      <c r="B6105" t="s">
        <v>1215</v>
      </c>
      <c r="C6105" t="s">
        <v>2001</v>
      </c>
      <c r="D6105">
        <v>5</v>
      </c>
      <c r="E6105" s="16">
        <v>1500.4</v>
      </c>
      <c r="F6105" s="1">
        <v>44925</v>
      </c>
      <c r="G6105" t="s">
        <v>2012</v>
      </c>
      <c r="H6105">
        <v>5</v>
      </c>
      <c r="I6105" s="12">
        <f>Table16[[#This Row],[price]]*Table16[[#This Row],[quantity]]</f>
        <v>7502</v>
      </c>
    </row>
    <row r="6106" spans="1:9" x14ac:dyDescent="0.3">
      <c r="A6106" t="s">
        <v>8122</v>
      </c>
      <c r="B6106" t="s">
        <v>1216</v>
      </c>
      <c r="C6106" t="s">
        <v>2011</v>
      </c>
      <c r="D6106">
        <v>2</v>
      </c>
      <c r="E6106" s="16">
        <v>81.319999999999993</v>
      </c>
      <c r="F6106" s="1">
        <v>44224</v>
      </c>
      <c r="G6106" t="s">
        <v>2004</v>
      </c>
      <c r="H6106">
        <v>5</v>
      </c>
      <c r="I6106" s="12">
        <f>Table16[[#This Row],[price]]*Table16[[#This Row],[quantity]]</f>
        <v>162.63999999999999</v>
      </c>
    </row>
    <row r="6107" spans="1:9" x14ac:dyDescent="0.3">
      <c r="A6107" t="s">
        <v>8125</v>
      </c>
      <c r="B6107" t="s">
        <v>1216</v>
      </c>
      <c r="C6107" t="s">
        <v>2024</v>
      </c>
      <c r="D6107">
        <v>2</v>
      </c>
      <c r="E6107" s="16">
        <v>71.680000000000007</v>
      </c>
      <c r="F6107" s="1">
        <v>44357</v>
      </c>
      <c r="G6107" t="s">
        <v>2002</v>
      </c>
      <c r="H6107">
        <v>3</v>
      </c>
      <c r="I6107" s="12">
        <f>Table16[[#This Row],[price]]*Table16[[#This Row],[quantity]]</f>
        <v>143.36000000000001</v>
      </c>
    </row>
    <row r="6108" spans="1:9" x14ac:dyDescent="0.3">
      <c r="A6108" t="s">
        <v>8124</v>
      </c>
      <c r="B6108" t="s">
        <v>1216</v>
      </c>
      <c r="C6108" t="s">
        <v>2001</v>
      </c>
      <c r="D6108">
        <v>3</v>
      </c>
      <c r="E6108" s="16">
        <v>900.24</v>
      </c>
      <c r="F6108" s="1">
        <v>44360</v>
      </c>
      <c r="G6108" t="s">
        <v>2018</v>
      </c>
      <c r="H6108">
        <v>3</v>
      </c>
      <c r="I6108" s="12">
        <f>Table16[[#This Row],[price]]*Table16[[#This Row],[quantity]]</f>
        <v>2700.7200000000003</v>
      </c>
    </row>
    <row r="6109" spans="1:9" x14ac:dyDescent="0.3">
      <c r="A6109" t="s">
        <v>8126</v>
      </c>
      <c r="B6109" t="s">
        <v>1216</v>
      </c>
      <c r="C6109" t="s">
        <v>2008</v>
      </c>
      <c r="D6109">
        <v>1</v>
      </c>
      <c r="E6109" s="16">
        <v>5.23</v>
      </c>
      <c r="F6109" s="1">
        <v>44508</v>
      </c>
      <c r="G6109" t="s">
        <v>2018</v>
      </c>
      <c r="H6109">
        <v>4</v>
      </c>
      <c r="I6109" s="12">
        <f>Table16[[#This Row],[price]]*Table16[[#This Row],[quantity]]</f>
        <v>5.23</v>
      </c>
    </row>
    <row r="6110" spans="1:9" x14ac:dyDescent="0.3">
      <c r="A6110" t="s">
        <v>8123</v>
      </c>
      <c r="B6110" t="s">
        <v>1216</v>
      </c>
      <c r="C6110" t="s">
        <v>2024</v>
      </c>
      <c r="D6110">
        <v>5</v>
      </c>
      <c r="E6110" s="16">
        <v>179.2</v>
      </c>
      <c r="F6110" s="1">
        <v>44742</v>
      </c>
      <c r="G6110" t="s">
        <v>2002</v>
      </c>
      <c r="H6110">
        <v>4</v>
      </c>
      <c r="I6110" s="12">
        <f>Table16[[#This Row],[price]]*Table16[[#This Row],[quantity]]</f>
        <v>896</v>
      </c>
    </row>
    <row r="6111" spans="1:9" x14ac:dyDescent="0.3">
      <c r="A6111" t="s">
        <v>8129</v>
      </c>
      <c r="B6111" t="s">
        <v>1217</v>
      </c>
      <c r="C6111" t="s">
        <v>2001</v>
      </c>
      <c r="D6111">
        <v>5</v>
      </c>
      <c r="E6111" s="16">
        <v>1500.4</v>
      </c>
      <c r="F6111" s="1">
        <v>44407</v>
      </c>
      <c r="G6111" t="s">
        <v>2027</v>
      </c>
      <c r="H6111">
        <v>2</v>
      </c>
      <c r="I6111" s="12">
        <f>Table16[[#This Row],[price]]*Table16[[#This Row],[quantity]]</f>
        <v>7502</v>
      </c>
    </row>
    <row r="6112" spans="1:9" x14ac:dyDescent="0.3">
      <c r="A6112" t="s">
        <v>8131</v>
      </c>
      <c r="B6112" t="s">
        <v>1217</v>
      </c>
      <c r="C6112" t="s">
        <v>2024</v>
      </c>
      <c r="D6112">
        <v>1</v>
      </c>
      <c r="E6112" s="16">
        <v>35.840000000000003</v>
      </c>
      <c r="F6112" s="1">
        <v>44466</v>
      </c>
      <c r="G6112" t="s">
        <v>2002</v>
      </c>
      <c r="H6112">
        <v>1</v>
      </c>
      <c r="I6112" s="12">
        <f>Table16[[#This Row],[price]]*Table16[[#This Row],[quantity]]</f>
        <v>35.840000000000003</v>
      </c>
    </row>
    <row r="6113" spans="1:9" x14ac:dyDescent="0.3">
      <c r="A6113" t="s">
        <v>8130</v>
      </c>
      <c r="B6113" t="s">
        <v>1217</v>
      </c>
      <c r="C6113" t="s">
        <v>2001</v>
      </c>
      <c r="D6113">
        <v>4</v>
      </c>
      <c r="E6113" s="16">
        <v>1200.32</v>
      </c>
      <c r="F6113" s="1">
        <v>44714</v>
      </c>
      <c r="G6113" t="s">
        <v>2002</v>
      </c>
      <c r="H6113">
        <v>2</v>
      </c>
      <c r="I6113" s="12">
        <f>Table16[[#This Row],[price]]*Table16[[#This Row],[quantity]]</f>
        <v>4801.28</v>
      </c>
    </row>
    <row r="6114" spans="1:9" x14ac:dyDescent="0.3">
      <c r="A6114" t="s">
        <v>8128</v>
      </c>
      <c r="B6114" t="s">
        <v>1217</v>
      </c>
      <c r="C6114" t="s">
        <v>2001</v>
      </c>
      <c r="D6114">
        <v>2</v>
      </c>
      <c r="E6114" s="16">
        <v>600.16</v>
      </c>
      <c r="F6114" s="1">
        <v>44719</v>
      </c>
      <c r="G6114" t="s">
        <v>2002</v>
      </c>
      <c r="H6114">
        <v>5</v>
      </c>
      <c r="I6114" s="12">
        <f>Table16[[#This Row],[price]]*Table16[[#This Row],[quantity]]</f>
        <v>1200.32</v>
      </c>
    </row>
    <row r="6115" spans="1:9" x14ac:dyDescent="0.3">
      <c r="A6115" t="s">
        <v>8127</v>
      </c>
      <c r="B6115" t="s">
        <v>1217</v>
      </c>
      <c r="C6115" t="s">
        <v>2001</v>
      </c>
      <c r="D6115">
        <v>3</v>
      </c>
      <c r="E6115" s="16">
        <v>900.24</v>
      </c>
      <c r="F6115" s="1">
        <v>44768</v>
      </c>
      <c r="G6115" t="s">
        <v>2004</v>
      </c>
      <c r="H6115">
        <v>1</v>
      </c>
      <c r="I6115" s="12">
        <f>Table16[[#This Row],[price]]*Table16[[#This Row],[quantity]]</f>
        <v>2700.7200000000003</v>
      </c>
    </row>
    <row r="6116" spans="1:9" x14ac:dyDescent="0.3">
      <c r="A6116" t="s">
        <v>8136</v>
      </c>
      <c r="B6116" t="s">
        <v>1218</v>
      </c>
      <c r="C6116" t="s">
        <v>2001</v>
      </c>
      <c r="D6116">
        <v>5</v>
      </c>
      <c r="E6116" s="16">
        <v>1500.4</v>
      </c>
      <c r="F6116" s="1">
        <v>44202</v>
      </c>
      <c r="G6116" t="s">
        <v>2009</v>
      </c>
      <c r="H6116">
        <v>3</v>
      </c>
      <c r="I6116" s="12">
        <f>Table16[[#This Row],[price]]*Table16[[#This Row],[quantity]]</f>
        <v>7502</v>
      </c>
    </row>
    <row r="6117" spans="1:9" x14ac:dyDescent="0.3">
      <c r="A6117" t="s">
        <v>8134</v>
      </c>
      <c r="B6117" t="s">
        <v>1218</v>
      </c>
      <c r="C6117" t="s">
        <v>2011</v>
      </c>
      <c r="D6117">
        <v>3</v>
      </c>
      <c r="E6117" s="16">
        <v>121.98</v>
      </c>
      <c r="F6117" s="1">
        <v>44209</v>
      </c>
      <c r="G6117" t="s">
        <v>2020</v>
      </c>
      <c r="H6117">
        <v>5</v>
      </c>
      <c r="I6117" s="12">
        <f>Table16[[#This Row],[price]]*Table16[[#This Row],[quantity]]</f>
        <v>365.94</v>
      </c>
    </row>
    <row r="6118" spans="1:9" x14ac:dyDescent="0.3">
      <c r="A6118" t="s">
        <v>8137</v>
      </c>
      <c r="B6118" t="s">
        <v>1218</v>
      </c>
      <c r="C6118" t="s">
        <v>2001</v>
      </c>
      <c r="D6118">
        <v>3</v>
      </c>
      <c r="E6118" s="16">
        <v>900.24</v>
      </c>
      <c r="F6118" s="1">
        <v>44267</v>
      </c>
      <c r="G6118" t="s">
        <v>2012</v>
      </c>
      <c r="H6118">
        <v>3</v>
      </c>
      <c r="I6118" s="12">
        <f>Table16[[#This Row],[price]]*Table16[[#This Row],[quantity]]</f>
        <v>2700.7200000000003</v>
      </c>
    </row>
    <row r="6119" spans="1:9" x14ac:dyDescent="0.3">
      <c r="A6119" t="s">
        <v>8140</v>
      </c>
      <c r="B6119" t="s">
        <v>1218</v>
      </c>
      <c r="C6119" t="s">
        <v>2001</v>
      </c>
      <c r="D6119">
        <v>1</v>
      </c>
      <c r="E6119" s="16">
        <v>300.08</v>
      </c>
      <c r="F6119" s="1">
        <v>44321</v>
      </c>
      <c r="G6119" t="s">
        <v>2009</v>
      </c>
      <c r="H6119">
        <v>3</v>
      </c>
      <c r="I6119" s="12">
        <f>Table16[[#This Row],[price]]*Table16[[#This Row],[quantity]]</f>
        <v>300.08</v>
      </c>
    </row>
    <row r="6120" spans="1:9" x14ac:dyDescent="0.3">
      <c r="A6120" t="s">
        <v>8139</v>
      </c>
      <c r="B6120" t="s">
        <v>1218</v>
      </c>
      <c r="C6120" t="s">
        <v>2011</v>
      </c>
      <c r="D6120">
        <v>1</v>
      </c>
      <c r="E6120" s="16">
        <v>40.659999999999997</v>
      </c>
      <c r="F6120" s="1">
        <v>44416</v>
      </c>
      <c r="G6120" t="s">
        <v>2004</v>
      </c>
      <c r="H6120">
        <v>5</v>
      </c>
      <c r="I6120" s="12">
        <f>Table16[[#This Row],[price]]*Table16[[#This Row],[quantity]]</f>
        <v>40.659999999999997</v>
      </c>
    </row>
    <row r="6121" spans="1:9" x14ac:dyDescent="0.3">
      <c r="A6121" t="s">
        <v>8133</v>
      </c>
      <c r="B6121" t="s">
        <v>1218</v>
      </c>
      <c r="C6121" t="s">
        <v>2015</v>
      </c>
      <c r="D6121">
        <v>2</v>
      </c>
      <c r="E6121" s="16">
        <v>1200.3399999999999</v>
      </c>
      <c r="F6121" s="1">
        <v>44726</v>
      </c>
      <c r="G6121" t="s">
        <v>2002</v>
      </c>
      <c r="H6121">
        <v>5</v>
      </c>
      <c r="I6121" s="12">
        <f>Table16[[#This Row],[price]]*Table16[[#This Row],[quantity]]</f>
        <v>2400.6799999999998</v>
      </c>
    </row>
    <row r="6122" spans="1:9" x14ac:dyDescent="0.3">
      <c r="A6122" t="s">
        <v>8138</v>
      </c>
      <c r="B6122" t="s">
        <v>1218</v>
      </c>
      <c r="C6122" t="s">
        <v>2015</v>
      </c>
      <c r="D6122">
        <v>4</v>
      </c>
      <c r="E6122" s="16">
        <v>2400.6799999999998</v>
      </c>
      <c r="F6122" s="1">
        <v>44806</v>
      </c>
      <c r="G6122" t="s">
        <v>2020</v>
      </c>
      <c r="H6122">
        <v>4</v>
      </c>
      <c r="I6122" s="12">
        <f>Table16[[#This Row],[price]]*Table16[[#This Row],[quantity]]</f>
        <v>9602.7199999999993</v>
      </c>
    </row>
    <row r="6123" spans="1:9" x14ac:dyDescent="0.3">
      <c r="A6123" t="s">
        <v>8141</v>
      </c>
      <c r="B6123" t="s">
        <v>1218</v>
      </c>
      <c r="C6123" t="s">
        <v>2008</v>
      </c>
      <c r="D6123">
        <v>4</v>
      </c>
      <c r="E6123" s="16">
        <v>20.92</v>
      </c>
      <c r="F6123" s="1">
        <v>44815</v>
      </c>
      <c r="G6123" t="s">
        <v>2020</v>
      </c>
      <c r="H6123">
        <v>4</v>
      </c>
      <c r="I6123" s="12">
        <f>Table16[[#This Row],[price]]*Table16[[#This Row],[quantity]]</f>
        <v>83.68</v>
      </c>
    </row>
    <row r="6124" spans="1:9" x14ac:dyDescent="0.3">
      <c r="A6124" t="s">
        <v>8135</v>
      </c>
      <c r="B6124" t="s">
        <v>1218</v>
      </c>
      <c r="C6124" t="s">
        <v>2024</v>
      </c>
      <c r="D6124">
        <v>1</v>
      </c>
      <c r="E6124" s="16">
        <v>35.840000000000003</v>
      </c>
      <c r="F6124" s="1">
        <v>44893</v>
      </c>
      <c r="G6124" t="s">
        <v>2012</v>
      </c>
      <c r="H6124">
        <v>1</v>
      </c>
      <c r="I6124" s="12">
        <f>Table16[[#This Row],[price]]*Table16[[#This Row],[quantity]]</f>
        <v>35.840000000000003</v>
      </c>
    </row>
    <row r="6125" spans="1:9" x14ac:dyDescent="0.3">
      <c r="A6125" t="s">
        <v>8132</v>
      </c>
      <c r="B6125" t="s">
        <v>1218</v>
      </c>
      <c r="C6125" t="s">
        <v>2024</v>
      </c>
      <c r="D6125">
        <v>1</v>
      </c>
      <c r="E6125" s="16">
        <v>35.840000000000003</v>
      </c>
      <c r="F6125" s="1">
        <v>44949</v>
      </c>
      <c r="G6125" t="s">
        <v>2064</v>
      </c>
      <c r="H6125">
        <v>3</v>
      </c>
      <c r="I6125" s="12">
        <f>Table16[[#This Row],[price]]*Table16[[#This Row],[quantity]]</f>
        <v>35.840000000000003</v>
      </c>
    </row>
    <row r="6126" spans="1:9" x14ac:dyDescent="0.3">
      <c r="A6126" t="s">
        <v>8142</v>
      </c>
      <c r="B6126" t="s">
        <v>1219</v>
      </c>
      <c r="C6126" t="s">
        <v>2008</v>
      </c>
      <c r="D6126">
        <v>3</v>
      </c>
      <c r="E6126" s="16">
        <v>15.69</v>
      </c>
      <c r="F6126" s="1">
        <v>44278</v>
      </c>
      <c r="G6126" t="s">
        <v>2020</v>
      </c>
      <c r="H6126">
        <v>2</v>
      </c>
      <c r="I6126" s="12">
        <f>Table16[[#This Row],[price]]*Table16[[#This Row],[quantity]]</f>
        <v>47.07</v>
      </c>
    </row>
    <row r="6127" spans="1:9" x14ac:dyDescent="0.3">
      <c r="A6127" t="s">
        <v>8143</v>
      </c>
      <c r="B6127" t="s">
        <v>1219</v>
      </c>
      <c r="C6127" t="s">
        <v>2011</v>
      </c>
      <c r="D6127">
        <v>2</v>
      </c>
      <c r="E6127" s="16">
        <v>81.319999999999993</v>
      </c>
      <c r="F6127" s="1">
        <v>44409</v>
      </c>
      <c r="G6127" t="s">
        <v>2027</v>
      </c>
      <c r="H6127">
        <v>5</v>
      </c>
      <c r="I6127" s="12">
        <f>Table16[[#This Row],[price]]*Table16[[#This Row],[quantity]]</f>
        <v>162.63999999999999</v>
      </c>
    </row>
    <row r="6128" spans="1:9" x14ac:dyDescent="0.3">
      <c r="A6128" t="s">
        <v>8145</v>
      </c>
      <c r="B6128" t="s">
        <v>1219</v>
      </c>
      <c r="C6128" t="s">
        <v>2015</v>
      </c>
      <c r="D6128">
        <v>3</v>
      </c>
      <c r="E6128" s="16">
        <v>1800.51</v>
      </c>
      <c r="F6128" s="1">
        <v>44857</v>
      </c>
      <c r="G6128" t="s">
        <v>2018</v>
      </c>
      <c r="H6128">
        <v>5</v>
      </c>
      <c r="I6128" s="12">
        <f>Table16[[#This Row],[price]]*Table16[[#This Row],[quantity]]</f>
        <v>5401.53</v>
      </c>
    </row>
    <row r="6129" spans="1:9" x14ac:dyDescent="0.3">
      <c r="A6129" t="s">
        <v>8144</v>
      </c>
      <c r="B6129" t="s">
        <v>1219</v>
      </c>
      <c r="C6129" t="s">
        <v>2011</v>
      </c>
      <c r="D6129">
        <v>3</v>
      </c>
      <c r="E6129" s="16">
        <v>121.98</v>
      </c>
      <c r="F6129" s="1">
        <v>44951</v>
      </c>
      <c r="G6129" t="s">
        <v>2004</v>
      </c>
      <c r="H6129">
        <v>2</v>
      </c>
      <c r="I6129" s="12">
        <f>Table16[[#This Row],[price]]*Table16[[#This Row],[quantity]]</f>
        <v>365.94</v>
      </c>
    </row>
    <row r="6130" spans="1:9" x14ac:dyDescent="0.3">
      <c r="A6130" t="s">
        <v>8148</v>
      </c>
      <c r="B6130" t="s">
        <v>1220</v>
      </c>
      <c r="C6130" t="s">
        <v>2001</v>
      </c>
      <c r="D6130">
        <v>2</v>
      </c>
      <c r="E6130" s="16">
        <v>600.16</v>
      </c>
      <c r="F6130" s="1">
        <v>44515</v>
      </c>
      <c r="G6130" t="s">
        <v>2027</v>
      </c>
      <c r="H6130">
        <v>3</v>
      </c>
      <c r="I6130" s="12">
        <f>Table16[[#This Row],[price]]*Table16[[#This Row],[quantity]]</f>
        <v>1200.32</v>
      </c>
    </row>
    <row r="6131" spans="1:9" x14ac:dyDescent="0.3">
      <c r="A6131" t="s">
        <v>8149</v>
      </c>
      <c r="B6131" t="s">
        <v>1220</v>
      </c>
      <c r="C6131" t="s">
        <v>2001</v>
      </c>
      <c r="D6131">
        <v>5</v>
      </c>
      <c r="E6131" s="16">
        <v>1500.4</v>
      </c>
      <c r="F6131" s="1">
        <v>44692</v>
      </c>
      <c r="G6131" t="s">
        <v>2027</v>
      </c>
      <c r="H6131">
        <v>1</v>
      </c>
      <c r="I6131" s="12">
        <f>Table16[[#This Row],[price]]*Table16[[#This Row],[quantity]]</f>
        <v>7502</v>
      </c>
    </row>
    <row r="6132" spans="1:9" x14ac:dyDescent="0.3">
      <c r="A6132" t="s">
        <v>8146</v>
      </c>
      <c r="B6132" t="s">
        <v>1220</v>
      </c>
      <c r="C6132" t="s">
        <v>2008</v>
      </c>
      <c r="D6132">
        <v>4</v>
      </c>
      <c r="E6132" s="16">
        <v>20.92</v>
      </c>
      <c r="F6132" s="1">
        <v>44711</v>
      </c>
      <c r="G6132" t="s">
        <v>2064</v>
      </c>
      <c r="H6132">
        <v>2</v>
      </c>
      <c r="I6132" s="12">
        <f>Table16[[#This Row],[price]]*Table16[[#This Row],[quantity]]</f>
        <v>83.68</v>
      </c>
    </row>
    <row r="6133" spans="1:9" x14ac:dyDescent="0.3">
      <c r="A6133" t="s">
        <v>8150</v>
      </c>
      <c r="B6133" t="s">
        <v>1220</v>
      </c>
      <c r="C6133" t="s">
        <v>2015</v>
      </c>
      <c r="D6133">
        <v>1</v>
      </c>
      <c r="E6133" s="16">
        <v>600.16999999999996</v>
      </c>
      <c r="F6133" s="1">
        <v>44765</v>
      </c>
      <c r="G6133" t="s">
        <v>2041</v>
      </c>
      <c r="H6133">
        <v>4</v>
      </c>
      <c r="I6133" s="12">
        <f>Table16[[#This Row],[price]]*Table16[[#This Row],[quantity]]</f>
        <v>600.16999999999996</v>
      </c>
    </row>
    <row r="6134" spans="1:9" x14ac:dyDescent="0.3">
      <c r="A6134" t="s">
        <v>8147</v>
      </c>
      <c r="B6134" t="s">
        <v>1220</v>
      </c>
      <c r="C6134" t="s">
        <v>2001</v>
      </c>
      <c r="D6134">
        <v>2</v>
      </c>
      <c r="E6134" s="16">
        <v>600.16</v>
      </c>
      <c r="F6134" s="1">
        <v>44800</v>
      </c>
      <c r="G6134" t="s">
        <v>2064</v>
      </c>
      <c r="H6134">
        <v>2</v>
      </c>
      <c r="I6134" s="12">
        <f>Table16[[#This Row],[price]]*Table16[[#This Row],[quantity]]</f>
        <v>1200.32</v>
      </c>
    </row>
    <row r="6135" spans="1:9" x14ac:dyDescent="0.3">
      <c r="A6135" t="s">
        <v>8154</v>
      </c>
      <c r="B6135" t="s">
        <v>1221</v>
      </c>
      <c r="C6135" t="s">
        <v>2015</v>
      </c>
      <c r="D6135">
        <v>4</v>
      </c>
      <c r="E6135" s="16">
        <v>2400.6799999999998</v>
      </c>
      <c r="F6135" s="1">
        <v>44489</v>
      </c>
      <c r="G6135" t="s">
        <v>2058</v>
      </c>
      <c r="H6135">
        <v>1</v>
      </c>
      <c r="I6135" s="12">
        <f>Table16[[#This Row],[price]]*Table16[[#This Row],[quantity]]</f>
        <v>9602.7199999999993</v>
      </c>
    </row>
    <row r="6136" spans="1:9" x14ac:dyDescent="0.3">
      <c r="A6136" t="s">
        <v>8151</v>
      </c>
      <c r="B6136" t="s">
        <v>1221</v>
      </c>
      <c r="C6136" t="s">
        <v>2001</v>
      </c>
      <c r="D6136">
        <v>5</v>
      </c>
      <c r="E6136" s="16">
        <v>1500.4</v>
      </c>
      <c r="F6136" s="1">
        <v>44618</v>
      </c>
      <c r="G6136" t="s">
        <v>2064</v>
      </c>
      <c r="H6136">
        <v>2</v>
      </c>
      <c r="I6136" s="12">
        <f>Table16[[#This Row],[price]]*Table16[[#This Row],[quantity]]</f>
        <v>7502</v>
      </c>
    </row>
    <row r="6137" spans="1:9" x14ac:dyDescent="0.3">
      <c r="A6137" t="s">
        <v>8152</v>
      </c>
      <c r="B6137" t="s">
        <v>1221</v>
      </c>
      <c r="C6137" t="s">
        <v>2024</v>
      </c>
      <c r="D6137">
        <v>1</v>
      </c>
      <c r="E6137" s="16">
        <v>35.840000000000003</v>
      </c>
      <c r="F6137" s="1">
        <v>44761</v>
      </c>
      <c r="G6137" t="s">
        <v>2002</v>
      </c>
      <c r="H6137">
        <v>1</v>
      </c>
      <c r="I6137" s="12">
        <f>Table16[[#This Row],[price]]*Table16[[#This Row],[quantity]]</f>
        <v>35.840000000000003</v>
      </c>
    </row>
    <row r="6138" spans="1:9" x14ac:dyDescent="0.3">
      <c r="A6138" t="s">
        <v>8153</v>
      </c>
      <c r="B6138" t="s">
        <v>1221</v>
      </c>
      <c r="C6138" t="s">
        <v>2001</v>
      </c>
      <c r="D6138">
        <v>1</v>
      </c>
      <c r="E6138" s="16">
        <v>300.08</v>
      </c>
      <c r="F6138" s="1">
        <v>44991</v>
      </c>
      <c r="G6138" t="s">
        <v>2004</v>
      </c>
      <c r="H6138">
        <v>4</v>
      </c>
      <c r="I6138" s="12">
        <f>Table16[[#This Row],[price]]*Table16[[#This Row],[quantity]]</f>
        <v>300.08</v>
      </c>
    </row>
    <row r="6139" spans="1:9" x14ac:dyDescent="0.3">
      <c r="A6139" t="s">
        <v>8157</v>
      </c>
      <c r="B6139" t="s">
        <v>1222</v>
      </c>
      <c r="C6139" t="s">
        <v>2024</v>
      </c>
      <c r="D6139">
        <v>5</v>
      </c>
      <c r="E6139" s="16">
        <v>179.2</v>
      </c>
      <c r="F6139" s="1">
        <v>44418</v>
      </c>
      <c r="G6139" t="s">
        <v>2027</v>
      </c>
      <c r="H6139">
        <v>5</v>
      </c>
      <c r="I6139" s="12">
        <f>Table16[[#This Row],[price]]*Table16[[#This Row],[quantity]]</f>
        <v>896</v>
      </c>
    </row>
    <row r="6140" spans="1:9" x14ac:dyDescent="0.3">
      <c r="A6140" t="s">
        <v>8155</v>
      </c>
      <c r="B6140" t="s">
        <v>1222</v>
      </c>
      <c r="C6140" t="s">
        <v>2008</v>
      </c>
      <c r="D6140">
        <v>2</v>
      </c>
      <c r="E6140" s="16">
        <v>10.46</v>
      </c>
      <c r="F6140" s="1">
        <v>44498</v>
      </c>
      <c r="G6140" t="s">
        <v>2064</v>
      </c>
      <c r="H6140">
        <v>5</v>
      </c>
      <c r="I6140" s="12">
        <f>Table16[[#This Row],[price]]*Table16[[#This Row],[quantity]]</f>
        <v>20.92</v>
      </c>
    </row>
    <row r="6141" spans="1:9" x14ac:dyDescent="0.3">
      <c r="A6141" t="s">
        <v>8159</v>
      </c>
      <c r="B6141" t="s">
        <v>1222</v>
      </c>
      <c r="C6141" t="s">
        <v>2008</v>
      </c>
      <c r="D6141">
        <v>1</v>
      </c>
      <c r="E6141" s="16">
        <v>5.23</v>
      </c>
      <c r="F6141" s="1">
        <v>44530</v>
      </c>
      <c r="G6141" t="s">
        <v>2064</v>
      </c>
      <c r="H6141">
        <v>1</v>
      </c>
      <c r="I6141" s="12">
        <f>Table16[[#This Row],[price]]*Table16[[#This Row],[quantity]]</f>
        <v>5.23</v>
      </c>
    </row>
    <row r="6142" spans="1:9" x14ac:dyDescent="0.3">
      <c r="A6142" t="s">
        <v>8161</v>
      </c>
      <c r="B6142" t="s">
        <v>1222</v>
      </c>
      <c r="C6142" t="s">
        <v>2001</v>
      </c>
      <c r="D6142">
        <v>1</v>
      </c>
      <c r="E6142" s="16">
        <v>300.08</v>
      </c>
      <c r="F6142" s="1">
        <v>44534</v>
      </c>
      <c r="G6142" t="s">
        <v>2002</v>
      </c>
      <c r="H6142">
        <v>5</v>
      </c>
      <c r="I6142" s="12">
        <f>Table16[[#This Row],[price]]*Table16[[#This Row],[quantity]]</f>
        <v>300.08</v>
      </c>
    </row>
    <row r="6143" spans="1:9" x14ac:dyDescent="0.3">
      <c r="A6143" t="s">
        <v>8160</v>
      </c>
      <c r="B6143" t="s">
        <v>1222</v>
      </c>
      <c r="C6143" t="s">
        <v>2001</v>
      </c>
      <c r="D6143">
        <v>1</v>
      </c>
      <c r="E6143" s="16">
        <v>300.08</v>
      </c>
      <c r="F6143" s="1">
        <v>44614</v>
      </c>
      <c r="G6143" t="s">
        <v>2004</v>
      </c>
      <c r="H6143">
        <v>1</v>
      </c>
      <c r="I6143" s="12">
        <f>Table16[[#This Row],[price]]*Table16[[#This Row],[quantity]]</f>
        <v>300.08</v>
      </c>
    </row>
    <row r="6144" spans="1:9" x14ac:dyDescent="0.3">
      <c r="A6144" t="s">
        <v>8156</v>
      </c>
      <c r="B6144" t="s">
        <v>1222</v>
      </c>
      <c r="C6144" t="s">
        <v>2015</v>
      </c>
      <c r="D6144">
        <v>4</v>
      </c>
      <c r="E6144" s="16">
        <v>2400.6799999999998</v>
      </c>
      <c r="F6144" s="1">
        <v>44884</v>
      </c>
      <c r="G6144" t="s">
        <v>2020</v>
      </c>
      <c r="H6144">
        <v>4</v>
      </c>
      <c r="I6144" s="12">
        <f>Table16[[#This Row],[price]]*Table16[[#This Row],[quantity]]</f>
        <v>9602.7199999999993</v>
      </c>
    </row>
    <row r="6145" spans="1:9" x14ac:dyDescent="0.3">
      <c r="A6145" t="s">
        <v>8158</v>
      </c>
      <c r="B6145" t="s">
        <v>1222</v>
      </c>
      <c r="C6145" t="s">
        <v>2057</v>
      </c>
      <c r="D6145">
        <v>4</v>
      </c>
      <c r="E6145" s="16">
        <v>46.92</v>
      </c>
      <c r="F6145" s="1">
        <v>44886</v>
      </c>
      <c r="G6145" t="s">
        <v>2004</v>
      </c>
      <c r="H6145">
        <v>1</v>
      </c>
      <c r="I6145" s="12">
        <f>Table16[[#This Row],[price]]*Table16[[#This Row],[quantity]]</f>
        <v>187.68</v>
      </c>
    </row>
    <row r="6146" spans="1:9" x14ac:dyDescent="0.3">
      <c r="A6146" t="s">
        <v>8170</v>
      </c>
      <c r="B6146" t="s">
        <v>1223</v>
      </c>
      <c r="C6146" t="s">
        <v>2001</v>
      </c>
      <c r="D6146">
        <v>3</v>
      </c>
      <c r="E6146" s="16">
        <v>900.24</v>
      </c>
      <c r="F6146" s="1">
        <v>44207</v>
      </c>
      <c r="G6146" t="s">
        <v>2002</v>
      </c>
      <c r="H6146">
        <v>5</v>
      </c>
      <c r="I6146" s="12">
        <f>Table16[[#This Row],[price]]*Table16[[#This Row],[quantity]]</f>
        <v>2700.7200000000003</v>
      </c>
    </row>
    <row r="6147" spans="1:9" x14ac:dyDescent="0.3">
      <c r="A6147" t="s">
        <v>8164</v>
      </c>
      <c r="B6147" t="s">
        <v>1223</v>
      </c>
      <c r="C6147" t="s">
        <v>2011</v>
      </c>
      <c r="D6147">
        <v>5</v>
      </c>
      <c r="E6147" s="16">
        <v>203.3</v>
      </c>
      <c r="F6147" s="1">
        <v>44285</v>
      </c>
      <c r="G6147" t="s">
        <v>2027</v>
      </c>
      <c r="H6147">
        <v>4</v>
      </c>
      <c r="I6147" s="12">
        <f>Table16[[#This Row],[price]]*Table16[[#This Row],[quantity]]</f>
        <v>1016.5</v>
      </c>
    </row>
    <row r="6148" spans="1:9" x14ac:dyDescent="0.3">
      <c r="A6148" t="s">
        <v>8166</v>
      </c>
      <c r="B6148" t="s">
        <v>1223</v>
      </c>
      <c r="C6148" t="s">
        <v>2011</v>
      </c>
      <c r="D6148">
        <v>3</v>
      </c>
      <c r="E6148" s="16">
        <v>121.98</v>
      </c>
      <c r="F6148" s="1">
        <v>44331</v>
      </c>
      <c r="G6148" t="s">
        <v>2027</v>
      </c>
      <c r="H6148">
        <v>4</v>
      </c>
      <c r="I6148" s="12">
        <f>Table16[[#This Row],[price]]*Table16[[#This Row],[quantity]]</f>
        <v>365.94</v>
      </c>
    </row>
    <row r="6149" spans="1:9" x14ac:dyDescent="0.3">
      <c r="A6149" t="s">
        <v>8168</v>
      </c>
      <c r="B6149" t="s">
        <v>1223</v>
      </c>
      <c r="C6149" t="s">
        <v>2011</v>
      </c>
      <c r="D6149">
        <v>4</v>
      </c>
      <c r="E6149" s="16">
        <v>162.63999999999999</v>
      </c>
      <c r="F6149" s="1">
        <v>44646</v>
      </c>
      <c r="G6149" t="s">
        <v>2002</v>
      </c>
      <c r="H6149">
        <v>2</v>
      </c>
      <c r="I6149" s="12">
        <f>Table16[[#This Row],[price]]*Table16[[#This Row],[quantity]]</f>
        <v>650.55999999999995</v>
      </c>
    </row>
    <row r="6150" spans="1:9" x14ac:dyDescent="0.3">
      <c r="A6150" t="s">
        <v>8165</v>
      </c>
      <c r="B6150" t="s">
        <v>1223</v>
      </c>
      <c r="C6150" t="s">
        <v>2008</v>
      </c>
      <c r="D6150">
        <v>1</v>
      </c>
      <c r="E6150" s="16">
        <v>5.23</v>
      </c>
      <c r="F6150" s="1">
        <v>44679</v>
      </c>
      <c r="G6150" t="s">
        <v>2004</v>
      </c>
      <c r="H6150">
        <v>2</v>
      </c>
      <c r="I6150" s="12">
        <f>Table16[[#This Row],[price]]*Table16[[#This Row],[quantity]]</f>
        <v>5.23</v>
      </c>
    </row>
    <row r="6151" spans="1:9" x14ac:dyDescent="0.3">
      <c r="A6151" t="s">
        <v>8169</v>
      </c>
      <c r="B6151" t="s">
        <v>1223</v>
      </c>
      <c r="C6151" t="s">
        <v>2006</v>
      </c>
      <c r="D6151">
        <v>1</v>
      </c>
      <c r="E6151" s="16">
        <v>15.15</v>
      </c>
      <c r="F6151" s="1">
        <v>44772</v>
      </c>
      <c r="G6151" t="s">
        <v>2020</v>
      </c>
      <c r="H6151">
        <v>3</v>
      </c>
      <c r="I6151" s="12">
        <f>Table16[[#This Row],[price]]*Table16[[#This Row],[quantity]]</f>
        <v>15.15</v>
      </c>
    </row>
    <row r="6152" spans="1:9" x14ac:dyDescent="0.3">
      <c r="A6152" t="s">
        <v>8163</v>
      </c>
      <c r="B6152" t="s">
        <v>1223</v>
      </c>
      <c r="C6152" t="s">
        <v>2015</v>
      </c>
      <c r="D6152">
        <v>2</v>
      </c>
      <c r="E6152" s="16">
        <v>1200.3399999999999</v>
      </c>
      <c r="F6152" s="1">
        <v>44902</v>
      </c>
      <c r="G6152" t="s">
        <v>2058</v>
      </c>
      <c r="H6152">
        <v>4</v>
      </c>
      <c r="I6152" s="12">
        <f>Table16[[#This Row],[price]]*Table16[[#This Row],[quantity]]</f>
        <v>2400.6799999999998</v>
      </c>
    </row>
    <row r="6153" spans="1:9" x14ac:dyDescent="0.3">
      <c r="A6153" t="s">
        <v>8162</v>
      </c>
      <c r="B6153" t="s">
        <v>1223</v>
      </c>
      <c r="C6153" t="s">
        <v>2017</v>
      </c>
      <c r="D6153">
        <v>5</v>
      </c>
      <c r="E6153" s="16">
        <v>5250</v>
      </c>
      <c r="F6153" s="1">
        <v>44914</v>
      </c>
      <c r="G6153" t="s">
        <v>2004</v>
      </c>
      <c r="H6153">
        <v>4</v>
      </c>
      <c r="I6153" s="12">
        <f>Table16[[#This Row],[price]]*Table16[[#This Row],[quantity]]</f>
        <v>26250</v>
      </c>
    </row>
    <row r="6154" spans="1:9" x14ac:dyDescent="0.3">
      <c r="A6154" t="s">
        <v>8167</v>
      </c>
      <c r="B6154" t="s">
        <v>1223</v>
      </c>
      <c r="C6154" t="s">
        <v>2015</v>
      </c>
      <c r="D6154">
        <v>3</v>
      </c>
      <c r="E6154" s="16">
        <v>1800.51</v>
      </c>
      <c r="F6154" s="1">
        <v>44964</v>
      </c>
      <c r="G6154" t="s">
        <v>2027</v>
      </c>
      <c r="H6154">
        <v>5</v>
      </c>
      <c r="I6154" s="12">
        <f>Table16[[#This Row],[price]]*Table16[[#This Row],[quantity]]</f>
        <v>5401.53</v>
      </c>
    </row>
    <row r="6155" spans="1:9" x14ac:dyDescent="0.3">
      <c r="A6155" t="s">
        <v>8172</v>
      </c>
      <c r="B6155" t="s">
        <v>1224</v>
      </c>
      <c r="C6155" t="s">
        <v>2024</v>
      </c>
      <c r="D6155">
        <v>1</v>
      </c>
      <c r="E6155" s="16">
        <v>35.840000000000003</v>
      </c>
      <c r="F6155" s="1">
        <v>44212</v>
      </c>
      <c r="G6155" t="s">
        <v>2002</v>
      </c>
      <c r="H6155">
        <v>3</v>
      </c>
      <c r="I6155" s="12">
        <f>Table16[[#This Row],[price]]*Table16[[#This Row],[quantity]]</f>
        <v>35.840000000000003</v>
      </c>
    </row>
    <row r="6156" spans="1:9" x14ac:dyDescent="0.3">
      <c r="A6156" t="s">
        <v>8173</v>
      </c>
      <c r="B6156" t="s">
        <v>1224</v>
      </c>
      <c r="C6156" t="s">
        <v>2001</v>
      </c>
      <c r="D6156">
        <v>3</v>
      </c>
      <c r="E6156" s="16">
        <v>900.24</v>
      </c>
      <c r="F6156" s="1">
        <v>44328</v>
      </c>
      <c r="G6156" t="s">
        <v>2027</v>
      </c>
      <c r="H6156">
        <v>3</v>
      </c>
      <c r="I6156" s="12">
        <f>Table16[[#This Row],[price]]*Table16[[#This Row],[quantity]]</f>
        <v>2700.7200000000003</v>
      </c>
    </row>
    <row r="6157" spans="1:9" x14ac:dyDescent="0.3">
      <c r="A6157" t="s">
        <v>8176</v>
      </c>
      <c r="B6157" t="s">
        <v>1224</v>
      </c>
      <c r="C6157" t="s">
        <v>2001</v>
      </c>
      <c r="D6157">
        <v>5</v>
      </c>
      <c r="E6157" s="16">
        <v>1500.4</v>
      </c>
      <c r="F6157" s="1">
        <v>44330</v>
      </c>
      <c r="G6157" t="s">
        <v>2020</v>
      </c>
      <c r="H6157">
        <v>3</v>
      </c>
      <c r="I6157" s="12">
        <f>Table16[[#This Row],[price]]*Table16[[#This Row],[quantity]]</f>
        <v>7502</v>
      </c>
    </row>
    <row r="6158" spans="1:9" x14ac:dyDescent="0.3">
      <c r="A6158" t="s">
        <v>8177</v>
      </c>
      <c r="B6158" t="s">
        <v>1224</v>
      </c>
      <c r="C6158" t="s">
        <v>2008</v>
      </c>
      <c r="D6158">
        <v>1</v>
      </c>
      <c r="E6158" s="16">
        <v>5.23</v>
      </c>
      <c r="F6158" s="1">
        <v>44380</v>
      </c>
      <c r="G6158" t="s">
        <v>2041</v>
      </c>
      <c r="H6158">
        <v>1</v>
      </c>
      <c r="I6158" s="12">
        <f>Table16[[#This Row],[price]]*Table16[[#This Row],[quantity]]</f>
        <v>5.23</v>
      </c>
    </row>
    <row r="6159" spans="1:9" x14ac:dyDescent="0.3">
      <c r="A6159" t="s">
        <v>8175</v>
      </c>
      <c r="B6159" t="s">
        <v>1224</v>
      </c>
      <c r="C6159" t="s">
        <v>2008</v>
      </c>
      <c r="D6159">
        <v>1</v>
      </c>
      <c r="E6159" s="16">
        <v>5.23</v>
      </c>
      <c r="F6159" s="1">
        <v>44660</v>
      </c>
      <c r="G6159" t="s">
        <v>2058</v>
      </c>
      <c r="H6159">
        <v>3</v>
      </c>
      <c r="I6159" s="12">
        <f>Table16[[#This Row],[price]]*Table16[[#This Row],[quantity]]</f>
        <v>5.23</v>
      </c>
    </row>
    <row r="6160" spans="1:9" x14ac:dyDescent="0.3">
      <c r="A6160" t="s">
        <v>8171</v>
      </c>
      <c r="B6160" t="s">
        <v>1224</v>
      </c>
      <c r="C6160" t="s">
        <v>2011</v>
      </c>
      <c r="D6160">
        <v>2</v>
      </c>
      <c r="E6160" s="16">
        <v>81.319999999999993</v>
      </c>
      <c r="F6160" s="1">
        <v>44907</v>
      </c>
      <c r="G6160" t="s">
        <v>2012</v>
      </c>
      <c r="H6160">
        <v>2</v>
      </c>
      <c r="I6160" s="12">
        <f>Table16[[#This Row],[price]]*Table16[[#This Row],[quantity]]</f>
        <v>162.63999999999999</v>
      </c>
    </row>
    <row r="6161" spans="1:9" x14ac:dyDescent="0.3">
      <c r="A6161" t="s">
        <v>8174</v>
      </c>
      <c r="B6161" t="s">
        <v>1224</v>
      </c>
      <c r="C6161" t="s">
        <v>2008</v>
      </c>
      <c r="D6161">
        <v>1</v>
      </c>
      <c r="E6161" s="16">
        <v>5.23</v>
      </c>
      <c r="F6161" s="1">
        <v>44934</v>
      </c>
      <c r="G6161" t="s">
        <v>2004</v>
      </c>
      <c r="H6161">
        <v>2</v>
      </c>
      <c r="I6161" s="12">
        <f>Table16[[#This Row],[price]]*Table16[[#This Row],[quantity]]</f>
        <v>5.23</v>
      </c>
    </row>
    <row r="6162" spans="1:9" x14ac:dyDescent="0.3">
      <c r="A6162" t="s">
        <v>8178</v>
      </c>
      <c r="B6162" t="s">
        <v>1225</v>
      </c>
      <c r="C6162" t="s">
        <v>2008</v>
      </c>
      <c r="D6162">
        <v>2</v>
      </c>
      <c r="E6162" s="16">
        <v>10.46</v>
      </c>
      <c r="F6162" s="1">
        <v>44227</v>
      </c>
      <c r="G6162" t="s">
        <v>2004</v>
      </c>
      <c r="H6162">
        <v>1</v>
      </c>
      <c r="I6162" s="12">
        <f>Table16[[#This Row],[price]]*Table16[[#This Row],[quantity]]</f>
        <v>20.92</v>
      </c>
    </row>
    <row r="6163" spans="1:9" x14ac:dyDescent="0.3">
      <c r="A6163" t="s">
        <v>8179</v>
      </c>
      <c r="B6163" t="s">
        <v>1225</v>
      </c>
      <c r="C6163" t="s">
        <v>2001</v>
      </c>
      <c r="D6163">
        <v>1</v>
      </c>
      <c r="E6163" s="16">
        <v>300.08</v>
      </c>
      <c r="F6163" s="1">
        <v>44303</v>
      </c>
      <c r="G6163" t="s">
        <v>2020</v>
      </c>
      <c r="H6163">
        <v>5</v>
      </c>
      <c r="I6163" s="12">
        <f>Table16[[#This Row],[price]]*Table16[[#This Row],[quantity]]</f>
        <v>300.08</v>
      </c>
    </row>
    <row r="6164" spans="1:9" x14ac:dyDescent="0.3">
      <c r="A6164" t="s">
        <v>8180</v>
      </c>
      <c r="B6164" t="s">
        <v>1225</v>
      </c>
      <c r="C6164" t="s">
        <v>2001</v>
      </c>
      <c r="D6164">
        <v>4</v>
      </c>
      <c r="E6164" s="16">
        <v>1200.32</v>
      </c>
      <c r="F6164" s="1">
        <v>44619</v>
      </c>
      <c r="G6164" t="s">
        <v>2012</v>
      </c>
      <c r="H6164">
        <v>1</v>
      </c>
      <c r="I6164" s="12">
        <f>Table16[[#This Row],[price]]*Table16[[#This Row],[quantity]]</f>
        <v>4801.28</v>
      </c>
    </row>
    <row r="6165" spans="1:9" x14ac:dyDescent="0.3">
      <c r="A6165" t="s">
        <v>8182</v>
      </c>
      <c r="B6165" t="s">
        <v>1225</v>
      </c>
      <c r="C6165" t="s">
        <v>2006</v>
      </c>
      <c r="D6165">
        <v>5</v>
      </c>
      <c r="E6165" s="16">
        <v>75.75</v>
      </c>
      <c r="F6165" s="1">
        <v>44823</v>
      </c>
      <c r="G6165" t="s">
        <v>2058</v>
      </c>
      <c r="H6165">
        <v>3</v>
      </c>
      <c r="I6165" s="12">
        <f>Table16[[#This Row],[price]]*Table16[[#This Row],[quantity]]</f>
        <v>378.75</v>
      </c>
    </row>
    <row r="6166" spans="1:9" x14ac:dyDescent="0.3">
      <c r="A6166" t="s">
        <v>8181</v>
      </c>
      <c r="B6166" t="s">
        <v>1225</v>
      </c>
      <c r="C6166" t="s">
        <v>2006</v>
      </c>
      <c r="D6166">
        <v>1</v>
      </c>
      <c r="E6166" s="16">
        <v>15.15</v>
      </c>
      <c r="F6166" s="1">
        <v>44877</v>
      </c>
      <c r="G6166" t="s">
        <v>2027</v>
      </c>
      <c r="H6166">
        <v>2</v>
      </c>
      <c r="I6166" s="12">
        <f>Table16[[#This Row],[price]]*Table16[[#This Row],[quantity]]</f>
        <v>15.15</v>
      </c>
    </row>
    <row r="6167" spans="1:9" x14ac:dyDescent="0.3">
      <c r="A6167" t="s">
        <v>8183</v>
      </c>
      <c r="B6167" t="s">
        <v>1226</v>
      </c>
      <c r="C6167" t="s">
        <v>2015</v>
      </c>
      <c r="D6167">
        <v>2</v>
      </c>
      <c r="E6167" s="16">
        <v>1200.3399999999999</v>
      </c>
      <c r="F6167" s="1">
        <v>44255</v>
      </c>
      <c r="G6167" t="s">
        <v>2027</v>
      </c>
      <c r="H6167">
        <v>4</v>
      </c>
      <c r="I6167" s="12">
        <f>Table16[[#This Row],[price]]*Table16[[#This Row],[quantity]]</f>
        <v>2400.6799999999998</v>
      </c>
    </row>
    <row r="6168" spans="1:9" x14ac:dyDescent="0.3">
      <c r="A6168" t="s">
        <v>8187</v>
      </c>
      <c r="B6168" t="s">
        <v>1226</v>
      </c>
      <c r="C6168" t="s">
        <v>2001</v>
      </c>
      <c r="D6168">
        <v>5</v>
      </c>
      <c r="E6168" s="16">
        <v>1500.4</v>
      </c>
      <c r="F6168" s="1">
        <v>44592</v>
      </c>
      <c r="G6168" t="s">
        <v>2004</v>
      </c>
      <c r="H6168">
        <v>2</v>
      </c>
      <c r="I6168" s="12">
        <f>Table16[[#This Row],[price]]*Table16[[#This Row],[quantity]]</f>
        <v>7502</v>
      </c>
    </row>
    <row r="6169" spans="1:9" x14ac:dyDescent="0.3">
      <c r="A6169" t="s">
        <v>8184</v>
      </c>
      <c r="B6169" t="s">
        <v>1226</v>
      </c>
      <c r="C6169" t="s">
        <v>2001</v>
      </c>
      <c r="D6169">
        <v>5</v>
      </c>
      <c r="E6169" s="16">
        <v>1500.4</v>
      </c>
      <c r="F6169" s="1">
        <v>44608</v>
      </c>
      <c r="G6169" t="s">
        <v>2012</v>
      </c>
      <c r="H6169">
        <v>5</v>
      </c>
      <c r="I6169" s="12">
        <f>Table16[[#This Row],[price]]*Table16[[#This Row],[quantity]]</f>
        <v>7502</v>
      </c>
    </row>
    <row r="6170" spans="1:9" x14ac:dyDescent="0.3">
      <c r="A6170" t="s">
        <v>8185</v>
      </c>
      <c r="B6170" t="s">
        <v>1226</v>
      </c>
      <c r="C6170" t="s">
        <v>2017</v>
      </c>
      <c r="D6170">
        <v>3</v>
      </c>
      <c r="E6170" s="16">
        <v>3150</v>
      </c>
      <c r="F6170" s="1">
        <v>44614</v>
      </c>
      <c r="G6170" t="s">
        <v>2004</v>
      </c>
      <c r="H6170">
        <v>4</v>
      </c>
      <c r="I6170" s="12">
        <f>Table16[[#This Row],[price]]*Table16[[#This Row],[quantity]]</f>
        <v>9450</v>
      </c>
    </row>
    <row r="6171" spans="1:9" x14ac:dyDescent="0.3">
      <c r="A6171" t="s">
        <v>8186</v>
      </c>
      <c r="B6171" t="s">
        <v>1226</v>
      </c>
      <c r="C6171" t="s">
        <v>2001</v>
      </c>
      <c r="D6171">
        <v>5</v>
      </c>
      <c r="E6171" s="16">
        <v>1500.4</v>
      </c>
      <c r="F6171" s="1">
        <v>44637</v>
      </c>
      <c r="G6171" t="s">
        <v>2018</v>
      </c>
      <c r="H6171">
        <v>2</v>
      </c>
      <c r="I6171" s="12">
        <f>Table16[[#This Row],[price]]*Table16[[#This Row],[quantity]]</f>
        <v>7502</v>
      </c>
    </row>
    <row r="6172" spans="1:9" x14ac:dyDescent="0.3">
      <c r="A6172" t="s">
        <v>8188</v>
      </c>
      <c r="B6172" t="s">
        <v>1227</v>
      </c>
      <c r="C6172" t="s">
        <v>2011</v>
      </c>
      <c r="D6172">
        <v>4</v>
      </c>
      <c r="E6172" s="16">
        <v>162.63999999999999</v>
      </c>
      <c r="F6172" s="1">
        <v>44410</v>
      </c>
      <c r="G6172" t="s">
        <v>2027</v>
      </c>
      <c r="H6172">
        <v>1</v>
      </c>
      <c r="I6172" s="12">
        <f>Table16[[#This Row],[price]]*Table16[[#This Row],[quantity]]</f>
        <v>650.55999999999995</v>
      </c>
    </row>
    <row r="6173" spans="1:9" x14ac:dyDescent="0.3">
      <c r="A6173" t="s">
        <v>8190</v>
      </c>
      <c r="B6173" t="s">
        <v>1227</v>
      </c>
      <c r="C6173" t="s">
        <v>2008</v>
      </c>
      <c r="D6173">
        <v>4</v>
      </c>
      <c r="E6173" s="16">
        <v>20.92</v>
      </c>
      <c r="F6173" s="1">
        <v>44494</v>
      </c>
      <c r="G6173" t="s">
        <v>2027</v>
      </c>
      <c r="H6173">
        <v>1</v>
      </c>
      <c r="I6173" s="12">
        <f>Table16[[#This Row],[price]]*Table16[[#This Row],[quantity]]</f>
        <v>83.68</v>
      </c>
    </row>
    <row r="6174" spans="1:9" x14ac:dyDescent="0.3">
      <c r="A6174" t="s">
        <v>8189</v>
      </c>
      <c r="B6174" t="s">
        <v>1227</v>
      </c>
      <c r="C6174" t="s">
        <v>2008</v>
      </c>
      <c r="D6174">
        <v>1</v>
      </c>
      <c r="E6174" s="16">
        <v>5.23</v>
      </c>
      <c r="F6174" s="1">
        <v>44771</v>
      </c>
      <c r="G6174" t="s">
        <v>2064</v>
      </c>
      <c r="H6174">
        <v>1</v>
      </c>
      <c r="I6174" s="12">
        <f>Table16[[#This Row],[price]]*Table16[[#This Row],[quantity]]</f>
        <v>5.23</v>
      </c>
    </row>
    <row r="6175" spans="1:9" x14ac:dyDescent="0.3">
      <c r="A6175" t="s">
        <v>8192</v>
      </c>
      <c r="B6175" t="s">
        <v>1228</v>
      </c>
      <c r="C6175" t="s">
        <v>2008</v>
      </c>
      <c r="D6175">
        <v>1</v>
      </c>
      <c r="E6175" s="16">
        <v>5.23</v>
      </c>
      <c r="F6175" s="1">
        <v>44239</v>
      </c>
      <c r="G6175" t="s">
        <v>2020</v>
      </c>
      <c r="H6175">
        <v>3</v>
      </c>
      <c r="I6175" s="12">
        <f>Table16[[#This Row],[price]]*Table16[[#This Row],[quantity]]</f>
        <v>5.23</v>
      </c>
    </row>
    <row r="6176" spans="1:9" x14ac:dyDescent="0.3">
      <c r="A6176" t="s">
        <v>8193</v>
      </c>
      <c r="B6176" t="s">
        <v>1228</v>
      </c>
      <c r="C6176" t="s">
        <v>2001</v>
      </c>
      <c r="D6176">
        <v>5</v>
      </c>
      <c r="E6176" s="16">
        <v>1500.4</v>
      </c>
      <c r="F6176" s="1">
        <v>44475</v>
      </c>
      <c r="G6176" t="s">
        <v>2002</v>
      </c>
      <c r="H6176">
        <v>5</v>
      </c>
      <c r="I6176" s="12">
        <f>Table16[[#This Row],[price]]*Table16[[#This Row],[quantity]]</f>
        <v>7502</v>
      </c>
    </row>
    <row r="6177" spans="1:9" x14ac:dyDescent="0.3">
      <c r="A6177" t="s">
        <v>8191</v>
      </c>
      <c r="B6177" t="s">
        <v>1228</v>
      </c>
      <c r="C6177" t="s">
        <v>2001</v>
      </c>
      <c r="D6177">
        <v>2</v>
      </c>
      <c r="E6177" s="16">
        <v>600.16</v>
      </c>
      <c r="F6177" s="1">
        <v>44645</v>
      </c>
      <c r="G6177" t="s">
        <v>2002</v>
      </c>
      <c r="H6177">
        <v>2</v>
      </c>
      <c r="I6177" s="12">
        <f>Table16[[#This Row],[price]]*Table16[[#This Row],[quantity]]</f>
        <v>1200.32</v>
      </c>
    </row>
    <row r="6178" spans="1:9" x14ac:dyDescent="0.3">
      <c r="A6178" t="s">
        <v>8195</v>
      </c>
      <c r="B6178" t="s">
        <v>1229</v>
      </c>
      <c r="C6178" t="s">
        <v>2008</v>
      </c>
      <c r="D6178">
        <v>3</v>
      </c>
      <c r="E6178" s="16">
        <v>15.69</v>
      </c>
      <c r="F6178" s="1">
        <v>44442</v>
      </c>
      <c r="G6178" t="s">
        <v>2058</v>
      </c>
      <c r="H6178">
        <v>5</v>
      </c>
      <c r="I6178" s="12">
        <f>Table16[[#This Row],[price]]*Table16[[#This Row],[quantity]]</f>
        <v>47.07</v>
      </c>
    </row>
    <row r="6179" spans="1:9" x14ac:dyDescent="0.3">
      <c r="A6179" t="s">
        <v>8194</v>
      </c>
      <c r="B6179" t="s">
        <v>1229</v>
      </c>
      <c r="C6179" t="s">
        <v>2008</v>
      </c>
      <c r="D6179">
        <v>3</v>
      </c>
      <c r="E6179" s="16">
        <v>15.69</v>
      </c>
      <c r="F6179" s="1">
        <v>44617</v>
      </c>
      <c r="G6179" t="s">
        <v>2058</v>
      </c>
      <c r="H6179">
        <v>2</v>
      </c>
      <c r="I6179" s="12">
        <f>Table16[[#This Row],[price]]*Table16[[#This Row],[quantity]]</f>
        <v>47.07</v>
      </c>
    </row>
    <row r="6180" spans="1:9" x14ac:dyDescent="0.3">
      <c r="A6180" t="s">
        <v>8199</v>
      </c>
      <c r="B6180" t="s">
        <v>1230</v>
      </c>
      <c r="C6180" t="s">
        <v>2024</v>
      </c>
      <c r="D6180">
        <v>2</v>
      </c>
      <c r="E6180" s="16">
        <v>71.680000000000007</v>
      </c>
      <c r="F6180" s="1">
        <v>44261</v>
      </c>
      <c r="G6180" t="s">
        <v>2018</v>
      </c>
      <c r="H6180">
        <v>2</v>
      </c>
      <c r="I6180" s="12">
        <f>Table16[[#This Row],[price]]*Table16[[#This Row],[quantity]]</f>
        <v>143.36000000000001</v>
      </c>
    </row>
    <row r="6181" spans="1:9" x14ac:dyDescent="0.3">
      <c r="A6181" t="s">
        <v>8196</v>
      </c>
      <c r="B6181" t="s">
        <v>1230</v>
      </c>
      <c r="C6181" t="s">
        <v>2001</v>
      </c>
      <c r="D6181">
        <v>2</v>
      </c>
      <c r="E6181" s="16">
        <v>600.16</v>
      </c>
      <c r="F6181" s="1">
        <v>44335</v>
      </c>
      <c r="G6181" t="s">
        <v>2020</v>
      </c>
      <c r="H6181">
        <v>4</v>
      </c>
      <c r="I6181" s="12">
        <f>Table16[[#This Row],[price]]*Table16[[#This Row],[quantity]]</f>
        <v>1200.32</v>
      </c>
    </row>
    <row r="6182" spans="1:9" x14ac:dyDescent="0.3">
      <c r="A6182" t="s">
        <v>8197</v>
      </c>
      <c r="B6182" t="s">
        <v>1230</v>
      </c>
      <c r="C6182" t="s">
        <v>2015</v>
      </c>
      <c r="D6182">
        <v>2</v>
      </c>
      <c r="E6182" s="16">
        <v>1200.3399999999999</v>
      </c>
      <c r="F6182" s="1">
        <v>44360</v>
      </c>
      <c r="G6182" t="s">
        <v>2002</v>
      </c>
      <c r="H6182">
        <v>5</v>
      </c>
      <c r="I6182" s="12">
        <f>Table16[[#This Row],[price]]*Table16[[#This Row],[quantity]]</f>
        <v>2400.6799999999998</v>
      </c>
    </row>
    <row r="6183" spans="1:9" x14ac:dyDescent="0.3">
      <c r="A6183" t="s">
        <v>8200</v>
      </c>
      <c r="B6183" t="s">
        <v>1230</v>
      </c>
      <c r="C6183" t="s">
        <v>2008</v>
      </c>
      <c r="D6183">
        <v>4</v>
      </c>
      <c r="E6183" s="16">
        <v>20.92</v>
      </c>
      <c r="F6183" s="1">
        <v>44571</v>
      </c>
      <c r="G6183" t="s">
        <v>2004</v>
      </c>
      <c r="H6183">
        <v>2</v>
      </c>
      <c r="I6183" s="12">
        <f>Table16[[#This Row],[price]]*Table16[[#This Row],[quantity]]</f>
        <v>83.68</v>
      </c>
    </row>
    <row r="6184" spans="1:9" x14ac:dyDescent="0.3">
      <c r="A6184" t="s">
        <v>8198</v>
      </c>
      <c r="B6184" t="s">
        <v>1230</v>
      </c>
      <c r="C6184" t="s">
        <v>2008</v>
      </c>
      <c r="D6184">
        <v>3</v>
      </c>
      <c r="E6184" s="16">
        <v>15.69</v>
      </c>
      <c r="F6184" s="1">
        <v>44677</v>
      </c>
      <c r="G6184" t="s">
        <v>2064</v>
      </c>
      <c r="H6184">
        <v>3</v>
      </c>
      <c r="I6184" s="12">
        <f>Table16[[#This Row],[price]]*Table16[[#This Row],[quantity]]</f>
        <v>47.07</v>
      </c>
    </row>
    <row r="6185" spans="1:9" x14ac:dyDescent="0.3">
      <c r="A6185" t="s">
        <v>8202</v>
      </c>
      <c r="B6185" t="s">
        <v>1231</v>
      </c>
      <c r="C6185" t="s">
        <v>2006</v>
      </c>
      <c r="D6185">
        <v>3</v>
      </c>
      <c r="E6185" s="16">
        <v>45.45</v>
      </c>
      <c r="F6185" s="1">
        <v>44250</v>
      </c>
      <c r="G6185" t="s">
        <v>2027</v>
      </c>
      <c r="H6185">
        <v>5</v>
      </c>
      <c r="I6185" s="12">
        <f>Table16[[#This Row],[price]]*Table16[[#This Row],[quantity]]</f>
        <v>136.35000000000002</v>
      </c>
    </row>
    <row r="6186" spans="1:9" x14ac:dyDescent="0.3">
      <c r="A6186" t="s">
        <v>8205</v>
      </c>
      <c r="B6186" t="s">
        <v>1231</v>
      </c>
      <c r="C6186" t="s">
        <v>2001</v>
      </c>
      <c r="D6186">
        <v>3</v>
      </c>
      <c r="E6186" s="16">
        <v>900.24</v>
      </c>
      <c r="F6186" s="1">
        <v>44292</v>
      </c>
      <c r="G6186" t="s">
        <v>2064</v>
      </c>
      <c r="H6186">
        <v>4</v>
      </c>
      <c r="I6186" s="12">
        <f>Table16[[#This Row],[price]]*Table16[[#This Row],[quantity]]</f>
        <v>2700.7200000000003</v>
      </c>
    </row>
    <row r="6187" spans="1:9" x14ac:dyDescent="0.3">
      <c r="A6187" t="s">
        <v>8203</v>
      </c>
      <c r="B6187" t="s">
        <v>1231</v>
      </c>
      <c r="C6187" t="s">
        <v>2011</v>
      </c>
      <c r="D6187">
        <v>2</v>
      </c>
      <c r="E6187" s="16">
        <v>81.319999999999993</v>
      </c>
      <c r="F6187" s="1">
        <v>44450</v>
      </c>
      <c r="G6187" t="s">
        <v>2002</v>
      </c>
      <c r="H6187">
        <v>4</v>
      </c>
      <c r="I6187" s="12">
        <f>Table16[[#This Row],[price]]*Table16[[#This Row],[quantity]]</f>
        <v>162.63999999999999</v>
      </c>
    </row>
    <row r="6188" spans="1:9" x14ac:dyDescent="0.3">
      <c r="A6188" t="s">
        <v>8209</v>
      </c>
      <c r="B6188" t="s">
        <v>1231</v>
      </c>
      <c r="C6188" t="s">
        <v>2011</v>
      </c>
      <c r="D6188">
        <v>2</v>
      </c>
      <c r="E6188" s="16">
        <v>81.319999999999993</v>
      </c>
      <c r="F6188" s="1">
        <v>44493</v>
      </c>
      <c r="G6188" t="s">
        <v>2041</v>
      </c>
      <c r="H6188">
        <v>2</v>
      </c>
      <c r="I6188" s="12">
        <f>Table16[[#This Row],[price]]*Table16[[#This Row],[quantity]]</f>
        <v>162.63999999999999</v>
      </c>
    </row>
    <row r="6189" spans="1:9" x14ac:dyDescent="0.3">
      <c r="A6189" t="s">
        <v>8208</v>
      </c>
      <c r="B6189" t="s">
        <v>1231</v>
      </c>
      <c r="C6189" t="s">
        <v>2001</v>
      </c>
      <c r="D6189">
        <v>3</v>
      </c>
      <c r="E6189" s="16">
        <v>900.24</v>
      </c>
      <c r="F6189" s="1">
        <v>44640</v>
      </c>
      <c r="G6189" t="s">
        <v>2004</v>
      </c>
      <c r="H6189">
        <v>2</v>
      </c>
      <c r="I6189" s="12">
        <f>Table16[[#This Row],[price]]*Table16[[#This Row],[quantity]]</f>
        <v>2700.7200000000003</v>
      </c>
    </row>
    <row r="6190" spans="1:9" x14ac:dyDescent="0.3">
      <c r="A6190" t="s">
        <v>8201</v>
      </c>
      <c r="B6190" t="s">
        <v>1231</v>
      </c>
      <c r="C6190" t="s">
        <v>2011</v>
      </c>
      <c r="D6190">
        <v>2</v>
      </c>
      <c r="E6190" s="16">
        <v>81.319999999999993</v>
      </c>
      <c r="F6190" s="1">
        <v>44701</v>
      </c>
      <c r="G6190" t="s">
        <v>2064</v>
      </c>
      <c r="H6190">
        <v>4</v>
      </c>
      <c r="I6190" s="12">
        <f>Table16[[#This Row],[price]]*Table16[[#This Row],[quantity]]</f>
        <v>162.63999999999999</v>
      </c>
    </row>
    <row r="6191" spans="1:9" x14ac:dyDescent="0.3">
      <c r="A6191" t="s">
        <v>8206</v>
      </c>
      <c r="B6191" t="s">
        <v>1231</v>
      </c>
      <c r="C6191" t="s">
        <v>2057</v>
      </c>
      <c r="D6191">
        <v>2</v>
      </c>
      <c r="E6191" s="16">
        <v>23.46</v>
      </c>
      <c r="F6191" s="1">
        <v>44723</v>
      </c>
      <c r="G6191" t="s">
        <v>2002</v>
      </c>
      <c r="H6191">
        <v>4</v>
      </c>
      <c r="I6191" s="12">
        <f>Table16[[#This Row],[price]]*Table16[[#This Row],[quantity]]</f>
        <v>46.92</v>
      </c>
    </row>
    <row r="6192" spans="1:9" x14ac:dyDescent="0.3">
      <c r="A6192" t="s">
        <v>8210</v>
      </c>
      <c r="B6192" t="s">
        <v>1231</v>
      </c>
      <c r="C6192" t="s">
        <v>2011</v>
      </c>
      <c r="D6192">
        <v>5</v>
      </c>
      <c r="E6192" s="16">
        <v>203.3</v>
      </c>
      <c r="F6192" s="1">
        <v>44748</v>
      </c>
      <c r="G6192" t="s">
        <v>2002</v>
      </c>
      <c r="H6192">
        <v>3</v>
      </c>
      <c r="I6192" s="12">
        <f>Table16[[#This Row],[price]]*Table16[[#This Row],[quantity]]</f>
        <v>1016.5</v>
      </c>
    </row>
    <row r="6193" spans="1:9" x14ac:dyDescent="0.3">
      <c r="A6193" t="s">
        <v>8204</v>
      </c>
      <c r="B6193" t="s">
        <v>1231</v>
      </c>
      <c r="C6193" t="s">
        <v>2008</v>
      </c>
      <c r="D6193">
        <v>1</v>
      </c>
      <c r="E6193" s="16">
        <v>5.23</v>
      </c>
      <c r="F6193" s="1">
        <v>44770</v>
      </c>
      <c r="G6193" t="s">
        <v>2012</v>
      </c>
      <c r="H6193">
        <v>2</v>
      </c>
      <c r="I6193" s="12">
        <f>Table16[[#This Row],[price]]*Table16[[#This Row],[quantity]]</f>
        <v>5.23</v>
      </c>
    </row>
    <row r="6194" spans="1:9" x14ac:dyDescent="0.3">
      <c r="A6194" t="s">
        <v>8207</v>
      </c>
      <c r="B6194" t="s">
        <v>1231</v>
      </c>
      <c r="C6194" t="s">
        <v>2011</v>
      </c>
      <c r="D6194">
        <v>2</v>
      </c>
      <c r="E6194" s="16">
        <v>81.319999999999993</v>
      </c>
      <c r="F6194" s="1">
        <v>44789</v>
      </c>
      <c r="G6194" t="s">
        <v>2064</v>
      </c>
      <c r="H6194">
        <v>2</v>
      </c>
      <c r="I6194" s="12">
        <f>Table16[[#This Row],[price]]*Table16[[#This Row],[quantity]]</f>
        <v>162.63999999999999</v>
      </c>
    </row>
    <row r="6195" spans="1:9" x14ac:dyDescent="0.3">
      <c r="A6195" t="s">
        <v>8211</v>
      </c>
      <c r="B6195" t="s">
        <v>1232</v>
      </c>
      <c r="C6195" t="s">
        <v>2057</v>
      </c>
      <c r="D6195">
        <v>2</v>
      </c>
      <c r="E6195" s="16">
        <v>23.46</v>
      </c>
      <c r="F6195" s="1">
        <v>44240</v>
      </c>
      <c r="G6195" t="s">
        <v>2027</v>
      </c>
      <c r="H6195">
        <v>1</v>
      </c>
      <c r="I6195" s="12">
        <f>Table16[[#This Row],[price]]*Table16[[#This Row],[quantity]]</f>
        <v>46.92</v>
      </c>
    </row>
    <row r="6196" spans="1:9" x14ac:dyDescent="0.3">
      <c r="A6196" t="s">
        <v>8213</v>
      </c>
      <c r="B6196" t="s">
        <v>1232</v>
      </c>
      <c r="C6196" t="s">
        <v>2008</v>
      </c>
      <c r="D6196">
        <v>3</v>
      </c>
      <c r="E6196" s="16">
        <v>15.69</v>
      </c>
      <c r="F6196" s="1">
        <v>44310</v>
      </c>
      <c r="G6196" t="s">
        <v>2004</v>
      </c>
      <c r="H6196">
        <v>1</v>
      </c>
      <c r="I6196" s="12">
        <f>Table16[[#This Row],[price]]*Table16[[#This Row],[quantity]]</f>
        <v>47.07</v>
      </c>
    </row>
    <row r="6197" spans="1:9" x14ac:dyDescent="0.3">
      <c r="A6197" t="s">
        <v>8212</v>
      </c>
      <c r="B6197" t="s">
        <v>1232</v>
      </c>
      <c r="C6197" t="s">
        <v>2006</v>
      </c>
      <c r="D6197">
        <v>2</v>
      </c>
      <c r="E6197" s="16">
        <v>30.3</v>
      </c>
      <c r="F6197" s="1">
        <v>44892</v>
      </c>
      <c r="G6197" t="s">
        <v>2002</v>
      </c>
      <c r="H6197">
        <v>2</v>
      </c>
      <c r="I6197" s="12">
        <f>Table16[[#This Row],[price]]*Table16[[#This Row],[quantity]]</f>
        <v>60.6</v>
      </c>
    </row>
    <row r="6198" spans="1:9" x14ac:dyDescent="0.3">
      <c r="A6198" t="s">
        <v>8214</v>
      </c>
      <c r="B6198" t="s">
        <v>1232</v>
      </c>
      <c r="C6198" t="s">
        <v>2015</v>
      </c>
      <c r="D6198">
        <v>2</v>
      </c>
      <c r="E6198" s="16">
        <v>1200.3399999999999</v>
      </c>
      <c r="F6198" s="1">
        <v>44914</v>
      </c>
      <c r="G6198" t="s">
        <v>2002</v>
      </c>
      <c r="H6198">
        <v>1</v>
      </c>
      <c r="I6198" s="12">
        <f>Table16[[#This Row],[price]]*Table16[[#This Row],[quantity]]</f>
        <v>2400.6799999999998</v>
      </c>
    </row>
    <row r="6199" spans="1:9" x14ac:dyDescent="0.3">
      <c r="A6199" t="s">
        <v>8215</v>
      </c>
      <c r="B6199" t="s">
        <v>1233</v>
      </c>
      <c r="C6199" t="s">
        <v>2008</v>
      </c>
      <c r="D6199">
        <v>1</v>
      </c>
      <c r="E6199" s="16">
        <v>5.23</v>
      </c>
      <c r="F6199" s="1">
        <v>44605</v>
      </c>
      <c r="G6199" t="s">
        <v>2002</v>
      </c>
      <c r="H6199">
        <v>3</v>
      </c>
      <c r="I6199" s="12">
        <f>Table16[[#This Row],[price]]*Table16[[#This Row],[quantity]]</f>
        <v>5.23</v>
      </c>
    </row>
    <row r="6200" spans="1:9" x14ac:dyDescent="0.3">
      <c r="A6200" t="s">
        <v>8216</v>
      </c>
      <c r="B6200" t="s">
        <v>1233</v>
      </c>
      <c r="C6200" t="s">
        <v>2001</v>
      </c>
      <c r="D6200">
        <v>3</v>
      </c>
      <c r="E6200" s="16">
        <v>900.24</v>
      </c>
      <c r="F6200" s="1">
        <v>44903</v>
      </c>
      <c r="G6200" t="s">
        <v>2002</v>
      </c>
      <c r="H6200">
        <v>4</v>
      </c>
      <c r="I6200" s="12">
        <f>Table16[[#This Row],[price]]*Table16[[#This Row],[quantity]]</f>
        <v>2700.7200000000003</v>
      </c>
    </row>
    <row r="6201" spans="1:9" x14ac:dyDescent="0.3">
      <c r="A6201" t="s">
        <v>8217</v>
      </c>
      <c r="B6201" t="s">
        <v>1233</v>
      </c>
      <c r="C6201" t="s">
        <v>2008</v>
      </c>
      <c r="D6201">
        <v>5</v>
      </c>
      <c r="E6201" s="16">
        <v>26.15</v>
      </c>
      <c r="F6201" s="1">
        <v>44919</v>
      </c>
      <c r="G6201" t="s">
        <v>2020</v>
      </c>
      <c r="H6201">
        <v>5</v>
      </c>
      <c r="I6201" s="12">
        <f>Table16[[#This Row],[price]]*Table16[[#This Row],[quantity]]</f>
        <v>130.75</v>
      </c>
    </row>
    <row r="6202" spans="1:9" x14ac:dyDescent="0.3">
      <c r="A6202" t="s">
        <v>8218</v>
      </c>
      <c r="B6202" t="s">
        <v>1234</v>
      </c>
      <c r="C6202" t="s">
        <v>2024</v>
      </c>
      <c r="D6202">
        <v>2</v>
      </c>
      <c r="E6202" s="16">
        <v>71.680000000000007</v>
      </c>
      <c r="F6202" s="1">
        <v>44260</v>
      </c>
      <c r="G6202" t="s">
        <v>2020</v>
      </c>
      <c r="H6202">
        <v>2</v>
      </c>
      <c r="I6202" s="12">
        <f>Table16[[#This Row],[price]]*Table16[[#This Row],[quantity]]</f>
        <v>143.36000000000001</v>
      </c>
    </row>
    <row r="6203" spans="1:9" x14ac:dyDescent="0.3">
      <c r="A6203" t="s">
        <v>8221</v>
      </c>
      <c r="B6203" t="s">
        <v>1234</v>
      </c>
      <c r="C6203" t="s">
        <v>2057</v>
      </c>
      <c r="D6203">
        <v>2</v>
      </c>
      <c r="E6203" s="16">
        <v>23.46</v>
      </c>
      <c r="F6203" s="1">
        <v>44387</v>
      </c>
      <c r="G6203" t="s">
        <v>2012</v>
      </c>
      <c r="H6203">
        <v>4</v>
      </c>
      <c r="I6203" s="12">
        <f>Table16[[#This Row],[price]]*Table16[[#This Row],[quantity]]</f>
        <v>46.92</v>
      </c>
    </row>
    <row r="6204" spans="1:9" x14ac:dyDescent="0.3">
      <c r="A6204" t="s">
        <v>8223</v>
      </c>
      <c r="B6204" t="s">
        <v>1234</v>
      </c>
      <c r="C6204" t="s">
        <v>2011</v>
      </c>
      <c r="D6204">
        <v>2</v>
      </c>
      <c r="E6204" s="16">
        <v>81.319999999999993</v>
      </c>
      <c r="F6204" s="1">
        <v>44411</v>
      </c>
      <c r="G6204" t="s">
        <v>2027</v>
      </c>
      <c r="H6204">
        <v>3</v>
      </c>
      <c r="I6204" s="12">
        <f>Table16[[#This Row],[price]]*Table16[[#This Row],[quantity]]</f>
        <v>162.63999999999999</v>
      </c>
    </row>
    <row r="6205" spans="1:9" x14ac:dyDescent="0.3">
      <c r="A6205" t="s">
        <v>8219</v>
      </c>
      <c r="B6205" t="s">
        <v>1234</v>
      </c>
      <c r="C6205" t="s">
        <v>2001</v>
      </c>
      <c r="D6205">
        <v>4</v>
      </c>
      <c r="E6205" s="16">
        <v>1200.32</v>
      </c>
      <c r="F6205" s="1">
        <v>44483</v>
      </c>
      <c r="G6205" t="s">
        <v>2004</v>
      </c>
      <c r="H6205">
        <v>2</v>
      </c>
      <c r="I6205" s="12">
        <f>Table16[[#This Row],[price]]*Table16[[#This Row],[quantity]]</f>
        <v>4801.28</v>
      </c>
    </row>
    <row r="6206" spans="1:9" x14ac:dyDescent="0.3">
      <c r="A6206" t="s">
        <v>8220</v>
      </c>
      <c r="B6206" t="s">
        <v>1234</v>
      </c>
      <c r="C6206" t="s">
        <v>2001</v>
      </c>
      <c r="D6206">
        <v>2</v>
      </c>
      <c r="E6206" s="16">
        <v>600.16</v>
      </c>
      <c r="F6206" s="1">
        <v>44635</v>
      </c>
      <c r="G6206" t="s">
        <v>2027</v>
      </c>
      <c r="H6206">
        <v>3</v>
      </c>
      <c r="I6206" s="12">
        <f>Table16[[#This Row],[price]]*Table16[[#This Row],[quantity]]</f>
        <v>1200.32</v>
      </c>
    </row>
    <row r="6207" spans="1:9" x14ac:dyDescent="0.3">
      <c r="A6207" t="s">
        <v>8224</v>
      </c>
      <c r="B6207" t="s">
        <v>1234</v>
      </c>
      <c r="C6207" t="s">
        <v>2011</v>
      </c>
      <c r="D6207">
        <v>1</v>
      </c>
      <c r="E6207" s="16">
        <v>40.659999999999997</v>
      </c>
      <c r="F6207" s="1">
        <v>44729</v>
      </c>
      <c r="G6207" t="s">
        <v>2020</v>
      </c>
      <c r="H6207">
        <v>5</v>
      </c>
      <c r="I6207" s="12">
        <f>Table16[[#This Row],[price]]*Table16[[#This Row],[quantity]]</f>
        <v>40.659999999999997</v>
      </c>
    </row>
    <row r="6208" spans="1:9" x14ac:dyDescent="0.3">
      <c r="A6208" t="s">
        <v>8222</v>
      </c>
      <c r="B6208" t="s">
        <v>1234</v>
      </c>
      <c r="C6208" t="s">
        <v>2057</v>
      </c>
      <c r="D6208">
        <v>3</v>
      </c>
      <c r="E6208" s="16">
        <v>35.19</v>
      </c>
      <c r="F6208" s="1">
        <v>44761</v>
      </c>
      <c r="G6208" t="s">
        <v>2004</v>
      </c>
      <c r="H6208">
        <v>2</v>
      </c>
      <c r="I6208" s="12">
        <f>Table16[[#This Row],[price]]*Table16[[#This Row],[quantity]]</f>
        <v>105.57</v>
      </c>
    </row>
    <row r="6209" spans="1:9" x14ac:dyDescent="0.3">
      <c r="A6209" t="s">
        <v>8225</v>
      </c>
      <c r="B6209" t="s">
        <v>1234</v>
      </c>
      <c r="C6209" t="s">
        <v>2001</v>
      </c>
      <c r="D6209">
        <v>5</v>
      </c>
      <c r="E6209" s="16">
        <v>1500.4</v>
      </c>
      <c r="F6209" s="1">
        <v>44960</v>
      </c>
      <c r="G6209" t="s">
        <v>2058</v>
      </c>
      <c r="H6209">
        <v>3</v>
      </c>
      <c r="I6209" s="12">
        <f>Table16[[#This Row],[price]]*Table16[[#This Row],[quantity]]</f>
        <v>7502</v>
      </c>
    </row>
    <row r="6210" spans="1:9" x14ac:dyDescent="0.3">
      <c r="A6210" t="s">
        <v>8230</v>
      </c>
      <c r="B6210" t="s">
        <v>1235</v>
      </c>
      <c r="C6210" t="s">
        <v>2024</v>
      </c>
      <c r="D6210">
        <v>5</v>
      </c>
      <c r="E6210" s="16">
        <v>179.2</v>
      </c>
      <c r="F6210" s="1">
        <v>44488</v>
      </c>
      <c r="G6210" t="s">
        <v>2041</v>
      </c>
      <c r="H6210">
        <v>4</v>
      </c>
      <c r="I6210" s="12">
        <f>Table16[[#This Row],[price]]*Table16[[#This Row],[quantity]]</f>
        <v>896</v>
      </c>
    </row>
    <row r="6211" spans="1:9" x14ac:dyDescent="0.3">
      <c r="A6211" t="s">
        <v>8228</v>
      </c>
      <c r="B6211" t="s">
        <v>1235</v>
      </c>
      <c r="C6211" t="s">
        <v>2008</v>
      </c>
      <c r="D6211">
        <v>1</v>
      </c>
      <c r="E6211" s="16">
        <v>5.23</v>
      </c>
      <c r="F6211" s="1">
        <v>44499</v>
      </c>
      <c r="G6211" t="s">
        <v>2041</v>
      </c>
      <c r="H6211">
        <v>4</v>
      </c>
      <c r="I6211" s="12">
        <f>Table16[[#This Row],[price]]*Table16[[#This Row],[quantity]]</f>
        <v>5.23</v>
      </c>
    </row>
    <row r="6212" spans="1:9" x14ac:dyDescent="0.3">
      <c r="A6212" t="s">
        <v>8227</v>
      </c>
      <c r="B6212" t="s">
        <v>1235</v>
      </c>
      <c r="C6212" t="s">
        <v>2001</v>
      </c>
      <c r="D6212">
        <v>2</v>
      </c>
      <c r="E6212" s="16">
        <v>600.16</v>
      </c>
      <c r="F6212" s="1">
        <v>44784</v>
      </c>
      <c r="G6212" t="s">
        <v>2012</v>
      </c>
      <c r="H6212">
        <v>5</v>
      </c>
      <c r="I6212" s="12">
        <f>Table16[[#This Row],[price]]*Table16[[#This Row],[quantity]]</f>
        <v>1200.32</v>
      </c>
    </row>
    <row r="6213" spans="1:9" x14ac:dyDescent="0.3">
      <c r="A6213" t="s">
        <v>8229</v>
      </c>
      <c r="B6213" t="s">
        <v>1235</v>
      </c>
      <c r="C6213" t="s">
        <v>2057</v>
      </c>
      <c r="D6213">
        <v>1</v>
      </c>
      <c r="E6213" s="16">
        <v>11.73</v>
      </c>
      <c r="F6213" s="1">
        <v>44938</v>
      </c>
      <c r="G6213" t="s">
        <v>2009</v>
      </c>
      <c r="H6213">
        <v>5</v>
      </c>
      <c r="I6213" s="12">
        <f>Table16[[#This Row],[price]]*Table16[[#This Row],[quantity]]</f>
        <v>11.73</v>
      </c>
    </row>
    <row r="6214" spans="1:9" x14ac:dyDescent="0.3">
      <c r="A6214" t="s">
        <v>8226</v>
      </c>
      <c r="B6214" t="s">
        <v>1235</v>
      </c>
      <c r="C6214" t="s">
        <v>2006</v>
      </c>
      <c r="D6214">
        <v>3</v>
      </c>
      <c r="E6214" s="16">
        <v>45.45</v>
      </c>
      <c r="F6214" s="1">
        <v>44945</v>
      </c>
      <c r="G6214" t="s">
        <v>2027</v>
      </c>
      <c r="H6214">
        <v>2</v>
      </c>
      <c r="I6214" s="12">
        <f>Table16[[#This Row],[price]]*Table16[[#This Row],[quantity]]</f>
        <v>136.35000000000002</v>
      </c>
    </row>
    <row r="6215" spans="1:9" x14ac:dyDescent="0.3">
      <c r="A6215" t="s">
        <v>8236</v>
      </c>
      <c r="B6215" t="s">
        <v>1236</v>
      </c>
      <c r="C6215" t="s">
        <v>2001</v>
      </c>
      <c r="D6215">
        <v>3</v>
      </c>
      <c r="E6215" s="16">
        <v>900.24</v>
      </c>
      <c r="F6215" s="1">
        <v>44570</v>
      </c>
      <c r="G6215" t="s">
        <v>2002</v>
      </c>
      <c r="H6215">
        <v>4</v>
      </c>
      <c r="I6215" s="12">
        <f>Table16[[#This Row],[price]]*Table16[[#This Row],[quantity]]</f>
        <v>2700.7200000000003</v>
      </c>
    </row>
    <row r="6216" spans="1:9" x14ac:dyDescent="0.3">
      <c r="A6216" t="s">
        <v>8234</v>
      </c>
      <c r="B6216" t="s">
        <v>1236</v>
      </c>
      <c r="C6216" t="s">
        <v>2006</v>
      </c>
      <c r="D6216">
        <v>1</v>
      </c>
      <c r="E6216" s="16">
        <v>15.15</v>
      </c>
      <c r="F6216" s="1">
        <v>44603</v>
      </c>
      <c r="G6216" t="s">
        <v>2027</v>
      </c>
      <c r="H6216">
        <v>4</v>
      </c>
      <c r="I6216" s="12">
        <f>Table16[[#This Row],[price]]*Table16[[#This Row],[quantity]]</f>
        <v>15.15</v>
      </c>
    </row>
    <row r="6217" spans="1:9" x14ac:dyDescent="0.3">
      <c r="A6217" t="s">
        <v>8233</v>
      </c>
      <c r="B6217" t="s">
        <v>1236</v>
      </c>
      <c r="C6217" t="s">
        <v>2024</v>
      </c>
      <c r="D6217">
        <v>3</v>
      </c>
      <c r="E6217" s="16">
        <v>107.52</v>
      </c>
      <c r="F6217" s="1">
        <v>44647</v>
      </c>
      <c r="G6217" t="s">
        <v>2027</v>
      </c>
      <c r="H6217">
        <v>2</v>
      </c>
      <c r="I6217" s="12">
        <f>Table16[[#This Row],[price]]*Table16[[#This Row],[quantity]]</f>
        <v>322.56</v>
      </c>
    </row>
    <row r="6218" spans="1:9" x14ac:dyDescent="0.3">
      <c r="A6218" t="s">
        <v>8232</v>
      </c>
      <c r="B6218" t="s">
        <v>1236</v>
      </c>
      <c r="C6218" t="s">
        <v>2001</v>
      </c>
      <c r="D6218">
        <v>3</v>
      </c>
      <c r="E6218" s="16">
        <v>900.24</v>
      </c>
      <c r="F6218" s="1">
        <v>44769</v>
      </c>
      <c r="G6218" t="s">
        <v>2002</v>
      </c>
      <c r="H6218">
        <v>3</v>
      </c>
      <c r="I6218" s="12">
        <f>Table16[[#This Row],[price]]*Table16[[#This Row],[quantity]]</f>
        <v>2700.7200000000003</v>
      </c>
    </row>
    <row r="6219" spans="1:9" x14ac:dyDescent="0.3">
      <c r="A6219" t="s">
        <v>8235</v>
      </c>
      <c r="B6219" t="s">
        <v>1236</v>
      </c>
      <c r="C6219" t="s">
        <v>2001</v>
      </c>
      <c r="D6219">
        <v>3</v>
      </c>
      <c r="E6219" s="16">
        <v>900.24</v>
      </c>
      <c r="F6219" s="1">
        <v>44854</v>
      </c>
      <c r="G6219" t="s">
        <v>2004</v>
      </c>
      <c r="H6219">
        <v>1</v>
      </c>
      <c r="I6219" s="12">
        <f>Table16[[#This Row],[price]]*Table16[[#This Row],[quantity]]</f>
        <v>2700.7200000000003</v>
      </c>
    </row>
    <row r="6220" spans="1:9" x14ac:dyDescent="0.3">
      <c r="A6220" t="s">
        <v>8231</v>
      </c>
      <c r="B6220" t="s">
        <v>1236</v>
      </c>
      <c r="C6220" t="s">
        <v>2001</v>
      </c>
      <c r="D6220">
        <v>3</v>
      </c>
      <c r="E6220" s="16">
        <v>900.24</v>
      </c>
      <c r="F6220" s="1">
        <v>44923</v>
      </c>
      <c r="G6220" t="s">
        <v>2020</v>
      </c>
      <c r="H6220">
        <v>5</v>
      </c>
      <c r="I6220" s="12">
        <f>Table16[[#This Row],[price]]*Table16[[#This Row],[quantity]]</f>
        <v>2700.7200000000003</v>
      </c>
    </row>
    <row r="6221" spans="1:9" x14ac:dyDescent="0.3">
      <c r="A6221" t="s">
        <v>8241</v>
      </c>
      <c r="B6221" t="s">
        <v>1237</v>
      </c>
      <c r="C6221" t="s">
        <v>2008</v>
      </c>
      <c r="D6221">
        <v>5</v>
      </c>
      <c r="E6221" s="16">
        <v>26.15</v>
      </c>
      <c r="F6221" s="1">
        <v>44284</v>
      </c>
      <c r="G6221" t="s">
        <v>2064</v>
      </c>
      <c r="H6221">
        <v>3</v>
      </c>
      <c r="I6221" s="12">
        <f>Table16[[#This Row],[price]]*Table16[[#This Row],[quantity]]</f>
        <v>130.75</v>
      </c>
    </row>
    <row r="6222" spans="1:9" x14ac:dyDescent="0.3">
      <c r="A6222" t="s">
        <v>8240</v>
      </c>
      <c r="B6222" t="s">
        <v>1237</v>
      </c>
      <c r="C6222" t="s">
        <v>2008</v>
      </c>
      <c r="D6222">
        <v>4</v>
      </c>
      <c r="E6222" s="16">
        <v>20.92</v>
      </c>
      <c r="F6222" s="1">
        <v>44474</v>
      </c>
      <c r="G6222" t="s">
        <v>2002</v>
      </c>
      <c r="H6222">
        <v>3</v>
      </c>
      <c r="I6222" s="12">
        <f>Table16[[#This Row],[price]]*Table16[[#This Row],[quantity]]</f>
        <v>83.68</v>
      </c>
    </row>
    <row r="6223" spans="1:9" x14ac:dyDescent="0.3">
      <c r="A6223" t="s">
        <v>8237</v>
      </c>
      <c r="B6223" t="s">
        <v>1237</v>
      </c>
      <c r="C6223" t="s">
        <v>2057</v>
      </c>
      <c r="D6223">
        <v>4</v>
      </c>
      <c r="E6223" s="16">
        <v>46.92</v>
      </c>
      <c r="F6223" s="1">
        <v>44728</v>
      </c>
      <c r="G6223" t="s">
        <v>2020</v>
      </c>
      <c r="H6223">
        <v>5</v>
      </c>
      <c r="I6223" s="12">
        <f>Table16[[#This Row],[price]]*Table16[[#This Row],[quantity]]</f>
        <v>187.68</v>
      </c>
    </row>
    <row r="6224" spans="1:9" x14ac:dyDescent="0.3">
      <c r="A6224" t="s">
        <v>8238</v>
      </c>
      <c r="B6224" t="s">
        <v>1237</v>
      </c>
      <c r="C6224" t="s">
        <v>2024</v>
      </c>
      <c r="D6224">
        <v>3</v>
      </c>
      <c r="E6224" s="16">
        <v>107.52</v>
      </c>
      <c r="F6224" s="1">
        <v>44779</v>
      </c>
      <c r="G6224" t="s">
        <v>2027</v>
      </c>
      <c r="H6224">
        <v>4</v>
      </c>
      <c r="I6224" s="12">
        <f>Table16[[#This Row],[price]]*Table16[[#This Row],[quantity]]</f>
        <v>322.56</v>
      </c>
    </row>
    <row r="6225" spans="1:9" x14ac:dyDescent="0.3">
      <c r="A6225" t="s">
        <v>8242</v>
      </c>
      <c r="B6225" t="s">
        <v>1237</v>
      </c>
      <c r="C6225" t="s">
        <v>2001</v>
      </c>
      <c r="D6225">
        <v>2</v>
      </c>
      <c r="E6225" s="16">
        <v>600.16</v>
      </c>
      <c r="F6225" s="1">
        <v>44946</v>
      </c>
      <c r="G6225" t="s">
        <v>2027</v>
      </c>
      <c r="H6225">
        <v>1</v>
      </c>
      <c r="I6225" s="12">
        <f>Table16[[#This Row],[price]]*Table16[[#This Row],[quantity]]</f>
        <v>1200.32</v>
      </c>
    </row>
    <row r="6226" spans="1:9" x14ac:dyDescent="0.3">
      <c r="A6226" t="s">
        <v>8239</v>
      </c>
      <c r="B6226" t="s">
        <v>1237</v>
      </c>
      <c r="C6226" t="s">
        <v>2001</v>
      </c>
      <c r="D6226">
        <v>1</v>
      </c>
      <c r="E6226" s="16">
        <v>300.08</v>
      </c>
      <c r="F6226" s="1">
        <v>44976</v>
      </c>
      <c r="G6226" t="s">
        <v>2004</v>
      </c>
      <c r="H6226">
        <v>2</v>
      </c>
      <c r="I6226" s="12">
        <f>Table16[[#This Row],[price]]*Table16[[#This Row],[quantity]]</f>
        <v>300.08</v>
      </c>
    </row>
    <row r="6227" spans="1:9" x14ac:dyDescent="0.3">
      <c r="A6227" t="s">
        <v>8245</v>
      </c>
      <c r="B6227" t="s">
        <v>1238</v>
      </c>
      <c r="C6227" t="s">
        <v>2001</v>
      </c>
      <c r="D6227">
        <v>3</v>
      </c>
      <c r="E6227" s="16">
        <v>900.24</v>
      </c>
      <c r="F6227" s="1">
        <v>44290</v>
      </c>
      <c r="G6227" t="s">
        <v>2027</v>
      </c>
      <c r="H6227">
        <v>5</v>
      </c>
      <c r="I6227" s="12">
        <f>Table16[[#This Row],[price]]*Table16[[#This Row],[quantity]]</f>
        <v>2700.7200000000003</v>
      </c>
    </row>
    <row r="6228" spans="1:9" x14ac:dyDescent="0.3">
      <c r="A6228" t="s">
        <v>8244</v>
      </c>
      <c r="B6228" t="s">
        <v>1238</v>
      </c>
      <c r="C6228" t="s">
        <v>2024</v>
      </c>
      <c r="D6228">
        <v>1</v>
      </c>
      <c r="E6228" s="16">
        <v>35.840000000000003</v>
      </c>
      <c r="F6228" s="1">
        <v>44349</v>
      </c>
      <c r="G6228" t="s">
        <v>2027</v>
      </c>
      <c r="H6228">
        <v>4</v>
      </c>
      <c r="I6228" s="12">
        <f>Table16[[#This Row],[price]]*Table16[[#This Row],[quantity]]</f>
        <v>35.840000000000003</v>
      </c>
    </row>
    <row r="6229" spans="1:9" x14ac:dyDescent="0.3">
      <c r="A6229" t="s">
        <v>8246</v>
      </c>
      <c r="B6229" t="s">
        <v>1238</v>
      </c>
      <c r="C6229" t="s">
        <v>2011</v>
      </c>
      <c r="D6229">
        <v>2</v>
      </c>
      <c r="E6229" s="16">
        <v>81.319999999999993</v>
      </c>
      <c r="F6229" s="1">
        <v>44359</v>
      </c>
      <c r="G6229" t="s">
        <v>2018</v>
      </c>
      <c r="H6229">
        <v>4</v>
      </c>
      <c r="I6229" s="12">
        <f>Table16[[#This Row],[price]]*Table16[[#This Row],[quantity]]</f>
        <v>162.63999999999999</v>
      </c>
    </row>
    <row r="6230" spans="1:9" x14ac:dyDescent="0.3">
      <c r="A6230" t="s">
        <v>8247</v>
      </c>
      <c r="B6230" t="s">
        <v>1238</v>
      </c>
      <c r="C6230" t="s">
        <v>2001</v>
      </c>
      <c r="D6230">
        <v>2</v>
      </c>
      <c r="E6230" s="16">
        <v>600.16</v>
      </c>
      <c r="F6230" s="1">
        <v>44848</v>
      </c>
      <c r="G6230" t="s">
        <v>2004</v>
      </c>
      <c r="H6230">
        <v>1</v>
      </c>
      <c r="I6230" s="12">
        <f>Table16[[#This Row],[price]]*Table16[[#This Row],[quantity]]</f>
        <v>1200.32</v>
      </c>
    </row>
    <row r="6231" spans="1:9" x14ac:dyDescent="0.3">
      <c r="A6231" t="s">
        <v>8243</v>
      </c>
      <c r="B6231" t="s">
        <v>1238</v>
      </c>
      <c r="C6231" t="s">
        <v>2001</v>
      </c>
      <c r="D6231">
        <v>4</v>
      </c>
      <c r="E6231" s="16">
        <v>1200.32</v>
      </c>
      <c r="F6231" s="1">
        <v>44876</v>
      </c>
      <c r="G6231" t="s">
        <v>2027</v>
      </c>
      <c r="H6231">
        <v>2</v>
      </c>
      <c r="I6231" s="12">
        <f>Table16[[#This Row],[price]]*Table16[[#This Row],[quantity]]</f>
        <v>4801.28</v>
      </c>
    </row>
    <row r="6232" spans="1:9" x14ac:dyDescent="0.3">
      <c r="A6232" t="s">
        <v>8249</v>
      </c>
      <c r="B6232" t="s">
        <v>1239</v>
      </c>
      <c r="C6232" t="s">
        <v>2011</v>
      </c>
      <c r="D6232">
        <v>3</v>
      </c>
      <c r="E6232" s="16">
        <v>121.98</v>
      </c>
      <c r="F6232" s="1">
        <v>44203</v>
      </c>
      <c r="G6232" t="s">
        <v>2064</v>
      </c>
      <c r="H6232">
        <v>5</v>
      </c>
      <c r="I6232" s="12">
        <f>Table16[[#This Row],[price]]*Table16[[#This Row],[quantity]]</f>
        <v>365.94</v>
      </c>
    </row>
    <row r="6233" spans="1:9" x14ac:dyDescent="0.3">
      <c r="A6233" t="s">
        <v>8251</v>
      </c>
      <c r="B6233" t="s">
        <v>1239</v>
      </c>
      <c r="C6233" t="s">
        <v>2001</v>
      </c>
      <c r="D6233">
        <v>5</v>
      </c>
      <c r="E6233" s="16">
        <v>1500.4</v>
      </c>
      <c r="F6233" s="1">
        <v>44206</v>
      </c>
      <c r="G6233" t="s">
        <v>2027</v>
      </c>
      <c r="H6233">
        <v>3</v>
      </c>
      <c r="I6233" s="12">
        <f>Table16[[#This Row],[price]]*Table16[[#This Row],[quantity]]</f>
        <v>7502</v>
      </c>
    </row>
    <row r="6234" spans="1:9" x14ac:dyDescent="0.3">
      <c r="A6234" t="s">
        <v>8255</v>
      </c>
      <c r="B6234" t="s">
        <v>1239</v>
      </c>
      <c r="C6234" t="s">
        <v>2001</v>
      </c>
      <c r="D6234">
        <v>5</v>
      </c>
      <c r="E6234" s="16">
        <v>1500.4</v>
      </c>
      <c r="F6234" s="1">
        <v>44258</v>
      </c>
      <c r="G6234" t="s">
        <v>2009</v>
      </c>
      <c r="H6234">
        <v>1</v>
      </c>
      <c r="I6234" s="12">
        <f>Table16[[#This Row],[price]]*Table16[[#This Row],[quantity]]</f>
        <v>7502</v>
      </c>
    </row>
    <row r="6235" spans="1:9" x14ac:dyDescent="0.3">
      <c r="A6235" t="s">
        <v>8253</v>
      </c>
      <c r="B6235" t="s">
        <v>1239</v>
      </c>
      <c r="C6235" t="s">
        <v>2001</v>
      </c>
      <c r="D6235">
        <v>3</v>
      </c>
      <c r="E6235" s="16">
        <v>900.24</v>
      </c>
      <c r="F6235" s="1">
        <v>44289</v>
      </c>
      <c r="G6235" t="s">
        <v>2009</v>
      </c>
      <c r="H6235">
        <v>5</v>
      </c>
      <c r="I6235" s="12">
        <f>Table16[[#This Row],[price]]*Table16[[#This Row],[quantity]]</f>
        <v>2700.7200000000003</v>
      </c>
    </row>
    <row r="6236" spans="1:9" x14ac:dyDescent="0.3">
      <c r="A6236" t="s">
        <v>8254</v>
      </c>
      <c r="B6236" t="s">
        <v>1239</v>
      </c>
      <c r="C6236" t="s">
        <v>2001</v>
      </c>
      <c r="D6236">
        <v>4</v>
      </c>
      <c r="E6236" s="16">
        <v>1200.32</v>
      </c>
      <c r="F6236" s="1">
        <v>44322</v>
      </c>
      <c r="G6236" t="s">
        <v>2027</v>
      </c>
      <c r="H6236">
        <v>4</v>
      </c>
      <c r="I6236" s="12">
        <f>Table16[[#This Row],[price]]*Table16[[#This Row],[quantity]]</f>
        <v>4801.28</v>
      </c>
    </row>
    <row r="6237" spans="1:9" x14ac:dyDescent="0.3">
      <c r="A6237" t="s">
        <v>8250</v>
      </c>
      <c r="B6237" t="s">
        <v>1239</v>
      </c>
      <c r="C6237" t="s">
        <v>2015</v>
      </c>
      <c r="D6237">
        <v>3</v>
      </c>
      <c r="E6237" s="16">
        <v>1800.51</v>
      </c>
      <c r="F6237" s="1">
        <v>44425</v>
      </c>
      <c r="G6237" t="s">
        <v>2027</v>
      </c>
      <c r="H6237">
        <v>5</v>
      </c>
      <c r="I6237" s="12">
        <f>Table16[[#This Row],[price]]*Table16[[#This Row],[quantity]]</f>
        <v>5401.53</v>
      </c>
    </row>
    <row r="6238" spans="1:9" x14ac:dyDescent="0.3">
      <c r="A6238" t="s">
        <v>8248</v>
      </c>
      <c r="B6238" t="s">
        <v>1239</v>
      </c>
      <c r="C6238" t="s">
        <v>2001</v>
      </c>
      <c r="D6238">
        <v>1</v>
      </c>
      <c r="E6238" s="16">
        <v>300.08</v>
      </c>
      <c r="F6238" s="1">
        <v>44461</v>
      </c>
      <c r="G6238" t="s">
        <v>2012</v>
      </c>
      <c r="H6238">
        <v>2</v>
      </c>
      <c r="I6238" s="12">
        <f>Table16[[#This Row],[price]]*Table16[[#This Row],[quantity]]</f>
        <v>300.08</v>
      </c>
    </row>
    <row r="6239" spans="1:9" x14ac:dyDescent="0.3">
      <c r="A6239" t="s">
        <v>8252</v>
      </c>
      <c r="B6239" t="s">
        <v>1239</v>
      </c>
      <c r="C6239" t="s">
        <v>2011</v>
      </c>
      <c r="D6239">
        <v>5</v>
      </c>
      <c r="E6239" s="16">
        <v>203.3</v>
      </c>
      <c r="F6239" s="1">
        <v>44807</v>
      </c>
      <c r="G6239" t="s">
        <v>2027</v>
      </c>
      <c r="H6239">
        <v>1</v>
      </c>
      <c r="I6239" s="12">
        <f>Table16[[#This Row],[price]]*Table16[[#This Row],[quantity]]</f>
        <v>1016.5</v>
      </c>
    </row>
    <row r="6240" spans="1:9" x14ac:dyDescent="0.3">
      <c r="A6240" t="s">
        <v>8256</v>
      </c>
      <c r="B6240" t="s">
        <v>1240</v>
      </c>
      <c r="C6240" t="s">
        <v>2011</v>
      </c>
      <c r="D6240">
        <v>4</v>
      </c>
      <c r="E6240" s="16">
        <v>162.63999999999999</v>
      </c>
      <c r="F6240" s="1">
        <v>44536</v>
      </c>
      <c r="G6240" t="s">
        <v>2027</v>
      </c>
      <c r="H6240">
        <v>2</v>
      </c>
      <c r="I6240" s="12">
        <f>Table16[[#This Row],[price]]*Table16[[#This Row],[quantity]]</f>
        <v>650.55999999999995</v>
      </c>
    </row>
    <row r="6241" spans="1:9" x14ac:dyDescent="0.3">
      <c r="A6241" t="s">
        <v>8257</v>
      </c>
      <c r="B6241" t="s">
        <v>1240</v>
      </c>
      <c r="C6241" t="s">
        <v>2006</v>
      </c>
      <c r="D6241">
        <v>1</v>
      </c>
      <c r="E6241" s="16">
        <v>15.15</v>
      </c>
      <c r="F6241" s="1">
        <v>44689</v>
      </c>
      <c r="G6241" t="s">
        <v>2018</v>
      </c>
      <c r="H6241">
        <v>5</v>
      </c>
      <c r="I6241" s="12">
        <f>Table16[[#This Row],[price]]*Table16[[#This Row],[quantity]]</f>
        <v>15.15</v>
      </c>
    </row>
    <row r="6242" spans="1:9" x14ac:dyDescent="0.3">
      <c r="A6242" t="s">
        <v>8258</v>
      </c>
      <c r="B6242" t="s">
        <v>1240</v>
      </c>
      <c r="C6242" t="s">
        <v>2017</v>
      </c>
      <c r="D6242">
        <v>5</v>
      </c>
      <c r="E6242" s="16">
        <v>5250</v>
      </c>
      <c r="F6242" s="1">
        <v>44732</v>
      </c>
      <c r="G6242" t="s">
        <v>2020</v>
      </c>
      <c r="H6242">
        <v>3</v>
      </c>
      <c r="I6242" s="12">
        <f>Table16[[#This Row],[price]]*Table16[[#This Row],[quantity]]</f>
        <v>26250</v>
      </c>
    </row>
    <row r="6243" spans="1:9" x14ac:dyDescent="0.3">
      <c r="A6243" t="s">
        <v>8263</v>
      </c>
      <c r="B6243" t="s">
        <v>1241</v>
      </c>
      <c r="C6243" t="s">
        <v>2011</v>
      </c>
      <c r="D6243">
        <v>2</v>
      </c>
      <c r="E6243" s="16">
        <v>81.319999999999993</v>
      </c>
      <c r="F6243" s="1">
        <v>44408</v>
      </c>
      <c r="G6243" t="s">
        <v>2004</v>
      </c>
      <c r="H6243">
        <v>2</v>
      </c>
      <c r="I6243" s="12">
        <f>Table16[[#This Row],[price]]*Table16[[#This Row],[quantity]]</f>
        <v>162.63999999999999</v>
      </c>
    </row>
    <row r="6244" spans="1:9" x14ac:dyDescent="0.3">
      <c r="A6244" t="s">
        <v>8260</v>
      </c>
      <c r="B6244" t="s">
        <v>1241</v>
      </c>
      <c r="C6244" t="s">
        <v>2024</v>
      </c>
      <c r="D6244">
        <v>3</v>
      </c>
      <c r="E6244" s="16">
        <v>107.52</v>
      </c>
      <c r="F6244" s="1">
        <v>44426</v>
      </c>
      <c r="G6244" t="s">
        <v>2027</v>
      </c>
      <c r="H6244">
        <v>2</v>
      </c>
      <c r="I6244" s="12">
        <f>Table16[[#This Row],[price]]*Table16[[#This Row],[quantity]]</f>
        <v>322.56</v>
      </c>
    </row>
    <row r="6245" spans="1:9" x14ac:dyDescent="0.3">
      <c r="A6245" t="s">
        <v>8261</v>
      </c>
      <c r="B6245" t="s">
        <v>1241</v>
      </c>
      <c r="C6245" t="s">
        <v>2001</v>
      </c>
      <c r="D6245">
        <v>1</v>
      </c>
      <c r="E6245" s="16">
        <v>300.08</v>
      </c>
      <c r="F6245" s="1">
        <v>44470</v>
      </c>
      <c r="G6245" t="s">
        <v>2004</v>
      </c>
      <c r="H6245">
        <v>1</v>
      </c>
      <c r="I6245" s="12">
        <f>Table16[[#This Row],[price]]*Table16[[#This Row],[quantity]]</f>
        <v>300.08</v>
      </c>
    </row>
    <row r="6246" spans="1:9" x14ac:dyDescent="0.3">
      <c r="A6246" t="s">
        <v>8264</v>
      </c>
      <c r="B6246" t="s">
        <v>1241</v>
      </c>
      <c r="C6246" t="s">
        <v>2008</v>
      </c>
      <c r="D6246">
        <v>1</v>
      </c>
      <c r="E6246" s="16">
        <v>5.23</v>
      </c>
      <c r="F6246" s="1">
        <v>44550</v>
      </c>
      <c r="G6246" t="s">
        <v>2020</v>
      </c>
      <c r="H6246">
        <v>4</v>
      </c>
      <c r="I6246" s="12">
        <f>Table16[[#This Row],[price]]*Table16[[#This Row],[quantity]]</f>
        <v>5.23</v>
      </c>
    </row>
    <row r="6247" spans="1:9" x14ac:dyDescent="0.3">
      <c r="A6247" t="s">
        <v>8265</v>
      </c>
      <c r="B6247" t="s">
        <v>1241</v>
      </c>
      <c r="C6247" t="s">
        <v>2001</v>
      </c>
      <c r="D6247">
        <v>5</v>
      </c>
      <c r="E6247" s="16">
        <v>1500.4</v>
      </c>
      <c r="F6247" s="1">
        <v>44654</v>
      </c>
      <c r="G6247" t="s">
        <v>2004</v>
      </c>
      <c r="H6247">
        <v>3</v>
      </c>
      <c r="I6247" s="12">
        <f>Table16[[#This Row],[price]]*Table16[[#This Row],[quantity]]</f>
        <v>7502</v>
      </c>
    </row>
    <row r="6248" spans="1:9" x14ac:dyDescent="0.3">
      <c r="A6248" t="s">
        <v>8262</v>
      </c>
      <c r="B6248" t="s">
        <v>1241</v>
      </c>
      <c r="C6248" t="s">
        <v>2001</v>
      </c>
      <c r="D6248">
        <v>5</v>
      </c>
      <c r="E6248" s="16">
        <v>1500.4</v>
      </c>
      <c r="F6248" s="1">
        <v>44658</v>
      </c>
      <c r="G6248" t="s">
        <v>2004</v>
      </c>
      <c r="H6248">
        <v>2</v>
      </c>
      <c r="I6248" s="12">
        <f>Table16[[#This Row],[price]]*Table16[[#This Row],[quantity]]</f>
        <v>7502</v>
      </c>
    </row>
    <row r="6249" spans="1:9" x14ac:dyDescent="0.3">
      <c r="A6249" t="s">
        <v>8259</v>
      </c>
      <c r="B6249" t="s">
        <v>1241</v>
      </c>
      <c r="C6249" t="s">
        <v>2001</v>
      </c>
      <c r="D6249">
        <v>4</v>
      </c>
      <c r="E6249" s="16">
        <v>1200.32</v>
      </c>
      <c r="F6249" s="1">
        <v>44809</v>
      </c>
      <c r="G6249" t="s">
        <v>2002</v>
      </c>
      <c r="H6249">
        <v>1</v>
      </c>
      <c r="I6249" s="12">
        <f>Table16[[#This Row],[price]]*Table16[[#This Row],[quantity]]</f>
        <v>4801.28</v>
      </c>
    </row>
    <row r="6250" spans="1:9" x14ac:dyDescent="0.3">
      <c r="A6250" t="s">
        <v>8271</v>
      </c>
      <c r="B6250" t="s">
        <v>1242</v>
      </c>
      <c r="C6250" t="s">
        <v>2001</v>
      </c>
      <c r="D6250">
        <v>2</v>
      </c>
      <c r="E6250" s="16">
        <v>600.16</v>
      </c>
      <c r="F6250" s="1">
        <v>44306</v>
      </c>
      <c r="G6250" t="s">
        <v>2002</v>
      </c>
      <c r="H6250">
        <v>5</v>
      </c>
      <c r="I6250" s="12">
        <f>Table16[[#This Row],[price]]*Table16[[#This Row],[quantity]]</f>
        <v>1200.32</v>
      </c>
    </row>
    <row r="6251" spans="1:9" x14ac:dyDescent="0.3">
      <c r="A6251" t="s">
        <v>8269</v>
      </c>
      <c r="B6251" t="s">
        <v>1242</v>
      </c>
      <c r="C6251" t="s">
        <v>2008</v>
      </c>
      <c r="D6251">
        <v>2</v>
      </c>
      <c r="E6251" s="16">
        <v>10.46</v>
      </c>
      <c r="F6251" s="1">
        <v>44325</v>
      </c>
      <c r="G6251" t="s">
        <v>2004</v>
      </c>
      <c r="H6251">
        <v>2</v>
      </c>
      <c r="I6251" s="12">
        <f>Table16[[#This Row],[price]]*Table16[[#This Row],[quantity]]</f>
        <v>20.92</v>
      </c>
    </row>
    <row r="6252" spans="1:9" x14ac:dyDescent="0.3">
      <c r="A6252" t="s">
        <v>8270</v>
      </c>
      <c r="B6252" t="s">
        <v>1242</v>
      </c>
      <c r="C6252" t="s">
        <v>2008</v>
      </c>
      <c r="D6252">
        <v>1</v>
      </c>
      <c r="E6252" s="16">
        <v>5.23</v>
      </c>
      <c r="F6252" s="1">
        <v>44374</v>
      </c>
      <c r="G6252" t="s">
        <v>2027</v>
      </c>
      <c r="H6252">
        <v>1</v>
      </c>
      <c r="I6252" s="12">
        <f>Table16[[#This Row],[price]]*Table16[[#This Row],[quantity]]</f>
        <v>5.23</v>
      </c>
    </row>
    <row r="6253" spans="1:9" x14ac:dyDescent="0.3">
      <c r="A6253" t="s">
        <v>8268</v>
      </c>
      <c r="B6253" t="s">
        <v>1242</v>
      </c>
      <c r="C6253" t="s">
        <v>2024</v>
      </c>
      <c r="D6253">
        <v>2</v>
      </c>
      <c r="E6253" s="16">
        <v>71.680000000000007</v>
      </c>
      <c r="F6253" s="1">
        <v>44401</v>
      </c>
      <c r="G6253" t="s">
        <v>2002</v>
      </c>
      <c r="H6253">
        <v>3</v>
      </c>
      <c r="I6253" s="12">
        <f>Table16[[#This Row],[price]]*Table16[[#This Row],[quantity]]</f>
        <v>143.36000000000001</v>
      </c>
    </row>
    <row r="6254" spans="1:9" x14ac:dyDescent="0.3">
      <c r="A6254" t="s">
        <v>8267</v>
      </c>
      <c r="B6254" t="s">
        <v>1242</v>
      </c>
      <c r="C6254" t="s">
        <v>2008</v>
      </c>
      <c r="D6254">
        <v>1</v>
      </c>
      <c r="E6254" s="16">
        <v>5.23</v>
      </c>
      <c r="F6254" s="1">
        <v>44407</v>
      </c>
      <c r="G6254" t="s">
        <v>2064</v>
      </c>
      <c r="H6254">
        <v>5</v>
      </c>
      <c r="I6254" s="12">
        <f>Table16[[#This Row],[price]]*Table16[[#This Row],[quantity]]</f>
        <v>5.23</v>
      </c>
    </row>
    <row r="6255" spans="1:9" x14ac:dyDescent="0.3">
      <c r="A6255" t="s">
        <v>8266</v>
      </c>
      <c r="B6255" t="s">
        <v>1242</v>
      </c>
      <c r="C6255" t="s">
        <v>2001</v>
      </c>
      <c r="D6255">
        <v>1</v>
      </c>
      <c r="E6255" s="16">
        <v>300.08</v>
      </c>
      <c r="F6255" s="1">
        <v>44937</v>
      </c>
      <c r="G6255" t="s">
        <v>2064</v>
      </c>
      <c r="H6255">
        <v>2</v>
      </c>
      <c r="I6255" s="12">
        <f>Table16[[#This Row],[price]]*Table16[[#This Row],[quantity]]</f>
        <v>300.08</v>
      </c>
    </row>
    <row r="6256" spans="1:9" x14ac:dyDescent="0.3">
      <c r="A6256" t="s">
        <v>8273</v>
      </c>
      <c r="B6256" t="s">
        <v>1243</v>
      </c>
      <c r="C6256" t="s">
        <v>2001</v>
      </c>
      <c r="D6256">
        <v>2</v>
      </c>
      <c r="E6256" s="16">
        <v>600.16</v>
      </c>
      <c r="F6256" s="1">
        <v>44312</v>
      </c>
      <c r="G6256" t="s">
        <v>2027</v>
      </c>
      <c r="H6256">
        <v>4</v>
      </c>
      <c r="I6256" s="12">
        <f>Table16[[#This Row],[price]]*Table16[[#This Row],[quantity]]</f>
        <v>1200.32</v>
      </c>
    </row>
    <row r="6257" spans="1:9" x14ac:dyDescent="0.3">
      <c r="A6257" t="s">
        <v>8272</v>
      </c>
      <c r="B6257" t="s">
        <v>1243</v>
      </c>
      <c r="C6257" t="s">
        <v>2001</v>
      </c>
      <c r="D6257">
        <v>4</v>
      </c>
      <c r="E6257" s="16">
        <v>1200.32</v>
      </c>
      <c r="F6257" s="1">
        <v>44628</v>
      </c>
      <c r="G6257" t="s">
        <v>2002</v>
      </c>
      <c r="H6257">
        <v>5</v>
      </c>
      <c r="I6257" s="12">
        <f>Table16[[#This Row],[price]]*Table16[[#This Row],[quantity]]</f>
        <v>4801.28</v>
      </c>
    </row>
    <row r="6258" spans="1:9" x14ac:dyDescent="0.3">
      <c r="A6258" t="s">
        <v>8274</v>
      </c>
      <c r="B6258" t="s">
        <v>1244</v>
      </c>
      <c r="C6258" t="s">
        <v>2008</v>
      </c>
      <c r="D6258">
        <v>5</v>
      </c>
      <c r="E6258" s="16">
        <v>26.15</v>
      </c>
      <c r="F6258" s="1">
        <v>44222</v>
      </c>
      <c r="G6258" t="s">
        <v>2012</v>
      </c>
      <c r="H6258">
        <v>5</v>
      </c>
      <c r="I6258" s="12">
        <f>Table16[[#This Row],[price]]*Table16[[#This Row],[quantity]]</f>
        <v>130.75</v>
      </c>
    </row>
    <row r="6259" spans="1:9" x14ac:dyDescent="0.3">
      <c r="A6259" t="s">
        <v>8276</v>
      </c>
      <c r="B6259" t="s">
        <v>1244</v>
      </c>
      <c r="C6259" t="s">
        <v>2001</v>
      </c>
      <c r="D6259">
        <v>3</v>
      </c>
      <c r="E6259" s="16">
        <v>900.24</v>
      </c>
      <c r="F6259" s="1">
        <v>44513</v>
      </c>
      <c r="G6259" t="s">
        <v>2020</v>
      </c>
      <c r="H6259">
        <v>4</v>
      </c>
      <c r="I6259" s="12">
        <f>Table16[[#This Row],[price]]*Table16[[#This Row],[quantity]]</f>
        <v>2700.7200000000003</v>
      </c>
    </row>
    <row r="6260" spans="1:9" x14ac:dyDescent="0.3">
      <c r="A6260" t="s">
        <v>8275</v>
      </c>
      <c r="B6260" t="s">
        <v>1244</v>
      </c>
      <c r="C6260" t="s">
        <v>2011</v>
      </c>
      <c r="D6260">
        <v>4</v>
      </c>
      <c r="E6260" s="16">
        <v>162.63999999999999</v>
      </c>
      <c r="F6260" s="1">
        <v>44525</v>
      </c>
      <c r="G6260" t="s">
        <v>2004</v>
      </c>
      <c r="H6260">
        <v>2</v>
      </c>
      <c r="I6260" s="12">
        <f>Table16[[#This Row],[price]]*Table16[[#This Row],[quantity]]</f>
        <v>650.55999999999995</v>
      </c>
    </row>
    <row r="6261" spans="1:9" x14ac:dyDescent="0.3">
      <c r="A6261" t="s">
        <v>8277</v>
      </c>
      <c r="B6261" t="s">
        <v>1245</v>
      </c>
      <c r="C6261" t="s">
        <v>2024</v>
      </c>
      <c r="D6261">
        <v>2</v>
      </c>
      <c r="E6261" s="16">
        <v>71.680000000000007</v>
      </c>
      <c r="F6261" s="1">
        <v>44395</v>
      </c>
      <c r="G6261" t="s">
        <v>2020</v>
      </c>
      <c r="H6261">
        <v>1</v>
      </c>
      <c r="I6261" s="12">
        <f>Table16[[#This Row],[price]]*Table16[[#This Row],[quantity]]</f>
        <v>143.36000000000001</v>
      </c>
    </row>
    <row r="6262" spans="1:9" x14ac:dyDescent="0.3">
      <c r="A6262" t="s">
        <v>8281</v>
      </c>
      <c r="B6262" t="s">
        <v>1245</v>
      </c>
      <c r="C6262" t="s">
        <v>2017</v>
      </c>
      <c r="D6262">
        <v>4</v>
      </c>
      <c r="E6262" s="16">
        <v>4200</v>
      </c>
      <c r="F6262" s="1">
        <v>44530</v>
      </c>
      <c r="G6262" t="s">
        <v>2004</v>
      </c>
      <c r="H6262">
        <v>4</v>
      </c>
      <c r="I6262" s="12">
        <f>Table16[[#This Row],[price]]*Table16[[#This Row],[quantity]]</f>
        <v>16800</v>
      </c>
    </row>
    <row r="6263" spans="1:9" x14ac:dyDescent="0.3">
      <c r="A6263" t="s">
        <v>8280</v>
      </c>
      <c r="B6263" t="s">
        <v>1245</v>
      </c>
      <c r="C6263" t="s">
        <v>2006</v>
      </c>
      <c r="D6263">
        <v>3</v>
      </c>
      <c r="E6263" s="16">
        <v>45.45</v>
      </c>
      <c r="F6263" s="1">
        <v>44630</v>
      </c>
      <c r="G6263" t="s">
        <v>2002</v>
      </c>
      <c r="H6263">
        <v>1</v>
      </c>
      <c r="I6263" s="12">
        <f>Table16[[#This Row],[price]]*Table16[[#This Row],[quantity]]</f>
        <v>136.35000000000002</v>
      </c>
    </row>
    <row r="6264" spans="1:9" x14ac:dyDescent="0.3">
      <c r="A6264" t="s">
        <v>8278</v>
      </c>
      <c r="B6264" t="s">
        <v>1245</v>
      </c>
      <c r="C6264" t="s">
        <v>2001</v>
      </c>
      <c r="D6264">
        <v>4</v>
      </c>
      <c r="E6264" s="16">
        <v>1200.32</v>
      </c>
      <c r="F6264" s="1">
        <v>44861</v>
      </c>
      <c r="G6264" t="s">
        <v>2004</v>
      </c>
      <c r="H6264">
        <v>3</v>
      </c>
      <c r="I6264" s="12">
        <f>Table16[[#This Row],[price]]*Table16[[#This Row],[quantity]]</f>
        <v>4801.28</v>
      </c>
    </row>
    <row r="6265" spans="1:9" x14ac:dyDescent="0.3">
      <c r="A6265" t="s">
        <v>8279</v>
      </c>
      <c r="B6265" t="s">
        <v>1245</v>
      </c>
      <c r="C6265" t="s">
        <v>2008</v>
      </c>
      <c r="D6265">
        <v>2</v>
      </c>
      <c r="E6265" s="16">
        <v>10.46</v>
      </c>
      <c r="F6265" s="1">
        <v>44868</v>
      </c>
      <c r="G6265" t="s">
        <v>2041</v>
      </c>
      <c r="H6265">
        <v>5</v>
      </c>
      <c r="I6265" s="12">
        <f>Table16[[#This Row],[price]]*Table16[[#This Row],[quantity]]</f>
        <v>20.92</v>
      </c>
    </row>
    <row r="6266" spans="1:9" x14ac:dyDescent="0.3">
      <c r="A6266" t="s">
        <v>8286</v>
      </c>
      <c r="B6266" t="s">
        <v>1246</v>
      </c>
      <c r="C6266" t="s">
        <v>2011</v>
      </c>
      <c r="D6266">
        <v>5</v>
      </c>
      <c r="E6266" s="16">
        <v>203.3</v>
      </c>
      <c r="F6266" s="1">
        <v>44329</v>
      </c>
      <c r="G6266" t="s">
        <v>2027</v>
      </c>
      <c r="H6266">
        <v>4</v>
      </c>
      <c r="I6266" s="12">
        <f>Table16[[#This Row],[price]]*Table16[[#This Row],[quantity]]</f>
        <v>1016.5</v>
      </c>
    </row>
    <row r="6267" spans="1:9" x14ac:dyDescent="0.3">
      <c r="A6267" t="s">
        <v>8282</v>
      </c>
      <c r="B6267" t="s">
        <v>1246</v>
      </c>
      <c r="C6267" t="s">
        <v>2011</v>
      </c>
      <c r="D6267">
        <v>5</v>
      </c>
      <c r="E6267" s="16">
        <v>203.3</v>
      </c>
      <c r="F6267" s="1">
        <v>44484</v>
      </c>
      <c r="G6267" t="s">
        <v>2002</v>
      </c>
      <c r="H6267">
        <v>2</v>
      </c>
      <c r="I6267" s="12">
        <f>Table16[[#This Row],[price]]*Table16[[#This Row],[quantity]]</f>
        <v>1016.5</v>
      </c>
    </row>
    <row r="6268" spans="1:9" x14ac:dyDescent="0.3">
      <c r="A6268" t="s">
        <v>8284</v>
      </c>
      <c r="B6268" t="s">
        <v>1246</v>
      </c>
      <c r="C6268" t="s">
        <v>2057</v>
      </c>
      <c r="D6268">
        <v>5</v>
      </c>
      <c r="E6268" s="16">
        <v>58.65</v>
      </c>
      <c r="F6268" s="1">
        <v>44597</v>
      </c>
      <c r="G6268" t="s">
        <v>2041</v>
      </c>
      <c r="H6268">
        <v>3</v>
      </c>
      <c r="I6268" s="12">
        <f>Table16[[#This Row],[price]]*Table16[[#This Row],[quantity]]</f>
        <v>293.25</v>
      </c>
    </row>
    <row r="6269" spans="1:9" x14ac:dyDescent="0.3">
      <c r="A6269" t="s">
        <v>8285</v>
      </c>
      <c r="B6269" t="s">
        <v>1246</v>
      </c>
      <c r="C6269" t="s">
        <v>2008</v>
      </c>
      <c r="D6269">
        <v>4</v>
      </c>
      <c r="E6269" s="16">
        <v>20.92</v>
      </c>
      <c r="F6269" s="1">
        <v>44939</v>
      </c>
      <c r="G6269" t="s">
        <v>2012</v>
      </c>
      <c r="H6269">
        <v>5</v>
      </c>
      <c r="I6269" s="12">
        <f>Table16[[#This Row],[price]]*Table16[[#This Row],[quantity]]</f>
        <v>83.68</v>
      </c>
    </row>
    <row r="6270" spans="1:9" x14ac:dyDescent="0.3">
      <c r="A6270" t="s">
        <v>8283</v>
      </c>
      <c r="B6270" t="s">
        <v>1246</v>
      </c>
      <c r="C6270" t="s">
        <v>2001</v>
      </c>
      <c r="D6270">
        <v>4</v>
      </c>
      <c r="E6270" s="16">
        <v>1200.32</v>
      </c>
      <c r="F6270" s="1">
        <v>44961</v>
      </c>
      <c r="G6270" t="s">
        <v>2002</v>
      </c>
      <c r="H6270">
        <v>3</v>
      </c>
      <c r="I6270" s="12">
        <f>Table16[[#This Row],[price]]*Table16[[#This Row],[quantity]]</f>
        <v>4801.28</v>
      </c>
    </row>
    <row r="6271" spans="1:9" x14ac:dyDescent="0.3">
      <c r="A6271" t="s">
        <v>8288</v>
      </c>
      <c r="B6271" t="s">
        <v>1247</v>
      </c>
      <c r="C6271" t="s">
        <v>2024</v>
      </c>
      <c r="D6271">
        <v>2</v>
      </c>
      <c r="E6271" s="16">
        <v>71.680000000000007</v>
      </c>
      <c r="F6271" s="1">
        <v>44386</v>
      </c>
      <c r="G6271" t="s">
        <v>2018</v>
      </c>
      <c r="H6271">
        <v>3</v>
      </c>
      <c r="I6271" s="12">
        <f>Table16[[#This Row],[price]]*Table16[[#This Row],[quantity]]</f>
        <v>143.36000000000001</v>
      </c>
    </row>
    <row r="6272" spans="1:9" x14ac:dyDescent="0.3">
      <c r="A6272" t="s">
        <v>8287</v>
      </c>
      <c r="B6272" t="s">
        <v>1247</v>
      </c>
      <c r="C6272" t="s">
        <v>2015</v>
      </c>
      <c r="D6272">
        <v>4</v>
      </c>
      <c r="E6272" s="16">
        <v>2400.6799999999998</v>
      </c>
      <c r="F6272" s="1">
        <v>44592</v>
      </c>
      <c r="G6272" t="s">
        <v>2012</v>
      </c>
      <c r="H6272">
        <v>3</v>
      </c>
      <c r="I6272" s="12">
        <f>Table16[[#This Row],[price]]*Table16[[#This Row],[quantity]]</f>
        <v>9602.7199999999993</v>
      </c>
    </row>
    <row r="6273" spans="1:9" x14ac:dyDescent="0.3">
      <c r="A6273" t="s">
        <v>8291</v>
      </c>
      <c r="B6273" t="s">
        <v>1247</v>
      </c>
      <c r="C6273" t="s">
        <v>2006</v>
      </c>
      <c r="D6273">
        <v>2</v>
      </c>
      <c r="E6273" s="16">
        <v>30.3</v>
      </c>
      <c r="F6273" s="1">
        <v>44733</v>
      </c>
      <c r="G6273" t="s">
        <v>2004</v>
      </c>
      <c r="H6273">
        <v>3</v>
      </c>
      <c r="I6273" s="12">
        <f>Table16[[#This Row],[price]]*Table16[[#This Row],[quantity]]</f>
        <v>60.6</v>
      </c>
    </row>
    <row r="6274" spans="1:9" x14ac:dyDescent="0.3">
      <c r="A6274" t="s">
        <v>8290</v>
      </c>
      <c r="B6274" t="s">
        <v>1247</v>
      </c>
      <c r="C6274" t="s">
        <v>2015</v>
      </c>
      <c r="D6274">
        <v>1</v>
      </c>
      <c r="E6274" s="16">
        <v>600.16999999999996</v>
      </c>
      <c r="F6274" s="1">
        <v>44813</v>
      </c>
      <c r="G6274" t="s">
        <v>2002</v>
      </c>
      <c r="H6274">
        <v>1</v>
      </c>
      <c r="I6274" s="12">
        <f>Table16[[#This Row],[price]]*Table16[[#This Row],[quantity]]</f>
        <v>600.16999999999996</v>
      </c>
    </row>
    <row r="6275" spans="1:9" x14ac:dyDescent="0.3">
      <c r="A6275" t="s">
        <v>8289</v>
      </c>
      <c r="B6275" t="s">
        <v>1247</v>
      </c>
      <c r="C6275" t="s">
        <v>2001</v>
      </c>
      <c r="D6275">
        <v>2</v>
      </c>
      <c r="E6275" s="16">
        <v>600.16</v>
      </c>
      <c r="F6275" s="1">
        <v>44924</v>
      </c>
      <c r="G6275" t="s">
        <v>2009</v>
      </c>
      <c r="H6275">
        <v>4</v>
      </c>
      <c r="I6275" s="12">
        <f>Table16[[#This Row],[price]]*Table16[[#This Row],[quantity]]</f>
        <v>1200.32</v>
      </c>
    </row>
    <row r="6276" spans="1:9" x14ac:dyDescent="0.3">
      <c r="A6276" t="s">
        <v>8297</v>
      </c>
      <c r="B6276" t="s">
        <v>1248</v>
      </c>
      <c r="C6276" t="s">
        <v>2011</v>
      </c>
      <c r="D6276">
        <v>4</v>
      </c>
      <c r="E6276" s="16">
        <v>162.63999999999999</v>
      </c>
      <c r="F6276" s="1">
        <v>44345</v>
      </c>
      <c r="G6276" t="s">
        <v>2058</v>
      </c>
      <c r="H6276">
        <v>2</v>
      </c>
      <c r="I6276" s="12">
        <f>Table16[[#This Row],[price]]*Table16[[#This Row],[quantity]]</f>
        <v>650.55999999999995</v>
      </c>
    </row>
    <row r="6277" spans="1:9" x14ac:dyDescent="0.3">
      <c r="A6277" t="s">
        <v>8296</v>
      </c>
      <c r="B6277" t="s">
        <v>1248</v>
      </c>
      <c r="C6277" t="s">
        <v>2001</v>
      </c>
      <c r="D6277">
        <v>5</v>
      </c>
      <c r="E6277" s="16">
        <v>1500.4</v>
      </c>
      <c r="F6277" s="1">
        <v>44487</v>
      </c>
      <c r="G6277" t="s">
        <v>2002</v>
      </c>
      <c r="H6277">
        <v>2</v>
      </c>
      <c r="I6277" s="12">
        <f>Table16[[#This Row],[price]]*Table16[[#This Row],[quantity]]</f>
        <v>7502</v>
      </c>
    </row>
    <row r="6278" spans="1:9" x14ac:dyDescent="0.3">
      <c r="A6278" t="s">
        <v>8292</v>
      </c>
      <c r="B6278" t="s">
        <v>1248</v>
      </c>
      <c r="C6278" t="s">
        <v>2015</v>
      </c>
      <c r="D6278">
        <v>3</v>
      </c>
      <c r="E6278" s="16">
        <v>1800.51</v>
      </c>
      <c r="F6278" s="1">
        <v>44559</v>
      </c>
      <c r="G6278" t="s">
        <v>2002</v>
      </c>
      <c r="H6278">
        <v>1</v>
      </c>
      <c r="I6278" s="12">
        <f>Table16[[#This Row],[price]]*Table16[[#This Row],[quantity]]</f>
        <v>5401.53</v>
      </c>
    </row>
    <row r="6279" spans="1:9" x14ac:dyDescent="0.3">
      <c r="A6279" t="s">
        <v>8293</v>
      </c>
      <c r="B6279" t="s">
        <v>1248</v>
      </c>
      <c r="C6279" t="s">
        <v>2008</v>
      </c>
      <c r="D6279">
        <v>4</v>
      </c>
      <c r="E6279" s="16">
        <v>20.92</v>
      </c>
      <c r="F6279" s="1">
        <v>44787</v>
      </c>
      <c r="G6279" t="s">
        <v>2027</v>
      </c>
      <c r="H6279">
        <v>2</v>
      </c>
      <c r="I6279" s="12">
        <f>Table16[[#This Row],[price]]*Table16[[#This Row],[quantity]]</f>
        <v>83.68</v>
      </c>
    </row>
    <row r="6280" spans="1:9" x14ac:dyDescent="0.3">
      <c r="A6280" t="s">
        <v>8298</v>
      </c>
      <c r="B6280" t="s">
        <v>1248</v>
      </c>
      <c r="C6280" t="s">
        <v>2015</v>
      </c>
      <c r="D6280">
        <v>5</v>
      </c>
      <c r="E6280" s="16">
        <v>3000.85</v>
      </c>
      <c r="F6280" s="1">
        <v>44826</v>
      </c>
      <c r="G6280" t="s">
        <v>2027</v>
      </c>
      <c r="H6280">
        <v>2</v>
      </c>
      <c r="I6280" s="12">
        <f>Table16[[#This Row],[price]]*Table16[[#This Row],[quantity]]</f>
        <v>15004.25</v>
      </c>
    </row>
    <row r="6281" spans="1:9" x14ac:dyDescent="0.3">
      <c r="A6281" t="s">
        <v>8295</v>
      </c>
      <c r="B6281" t="s">
        <v>1248</v>
      </c>
      <c r="C6281" t="s">
        <v>2008</v>
      </c>
      <c r="D6281">
        <v>3</v>
      </c>
      <c r="E6281" s="16">
        <v>15.69</v>
      </c>
      <c r="F6281" s="1">
        <v>44901</v>
      </c>
      <c r="G6281" t="s">
        <v>2027</v>
      </c>
      <c r="H6281">
        <v>5</v>
      </c>
      <c r="I6281" s="12">
        <f>Table16[[#This Row],[price]]*Table16[[#This Row],[quantity]]</f>
        <v>47.07</v>
      </c>
    </row>
    <row r="6282" spans="1:9" x14ac:dyDescent="0.3">
      <c r="A6282" t="s">
        <v>8294</v>
      </c>
      <c r="B6282" t="s">
        <v>1248</v>
      </c>
      <c r="C6282" t="s">
        <v>2001</v>
      </c>
      <c r="D6282">
        <v>3</v>
      </c>
      <c r="E6282" s="16">
        <v>900.24</v>
      </c>
      <c r="F6282" s="1">
        <v>44971</v>
      </c>
      <c r="G6282" t="s">
        <v>2027</v>
      </c>
      <c r="H6282">
        <v>1</v>
      </c>
      <c r="I6282" s="12">
        <f>Table16[[#This Row],[price]]*Table16[[#This Row],[quantity]]</f>
        <v>2700.7200000000003</v>
      </c>
    </row>
    <row r="6283" spans="1:9" x14ac:dyDescent="0.3">
      <c r="A6283" t="s">
        <v>8305</v>
      </c>
      <c r="B6283" t="s">
        <v>1249</v>
      </c>
      <c r="C6283" t="s">
        <v>2008</v>
      </c>
      <c r="D6283">
        <v>4</v>
      </c>
      <c r="E6283" s="16">
        <v>20.92</v>
      </c>
      <c r="F6283" s="1">
        <v>44218</v>
      </c>
      <c r="G6283" t="s">
        <v>2004</v>
      </c>
      <c r="H6283">
        <v>1</v>
      </c>
      <c r="I6283" s="12">
        <f>Table16[[#This Row],[price]]*Table16[[#This Row],[quantity]]</f>
        <v>83.68</v>
      </c>
    </row>
    <row r="6284" spans="1:9" x14ac:dyDescent="0.3">
      <c r="A6284" t="s">
        <v>8304</v>
      </c>
      <c r="B6284" t="s">
        <v>1249</v>
      </c>
      <c r="C6284" t="s">
        <v>2001</v>
      </c>
      <c r="D6284">
        <v>2</v>
      </c>
      <c r="E6284" s="16">
        <v>600.16</v>
      </c>
      <c r="F6284" s="1">
        <v>44244</v>
      </c>
      <c r="G6284" t="s">
        <v>2064</v>
      </c>
      <c r="H6284">
        <v>5</v>
      </c>
      <c r="I6284" s="12">
        <f>Table16[[#This Row],[price]]*Table16[[#This Row],[quantity]]</f>
        <v>1200.32</v>
      </c>
    </row>
    <row r="6285" spans="1:9" x14ac:dyDescent="0.3">
      <c r="A6285" t="s">
        <v>8299</v>
      </c>
      <c r="B6285" t="s">
        <v>1249</v>
      </c>
      <c r="C6285" t="s">
        <v>2001</v>
      </c>
      <c r="D6285">
        <v>4</v>
      </c>
      <c r="E6285" s="16">
        <v>1200.32</v>
      </c>
      <c r="F6285" s="1">
        <v>44254</v>
      </c>
      <c r="G6285" t="s">
        <v>2009</v>
      </c>
      <c r="H6285">
        <v>5</v>
      </c>
      <c r="I6285" s="12">
        <f>Table16[[#This Row],[price]]*Table16[[#This Row],[quantity]]</f>
        <v>4801.28</v>
      </c>
    </row>
    <row r="6286" spans="1:9" x14ac:dyDescent="0.3">
      <c r="A6286" t="s">
        <v>8300</v>
      </c>
      <c r="B6286" t="s">
        <v>1249</v>
      </c>
      <c r="C6286" t="s">
        <v>2024</v>
      </c>
      <c r="D6286">
        <v>3</v>
      </c>
      <c r="E6286" s="16">
        <v>107.52</v>
      </c>
      <c r="F6286" s="1">
        <v>44407</v>
      </c>
      <c r="G6286" t="s">
        <v>2002</v>
      </c>
      <c r="H6286">
        <v>2</v>
      </c>
      <c r="I6286" s="12">
        <f>Table16[[#This Row],[price]]*Table16[[#This Row],[quantity]]</f>
        <v>322.56</v>
      </c>
    </row>
    <row r="6287" spans="1:9" x14ac:dyDescent="0.3">
      <c r="A6287" t="s">
        <v>8306</v>
      </c>
      <c r="B6287" t="s">
        <v>1249</v>
      </c>
      <c r="C6287" t="s">
        <v>2057</v>
      </c>
      <c r="D6287">
        <v>5</v>
      </c>
      <c r="E6287" s="16">
        <v>58.65</v>
      </c>
      <c r="F6287" s="1">
        <v>44490</v>
      </c>
      <c r="G6287" t="s">
        <v>2002</v>
      </c>
      <c r="H6287">
        <v>5</v>
      </c>
      <c r="I6287" s="12">
        <f>Table16[[#This Row],[price]]*Table16[[#This Row],[quantity]]</f>
        <v>293.25</v>
      </c>
    </row>
    <row r="6288" spans="1:9" x14ac:dyDescent="0.3">
      <c r="A6288" t="s">
        <v>8301</v>
      </c>
      <c r="B6288" t="s">
        <v>1249</v>
      </c>
      <c r="C6288" t="s">
        <v>2008</v>
      </c>
      <c r="D6288">
        <v>4</v>
      </c>
      <c r="E6288" s="16">
        <v>20.92</v>
      </c>
      <c r="F6288" s="1">
        <v>44514</v>
      </c>
      <c r="G6288" t="s">
        <v>2004</v>
      </c>
      <c r="H6288">
        <v>3</v>
      </c>
      <c r="I6288" s="12">
        <f>Table16[[#This Row],[price]]*Table16[[#This Row],[quantity]]</f>
        <v>83.68</v>
      </c>
    </row>
    <row r="6289" spans="1:9" x14ac:dyDescent="0.3">
      <c r="A6289" t="s">
        <v>8302</v>
      </c>
      <c r="B6289" t="s">
        <v>1249</v>
      </c>
      <c r="C6289" t="s">
        <v>2001</v>
      </c>
      <c r="D6289">
        <v>2</v>
      </c>
      <c r="E6289" s="16">
        <v>600.16</v>
      </c>
      <c r="F6289" s="1">
        <v>44613</v>
      </c>
      <c r="G6289" t="s">
        <v>2004</v>
      </c>
      <c r="H6289">
        <v>3</v>
      </c>
      <c r="I6289" s="12">
        <f>Table16[[#This Row],[price]]*Table16[[#This Row],[quantity]]</f>
        <v>1200.32</v>
      </c>
    </row>
    <row r="6290" spans="1:9" x14ac:dyDescent="0.3">
      <c r="A6290" t="s">
        <v>8303</v>
      </c>
      <c r="B6290" t="s">
        <v>1249</v>
      </c>
      <c r="C6290" t="s">
        <v>2001</v>
      </c>
      <c r="D6290">
        <v>3</v>
      </c>
      <c r="E6290" s="16">
        <v>900.24</v>
      </c>
      <c r="F6290" s="1">
        <v>44943</v>
      </c>
      <c r="G6290" t="s">
        <v>2058</v>
      </c>
      <c r="H6290">
        <v>2</v>
      </c>
      <c r="I6290" s="12">
        <f>Table16[[#This Row],[price]]*Table16[[#This Row],[quantity]]</f>
        <v>2700.7200000000003</v>
      </c>
    </row>
    <row r="6291" spans="1:9" x14ac:dyDescent="0.3">
      <c r="A6291" t="s">
        <v>8310</v>
      </c>
      <c r="B6291" t="s">
        <v>1250</v>
      </c>
      <c r="C6291" t="s">
        <v>2008</v>
      </c>
      <c r="D6291">
        <v>1</v>
      </c>
      <c r="E6291" s="16">
        <v>5.23</v>
      </c>
      <c r="F6291" s="1">
        <v>44251</v>
      </c>
      <c r="G6291" t="s">
        <v>2004</v>
      </c>
      <c r="H6291">
        <v>3</v>
      </c>
      <c r="I6291" s="12">
        <f>Table16[[#This Row],[price]]*Table16[[#This Row],[quantity]]</f>
        <v>5.23</v>
      </c>
    </row>
    <row r="6292" spans="1:9" x14ac:dyDescent="0.3">
      <c r="A6292" t="s">
        <v>8311</v>
      </c>
      <c r="B6292" t="s">
        <v>1250</v>
      </c>
      <c r="C6292" t="s">
        <v>2015</v>
      </c>
      <c r="D6292">
        <v>5</v>
      </c>
      <c r="E6292" s="16">
        <v>3000.85</v>
      </c>
      <c r="F6292" s="1">
        <v>44257</v>
      </c>
      <c r="G6292" t="s">
        <v>2002</v>
      </c>
      <c r="H6292">
        <v>4</v>
      </c>
      <c r="I6292" s="12">
        <f>Table16[[#This Row],[price]]*Table16[[#This Row],[quantity]]</f>
        <v>15004.25</v>
      </c>
    </row>
    <row r="6293" spans="1:9" x14ac:dyDescent="0.3">
      <c r="A6293" t="s">
        <v>8309</v>
      </c>
      <c r="B6293" t="s">
        <v>1250</v>
      </c>
      <c r="C6293" t="s">
        <v>2024</v>
      </c>
      <c r="D6293">
        <v>3</v>
      </c>
      <c r="E6293" s="16">
        <v>107.52</v>
      </c>
      <c r="F6293" s="1">
        <v>44366</v>
      </c>
      <c r="G6293" t="s">
        <v>2020</v>
      </c>
      <c r="H6293">
        <v>4</v>
      </c>
      <c r="I6293" s="12">
        <f>Table16[[#This Row],[price]]*Table16[[#This Row],[quantity]]</f>
        <v>322.56</v>
      </c>
    </row>
    <row r="6294" spans="1:9" x14ac:dyDescent="0.3">
      <c r="A6294" t="s">
        <v>8308</v>
      </c>
      <c r="B6294" t="s">
        <v>1250</v>
      </c>
      <c r="C6294" t="s">
        <v>2011</v>
      </c>
      <c r="D6294">
        <v>4</v>
      </c>
      <c r="E6294" s="16">
        <v>162.63999999999999</v>
      </c>
      <c r="F6294" s="1">
        <v>44460</v>
      </c>
      <c r="G6294" t="s">
        <v>2058</v>
      </c>
      <c r="H6294">
        <v>2</v>
      </c>
      <c r="I6294" s="12">
        <f>Table16[[#This Row],[price]]*Table16[[#This Row],[quantity]]</f>
        <v>650.55999999999995</v>
      </c>
    </row>
    <row r="6295" spans="1:9" x14ac:dyDescent="0.3">
      <c r="A6295" t="s">
        <v>8307</v>
      </c>
      <c r="B6295" t="s">
        <v>1250</v>
      </c>
      <c r="C6295" t="s">
        <v>2008</v>
      </c>
      <c r="D6295">
        <v>4</v>
      </c>
      <c r="E6295" s="16">
        <v>20.92</v>
      </c>
      <c r="F6295" s="1">
        <v>44877</v>
      </c>
      <c r="G6295" t="s">
        <v>2002</v>
      </c>
      <c r="H6295">
        <v>4</v>
      </c>
      <c r="I6295" s="12">
        <f>Table16[[#This Row],[price]]*Table16[[#This Row],[quantity]]</f>
        <v>83.68</v>
      </c>
    </row>
    <row r="6296" spans="1:9" x14ac:dyDescent="0.3">
      <c r="A6296" t="s">
        <v>8314</v>
      </c>
      <c r="B6296" t="s">
        <v>1251</v>
      </c>
      <c r="C6296" t="s">
        <v>2017</v>
      </c>
      <c r="D6296">
        <v>5</v>
      </c>
      <c r="E6296" s="16">
        <v>5250</v>
      </c>
      <c r="F6296" s="1">
        <v>44197</v>
      </c>
      <c r="G6296" t="s">
        <v>2004</v>
      </c>
      <c r="H6296">
        <v>1</v>
      </c>
      <c r="I6296" s="12">
        <f>Table16[[#This Row],[price]]*Table16[[#This Row],[quantity]]</f>
        <v>26250</v>
      </c>
    </row>
    <row r="6297" spans="1:9" x14ac:dyDescent="0.3">
      <c r="A6297" t="s">
        <v>8313</v>
      </c>
      <c r="B6297" t="s">
        <v>1251</v>
      </c>
      <c r="C6297" t="s">
        <v>2015</v>
      </c>
      <c r="D6297">
        <v>3</v>
      </c>
      <c r="E6297" s="16">
        <v>1800.51</v>
      </c>
      <c r="F6297" s="1">
        <v>44363</v>
      </c>
      <c r="G6297" t="s">
        <v>2027</v>
      </c>
      <c r="H6297">
        <v>4</v>
      </c>
      <c r="I6297" s="12">
        <f>Table16[[#This Row],[price]]*Table16[[#This Row],[quantity]]</f>
        <v>5401.53</v>
      </c>
    </row>
    <row r="6298" spans="1:9" x14ac:dyDescent="0.3">
      <c r="A6298" t="s">
        <v>8316</v>
      </c>
      <c r="B6298" t="s">
        <v>1251</v>
      </c>
      <c r="C6298" t="s">
        <v>2001</v>
      </c>
      <c r="D6298">
        <v>5</v>
      </c>
      <c r="E6298" s="16">
        <v>1500.4</v>
      </c>
      <c r="F6298" s="1">
        <v>44470</v>
      </c>
      <c r="G6298" t="s">
        <v>2027</v>
      </c>
      <c r="H6298">
        <v>4</v>
      </c>
      <c r="I6298" s="12">
        <f>Table16[[#This Row],[price]]*Table16[[#This Row],[quantity]]</f>
        <v>7502</v>
      </c>
    </row>
    <row r="6299" spans="1:9" x14ac:dyDescent="0.3">
      <c r="A6299" t="s">
        <v>8312</v>
      </c>
      <c r="B6299" t="s">
        <v>1251</v>
      </c>
      <c r="C6299" t="s">
        <v>2008</v>
      </c>
      <c r="D6299">
        <v>2</v>
      </c>
      <c r="E6299" s="16">
        <v>10.46</v>
      </c>
      <c r="F6299" s="1">
        <v>44473</v>
      </c>
      <c r="G6299" t="s">
        <v>2027</v>
      </c>
      <c r="H6299">
        <v>1</v>
      </c>
      <c r="I6299" s="12">
        <f>Table16[[#This Row],[price]]*Table16[[#This Row],[quantity]]</f>
        <v>20.92</v>
      </c>
    </row>
    <row r="6300" spans="1:9" x14ac:dyDescent="0.3">
      <c r="A6300" t="s">
        <v>8315</v>
      </c>
      <c r="B6300" t="s">
        <v>1251</v>
      </c>
      <c r="C6300" t="s">
        <v>2011</v>
      </c>
      <c r="D6300">
        <v>1</v>
      </c>
      <c r="E6300" s="16">
        <v>40.659999999999997</v>
      </c>
      <c r="F6300" s="1">
        <v>44603</v>
      </c>
      <c r="G6300" t="s">
        <v>2020</v>
      </c>
      <c r="H6300">
        <v>5</v>
      </c>
      <c r="I6300" s="12">
        <f>Table16[[#This Row],[price]]*Table16[[#This Row],[quantity]]</f>
        <v>40.659999999999997</v>
      </c>
    </row>
    <row r="6301" spans="1:9" x14ac:dyDescent="0.3">
      <c r="A6301" t="s">
        <v>8318</v>
      </c>
      <c r="B6301" t="s">
        <v>1252</v>
      </c>
      <c r="C6301" t="s">
        <v>2008</v>
      </c>
      <c r="D6301">
        <v>1</v>
      </c>
      <c r="E6301" s="16">
        <v>5.23</v>
      </c>
      <c r="F6301" s="1">
        <v>44524</v>
      </c>
      <c r="G6301" t="s">
        <v>2012</v>
      </c>
      <c r="H6301">
        <v>5</v>
      </c>
      <c r="I6301" s="12">
        <f>Table16[[#This Row],[price]]*Table16[[#This Row],[quantity]]</f>
        <v>5.23</v>
      </c>
    </row>
    <row r="6302" spans="1:9" x14ac:dyDescent="0.3">
      <c r="A6302" t="s">
        <v>8322</v>
      </c>
      <c r="B6302" t="s">
        <v>1252</v>
      </c>
      <c r="C6302" t="s">
        <v>2011</v>
      </c>
      <c r="D6302">
        <v>2</v>
      </c>
      <c r="E6302" s="16">
        <v>81.319999999999993</v>
      </c>
      <c r="F6302" s="1">
        <v>44545</v>
      </c>
      <c r="G6302" t="s">
        <v>2027</v>
      </c>
      <c r="H6302">
        <v>5</v>
      </c>
      <c r="I6302" s="12">
        <f>Table16[[#This Row],[price]]*Table16[[#This Row],[quantity]]</f>
        <v>162.63999999999999</v>
      </c>
    </row>
    <row r="6303" spans="1:9" x14ac:dyDescent="0.3">
      <c r="A6303" t="s">
        <v>8321</v>
      </c>
      <c r="B6303" t="s">
        <v>1252</v>
      </c>
      <c r="C6303" t="s">
        <v>2057</v>
      </c>
      <c r="D6303">
        <v>4</v>
      </c>
      <c r="E6303" s="16">
        <v>46.92</v>
      </c>
      <c r="F6303" s="1">
        <v>44550</v>
      </c>
      <c r="G6303" t="s">
        <v>2064</v>
      </c>
      <c r="H6303">
        <v>4</v>
      </c>
      <c r="I6303" s="12">
        <f>Table16[[#This Row],[price]]*Table16[[#This Row],[quantity]]</f>
        <v>187.68</v>
      </c>
    </row>
    <row r="6304" spans="1:9" x14ac:dyDescent="0.3">
      <c r="A6304" t="s">
        <v>8320</v>
      </c>
      <c r="B6304" t="s">
        <v>1252</v>
      </c>
      <c r="C6304" t="s">
        <v>2008</v>
      </c>
      <c r="D6304">
        <v>1</v>
      </c>
      <c r="E6304" s="16">
        <v>5.23</v>
      </c>
      <c r="F6304" s="1">
        <v>44806</v>
      </c>
      <c r="G6304" t="s">
        <v>2027</v>
      </c>
      <c r="H6304">
        <v>1</v>
      </c>
      <c r="I6304" s="12">
        <f>Table16[[#This Row],[price]]*Table16[[#This Row],[quantity]]</f>
        <v>5.23</v>
      </c>
    </row>
    <row r="6305" spans="1:9" x14ac:dyDescent="0.3">
      <c r="A6305" t="s">
        <v>8319</v>
      </c>
      <c r="B6305" t="s">
        <v>1252</v>
      </c>
      <c r="C6305" t="s">
        <v>2001</v>
      </c>
      <c r="D6305">
        <v>2</v>
      </c>
      <c r="E6305" s="16">
        <v>600.16</v>
      </c>
      <c r="F6305" s="1">
        <v>44885</v>
      </c>
      <c r="G6305" t="s">
        <v>2041</v>
      </c>
      <c r="H6305">
        <v>2</v>
      </c>
      <c r="I6305" s="12">
        <f>Table16[[#This Row],[price]]*Table16[[#This Row],[quantity]]</f>
        <v>1200.32</v>
      </c>
    </row>
    <row r="6306" spans="1:9" x14ac:dyDescent="0.3">
      <c r="A6306" t="s">
        <v>8317</v>
      </c>
      <c r="B6306" t="s">
        <v>1252</v>
      </c>
      <c r="C6306" t="s">
        <v>2008</v>
      </c>
      <c r="D6306">
        <v>3</v>
      </c>
      <c r="E6306" s="16">
        <v>15.69</v>
      </c>
      <c r="F6306" s="1">
        <v>44945</v>
      </c>
      <c r="G6306" t="s">
        <v>2002</v>
      </c>
      <c r="H6306">
        <v>2</v>
      </c>
      <c r="I6306" s="12">
        <f>Table16[[#This Row],[price]]*Table16[[#This Row],[quantity]]</f>
        <v>47.07</v>
      </c>
    </row>
    <row r="6307" spans="1:9" x14ac:dyDescent="0.3">
      <c r="A6307" t="s">
        <v>8323</v>
      </c>
      <c r="B6307" t="s">
        <v>1253</v>
      </c>
      <c r="C6307" t="s">
        <v>2001</v>
      </c>
      <c r="D6307">
        <v>1</v>
      </c>
      <c r="E6307" s="16">
        <v>300.08</v>
      </c>
      <c r="F6307" s="1">
        <v>44362</v>
      </c>
      <c r="G6307" t="s">
        <v>2002</v>
      </c>
      <c r="H6307">
        <v>2</v>
      </c>
      <c r="I6307" s="12">
        <f>Table16[[#This Row],[price]]*Table16[[#This Row],[quantity]]</f>
        <v>300.08</v>
      </c>
    </row>
    <row r="6308" spans="1:9" x14ac:dyDescent="0.3">
      <c r="A6308" t="s">
        <v>8326</v>
      </c>
      <c r="B6308" t="s">
        <v>1253</v>
      </c>
      <c r="C6308" t="s">
        <v>2024</v>
      </c>
      <c r="D6308">
        <v>1</v>
      </c>
      <c r="E6308" s="16">
        <v>35.840000000000003</v>
      </c>
      <c r="F6308" s="1">
        <v>44595</v>
      </c>
      <c r="G6308" t="s">
        <v>2009</v>
      </c>
      <c r="H6308">
        <v>3</v>
      </c>
      <c r="I6308" s="12">
        <f>Table16[[#This Row],[price]]*Table16[[#This Row],[quantity]]</f>
        <v>35.840000000000003</v>
      </c>
    </row>
    <row r="6309" spans="1:9" x14ac:dyDescent="0.3">
      <c r="A6309" t="s">
        <v>8325</v>
      </c>
      <c r="B6309" t="s">
        <v>1253</v>
      </c>
      <c r="C6309" t="s">
        <v>2011</v>
      </c>
      <c r="D6309">
        <v>3</v>
      </c>
      <c r="E6309" s="16">
        <v>121.98</v>
      </c>
      <c r="F6309" s="1">
        <v>44601</v>
      </c>
      <c r="G6309" t="s">
        <v>2020</v>
      </c>
      <c r="H6309">
        <v>4</v>
      </c>
      <c r="I6309" s="12">
        <f>Table16[[#This Row],[price]]*Table16[[#This Row],[quantity]]</f>
        <v>365.94</v>
      </c>
    </row>
    <row r="6310" spans="1:9" x14ac:dyDescent="0.3">
      <c r="A6310" t="s">
        <v>8324</v>
      </c>
      <c r="B6310" t="s">
        <v>1253</v>
      </c>
      <c r="C6310" t="s">
        <v>2024</v>
      </c>
      <c r="D6310">
        <v>1</v>
      </c>
      <c r="E6310" s="16">
        <v>35.840000000000003</v>
      </c>
      <c r="F6310" s="1">
        <v>44666</v>
      </c>
      <c r="G6310" t="s">
        <v>2064</v>
      </c>
      <c r="H6310">
        <v>2</v>
      </c>
      <c r="I6310" s="12">
        <f>Table16[[#This Row],[price]]*Table16[[#This Row],[quantity]]</f>
        <v>35.840000000000003</v>
      </c>
    </row>
    <row r="6311" spans="1:9" x14ac:dyDescent="0.3">
      <c r="A6311" t="s">
        <v>8331</v>
      </c>
      <c r="B6311" t="s">
        <v>1254</v>
      </c>
      <c r="C6311" t="s">
        <v>2006</v>
      </c>
      <c r="D6311">
        <v>3</v>
      </c>
      <c r="E6311" s="16">
        <v>45.45</v>
      </c>
      <c r="F6311" s="1">
        <v>44337</v>
      </c>
      <c r="G6311" t="s">
        <v>2027</v>
      </c>
      <c r="H6311">
        <v>4</v>
      </c>
      <c r="I6311" s="12">
        <f>Table16[[#This Row],[price]]*Table16[[#This Row],[quantity]]</f>
        <v>136.35000000000002</v>
      </c>
    </row>
    <row r="6312" spans="1:9" x14ac:dyDescent="0.3">
      <c r="A6312" t="s">
        <v>8334</v>
      </c>
      <c r="B6312" t="s">
        <v>1254</v>
      </c>
      <c r="C6312" t="s">
        <v>2001</v>
      </c>
      <c r="D6312">
        <v>3</v>
      </c>
      <c r="E6312" s="16">
        <v>900.24</v>
      </c>
      <c r="F6312" s="1">
        <v>44351</v>
      </c>
      <c r="G6312" t="s">
        <v>2004</v>
      </c>
      <c r="H6312">
        <v>5</v>
      </c>
      <c r="I6312" s="12">
        <f>Table16[[#This Row],[price]]*Table16[[#This Row],[quantity]]</f>
        <v>2700.7200000000003</v>
      </c>
    </row>
    <row r="6313" spans="1:9" x14ac:dyDescent="0.3">
      <c r="A6313" t="s">
        <v>8327</v>
      </c>
      <c r="B6313" t="s">
        <v>1254</v>
      </c>
      <c r="C6313" t="s">
        <v>2015</v>
      </c>
      <c r="D6313">
        <v>4</v>
      </c>
      <c r="E6313" s="16">
        <v>2400.6799999999998</v>
      </c>
      <c r="F6313" s="1">
        <v>44447</v>
      </c>
      <c r="G6313" t="s">
        <v>2064</v>
      </c>
      <c r="H6313">
        <v>5</v>
      </c>
      <c r="I6313" s="12">
        <f>Table16[[#This Row],[price]]*Table16[[#This Row],[quantity]]</f>
        <v>9602.7199999999993</v>
      </c>
    </row>
    <row r="6314" spans="1:9" x14ac:dyDescent="0.3">
      <c r="A6314" t="s">
        <v>8333</v>
      </c>
      <c r="B6314" t="s">
        <v>1254</v>
      </c>
      <c r="C6314" t="s">
        <v>2015</v>
      </c>
      <c r="D6314">
        <v>3</v>
      </c>
      <c r="E6314" s="16">
        <v>1800.51</v>
      </c>
      <c r="F6314" s="1">
        <v>44596</v>
      </c>
      <c r="G6314" t="s">
        <v>2020</v>
      </c>
      <c r="H6314">
        <v>3</v>
      </c>
      <c r="I6314" s="12">
        <f>Table16[[#This Row],[price]]*Table16[[#This Row],[quantity]]</f>
        <v>5401.53</v>
      </c>
    </row>
    <row r="6315" spans="1:9" x14ac:dyDescent="0.3">
      <c r="A6315" t="s">
        <v>8329</v>
      </c>
      <c r="B6315" t="s">
        <v>1254</v>
      </c>
      <c r="C6315" t="s">
        <v>2015</v>
      </c>
      <c r="D6315">
        <v>1</v>
      </c>
      <c r="E6315" s="16">
        <v>600.16999999999996</v>
      </c>
      <c r="F6315" s="1">
        <v>44637</v>
      </c>
      <c r="G6315" t="s">
        <v>2027</v>
      </c>
      <c r="H6315">
        <v>4</v>
      </c>
      <c r="I6315" s="12">
        <f>Table16[[#This Row],[price]]*Table16[[#This Row],[quantity]]</f>
        <v>600.16999999999996</v>
      </c>
    </row>
    <row r="6316" spans="1:9" x14ac:dyDescent="0.3">
      <c r="A6316" t="s">
        <v>8330</v>
      </c>
      <c r="B6316" t="s">
        <v>1254</v>
      </c>
      <c r="C6316" t="s">
        <v>2006</v>
      </c>
      <c r="D6316">
        <v>1</v>
      </c>
      <c r="E6316" s="16">
        <v>15.15</v>
      </c>
      <c r="F6316" s="1">
        <v>44744</v>
      </c>
      <c r="G6316" t="s">
        <v>2027</v>
      </c>
      <c r="H6316">
        <v>4</v>
      </c>
      <c r="I6316" s="12">
        <f>Table16[[#This Row],[price]]*Table16[[#This Row],[quantity]]</f>
        <v>15.15</v>
      </c>
    </row>
    <row r="6317" spans="1:9" x14ac:dyDescent="0.3">
      <c r="A6317" t="s">
        <v>8332</v>
      </c>
      <c r="B6317" t="s">
        <v>1254</v>
      </c>
      <c r="C6317" t="s">
        <v>2001</v>
      </c>
      <c r="D6317">
        <v>2</v>
      </c>
      <c r="E6317" s="16">
        <v>600.16</v>
      </c>
      <c r="F6317" s="1">
        <v>44773</v>
      </c>
      <c r="G6317" t="s">
        <v>2027</v>
      </c>
      <c r="H6317">
        <v>4</v>
      </c>
      <c r="I6317" s="12">
        <f>Table16[[#This Row],[price]]*Table16[[#This Row],[quantity]]</f>
        <v>1200.32</v>
      </c>
    </row>
    <row r="6318" spans="1:9" x14ac:dyDescent="0.3">
      <c r="A6318" t="s">
        <v>8328</v>
      </c>
      <c r="B6318" t="s">
        <v>1254</v>
      </c>
      <c r="C6318" t="s">
        <v>2017</v>
      </c>
      <c r="D6318">
        <v>3</v>
      </c>
      <c r="E6318" s="16">
        <v>3150</v>
      </c>
      <c r="F6318" s="1">
        <v>44898</v>
      </c>
      <c r="G6318" t="s">
        <v>2002</v>
      </c>
      <c r="H6318">
        <v>5</v>
      </c>
      <c r="I6318" s="12">
        <f>Table16[[#This Row],[price]]*Table16[[#This Row],[quantity]]</f>
        <v>9450</v>
      </c>
    </row>
    <row r="6319" spans="1:9" x14ac:dyDescent="0.3">
      <c r="A6319" t="s">
        <v>8335</v>
      </c>
      <c r="B6319" t="s">
        <v>1254</v>
      </c>
      <c r="C6319" t="s">
        <v>2001</v>
      </c>
      <c r="D6319">
        <v>4</v>
      </c>
      <c r="E6319" s="16">
        <v>1200.32</v>
      </c>
      <c r="F6319" s="1">
        <v>44946</v>
      </c>
      <c r="G6319" t="s">
        <v>2064</v>
      </c>
      <c r="H6319">
        <v>5</v>
      </c>
      <c r="I6319" s="12">
        <f>Table16[[#This Row],[price]]*Table16[[#This Row],[quantity]]</f>
        <v>4801.28</v>
      </c>
    </row>
    <row r="6320" spans="1:9" x14ac:dyDescent="0.3">
      <c r="A6320" t="s">
        <v>8341</v>
      </c>
      <c r="B6320" t="s">
        <v>1255</v>
      </c>
      <c r="C6320" t="s">
        <v>2024</v>
      </c>
      <c r="D6320">
        <v>4</v>
      </c>
      <c r="E6320" s="16">
        <v>143.36000000000001</v>
      </c>
      <c r="F6320" s="1">
        <v>44365</v>
      </c>
      <c r="G6320" t="s">
        <v>2012</v>
      </c>
      <c r="H6320">
        <v>2</v>
      </c>
      <c r="I6320" s="12">
        <f>Table16[[#This Row],[price]]*Table16[[#This Row],[quantity]]</f>
        <v>573.44000000000005</v>
      </c>
    </row>
    <row r="6321" spans="1:9" x14ac:dyDescent="0.3">
      <c r="A6321" t="s">
        <v>8340</v>
      </c>
      <c r="B6321" t="s">
        <v>1255</v>
      </c>
      <c r="C6321" t="s">
        <v>2001</v>
      </c>
      <c r="D6321">
        <v>4</v>
      </c>
      <c r="E6321" s="16">
        <v>1200.32</v>
      </c>
      <c r="F6321" s="1">
        <v>44387</v>
      </c>
      <c r="G6321" t="s">
        <v>2041</v>
      </c>
      <c r="H6321">
        <v>3</v>
      </c>
      <c r="I6321" s="12">
        <f>Table16[[#This Row],[price]]*Table16[[#This Row],[quantity]]</f>
        <v>4801.28</v>
      </c>
    </row>
    <row r="6322" spans="1:9" x14ac:dyDescent="0.3">
      <c r="A6322" t="s">
        <v>8338</v>
      </c>
      <c r="B6322" t="s">
        <v>1255</v>
      </c>
      <c r="C6322" t="s">
        <v>2008</v>
      </c>
      <c r="D6322">
        <v>2</v>
      </c>
      <c r="E6322" s="16">
        <v>10.46</v>
      </c>
      <c r="F6322" s="1">
        <v>44575</v>
      </c>
      <c r="G6322" t="s">
        <v>2027</v>
      </c>
      <c r="H6322">
        <v>1</v>
      </c>
      <c r="I6322" s="12">
        <f>Table16[[#This Row],[price]]*Table16[[#This Row],[quantity]]</f>
        <v>20.92</v>
      </c>
    </row>
    <row r="6323" spans="1:9" x14ac:dyDescent="0.3">
      <c r="A6323" t="s">
        <v>8336</v>
      </c>
      <c r="B6323" t="s">
        <v>1255</v>
      </c>
      <c r="C6323" t="s">
        <v>2011</v>
      </c>
      <c r="D6323">
        <v>4</v>
      </c>
      <c r="E6323" s="16">
        <v>162.63999999999999</v>
      </c>
      <c r="F6323" s="1">
        <v>44591</v>
      </c>
      <c r="G6323" t="s">
        <v>2004</v>
      </c>
      <c r="H6323">
        <v>3</v>
      </c>
      <c r="I6323" s="12">
        <f>Table16[[#This Row],[price]]*Table16[[#This Row],[quantity]]</f>
        <v>650.55999999999995</v>
      </c>
    </row>
    <row r="6324" spans="1:9" x14ac:dyDescent="0.3">
      <c r="A6324" t="s">
        <v>8342</v>
      </c>
      <c r="B6324" t="s">
        <v>1255</v>
      </c>
      <c r="C6324" t="s">
        <v>2011</v>
      </c>
      <c r="D6324">
        <v>2</v>
      </c>
      <c r="E6324" s="16">
        <v>81.319999999999993</v>
      </c>
      <c r="F6324" s="1">
        <v>44700</v>
      </c>
      <c r="G6324" t="s">
        <v>2064</v>
      </c>
      <c r="H6324">
        <v>5</v>
      </c>
      <c r="I6324" s="12">
        <f>Table16[[#This Row],[price]]*Table16[[#This Row],[quantity]]</f>
        <v>162.63999999999999</v>
      </c>
    </row>
    <row r="6325" spans="1:9" x14ac:dyDescent="0.3">
      <c r="A6325" t="s">
        <v>8339</v>
      </c>
      <c r="B6325" t="s">
        <v>1255</v>
      </c>
      <c r="C6325" t="s">
        <v>2001</v>
      </c>
      <c r="D6325">
        <v>3</v>
      </c>
      <c r="E6325" s="16">
        <v>900.24</v>
      </c>
      <c r="F6325" s="1">
        <v>44764</v>
      </c>
      <c r="G6325" t="s">
        <v>2004</v>
      </c>
      <c r="H6325">
        <v>5</v>
      </c>
      <c r="I6325" s="12">
        <f>Table16[[#This Row],[price]]*Table16[[#This Row],[quantity]]</f>
        <v>2700.7200000000003</v>
      </c>
    </row>
    <row r="6326" spans="1:9" x14ac:dyDescent="0.3">
      <c r="A6326" t="s">
        <v>8337</v>
      </c>
      <c r="B6326" t="s">
        <v>1255</v>
      </c>
      <c r="C6326" t="s">
        <v>2057</v>
      </c>
      <c r="D6326">
        <v>5</v>
      </c>
      <c r="E6326" s="16">
        <v>58.65</v>
      </c>
      <c r="F6326" s="1">
        <v>44964</v>
      </c>
      <c r="G6326" t="s">
        <v>2002</v>
      </c>
      <c r="H6326">
        <v>1</v>
      </c>
      <c r="I6326" s="12">
        <f>Table16[[#This Row],[price]]*Table16[[#This Row],[quantity]]</f>
        <v>293.25</v>
      </c>
    </row>
    <row r="6327" spans="1:9" x14ac:dyDescent="0.3">
      <c r="A6327" t="s">
        <v>8343</v>
      </c>
      <c r="B6327" t="s">
        <v>1256</v>
      </c>
      <c r="C6327" t="s">
        <v>2001</v>
      </c>
      <c r="D6327">
        <v>2</v>
      </c>
      <c r="E6327" s="16">
        <v>600.16</v>
      </c>
      <c r="F6327" s="1">
        <v>44313</v>
      </c>
      <c r="G6327" t="s">
        <v>2002</v>
      </c>
      <c r="H6327">
        <v>5</v>
      </c>
      <c r="I6327" s="12">
        <f>Table16[[#This Row],[price]]*Table16[[#This Row],[quantity]]</f>
        <v>1200.32</v>
      </c>
    </row>
    <row r="6328" spans="1:9" x14ac:dyDescent="0.3">
      <c r="A6328" t="s">
        <v>8348</v>
      </c>
      <c r="B6328" t="s">
        <v>1256</v>
      </c>
      <c r="C6328" t="s">
        <v>2024</v>
      </c>
      <c r="D6328">
        <v>4</v>
      </c>
      <c r="E6328" s="16">
        <v>143.36000000000001</v>
      </c>
      <c r="F6328" s="1">
        <v>44457</v>
      </c>
      <c r="G6328" t="s">
        <v>2020</v>
      </c>
      <c r="H6328">
        <v>3</v>
      </c>
      <c r="I6328" s="12">
        <f>Table16[[#This Row],[price]]*Table16[[#This Row],[quantity]]</f>
        <v>573.44000000000005</v>
      </c>
    </row>
    <row r="6329" spans="1:9" x14ac:dyDescent="0.3">
      <c r="A6329" t="s">
        <v>8347</v>
      </c>
      <c r="B6329" t="s">
        <v>1256</v>
      </c>
      <c r="C6329" t="s">
        <v>2006</v>
      </c>
      <c r="D6329">
        <v>4</v>
      </c>
      <c r="E6329" s="16">
        <v>60.6</v>
      </c>
      <c r="F6329" s="1">
        <v>44485</v>
      </c>
      <c r="G6329" t="s">
        <v>2020</v>
      </c>
      <c r="H6329">
        <v>3</v>
      </c>
      <c r="I6329" s="12">
        <f>Table16[[#This Row],[price]]*Table16[[#This Row],[quantity]]</f>
        <v>242.4</v>
      </c>
    </row>
    <row r="6330" spans="1:9" x14ac:dyDescent="0.3">
      <c r="A6330" t="s">
        <v>8345</v>
      </c>
      <c r="B6330" t="s">
        <v>1256</v>
      </c>
      <c r="C6330" t="s">
        <v>2001</v>
      </c>
      <c r="D6330">
        <v>3</v>
      </c>
      <c r="E6330" s="16">
        <v>900.24</v>
      </c>
      <c r="F6330" s="1">
        <v>44610</v>
      </c>
      <c r="G6330" t="s">
        <v>2027</v>
      </c>
      <c r="H6330">
        <v>3</v>
      </c>
      <c r="I6330" s="12">
        <f>Table16[[#This Row],[price]]*Table16[[#This Row],[quantity]]</f>
        <v>2700.7200000000003</v>
      </c>
    </row>
    <row r="6331" spans="1:9" x14ac:dyDescent="0.3">
      <c r="A6331" t="s">
        <v>8344</v>
      </c>
      <c r="B6331" t="s">
        <v>1256</v>
      </c>
      <c r="C6331" t="s">
        <v>2024</v>
      </c>
      <c r="D6331">
        <v>2</v>
      </c>
      <c r="E6331" s="16">
        <v>71.680000000000007</v>
      </c>
      <c r="F6331" s="1">
        <v>44704</v>
      </c>
      <c r="G6331" t="s">
        <v>2002</v>
      </c>
      <c r="H6331">
        <v>1</v>
      </c>
      <c r="I6331" s="12">
        <f>Table16[[#This Row],[price]]*Table16[[#This Row],[quantity]]</f>
        <v>143.36000000000001</v>
      </c>
    </row>
    <row r="6332" spans="1:9" x14ac:dyDescent="0.3">
      <c r="A6332" t="s">
        <v>8346</v>
      </c>
      <c r="B6332" t="s">
        <v>1256</v>
      </c>
      <c r="C6332" t="s">
        <v>2008</v>
      </c>
      <c r="D6332">
        <v>5</v>
      </c>
      <c r="E6332" s="16">
        <v>26.15</v>
      </c>
      <c r="F6332" s="1">
        <v>44732</v>
      </c>
      <c r="G6332" t="s">
        <v>2027</v>
      </c>
      <c r="H6332">
        <v>5</v>
      </c>
      <c r="I6332" s="12">
        <f>Table16[[#This Row],[price]]*Table16[[#This Row],[quantity]]</f>
        <v>130.75</v>
      </c>
    </row>
    <row r="6333" spans="1:9" x14ac:dyDescent="0.3">
      <c r="A6333" t="s">
        <v>8349</v>
      </c>
      <c r="B6333" t="s">
        <v>1256</v>
      </c>
      <c r="C6333" t="s">
        <v>2024</v>
      </c>
      <c r="D6333">
        <v>1</v>
      </c>
      <c r="E6333" s="16">
        <v>35.840000000000003</v>
      </c>
      <c r="F6333" s="1">
        <v>44806</v>
      </c>
      <c r="G6333" t="s">
        <v>2058</v>
      </c>
      <c r="H6333">
        <v>1</v>
      </c>
      <c r="I6333" s="12">
        <f>Table16[[#This Row],[price]]*Table16[[#This Row],[quantity]]</f>
        <v>35.840000000000003</v>
      </c>
    </row>
    <row r="6334" spans="1:9" x14ac:dyDescent="0.3">
      <c r="A6334" t="s">
        <v>8350</v>
      </c>
      <c r="B6334" t="s">
        <v>1257</v>
      </c>
      <c r="C6334" t="s">
        <v>2015</v>
      </c>
      <c r="D6334">
        <v>4</v>
      </c>
      <c r="E6334" s="16">
        <v>2400.6799999999998</v>
      </c>
      <c r="F6334" s="1">
        <v>44236</v>
      </c>
      <c r="G6334" t="s">
        <v>2009</v>
      </c>
      <c r="H6334">
        <v>3</v>
      </c>
      <c r="I6334" s="12">
        <f>Table16[[#This Row],[price]]*Table16[[#This Row],[quantity]]</f>
        <v>9602.7199999999993</v>
      </c>
    </row>
    <row r="6335" spans="1:9" x14ac:dyDescent="0.3">
      <c r="A6335" t="s">
        <v>8353</v>
      </c>
      <c r="B6335" t="s">
        <v>1257</v>
      </c>
      <c r="C6335" t="s">
        <v>2024</v>
      </c>
      <c r="D6335">
        <v>5</v>
      </c>
      <c r="E6335" s="16">
        <v>179.2</v>
      </c>
      <c r="F6335" s="1">
        <v>44314</v>
      </c>
      <c r="G6335" t="s">
        <v>2004</v>
      </c>
      <c r="H6335">
        <v>4</v>
      </c>
      <c r="I6335" s="12">
        <f>Table16[[#This Row],[price]]*Table16[[#This Row],[quantity]]</f>
        <v>896</v>
      </c>
    </row>
    <row r="6336" spans="1:9" x14ac:dyDescent="0.3">
      <c r="A6336" t="s">
        <v>8351</v>
      </c>
      <c r="B6336" t="s">
        <v>1257</v>
      </c>
      <c r="C6336" t="s">
        <v>2001</v>
      </c>
      <c r="D6336">
        <v>1</v>
      </c>
      <c r="E6336" s="16">
        <v>300.08</v>
      </c>
      <c r="F6336" s="1">
        <v>44493</v>
      </c>
      <c r="G6336" t="s">
        <v>2018</v>
      </c>
      <c r="H6336">
        <v>4</v>
      </c>
      <c r="I6336" s="12">
        <f>Table16[[#This Row],[price]]*Table16[[#This Row],[quantity]]</f>
        <v>300.08</v>
      </c>
    </row>
    <row r="6337" spans="1:9" x14ac:dyDescent="0.3">
      <c r="A6337" t="s">
        <v>8352</v>
      </c>
      <c r="B6337" t="s">
        <v>1257</v>
      </c>
      <c r="C6337" t="s">
        <v>2008</v>
      </c>
      <c r="D6337">
        <v>1</v>
      </c>
      <c r="E6337" s="16">
        <v>5.23</v>
      </c>
      <c r="F6337" s="1">
        <v>44989</v>
      </c>
      <c r="G6337" t="s">
        <v>2002</v>
      </c>
      <c r="H6337">
        <v>2</v>
      </c>
      <c r="I6337" s="12">
        <f>Table16[[#This Row],[price]]*Table16[[#This Row],[quantity]]</f>
        <v>5.23</v>
      </c>
    </row>
    <row r="6338" spans="1:9" x14ac:dyDescent="0.3">
      <c r="A6338" t="s">
        <v>8356</v>
      </c>
      <c r="B6338" t="s">
        <v>1258</v>
      </c>
      <c r="C6338" t="s">
        <v>2024</v>
      </c>
      <c r="D6338">
        <v>1</v>
      </c>
      <c r="E6338" s="16">
        <v>35.840000000000003</v>
      </c>
      <c r="F6338" s="1">
        <v>44319</v>
      </c>
      <c r="G6338" t="s">
        <v>2027</v>
      </c>
      <c r="H6338">
        <v>1</v>
      </c>
      <c r="I6338" s="12">
        <f>Table16[[#This Row],[price]]*Table16[[#This Row],[quantity]]</f>
        <v>35.840000000000003</v>
      </c>
    </row>
    <row r="6339" spans="1:9" x14ac:dyDescent="0.3">
      <c r="A6339" t="s">
        <v>8354</v>
      </c>
      <c r="B6339" t="s">
        <v>1258</v>
      </c>
      <c r="C6339" t="s">
        <v>2008</v>
      </c>
      <c r="D6339">
        <v>4</v>
      </c>
      <c r="E6339" s="16">
        <v>20.92</v>
      </c>
      <c r="F6339" s="1">
        <v>44392</v>
      </c>
      <c r="G6339" t="s">
        <v>2002</v>
      </c>
      <c r="H6339">
        <v>2</v>
      </c>
      <c r="I6339" s="12">
        <f>Table16[[#This Row],[price]]*Table16[[#This Row],[quantity]]</f>
        <v>83.68</v>
      </c>
    </row>
    <row r="6340" spans="1:9" x14ac:dyDescent="0.3">
      <c r="A6340" t="s">
        <v>8355</v>
      </c>
      <c r="B6340" t="s">
        <v>1258</v>
      </c>
      <c r="C6340" t="s">
        <v>2001</v>
      </c>
      <c r="D6340">
        <v>5</v>
      </c>
      <c r="E6340" s="16">
        <v>1500.4</v>
      </c>
      <c r="F6340" s="1">
        <v>44522</v>
      </c>
      <c r="G6340" t="s">
        <v>2004</v>
      </c>
      <c r="H6340">
        <v>4</v>
      </c>
      <c r="I6340" s="12">
        <f>Table16[[#This Row],[price]]*Table16[[#This Row],[quantity]]</f>
        <v>7502</v>
      </c>
    </row>
    <row r="6341" spans="1:9" x14ac:dyDescent="0.3">
      <c r="A6341" t="s">
        <v>8357</v>
      </c>
      <c r="B6341" t="s">
        <v>1258</v>
      </c>
      <c r="C6341" t="s">
        <v>2001</v>
      </c>
      <c r="D6341">
        <v>5</v>
      </c>
      <c r="E6341" s="16">
        <v>1500.4</v>
      </c>
      <c r="F6341" s="1">
        <v>44558</v>
      </c>
      <c r="G6341" t="s">
        <v>2004</v>
      </c>
      <c r="H6341">
        <v>1</v>
      </c>
      <c r="I6341" s="12">
        <f>Table16[[#This Row],[price]]*Table16[[#This Row],[quantity]]</f>
        <v>7502</v>
      </c>
    </row>
    <row r="6342" spans="1:9" x14ac:dyDescent="0.3">
      <c r="A6342" t="s">
        <v>8360</v>
      </c>
      <c r="B6342" t="s">
        <v>1259</v>
      </c>
      <c r="C6342" t="s">
        <v>2001</v>
      </c>
      <c r="D6342">
        <v>4</v>
      </c>
      <c r="E6342" s="16">
        <v>1200.32</v>
      </c>
      <c r="F6342" s="1">
        <v>44309</v>
      </c>
      <c r="G6342" t="s">
        <v>2009</v>
      </c>
      <c r="H6342">
        <v>2</v>
      </c>
      <c r="I6342" s="12">
        <f>Table16[[#This Row],[price]]*Table16[[#This Row],[quantity]]</f>
        <v>4801.28</v>
      </c>
    </row>
    <row r="6343" spans="1:9" x14ac:dyDescent="0.3">
      <c r="A6343" t="s">
        <v>8361</v>
      </c>
      <c r="B6343" t="s">
        <v>1259</v>
      </c>
      <c r="C6343" t="s">
        <v>2008</v>
      </c>
      <c r="D6343">
        <v>1</v>
      </c>
      <c r="E6343" s="16">
        <v>5.23</v>
      </c>
      <c r="F6343" s="1">
        <v>44405</v>
      </c>
      <c r="G6343" t="s">
        <v>2018</v>
      </c>
      <c r="H6343">
        <v>5</v>
      </c>
      <c r="I6343" s="12">
        <f>Table16[[#This Row],[price]]*Table16[[#This Row],[quantity]]</f>
        <v>5.23</v>
      </c>
    </row>
    <row r="6344" spans="1:9" x14ac:dyDescent="0.3">
      <c r="A6344" t="s">
        <v>8362</v>
      </c>
      <c r="B6344" t="s">
        <v>1259</v>
      </c>
      <c r="C6344" t="s">
        <v>2006</v>
      </c>
      <c r="D6344">
        <v>2</v>
      </c>
      <c r="E6344" s="16">
        <v>30.3</v>
      </c>
      <c r="F6344" s="1">
        <v>44547</v>
      </c>
      <c r="G6344" t="s">
        <v>2002</v>
      </c>
      <c r="H6344">
        <v>2</v>
      </c>
      <c r="I6344" s="12">
        <f>Table16[[#This Row],[price]]*Table16[[#This Row],[quantity]]</f>
        <v>60.6</v>
      </c>
    </row>
    <row r="6345" spans="1:9" x14ac:dyDescent="0.3">
      <c r="A6345" t="s">
        <v>8359</v>
      </c>
      <c r="B6345" t="s">
        <v>1259</v>
      </c>
      <c r="C6345" t="s">
        <v>2024</v>
      </c>
      <c r="D6345">
        <v>1</v>
      </c>
      <c r="E6345" s="16">
        <v>35.840000000000003</v>
      </c>
      <c r="F6345" s="1">
        <v>44693</v>
      </c>
      <c r="G6345" t="s">
        <v>2064</v>
      </c>
      <c r="H6345">
        <v>4</v>
      </c>
      <c r="I6345" s="12">
        <f>Table16[[#This Row],[price]]*Table16[[#This Row],[quantity]]</f>
        <v>35.840000000000003</v>
      </c>
    </row>
    <row r="6346" spans="1:9" x14ac:dyDescent="0.3">
      <c r="A6346" t="s">
        <v>8358</v>
      </c>
      <c r="B6346" t="s">
        <v>1259</v>
      </c>
      <c r="C6346" t="s">
        <v>2001</v>
      </c>
      <c r="D6346">
        <v>3</v>
      </c>
      <c r="E6346" s="16">
        <v>900.24</v>
      </c>
      <c r="F6346" s="1">
        <v>44949</v>
      </c>
      <c r="G6346" t="s">
        <v>2020</v>
      </c>
      <c r="H6346">
        <v>5</v>
      </c>
      <c r="I6346" s="12">
        <f>Table16[[#This Row],[price]]*Table16[[#This Row],[quantity]]</f>
        <v>2700.7200000000003</v>
      </c>
    </row>
    <row r="6347" spans="1:9" x14ac:dyDescent="0.3">
      <c r="A6347" t="s">
        <v>8363</v>
      </c>
      <c r="B6347" t="s">
        <v>1260</v>
      </c>
      <c r="C6347" t="s">
        <v>2001</v>
      </c>
      <c r="D6347">
        <v>5</v>
      </c>
      <c r="E6347" s="16">
        <v>1500.4</v>
      </c>
      <c r="F6347" s="1">
        <v>44969</v>
      </c>
      <c r="G6347" t="s">
        <v>2004</v>
      </c>
      <c r="H6347">
        <v>1</v>
      </c>
      <c r="I6347" s="12">
        <f>Table16[[#This Row],[price]]*Table16[[#This Row],[quantity]]</f>
        <v>7502</v>
      </c>
    </row>
    <row r="6348" spans="1:9" x14ac:dyDescent="0.3">
      <c r="A6348" t="s">
        <v>8366</v>
      </c>
      <c r="B6348" t="s">
        <v>1261</v>
      </c>
      <c r="C6348" t="s">
        <v>2008</v>
      </c>
      <c r="D6348">
        <v>4</v>
      </c>
      <c r="E6348" s="16">
        <v>20.92</v>
      </c>
      <c r="F6348" s="1">
        <v>44475</v>
      </c>
      <c r="G6348" t="s">
        <v>2004</v>
      </c>
      <c r="H6348">
        <v>1</v>
      </c>
      <c r="I6348" s="12">
        <f>Table16[[#This Row],[price]]*Table16[[#This Row],[quantity]]</f>
        <v>83.68</v>
      </c>
    </row>
    <row r="6349" spans="1:9" x14ac:dyDescent="0.3">
      <c r="A6349" t="s">
        <v>8365</v>
      </c>
      <c r="B6349" t="s">
        <v>1261</v>
      </c>
      <c r="C6349" t="s">
        <v>2011</v>
      </c>
      <c r="D6349">
        <v>5</v>
      </c>
      <c r="E6349" s="16">
        <v>203.3</v>
      </c>
      <c r="F6349" s="1">
        <v>44546</v>
      </c>
      <c r="G6349" t="s">
        <v>2012</v>
      </c>
      <c r="H6349">
        <v>5</v>
      </c>
      <c r="I6349" s="12">
        <f>Table16[[#This Row],[price]]*Table16[[#This Row],[quantity]]</f>
        <v>1016.5</v>
      </c>
    </row>
    <row r="6350" spans="1:9" x14ac:dyDescent="0.3">
      <c r="A6350" t="s">
        <v>8364</v>
      </c>
      <c r="B6350" t="s">
        <v>1261</v>
      </c>
      <c r="C6350" t="s">
        <v>2008</v>
      </c>
      <c r="D6350">
        <v>4</v>
      </c>
      <c r="E6350" s="16">
        <v>20.92</v>
      </c>
      <c r="F6350" s="1">
        <v>44644</v>
      </c>
      <c r="G6350" t="s">
        <v>2012</v>
      </c>
      <c r="H6350">
        <v>4</v>
      </c>
      <c r="I6350" s="12">
        <f>Table16[[#This Row],[price]]*Table16[[#This Row],[quantity]]</f>
        <v>83.68</v>
      </c>
    </row>
    <row r="6351" spans="1:9" x14ac:dyDescent="0.3">
      <c r="A6351" t="s">
        <v>8367</v>
      </c>
      <c r="B6351" t="s">
        <v>1261</v>
      </c>
      <c r="C6351" t="s">
        <v>2001</v>
      </c>
      <c r="D6351">
        <v>2</v>
      </c>
      <c r="E6351" s="16">
        <v>600.16</v>
      </c>
      <c r="F6351" s="1">
        <v>44967</v>
      </c>
      <c r="G6351" t="s">
        <v>2004</v>
      </c>
      <c r="H6351">
        <v>4</v>
      </c>
      <c r="I6351" s="12">
        <f>Table16[[#This Row],[price]]*Table16[[#This Row],[quantity]]</f>
        <v>1200.32</v>
      </c>
    </row>
    <row r="6352" spans="1:9" x14ac:dyDescent="0.3">
      <c r="A6352" t="s">
        <v>8373</v>
      </c>
      <c r="B6352" t="s">
        <v>1262</v>
      </c>
      <c r="C6352" t="s">
        <v>2006</v>
      </c>
      <c r="D6352">
        <v>1</v>
      </c>
      <c r="E6352" s="16">
        <v>15.15</v>
      </c>
      <c r="F6352" s="1">
        <v>44263</v>
      </c>
      <c r="G6352" t="s">
        <v>2018</v>
      </c>
      <c r="H6352">
        <v>1</v>
      </c>
      <c r="I6352" s="12">
        <f>Table16[[#This Row],[price]]*Table16[[#This Row],[quantity]]</f>
        <v>15.15</v>
      </c>
    </row>
    <row r="6353" spans="1:9" x14ac:dyDescent="0.3">
      <c r="A6353" t="s">
        <v>8370</v>
      </c>
      <c r="B6353" t="s">
        <v>1262</v>
      </c>
      <c r="C6353" t="s">
        <v>2001</v>
      </c>
      <c r="D6353">
        <v>4</v>
      </c>
      <c r="E6353" s="16">
        <v>1200.32</v>
      </c>
      <c r="F6353" s="1">
        <v>44484</v>
      </c>
      <c r="G6353" t="s">
        <v>2064</v>
      </c>
      <c r="H6353">
        <v>4</v>
      </c>
      <c r="I6353" s="12">
        <f>Table16[[#This Row],[price]]*Table16[[#This Row],[quantity]]</f>
        <v>4801.28</v>
      </c>
    </row>
    <row r="6354" spans="1:9" x14ac:dyDescent="0.3">
      <c r="A6354" t="s">
        <v>8369</v>
      </c>
      <c r="B6354" t="s">
        <v>1262</v>
      </c>
      <c r="C6354" t="s">
        <v>2001</v>
      </c>
      <c r="D6354">
        <v>4</v>
      </c>
      <c r="E6354" s="16">
        <v>1200.32</v>
      </c>
      <c r="F6354" s="1">
        <v>44507</v>
      </c>
      <c r="G6354" t="s">
        <v>2004</v>
      </c>
      <c r="H6354">
        <v>5</v>
      </c>
      <c r="I6354" s="12">
        <f>Table16[[#This Row],[price]]*Table16[[#This Row],[quantity]]</f>
        <v>4801.28</v>
      </c>
    </row>
    <row r="6355" spans="1:9" x14ac:dyDescent="0.3">
      <c r="A6355" t="s">
        <v>8372</v>
      </c>
      <c r="B6355" t="s">
        <v>1262</v>
      </c>
      <c r="C6355" t="s">
        <v>2001</v>
      </c>
      <c r="D6355">
        <v>3</v>
      </c>
      <c r="E6355" s="16">
        <v>900.24</v>
      </c>
      <c r="F6355" s="1">
        <v>44579</v>
      </c>
      <c r="G6355" t="s">
        <v>2004</v>
      </c>
      <c r="H6355">
        <v>3</v>
      </c>
      <c r="I6355" s="12">
        <f>Table16[[#This Row],[price]]*Table16[[#This Row],[quantity]]</f>
        <v>2700.7200000000003</v>
      </c>
    </row>
    <row r="6356" spans="1:9" x14ac:dyDescent="0.3">
      <c r="A6356" t="s">
        <v>8368</v>
      </c>
      <c r="B6356" t="s">
        <v>1262</v>
      </c>
      <c r="C6356" t="s">
        <v>2006</v>
      </c>
      <c r="D6356">
        <v>2</v>
      </c>
      <c r="E6356" s="16">
        <v>30.3</v>
      </c>
      <c r="F6356" s="1">
        <v>44671</v>
      </c>
      <c r="G6356" t="s">
        <v>2002</v>
      </c>
      <c r="H6356">
        <v>4</v>
      </c>
      <c r="I6356" s="12">
        <f>Table16[[#This Row],[price]]*Table16[[#This Row],[quantity]]</f>
        <v>60.6</v>
      </c>
    </row>
    <row r="6357" spans="1:9" x14ac:dyDescent="0.3">
      <c r="A6357" t="s">
        <v>8371</v>
      </c>
      <c r="B6357" t="s">
        <v>1262</v>
      </c>
      <c r="C6357" t="s">
        <v>2006</v>
      </c>
      <c r="D6357">
        <v>2</v>
      </c>
      <c r="E6357" s="16">
        <v>30.3</v>
      </c>
      <c r="F6357" s="1">
        <v>44894</v>
      </c>
      <c r="G6357" t="s">
        <v>2064</v>
      </c>
      <c r="H6357">
        <v>3</v>
      </c>
      <c r="I6357" s="12">
        <f>Table16[[#This Row],[price]]*Table16[[#This Row],[quantity]]</f>
        <v>60.6</v>
      </c>
    </row>
    <row r="6358" spans="1:9" x14ac:dyDescent="0.3">
      <c r="A6358" t="s">
        <v>8378</v>
      </c>
      <c r="B6358" t="s">
        <v>1263</v>
      </c>
      <c r="C6358" t="s">
        <v>2011</v>
      </c>
      <c r="D6358">
        <v>5</v>
      </c>
      <c r="E6358" s="16">
        <v>203.3</v>
      </c>
      <c r="F6358" s="1">
        <v>44383</v>
      </c>
      <c r="G6358" t="s">
        <v>2012</v>
      </c>
      <c r="H6358">
        <v>3</v>
      </c>
      <c r="I6358" s="12">
        <f>Table16[[#This Row],[price]]*Table16[[#This Row],[quantity]]</f>
        <v>1016.5</v>
      </c>
    </row>
    <row r="6359" spans="1:9" x14ac:dyDescent="0.3">
      <c r="A6359" t="s">
        <v>8376</v>
      </c>
      <c r="B6359" t="s">
        <v>1263</v>
      </c>
      <c r="C6359" t="s">
        <v>2001</v>
      </c>
      <c r="D6359">
        <v>2</v>
      </c>
      <c r="E6359" s="16">
        <v>600.16</v>
      </c>
      <c r="F6359" s="1">
        <v>44394</v>
      </c>
      <c r="G6359" t="s">
        <v>2018</v>
      </c>
      <c r="H6359">
        <v>4</v>
      </c>
      <c r="I6359" s="12">
        <f>Table16[[#This Row],[price]]*Table16[[#This Row],[quantity]]</f>
        <v>1200.32</v>
      </c>
    </row>
    <row r="6360" spans="1:9" x14ac:dyDescent="0.3">
      <c r="A6360" t="s">
        <v>8379</v>
      </c>
      <c r="B6360" t="s">
        <v>1263</v>
      </c>
      <c r="C6360" t="s">
        <v>2001</v>
      </c>
      <c r="D6360">
        <v>3</v>
      </c>
      <c r="E6360" s="16">
        <v>900.24</v>
      </c>
      <c r="F6360" s="1">
        <v>44483</v>
      </c>
      <c r="G6360" t="s">
        <v>2020</v>
      </c>
      <c r="H6360">
        <v>5</v>
      </c>
      <c r="I6360" s="12">
        <f>Table16[[#This Row],[price]]*Table16[[#This Row],[quantity]]</f>
        <v>2700.7200000000003</v>
      </c>
    </row>
    <row r="6361" spans="1:9" x14ac:dyDescent="0.3">
      <c r="A6361" t="s">
        <v>8377</v>
      </c>
      <c r="B6361" t="s">
        <v>1263</v>
      </c>
      <c r="C6361" t="s">
        <v>2008</v>
      </c>
      <c r="D6361">
        <v>1</v>
      </c>
      <c r="E6361" s="16">
        <v>5.23</v>
      </c>
      <c r="F6361" s="1">
        <v>44672</v>
      </c>
      <c r="G6361" t="s">
        <v>2058</v>
      </c>
      <c r="H6361">
        <v>5</v>
      </c>
      <c r="I6361" s="12">
        <f>Table16[[#This Row],[price]]*Table16[[#This Row],[quantity]]</f>
        <v>5.23</v>
      </c>
    </row>
    <row r="6362" spans="1:9" x14ac:dyDescent="0.3">
      <c r="A6362" t="s">
        <v>8374</v>
      </c>
      <c r="B6362" t="s">
        <v>1263</v>
      </c>
      <c r="C6362" t="s">
        <v>2001</v>
      </c>
      <c r="D6362">
        <v>2</v>
      </c>
      <c r="E6362" s="16">
        <v>600.16</v>
      </c>
      <c r="F6362" s="1">
        <v>44694</v>
      </c>
      <c r="G6362" t="s">
        <v>2002</v>
      </c>
      <c r="H6362">
        <v>4</v>
      </c>
      <c r="I6362" s="12">
        <f>Table16[[#This Row],[price]]*Table16[[#This Row],[quantity]]</f>
        <v>1200.32</v>
      </c>
    </row>
    <row r="6363" spans="1:9" x14ac:dyDescent="0.3">
      <c r="A6363" t="s">
        <v>8375</v>
      </c>
      <c r="B6363" t="s">
        <v>1263</v>
      </c>
      <c r="C6363" t="s">
        <v>2001</v>
      </c>
      <c r="D6363">
        <v>5</v>
      </c>
      <c r="E6363" s="16">
        <v>1500.4</v>
      </c>
      <c r="F6363" s="1">
        <v>44744</v>
      </c>
      <c r="G6363" t="s">
        <v>2020</v>
      </c>
      <c r="H6363">
        <v>1</v>
      </c>
      <c r="I6363" s="12">
        <f>Table16[[#This Row],[price]]*Table16[[#This Row],[quantity]]</f>
        <v>7502</v>
      </c>
    </row>
    <row r="6364" spans="1:9" x14ac:dyDescent="0.3">
      <c r="A6364" t="s">
        <v>8380</v>
      </c>
      <c r="B6364" t="s">
        <v>1264</v>
      </c>
      <c r="C6364" t="s">
        <v>2001</v>
      </c>
      <c r="D6364">
        <v>5</v>
      </c>
      <c r="E6364" s="16">
        <v>1500.4</v>
      </c>
      <c r="F6364" s="1">
        <v>44343</v>
      </c>
      <c r="G6364" t="s">
        <v>2058</v>
      </c>
      <c r="H6364">
        <v>3</v>
      </c>
      <c r="I6364" s="12">
        <f>Table16[[#This Row],[price]]*Table16[[#This Row],[quantity]]</f>
        <v>7502</v>
      </c>
    </row>
    <row r="6365" spans="1:9" x14ac:dyDescent="0.3">
      <c r="A6365" t="s">
        <v>8382</v>
      </c>
      <c r="B6365" t="s">
        <v>1264</v>
      </c>
      <c r="C6365" t="s">
        <v>2008</v>
      </c>
      <c r="D6365">
        <v>3</v>
      </c>
      <c r="E6365" s="16">
        <v>15.69</v>
      </c>
      <c r="F6365" s="1">
        <v>44502</v>
      </c>
      <c r="G6365" t="s">
        <v>2020</v>
      </c>
      <c r="H6365">
        <v>1</v>
      </c>
      <c r="I6365" s="12">
        <f>Table16[[#This Row],[price]]*Table16[[#This Row],[quantity]]</f>
        <v>47.07</v>
      </c>
    </row>
    <row r="6366" spans="1:9" x14ac:dyDescent="0.3">
      <c r="A6366" t="s">
        <v>8381</v>
      </c>
      <c r="B6366" t="s">
        <v>1264</v>
      </c>
      <c r="C6366" t="s">
        <v>2001</v>
      </c>
      <c r="D6366">
        <v>2</v>
      </c>
      <c r="E6366" s="16">
        <v>600.16</v>
      </c>
      <c r="F6366" s="1">
        <v>44844</v>
      </c>
      <c r="G6366" t="s">
        <v>2064</v>
      </c>
      <c r="H6366">
        <v>3</v>
      </c>
      <c r="I6366" s="12">
        <f>Table16[[#This Row],[price]]*Table16[[#This Row],[quantity]]</f>
        <v>1200.32</v>
      </c>
    </row>
    <row r="6367" spans="1:9" x14ac:dyDescent="0.3">
      <c r="A6367" t="s">
        <v>8384</v>
      </c>
      <c r="B6367" t="s">
        <v>1265</v>
      </c>
      <c r="C6367" t="s">
        <v>2006</v>
      </c>
      <c r="D6367">
        <v>5</v>
      </c>
      <c r="E6367" s="16">
        <v>75.75</v>
      </c>
      <c r="F6367" s="1">
        <v>44322</v>
      </c>
      <c r="G6367" t="s">
        <v>2009</v>
      </c>
      <c r="H6367">
        <v>3</v>
      </c>
      <c r="I6367" s="12">
        <f>Table16[[#This Row],[price]]*Table16[[#This Row],[quantity]]</f>
        <v>378.75</v>
      </c>
    </row>
    <row r="6368" spans="1:9" x14ac:dyDescent="0.3">
      <c r="A6368" t="s">
        <v>8388</v>
      </c>
      <c r="B6368" t="s">
        <v>1265</v>
      </c>
      <c r="C6368" t="s">
        <v>2008</v>
      </c>
      <c r="D6368">
        <v>2</v>
      </c>
      <c r="E6368" s="16">
        <v>10.46</v>
      </c>
      <c r="F6368" s="1">
        <v>44363</v>
      </c>
      <c r="G6368" t="s">
        <v>2027</v>
      </c>
      <c r="H6368">
        <v>1</v>
      </c>
      <c r="I6368" s="12">
        <f>Table16[[#This Row],[price]]*Table16[[#This Row],[quantity]]</f>
        <v>20.92</v>
      </c>
    </row>
    <row r="6369" spans="1:9" x14ac:dyDescent="0.3">
      <c r="A6369" t="s">
        <v>8387</v>
      </c>
      <c r="B6369" t="s">
        <v>1265</v>
      </c>
      <c r="C6369" t="s">
        <v>2024</v>
      </c>
      <c r="D6369">
        <v>5</v>
      </c>
      <c r="E6369" s="16">
        <v>179.2</v>
      </c>
      <c r="F6369" s="1">
        <v>44444</v>
      </c>
      <c r="G6369" t="s">
        <v>2012</v>
      </c>
      <c r="H6369">
        <v>5</v>
      </c>
      <c r="I6369" s="12">
        <f>Table16[[#This Row],[price]]*Table16[[#This Row],[quantity]]</f>
        <v>896</v>
      </c>
    </row>
    <row r="6370" spans="1:9" x14ac:dyDescent="0.3">
      <c r="A6370" t="s">
        <v>8383</v>
      </c>
      <c r="B6370" t="s">
        <v>1265</v>
      </c>
      <c r="C6370" t="s">
        <v>2008</v>
      </c>
      <c r="D6370">
        <v>2</v>
      </c>
      <c r="E6370" s="16">
        <v>10.46</v>
      </c>
      <c r="F6370" s="1">
        <v>44546</v>
      </c>
      <c r="G6370" t="s">
        <v>2041</v>
      </c>
      <c r="H6370">
        <v>3</v>
      </c>
      <c r="I6370" s="12">
        <f>Table16[[#This Row],[price]]*Table16[[#This Row],[quantity]]</f>
        <v>20.92</v>
      </c>
    </row>
    <row r="6371" spans="1:9" x14ac:dyDescent="0.3">
      <c r="A6371" t="s">
        <v>8386</v>
      </c>
      <c r="B6371" t="s">
        <v>1265</v>
      </c>
      <c r="C6371" t="s">
        <v>2008</v>
      </c>
      <c r="D6371">
        <v>5</v>
      </c>
      <c r="E6371" s="16">
        <v>26.15</v>
      </c>
      <c r="F6371" s="1">
        <v>44745</v>
      </c>
      <c r="G6371" t="s">
        <v>2041</v>
      </c>
      <c r="H6371">
        <v>4</v>
      </c>
      <c r="I6371" s="12">
        <f>Table16[[#This Row],[price]]*Table16[[#This Row],[quantity]]</f>
        <v>130.75</v>
      </c>
    </row>
    <row r="6372" spans="1:9" x14ac:dyDescent="0.3">
      <c r="A6372" t="s">
        <v>8385</v>
      </c>
      <c r="B6372" t="s">
        <v>1265</v>
      </c>
      <c r="C6372" t="s">
        <v>2001</v>
      </c>
      <c r="D6372">
        <v>2</v>
      </c>
      <c r="E6372" s="16">
        <v>600.16</v>
      </c>
      <c r="F6372" s="1">
        <v>44906</v>
      </c>
      <c r="G6372" t="s">
        <v>2009</v>
      </c>
      <c r="H6372">
        <v>3</v>
      </c>
      <c r="I6372" s="12">
        <f>Table16[[#This Row],[price]]*Table16[[#This Row],[quantity]]</f>
        <v>1200.32</v>
      </c>
    </row>
    <row r="6373" spans="1:9" x14ac:dyDescent="0.3">
      <c r="A6373" t="s">
        <v>8389</v>
      </c>
      <c r="B6373" t="s">
        <v>1266</v>
      </c>
      <c r="C6373" t="s">
        <v>2001</v>
      </c>
      <c r="D6373">
        <v>4</v>
      </c>
      <c r="E6373" s="16">
        <v>1200.32</v>
      </c>
      <c r="F6373" s="1">
        <v>44421</v>
      </c>
      <c r="G6373" t="s">
        <v>2027</v>
      </c>
      <c r="H6373">
        <v>2</v>
      </c>
      <c r="I6373" s="12">
        <f>Table16[[#This Row],[price]]*Table16[[#This Row],[quantity]]</f>
        <v>4801.28</v>
      </c>
    </row>
    <row r="6374" spans="1:9" x14ac:dyDescent="0.3">
      <c r="A6374" t="s">
        <v>8390</v>
      </c>
      <c r="B6374" t="s">
        <v>1266</v>
      </c>
      <c r="C6374" t="s">
        <v>2001</v>
      </c>
      <c r="D6374">
        <v>2</v>
      </c>
      <c r="E6374" s="16">
        <v>600.16</v>
      </c>
      <c r="F6374" s="1">
        <v>44617</v>
      </c>
      <c r="G6374" t="s">
        <v>2002</v>
      </c>
      <c r="H6374">
        <v>4</v>
      </c>
      <c r="I6374" s="12">
        <f>Table16[[#This Row],[price]]*Table16[[#This Row],[quantity]]</f>
        <v>1200.32</v>
      </c>
    </row>
    <row r="6375" spans="1:9" x14ac:dyDescent="0.3">
      <c r="A6375" t="s">
        <v>8391</v>
      </c>
      <c r="B6375" t="s">
        <v>1267</v>
      </c>
      <c r="C6375" t="s">
        <v>2008</v>
      </c>
      <c r="D6375">
        <v>3</v>
      </c>
      <c r="E6375" s="16">
        <v>15.69</v>
      </c>
      <c r="F6375" s="1">
        <v>44217</v>
      </c>
      <c r="G6375" t="s">
        <v>2020</v>
      </c>
      <c r="H6375">
        <v>2</v>
      </c>
      <c r="I6375" s="12">
        <f>Table16[[#This Row],[price]]*Table16[[#This Row],[quantity]]</f>
        <v>47.07</v>
      </c>
    </row>
    <row r="6376" spans="1:9" x14ac:dyDescent="0.3">
      <c r="A6376" t="s">
        <v>8398</v>
      </c>
      <c r="B6376" t="s">
        <v>1267</v>
      </c>
      <c r="C6376" t="s">
        <v>2017</v>
      </c>
      <c r="D6376">
        <v>1</v>
      </c>
      <c r="E6376" s="16">
        <v>1050</v>
      </c>
      <c r="F6376" s="1">
        <v>44241</v>
      </c>
      <c r="G6376" t="s">
        <v>2009</v>
      </c>
      <c r="H6376">
        <v>5</v>
      </c>
      <c r="I6376" s="12">
        <f>Table16[[#This Row],[price]]*Table16[[#This Row],[quantity]]</f>
        <v>1050</v>
      </c>
    </row>
    <row r="6377" spans="1:9" x14ac:dyDescent="0.3">
      <c r="A6377" t="s">
        <v>8394</v>
      </c>
      <c r="B6377" t="s">
        <v>1267</v>
      </c>
      <c r="C6377" t="s">
        <v>2008</v>
      </c>
      <c r="D6377">
        <v>4</v>
      </c>
      <c r="E6377" s="16">
        <v>20.92</v>
      </c>
      <c r="F6377" s="1">
        <v>44250</v>
      </c>
      <c r="G6377" t="s">
        <v>2004</v>
      </c>
      <c r="H6377">
        <v>1</v>
      </c>
      <c r="I6377" s="12">
        <f>Table16[[#This Row],[price]]*Table16[[#This Row],[quantity]]</f>
        <v>83.68</v>
      </c>
    </row>
    <row r="6378" spans="1:9" x14ac:dyDescent="0.3">
      <c r="A6378" t="s">
        <v>8393</v>
      </c>
      <c r="B6378" t="s">
        <v>1267</v>
      </c>
      <c r="C6378" t="s">
        <v>2015</v>
      </c>
      <c r="D6378">
        <v>5</v>
      </c>
      <c r="E6378" s="16">
        <v>3000.85</v>
      </c>
      <c r="F6378" s="1">
        <v>44396</v>
      </c>
      <c r="G6378" t="s">
        <v>2004</v>
      </c>
      <c r="H6378">
        <v>3</v>
      </c>
      <c r="I6378" s="12">
        <f>Table16[[#This Row],[price]]*Table16[[#This Row],[quantity]]</f>
        <v>15004.25</v>
      </c>
    </row>
    <row r="6379" spans="1:9" x14ac:dyDescent="0.3">
      <c r="A6379" t="s">
        <v>8395</v>
      </c>
      <c r="B6379" t="s">
        <v>1267</v>
      </c>
      <c r="C6379" t="s">
        <v>2006</v>
      </c>
      <c r="D6379">
        <v>1</v>
      </c>
      <c r="E6379" s="16">
        <v>15.15</v>
      </c>
      <c r="F6379" s="1">
        <v>44493</v>
      </c>
      <c r="G6379" t="s">
        <v>2012</v>
      </c>
      <c r="H6379">
        <v>5</v>
      </c>
      <c r="I6379" s="12">
        <f>Table16[[#This Row],[price]]*Table16[[#This Row],[quantity]]</f>
        <v>15.15</v>
      </c>
    </row>
    <row r="6380" spans="1:9" x14ac:dyDescent="0.3">
      <c r="A6380" t="s">
        <v>8392</v>
      </c>
      <c r="B6380" t="s">
        <v>1267</v>
      </c>
      <c r="C6380" t="s">
        <v>2001</v>
      </c>
      <c r="D6380">
        <v>3</v>
      </c>
      <c r="E6380" s="16">
        <v>900.24</v>
      </c>
      <c r="F6380" s="1">
        <v>44535</v>
      </c>
      <c r="G6380" t="s">
        <v>2004</v>
      </c>
      <c r="H6380">
        <v>4</v>
      </c>
      <c r="I6380" s="12">
        <f>Table16[[#This Row],[price]]*Table16[[#This Row],[quantity]]</f>
        <v>2700.7200000000003</v>
      </c>
    </row>
    <row r="6381" spans="1:9" x14ac:dyDescent="0.3">
      <c r="A6381" t="s">
        <v>8397</v>
      </c>
      <c r="B6381" t="s">
        <v>1267</v>
      </c>
      <c r="C6381" t="s">
        <v>2001</v>
      </c>
      <c r="D6381">
        <v>2</v>
      </c>
      <c r="E6381" s="16">
        <v>600.16</v>
      </c>
      <c r="F6381" s="1">
        <v>44613</v>
      </c>
      <c r="G6381" t="s">
        <v>2020</v>
      </c>
      <c r="H6381">
        <v>4</v>
      </c>
      <c r="I6381" s="12">
        <f>Table16[[#This Row],[price]]*Table16[[#This Row],[quantity]]</f>
        <v>1200.32</v>
      </c>
    </row>
    <row r="6382" spans="1:9" x14ac:dyDescent="0.3">
      <c r="A6382" t="s">
        <v>8396</v>
      </c>
      <c r="B6382" t="s">
        <v>1267</v>
      </c>
      <c r="C6382" t="s">
        <v>2001</v>
      </c>
      <c r="D6382">
        <v>5</v>
      </c>
      <c r="E6382" s="16">
        <v>1500.4</v>
      </c>
      <c r="F6382" s="1">
        <v>44637</v>
      </c>
      <c r="G6382" t="s">
        <v>2027</v>
      </c>
      <c r="H6382">
        <v>3</v>
      </c>
      <c r="I6382" s="12">
        <f>Table16[[#This Row],[price]]*Table16[[#This Row],[quantity]]</f>
        <v>7502</v>
      </c>
    </row>
    <row r="6383" spans="1:9" x14ac:dyDescent="0.3">
      <c r="A6383" t="s">
        <v>8399</v>
      </c>
      <c r="B6383" t="s">
        <v>1267</v>
      </c>
      <c r="C6383" t="s">
        <v>2024</v>
      </c>
      <c r="D6383">
        <v>4</v>
      </c>
      <c r="E6383" s="16">
        <v>143.36000000000001</v>
      </c>
      <c r="F6383" s="1">
        <v>44917</v>
      </c>
      <c r="G6383" t="s">
        <v>2058</v>
      </c>
      <c r="H6383">
        <v>1</v>
      </c>
      <c r="I6383" s="12">
        <f>Table16[[#This Row],[price]]*Table16[[#This Row],[quantity]]</f>
        <v>573.44000000000005</v>
      </c>
    </row>
    <row r="6384" spans="1:9" x14ac:dyDescent="0.3">
      <c r="A6384" t="s">
        <v>8405</v>
      </c>
      <c r="B6384" t="s">
        <v>1268</v>
      </c>
      <c r="C6384" t="s">
        <v>2001</v>
      </c>
      <c r="D6384">
        <v>3</v>
      </c>
      <c r="E6384" s="16">
        <v>900.24</v>
      </c>
      <c r="F6384" s="1">
        <v>44424</v>
      </c>
      <c r="G6384" t="s">
        <v>2058</v>
      </c>
      <c r="H6384">
        <v>4</v>
      </c>
      <c r="I6384" s="12">
        <f>Table16[[#This Row],[price]]*Table16[[#This Row],[quantity]]</f>
        <v>2700.7200000000003</v>
      </c>
    </row>
    <row r="6385" spans="1:9" x14ac:dyDescent="0.3">
      <c r="A6385" t="s">
        <v>8400</v>
      </c>
      <c r="B6385" t="s">
        <v>1268</v>
      </c>
      <c r="C6385" t="s">
        <v>2001</v>
      </c>
      <c r="D6385">
        <v>3</v>
      </c>
      <c r="E6385" s="16">
        <v>900.24</v>
      </c>
      <c r="F6385" s="1">
        <v>44448</v>
      </c>
      <c r="G6385" t="s">
        <v>2009</v>
      </c>
      <c r="H6385">
        <v>2</v>
      </c>
      <c r="I6385" s="12">
        <f>Table16[[#This Row],[price]]*Table16[[#This Row],[quantity]]</f>
        <v>2700.7200000000003</v>
      </c>
    </row>
    <row r="6386" spans="1:9" x14ac:dyDescent="0.3">
      <c r="A6386" t="s">
        <v>8401</v>
      </c>
      <c r="B6386" t="s">
        <v>1268</v>
      </c>
      <c r="C6386" t="s">
        <v>2001</v>
      </c>
      <c r="D6386">
        <v>2</v>
      </c>
      <c r="E6386" s="16">
        <v>600.16</v>
      </c>
      <c r="F6386" s="1">
        <v>44767</v>
      </c>
      <c r="G6386" t="s">
        <v>2009</v>
      </c>
      <c r="H6386">
        <v>3</v>
      </c>
      <c r="I6386" s="12">
        <f>Table16[[#This Row],[price]]*Table16[[#This Row],[quantity]]</f>
        <v>1200.32</v>
      </c>
    </row>
    <row r="6387" spans="1:9" x14ac:dyDescent="0.3">
      <c r="A6387" t="s">
        <v>8406</v>
      </c>
      <c r="B6387" t="s">
        <v>1268</v>
      </c>
      <c r="C6387" t="s">
        <v>2015</v>
      </c>
      <c r="D6387">
        <v>1</v>
      </c>
      <c r="E6387" s="16">
        <v>600.16999999999996</v>
      </c>
      <c r="F6387" s="1">
        <v>44861</v>
      </c>
      <c r="G6387" t="s">
        <v>2004</v>
      </c>
      <c r="H6387">
        <v>2</v>
      </c>
      <c r="I6387" s="12">
        <f>Table16[[#This Row],[price]]*Table16[[#This Row],[quantity]]</f>
        <v>600.16999999999996</v>
      </c>
    </row>
    <row r="6388" spans="1:9" x14ac:dyDescent="0.3">
      <c r="A6388" t="s">
        <v>8403</v>
      </c>
      <c r="B6388" t="s">
        <v>1268</v>
      </c>
      <c r="C6388" t="s">
        <v>2008</v>
      </c>
      <c r="D6388">
        <v>4</v>
      </c>
      <c r="E6388" s="16">
        <v>20.92</v>
      </c>
      <c r="F6388" s="1">
        <v>44871</v>
      </c>
      <c r="G6388" t="s">
        <v>2009</v>
      </c>
      <c r="H6388">
        <v>2</v>
      </c>
      <c r="I6388" s="12">
        <f>Table16[[#This Row],[price]]*Table16[[#This Row],[quantity]]</f>
        <v>83.68</v>
      </c>
    </row>
    <row r="6389" spans="1:9" x14ac:dyDescent="0.3">
      <c r="A6389" t="s">
        <v>8402</v>
      </c>
      <c r="B6389" t="s">
        <v>1268</v>
      </c>
      <c r="C6389" t="s">
        <v>2015</v>
      </c>
      <c r="D6389">
        <v>5</v>
      </c>
      <c r="E6389" s="16">
        <v>3000.85</v>
      </c>
      <c r="F6389" s="1">
        <v>44939</v>
      </c>
      <c r="G6389" t="s">
        <v>2020</v>
      </c>
      <c r="H6389">
        <v>1</v>
      </c>
      <c r="I6389" s="12">
        <f>Table16[[#This Row],[price]]*Table16[[#This Row],[quantity]]</f>
        <v>15004.25</v>
      </c>
    </row>
    <row r="6390" spans="1:9" x14ac:dyDescent="0.3">
      <c r="A6390" t="s">
        <v>8404</v>
      </c>
      <c r="B6390" t="s">
        <v>1268</v>
      </c>
      <c r="C6390" t="s">
        <v>2011</v>
      </c>
      <c r="D6390">
        <v>3</v>
      </c>
      <c r="E6390" s="16">
        <v>121.98</v>
      </c>
      <c r="F6390" s="1">
        <v>44944</v>
      </c>
      <c r="G6390" t="s">
        <v>2004</v>
      </c>
      <c r="H6390">
        <v>4</v>
      </c>
      <c r="I6390" s="12">
        <f>Table16[[#This Row],[price]]*Table16[[#This Row],[quantity]]</f>
        <v>365.94</v>
      </c>
    </row>
    <row r="6391" spans="1:9" x14ac:dyDescent="0.3">
      <c r="A6391" t="s">
        <v>8409</v>
      </c>
      <c r="B6391" t="s">
        <v>1269</v>
      </c>
      <c r="C6391" t="s">
        <v>2001</v>
      </c>
      <c r="D6391">
        <v>4</v>
      </c>
      <c r="E6391" s="16">
        <v>1200.32</v>
      </c>
      <c r="F6391" s="1">
        <v>44275</v>
      </c>
      <c r="G6391" t="s">
        <v>2004</v>
      </c>
      <c r="H6391">
        <v>4</v>
      </c>
      <c r="I6391" s="12">
        <f>Table16[[#This Row],[price]]*Table16[[#This Row],[quantity]]</f>
        <v>4801.28</v>
      </c>
    </row>
    <row r="6392" spans="1:9" x14ac:dyDescent="0.3">
      <c r="A6392" t="s">
        <v>8407</v>
      </c>
      <c r="B6392" t="s">
        <v>1269</v>
      </c>
      <c r="C6392" t="s">
        <v>2001</v>
      </c>
      <c r="D6392">
        <v>3</v>
      </c>
      <c r="E6392" s="16">
        <v>900.24</v>
      </c>
      <c r="F6392" s="1">
        <v>44432</v>
      </c>
      <c r="G6392" t="s">
        <v>2027</v>
      </c>
      <c r="H6392">
        <v>4</v>
      </c>
      <c r="I6392" s="12">
        <f>Table16[[#This Row],[price]]*Table16[[#This Row],[quantity]]</f>
        <v>2700.7200000000003</v>
      </c>
    </row>
    <row r="6393" spans="1:9" x14ac:dyDescent="0.3">
      <c r="A6393" t="s">
        <v>8408</v>
      </c>
      <c r="B6393" t="s">
        <v>1269</v>
      </c>
      <c r="C6393" t="s">
        <v>2001</v>
      </c>
      <c r="D6393">
        <v>5</v>
      </c>
      <c r="E6393" s="16">
        <v>1500.4</v>
      </c>
      <c r="F6393" s="1">
        <v>44638</v>
      </c>
      <c r="G6393" t="s">
        <v>2064</v>
      </c>
      <c r="H6393">
        <v>3</v>
      </c>
      <c r="I6393" s="12">
        <f>Table16[[#This Row],[price]]*Table16[[#This Row],[quantity]]</f>
        <v>7502</v>
      </c>
    </row>
    <row r="6394" spans="1:9" x14ac:dyDescent="0.3">
      <c r="A6394" t="s">
        <v>8410</v>
      </c>
      <c r="B6394" t="s">
        <v>1270</v>
      </c>
      <c r="C6394" t="s">
        <v>2006</v>
      </c>
      <c r="D6394">
        <v>1</v>
      </c>
      <c r="E6394" s="16">
        <v>15.15</v>
      </c>
      <c r="F6394" s="1">
        <v>44924</v>
      </c>
      <c r="G6394" t="s">
        <v>2064</v>
      </c>
      <c r="H6394">
        <v>4</v>
      </c>
      <c r="I6394" s="12">
        <f>Table16[[#This Row],[price]]*Table16[[#This Row],[quantity]]</f>
        <v>15.15</v>
      </c>
    </row>
    <row r="6395" spans="1:9" x14ac:dyDescent="0.3">
      <c r="A6395" t="s">
        <v>8416</v>
      </c>
      <c r="B6395" t="s">
        <v>1271</v>
      </c>
      <c r="C6395" t="s">
        <v>2001</v>
      </c>
      <c r="D6395">
        <v>5</v>
      </c>
      <c r="E6395" s="16">
        <v>1500.4</v>
      </c>
      <c r="F6395" s="1">
        <v>44364</v>
      </c>
      <c r="G6395" t="s">
        <v>2018</v>
      </c>
      <c r="H6395">
        <v>4</v>
      </c>
      <c r="I6395" s="12">
        <f>Table16[[#This Row],[price]]*Table16[[#This Row],[quantity]]</f>
        <v>7502</v>
      </c>
    </row>
    <row r="6396" spans="1:9" x14ac:dyDescent="0.3">
      <c r="A6396" t="s">
        <v>8415</v>
      </c>
      <c r="B6396" t="s">
        <v>1271</v>
      </c>
      <c r="C6396" t="s">
        <v>2024</v>
      </c>
      <c r="D6396">
        <v>3</v>
      </c>
      <c r="E6396" s="16">
        <v>107.52</v>
      </c>
      <c r="F6396" s="1">
        <v>44457</v>
      </c>
      <c r="G6396" t="s">
        <v>2004</v>
      </c>
      <c r="H6396">
        <v>1</v>
      </c>
      <c r="I6396" s="12">
        <f>Table16[[#This Row],[price]]*Table16[[#This Row],[quantity]]</f>
        <v>322.56</v>
      </c>
    </row>
    <row r="6397" spans="1:9" x14ac:dyDescent="0.3">
      <c r="A6397" t="s">
        <v>8414</v>
      </c>
      <c r="B6397" t="s">
        <v>1271</v>
      </c>
      <c r="C6397" t="s">
        <v>2008</v>
      </c>
      <c r="D6397">
        <v>5</v>
      </c>
      <c r="E6397" s="16">
        <v>26.15</v>
      </c>
      <c r="F6397" s="1">
        <v>44528</v>
      </c>
      <c r="G6397" t="s">
        <v>2002</v>
      </c>
      <c r="H6397">
        <v>1</v>
      </c>
      <c r="I6397" s="12">
        <f>Table16[[#This Row],[price]]*Table16[[#This Row],[quantity]]</f>
        <v>130.75</v>
      </c>
    </row>
    <row r="6398" spans="1:9" x14ac:dyDescent="0.3">
      <c r="A6398" t="s">
        <v>8412</v>
      </c>
      <c r="B6398" t="s">
        <v>1271</v>
      </c>
      <c r="C6398" t="s">
        <v>2001</v>
      </c>
      <c r="D6398">
        <v>1</v>
      </c>
      <c r="E6398" s="16">
        <v>300.08</v>
      </c>
      <c r="F6398" s="1">
        <v>44714</v>
      </c>
      <c r="G6398" t="s">
        <v>2027</v>
      </c>
      <c r="H6398">
        <v>1</v>
      </c>
      <c r="I6398" s="12">
        <f>Table16[[#This Row],[price]]*Table16[[#This Row],[quantity]]</f>
        <v>300.08</v>
      </c>
    </row>
    <row r="6399" spans="1:9" x14ac:dyDescent="0.3">
      <c r="A6399" t="s">
        <v>8413</v>
      </c>
      <c r="B6399" t="s">
        <v>1271</v>
      </c>
      <c r="C6399" t="s">
        <v>2001</v>
      </c>
      <c r="D6399">
        <v>4</v>
      </c>
      <c r="E6399" s="16">
        <v>1200.32</v>
      </c>
      <c r="F6399" s="1">
        <v>44968</v>
      </c>
      <c r="G6399" t="s">
        <v>2009</v>
      </c>
      <c r="H6399">
        <v>5</v>
      </c>
      <c r="I6399" s="12">
        <f>Table16[[#This Row],[price]]*Table16[[#This Row],[quantity]]</f>
        <v>4801.28</v>
      </c>
    </row>
    <row r="6400" spans="1:9" x14ac:dyDescent="0.3">
      <c r="A6400" t="s">
        <v>8411</v>
      </c>
      <c r="B6400" t="s">
        <v>1271</v>
      </c>
      <c r="C6400" t="s">
        <v>2017</v>
      </c>
      <c r="D6400">
        <v>4</v>
      </c>
      <c r="E6400" s="16">
        <v>4200</v>
      </c>
      <c r="F6400" s="1">
        <v>44976</v>
      </c>
      <c r="G6400" t="s">
        <v>2004</v>
      </c>
      <c r="H6400">
        <v>4</v>
      </c>
      <c r="I6400" s="12">
        <f>Table16[[#This Row],[price]]*Table16[[#This Row],[quantity]]</f>
        <v>16800</v>
      </c>
    </row>
    <row r="6401" spans="1:9" x14ac:dyDescent="0.3">
      <c r="A6401" t="s">
        <v>8418</v>
      </c>
      <c r="B6401" t="s">
        <v>1272</v>
      </c>
      <c r="C6401" t="s">
        <v>2001</v>
      </c>
      <c r="D6401">
        <v>4</v>
      </c>
      <c r="E6401" s="16">
        <v>1200.32</v>
      </c>
      <c r="F6401" s="1">
        <v>44203</v>
      </c>
      <c r="G6401" t="s">
        <v>2004</v>
      </c>
      <c r="H6401">
        <v>3</v>
      </c>
      <c r="I6401" s="12">
        <f>Table16[[#This Row],[price]]*Table16[[#This Row],[quantity]]</f>
        <v>4801.28</v>
      </c>
    </row>
    <row r="6402" spans="1:9" x14ac:dyDescent="0.3">
      <c r="A6402" t="s">
        <v>8419</v>
      </c>
      <c r="B6402" t="s">
        <v>1272</v>
      </c>
      <c r="C6402" t="s">
        <v>2001</v>
      </c>
      <c r="D6402">
        <v>2</v>
      </c>
      <c r="E6402" s="16">
        <v>600.16</v>
      </c>
      <c r="F6402" s="1">
        <v>44407</v>
      </c>
      <c r="G6402" t="s">
        <v>2027</v>
      </c>
      <c r="H6402">
        <v>5</v>
      </c>
      <c r="I6402" s="12">
        <f>Table16[[#This Row],[price]]*Table16[[#This Row],[quantity]]</f>
        <v>1200.32</v>
      </c>
    </row>
    <row r="6403" spans="1:9" x14ac:dyDescent="0.3">
      <c r="A6403" t="s">
        <v>8417</v>
      </c>
      <c r="B6403" t="s">
        <v>1272</v>
      </c>
      <c r="C6403" t="s">
        <v>2015</v>
      </c>
      <c r="D6403">
        <v>1</v>
      </c>
      <c r="E6403" s="16">
        <v>600.16999999999996</v>
      </c>
      <c r="F6403" s="1">
        <v>44632</v>
      </c>
      <c r="G6403" t="s">
        <v>2002</v>
      </c>
      <c r="H6403">
        <v>1</v>
      </c>
      <c r="I6403" s="12">
        <f>Table16[[#This Row],[price]]*Table16[[#This Row],[quantity]]</f>
        <v>600.16999999999996</v>
      </c>
    </row>
    <row r="6404" spans="1:9" x14ac:dyDescent="0.3">
      <c r="A6404" t="s">
        <v>8420</v>
      </c>
      <c r="B6404" t="s">
        <v>1272</v>
      </c>
      <c r="C6404" t="s">
        <v>2001</v>
      </c>
      <c r="D6404">
        <v>3</v>
      </c>
      <c r="E6404" s="16">
        <v>900.24</v>
      </c>
      <c r="F6404" s="1">
        <v>44929</v>
      </c>
      <c r="G6404" t="s">
        <v>2027</v>
      </c>
      <c r="H6404">
        <v>2</v>
      </c>
      <c r="I6404" s="12">
        <f>Table16[[#This Row],[price]]*Table16[[#This Row],[quantity]]</f>
        <v>2700.7200000000003</v>
      </c>
    </row>
    <row r="6405" spans="1:9" x14ac:dyDescent="0.3">
      <c r="A6405" t="s">
        <v>8422</v>
      </c>
      <c r="B6405" t="s">
        <v>1273</v>
      </c>
      <c r="C6405" t="s">
        <v>2017</v>
      </c>
      <c r="D6405">
        <v>3</v>
      </c>
      <c r="E6405" s="16">
        <v>3150</v>
      </c>
      <c r="F6405" s="1">
        <v>44327</v>
      </c>
      <c r="G6405" t="s">
        <v>2064</v>
      </c>
      <c r="H6405">
        <v>1</v>
      </c>
      <c r="I6405" s="12">
        <f>Table16[[#This Row],[price]]*Table16[[#This Row],[quantity]]</f>
        <v>9450</v>
      </c>
    </row>
    <row r="6406" spans="1:9" x14ac:dyDescent="0.3">
      <c r="A6406" t="s">
        <v>8421</v>
      </c>
      <c r="B6406" t="s">
        <v>1273</v>
      </c>
      <c r="C6406" t="s">
        <v>2001</v>
      </c>
      <c r="D6406">
        <v>1</v>
      </c>
      <c r="E6406" s="16">
        <v>300.08</v>
      </c>
      <c r="F6406" s="1">
        <v>44358</v>
      </c>
      <c r="G6406" t="s">
        <v>2027</v>
      </c>
      <c r="H6406">
        <v>3</v>
      </c>
      <c r="I6406" s="12">
        <f>Table16[[#This Row],[price]]*Table16[[#This Row],[quantity]]</f>
        <v>300.08</v>
      </c>
    </row>
    <row r="6407" spans="1:9" x14ac:dyDescent="0.3">
      <c r="A6407" t="s">
        <v>8423</v>
      </c>
      <c r="B6407" t="s">
        <v>1273</v>
      </c>
      <c r="C6407" t="s">
        <v>2011</v>
      </c>
      <c r="D6407">
        <v>2</v>
      </c>
      <c r="E6407" s="16">
        <v>81.319999999999993</v>
      </c>
      <c r="F6407" s="1">
        <v>44519</v>
      </c>
      <c r="G6407" t="s">
        <v>2004</v>
      </c>
      <c r="H6407">
        <v>4</v>
      </c>
      <c r="I6407" s="12">
        <f>Table16[[#This Row],[price]]*Table16[[#This Row],[quantity]]</f>
        <v>162.63999999999999</v>
      </c>
    </row>
    <row r="6408" spans="1:9" x14ac:dyDescent="0.3">
      <c r="A6408" t="s">
        <v>8425</v>
      </c>
      <c r="B6408" t="s">
        <v>1273</v>
      </c>
      <c r="C6408" t="s">
        <v>2006</v>
      </c>
      <c r="D6408">
        <v>5</v>
      </c>
      <c r="E6408" s="16">
        <v>75.75</v>
      </c>
      <c r="F6408" s="1">
        <v>44782</v>
      </c>
      <c r="G6408" t="s">
        <v>2027</v>
      </c>
      <c r="H6408">
        <v>3</v>
      </c>
      <c r="I6408" s="12">
        <f>Table16[[#This Row],[price]]*Table16[[#This Row],[quantity]]</f>
        <v>378.75</v>
      </c>
    </row>
    <row r="6409" spans="1:9" x14ac:dyDescent="0.3">
      <c r="A6409" t="s">
        <v>8424</v>
      </c>
      <c r="B6409" t="s">
        <v>1273</v>
      </c>
      <c r="C6409" t="s">
        <v>2006</v>
      </c>
      <c r="D6409">
        <v>4</v>
      </c>
      <c r="E6409" s="16">
        <v>60.6</v>
      </c>
      <c r="F6409" s="1">
        <v>44834</v>
      </c>
      <c r="G6409" t="s">
        <v>2002</v>
      </c>
      <c r="H6409">
        <v>4</v>
      </c>
      <c r="I6409" s="12">
        <f>Table16[[#This Row],[price]]*Table16[[#This Row],[quantity]]</f>
        <v>242.4</v>
      </c>
    </row>
    <row r="6410" spans="1:9" x14ac:dyDescent="0.3">
      <c r="A6410" t="s">
        <v>8427</v>
      </c>
      <c r="B6410" t="s">
        <v>1274</v>
      </c>
      <c r="C6410" t="s">
        <v>2015</v>
      </c>
      <c r="D6410">
        <v>1</v>
      </c>
      <c r="E6410" s="16">
        <v>600.16999999999996</v>
      </c>
      <c r="F6410" s="1">
        <v>44209</v>
      </c>
      <c r="G6410" t="s">
        <v>2004</v>
      </c>
      <c r="H6410">
        <v>3</v>
      </c>
      <c r="I6410" s="12">
        <f>Table16[[#This Row],[price]]*Table16[[#This Row],[quantity]]</f>
        <v>600.16999999999996</v>
      </c>
    </row>
    <row r="6411" spans="1:9" x14ac:dyDescent="0.3">
      <c r="A6411" t="s">
        <v>8429</v>
      </c>
      <c r="B6411" t="s">
        <v>1274</v>
      </c>
      <c r="C6411" t="s">
        <v>2057</v>
      </c>
      <c r="D6411">
        <v>5</v>
      </c>
      <c r="E6411" s="16">
        <v>58.65</v>
      </c>
      <c r="F6411" s="1">
        <v>44314</v>
      </c>
      <c r="G6411" t="s">
        <v>2020</v>
      </c>
      <c r="H6411">
        <v>1</v>
      </c>
      <c r="I6411" s="12">
        <f>Table16[[#This Row],[price]]*Table16[[#This Row],[quantity]]</f>
        <v>293.25</v>
      </c>
    </row>
    <row r="6412" spans="1:9" x14ac:dyDescent="0.3">
      <c r="A6412" t="s">
        <v>8426</v>
      </c>
      <c r="B6412" t="s">
        <v>1274</v>
      </c>
      <c r="C6412" t="s">
        <v>2001</v>
      </c>
      <c r="D6412">
        <v>5</v>
      </c>
      <c r="E6412" s="16">
        <v>1500.4</v>
      </c>
      <c r="F6412" s="1">
        <v>44695</v>
      </c>
      <c r="G6412" t="s">
        <v>2004</v>
      </c>
      <c r="H6412">
        <v>1</v>
      </c>
      <c r="I6412" s="12">
        <f>Table16[[#This Row],[price]]*Table16[[#This Row],[quantity]]</f>
        <v>7502</v>
      </c>
    </row>
    <row r="6413" spans="1:9" x14ac:dyDescent="0.3">
      <c r="A6413" t="s">
        <v>8431</v>
      </c>
      <c r="B6413" t="s">
        <v>1274</v>
      </c>
      <c r="C6413" t="s">
        <v>2001</v>
      </c>
      <c r="D6413">
        <v>3</v>
      </c>
      <c r="E6413" s="16">
        <v>900.24</v>
      </c>
      <c r="F6413" s="1">
        <v>44772</v>
      </c>
      <c r="G6413" t="s">
        <v>2064</v>
      </c>
      <c r="H6413">
        <v>2</v>
      </c>
      <c r="I6413" s="12">
        <f>Table16[[#This Row],[price]]*Table16[[#This Row],[quantity]]</f>
        <v>2700.7200000000003</v>
      </c>
    </row>
    <row r="6414" spans="1:9" x14ac:dyDescent="0.3">
      <c r="A6414" t="s">
        <v>8430</v>
      </c>
      <c r="B6414" t="s">
        <v>1274</v>
      </c>
      <c r="C6414" t="s">
        <v>2001</v>
      </c>
      <c r="D6414">
        <v>5</v>
      </c>
      <c r="E6414" s="16">
        <v>1500.4</v>
      </c>
      <c r="F6414" s="1">
        <v>44861</v>
      </c>
      <c r="G6414" t="s">
        <v>2004</v>
      </c>
      <c r="H6414">
        <v>5</v>
      </c>
      <c r="I6414" s="12">
        <f>Table16[[#This Row],[price]]*Table16[[#This Row],[quantity]]</f>
        <v>7502</v>
      </c>
    </row>
    <row r="6415" spans="1:9" x14ac:dyDescent="0.3">
      <c r="A6415" t="s">
        <v>8428</v>
      </c>
      <c r="B6415" t="s">
        <v>1274</v>
      </c>
      <c r="C6415" t="s">
        <v>2024</v>
      </c>
      <c r="D6415">
        <v>5</v>
      </c>
      <c r="E6415" s="16">
        <v>179.2</v>
      </c>
      <c r="F6415" s="1">
        <v>44885</v>
      </c>
      <c r="G6415" t="s">
        <v>2004</v>
      </c>
      <c r="H6415">
        <v>5</v>
      </c>
      <c r="I6415" s="12">
        <f>Table16[[#This Row],[price]]*Table16[[#This Row],[quantity]]</f>
        <v>896</v>
      </c>
    </row>
    <row r="6416" spans="1:9" x14ac:dyDescent="0.3">
      <c r="A6416" t="s">
        <v>8436</v>
      </c>
      <c r="B6416" t="s">
        <v>1275</v>
      </c>
      <c r="C6416" t="s">
        <v>2017</v>
      </c>
      <c r="D6416">
        <v>3</v>
      </c>
      <c r="E6416" s="16">
        <v>3150</v>
      </c>
      <c r="F6416" s="1">
        <v>44297</v>
      </c>
      <c r="G6416" t="s">
        <v>2020</v>
      </c>
      <c r="H6416">
        <v>4</v>
      </c>
      <c r="I6416" s="12">
        <f>Table16[[#This Row],[price]]*Table16[[#This Row],[quantity]]</f>
        <v>9450</v>
      </c>
    </row>
    <row r="6417" spans="1:9" x14ac:dyDescent="0.3">
      <c r="A6417" t="s">
        <v>8432</v>
      </c>
      <c r="B6417" t="s">
        <v>1275</v>
      </c>
      <c r="C6417" t="s">
        <v>2001</v>
      </c>
      <c r="D6417">
        <v>3</v>
      </c>
      <c r="E6417" s="16">
        <v>900.24</v>
      </c>
      <c r="F6417" s="1">
        <v>44334</v>
      </c>
      <c r="G6417" t="s">
        <v>2027</v>
      </c>
      <c r="H6417">
        <v>1</v>
      </c>
      <c r="I6417" s="12">
        <f>Table16[[#This Row],[price]]*Table16[[#This Row],[quantity]]</f>
        <v>2700.7200000000003</v>
      </c>
    </row>
    <row r="6418" spans="1:9" x14ac:dyDescent="0.3">
      <c r="A6418" t="s">
        <v>8435</v>
      </c>
      <c r="B6418" t="s">
        <v>1275</v>
      </c>
      <c r="C6418" t="s">
        <v>2001</v>
      </c>
      <c r="D6418">
        <v>2</v>
      </c>
      <c r="E6418" s="16">
        <v>600.16</v>
      </c>
      <c r="F6418" s="1">
        <v>44612</v>
      </c>
      <c r="G6418" t="s">
        <v>2064</v>
      </c>
      <c r="H6418">
        <v>4</v>
      </c>
      <c r="I6418" s="12">
        <f>Table16[[#This Row],[price]]*Table16[[#This Row],[quantity]]</f>
        <v>1200.32</v>
      </c>
    </row>
    <row r="6419" spans="1:9" x14ac:dyDescent="0.3">
      <c r="A6419" t="s">
        <v>8433</v>
      </c>
      <c r="B6419" t="s">
        <v>1275</v>
      </c>
      <c r="C6419" t="s">
        <v>2001</v>
      </c>
      <c r="D6419">
        <v>1</v>
      </c>
      <c r="E6419" s="16">
        <v>300.08</v>
      </c>
      <c r="F6419" s="1">
        <v>44789</v>
      </c>
      <c r="G6419" t="s">
        <v>2041</v>
      </c>
      <c r="H6419">
        <v>2</v>
      </c>
      <c r="I6419" s="12">
        <f>Table16[[#This Row],[price]]*Table16[[#This Row],[quantity]]</f>
        <v>300.08</v>
      </c>
    </row>
    <row r="6420" spans="1:9" x14ac:dyDescent="0.3">
      <c r="A6420" t="s">
        <v>8434</v>
      </c>
      <c r="B6420" t="s">
        <v>1275</v>
      </c>
      <c r="C6420" t="s">
        <v>2001</v>
      </c>
      <c r="D6420">
        <v>2</v>
      </c>
      <c r="E6420" s="16">
        <v>600.16</v>
      </c>
      <c r="F6420" s="1">
        <v>44850</v>
      </c>
      <c r="G6420" t="s">
        <v>2027</v>
      </c>
      <c r="H6420">
        <v>5</v>
      </c>
      <c r="I6420" s="12">
        <f>Table16[[#This Row],[price]]*Table16[[#This Row],[quantity]]</f>
        <v>1200.32</v>
      </c>
    </row>
    <row r="6421" spans="1:9" x14ac:dyDescent="0.3">
      <c r="A6421" t="s">
        <v>8442</v>
      </c>
      <c r="B6421" t="s">
        <v>1276</v>
      </c>
      <c r="C6421" t="s">
        <v>2015</v>
      </c>
      <c r="D6421">
        <v>2</v>
      </c>
      <c r="E6421" s="16">
        <v>1200.3399999999999</v>
      </c>
      <c r="F6421" s="1">
        <v>44303</v>
      </c>
      <c r="G6421" t="s">
        <v>2020</v>
      </c>
      <c r="H6421">
        <v>5</v>
      </c>
      <c r="I6421" s="12">
        <f>Table16[[#This Row],[price]]*Table16[[#This Row],[quantity]]</f>
        <v>2400.6799999999998</v>
      </c>
    </row>
    <row r="6422" spans="1:9" x14ac:dyDescent="0.3">
      <c r="A6422" t="s">
        <v>8437</v>
      </c>
      <c r="B6422" t="s">
        <v>1276</v>
      </c>
      <c r="C6422" t="s">
        <v>2011</v>
      </c>
      <c r="D6422">
        <v>5</v>
      </c>
      <c r="E6422" s="16">
        <v>203.3</v>
      </c>
      <c r="F6422" s="1">
        <v>44580</v>
      </c>
      <c r="G6422" t="s">
        <v>2004</v>
      </c>
      <c r="H6422">
        <v>2</v>
      </c>
      <c r="I6422" s="12">
        <f>Table16[[#This Row],[price]]*Table16[[#This Row],[quantity]]</f>
        <v>1016.5</v>
      </c>
    </row>
    <row r="6423" spans="1:9" x14ac:dyDescent="0.3">
      <c r="A6423" t="s">
        <v>8441</v>
      </c>
      <c r="B6423" t="s">
        <v>1276</v>
      </c>
      <c r="C6423" t="s">
        <v>2001</v>
      </c>
      <c r="D6423">
        <v>2</v>
      </c>
      <c r="E6423" s="16">
        <v>600.16</v>
      </c>
      <c r="F6423" s="1">
        <v>44635</v>
      </c>
      <c r="G6423" t="s">
        <v>2004</v>
      </c>
      <c r="H6423">
        <v>1</v>
      </c>
      <c r="I6423" s="12">
        <f>Table16[[#This Row],[price]]*Table16[[#This Row],[quantity]]</f>
        <v>1200.32</v>
      </c>
    </row>
    <row r="6424" spans="1:9" x14ac:dyDescent="0.3">
      <c r="A6424" t="s">
        <v>8438</v>
      </c>
      <c r="B6424" t="s">
        <v>1276</v>
      </c>
      <c r="C6424" t="s">
        <v>2008</v>
      </c>
      <c r="D6424">
        <v>2</v>
      </c>
      <c r="E6424" s="16">
        <v>10.46</v>
      </c>
      <c r="F6424" s="1">
        <v>44697</v>
      </c>
      <c r="G6424" t="s">
        <v>2004</v>
      </c>
      <c r="H6424">
        <v>1</v>
      </c>
      <c r="I6424" s="12">
        <f>Table16[[#This Row],[price]]*Table16[[#This Row],[quantity]]</f>
        <v>20.92</v>
      </c>
    </row>
    <row r="6425" spans="1:9" x14ac:dyDescent="0.3">
      <c r="A6425" t="s">
        <v>8443</v>
      </c>
      <c r="B6425" t="s">
        <v>1276</v>
      </c>
      <c r="C6425" t="s">
        <v>2008</v>
      </c>
      <c r="D6425">
        <v>5</v>
      </c>
      <c r="E6425" s="16">
        <v>26.15</v>
      </c>
      <c r="F6425" s="1">
        <v>44734</v>
      </c>
      <c r="G6425" t="s">
        <v>2020</v>
      </c>
      <c r="H6425">
        <v>4</v>
      </c>
      <c r="I6425" s="12">
        <f>Table16[[#This Row],[price]]*Table16[[#This Row],[quantity]]</f>
        <v>130.75</v>
      </c>
    </row>
    <row r="6426" spans="1:9" x14ac:dyDescent="0.3">
      <c r="A6426" t="s">
        <v>8440</v>
      </c>
      <c r="B6426" t="s">
        <v>1276</v>
      </c>
      <c r="C6426" t="s">
        <v>2024</v>
      </c>
      <c r="D6426">
        <v>4</v>
      </c>
      <c r="E6426" s="16">
        <v>143.36000000000001</v>
      </c>
      <c r="F6426" s="1">
        <v>44919</v>
      </c>
      <c r="G6426" t="s">
        <v>2041</v>
      </c>
      <c r="H6426">
        <v>3</v>
      </c>
      <c r="I6426" s="12">
        <f>Table16[[#This Row],[price]]*Table16[[#This Row],[quantity]]</f>
        <v>573.44000000000005</v>
      </c>
    </row>
    <row r="6427" spans="1:9" x14ac:dyDescent="0.3">
      <c r="A6427" t="s">
        <v>8439</v>
      </c>
      <c r="B6427" t="s">
        <v>1276</v>
      </c>
      <c r="C6427" t="s">
        <v>2057</v>
      </c>
      <c r="D6427">
        <v>3</v>
      </c>
      <c r="E6427" s="16">
        <v>35.19</v>
      </c>
      <c r="F6427" s="1">
        <v>44964</v>
      </c>
      <c r="G6427" t="s">
        <v>2002</v>
      </c>
      <c r="H6427">
        <v>4</v>
      </c>
      <c r="I6427" s="12">
        <f>Table16[[#This Row],[price]]*Table16[[#This Row],[quantity]]</f>
        <v>105.57</v>
      </c>
    </row>
    <row r="6428" spans="1:9" x14ac:dyDescent="0.3">
      <c r="A6428" t="s">
        <v>8444</v>
      </c>
      <c r="B6428" t="s">
        <v>1277</v>
      </c>
      <c r="C6428" t="s">
        <v>2011</v>
      </c>
      <c r="D6428">
        <v>2</v>
      </c>
      <c r="E6428" s="16">
        <v>81.319999999999993</v>
      </c>
      <c r="F6428" s="1">
        <v>44597</v>
      </c>
      <c r="G6428" t="s">
        <v>2020</v>
      </c>
      <c r="H6428">
        <v>3</v>
      </c>
      <c r="I6428" s="12">
        <f>Table16[[#This Row],[price]]*Table16[[#This Row],[quantity]]</f>
        <v>162.63999999999999</v>
      </c>
    </row>
    <row r="6429" spans="1:9" x14ac:dyDescent="0.3">
      <c r="A6429" t="s">
        <v>8447</v>
      </c>
      <c r="B6429" t="s">
        <v>1277</v>
      </c>
      <c r="C6429" t="s">
        <v>2001</v>
      </c>
      <c r="D6429">
        <v>3</v>
      </c>
      <c r="E6429" s="16">
        <v>900.24</v>
      </c>
      <c r="F6429" s="1">
        <v>44663</v>
      </c>
      <c r="G6429" t="s">
        <v>2058</v>
      </c>
      <c r="H6429">
        <v>3</v>
      </c>
      <c r="I6429" s="12">
        <f>Table16[[#This Row],[price]]*Table16[[#This Row],[quantity]]</f>
        <v>2700.7200000000003</v>
      </c>
    </row>
    <row r="6430" spans="1:9" x14ac:dyDescent="0.3">
      <c r="A6430" t="s">
        <v>8446</v>
      </c>
      <c r="B6430" t="s">
        <v>1277</v>
      </c>
      <c r="C6430" t="s">
        <v>2024</v>
      </c>
      <c r="D6430">
        <v>5</v>
      </c>
      <c r="E6430" s="16">
        <v>179.2</v>
      </c>
      <c r="F6430" s="1">
        <v>44782</v>
      </c>
      <c r="G6430" t="s">
        <v>2027</v>
      </c>
      <c r="H6430">
        <v>2</v>
      </c>
      <c r="I6430" s="12">
        <f>Table16[[#This Row],[price]]*Table16[[#This Row],[quantity]]</f>
        <v>896</v>
      </c>
    </row>
    <row r="6431" spans="1:9" x14ac:dyDescent="0.3">
      <c r="A6431" t="s">
        <v>8445</v>
      </c>
      <c r="B6431" t="s">
        <v>1277</v>
      </c>
      <c r="C6431" t="s">
        <v>2001</v>
      </c>
      <c r="D6431">
        <v>2</v>
      </c>
      <c r="E6431" s="16">
        <v>600.16</v>
      </c>
      <c r="F6431" s="1">
        <v>44898</v>
      </c>
      <c r="G6431" t="s">
        <v>2041</v>
      </c>
      <c r="H6431">
        <v>2</v>
      </c>
      <c r="I6431" s="12">
        <f>Table16[[#This Row],[price]]*Table16[[#This Row],[quantity]]</f>
        <v>1200.32</v>
      </c>
    </row>
    <row r="6432" spans="1:9" x14ac:dyDescent="0.3">
      <c r="A6432" t="s">
        <v>8449</v>
      </c>
      <c r="B6432" t="s">
        <v>1277</v>
      </c>
      <c r="C6432" t="s">
        <v>2008</v>
      </c>
      <c r="D6432">
        <v>2</v>
      </c>
      <c r="E6432" s="16">
        <v>10.46</v>
      </c>
      <c r="F6432" s="1">
        <v>44977</v>
      </c>
      <c r="G6432" t="s">
        <v>2064</v>
      </c>
      <c r="H6432">
        <v>5</v>
      </c>
      <c r="I6432" s="12">
        <f>Table16[[#This Row],[price]]*Table16[[#This Row],[quantity]]</f>
        <v>20.92</v>
      </c>
    </row>
    <row r="6433" spans="1:9" x14ac:dyDescent="0.3">
      <c r="A6433" t="s">
        <v>8448</v>
      </c>
      <c r="B6433" t="s">
        <v>1277</v>
      </c>
      <c r="C6433" t="s">
        <v>2001</v>
      </c>
      <c r="D6433">
        <v>1</v>
      </c>
      <c r="E6433" s="16">
        <v>300.08</v>
      </c>
      <c r="F6433" s="1">
        <v>44984</v>
      </c>
      <c r="G6433" t="s">
        <v>2004</v>
      </c>
      <c r="H6433">
        <v>3</v>
      </c>
      <c r="I6433" s="12">
        <f>Table16[[#This Row],[price]]*Table16[[#This Row],[quantity]]</f>
        <v>300.08</v>
      </c>
    </row>
    <row r="6434" spans="1:9" x14ac:dyDescent="0.3">
      <c r="A6434" t="s">
        <v>8453</v>
      </c>
      <c r="B6434" t="s">
        <v>1278</v>
      </c>
      <c r="C6434" t="s">
        <v>2057</v>
      </c>
      <c r="D6434">
        <v>1</v>
      </c>
      <c r="E6434" s="16">
        <v>11.73</v>
      </c>
      <c r="F6434" s="1">
        <v>44207</v>
      </c>
      <c r="G6434" t="s">
        <v>2012</v>
      </c>
      <c r="H6434">
        <v>1</v>
      </c>
      <c r="I6434" s="12">
        <f>Table16[[#This Row],[price]]*Table16[[#This Row],[quantity]]</f>
        <v>11.73</v>
      </c>
    </row>
    <row r="6435" spans="1:9" x14ac:dyDescent="0.3">
      <c r="A6435" t="s">
        <v>8451</v>
      </c>
      <c r="B6435" t="s">
        <v>1278</v>
      </c>
      <c r="C6435" t="s">
        <v>2011</v>
      </c>
      <c r="D6435">
        <v>3</v>
      </c>
      <c r="E6435" s="16">
        <v>121.98</v>
      </c>
      <c r="F6435" s="1">
        <v>44517</v>
      </c>
      <c r="G6435" t="s">
        <v>2002</v>
      </c>
      <c r="H6435">
        <v>1</v>
      </c>
      <c r="I6435" s="12">
        <f>Table16[[#This Row],[price]]*Table16[[#This Row],[quantity]]</f>
        <v>365.94</v>
      </c>
    </row>
    <row r="6436" spans="1:9" x14ac:dyDescent="0.3">
      <c r="A6436" t="s">
        <v>8450</v>
      </c>
      <c r="B6436" t="s">
        <v>1278</v>
      </c>
      <c r="C6436" t="s">
        <v>2001</v>
      </c>
      <c r="D6436">
        <v>2</v>
      </c>
      <c r="E6436" s="16">
        <v>600.16</v>
      </c>
      <c r="F6436" s="1">
        <v>44765</v>
      </c>
      <c r="G6436" t="s">
        <v>2002</v>
      </c>
      <c r="H6436">
        <v>1</v>
      </c>
      <c r="I6436" s="12">
        <f>Table16[[#This Row],[price]]*Table16[[#This Row],[quantity]]</f>
        <v>1200.32</v>
      </c>
    </row>
    <row r="6437" spans="1:9" x14ac:dyDescent="0.3">
      <c r="A6437" t="s">
        <v>8452</v>
      </c>
      <c r="B6437" t="s">
        <v>1278</v>
      </c>
      <c r="C6437" t="s">
        <v>2015</v>
      </c>
      <c r="D6437">
        <v>5</v>
      </c>
      <c r="E6437" s="16">
        <v>3000.85</v>
      </c>
      <c r="F6437" s="1">
        <v>44777</v>
      </c>
      <c r="G6437" t="s">
        <v>2027</v>
      </c>
      <c r="H6437">
        <v>2</v>
      </c>
      <c r="I6437" s="12">
        <f>Table16[[#This Row],[price]]*Table16[[#This Row],[quantity]]</f>
        <v>15004.25</v>
      </c>
    </row>
    <row r="6438" spans="1:9" x14ac:dyDescent="0.3">
      <c r="A6438" t="s">
        <v>8455</v>
      </c>
      <c r="B6438" t="s">
        <v>1279</v>
      </c>
      <c r="C6438" t="s">
        <v>2015</v>
      </c>
      <c r="D6438">
        <v>3</v>
      </c>
      <c r="E6438" s="16">
        <v>1800.51</v>
      </c>
      <c r="F6438" s="1">
        <v>44459</v>
      </c>
      <c r="G6438" t="s">
        <v>2027</v>
      </c>
      <c r="H6438">
        <v>3</v>
      </c>
      <c r="I6438" s="12">
        <f>Table16[[#This Row],[price]]*Table16[[#This Row],[quantity]]</f>
        <v>5401.53</v>
      </c>
    </row>
    <row r="6439" spans="1:9" x14ac:dyDescent="0.3">
      <c r="A6439" t="s">
        <v>8454</v>
      </c>
      <c r="B6439" t="s">
        <v>1279</v>
      </c>
      <c r="C6439" t="s">
        <v>2001</v>
      </c>
      <c r="D6439">
        <v>3</v>
      </c>
      <c r="E6439" s="16">
        <v>900.24</v>
      </c>
      <c r="F6439" s="1">
        <v>44479</v>
      </c>
      <c r="G6439" t="s">
        <v>2004</v>
      </c>
      <c r="H6439">
        <v>4</v>
      </c>
      <c r="I6439" s="12">
        <f>Table16[[#This Row],[price]]*Table16[[#This Row],[quantity]]</f>
        <v>2700.7200000000003</v>
      </c>
    </row>
    <row r="6440" spans="1:9" x14ac:dyDescent="0.3">
      <c r="A6440" t="s">
        <v>8456</v>
      </c>
      <c r="B6440" t="s">
        <v>1279</v>
      </c>
      <c r="C6440" t="s">
        <v>2006</v>
      </c>
      <c r="D6440">
        <v>1</v>
      </c>
      <c r="E6440" s="16">
        <v>15.15</v>
      </c>
      <c r="F6440" s="1">
        <v>44843</v>
      </c>
      <c r="G6440" t="s">
        <v>2002</v>
      </c>
      <c r="H6440">
        <v>3</v>
      </c>
      <c r="I6440" s="12">
        <f>Table16[[#This Row],[price]]*Table16[[#This Row],[quantity]]</f>
        <v>15.15</v>
      </c>
    </row>
    <row r="6441" spans="1:9" x14ac:dyDescent="0.3">
      <c r="A6441" t="s">
        <v>8459</v>
      </c>
      <c r="B6441" t="s">
        <v>1280</v>
      </c>
      <c r="C6441" t="s">
        <v>2057</v>
      </c>
      <c r="D6441">
        <v>1</v>
      </c>
      <c r="E6441" s="16">
        <v>11.73</v>
      </c>
      <c r="F6441" s="1">
        <v>44206</v>
      </c>
      <c r="G6441" t="s">
        <v>2027</v>
      </c>
      <c r="H6441">
        <v>5</v>
      </c>
      <c r="I6441" s="12">
        <f>Table16[[#This Row],[price]]*Table16[[#This Row],[quantity]]</f>
        <v>11.73</v>
      </c>
    </row>
    <row r="6442" spans="1:9" x14ac:dyDescent="0.3">
      <c r="A6442" t="s">
        <v>8457</v>
      </c>
      <c r="B6442" t="s">
        <v>1280</v>
      </c>
      <c r="C6442" t="s">
        <v>2001</v>
      </c>
      <c r="D6442">
        <v>2</v>
      </c>
      <c r="E6442" s="16">
        <v>600.16</v>
      </c>
      <c r="F6442" s="1">
        <v>44385</v>
      </c>
      <c r="G6442" t="s">
        <v>2009</v>
      </c>
      <c r="H6442">
        <v>2</v>
      </c>
      <c r="I6442" s="12">
        <f>Table16[[#This Row],[price]]*Table16[[#This Row],[quantity]]</f>
        <v>1200.32</v>
      </c>
    </row>
    <row r="6443" spans="1:9" x14ac:dyDescent="0.3">
      <c r="A6443" t="s">
        <v>8460</v>
      </c>
      <c r="B6443" t="s">
        <v>1280</v>
      </c>
      <c r="C6443" t="s">
        <v>2024</v>
      </c>
      <c r="D6443">
        <v>1</v>
      </c>
      <c r="E6443" s="16">
        <v>35.840000000000003</v>
      </c>
      <c r="F6443" s="1">
        <v>44469</v>
      </c>
      <c r="G6443" t="s">
        <v>2027</v>
      </c>
      <c r="H6443">
        <v>2</v>
      </c>
      <c r="I6443" s="12">
        <f>Table16[[#This Row],[price]]*Table16[[#This Row],[quantity]]</f>
        <v>35.840000000000003</v>
      </c>
    </row>
    <row r="6444" spans="1:9" x14ac:dyDescent="0.3">
      <c r="A6444" t="s">
        <v>8458</v>
      </c>
      <c r="B6444" t="s">
        <v>1280</v>
      </c>
      <c r="C6444" t="s">
        <v>2001</v>
      </c>
      <c r="D6444">
        <v>3</v>
      </c>
      <c r="E6444" s="16">
        <v>900.24</v>
      </c>
      <c r="F6444" s="1">
        <v>44743</v>
      </c>
      <c r="G6444" t="s">
        <v>2009</v>
      </c>
      <c r="H6444">
        <v>5</v>
      </c>
      <c r="I6444" s="12">
        <f>Table16[[#This Row],[price]]*Table16[[#This Row],[quantity]]</f>
        <v>2700.7200000000003</v>
      </c>
    </row>
    <row r="6445" spans="1:9" x14ac:dyDescent="0.3">
      <c r="A6445" t="s">
        <v>8466</v>
      </c>
      <c r="B6445" t="s">
        <v>1281</v>
      </c>
      <c r="C6445" t="s">
        <v>2001</v>
      </c>
      <c r="D6445">
        <v>3</v>
      </c>
      <c r="E6445" s="16">
        <v>900.24</v>
      </c>
      <c r="F6445" s="1">
        <v>44321</v>
      </c>
      <c r="G6445" t="s">
        <v>2027</v>
      </c>
      <c r="H6445">
        <v>2</v>
      </c>
      <c r="I6445" s="12">
        <f>Table16[[#This Row],[price]]*Table16[[#This Row],[quantity]]</f>
        <v>2700.7200000000003</v>
      </c>
    </row>
    <row r="6446" spans="1:9" x14ac:dyDescent="0.3">
      <c r="A6446" t="s">
        <v>8465</v>
      </c>
      <c r="B6446" t="s">
        <v>1281</v>
      </c>
      <c r="C6446" t="s">
        <v>2001</v>
      </c>
      <c r="D6446">
        <v>3</v>
      </c>
      <c r="E6446" s="16">
        <v>900.24</v>
      </c>
      <c r="F6446" s="1">
        <v>44575</v>
      </c>
      <c r="G6446" t="s">
        <v>2009</v>
      </c>
      <c r="H6446">
        <v>1</v>
      </c>
      <c r="I6446" s="12">
        <f>Table16[[#This Row],[price]]*Table16[[#This Row],[quantity]]</f>
        <v>2700.7200000000003</v>
      </c>
    </row>
    <row r="6447" spans="1:9" x14ac:dyDescent="0.3">
      <c r="A6447" t="s">
        <v>8467</v>
      </c>
      <c r="B6447" t="s">
        <v>1281</v>
      </c>
      <c r="C6447" t="s">
        <v>2001</v>
      </c>
      <c r="D6447">
        <v>1</v>
      </c>
      <c r="E6447" s="16">
        <v>300.08</v>
      </c>
      <c r="F6447" s="1">
        <v>44656</v>
      </c>
      <c r="G6447" t="s">
        <v>2002</v>
      </c>
      <c r="H6447">
        <v>2</v>
      </c>
      <c r="I6447" s="12">
        <f>Table16[[#This Row],[price]]*Table16[[#This Row],[quantity]]</f>
        <v>300.08</v>
      </c>
    </row>
    <row r="6448" spans="1:9" x14ac:dyDescent="0.3">
      <c r="A6448" t="s">
        <v>8463</v>
      </c>
      <c r="B6448" t="s">
        <v>1281</v>
      </c>
      <c r="C6448" t="s">
        <v>2024</v>
      </c>
      <c r="D6448">
        <v>5</v>
      </c>
      <c r="E6448" s="16">
        <v>179.2</v>
      </c>
      <c r="F6448" s="1">
        <v>44787</v>
      </c>
      <c r="G6448" t="s">
        <v>2027</v>
      </c>
      <c r="H6448">
        <v>1</v>
      </c>
      <c r="I6448" s="12">
        <f>Table16[[#This Row],[price]]*Table16[[#This Row],[quantity]]</f>
        <v>896</v>
      </c>
    </row>
    <row r="6449" spans="1:9" x14ac:dyDescent="0.3">
      <c r="A6449" t="s">
        <v>8461</v>
      </c>
      <c r="B6449" t="s">
        <v>1281</v>
      </c>
      <c r="C6449" t="s">
        <v>2008</v>
      </c>
      <c r="D6449">
        <v>2</v>
      </c>
      <c r="E6449" s="16">
        <v>10.46</v>
      </c>
      <c r="F6449" s="1">
        <v>44856</v>
      </c>
      <c r="G6449" t="s">
        <v>2064</v>
      </c>
      <c r="H6449">
        <v>1</v>
      </c>
      <c r="I6449" s="12">
        <f>Table16[[#This Row],[price]]*Table16[[#This Row],[quantity]]</f>
        <v>20.92</v>
      </c>
    </row>
    <row r="6450" spans="1:9" x14ac:dyDescent="0.3">
      <c r="A6450" t="s">
        <v>8464</v>
      </c>
      <c r="B6450" t="s">
        <v>1281</v>
      </c>
      <c r="C6450" t="s">
        <v>2001</v>
      </c>
      <c r="D6450">
        <v>1</v>
      </c>
      <c r="E6450" s="16">
        <v>300.08</v>
      </c>
      <c r="F6450" s="1">
        <v>44944</v>
      </c>
      <c r="G6450" t="s">
        <v>2004</v>
      </c>
      <c r="H6450">
        <v>3</v>
      </c>
      <c r="I6450" s="12">
        <f>Table16[[#This Row],[price]]*Table16[[#This Row],[quantity]]</f>
        <v>300.08</v>
      </c>
    </row>
    <row r="6451" spans="1:9" x14ac:dyDescent="0.3">
      <c r="A6451" t="s">
        <v>8462</v>
      </c>
      <c r="B6451" t="s">
        <v>1281</v>
      </c>
      <c r="C6451" t="s">
        <v>2001</v>
      </c>
      <c r="D6451">
        <v>3</v>
      </c>
      <c r="E6451" s="16">
        <v>900.24</v>
      </c>
      <c r="F6451" s="1">
        <v>44961</v>
      </c>
      <c r="G6451" t="s">
        <v>2018</v>
      </c>
      <c r="H6451">
        <v>5</v>
      </c>
      <c r="I6451" s="12">
        <f>Table16[[#This Row],[price]]*Table16[[#This Row],[quantity]]</f>
        <v>2700.7200000000003</v>
      </c>
    </row>
    <row r="6452" spans="1:9" x14ac:dyDescent="0.3">
      <c r="A6452" t="s">
        <v>8468</v>
      </c>
      <c r="B6452" t="s">
        <v>1282</v>
      </c>
      <c r="C6452" t="s">
        <v>2001</v>
      </c>
      <c r="D6452">
        <v>1</v>
      </c>
      <c r="E6452" s="16">
        <v>300.08</v>
      </c>
      <c r="F6452" s="1">
        <v>44517</v>
      </c>
      <c r="G6452" t="s">
        <v>2004</v>
      </c>
      <c r="H6452">
        <v>2</v>
      </c>
      <c r="I6452" s="12">
        <f>Table16[[#This Row],[price]]*Table16[[#This Row],[quantity]]</f>
        <v>300.08</v>
      </c>
    </row>
    <row r="6453" spans="1:9" x14ac:dyDescent="0.3">
      <c r="A6453" t="s">
        <v>8469</v>
      </c>
      <c r="B6453" t="s">
        <v>1282</v>
      </c>
      <c r="C6453" t="s">
        <v>2024</v>
      </c>
      <c r="D6453">
        <v>4</v>
      </c>
      <c r="E6453" s="16">
        <v>143.36000000000001</v>
      </c>
      <c r="F6453" s="1">
        <v>44571</v>
      </c>
      <c r="G6453" t="s">
        <v>2004</v>
      </c>
      <c r="H6453">
        <v>4</v>
      </c>
      <c r="I6453" s="12">
        <f>Table16[[#This Row],[price]]*Table16[[#This Row],[quantity]]</f>
        <v>573.44000000000005</v>
      </c>
    </row>
    <row r="6454" spans="1:9" x14ac:dyDescent="0.3">
      <c r="A6454" t="s">
        <v>8471</v>
      </c>
      <c r="B6454" t="s">
        <v>1283</v>
      </c>
      <c r="C6454" t="s">
        <v>2011</v>
      </c>
      <c r="D6454">
        <v>3</v>
      </c>
      <c r="E6454" s="16">
        <v>121.98</v>
      </c>
      <c r="F6454" s="1">
        <v>44346</v>
      </c>
      <c r="G6454" t="s">
        <v>2009</v>
      </c>
      <c r="H6454">
        <v>3</v>
      </c>
      <c r="I6454" s="12">
        <f>Table16[[#This Row],[price]]*Table16[[#This Row],[quantity]]</f>
        <v>365.94</v>
      </c>
    </row>
    <row r="6455" spans="1:9" x14ac:dyDescent="0.3">
      <c r="A6455" t="s">
        <v>8474</v>
      </c>
      <c r="B6455" t="s">
        <v>1283</v>
      </c>
      <c r="C6455" t="s">
        <v>2001</v>
      </c>
      <c r="D6455">
        <v>4</v>
      </c>
      <c r="E6455" s="16">
        <v>1200.32</v>
      </c>
      <c r="F6455" s="1">
        <v>44397</v>
      </c>
      <c r="G6455" t="s">
        <v>2002</v>
      </c>
      <c r="H6455">
        <v>5</v>
      </c>
      <c r="I6455" s="12">
        <f>Table16[[#This Row],[price]]*Table16[[#This Row],[quantity]]</f>
        <v>4801.28</v>
      </c>
    </row>
    <row r="6456" spans="1:9" x14ac:dyDescent="0.3">
      <c r="A6456" t="s">
        <v>8472</v>
      </c>
      <c r="B6456" t="s">
        <v>1283</v>
      </c>
      <c r="C6456" t="s">
        <v>2015</v>
      </c>
      <c r="D6456">
        <v>4</v>
      </c>
      <c r="E6456" s="16">
        <v>2400.6799999999998</v>
      </c>
      <c r="F6456" s="1">
        <v>44476</v>
      </c>
      <c r="G6456" t="s">
        <v>2027</v>
      </c>
      <c r="H6456">
        <v>2</v>
      </c>
      <c r="I6456" s="12">
        <f>Table16[[#This Row],[price]]*Table16[[#This Row],[quantity]]</f>
        <v>9602.7199999999993</v>
      </c>
    </row>
    <row r="6457" spans="1:9" x14ac:dyDescent="0.3">
      <c r="A6457" t="s">
        <v>8470</v>
      </c>
      <c r="B6457" t="s">
        <v>1283</v>
      </c>
      <c r="C6457" t="s">
        <v>2001</v>
      </c>
      <c r="D6457">
        <v>1</v>
      </c>
      <c r="E6457" s="16">
        <v>300.08</v>
      </c>
      <c r="F6457" s="1">
        <v>44575</v>
      </c>
      <c r="G6457" t="s">
        <v>2027</v>
      </c>
      <c r="H6457">
        <v>4</v>
      </c>
      <c r="I6457" s="12">
        <f>Table16[[#This Row],[price]]*Table16[[#This Row],[quantity]]</f>
        <v>300.08</v>
      </c>
    </row>
    <row r="6458" spans="1:9" x14ac:dyDescent="0.3">
      <c r="A6458" t="s">
        <v>8473</v>
      </c>
      <c r="B6458" t="s">
        <v>1283</v>
      </c>
      <c r="C6458" t="s">
        <v>2015</v>
      </c>
      <c r="D6458">
        <v>4</v>
      </c>
      <c r="E6458" s="16">
        <v>2400.6799999999998</v>
      </c>
      <c r="F6458" s="1">
        <v>44673</v>
      </c>
      <c r="G6458" t="s">
        <v>2041</v>
      </c>
      <c r="H6458">
        <v>4</v>
      </c>
      <c r="I6458" s="12">
        <f>Table16[[#This Row],[price]]*Table16[[#This Row],[quantity]]</f>
        <v>9602.7199999999993</v>
      </c>
    </row>
    <row r="6459" spans="1:9" x14ac:dyDescent="0.3">
      <c r="A6459" t="s">
        <v>8475</v>
      </c>
      <c r="B6459" t="s">
        <v>1283</v>
      </c>
      <c r="C6459" t="s">
        <v>2057</v>
      </c>
      <c r="D6459">
        <v>2</v>
      </c>
      <c r="E6459" s="16">
        <v>23.46</v>
      </c>
      <c r="F6459" s="1">
        <v>44715</v>
      </c>
      <c r="G6459" t="s">
        <v>2041</v>
      </c>
      <c r="H6459">
        <v>5</v>
      </c>
      <c r="I6459" s="12">
        <f>Table16[[#This Row],[price]]*Table16[[#This Row],[quantity]]</f>
        <v>46.92</v>
      </c>
    </row>
    <row r="6460" spans="1:9" x14ac:dyDescent="0.3">
      <c r="A6460" t="s">
        <v>8485</v>
      </c>
      <c r="B6460" t="s">
        <v>1284</v>
      </c>
      <c r="C6460" t="s">
        <v>2001</v>
      </c>
      <c r="D6460">
        <v>4</v>
      </c>
      <c r="E6460" s="16">
        <v>1200.32</v>
      </c>
      <c r="F6460" s="1">
        <v>44260</v>
      </c>
      <c r="G6460" t="s">
        <v>2002</v>
      </c>
      <c r="H6460">
        <v>1</v>
      </c>
      <c r="I6460" s="12">
        <f>Table16[[#This Row],[price]]*Table16[[#This Row],[quantity]]</f>
        <v>4801.28</v>
      </c>
    </row>
    <row r="6461" spans="1:9" x14ac:dyDescent="0.3">
      <c r="A6461" t="s">
        <v>8482</v>
      </c>
      <c r="B6461" t="s">
        <v>1284</v>
      </c>
      <c r="C6461" t="s">
        <v>2024</v>
      </c>
      <c r="D6461">
        <v>1</v>
      </c>
      <c r="E6461" s="16">
        <v>35.840000000000003</v>
      </c>
      <c r="F6461" s="1">
        <v>44263</v>
      </c>
      <c r="G6461" t="s">
        <v>2018</v>
      </c>
      <c r="H6461">
        <v>4</v>
      </c>
      <c r="I6461" s="12">
        <f>Table16[[#This Row],[price]]*Table16[[#This Row],[quantity]]</f>
        <v>35.840000000000003</v>
      </c>
    </row>
    <row r="6462" spans="1:9" x14ac:dyDescent="0.3">
      <c r="A6462" t="s">
        <v>8476</v>
      </c>
      <c r="B6462" t="s">
        <v>1284</v>
      </c>
      <c r="C6462" t="s">
        <v>2024</v>
      </c>
      <c r="D6462">
        <v>5</v>
      </c>
      <c r="E6462" s="16">
        <v>179.2</v>
      </c>
      <c r="F6462" s="1">
        <v>44297</v>
      </c>
      <c r="G6462" t="s">
        <v>2002</v>
      </c>
      <c r="H6462">
        <v>4</v>
      </c>
      <c r="I6462" s="12">
        <f>Table16[[#This Row],[price]]*Table16[[#This Row],[quantity]]</f>
        <v>896</v>
      </c>
    </row>
    <row r="6463" spans="1:9" x14ac:dyDescent="0.3">
      <c r="A6463" t="s">
        <v>8477</v>
      </c>
      <c r="B6463" t="s">
        <v>1284</v>
      </c>
      <c r="C6463" t="s">
        <v>2008</v>
      </c>
      <c r="D6463">
        <v>3</v>
      </c>
      <c r="E6463" s="16">
        <v>15.69</v>
      </c>
      <c r="F6463" s="1">
        <v>44306</v>
      </c>
      <c r="G6463" t="s">
        <v>2027</v>
      </c>
      <c r="H6463">
        <v>2</v>
      </c>
      <c r="I6463" s="12">
        <f>Table16[[#This Row],[price]]*Table16[[#This Row],[quantity]]</f>
        <v>47.07</v>
      </c>
    </row>
    <row r="6464" spans="1:9" x14ac:dyDescent="0.3">
      <c r="A6464" t="s">
        <v>8478</v>
      </c>
      <c r="B6464" t="s">
        <v>1284</v>
      </c>
      <c r="C6464" t="s">
        <v>2001</v>
      </c>
      <c r="D6464">
        <v>1</v>
      </c>
      <c r="E6464" s="16">
        <v>300.08</v>
      </c>
      <c r="F6464" s="1">
        <v>44318</v>
      </c>
      <c r="G6464" t="s">
        <v>2004</v>
      </c>
      <c r="H6464">
        <v>2</v>
      </c>
      <c r="I6464" s="12">
        <f>Table16[[#This Row],[price]]*Table16[[#This Row],[quantity]]</f>
        <v>300.08</v>
      </c>
    </row>
    <row r="6465" spans="1:9" x14ac:dyDescent="0.3">
      <c r="A6465" t="s">
        <v>8481</v>
      </c>
      <c r="B6465" t="s">
        <v>1284</v>
      </c>
      <c r="C6465" t="s">
        <v>2015</v>
      </c>
      <c r="D6465">
        <v>2</v>
      </c>
      <c r="E6465" s="16">
        <v>1200.3399999999999</v>
      </c>
      <c r="F6465" s="1">
        <v>44507</v>
      </c>
      <c r="G6465" t="s">
        <v>2064</v>
      </c>
      <c r="H6465">
        <v>4</v>
      </c>
      <c r="I6465" s="12">
        <f>Table16[[#This Row],[price]]*Table16[[#This Row],[quantity]]</f>
        <v>2400.6799999999998</v>
      </c>
    </row>
    <row r="6466" spans="1:9" x14ac:dyDescent="0.3">
      <c r="A6466" t="s">
        <v>8479</v>
      </c>
      <c r="B6466" t="s">
        <v>1284</v>
      </c>
      <c r="C6466" t="s">
        <v>2001</v>
      </c>
      <c r="D6466">
        <v>5</v>
      </c>
      <c r="E6466" s="16">
        <v>1500.4</v>
      </c>
      <c r="F6466" s="1">
        <v>44559</v>
      </c>
      <c r="G6466" t="s">
        <v>2002</v>
      </c>
      <c r="H6466">
        <v>2</v>
      </c>
      <c r="I6466" s="12">
        <f>Table16[[#This Row],[price]]*Table16[[#This Row],[quantity]]</f>
        <v>7502</v>
      </c>
    </row>
    <row r="6467" spans="1:9" x14ac:dyDescent="0.3">
      <c r="A6467" t="s">
        <v>8483</v>
      </c>
      <c r="B6467" t="s">
        <v>1284</v>
      </c>
      <c r="C6467" t="s">
        <v>2001</v>
      </c>
      <c r="D6467">
        <v>4</v>
      </c>
      <c r="E6467" s="16">
        <v>1200.32</v>
      </c>
      <c r="F6467" s="1">
        <v>44594</v>
      </c>
      <c r="G6467" t="s">
        <v>2027</v>
      </c>
      <c r="H6467">
        <v>2</v>
      </c>
      <c r="I6467" s="12">
        <f>Table16[[#This Row],[price]]*Table16[[#This Row],[quantity]]</f>
        <v>4801.28</v>
      </c>
    </row>
    <row r="6468" spans="1:9" x14ac:dyDescent="0.3">
      <c r="A6468" t="s">
        <v>8484</v>
      </c>
      <c r="B6468" t="s">
        <v>1284</v>
      </c>
      <c r="C6468" t="s">
        <v>2001</v>
      </c>
      <c r="D6468">
        <v>2</v>
      </c>
      <c r="E6468" s="16">
        <v>600.16</v>
      </c>
      <c r="F6468" s="1">
        <v>44757</v>
      </c>
      <c r="G6468" t="s">
        <v>2004</v>
      </c>
      <c r="H6468">
        <v>2</v>
      </c>
      <c r="I6468" s="12">
        <f>Table16[[#This Row],[price]]*Table16[[#This Row],[quantity]]</f>
        <v>1200.32</v>
      </c>
    </row>
    <row r="6469" spans="1:9" x14ac:dyDescent="0.3">
      <c r="A6469" t="s">
        <v>8480</v>
      </c>
      <c r="B6469" t="s">
        <v>1284</v>
      </c>
      <c r="C6469" t="s">
        <v>2024</v>
      </c>
      <c r="D6469">
        <v>5</v>
      </c>
      <c r="E6469" s="16">
        <v>179.2</v>
      </c>
      <c r="F6469" s="1">
        <v>44805</v>
      </c>
      <c r="G6469" t="s">
        <v>2027</v>
      </c>
      <c r="H6469">
        <v>4</v>
      </c>
      <c r="I6469" s="12">
        <f>Table16[[#This Row],[price]]*Table16[[#This Row],[quantity]]</f>
        <v>896</v>
      </c>
    </row>
    <row r="6470" spans="1:9" x14ac:dyDescent="0.3">
      <c r="A6470" t="s">
        <v>8490</v>
      </c>
      <c r="B6470" t="s">
        <v>1285</v>
      </c>
      <c r="C6470" t="s">
        <v>2057</v>
      </c>
      <c r="D6470">
        <v>3</v>
      </c>
      <c r="E6470" s="16">
        <v>35.19</v>
      </c>
      <c r="F6470" s="1">
        <v>44568</v>
      </c>
      <c r="G6470" t="s">
        <v>2009</v>
      </c>
      <c r="H6470">
        <v>4</v>
      </c>
      <c r="I6470" s="12">
        <f>Table16[[#This Row],[price]]*Table16[[#This Row],[quantity]]</f>
        <v>105.57</v>
      </c>
    </row>
    <row r="6471" spans="1:9" x14ac:dyDescent="0.3">
      <c r="A6471" t="s">
        <v>8487</v>
      </c>
      <c r="B6471" t="s">
        <v>1285</v>
      </c>
      <c r="C6471" t="s">
        <v>2008</v>
      </c>
      <c r="D6471">
        <v>4</v>
      </c>
      <c r="E6471" s="16">
        <v>20.92</v>
      </c>
      <c r="F6471" s="1">
        <v>44598</v>
      </c>
      <c r="G6471" t="s">
        <v>2004</v>
      </c>
      <c r="H6471">
        <v>1</v>
      </c>
      <c r="I6471" s="12">
        <f>Table16[[#This Row],[price]]*Table16[[#This Row],[quantity]]</f>
        <v>83.68</v>
      </c>
    </row>
    <row r="6472" spans="1:9" x14ac:dyDescent="0.3">
      <c r="A6472" t="s">
        <v>8488</v>
      </c>
      <c r="B6472" t="s">
        <v>1285</v>
      </c>
      <c r="C6472" t="s">
        <v>2008</v>
      </c>
      <c r="D6472">
        <v>2</v>
      </c>
      <c r="E6472" s="16">
        <v>10.46</v>
      </c>
      <c r="F6472" s="1">
        <v>44675</v>
      </c>
      <c r="G6472" t="s">
        <v>2012</v>
      </c>
      <c r="H6472">
        <v>1</v>
      </c>
      <c r="I6472" s="12">
        <f>Table16[[#This Row],[price]]*Table16[[#This Row],[quantity]]</f>
        <v>20.92</v>
      </c>
    </row>
    <row r="6473" spans="1:9" x14ac:dyDescent="0.3">
      <c r="A6473" t="s">
        <v>8489</v>
      </c>
      <c r="B6473" t="s">
        <v>1285</v>
      </c>
      <c r="C6473" t="s">
        <v>2011</v>
      </c>
      <c r="D6473">
        <v>3</v>
      </c>
      <c r="E6473" s="16">
        <v>121.98</v>
      </c>
      <c r="F6473" s="1">
        <v>44707</v>
      </c>
      <c r="G6473" t="s">
        <v>2020</v>
      </c>
      <c r="H6473">
        <v>2</v>
      </c>
      <c r="I6473" s="12">
        <f>Table16[[#This Row],[price]]*Table16[[#This Row],[quantity]]</f>
        <v>365.94</v>
      </c>
    </row>
    <row r="6474" spans="1:9" x14ac:dyDescent="0.3">
      <c r="A6474" t="s">
        <v>8486</v>
      </c>
      <c r="B6474" t="s">
        <v>1285</v>
      </c>
      <c r="C6474" t="s">
        <v>2006</v>
      </c>
      <c r="D6474">
        <v>1</v>
      </c>
      <c r="E6474" s="16">
        <v>15.15</v>
      </c>
      <c r="F6474" s="1">
        <v>44729</v>
      </c>
      <c r="G6474" t="s">
        <v>2009</v>
      </c>
      <c r="H6474">
        <v>2</v>
      </c>
      <c r="I6474" s="12">
        <f>Table16[[#This Row],[price]]*Table16[[#This Row],[quantity]]</f>
        <v>15.15</v>
      </c>
    </row>
    <row r="6475" spans="1:9" x14ac:dyDescent="0.3">
      <c r="A6475" t="s">
        <v>8491</v>
      </c>
      <c r="B6475" t="s">
        <v>1285</v>
      </c>
      <c r="C6475" t="s">
        <v>2008</v>
      </c>
      <c r="D6475">
        <v>3</v>
      </c>
      <c r="E6475" s="16">
        <v>15.69</v>
      </c>
      <c r="F6475" s="1">
        <v>44882</v>
      </c>
      <c r="G6475" t="s">
        <v>2012</v>
      </c>
      <c r="H6475">
        <v>5</v>
      </c>
      <c r="I6475" s="12">
        <f>Table16[[#This Row],[price]]*Table16[[#This Row],[quantity]]</f>
        <v>47.07</v>
      </c>
    </row>
    <row r="6476" spans="1:9" x14ac:dyDescent="0.3">
      <c r="A6476" t="s">
        <v>8497</v>
      </c>
      <c r="B6476" t="s">
        <v>1286</v>
      </c>
      <c r="C6476" t="s">
        <v>2001</v>
      </c>
      <c r="D6476">
        <v>3</v>
      </c>
      <c r="E6476" s="16">
        <v>900.24</v>
      </c>
      <c r="F6476" s="1">
        <v>44438</v>
      </c>
      <c r="G6476" t="s">
        <v>2020</v>
      </c>
      <c r="H6476">
        <v>2</v>
      </c>
      <c r="I6476" s="12">
        <f>Table16[[#This Row],[price]]*Table16[[#This Row],[quantity]]</f>
        <v>2700.7200000000003</v>
      </c>
    </row>
    <row r="6477" spans="1:9" x14ac:dyDescent="0.3">
      <c r="A6477" t="s">
        <v>8498</v>
      </c>
      <c r="B6477" t="s">
        <v>1286</v>
      </c>
      <c r="C6477" t="s">
        <v>2001</v>
      </c>
      <c r="D6477">
        <v>3</v>
      </c>
      <c r="E6477" s="16">
        <v>900.24</v>
      </c>
      <c r="F6477" s="1">
        <v>44527</v>
      </c>
      <c r="G6477" t="s">
        <v>2027</v>
      </c>
      <c r="H6477">
        <v>2</v>
      </c>
      <c r="I6477" s="12">
        <f>Table16[[#This Row],[price]]*Table16[[#This Row],[quantity]]</f>
        <v>2700.7200000000003</v>
      </c>
    </row>
    <row r="6478" spans="1:9" x14ac:dyDescent="0.3">
      <c r="A6478" t="s">
        <v>8495</v>
      </c>
      <c r="B6478" t="s">
        <v>1286</v>
      </c>
      <c r="C6478" t="s">
        <v>2006</v>
      </c>
      <c r="D6478">
        <v>3</v>
      </c>
      <c r="E6478" s="16">
        <v>45.45</v>
      </c>
      <c r="F6478" s="1">
        <v>44585</v>
      </c>
      <c r="G6478" t="s">
        <v>2027</v>
      </c>
      <c r="H6478">
        <v>2</v>
      </c>
      <c r="I6478" s="12">
        <f>Table16[[#This Row],[price]]*Table16[[#This Row],[quantity]]</f>
        <v>136.35000000000002</v>
      </c>
    </row>
    <row r="6479" spans="1:9" x14ac:dyDescent="0.3">
      <c r="A6479" t="s">
        <v>8496</v>
      </c>
      <c r="B6479" t="s">
        <v>1286</v>
      </c>
      <c r="C6479" t="s">
        <v>2011</v>
      </c>
      <c r="D6479">
        <v>5</v>
      </c>
      <c r="E6479" s="16">
        <v>203.3</v>
      </c>
      <c r="F6479" s="1">
        <v>44620</v>
      </c>
      <c r="G6479" t="s">
        <v>2020</v>
      </c>
      <c r="H6479">
        <v>5</v>
      </c>
      <c r="I6479" s="12">
        <f>Table16[[#This Row],[price]]*Table16[[#This Row],[quantity]]</f>
        <v>1016.5</v>
      </c>
    </row>
    <row r="6480" spans="1:9" x14ac:dyDescent="0.3">
      <c r="A6480" t="s">
        <v>8492</v>
      </c>
      <c r="B6480" t="s">
        <v>1286</v>
      </c>
      <c r="C6480" t="s">
        <v>2024</v>
      </c>
      <c r="D6480">
        <v>1</v>
      </c>
      <c r="E6480" s="16">
        <v>35.840000000000003</v>
      </c>
      <c r="F6480" s="1">
        <v>44694</v>
      </c>
      <c r="G6480" t="s">
        <v>2027</v>
      </c>
      <c r="H6480">
        <v>2</v>
      </c>
      <c r="I6480" s="12">
        <f>Table16[[#This Row],[price]]*Table16[[#This Row],[quantity]]</f>
        <v>35.840000000000003</v>
      </c>
    </row>
    <row r="6481" spans="1:9" x14ac:dyDescent="0.3">
      <c r="A6481" t="s">
        <v>8494</v>
      </c>
      <c r="B6481" t="s">
        <v>1286</v>
      </c>
      <c r="C6481" t="s">
        <v>2001</v>
      </c>
      <c r="D6481">
        <v>4</v>
      </c>
      <c r="E6481" s="16">
        <v>1200.32</v>
      </c>
      <c r="F6481" s="1">
        <v>44789</v>
      </c>
      <c r="G6481" t="s">
        <v>2064</v>
      </c>
      <c r="H6481">
        <v>3</v>
      </c>
      <c r="I6481" s="12">
        <f>Table16[[#This Row],[price]]*Table16[[#This Row],[quantity]]</f>
        <v>4801.28</v>
      </c>
    </row>
    <row r="6482" spans="1:9" x14ac:dyDescent="0.3">
      <c r="A6482" t="s">
        <v>8493</v>
      </c>
      <c r="B6482" t="s">
        <v>1286</v>
      </c>
      <c r="C6482" t="s">
        <v>2011</v>
      </c>
      <c r="D6482">
        <v>2</v>
      </c>
      <c r="E6482" s="16">
        <v>81.319999999999993</v>
      </c>
      <c r="F6482" s="1">
        <v>44914</v>
      </c>
      <c r="G6482" t="s">
        <v>2004</v>
      </c>
      <c r="H6482">
        <v>1</v>
      </c>
      <c r="I6482" s="12">
        <f>Table16[[#This Row],[price]]*Table16[[#This Row],[quantity]]</f>
        <v>162.63999999999999</v>
      </c>
    </row>
    <row r="6483" spans="1:9" x14ac:dyDescent="0.3">
      <c r="A6483" t="s">
        <v>8499</v>
      </c>
      <c r="B6483" t="s">
        <v>1287</v>
      </c>
      <c r="C6483" t="s">
        <v>2011</v>
      </c>
      <c r="D6483">
        <v>5</v>
      </c>
      <c r="E6483" s="16">
        <v>203.3</v>
      </c>
      <c r="F6483" s="1">
        <v>44331</v>
      </c>
      <c r="G6483" t="s">
        <v>2004</v>
      </c>
      <c r="H6483">
        <v>1</v>
      </c>
      <c r="I6483" s="12">
        <f>Table16[[#This Row],[price]]*Table16[[#This Row],[quantity]]</f>
        <v>1016.5</v>
      </c>
    </row>
    <row r="6484" spans="1:9" x14ac:dyDescent="0.3">
      <c r="A6484" t="s">
        <v>8502</v>
      </c>
      <c r="B6484" t="s">
        <v>1288</v>
      </c>
      <c r="C6484" t="s">
        <v>2011</v>
      </c>
      <c r="D6484">
        <v>4</v>
      </c>
      <c r="E6484" s="16">
        <v>162.63999999999999</v>
      </c>
      <c r="F6484" s="1">
        <v>44250</v>
      </c>
      <c r="G6484" t="s">
        <v>2058</v>
      </c>
      <c r="H6484">
        <v>3</v>
      </c>
      <c r="I6484" s="12">
        <f>Table16[[#This Row],[price]]*Table16[[#This Row],[quantity]]</f>
        <v>650.55999999999995</v>
      </c>
    </row>
    <row r="6485" spans="1:9" x14ac:dyDescent="0.3">
      <c r="A6485" t="s">
        <v>8503</v>
      </c>
      <c r="B6485" t="s">
        <v>1288</v>
      </c>
      <c r="C6485" t="s">
        <v>2015</v>
      </c>
      <c r="D6485">
        <v>5</v>
      </c>
      <c r="E6485" s="16">
        <v>3000.85</v>
      </c>
      <c r="F6485" s="1">
        <v>44324</v>
      </c>
      <c r="G6485" t="s">
        <v>2027</v>
      </c>
      <c r="H6485">
        <v>2</v>
      </c>
      <c r="I6485" s="12">
        <f>Table16[[#This Row],[price]]*Table16[[#This Row],[quantity]]</f>
        <v>15004.25</v>
      </c>
    </row>
    <row r="6486" spans="1:9" x14ac:dyDescent="0.3">
      <c r="A6486" t="s">
        <v>8501</v>
      </c>
      <c r="B6486" t="s">
        <v>1288</v>
      </c>
      <c r="C6486" t="s">
        <v>2017</v>
      </c>
      <c r="D6486">
        <v>1</v>
      </c>
      <c r="E6486" s="16">
        <v>1050</v>
      </c>
      <c r="F6486" s="1">
        <v>44412</v>
      </c>
      <c r="G6486" t="s">
        <v>2041</v>
      </c>
      <c r="H6486">
        <v>1</v>
      </c>
      <c r="I6486" s="12">
        <f>Table16[[#This Row],[price]]*Table16[[#This Row],[quantity]]</f>
        <v>1050</v>
      </c>
    </row>
    <row r="6487" spans="1:9" x14ac:dyDescent="0.3">
      <c r="A6487" t="s">
        <v>8504</v>
      </c>
      <c r="B6487" t="s">
        <v>1288</v>
      </c>
      <c r="C6487" t="s">
        <v>2011</v>
      </c>
      <c r="D6487">
        <v>2</v>
      </c>
      <c r="E6487" s="16">
        <v>81.319999999999993</v>
      </c>
      <c r="F6487" s="1">
        <v>44546</v>
      </c>
      <c r="G6487" t="s">
        <v>2009</v>
      </c>
      <c r="H6487">
        <v>3</v>
      </c>
      <c r="I6487" s="12">
        <f>Table16[[#This Row],[price]]*Table16[[#This Row],[quantity]]</f>
        <v>162.63999999999999</v>
      </c>
    </row>
    <row r="6488" spans="1:9" x14ac:dyDescent="0.3">
      <c r="A6488" t="s">
        <v>8505</v>
      </c>
      <c r="B6488" t="s">
        <v>1288</v>
      </c>
      <c r="C6488" t="s">
        <v>2015</v>
      </c>
      <c r="D6488">
        <v>2</v>
      </c>
      <c r="E6488" s="16">
        <v>1200.3399999999999</v>
      </c>
      <c r="F6488" s="1">
        <v>44727</v>
      </c>
      <c r="G6488" t="s">
        <v>2002</v>
      </c>
      <c r="H6488">
        <v>1</v>
      </c>
      <c r="I6488" s="12">
        <f>Table16[[#This Row],[price]]*Table16[[#This Row],[quantity]]</f>
        <v>2400.6799999999998</v>
      </c>
    </row>
    <row r="6489" spans="1:9" x14ac:dyDescent="0.3">
      <c r="A6489" t="s">
        <v>8500</v>
      </c>
      <c r="B6489" t="s">
        <v>1288</v>
      </c>
      <c r="C6489" t="s">
        <v>2015</v>
      </c>
      <c r="D6489">
        <v>1</v>
      </c>
      <c r="E6489" s="16">
        <v>600.16999999999996</v>
      </c>
      <c r="F6489" s="1">
        <v>44988</v>
      </c>
      <c r="G6489" t="s">
        <v>2027</v>
      </c>
      <c r="H6489">
        <v>5</v>
      </c>
      <c r="I6489" s="12">
        <f>Table16[[#This Row],[price]]*Table16[[#This Row],[quantity]]</f>
        <v>600.16999999999996</v>
      </c>
    </row>
    <row r="6490" spans="1:9" x14ac:dyDescent="0.3">
      <c r="A6490" t="s">
        <v>8506</v>
      </c>
      <c r="B6490" t="s">
        <v>1289</v>
      </c>
      <c r="C6490" t="s">
        <v>2008</v>
      </c>
      <c r="D6490">
        <v>1</v>
      </c>
      <c r="E6490" s="16">
        <v>5.23</v>
      </c>
      <c r="F6490" s="1">
        <v>44199</v>
      </c>
      <c r="G6490" t="s">
        <v>2018</v>
      </c>
      <c r="H6490">
        <v>3</v>
      </c>
      <c r="I6490" s="12">
        <f>Table16[[#This Row],[price]]*Table16[[#This Row],[quantity]]</f>
        <v>5.23</v>
      </c>
    </row>
    <row r="6491" spans="1:9" x14ac:dyDescent="0.3">
      <c r="A6491" t="s">
        <v>8510</v>
      </c>
      <c r="B6491" t="s">
        <v>1289</v>
      </c>
      <c r="C6491" t="s">
        <v>2006</v>
      </c>
      <c r="D6491">
        <v>2</v>
      </c>
      <c r="E6491" s="16">
        <v>30.3</v>
      </c>
      <c r="F6491" s="1">
        <v>44212</v>
      </c>
      <c r="G6491" t="s">
        <v>2002</v>
      </c>
      <c r="H6491">
        <v>4</v>
      </c>
      <c r="I6491" s="12">
        <f>Table16[[#This Row],[price]]*Table16[[#This Row],[quantity]]</f>
        <v>60.6</v>
      </c>
    </row>
    <row r="6492" spans="1:9" x14ac:dyDescent="0.3">
      <c r="A6492" t="s">
        <v>8508</v>
      </c>
      <c r="B6492" t="s">
        <v>1289</v>
      </c>
      <c r="C6492" t="s">
        <v>2001</v>
      </c>
      <c r="D6492">
        <v>5</v>
      </c>
      <c r="E6492" s="16">
        <v>1500.4</v>
      </c>
      <c r="F6492" s="1">
        <v>44302</v>
      </c>
      <c r="G6492" t="s">
        <v>2012</v>
      </c>
      <c r="H6492">
        <v>1</v>
      </c>
      <c r="I6492" s="12">
        <f>Table16[[#This Row],[price]]*Table16[[#This Row],[quantity]]</f>
        <v>7502</v>
      </c>
    </row>
    <row r="6493" spans="1:9" x14ac:dyDescent="0.3">
      <c r="A6493" t="s">
        <v>8511</v>
      </c>
      <c r="B6493" t="s">
        <v>1289</v>
      </c>
      <c r="C6493" t="s">
        <v>2015</v>
      </c>
      <c r="D6493">
        <v>3</v>
      </c>
      <c r="E6493" s="16">
        <v>1800.51</v>
      </c>
      <c r="F6493" s="1">
        <v>44458</v>
      </c>
      <c r="G6493" t="s">
        <v>2004</v>
      </c>
      <c r="H6493">
        <v>2</v>
      </c>
      <c r="I6493" s="12">
        <f>Table16[[#This Row],[price]]*Table16[[#This Row],[quantity]]</f>
        <v>5401.53</v>
      </c>
    </row>
    <row r="6494" spans="1:9" x14ac:dyDescent="0.3">
      <c r="A6494" t="s">
        <v>8507</v>
      </c>
      <c r="B6494" t="s">
        <v>1289</v>
      </c>
      <c r="C6494" t="s">
        <v>2011</v>
      </c>
      <c r="D6494">
        <v>2</v>
      </c>
      <c r="E6494" s="16">
        <v>81.319999999999993</v>
      </c>
      <c r="F6494" s="1">
        <v>44739</v>
      </c>
      <c r="G6494" t="s">
        <v>2004</v>
      </c>
      <c r="H6494">
        <v>5</v>
      </c>
      <c r="I6494" s="12">
        <f>Table16[[#This Row],[price]]*Table16[[#This Row],[quantity]]</f>
        <v>162.63999999999999</v>
      </c>
    </row>
    <row r="6495" spans="1:9" x14ac:dyDescent="0.3">
      <c r="A6495" t="s">
        <v>8509</v>
      </c>
      <c r="B6495" t="s">
        <v>1289</v>
      </c>
      <c r="C6495" t="s">
        <v>2001</v>
      </c>
      <c r="D6495">
        <v>1</v>
      </c>
      <c r="E6495" s="16">
        <v>300.08</v>
      </c>
      <c r="F6495" s="1">
        <v>44757</v>
      </c>
      <c r="G6495" t="s">
        <v>2064</v>
      </c>
      <c r="H6495">
        <v>4</v>
      </c>
      <c r="I6495" s="12">
        <f>Table16[[#This Row],[price]]*Table16[[#This Row],[quantity]]</f>
        <v>300.08</v>
      </c>
    </row>
    <row r="6496" spans="1:9" x14ac:dyDescent="0.3">
      <c r="A6496" t="s">
        <v>8514</v>
      </c>
      <c r="B6496" t="s">
        <v>1290</v>
      </c>
      <c r="C6496" t="s">
        <v>2001</v>
      </c>
      <c r="D6496">
        <v>1</v>
      </c>
      <c r="E6496" s="16">
        <v>300.08</v>
      </c>
      <c r="F6496" s="1">
        <v>44539</v>
      </c>
      <c r="G6496" t="s">
        <v>2012</v>
      </c>
      <c r="H6496">
        <v>4</v>
      </c>
      <c r="I6496" s="12">
        <f>Table16[[#This Row],[price]]*Table16[[#This Row],[quantity]]</f>
        <v>300.08</v>
      </c>
    </row>
    <row r="6497" spans="1:9" x14ac:dyDescent="0.3">
      <c r="A6497" t="s">
        <v>8513</v>
      </c>
      <c r="B6497" t="s">
        <v>1290</v>
      </c>
      <c r="C6497" t="s">
        <v>2024</v>
      </c>
      <c r="D6497">
        <v>2</v>
      </c>
      <c r="E6497" s="16">
        <v>71.680000000000007</v>
      </c>
      <c r="F6497" s="1">
        <v>44657</v>
      </c>
      <c r="G6497" t="s">
        <v>2020</v>
      </c>
      <c r="H6497">
        <v>1</v>
      </c>
      <c r="I6497" s="12">
        <f>Table16[[#This Row],[price]]*Table16[[#This Row],[quantity]]</f>
        <v>143.36000000000001</v>
      </c>
    </row>
    <row r="6498" spans="1:9" x14ac:dyDescent="0.3">
      <c r="A6498" t="s">
        <v>8512</v>
      </c>
      <c r="B6498" t="s">
        <v>1290</v>
      </c>
      <c r="C6498" t="s">
        <v>2008</v>
      </c>
      <c r="D6498">
        <v>2</v>
      </c>
      <c r="E6498" s="16">
        <v>10.46</v>
      </c>
      <c r="F6498" s="1">
        <v>44829</v>
      </c>
      <c r="G6498" t="s">
        <v>2027</v>
      </c>
      <c r="H6498">
        <v>2</v>
      </c>
      <c r="I6498" s="12">
        <f>Table16[[#This Row],[price]]*Table16[[#This Row],[quantity]]</f>
        <v>20.92</v>
      </c>
    </row>
    <row r="6499" spans="1:9" x14ac:dyDescent="0.3">
      <c r="A6499" t="s">
        <v>8515</v>
      </c>
      <c r="B6499" t="s">
        <v>1290</v>
      </c>
      <c r="C6499" t="s">
        <v>2001</v>
      </c>
      <c r="D6499">
        <v>3</v>
      </c>
      <c r="E6499" s="16">
        <v>900.24</v>
      </c>
      <c r="F6499" s="1">
        <v>44942</v>
      </c>
      <c r="G6499" t="s">
        <v>2004</v>
      </c>
      <c r="H6499">
        <v>4</v>
      </c>
      <c r="I6499" s="12">
        <f>Table16[[#This Row],[price]]*Table16[[#This Row],[quantity]]</f>
        <v>2700.7200000000003</v>
      </c>
    </row>
    <row r="6500" spans="1:9" x14ac:dyDescent="0.3">
      <c r="A6500" t="s">
        <v>8517</v>
      </c>
      <c r="B6500" t="s">
        <v>1291</v>
      </c>
      <c r="C6500" t="s">
        <v>2008</v>
      </c>
      <c r="D6500">
        <v>2</v>
      </c>
      <c r="E6500" s="16">
        <v>10.46</v>
      </c>
      <c r="F6500" s="1">
        <v>44201</v>
      </c>
      <c r="G6500" t="s">
        <v>2020</v>
      </c>
      <c r="H6500">
        <v>3</v>
      </c>
      <c r="I6500" s="12">
        <f>Table16[[#This Row],[price]]*Table16[[#This Row],[quantity]]</f>
        <v>20.92</v>
      </c>
    </row>
    <row r="6501" spans="1:9" x14ac:dyDescent="0.3">
      <c r="A6501" t="s">
        <v>8516</v>
      </c>
      <c r="B6501" t="s">
        <v>1291</v>
      </c>
      <c r="C6501" t="s">
        <v>2011</v>
      </c>
      <c r="D6501">
        <v>4</v>
      </c>
      <c r="E6501" s="16">
        <v>162.63999999999999</v>
      </c>
      <c r="F6501" s="1">
        <v>44586</v>
      </c>
      <c r="G6501" t="s">
        <v>2002</v>
      </c>
      <c r="H6501">
        <v>4</v>
      </c>
      <c r="I6501" s="12">
        <f>Table16[[#This Row],[price]]*Table16[[#This Row],[quantity]]</f>
        <v>650.55999999999995</v>
      </c>
    </row>
    <row r="6502" spans="1:9" x14ac:dyDescent="0.3">
      <c r="A6502" t="s">
        <v>8518</v>
      </c>
      <c r="B6502" t="s">
        <v>1291</v>
      </c>
      <c r="C6502" t="s">
        <v>2008</v>
      </c>
      <c r="D6502">
        <v>4</v>
      </c>
      <c r="E6502" s="16">
        <v>20.92</v>
      </c>
      <c r="F6502" s="1">
        <v>44820</v>
      </c>
      <c r="G6502" t="s">
        <v>2004</v>
      </c>
      <c r="H6502">
        <v>2</v>
      </c>
      <c r="I6502" s="12">
        <f>Table16[[#This Row],[price]]*Table16[[#This Row],[quantity]]</f>
        <v>83.68</v>
      </c>
    </row>
    <row r="6503" spans="1:9" x14ac:dyDescent="0.3">
      <c r="A6503" t="s">
        <v>8520</v>
      </c>
      <c r="B6503" t="s">
        <v>1292</v>
      </c>
      <c r="C6503" t="s">
        <v>2001</v>
      </c>
      <c r="D6503">
        <v>5</v>
      </c>
      <c r="E6503" s="16">
        <v>1500.4</v>
      </c>
      <c r="F6503" s="1">
        <v>44312</v>
      </c>
      <c r="G6503" t="s">
        <v>2004</v>
      </c>
      <c r="H6503">
        <v>2</v>
      </c>
      <c r="I6503" s="12">
        <f>Table16[[#This Row],[price]]*Table16[[#This Row],[quantity]]</f>
        <v>7502</v>
      </c>
    </row>
    <row r="6504" spans="1:9" x14ac:dyDescent="0.3">
      <c r="A6504" t="s">
        <v>8519</v>
      </c>
      <c r="B6504" t="s">
        <v>1292</v>
      </c>
      <c r="C6504" t="s">
        <v>2015</v>
      </c>
      <c r="D6504">
        <v>5</v>
      </c>
      <c r="E6504" s="16">
        <v>3000.85</v>
      </c>
      <c r="F6504" s="1">
        <v>44516</v>
      </c>
      <c r="G6504" t="s">
        <v>2004</v>
      </c>
      <c r="H6504">
        <v>2</v>
      </c>
      <c r="I6504" s="12">
        <f>Table16[[#This Row],[price]]*Table16[[#This Row],[quantity]]</f>
        <v>15004.25</v>
      </c>
    </row>
    <row r="6505" spans="1:9" x14ac:dyDescent="0.3">
      <c r="A6505" t="s">
        <v>8521</v>
      </c>
      <c r="B6505" t="s">
        <v>1292</v>
      </c>
      <c r="C6505" t="s">
        <v>2015</v>
      </c>
      <c r="D6505">
        <v>3</v>
      </c>
      <c r="E6505" s="16">
        <v>1800.51</v>
      </c>
      <c r="F6505" s="1">
        <v>44654</v>
      </c>
      <c r="G6505" t="s">
        <v>2002</v>
      </c>
      <c r="H6505">
        <v>4</v>
      </c>
      <c r="I6505" s="12">
        <f>Table16[[#This Row],[price]]*Table16[[#This Row],[quantity]]</f>
        <v>5401.53</v>
      </c>
    </row>
    <row r="6506" spans="1:9" x14ac:dyDescent="0.3">
      <c r="A6506" t="s">
        <v>8522</v>
      </c>
      <c r="B6506" t="s">
        <v>1292</v>
      </c>
      <c r="C6506" t="s">
        <v>2001</v>
      </c>
      <c r="D6506">
        <v>4</v>
      </c>
      <c r="E6506" s="16">
        <v>1200.32</v>
      </c>
      <c r="F6506" s="1">
        <v>44821</v>
      </c>
      <c r="G6506" t="s">
        <v>2004</v>
      </c>
      <c r="H6506">
        <v>1</v>
      </c>
      <c r="I6506" s="12">
        <f>Table16[[#This Row],[price]]*Table16[[#This Row],[quantity]]</f>
        <v>4801.28</v>
      </c>
    </row>
    <row r="6507" spans="1:9" x14ac:dyDescent="0.3">
      <c r="A6507" t="s">
        <v>8523</v>
      </c>
      <c r="B6507" t="s">
        <v>1293</v>
      </c>
      <c r="C6507" t="s">
        <v>2001</v>
      </c>
      <c r="D6507">
        <v>5</v>
      </c>
      <c r="E6507" s="16">
        <v>1500.4</v>
      </c>
      <c r="F6507" s="1">
        <v>44249</v>
      </c>
      <c r="G6507" t="s">
        <v>2020</v>
      </c>
      <c r="H6507">
        <v>5</v>
      </c>
      <c r="I6507" s="12">
        <f>Table16[[#This Row],[price]]*Table16[[#This Row],[quantity]]</f>
        <v>7502</v>
      </c>
    </row>
    <row r="6508" spans="1:9" x14ac:dyDescent="0.3">
      <c r="A6508" t="s">
        <v>8525</v>
      </c>
      <c r="B6508" t="s">
        <v>1293</v>
      </c>
      <c r="C6508" t="s">
        <v>2001</v>
      </c>
      <c r="D6508">
        <v>3</v>
      </c>
      <c r="E6508" s="16">
        <v>900.24</v>
      </c>
      <c r="F6508" s="1">
        <v>44251</v>
      </c>
      <c r="G6508" t="s">
        <v>2002</v>
      </c>
      <c r="H6508">
        <v>4</v>
      </c>
      <c r="I6508" s="12">
        <f>Table16[[#This Row],[price]]*Table16[[#This Row],[quantity]]</f>
        <v>2700.7200000000003</v>
      </c>
    </row>
    <row r="6509" spans="1:9" x14ac:dyDescent="0.3">
      <c r="A6509" t="s">
        <v>8527</v>
      </c>
      <c r="B6509" t="s">
        <v>1293</v>
      </c>
      <c r="C6509" t="s">
        <v>2017</v>
      </c>
      <c r="D6509">
        <v>1</v>
      </c>
      <c r="E6509" s="16">
        <v>1050</v>
      </c>
      <c r="F6509" s="1">
        <v>44453</v>
      </c>
      <c r="G6509" t="s">
        <v>2027</v>
      </c>
      <c r="H6509">
        <v>2</v>
      </c>
      <c r="I6509" s="12">
        <f>Table16[[#This Row],[price]]*Table16[[#This Row],[quantity]]</f>
        <v>1050</v>
      </c>
    </row>
    <row r="6510" spans="1:9" x14ac:dyDescent="0.3">
      <c r="A6510" t="s">
        <v>8526</v>
      </c>
      <c r="B6510" t="s">
        <v>1293</v>
      </c>
      <c r="C6510" t="s">
        <v>2017</v>
      </c>
      <c r="D6510">
        <v>5</v>
      </c>
      <c r="E6510" s="16">
        <v>5250</v>
      </c>
      <c r="F6510" s="1">
        <v>44467</v>
      </c>
      <c r="G6510" t="s">
        <v>2027</v>
      </c>
      <c r="H6510">
        <v>1</v>
      </c>
      <c r="I6510" s="12">
        <f>Table16[[#This Row],[price]]*Table16[[#This Row],[quantity]]</f>
        <v>26250</v>
      </c>
    </row>
    <row r="6511" spans="1:9" x14ac:dyDescent="0.3">
      <c r="A6511" t="s">
        <v>8528</v>
      </c>
      <c r="B6511" t="s">
        <v>1293</v>
      </c>
      <c r="C6511" t="s">
        <v>2001</v>
      </c>
      <c r="D6511">
        <v>4</v>
      </c>
      <c r="E6511" s="16">
        <v>1200.32</v>
      </c>
      <c r="F6511" s="1">
        <v>44605</v>
      </c>
      <c r="G6511" t="s">
        <v>2012</v>
      </c>
      <c r="H6511">
        <v>5</v>
      </c>
      <c r="I6511" s="12">
        <f>Table16[[#This Row],[price]]*Table16[[#This Row],[quantity]]</f>
        <v>4801.28</v>
      </c>
    </row>
    <row r="6512" spans="1:9" x14ac:dyDescent="0.3">
      <c r="A6512" t="s">
        <v>8529</v>
      </c>
      <c r="B6512" t="s">
        <v>1293</v>
      </c>
      <c r="C6512" t="s">
        <v>2001</v>
      </c>
      <c r="D6512">
        <v>5</v>
      </c>
      <c r="E6512" s="16">
        <v>1500.4</v>
      </c>
      <c r="F6512" s="1">
        <v>44623</v>
      </c>
      <c r="G6512" t="s">
        <v>2027</v>
      </c>
      <c r="H6512">
        <v>4</v>
      </c>
      <c r="I6512" s="12">
        <f>Table16[[#This Row],[price]]*Table16[[#This Row],[quantity]]</f>
        <v>7502</v>
      </c>
    </row>
    <row r="6513" spans="1:9" x14ac:dyDescent="0.3">
      <c r="A6513" t="s">
        <v>8524</v>
      </c>
      <c r="B6513" t="s">
        <v>1293</v>
      </c>
      <c r="C6513" t="s">
        <v>2011</v>
      </c>
      <c r="D6513">
        <v>5</v>
      </c>
      <c r="E6513" s="16">
        <v>203.3</v>
      </c>
      <c r="F6513" s="1">
        <v>44624</v>
      </c>
      <c r="G6513" t="s">
        <v>2027</v>
      </c>
      <c r="H6513">
        <v>3</v>
      </c>
      <c r="I6513" s="12">
        <f>Table16[[#This Row],[price]]*Table16[[#This Row],[quantity]]</f>
        <v>1016.5</v>
      </c>
    </row>
    <row r="6514" spans="1:9" x14ac:dyDescent="0.3">
      <c r="A6514" t="s">
        <v>8532</v>
      </c>
      <c r="B6514" t="s">
        <v>1294</v>
      </c>
      <c r="C6514" t="s">
        <v>2015</v>
      </c>
      <c r="D6514">
        <v>2</v>
      </c>
      <c r="E6514" s="16">
        <v>1200.3399999999999</v>
      </c>
      <c r="F6514" s="1">
        <v>44227</v>
      </c>
      <c r="G6514" t="s">
        <v>2002</v>
      </c>
      <c r="H6514">
        <v>5</v>
      </c>
      <c r="I6514" s="12">
        <f>Table16[[#This Row],[price]]*Table16[[#This Row],[quantity]]</f>
        <v>2400.6799999999998</v>
      </c>
    </row>
    <row r="6515" spans="1:9" x14ac:dyDescent="0.3">
      <c r="A6515" t="s">
        <v>8533</v>
      </c>
      <c r="B6515" t="s">
        <v>1294</v>
      </c>
      <c r="C6515" t="s">
        <v>2011</v>
      </c>
      <c r="D6515">
        <v>2</v>
      </c>
      <c r="E6515" s="16">
        <v>81.319999999999993</v>
      </c>
      <c r="F6515" s="1">
        <v>44362</v>
      </c>
      <c r="G6515" t="s">
        <v>2002</v>
      </c>
      <c r="H6515">
        <v>4</v>
      </c>
      <c r="I6515" s="12">
        <f>Table16[[#This Row],[price]]*Table16[[#This Row],[quantity]]</f>
        <v>162.63999999999999</v>
      </c>
    </row>
    <row r="6516" spans="1:9" x14ac:dyDescent="0.3">
      <c r="A6516" t="s">
        <v>8530</v>
      </c>
      <c r="B6516" t="s">
        <v>1294</v>
      </c>
      <c r="C6516" t="s">
        <v>2001</v>
      </c>
      <c r="D6516">
        <v>1</v>
      </c>
      <c r="E6516" s="16">
        <v>300.08</v>
      </c>
      <c r="F6516" s="1">
        <v>44432</v>
      </c>
      <c r="G6516" t="s">
        <v>2004</v>
      </c>
      <c r="H6516">
        <v>1</v>
      </c>
      <c r="I6516" s="12">
        <f>Table16[[#This Row],[price]]*Table16[[#This Row],[quantity]]</f>
        <v>300.08</v>
      </c>
    </row>
    <row r="6517" spans="1:9" x14ac:dyDescent="0.3">
      <c r="A6517" t="s">
        <v>8531</v>
      </c>
      <c r="B6517" t="s">
        <v>1294</v>
      </c>
      <c r="C6517" t="s">
        <v>2011</v>
      </c>
      <c r="D6517">
        <v>4</v>
      </c>
      <c r="E6517" s="16">
        <v>162.63999999999999</v>
      </c>
      <c r="F6517" s="1">
        <v>44821</v>
      </c>
      <c r="G6517" t="s">
        <v>2018</v>
      </c>
      <c r="H6517">
        <v>5</v>
      </c>
      <c r="I6517" s="12">
        <f>Table16[[#This Row],[price]]*Table16[[#This Row],[quantity]]</f>
        <v>650.55999999999995</v>
      </c>
    </row>
    <row r="6518" spans="1:9" x14ac:dyDescent="0.3">
      <c r="A6518" t="s">
        <v>8538</v>
      </c>
      <c r="B6518" t="s">
        <v>1295</v>
      </c>
      <c r="C6518" t="s">
        <v>2057</v>
      </c>
      <c r="D6518">
        <v>5</v>
      </c>
      <c r="E6518" s="16">
        <v>58.65</v>
      </c>
      <c r="F6518" s="1">
        <v>44339</v>
      </c>
      <c r="G6518" t="s">
        <v>2027</v>
      </c>
      <c r="H6518">
        <v>3</v>
      </c>
      <c r="I6518" s="12">
        <f>Table16[[#This Row],[price]]*Table16[[#This Row],[quantity]]</f>
        <v>293.25</v>
      </c>
    </row>
    <row r="6519" spans="1:9" x14ac:dyDescent="0.3">
      <c r="A6519" t="s">
        <v>8534</v>
      </c>
      <c r="B6519" t="s">
        <v>1295</v>
      </c>
      <c r="C6519" t="s">
        <v>2001</v>
      </c>
      <c r="D6519">
        <v>2</v>
      </c>
      <c r="E6519" s="16">
        <v>600.16</v>
      </c>
      <c r="F6519" s="1">
        <v>44602</v>
      </c>
      <c r="G6519" t="s">
        <v>2018</v>
      </c>
      <c r="H6519">
        <v>5</v>
      </c>
      <c r="I6519" s="12">
        <f>Table16[[#This Row],[price]]*Table16[[#This Row],[quantity]]</f>
        <v>1200.32</v>
      </c>
    </row>
    <row r="6520" spans="1:9" x14ac:dyDescent="0.3">
      <c r="A6520" t="s">
        <v>8535</v>
      </c>
      <c r="B6520" t="s">
        <v>1295</v>
      </c>
      <c r="C6520" t="s">
        <v>2057</v>
      </c>
      <c r="D6520">
        <v>4</v>
      </c>
      <c r="E6520" s="16">
        <v>46.92</v>
      </c>
      <c r="F6520" s="1">
        <v>44613</v>
      </c>
      <c r="G6520" t="s">
        <v>2018</v>
      </c>
      <c r="H6520">
        <v>2</v>
      </c>
      <c r="I6520" s="12">
        <f>Table16[[#This Row],[price]]*Table16[[#This Row],[quantity]]</f>
        <v>187.68</v>
      </c>
    </row>
    <row r="6521" spans="1:9" x14ac:dyDescent="0.3">
      <c r="A6521" t="s">
        <v>8536</v>
      </c>
      <c r="B6521" t="s">
        <v>1295</v>
      </c>
      <c r="C6521" t="s">
        <v>2011</v>
      </c>
      <c r="D6521">
        <v>1</v>
      </c>
      <c r="E6521" s="16">
        <v>40.659999999999997</v>
      </c>
      <c r="F6521" s="1">
        <v>44722</v>
      </c>
      <c r="G6521" t="s">
        <v>2020</v>
      </c>
      <c r="H6521">
        <v>3</v>
      </c>
      <c r="I6521" s="12">
        <f>Table16[[#This Row],[price]]*Table16[[#This Row],[quantity]]</f>
        <v>40.659999999999997</v>
      </c>
    </row>
    <row r="6522" spans="1:9" x14ac:dyDescent="0.3">
      <c r="A6522" t="s">
        <v>8539</v>
      </c>
      <c r="B6522" t="s">
        <v>1295</v>
      </c>
      <c r="C6522" t="s">
        <v>2011</v>
      </c>
      <c r="D6522">
        <v>4</v>
      </c>
      <c r="E6522" s="16">
        <v>162.63999999999999</v>
      </c>
      <c r="F6522" s="1">
        <v>44902</v>
      </c>
      <c r="G6522" t="s">
        <v>2004</v>
      </c>
      <c r="H6522">
        <v>4</v>
      </c>
      <c r="I6522" s="12">
        <f>Table16[[#This Row],[price]]*Table16[[#This Row],[quantity]]</f>
        <v>650.55999999999995</v>
      </c>
    </row>
    <row r="6523" spans="1:9" x14ac:dyDescent="0.3">
      <c r="A6523" t="s">
        <v>8537</v>
      </c>
      <c r="B6523" t="s">
        <v>1295</v>
      </c>
      <c r="C6523" t="s">
        <v>2001</v>
      </c>
      <c r="D6523">
        <v>2</v>
      </c>
      <c r="E6523" s="16">
        <v>600.16</v>
      </c>
      <c r="F6523" s="1">
        <v>44917</v>
      </c>
      <c r="G6523" t="s">
        <v>2020</v>
      </c>
      <c r="H6523">
        <v>2</v>
      </c>
      <c r="I6523" s="12">
        <f>Table16[[#This Row],[price]]*Table16[[#This Row],[quantity]]</f>
        <v>1200.32</v>
      </c>
    </row>
    <row r="6524" spans="1:9" x14ac:dyDescent="0.3">
      <c r="A6524" t="s">
        <v>8545</v>
      </c>
      <c r="B6524" t="s">
        <v>1296</v>
      </c>
      <c r="C6524" t="s">
        <v>2001</v>
      </c>
      <c r="D6524">
        <v>1</v>
      </c>
      <c r="E6524" s="16">
        <v>300.08</v>
      </c>
      <c r="F6524" s="1">
        <v>44226</v>
      </c>
      <c r="G6524" t="s">
        <v>2004</v>
      </c>
      <c r="H6524">
        <v>1</v>
      </c>
      <c r="I6524" s="12">
        <f>Table16[[#This Row],[price]]*Table16[[#This Row],[quantity]]</f>
        <v>300.08</v>
      </c>
    </row>
    <row r="6525" spans="1:9" x14ac:dyDescent="0.3">
      <c r="A6525" t="s">
        <v>8546</v>
      </c>
      <c r="B6525" t="s">
        <v>1296</v>
      </c>
      <c r="C6525" t="s">
        <v>2024</v>
      </c>
      <c r="D6525">
        <v>2</v>
      </c>
      <c r="E6525" s="16">
        <v>71.680000000000007</v>
      </c>
      <c r="F6525" s="1">
        <v>44327</v>
      </c>
      <c r="G6525" t="s">
        <v>2058</v>
      </c>
      <c r="H6525">
        <v>5</v>
      </c>
      <c r="I6525" s="12">
        <f>Table16[[#This Row],[price]]*Table16[[#This Row],[quantity]]</f>
        <v>143.36000000000001</v>
      </c>
    </row>
    <row r="6526" spans="1:9" x14ac:dyDescent="0.3">
      <c r="A6526" t="s">
        <v>8542</v>
      </c>
      <c r="B6526" t="s">
        <v>1296</v>
      </c>
      <c r="C6526" t="s">
        <v>2008</v>
      </c>
      <c r="D6526">
        <v>2</v>
      </c>
      <c r="E6526" s="16">
        <v>10.46</v>
      </c>
      <c r="F6526" s="1">
        <v>44359</v>
      </c>
      <c r="G6526" t="s">
        <v>2027</v>
      </c>
      <c r="H6526">
        <v>2</v>
      </c>
      <c r="I6526" s="12">
        <f>Table16[[#This Row],[price]]*Table16[[#This Row],[quantity]]</f>
        <v>20.92</v>
      </c>
    </row>
    <row r="6527" spans="1:9" x14ac:dyDescent="0.3">
      <c r="A6527" t="s">
        <v>8543</v>
      </c>
      <c r="B6527" t="s">
        <v>1296</v>
      </c>
      <c r="C6527" t="s">
        <v>2001</v>
      </c>
      <c r="D6527">
        <v>3</v>
      </c>
      <c r="E6527" s="16">
        <v>900.24</v>
      </c>
      <c r="F6527" s="1">
        <v>44374</v>
      </c>
      <c r="G6527" t="s">
        <v>2004</v>
      </c>
      <c r="H6527">
        <v>3</v>
      </c>
      <c r="I6527" s="12">
        <f>Table16[[#This Row],[price]]*Table16[[#This Row],[quantity]]</f>
        <v>2700.7200000000003</v>
      </c>
    </row>
    <row r="6528" spans="1:9" x14ac:dyDescent="0.3">
      <c r="A6528" t="s">
        <v>8540</v>
      </c>
      <c r="B6528" t="s">
        <v>1296</v>
      </c>
      <c r="C6528" t="s">
        <v>2008</v>
      </c>
      <c r="D6528">
        <v>5</v>
      </c>
      <c r="E6528" s="16">
        <v>26.15</v>
      </c>
      <c r="F6528" s="1">
        <v>44642</v>
      </c>
      <c r="G6528" t="s">
        <v>2009</v>
      </c>
      <c r="H6528">
        <v>2</v>
      </c>
      <c r="I6528" s="12">
        <f>Table16[[#This Row],[price]]*Table16[[#This Row],[quantity]]</f>
        <v>130.75</v>
      </c>
    </row>
    <row r="6529" spans="1:9" x14ac:dyDescent="0.3">
      <c r="A6529" t="s">
        <v>8541</v>
      </c>
      <c r="B6529" t="s">
        <v>1296</v>
      </c>
      <c r="C6529" t="s">
        <v>2008</v>
      </c>
      <c r="D6529">
        <v>2</v>
      </c>
      <c r="E6529" s="16">
        <v>10.46</v>
      </c>
      <c r="F6529" s="1">
        <v>44792</v>
      </c>
      <c r="G6529" t="s">
        <v>2004</v>
      </c>
      <c r="H6529">
        <v>3</v>
      </c>
      <c r="I6529" s="12">
        <f>Table16[[#This Row],[price]]*Table16[[#This Row],[quantity]]</f>
        <v>20.92</v>
      </c>
    </row>
    <row r="6530" spans="1:9" x14ac:dyDescent="0.3">
      <c r="A6530" t="s">
        <v>8544</v>
      </c>
      <c r="B6530" t="s">
        <v>1296</v>
      </c>
      <c r="C6530" t="s">
        <v>2008</v>
      </c>
      <c r="D6530">
        <v>5</v>
      </c>
      <c r="E6530" s="16">
        <v>26.15</v>
      </c>
      <c r="F6530" s="1">
        <v>44942</v>
      </c>
      <c r="G6530" t="s">
        <v>2058</v>
      </c>
      <c r="H6530">
        <v>4</v>
      </c>
      <c r="I6530" s="12">
        <f>Table16[[#This Row],[price]]*Table16[[#This Row],[quantity]]</f>
        <v>130.75</v>
      </c>
    </row>
    <row r="6531" spans="1:9" x14ac:dyDescent="0.3">
      <c r="A6531" t="s">
        <v>8549</v>
      </c>
      <c r="B6531" t="s">
        <v>1297</v>
      </c>
      <c r="C6531" t="s">
        <v>2001</v>
      </c>
      <c r="D6531">
        <v>1</v>
      </c>
      <c r="E6531" s="16">
        <v>300.08</v>
      </c>
      <c r="F6531" s="1">
        <v>44479</v>
      </c>
      <c r="G6531" t="s">
        <v>2004</v>
      </c>
      <c r="H6531">
        <v>5</v>
      </c>
      <c r="I6531" s="12">
        <f>Table16[[#This Row],[price]]*Table16[[#This Row],[quantity]]</f>
        <v>300.08</v>
      </c>
    </row>
    <row r="6532" spans="1:9" x14ac:dyDescent="0.3">
      <c r="A6532" t="s">
        <v>8547</v>
      </c>
      <c r="B6532" t="s">
        <v>1297</v>
      </c>
      <c r="C6532" t="s">
        <v>2001</v>
      </c>
      <c r="D6532">
        <v>4</v>
      </c>
      <c r="E6532" s="16">
        <v>1200.32</v>
      </c>
      <c r="F6532" s="1">
        <v>44578</v>
      </c>
      <c r="G6532" t="s">
        <v>2009</v>
      </c>
      <c r="H6532">
        <v>3</v>
      </c>
      <c r="I6532" s="12">
        <f>Table16[[#This Row],[price]]*Table16[[#This Row],[quantity]]</f>
        <v>4801.28</v>
      </c>
    </row>
    <row r="6533" spans="1:9" x14ac:dyDescent="0.3">
      <c r="A6533" t="s">
        <v>8551</v>
      </c>
      <c r="B6533" t="s">
        <v>1297</v>
      </c>
      <c r="C6533" t="s">
        <v>2001</v>
      </c>
      <c r="D6533">
        <v>1</v>
      </c>
      <c r="E6533" s="16">
        <v>300.08</v>
      </c>
      <c r="F6533" s="1">
        <v>44834</v>
      </c>
      <c r="G6533" t="s">
        <v>2002</v>
      </c>
      <c r="H6533">
        <v>1</v>
      </c>
      <c r="I6533" s="12">
        <f>Table16[[#This Row],[price]]*Table16[[#This Row],[quantity]]</f>
        <v>300.08</v>
      </c>
    </row>
    <row r="6534" spans="1:9" x14ac:dyDescent="0.3">
      <c r="A6534" t="s">
        <v>8548</v>
      </c>
      <c r="B6534" t="s">
        <v>1297</v>
      </c>
      <c r="C6534" t="s">
        <v>2057</v>
      </c>
      <c r="D6534">
        <v>4</v>
      </c>
      <c r="E6534" s="16">
        <v>46.92</v>
      </c>
      <c r="F6534" s="1">
        <v>44835</v>
      </c>
      <c r="G6534" t="s">
        <v>2004</v>
      </c>
      <c r="H6534">
        <v>5</v>
      </c>
      <c r="I6534" s="12">
        <f>Table16[[#This Row],[price]]*Table16[[#This Row],[quantity]]</f>
        <v>187.68</v>
      </c>
    </row>
    <row r="6535" spans="1:9" x14ac:dyDescent="0.3">
      <c r="A6535" t="s">
        <v>8550</v>
      </c>
      <c r="B6535" t="s">
        <v>1297</v>
      </c>
      <c r="C6535" t="s">
        <v>2017</v>
      </c>
      <c r="D6535">
        <v>3</v>
      </c>
      <c r="E6535" s="16">
        <v>3150</v>
      </c>
      <c r="F6535" s="1">
        <v>44913</v>
      </c>
      <c r="G6535" t="s">
        <v>2064</v>
      </c>
      <c r="H6535">
        <v>5</v>
      </c>
      <c r="I6535" s="12">
        <f>Table16[[#This Row],[price]]*Table16[[#This Row],[quantity]]</f>
        <v>9450</v>
      </c>
    </row>
    <row r="6536" spans="1:9" x14ac:dyDescent="0.3">
      <c r="A6536" t="s">
        <v>8553</v>
      </c>
      <c r="B6536" t="s">
        <v>1298</v>
      </c>
      <c r="C6536" t="s">
        <v>2001</v>
      </c>
      <c r="D6536">
        <v>3</v>
      </c>
      <c r="E6536" s="16">
        <v>900.24</v>
      </c>
      <c r="F6536" s="1">
        <v>44320</v>
      </c>
      <c r="G6536" t="s">
        <v>2004</v>
      </c>
      <c r="H6536">
        <v>3</v>
      </c>
      <c r="I6536" s="12">
        <f>Table16[[#This Row],[price]]*Table16[[#This Row],[quantity]]</f>
        <v>2700.7200000000003</v>
      </c>
    </row>
    <row r="6537" spans="1:9" x14ac:dyDescent="0.3">
      <c r="A6537" t="s">
        <v>8552</v>
      </c>
      <c r="B6537" t="s">
        <v>1298</v>
      </c>
      <c r="C6537" t="s">
        <v>2006</v>
      </c>
      <c r="D6537">
        <v>5</v>
      </c>
      <c r="E6537" s="16">
        <v>75.75</v>
      </c>
      <c r="F6537" s="1">
        <v>44456</v>
      </c>
      <c r="G6537" t="s">
        <v>2018</v>
      </c>
      <c r="H6537">
        <v>1</v>
      </c>
      <c r="I6537" s="12">
        <f>Table16[[#This Row],[price]]*Table16[[#This Row],[quantity]]</f>
        <v>378.75</v>
      </c>
    </row>
    <row r="6538" spans="1:9" x14ac:dyDescent="0.3">
      <c r="A6538" t="s">
        <v>8554</v>
      </c>
      <c r="B6538" t="s">
        <v>1298</v>
      </c>
      <c r="C6538" t="s">
        <v>2001</v>
      </c>
      <c r="D6538">
        <v>5</v>
      </c>
      <c r="E6538" s="16">
        <v>1500.4</v>
      </c>
      <c r="F6538" s="1">
        <v>44779</v>
      </c>
      <c r="G6538" t="s">
        <v>2027</v>
      </c>
      <c r="H6538">
        <v>5</v>
      </c>
      <c r="I6538" s="12">
        <f>Table16[[#This Row],[price]]*Table16[[#This Row],[quantity]]</f>
        <v>7502</v>
      </c>
    </row>
    <row r="6539" spans="1:9" x14ac:dyDescent="0.3">
      <c r="A6539" t="s">
        <v>8555</v>
      </c>
      <c r="B6539" t="s">
        <v>1298</v>
      </c>
      <c r="C6539" t="s">
        <v>2001</v>
      </c>
      <c r="D6539">
        <v>5</v>
      </c>
      <c r="E6539" s="16">
        <v>1500.4</v>
      </c>
      <c r="F6539" s="1">
        <v>44844</v>
      </c>
      <c r="G6539" t="s">
        <v>2012</v>
      </c>
      <c r="H6539">
        <v>5</v>
      </c>
      <c r="I6539" s="12">
        <f>Table16[[#This Row],[price]]*Table16[[#This Row],[quantity]]</f>
        <v>7502</v>
      </c>
    </row>
    <row r="6540" spans="1:9" x14ac:dyDescent="0.3">
      <c r="A6540" t="s">
        <v>8559</v>
      </c>
      <c r="B6540" t="s">
        <v>1299</v>
      </c>
      <c r="C6540" t="s">
        <v>2008</v>
      </c>
      <c r="D6540">
        <v>5</v>
      </c>
      <c r="E6540" s="16">
        <v>26.15</v>
      </c>
      <c r="F6540" s="1">
        <v>44251</v>
      </c>
      <c r="G6540" t="s">
        <v>2041</v>
      </c>
      <c r="H6540">
        <v>4</v>
      </c>
      <c r="I6540" s="12">
        <f>Table16[[#This Row],[price]]*Table16[[#This Row],[quantity]]</f>
        <v>130.75</v>
      </c>
    </row>
    <row r="6541" spans="1:9" x14ac:dyDescent="0.3">
      <c r="A6541" t="s">
        <v>8556</v>
      </c>
      <c r="B6541" t="s">
        <v>1299</v>
      </c>
      <c r="C6541" t="s">
        <v>2008</v>
      </c>
      <c r="D6541">
        <v>5</v>
      </c>
      <c r="E6541" s="16">
        <v>26.15</v>
      </c>
      <c r="F6541" s="1">
        <v>44314</v>
      </c>
      <c r="G6541" t="s">
        <v>2002</v>
      </c>
      <c r="H6541">
        <v>5</v>
      </c>
      <c r="I6541" s="12">
        <f>Table16[[#This Row],[price]]*Table16[[#This Row],[quantity]]</f>
        <v>130.75</v>
      </c>
    </row>
    <row r="6542" spans="1:9" x14ac:dyDescent="0.3">
      <c r="A6542" t="s">
        <v>8557</v>
      </c>
      <c r="B6542" t="s">
        <v>1299</v>
      </c>
      <c r="C6542" t="s">
        <v>2001</v>
      </c>
      <c r="D6542">
        <v>5</v>
      </c>
      <c r="E6542" s="16">
        <v>1500.4</v>
      </c>
      <c r="F6542" s="1">
        <v>44716</v>
      </c>
      <c r="G6542" t="s">
        <v>2018</v>
      </c>
      <c r="H6542">
        <v>1</v>
      </c>
      <c r="I6542" s="12">
        <f>Table16[[#This Row],[price]]*Table16[[#This Row],[quantity]]</f>
        <v>7502</v>
      </c>
    </row>
    <row r="6543" spans="1:9" x14ac:dyDescent="0.3">
      <c r="A6543" t="s">
        <v>8558</v>
      </c>
      <c r="B6543" t="s">
        <v>1299</v>
      </c>
      <c r="C6543" t="s">
        <v>2001</v>
      </c>
      <c r="D6543">
        <v>1</v>
      </c>
      <c r="E6543" s="16">
        <v>300.08</v>
      </c>
      <c r="F6543" s="1">
        <v>44873</v>
      </c>
      <c r="G6543" t="s">
        <v>2004</v>
      </c>
      <c r="H6543">
        <v>1</v>
      </c>
      <c r="I6543" s="12">
        <f>Table16[[#This Row],[price]]*Table16[[#This Row],[quantity]]</f>
        <v>300.08</v>
      </c>
    </row>
    <row r="6544" spans="1:9" x14ac:dyDescent="0.3">
      <c r="A6544" t="s">
        <v>8562</v>
      </c>
      <c r="B6544" t="s">
        <v>1300</v>
      </c>
      <c r="C6544" t="s">
        <v>2024</v>
      </c>
      <c r="D6544">
        <v>5</v>
      </c>
      <c r="E6544" s="16">
        <v>179.2</v>
      </c>
      <c r="F6544" s="1">
        <v>44461</v>
      </c>
      <c r="G6544" t="s">
        <v>2002</v>
      </c>
      <c r="H6544">
        <v>2</v>
      </c>
      <c r="I6544" s="12">
        <f>Table16[[#This Row],[price]]*Table16[[#This Row],[quantity]]</f>
        <v>896</v>
      </c>
    </row>
    <row r="6545" spans="1:9" x14ac:dyDescent="0.3">
      <c r="A6545" t="s">
        <v>8563</v>
      </c>
      <c r="B6545" t="s">
        <v>1300</v>
      </c>
      <c r="C6545" t="s">
        <v>2011</v>
      </c>
      <c r="D6545">
        <v>5</v>
      </c>
      <c r="E6545" s="16">
        <v>203.3</v>
      </c>
      <c r="F6545" s="1">
        <v>44478</v>
      </c>
      <c r="G6545" t="s">
        <v>2027</v>
      </c>
      <c r="H6545">
        <v>5</v>
      </c>
      <c r="I6545" s="12">
        <f>Table16[[#This Row],[price]]*Table16[[#This Row],[quantity]]</f>
        <v>1016.5</v>
      </c>
    </row>
    <row r="6546" spans="1:9" x14ac:dyDescent="0.3">
      <c r="A6546" t="s">
        <v>8564</v>
      </c>
      <c r="B6546" t="s">
        <v>1300</v>
      </c>
      <c r="C6546" t="s">
        <v>2008</v>
      </c>
      <c r="D6546">
        <v>5</v>
      </c>
      <c r="E6546" s="16">
        <v>26.15</v>
      </c>
      <c r="F6546" s="1">
        <v>44506</v>
      </c>
      <c r="G6546" t="s">
        <v>2004</v>
      </c>
      <c r="H6546">
        <v>4</v>
      </c>
      <c r="I6546" s="12">
        <f>Table16[[#This Row],[price]]*Table16[[#This Row],[quantity]]</f>
        <v>130.75</v>
      </c>
    </row>
    <row r="6547" spans="1:9" x14ac:dyDescent="0.3">
      <c r="A6547" t="s">
        <v>8561</v>
      </c>
      <c r="B6547" t="s">
        <v>1300</v>
      </c>
      <c r="C6547" t="s">
        <v>2001</v>
      </c>
      <c r="D6547">
        <v>3</v>
      </c>
      <c r="E6547" s="16">
        <v>900.24</v>
      </c>
      <c r="F6547" s="1">
        <v>44540</v>
      </c>
      <c r="G6547" t="s">
        <v>2002</v>
      </c>
      <c r="H6547">
        <v>4</v>
      </c>
      <c r="I6547" s="12">
        <f>Table16[[#This Row],[price]]*Table16[[#This Row],[quantity]]</f>
        <v>2700.7200000000003</v>
      </c>
    </row>
    <row r="6548" spans="1:9" x14ac:dyDescent="0.3">
      <c r="A6548" t="s">
        <v>8565</v>
      </c>
      <c r="B6548" t="s">
        <v>1300</v>
      </c>
      <c r="C6548" t="s">
        <v>2001</v>
      </c>
      <c r="D6548">
        <v>4</v>
      </c>
      <c r="E6548" s="16">
        <v>1200.32</v>
      </c>
      <c r="F6548" s="1">
        <v>44774</v>
      </c>
      <c r="G6548" t="s">
        <v>2027</v>
      </c>
      <c r="H6548">
        <v>2</v>
      </c>
      <c r="I6548" s="12">
        <f>Table16[[#This Row],[price]]*Table16[[#This Row],[quantity]]</f>
        <v>4801.28</v>
      </c>
    </row>
    <row r="6549" spans="1:9" x14ac:dyDescent="0.3">
      <c r="A6549" t="s">
        <v>8560</v>
      </c>
      <c r="B6549" t="s">
        <v>1300</v>
      </c>
      <c r="C6549" t="s">
        <v>2001</v>
      </c>
      <c r="D6549">
        <v>5</v>
      </c>
      <c r="E6549" s="16">
        <v>1500.4</v>
      </c>
      <c r="F6549" s="1">
        <v>44968</v>
      </c>
      <c r="G6549" t="s">
        <v>2020</v>
      </c>
      <c r="H6549">
        <v>4</v>
      </c>
      <c r="I6549" s="12">
        <f>Table16[[#This Row],[price]]*Table16[[#This Row],[quantity]]</f>
        <v>7502</v>
      </c>
    </row>
    <row r="6550" spans="1:9" x14ac:dyDescent="0.3">
      <c r="A6550" t="s">
        <v>8566</v>
      </c>
      <c r="B6550" t="s">
        <v>1301</v>
      </c>
      <c r="C6550" t="s">
        <v>2017</v>
      </c>
      <c r="D6550">
        <v>4</v>
      </c>
      <c r="E6550" s="16">
        <v>4200</v>
      </c>
      <c r="F6550" s="1">
        <v>44407</v>
      </c>
      <c r="G6550" t="s">
        <v>2018</v>
      </c>
      <c r="H6550">
        <v>4</v>
      </c>
      <c r="I6550" s="12">
        <f>Table16[[#This Row],[price]]*Table16[[#This Row],[quantity]]</f>
        <v>16800</v>
      </c>
    </row>
    <row r="6551" spans="1:9" x14ac:dyDescent="0.3">
      <c r="A6551" t="s">
        <v>8570</v>
      </c>
      <c r="B6551" t="s">
        <v>1301</v>
      </c>
      <c r="C6551" t="s">
        <v>2015</v>
      </c>
      <c r="D6551">
        <v>1</v>
      </c>
      <c r="E6551" s="16">
        <v>600.16999999999996</v>
      </c>
      <c r="F6551" s="1">
        <v>44421</v>
      </c>
      <c r="G6551" t="s">
        <v>2027</v>
      </c>
      <c r="H6551">
        <v>4</v>
      </c>
      <c r="I6551" s="12">
        <f>Table16[[#This Row],[price]]*Table16[[#This Row],[quantity]]</f>
        <v>600.16999999999996</v>
      </c>
    </row>
    <row r="6552" spans="1:9" x14ac:dyDescent="0.3">
      <c r="A6552" t="s">
        <v>8569</v>
      </c>
      <c r="B6552" t="s">
        <v>1301</v>
      </c>
      <c r="C6552" t="s">
        <v>2001</v>
      </c>
      <c r="D6552">
        <v>3</v>
      </c>
      <c r="E6552" s="16">
        <v>900.24</v>
      </c>
      <c r="F6552" s="1">
        <v>44441</v>
      </c>
      <c r="G6552" t="s">
        <v>2041</v>
      </c>
      <c r="H6552">
        <v>4</v>
      </c>
      <c r="I6552" s="12">
        <f>Table16[[#This Row],[price]]*Table16[[#This Row],[quantity]]</f>
        <v>2700.7200000000003</v>
      </c>
    </row>
    <row r="6553" spans="1:9" x14ac:dyDescent="0.3">
      <c r="A6553" t="s">
        <v>8568</v>
      </c>
      <c r="B6553" t="s">
        <v>1301</v>
      </c>
      <c r="C6553" t="s">
        <v>2015</v>
      </c>
      <c r="D6553">
        <v>3</v>
      </c>
      <c r="E6553" s="16">
        <v>1800.51</v>
      </c>
      <c r="F6553" s="1">
        <v>44476</v>
      </c>
      <c r="G6553" t="s">
        <v>2004</v>
      </c>
      <c r="H6553">
        <v>1</v>
      </c>
      <c r="I6553" s="12">
        <f>Table16[[#This Row],[price]]*Table16[[#This Row],[quantity]]</f>
        <v>5401.53</v>
      </c>
    </row>
    <row r="6554" spans="1:9" x14ac:dyDescent="0.3">
      <c r="A6554" t="s">
        <v>8567</v>
      </c>
      <c r="B6554" t="s">
        <v>1301</v>
      </c>
      <c r="C6554" t="s">
        <v>2001</v>
      </c>
      <c r="D6554">
        <v>3</v>
      </c>
      <c r="E6554" s="16">
        <v>900.24</v>
      </c>
      <c r="F6554" s="1">
        <v>44523</v>
      </c>
      <c r="G6554" t="s">
        <v>2012</v>
      </c>
      <c r="H6554">
        <v>1</v>
      </c>
      <c r="I6554" s="12">
        <f>Table16[[#This Row],[price]]*Table16[[#This Row],[quantity]]</f>
        <v>2700.7200000000003</v>
      </c>
    </row>
    <row r="6555" spans="1:9" x14ac:dyDescent="0.3">
      <c r="A6555" t="s">
        <v>8574</v>
      </c>
      <c r="B6555" t="s">
        <v>1302</v>
      </c>
      <c r="C6555" t="s">
        <v>2011</v>
      </c>
      <c r="D6555">
        <v>3</v>
      </c>
      <c r="E6555" s="16">
        <v>121.98</v>
      </c>
      <c r="F6555" s="1">
        <v>44487</v>
      </c>
      <c r="G6555" t="s">
        <v>2002</v>
      </c>
      <c r="H6555">
        <v>5</v>
      </c>
      <c r="I6555" s="12">
        <f>Table16[[#This Row],[price]]*Table16[[#This Row],[quantity]]</f>
        <v>365.94</v>
      </c>
    </row>
    <row r="6556" spans="1:9" x14ac:dyDescent="0.3">
      <c r="A6556" t="s">
        <v>8572</v>
      </c>
      <c r="B6556" t="s">
        <v>1302</v>
      </c>
      <c r="C6556" t="s">
        <v>2015</v>
      </c>
      <c r="D6556">
        <v>4</v>
      </c>
      <c r="E6556" s="16">
        <v>2400.6799999999998</v>
      </c>
      <c r="F6556" s="1">
        <v>44505</v>
      </c>
      <c r="G6556" t="s">
        <v>2058</v>
      </c>
      <c r="H6556">
        <v>5</v>
      </c>
      <c r="I6556" s="12">
        <f>Table16[[#This Row],[price]]*Table16[[#This Row],[quantity]]</f>
        <v>9602.7199999999993</v>
      </c>
    </row>
    <row r="6557" spans="1:9" x14ac:dyDescent="0.3">
      <c r="A6557" t="s">
        <v>8571</v>
      </c>
      <c r="B6557" t="s">
        <v>1302</v>
      </c>
      <c r="C6557" t="s">
        <v>2015</v>
      </c>
      <c r="D6557">
        <v>4</v>
      </c>
      <c r="E6557" s="16">
        <v>2400.6799999999998</v>
      </c>
      <c r="F6557" s="1">
        <v>44948</v>
      </c>
      <c r="G6557" t="s">
        <v>2064</v>
      </c>
      <c r="H6557">
        <v>1</v>
      </c>
      <c r="I6557" s="12">
        <f>Table16[[#This Row],[price]]*Table16[[#This Row],[quantity]]</f>
        <v>9602.7199999999993</v>
      </c>
    </row>
    <row r="6558" spans="1:9" x14ac:dyDescent="0.3">
      <c r="A6558" t="s">
        <v>8573</v>
      </c>
      <c r="B6558" t="s">
        <v>1302</v>
      </c>
      <c r="C6558" t="s">
        <v>2015</v>
      </c>
      <c r="D6558">
        <v>3</v>
      </c>
      <c r="E6558" s="16">
        <v>1800.51</v>
      </c>
      <c r="F6558" s="1">
        <v>44981</v>
      </c>
      <c r="G6558" t="s">
        <v>2004</v>
      </c>
      <c r="H6558">
        <v>4</v>
      </c>
      <c r="I6558" s="12">
        <f>Table16[[#This Row],[price]]*Table16[[#This Row],[quantity]]</f>
        <v>5401.53</v>
      </c>
    </row>
    <row r="6559" spans="1:9" x14ac:dyDescent="0.3">
      <c r="A6559" t="s">
        <v>8576</v>
      </c>
      <c r="B6559" t="s">
        <v>1303</v>
      </c>
      <c r="C6559" t="s">
        <v>2001</v>
      </c>
      <c r="D6559">
        <v>2</v>
      </c>
      <c r="E6559" s="16">
        <v>600.16</v>
      </c>
      <c r="F6559" s="1">
        <v>44458</v>
      </c>
      <c r="G6559" t="s">
        <v>2004</v>
      </c>
      <c r="H6559">
        <v>4</v>
      </c>
      <c r="I6559" s="12">
        <f>Table16[[#This Row],[price]]*Table16[[#This Row],[quantity]]</f>
        <v>1200.32</v>
      </c>
    </row>
    <row r="6560" spans="1:9" x14ac:dyDescent="0.3">
      <c r="A6560" t="s">
        <v>8575</v>
      </c>
      <c r="B6560" t="s">
        <v>1303</v>
      </c>
      <c r="C6560" t="s">
        <v>2024</v>
      </c>
      <c r="D6560">
        <v>2</v>
      </c>
      <c r="E6560" s="16">
        <v>71.680000000000007</v>
      </c>
      <c r="F6560" s="1">
        <v>44612</v>
      </c>
      <c r="G6560" t="s">
        <v>2004</v>
      </c>
      <c r="H6560">
        <v>1</v>
      </c>
      <c r="I6560" s="12">
        <f>Table16[[#This Row],[price]]*Table16[[#This Row],[quantity]]</f>
        <v>143.36000000000001</v>
      </c>
    </row>
    <row r="6561" spans="1:9" x14ac:dyDescent="0.3">
      <c r="A6561" t="s">
        <v>8577</v>
      </c>
      <c r="B6561" t="s">
        <v>1303</v>
      </c>
      <c r="C6561" t="s">
        <v>2011</v>
      </c>
      <c r="D6561">
        <v>3</v>
      </c>
      <c r="E6561" s="16">
        <v>121.98</v>
      </c>
      <c r="F6561" s="1">
        <v>44811</v>
      </c>
      <c r="G6561" t="s">
        <v>2012</v>
      </c>
      <c r="H6561">
        <v>5</v>
      </c>
      <c r="I6561" s="12">
        <f>Table16[[#This Row],[price]]*Table16[[#This Row],[quantity]]</f>
        <v>365.94</v>
      </c>
    </row>
    <row r="6562" spans="1:9" x14ac:dyDescent="0.3">
      <c r="A6562" t="s">
        <v>8578</v>
      </c>
      <c r="B6562" t="s">
        <v>1304</v>
      </c>
      <c r="C6562" t="s">
        <v>2001</v>
      </c>
      <c r="D6562">
        <v>5</v>
      </c>
      <c r="E6562" s="16">
        <v>1500.4</v>
      </c>
      <c r="F6562" s="1">
        <v>44218</v>
      </c>
      <c r="G6562" t="s">
        <v>2004</v>
      </c>
      <c r="H6562">
        <v>4</v>
      </c>
      <c r="I6562" s="12">
        <f>Table16[[#This Row],[price]]*Table16[[#This Row],[quantity]]</f>
        <v>7502</v>
      </c>
    </row>
    <row r="6563" spans="1:9" x14ac:dyDescent="0.3">
      <c r="A6563" t="s">
        <v>8582</v>
      </c>
      <c r="B6563" t="s">
        <v>1304</v>
      </c>
      <c r="C6563" t="s">
        <v>2001</v>
      </c>
      <c r="D6563">
        <v>3</v>
      </c>
      <c r="E6563" s="16">
        <v>900.24</v>
      </c>
      <c r="F6563" s="1">
        <v>44364</v>
      </c>
      <c r="G6563" t="s">
        <v>2004</v>
      </c>
      <c r="H6563">
        <v>1</v>
      </c>
      <c r="I6563" s="12">
        <f>Table16[[#This Row],[price]]*Table16[[#This Row],[quantity]]</f>
        <v>2700.7200000000003</v>
      </c>
    </row>
    <row r="6564" spans="1:9" x14ac:dyDescent="0.3">
      <c r="A6564" t="s">
        <v>8580</v>
      </c>
      <c r="B6564" t="s">
        <v>1304</v>
      </c>
      <c r="C6564" t="s">
        <v>2011</v>
      </c>
      <c r="D6564">
        <v>2</v>
      </c>
      <c r="E6564" s="16">
        <v>81.319999999999993</v>
      </c>
      <c r="F6564" s="1">
        <v>44580</v>
      </c>
      <c r="G6564" t="s">
        <v>2064</v>
      </c>
      <c r="H6564">
        <v>2</v>
      </c>
      <c r="I6564" s="12">
        <f>Table16[[#This Row],[price]]*Table16[[#This Row],[quantity]]</f>
        <v>162.63999999999999</v>
      </c>
    </row>
    <row r="6565" spans="1:9" x14ac:dyDescent="0.3">
      <c r="A6565" t="s">
        <v>8581</v>
      </c>
      <c r="B6565" t="s">
        <v>1304</v>
      </c>
      <c r="C6565" t="s">
        <v>2008</v>
      </c>
      <c r="D6565">
        <v>1</v>
      </c>
      <c r="E6565" s="16">
        <v>5.23</v>
      </c>
      <c r="F6565" s="1">
        <v>44708</v>
      </c>
      <c r="G6565" t="s">
        <v>2004</v>
      </c>
      <c r="H6565">
        <v>5</v>
      </c>
      <c r="I6565" s="12">
        <f>Table16[[#This Row],[price]]*Table16[[#This Row],[quantity]]</f>
        <v>5.23</v>
      </c>
    </row>
    <row r="6566" spans="1:9" x14ac:dyDescent="0.3">
      <c r="A6566" t="s">
        <v>8579</v>
      </c>
      <c r="B6566" t="s">
        <v>1304</v>
      </c>
      <c r="C6566" t="s">
        <v>2001</v>
      </c>
      <c r="D6566">
        <v>2</v>
      </c>
      <c r="E6566" s="16">
        <v>600.16</v>
      </c>
      <c r="F6566" s="1">
        <v>44718</v>
      </c>
      <c r="G6566" t="s">
        <v>2027</v>
      </c>
      <c r="H6566">
        <v>3</v>
      </c>
      <c r="I6566" s="12">
        <f>Table16[[#This Row],[price]]*Table16[[#This Row],[quantity]]</f>
        <v>1200.32</v>
      </c>
    </row>
    <row r="6567" spans="1:9" x14ac:dyDescent="0.3">
      <c r="A6567" t="s">
        <v>8583</v>
      </c>
      <c r="B6567" t="s">
        <v>1304</v>
      </c>
      <c r="C6567" t="s">
        <v>2011</v>
      </c>
      <c r="D6567">
        <v>5</v>
      </c>
      <c r="E6567" s="16">
        <v>203.3</v>
      </c>
      <c r="F6567" s="1">
        <v>44800</v>
      </c>
      <c r="G6567" t="s">
        <v>2041</v>
      </c>
      <c r="H6567">
        <v>1</v>
      </c>
      <c r="I6567" s="12">
        <f>Table16[[#This Row],[price]]*Table16[[#This Row],[quantity]]</f>
        <v>1016.5</v>
      </c>
    </row>
    <row r="6568" spans="1:9" x14ac:dyDescent="0.3">
      <c r="A6568" t="s">
        <v>8586</v>
      </c>
      <c r="B6568" t="s">
        <v>1305</v>
      </c>
      <c r="C6568" t="s">
        <v>2011</v>
      </c>
      <c r="D6568">
        <v>3</v>
      </c>
      <c r="E6568" s="16">
        <v>121.98</v>
      </c>
      <c r="F6568" s="1">
        <v>44379</v>
      </c>
      <c r="G6568" t="s">
        <v>2058</v>
      </c>
      <c r="H6568">
        <v>3</v>
      </c>
      <c r="I6568" s="12">
        <f>Table16[[#This Row],[price]]*Table16[[#This Row],[quantity]]</f>
        <v>365.94</v>
      </c>
    </row>
    <row r="6569" spans="1:9" x14ac:dyDescent="0.3">
      <c r="A6569" t="s">
        <v>8585</v>
      </c>
      <c r="B6569" t="s">
        <v>1305</v>
      </c>
      <c r="C6569" t="s">
        <v>2024</v>
      </c>
      <c r="D6569">
        <v>4</v>
      </c>
      <c r="E6569" s="16">
        <v>143.36000000000001</v>
      </c>
      <c r="F6569" s="1">
        <v>44449</v>
      </c>
      <c r="G6569" t="s">
        <v>2027</v>
      </c>
      <c r="H6569">
        <v>5</v>
      </c>
      <c r="I6569" s="12">
        <f>Table16[[#This Row],[price]]*Table16[[#This Row],[quantity]]</f>
        <v>573.44000000000005</v>
      </c>
    </row>
    <row r="6570" spans="1:9" x14ac:dyDescent="0.3">
      <c r="A6570" t="s">
        <v>8584</v>
      </c>
      <c r="B6570" t="s">
        <v>1305</v>
      </c>
      <c r="C6570" t="s">
        <v>2001</v>
      </c>
      <c r="D6570">
        <v>1</v>
      </c>
      <c r="E6570" s="16">
        <v>300.08</v>
      </c>
      <c r="F6570" s="1">
        <v>44549</v>
      </c>
      <c r="G6570" t="s">
        <v>2004</v>
      </c>
      <c r="H6570">
        <v>4</v>
      </c>
      <c r="I6570" s="12">
        <f>Table16[[#This Row],[price]]*Table16[[#This Row],[quantity]]</f>
        <v>300.08</v>
      </c>
    </row>
    <row r="6571" spans="1:9" x14ac:dyDescent="0.3">
      <c r="A6571" t="s">
        <v>8588</v>
      </c>
      <c r="B6571" t="s">
        <v>1305</v>
      </c>
      <c r="C6571" t="s">
        <v>2001</v>
      </c>
      <c r="D6571">
        <v>5</v>
      </c>
      <c r="E6571" s="16">
        <v>1500.4</v>
      </c>
      <c r="F6571" s="1">
        <v>44651</v>
      </c>
      <c r="G6571" t="s">
        <v>2064</v>
      </c>
      <c r="H6571">
        <v>4</v>
      </c>
      <c r="I6571" s="12">
        <f>Table16[[#This Row],[price]]*Table16[[#This Row],[quantity]]</f>
        <v>7502</v>
      </c>
    </row>
    <row r="6572" spans="1:9" x14ac:dyDescent="0.3">
      <c r="A6572" t="s">
        <v>8589</v>
      </c>
      <c r="B6572" t="s">
        <v>1305</v>
      </c>
      <c r="C6572" t="s">
        <v>2008</v>
      </c>
      <c r="D6572">
        <v>1</v>
      </c>
      <c r="E6572" s="16">
        <v>5.23</v>
      </c>
      <c r="F6572" s="1">
        <v>44897</v>
      </c>
      <c r="G6572" t="s">
        <v>2009</v>
      </c>
      <c r="H6572">
        <v>2</v>
      </c>
      <c r="I6572" s="12">
        <f>Table16[[#This Row],[price]]*Table16[[#This Row],[quantity]]</f>
        <v>5.23</v>
      </c>
    </row>
    <row r="6573" spans="1:9" x14ac:dyDescent="0.3">
      <c r="A6573" t="s">
        <v>8587</v>
      </c>
      <c r="B6573" t="s">
        <v>1305</v>
      </c>
      <c r="C6573" t="s">
        <v>2008</v>
      </c>
      <c r="D6573">
        <v>5</v>
      </c>
      <c r="E6573" s="16">
        <v>26.15</v>
      </c>
      <c r="F6573" s="1">
        <v>44991</v>
      </c>
      <c r="G6573" t="s">
        <v>2041</v>
      </c>
      <c r="H6573">
        <v>3</v>
      </c>
      <c r="I6573" s="12">
        <f>Table16[[#This Row],[price]]*Table16[[#This Row],[quantity]]</f>
        <v>130.75</v>
      </c>
    </row>
    <row r="6574" spans="1:9" x14ac:dyDescent="0.3">
      <c r="A6574" t="s">
        <v>8591</v>
      </c>
      <c r="B6574" t="s">
        <v>1306</v>
      </c>
      <c r="C6574" t="s">
        <v>2024</v>
      </c>
      <c r="D6574">
        <v>1</v>
      </c>
      <c r="E6574" s="16">
        <v>35.840000000000003</v>
      </c>
      <c r="F6574" s="1">
        <v>44352</v>
      </c>
      <c r="G6574" t="s">
        <v>2004</v>
      </c>
      <c r="H6574">
        <v>5</v>
      </c>
      <c r="I6574" s="12">
        <f>Table16[[#This Row],[price]]*Table16[[#This Row],[quantity]]</f>
        <v>35.840000000000003</v>
      </c>
    </row>
    <row r="6575" spans="1:9" x14ac:dyDescent="0.3">
      <c r="A6575" t="s">
        <v>8593</v>
      </c>
      <c r="B6575" t="s">
        <v>1306</v>
      </c>
      <c r="C6575" t="s">
        <v>2001</v>
      </c>
      <c r="D6575">
        <v>4</v>
      </c>
      <c r="E6575" s="16">
        <v>1200.32</v>
      </c>
      <c r="F6575" s="1">
        <v>44441</v>
      </c>
      <c r="G6575" t="s">
        <v>2041</v>
      </c>
      <c r="H6575">
        <v>1</v>
      </c>
      <c r="I6575" s="12">
        <f>Table16[[#This Row],[price]]*Table16[[#This Row],[quantity]]</f>
        <v>4801.28</v>
      </c>
    </row>
    <row r="6576" spans="1:9" x14ac:dyDescent="0.3">
      <c r="A6576" t="s">
        <v>8590</v>
      </c>
      <c r="B6576" t="s">
        <v>1306</v>
      </c>
      <c r="C6576" t="s">
        <v>2024</v>
      </c>
      <c r="D6576">
        <v>1</v>
      </c>
      <c r="E6576" s="16">
        <v>35.840000000000003</v>
      </c>
      <c r="F6576" s="1">
        <v>44604</v>
      </c>
      <c r="G6576" t="s">
        <v>2041</v>
      </c>
      <c r="H6576">
        <v>5</v>
      </c>
      <c r="I6576" s="12">
        <f>Table16[[#This Row],[price]]*Table16[[#This Row],[quantity]]</f>
        <v>35.840000000000003</v>
      </c>
    </row>
    <row r="6577" spans="1:9" x14ac:dyDescent="0.3">
      <c r="A6577" t="s">
        <v>8595</v>
      </c>
      <c r="B6577" t="s">
        <v>1306</v>
      </c>
      <c r="C6577" t="s">
        <v>2011</v>
      </c>
      <c r="D6577">
        <v>3</v>
      </c>
      <c r="E6577" s="16">
        <v>121.98</v>
      </c>
      <c r="F6577" s="1">
        <v>44621</v>
      </c>
      <c r="G6577" t="s">
        <v>2018</v>
      </c>
      <c r="H6577">
        <v>3</v>
      </c>
      <c r="I6577" s="12">
        <f>Table16[[#This Row],[price]]*Table16[[#This Row],[quantity]]</f>
        <v>365.94</v>
      </c>
    </row>
    <row r="6578" spans="1:9" x14ac:dyDescent="0.3">
      <c r="A6578" t="s">
        <v>8594</v>
      </c>
      <c r="B6578" t="s">
        <v>1306</v>
      </c>
      <c r="C6578" t="s">
        <v>2006</v>
      </c>
      <c r="D6578">
        <v>2</v>
      </c>
      <c r="E6578" s="16">
        <v>30.3</v>
      </c>
      <c r="F6578" s="1">
        <v>44866</v>
      </c>
      <c r="G6578" t="s">
        <v>2027</v>
      </c>
      <c r="H6578">
        <v>1</v>
      </c>
      <c r="I6578" s="12">
        <f>Table16[[#This Row],[price]]*Table16[[#This Row],[quantity]]</f>
        <v>60.6</v>
      </c>
    </row>
    <row r="6579" spans="1:9" x14ac:dyDescent="0.3">
      <c r="A6579" t="s">
        <v>8592</v>
      </c>
      <c r="B6579" t="s">
        <v>1306</v>
      </c>
      <c r="C6579" t="s">
        <v>2008</v>
      </c>
      <c r="D6579">
        <v>5</v>
      </c>
      <c r="E6579" s="16">
        <v>26.15</v>
      </c>
      <c r="F6579" s="1">
        <v>44867</v>
      </c>
      <c r="G6579" t="s">
        <v>2020</v>
      </c>
      <c r="H6579">
        <v>4</v>
      </c>
      <c r="I6579" s="12">
        <f>Table16[[#This Row],[price]]*Table16[[#This Row],[quantity]]</f>
        <v>130.75</v>
      </c>
    </row>
    <row r="6580" spans="1:9" x14ac:dyDescent="0.3">
      <c r="A6580" t="s">
        <v>8600</v>
      </c>
      <c r="B6580" t="s">
        <v>1307</v>
      </c>
      <c r="C6580" t="s">
        <v>2015</v>
      </c>
      <c r="D6580">
        <v>1</v>
      </c>
      <c r="E6580" s="16">
        <v>600.16999999999996</v>
      </c>
      <c r="F6580" s="1">
        <v>44343</v>
      </c>
      <c r="G6580" t="s">
        <v>2064</v>
      </c>
      <c r="H6580">
        <v>5</v>
      </c>
      <c r="I6580" s="12">
        <f>Table16[[#This Row],[price]]*Table16[[#This Row],[quantity]]</f>
        <v>600.16999999999996</v>
      </c>
    </row>
    <row r="6581" spans="1:9" x14ac:dyDescent="0.3">
      <c r="A6581" t="s">
        <v>8597</v>
      </c>
      <c r="B6581" t="s">
        <v>1307</v>
      </c>
      <c r="C6581" t="s">
        <v>2017</v>
      </c>
      <c r="D6581">
        <v>5</v>
      </c>
      <c r="E6581" s="16">
        <v>5250</v>
      </c>
      <c r="F6581" s="1">
        <v>44544</v>
      </c>
      <c r="G6581" t="s">
        <v>2027</v>
      </c>
      <c r="H6581">
        <v>3</v>
      </c>
      <c r="I6581" s="12">
        <f>Table16[[#This Row],[price]]*Table16[[#This Row],[quantity]]</f>
        <v>26250</v>
      </c>
    </row>
    <row r="6582" spans="1:9" x14ac:dyDescent="0.3">
      <c r="A6582" t="s">
        <v>8598</v>
      </c>
      <c r="B6582" t="s">
        <v>1307</v>
      </c>
      <c r="C6582" t="s">
        <v>2057</v>
      </c>
      <c r="D6582">
        <v>3</v>
      </c>
      <c r="E6582" s="16">
        <v>35.19</v>
      </c>
      <c r="F6582" s="1">
        <v>44692</v>
      </c>
      <c r="G6582" t="s">
        <v>2004</v>
      </c>
      <c r="H6582">
        <v>1</v>
      </c>
      <c r="I6582" s="12">
        <f>Table16[[#This Row],[price]]*Table16[[#This Row],[quantity]]</f>
        <v>105.57</v>
      </c>
    </row>
    <row r="6583" spans="1:9" x14ac:dyDescent="0.3">
      <c r="A6583" t="s">
        <v>8596</v>
      </c>
      <c r="B6583" t="s">
        <v>1307</v>
      </c>
      <c r="C6583" t="s">
        <v>2006</v>
      </c>
      <c r="D6583">
        <v>5</v>
      </c>
      <c r="E6583" s="16">
        <v>75.75</v>
      </c>
      <c r="F6583" s="1">
        <v>44762</v>
      </c>
      <c r="G6583" t="s">
        <v>2058</v>
      </c>
      <c r="H6583">
        <v>1</v>
      </c>
      <c r="I6583" s="12">
        <f>Table16[[#This Row],[price]]*Table16[[#This Row],[quantity]]</f>
        <v>378.75</v>
      </c>
    </row>
    <row r="6584" spans="1:9" x14ac:dyDescent="0.3">
      <c r="A6584" t="s">
        <v>8599</v>
      </c>
      <c r="B6584" t="s">
        <v>1307</v>
      </c>
      <c r="C6584" t="s">
        <v>2024</v>
      </c>
      <c r="D6584">
        <v>1</v>
      </c>
      <c r="E6584" s="16">
        <v>35.840000000000003</v>
      </c>
      <c r="F6584" s="1">
        <v>44857</v>
      </c>
      <c r="G6584" t="s">
        <v>2027</v>
      </c>
      <c r="H6584">
        <v>4</v>
      </c>
      <c r="I6584" s="12">
        <f>Table16[[#This Row],[price]]*Table16[[#This Row],[quantity]]</f>
        <v>35.840000000000003</v>
      </c>
    </row>
    <row r="6585" spans="1:9" x14ac:dyDescent="0.3">
      <c r="A6585" t="s">
        <v>8604</v>
      </c>
      <c r="B6585" t="s">
        <v>1308</v>
      </c>
      <c r="C6585" t="s">
        <v>2001</v>
      </c>
      <c r="D6585">
        <v>2</v>
      </c>
      <c r="E6585" s="16">
        <v>600.16</v>
      </c>
      <c r="F6585" s="1">
        <v>44376</v>
      </c>
      <c r="G6585" t="s">
        <v>2004</v>
      </c>
      <c r="H6585">
        <v>4</v>
      </c>
      <c r="I6585" s="12">
        <f>Table16[[#This Row],[price]]*Table16[[#This Row],[quantity]]</f>
        <v>1200.32</v>
      </c>
    </row>
    <row r="6586" spans="1:9" x14ac:dyDescent="0.3">
      <c r="A6586" t="s">
        <v>8602</v>
      </c>
      <c r="B6586" t="s">
        <v>1308</v>
      </c>
      <c r="C6586" t="s">
        <v>2011</v>
      </c>
      <c r="D6586">
        <v>2</v>
      </c>
      <c r="E6586" s="16">
        <v>81.319999999999993</v>
      </c>
      <c r="F6586" s="1">
        <v>44553</v>
      </c>
      <c r="G6586" t="s">
        <v>2004</v>
      </c>
      <c r="H6586">
        <v>1</v>
      </c>
      <c r="I6586" s="12">
        <f>Table16[[#This Row],[price]]*Table16[[#This Row],[quantity]]</f>
        <v>162.63999999999999</v>
      </c>
    </row>
    <row r="6587" spans="1:9" x14ac:dyDescent="0.3">
      <c r="A6587" t="s">
        <v>8605</v>
      </c>
      <c r="B6587" t="s">
        <v>1308</v>
      </c>
      <c r="C6587" t="s">
        <v>2011</v>
      </c>
      <c r="D6587">
        <v>1</v>
      </c>
      <c r="E6587" s="16">
        <v>40.659999999999997</v>
      </c>
      <c r="F6587" s="1">
        <v>44578</v>
      </c>
      <c r="G6587" t="s">
        <v>2002</v>
      </c>
      <c r="H6587">
        <v>4</v>
      </c>
      <c r="I6587" s="12">
        <f>Table16[[#This Row],[price]]*Table16[[#This Row],[quantity]]</f>
        <v>40.659999999999997</v>
      </c>
    </row>
    <row r="6588" spans="1:9" x14ac:dyDescent="0.3">
      <c r="A6588" t="s">
        <v>8603</v>
      </c>
      <c r="B6588" t="s">
        <v>1308</v>
      </c>
      <c r="C6588" t="s">
        <v>2001</v>
      </c>
      <c r="D6588">
        <v>1</v>
      </c>
      <c r="E6588" s="16">
        <v>300.08</v>
      </c>
      <c r="F6588" s="1">
        <v>44594</v>
      </c>
      <c r="G6588" t="s">
        <v>2027</v>
      </c>
      <c r="H6588">
        <v>2</v>
      </c>
      <c r="I6588" s="12">
        <f>Table16[[#This Row],[price]]*Table16[[#This Row],[quantity]]</f>
        <v>300.08</v>
      </c>
    </row>
    <row r="6589" spans="1:9" x14ac:dyDescent="0.3">
      <c r="A6589" t="s">
        <v>8601</v>
      </c>
      <c r="B6589" t="s">
        <v>1308</v>
      </c>
      <c r="C6589" t="s">
        <v>2006</v>
      </c>
      <c r="D6589">
        <v>4</v>
      </c>
      <c r="E6589" s="16">
        <v>60.6</v>
      </c>
      <c r="F6589" s="1">
        <v>44629</v>
      </c>
      <c r="G6589" t="s">
        <v>2064</v>
      </c>
      <c r="H6589">
        <v>4</v>
      </c>
      <c r="I6589" s="12">
        <f>Table16[[#This Row],[price]]*Table16[[#This Row],[quantity]]</f>
        <v>242.4</v>
      </c>
    </row>
    <row r="6590" spans="1:9" x14ac:dyDescent="0.3">
      <c r="A6590" t="s">
        <v>8608</v>
      </c>
      <c r="B6590" t="s">
        <v>1309</v>
      </c>
      <c r="C6590" t="s">
        <v>2001</v>
      </c>
      <c r="D6590">
        <v>4</v>
      </c>
      <c r="E6590" s="16">
        <v>1200.32</v>
      </c>
      <c r="F6590" s="1">
        <v>44274</v>
      </c>
      <c r="G6590" t="s">
        <v>2041</v>
      </c>
      <c r="H6590">
        <v>3</v>
      </c>
      <c r="I6590" s="12">
        <f>Table16[[#This Row],[price]]*Table16[[#This Row],[quantity]]</f>
        <v>4801.28</v>
      </c>
    </row>
    <row r="6591" spans="1:9" x14ac:dyDescent="0.3">
      <c r="A6591" t="s">
        <v>8609</v>
      </c>
      <c r="B6591" t="s">
        <v>1309</v>
      </c>
      <c r="C6591" t="s">
        <v>2001</v>
      </c>
      <c r="D6591">
        <v>4</v>
      </c>
      <c r="E6591" s="16">
        <v>1200.32</v>
      </c>
      <c r="F6591" s="1">
        <v>44375</v>
      </c>
      <c r="G6591" t="s">
        <v>2027</v>
      </c>
      <c r="H6591">
        <v>1</v>
      </c>
      <c r="I6591" s="12">
        <f>Table16[[#This Row],[price]]*Table16[[#This Row],[quantity]]</f>
        <v>4801.28</v>
      </c>
    </row>
    <row r="6592" spans="1:9" x14ac:dyDescent="0.3">
      <c r="A6592" t="s">
        <v>8607</v>
      </c>
      <c r="B6592" t="s">
        <v>1309</v>
      </c>
      <c r="C6592" t="s">
        <v>2001</v>
      </c>
      <c r="D6592">
        <v>4</v>
      </c>
      <c r="E6592" s="16">
        <v>1200.32</v>
      </c>
      <c r="F6592" s="1">
        <v>44523</v>
      </c>
      <c r="G6592" t="s">
        <v>2002</v>
      </c>
      <c r="H6592">
        <v>5</v>
      </c>
      <c r="I6592" s="12">
        <f>Table16[[#This Row],[price]]*Table16[[#This Row],[quantity]]</f>
        <v>4801.28</v>
      </c>
    </row>
    <row r="6593" spans="1:9" x14ac:dyDescent="0.3">
      <c r="A6593" t="s">
        <v>8606</v>
      </c>
      <c r="B6593" t="s">
        <v>1309</v>
      </c>
      <c r="C6593" t="s">
        <v>2017</v>
      </c>
      <c r="D6593">
        <v>1</v>
      </c>
      <c r="E6593" s="16">
        <v>1050</v>
      </c>
      <c r="F6593" s="1">
        <v>44700</v>
      </c>
      <c r="G6593" t="s">
        <v>2058</v>
      </c>
      <c r="H6593">
        <v>4</v>
      </c>
      <c r="I6593" s="12">
        <f>Table16[[#This Row],[price]]*Table16[[#This Row],[quantity]]</f>
        <v>1050</v>
      </c>
    </row>
    <row r="6594" spans="1:9" x14ac:dyDescent="0.3">
      <c r="A6594" t="s">
        <v>8612</v>
      </c>
      <c r="B6594" t="s">
        <v>1310</v>
      </c>
      <c r="C6594" t="s">
        <v>2011</v>
      </c>
      <c r="D6594">
        <v>3</v>
      </c>
      <c r="E6594" s="16">
        <v>121.98</v>
      </c>
      <c r="F6594" s="1">
        <v>44233</v>
      </c>
      <c r="G6594" t="s">
        <v>2064</v>
      </c>
      <c r="H6594">
        <v>5</v>
      </c>
      <c r="I6594" s="12">
        <f>Table16[[#This Row],[price]]*Table16[[#This Row],[quantity]]</f>
        <v>365.94</v>
      </c>
    </row>
    <row r="6595" spans="1:9" x14ac:dyDescent="0.3">
      <c r="A6595" t="s">
        <v>8614</v>
      </c>
      <c r="B6595" t="s">
        <v>1310</v>
      </c>
      <c r="C6595" t="s">
        <v>2024</v>
      </c>
      <c r="D6595">
        <v>3</v>
      </c>
      <c r="E6595" s="16">
        <v>107.52</v>
      </c>
      <c r="F6595" s="1">
        <v>44557</v>
      </c>
      <c r="G6595" t="s">
        <v>2058</v>
      </c>
      <c r="H6595">
        <v>3</v>
      </c>
      <c r="I6595" s="12">
        <f>Table16[[#This Row],[price]]*Table16[[#This Row],[quantity]]</f>
        <v>322.56</v>
      </c>
    </row>
    <row r="6596" spans="1:9" x14ac:dyDescent="0.3">
      <c r="A6596" t="s">
        <v>8613</v>
      </c>
      <c r="B6596" t="s">
        <v>1310</v>
      </c>
      <c r="C6596" t="s">
        <v>2008</v>
      </c>
      <c r="D6596">
        <v>3</v>
      </c>
      <c r="E6596" s="16">
        <v>15.69</v>
      </c>
      <c r="F6596" s="1">
        <v>44745</v>
      </c>
      <c r="G6596" t="s">
        <v>2004</v>
      </c>
      <c r="H6596">
        <v>2</v>
      </c>
      <c r="I6596" s="12">
        <f>Table16[[#This Row],[price]]*Table16[[#This Row],[quantity]]</f>
        <v>47.07</v>
      </c>
    </row>
    <row r="6597" spans="1:9" x14ac:dyDescent="0.3">
      <c r="A6597" t="s">
        <v>8610</v>
      </c>
      <c r="B6597" t="s">
        <v>1310</v>
      </c>
      <c r="C6597" t="s">
        <v>2001</v>
      </c>
      <c r="D6597">
        <v>2</v>
      </c>
      <c r="E6597" s="16">
        <v>600.16</v>
      </c>
      <c r="F6597" s="1">
        <v>44793</v>
      </c>
      <c r="G6597" t="s">
        <v>2004</v>
      </c>
      <c r="H6597">
        <v>3</v>
      </c>
      <c r="I6597" s="12">
        <f>Table16[[#This Row],[price]]*Table16[[#This Row],[quantity]]</f>
        <v>1200.32</v>
      </c>
    </row>
    <row r="6598" spans="1:9" x14ac:dyDescent="0.3">
      <c r="A6598" t="s">
        <v>8615</v>
      </c>
      <c r="B6598" t="s">
        <v>1310</v>
      </c>
      <c r="C6598" t="s">
        <v>2024</v>
      </c>
      <c r="D6598">
        <v>4</v>
      </c>
      <c r="E6598" s="16">
        <v>143.36000000000001</v>
      </c>
      <c r="F6598" s="1">
        <v>44795</v>
      </c>
      <c r="G6598" t="s">
        <v>2004</v>
      </c>
      <c r="H6598">
        <v>1</v>
      </c>
      <c r="I6598" s="12">
        <f>Table16[[#This Row],[price]]*Table16[[#This Row],[quantity]]</f>
        <v>573.44000000000005</v>
      </c>
    </row>
    <row r="6599" spans="1:9" x14ac:dyDescent="0.3">
      <c r="A6599" t="s">
        <v>8611</v>
      </c>
      <c r="B6599" t="s">
        <v>1310</v>
      </c>
      <c r="C6599" t="s">
        <v>2001</v>
      </c>
      <c r="D6599">
        <v>2</v>
      </c>
      <c r="E6599" s="16">
        <v>600.16</v>
      </c>
      <c r="F6599" s="1">
        <v>44983</v>
      </c>
      <c r="G6599" t="s">
        <v>2002</v>
      </c>
      <c r="H6599">
        <v>3</v>
      </c>
      <c r="I6599" s="12">
        <f>Table16[[#This Row],[price]]*Table16[[#This Row],[quantity]]</f>
        <v>1200.32</v>
      </c>
    </row>
    <row r="6600" spans="1:9" x14ac:dyDescent="0.3">
      <c r="A6600" t="s">
        <v>8619</v>
      </c>
      <c r="B6600" t="s">
        <v>1311</v>
      </c>
      <c r="C6600" t="s">
        <v>2024</v>
      </c>
      <c r="D6600">
        <v>3</v>
      </c>
      <c r="E6600" s="16">
        <v>107.52</v>
      </c>
      <c r="F6600" s="1">
        <v>44347</v>
      </c>
      <c r="G6600" t="s">
        <v>2002</v>
      </c>
      <c r="H6600">
        <v>3</v>
      </c>
      <c r="I6600" s="12">
        <f>Table16[[#This Row],[price]]*Table16[[#This Row],[quantity]]</f>
        <v>322.56</v>
      </c>
    </row>
    <row r="6601" spans="1:9" x14ac:dyDescent="0.3">
      <c r="A6601" t="s">
        <v>8618</v>
      </c>
      <c r="B6601" t="s">
        <v>1311</v>
      </c>
      <c r="C6601" t="s">
        <v>2001</v>
      </c>
      <c r="D6601">
        <v>3</v>
      </c>
      <c r="E6601" s="16">
        <v>900.24</v>
      </c>
      <c r="F6601" s="1">
        <v>44455</v>
      </c>
      <c r="G6601" t="s">
        <v>2004</v>
      </c>
      <c r="H6601">
        <v>1</v>
      </c>
      <c r="I6601" s="12">
        <f>Table16[[#This Row],[price]]*Table16[[#This Row],[quantity]]</f>
        <v>2700.7200000000003</v>
      </c>
    </row>
    <row r="6602" spans="1:9" x14ac:dyDescent="0.3">
      <c r="A6602" t="s">
        <v>8616</v>
      </c>
      <c r="B6602" t="s">
        <v>1311</v>
      </c>
      <c r="C6602" t="s">
        <v>2017</v>
      </c>
      <c r="D6602">
        <v>3</v>
      </c>
      <c r="E6602" s="16">
        <v>3150</v>
      </c>
      <c r="F6602" s="1">
        <v>44575</v>
      </c>
      <c r="G6602" t="s">
        <v>2004</v>
      </c>
      <c r="H6602">
        <v>1</v>
      </c>
      <c r="I6602" s="12">
        <f>Table16[[#This Row],[price]]*Table16[[#This Row],[quantity]]</f>
        <v>9450</v>
      </c>
    </row>
    <row r="6603" spans="1:9" x14ac:dyDescent="0.3">
      <c r="A6603" t="s">
        <v>8617</v>
      </c>
      <c r="B6603" t="s">
        <v>1311</v>
      </c>
      <c r="C6603" t="s">
        <v>2008</v>
      </c>
      <c r="D6603">
        <v>2</v>
      </c>
      <c r="E6603" s="16">
        <v>10.46</v>
      </c>
      <c r="F6603" s="1">
        <v>44594</v>
      </c>
      <c r="G6603" t="s">
        <v>2064</v>
      </c>
      <c r="H6603">
        <v>4</v>
      </c>
      <c r="I6603" s="12">
        <f>Table16[[#This Row],[price]]*Table16[[#This Row],[quantity]]</f>
        <v>20.92</v>
      </c>
    </row>
    <row r="6604" spans="1:9" x14ac:dyDescent="0.3">
      <c r="A6604" t="s">
        <v>8620</v>
      </c>
      <c r="B6604" t="s">
        <v>1312</v>
      </c>
      <c r="C6604" t="s">
        <v>2006</v>
      </c>
      <c r="D6604">
        <v>4</v>
      </c>
      <c r="E6604" s="16">
        <v>60.6</v>
      </c>
      <c r="F6604" s="1">
        <v>44400</v>
      </c>
      <c r="G6604" t="s">
        <v>2004</v>
      </c>
      <c r="H6604">
        <v>1</v>
      </c>
      <c r="I6604" s="12">
        <f>Table16[[#This Row],[price]]*Table16[[#This Row],[quantity]]</f>
        <v>242.4</v>
      </c>
    </row>
    <row r="6605" spans="1:9" x14ac:dyDescent="0.3">
      <c r="A6605" t="s">
        <v>8621</v>
      </c>
      <c r="B6605" t="s">
        <v>1312</v>
      </c>
      <c r="C6605" t="s">
        <v>2015</v>
      </c>
      <c r="D6605">
        <v>3</v>
      </c>
      <c r="E6605" s="16">
        <v>1800.51</v>
      </c>
      <c r="F6605" s="1">
        <v>44891</v>
      </c>
      <c r="G6605" t="s">
        <v>2027</v>
      </c>
      <c r="H6605">
        <v>1</v>
      </c>
      <c r="I6605" s="12">
        <f>Table16[[#This Row],[price]]*Table16[[#This Row],[quantity]]</f>
        <v>5401.53</v>
      </c>
    </row>
    <row r="6606" spans="1:9" x14ac:dyDescent="0.3">
      <c r="A6606" t="s">
        <v>8624</v>
      </c>
      <c r="B6606" t="s">
        <v>1313</v>
      </c>
      <c r="C6606" t="s">
        <v>2011</v>
      </c>
      <c r="D6606">
        <v>4</v>
      </c>
      <c r="E6606" s="16">
        <v>162.63999999999999</v>
      </c>
      <c r="F6606" s="1">
        <v>44634</v>
      </c>
      <c r="G6606" t="s">
        <v>2002</v>
      </c>
      <c r="H6606">
        <v>4</v>
      </c>
      <c r="I6606" s="12">
        <f>Table16[[#This Row],[price]]*Table16[[#This Row],[quantity]]</f>
        <v>650.55999999999995</v>
      </c>
    </row>
    <row r="6607" spans="1:9" x14ac:dyDescent="0.3">
      <c r="A6607" t="s">
        <v>8625</v>
      </c>
      <c r="B6607" t="s">
        <v>1313</v>
      </c>
      <c r="C6607" t="s">
        <v>2011</v>
      </c>
      <c r="D6607">
        <v>4</v>
      </c>
      <c r="E6607" s="16">
        <v>162.63999999999999</v>
      </c>
      <c r="F6607" s="1">
        <v>44701</v>
      </c>
      <c r="G6607" t="s">
        <v>2027</v>
      </c>
      <c r="H6607">
        <v>5</v>
      </c>
      <c r="I6607" s="12">
        <f>Table16[[#This Row],[price]]*Table16[[#This Row],[quantity]]</f>
        <v>650.55999999999995</v>
      </c>
    </row>
    <row r="6608" spans="1:9" x14ac:dyDescent="0.3">
      <c r="A6608" t="s">
        <v>8623</v>
      </c>
      <c r="B6608" t="s">
        <v>1313</v>
      </c>
      <c r="C6608" t="s">
        <v>2008</v>
      </c>
      <c r="D6608">
        <v>1</v>
      </c>
      <c r="E6608" s="16">
        <v>5.23</v>
      </c>
      <c r="F6608" s="1">
        <v>44779</v>
      </c>
      <c r="G6608" t="s">
        <v>2004</v>
      </c>
      <c r="H6608">
        <v>3</v>
      </c>
      <c r="I6608" s="12">
        <f>Table16[[#This Row],[price]]*Table16[[#This Row],[quantity]]</f>
        <v>5.23</v>
      </c>
    </row>
    <row r="6609" spans="1:9" x14ac:dyDescent="0.3">
      <c r="A6609" t="s">
        <v>8622</v>
      </c>
      <c r="B6609" t="s">
        <v>1313</v>
      </c>
      <c r="C6609" t="s">
        <v>2011</v>
      </c>
      <c r="D6609">
        <v>2</v>
      </c>
      <c r="E6609" s="16">
        <v>81.319999999999993</v>
      </c>
      <c r="F6609" s="1">
        <v>44832</v>
      </c>
      <c r="G6609" t="s">
        <v>2027</v>
      </c>
      <c r="H6609">
        <v>4</v>
      </c>
      <c r="I6609" s="12">
        <f>Table16[[#This Row],[price]]*Table16[[#This Row],[quantity]]</f>
        <v>162.63999999999999</v>
      </c>
    </row>
    <row r="6610" spans="1:9" x14ac:dyDescent="0.3">
      <c r="A6610" t="s">
        <v>8627</v>
      </c>
      <c r="B6610" t="s">
        <v>1314</v>
      </c>
      <c r="C6610" t="s">
        <v>2001</v>
      </c>
      <c r="D6610">
        <v>4</v>
      </c>
      <c r="E6610" s="16">
        <v>1200.32</v>
      </c>
      <c r="F6610" s="1">
        <v>44303</v>
      </c>
      <c r="G6610" t="s">
        <v>2027</v>
      </c>
      <c r="H6610">
        <v>5</v>
      </c>
      <c r="I6610" s="12">
        <f>Table16[[#This Row],[price]]*Table16[[#This Row],[quantity]]</f>
        <v>4801.28</v>
      </c>
    </row>
    <row r="6611" spans="1:9" x14ac:dyDescent="0.3">
      <c r="A6611" t="s">
        <v>8628</v>
      </c>
      <c r="B6611" t="s">
        <v>1314</v>
      </c>
      <c r="C6611" t="s">
        <v>2011</v>
      </c>
      <c r="D6611">
        <v>2</v>
      </c>
      <c r="E6611" s="16">
        <v>81.319999999999993</v>
      </c>
      <c r="F6611" s="1">
        <v>44438</v>
      </c>
      <c r="G6611" t="s">
        <v>2020</v>
      </c>
      <c r="H6611">
        <v>2</v>
      </c>
      <c r="I6611" s="12">
        <f>Table16[[#This Row],[price]]*Table16[[#This Row],[quantity]]</f>
        <v>162.63999999999999</v>
      </c>
    </row>
    <row r="6612" spans="1:9" x14ac:dyDescent="0.3">
      <c r="A6612" t="s">
        <v>8626</v>
      </c>
      <c r="B6612" t="s">
        <v>1314</v>
      </c>
      <c r="C6612" t="s">
        <v>2057</v>
      </c>
      <c r="D6612">
        <v>3</v>
      </c>
      <c r="E6612" s="16">
        <v>35.19</v>
      </c>
      <c r="F6612" s="1">
        <v>44578</v>
      </c>
      <c r="G6612" t="s">
        <v>2018</v>
      </c>
      <c r="H6612">
        <v>3</v>
      </c>
      <c r="I6612" s="12">
        <f>Table16[[#This Row],[price]]*Table16[[#This Row],[quantity]]</f>
        <v>105.57</v>
      </c>
    </row>
    <row r="6613" spans="1:9" x14ac:dyDescent="0.3">
      <c r="A6613" t="s">
        <v>8631</v>
      </c>
      <c r="B6613" t="s">
        <v>1314</v>
      </c>
      <c r="C6613" t="s">
        <v>2001</v>
      </c>
      <c r="D6613">
        <v>1</v>
      </c>
      <c r="E6613" s="16">
        <v>300.08</v>
      </c>
      <c r="F6613" s="1">
        <v>44635</v>
      </c>
      <c r="G6613" t="s">
        <v>2004</v>
      </c>
      <c r="H6613">
        <v>2</v>
      </c>
      <c r="I6613" s="12">
        <f>Table16[[#This Row],[price]]*Table16[[#This Row],[quantity]]</f>
        <v>300.08</v>
      </c>
    </row>
    <row r="6614" spans="1:9" x14ac:dyDescent="0.3">
      <c r="A6614" t="s">
        <v>8630</v>
      </c>
      <c r="B6614" t="s">
        <v>1314</v>
      </c>
      <c r="C6614" t="s">
        <v>2008</v>
      </c>
      <c r="D6614">
        <v>2</v>
      </c>
      <c r="E6614" s="16">
        <v>10.46</v>
      </c>
      <c r="F6614" s="1">
        <v>44653</v>
      </c>
      <c r="G6614" t="s">
        <v>2064</v>
      </c>
      <c r="H6614">
        <v>5</v>
      </c>
      <c r="I6614" s="12">
        <f>Table16[[#This Row],[price]]*Table16[[#This Row],[quantity]]</f>
        <v>20.92</v>
      </c>
    </row>
    <row r="6615" spans="1:9" x14ac:dyDescent="0.3">
      <c r="A6615" t="s">
        <v>8629</v>
      </c>
      <c r="B6615" t="s">
        <v>1314</v>
      </c>
      <c r="C6615" t="s">
        <v>2011</v>
      </c>
      <c r="D6615">
        <v>2</v>
      </c>
      <c r="E6615" s="16">
        <v>81.319999999999993</v>
      </c>
      <c r="F6615" s="1">
        <v>44669</v>
      </c>
      <c r="G6615" t="s">
        <v>2009</v>
      </c>
      <c r="H6615">
        <v>2</v>
      </c>
      <c r="I6615" s="12">
        <f>Table16[[#This Row],[price]]*Table16[[#This Row],[quantity]]</f>
        <v>162.63999999999999</v>
      </c>
    </row>
    <row r="6616" spans="1:9" x14ac:dyDescent="0.3">
      <c r="A6616" t="s">
        <v>8632</v>
      </c>
      <c r="B6616" t="s">
        <v>1314</v>
      </c>
      <c r="C6616" t="s">
        <v>2015</v>
      </c>
      <c r="D6616">
        <v>1</v>
      </c>
      <c r="E6616" s="16">
        <v>600.16999999999996</v>
      </c>
      <c r="F6616" s="1">
        <v>44680</v>
      </c>
      <c r="G6616" t="s">
        <v>2058</v>
      </c>
      <c r="H6616">
        <v>4</v>
      </c>
      <c r="I6616" s="12">
        <f>Table16[[#This Row],[price]]*Table16[[#This Row],[quantity]]</f>
        <v>600.16999999999996</v>
      </c>
    </row>
    <row r="6617" spans="1:9" x14ac:dyDescent="0.3">
      <c r="A6617" t="s">
        <v>8634</v>
      </c>
      <c r="B6617" t="s">
        <v>1315</v>
      </c>
      <c r="C6617" t="s">
        <v>2024</v>
      </c>
      <c r="D6617">
        <v>5</v>
      </c>
      <c r="E6617" s="16">
        <v>179.2</v>
      </c>
      <c r="F6617" s="1">
        <v>44204</v>
      </c>
      <c r="G6617" t="s">
        <v>2020</v>
      </c>
      <c r="H6617">
        <v>5</v>
      </c>
      <c r="I6617" s="12">
        <f>Table16[[#This Row],[price]]*Table16[[#This Row],[quantity]]</f>
        <v>896</v>
      </c>
    </row>
    <row r="6618" spans="1:9" x14ac:dyDescent="0.3">
      <c r="A6618" t="s">
        <v>8633</v>
      </c>
      <c r="B6618" t="s">
        <v>1315</v>
      </c>
      <c r="C6618" t="s">
        <v>2024</v>
      </c>
      <c r="D6618">
        <v>4</v>
      </c>
      <c r="E6618" s="16">
        <v>143.36000000000001</v>
      </c>
      <c r="F6618" s="1">
        <v>44882</v>
      </c>
      <c r="G6618" t="s">
        <v>2004</v>
      </c>
      <c r="H6618">
        <v>1</v>
      </c>
      <c r="I6618" s="12">
        <f>Table16[[#This Row],[price]]*Table16[[#This Row],[quantity]]</f>
        <v>573.44000000000005</v>
      </c>
    </row>
    <row r="6619" spans="1:9" x14ac:dyDescent="0.3">
      <c r="A6619" t="s">
        <v>8635</v>
      </c>
      <c r="B6619" t="s">
        <v>1315</v>
      </c>
      <c r="C6619" t="s">
        <v>2008</v>
      </c>
      <c r="D6619">
        <v>4</v>
      </c>
      <c r="E6619" s="16">
        <v>20.92</v>
      </c>
      <c r="F6619" s="1">
        <v>44883</v>
      </c>
      <c r="G6619" t="s">
        <v>2020</v>
      </c>
      <c r="H6619">
        <v>4</v>
      </c>
      <c r="I6619" s="12">
        <f>Table16[[#This Row],[price]]*Table16[[#This Row],[quantity]]</f>
        <v>83.68</v>
      </c>
    </row>
    <row r="6620" spans="1:9" x14ac:dyDescent="0.3">
      <c r="A6620" t="s">
        <v>8636</v>
      </c>
      <c r="B6620" t="s">
        <v>1316</v>
      </c>
      <c r="C6620" t="s">
        <v>2024</v>
      </c>
      <c r="D6620">
        <v>1</v>
      </c>
      <c r="E6620" s="16">
        <v>35.840000000000003</v>
      </c>
      <c r="F6620" s="1">
        <v>44206</v>
      </c>
      <c r="G6620" t="s">
        <v>2004</v>
      </c>
      <c r="H6620">
        <v>3</v>
      </c>
      <c r="I6620" s="12">
        <f>Table16[[#This Row],[price]]*Table16[[#This Row],[quantity]]</f>
        <v>35.840000000000003</v>
      </c>
    </row>
    <row r="6621" spans="1:9" x14ac:dyDescent="0.3">
      <c r="A6621" t="s">
        <v>8637</v>
      </c>
      <c r="B6621" t="s">
        <v>1317</v>
      </c>
      <c r="C6621" t="s">
        <v>2011</v>
      </c>
      <c r="D6621">
        <v>4</v>
      </c>
      <c r="E6621" s="16">
        <v>162.63999999999999</v>
      </c>
      <c r="F6621" s="1">
        <v>44199</v>
      </c>
      <c r="G6621" t="s">
        <v>2064</v>
      </c>
      <c r="H6621">
        <v>3</v>
      </c>
      <c r="I6621" s="12">
        <f>Table16[[#This Row],[price]]*Table16[[#This Row],[quantity]]</f>
        <v>650.55999999999995</v>
      </c>
    </row>
    <row r="6622" spans="1:9" x14ac:dyDescent="0.3">
      <c r="A6622" t="s">
        <v>8638</v>
      </c>
      <c r="B6622" t="s">
        <v>1317</v>
      </c>
      <c r="C6622" t="s">
        <v>2015</v>
      </c>
      <c r="D6622">
        <v>2</v>
      </c>
      <c r="E6622" s="16">
        <v>1200.3399999999999</v>
      </c>
      <c r="F6622" s="1">
        <v>44217</v>
      </c>
      <c r="G6622" t="s">
        <v>2002</v>
      </c>
      <c r="H6622">
        <v>4</v>
      </c>
      <c r="I6622" s="12">
        <f>Table16[[#This Row],[price]]*Table16[[#This Row],[quantity]]</f>
        <v>2400.6799999999998</v>
      </c>
    </row>
    <row r="6623" spans="1:9" x14ac:dyDescent="0.3">
      <c r="A6623" t="s">
        <v>8642</v>
      </c>
      <c r="B6623" t="s">
        <v>1317</v>
      </c>
      <c r="C6623" t="s">
        <v>2001</v>
      </c>
      <c r="D6623">
        <v>5</v>
      </c>
      <c r="E6623" s="16">
        <v>1500.4</v>
      </c>
      <c r="F6623" s="1">
        <v>44761</v>
      </c>
      <c r="G6623" t="s">
        <v>2064</v>
      </c>
      <c r="H6623">
        <v>5</v>
      </c>
      <c r="I6623" s="12">
        <f>Table16[[#This Row],[price]]*Table16[[#This Row],[quantity]]</f>
        <v>7502</v>
      </c>
    </row>
    <row r="6624" spans="1:9" x14ac:dyDescent="0.3">
      <c r="A6624" t="s">
        <v>8643</v>
      </c>
      <c r="B6624" t="s">
        <v>1317</v>
      </c>
      <c r="C6624" t="s">
        <v>2008</v>
      </c>
      <c r="D6624">
        <v>5</v>
      </c>
      <c r="E6624" s="16">
        <v>26.15</v>
      </c>
      <c r="F6624" s="1">
        <v>44827</v>
      </c>
      <c r="G6624" t="s">
        <v>2018</v>
      </c>
      <c r="H6624">
        <v>3</v>
      </c>
      <c r="I6624" s="12">
        <f>Table16[[#This Row],[price]]*Table16[[#This Row],[quantity]]</f>
        <v>130.75</v>
      </c>
    </row>
    <row r="6625" spans="1:9" x14ac:dyDescent="0.3">
      <c r="A6625" t="s">
        <v>8639</v>
      </c>
      <c r="B6625" t="s">
        <v>1317</v>
      </c>
      <c r="C6625" t="s">
        <v>2024</v>
      </c>
      <c r="D6625">
        <v>1</v>
      </c>
      <c r="E6625" s="16">
        <v>35.840000000000003</v>
      </c>
      <c r="F6625" s="1">
        <v>44925</v>
      </c>
      <c r="G6625" t="s">
        <v>2027</v>
      </c>
      <c r="H6625">
        <v>1</v>
      </c>
      <c r="I6625" s="12">
        <f>Table16[[#This Row],[price]]*Table16[[#This Row],[quantity]]</f>
        <v>35.840000000000003</v>
      </c>
    </row>
    <row r="6626" spans="1:9" x14ac:dyDescent="0.3">
      <c r="A6626" t="s">
        <v>8640</v>
      </c>
      <c r="B6626" t="s">
        <v>1317</v>
      </c>
      <c r="C6626" t="s">
        <v>2001</v>
      </c>
      <c r="D6626">
        <v>4</v>
      </c>
      <c r="E6626" s="16">
        <v>1200.32</v>
      </c>
      <c r="F6626" s="1">
        <v>44953</v>
      </c>
      <c r="G6626" t="s">
        <v>2027</v>
      </c>
      <c r="H6626">
        <v>1</v>
      </c>
      <c r="I6626" s="12">
        <f>Table16[[#This Row],[price]]*Table16[[#This Row],[quantity]]</f>
        <v>4801.28</v>
      </c>
    </row>
    <row r="6627" spans="1:9" x14ac:dyDescent="0.3">
      <c r="A6627" t="s">
        <v>8641</v>
      </c>
      <c r="B6627" t="s">
        <v>1317</v>
      </c>
      <c r="C6627" t="s">
        <v>2001</v>
      </c>
      <c r="D6627">
        <v>1</v>
      </c>
      <c r="E6627" s="16">
        <v>300.08</v>
      </c>
      <c r="F6627" s="1">
        <v>44973</v>
      </c>
      <c r="G6627" t="s">
        <v>2002</v>
      </c>
      <c r="H6627">
        <v>2</v>
      </c>
      <c r="I6627" s="12">
        <f>Table16[[#This Row],[price]]*Table16[[#This Row],[quantity]]</f>
        <v>300.08</v>
      </c>
    </row>
    <row r="6628" spans="1:9" x14ac:dyDescent="0.3">
      <c r="A6628" t="s">
        <v>8645</v>
      </c>
      <c r="B6628" t="s">
        <v>1318</v>
      </c>
      <c r="C6628" t="s">
        <v>2008</v>
      </c>
      <c r="D6628">
        <v>5</v>
      </c>
      <c r="E6628" s="16">
        <v>26.15</v>
      </c>
      <c r="F6628" s="1">
        <v>44338</v>
      </c>
      <c r="G6628" t="s">
        <v>2018</v>
      </c>
      <c r="H6628">
        <v>2</v>
      </c>
      <c r="I6628" s="12">
        <f>Table16[[#This Row],[price]]*Table16[[#This Row],[quantity]]</f>
        <v>130.75</v>
      </c>
    </row>
    <row r="6629" spans="1:9" x14ac:dyDescent="0.3">
      <c r="A6629" t="s">
        <v>8647</v>
      </c>
      <c r="B6629" t="s">
        <v>1318</v>
      </c>
      <c r="C6629" t="s">
        <v>2008</v>
      </c>
      <c r="D6629">
        <v>1</v>
      </c>
      <c r="E6629" s="16">
        <v>5.23</v>
      </c>
      <c r="F6629" s="1">
        <v>44546</v>
      </c>
      <c r="G6629" t="s">
        <v>2058</v>
      </c>
      <c r="H6629">
        <v>3</v>
      </c>
      <c r="I6629" s="12">
        <f>Table16[[#This Row],[price]]*Table16[[#This Row],[quantity]]</f>
        <v>5.23</v>
      </c>
    </row>
    <row r="6630" spans="1:9" x14ac:dyDescent="0.3">
      <c r="A6630" t="s">
        <v>8644</v>
      </c>
      <c r="B6630" t="s">
        <v>1318</v>
      </c>
      <c r="C6630" t="s">
        <v>2008</v>
      </c>
      <c r="D6630">
        <v>3</v>
      </c>
      <c r="E6630" s="16">
        <v>15.69</v>
      </c>
      <c r="F6630" s="1">
        <v>44880</v>
      </c>
      <c r="G6630" t="s">
        <v>2064</v>
      </c>
      <c r="H6630">
        <v>5</v>
      </c>
      <c r="I6630" s="12">
        <f>Table16[[#This Row],[price]]*Table16[[#This Row],[quantity]]</f>
        <v>47.07</v>
      </c>
    </row>
    <row r="6631" spans="1:9" x14ac:dyDescent="0.3">
      <c r="A6631" t="s">
        <v>8646</v>
      </c>
      <c r="B6631" t="s">
        <v>1318</v>
      </c>
      <c r="C6631" t="s">
        <v>2017</v>
      </c>
      <c r="D6631">
        <v>1</v>
      </c>
      <c r="E6631" s="16">
        <v>1050</v>
      </c>
      <c r="F6631" s="1">
        <v>44931</v>
      </c>
      <c r="G6631" t="s">
        <v>2004</v>
      </c>
      <c r="H6631">
        <v>1</v>
      </c>
      <c r="I6631" s="12">
        <f>Table16[[#This Row],[price]]*Table16[[#This Row],[quantity]]</f>
        <v>1050</v>
      </c>
    </row>
    <row r="6632" spans="1:9" x14ac:dyDescent="0.3">
      <c r="A6632" t="s">
        <v>8650</v>
      </c>
      <c r="B6632" t="s">
        <v>1319</v>
      </c>
      <c r="C6632" t="s">
        <v>2015</v>
      </c>
      <c r="D6632">
        <v>2</v>
      </c>
      <c r="E6632" s="16">
        <v>1200.3399999999999</v>
      </c>
      <c r="F6632" s="1">
        <v>44457</v>
      </c>
      <c r="G6632" t="s">
        <v>2064</v>
      </c>
      <c r="H6632">
        <v>5</v>
      </c>
      <c r="I6632" s="12">
        <f>Table16[[#This Row],[price]]*Table16[[#This Row],[quantity]]</f>
        <v>2400.6799999999998</v>
      </c>
    </row>
    <row r="6633" spans="1:9" x14ac:dyDescent="0.3">
      <c r="A6633" t="s">
        <v>8649</v>
      </c>
      <c r="B6633" t="s">
        <v>1319</v>
      </c>
      <c r="C6633" t="s">
        <v>2001</v>
      </c>
      <c r="D6633">
        <v>2</v>
      </c>
      <c r="E6633" s="16">
        <v>600.16</v>
      </c>
      <c r="F6633" s="1">
        <v>44778</v>
      </c>
      <c r="G6633" t="s">
        <v>2004</v>
      </c>
      <c r="H6633">
        <v>2</v>
      </c>
      <c r="I6633" s="12">
        <f>Table16[[#This Row],[price]]*Table16[[#This Row],[quantity]]</f>
        <v>1200.32</v>
      </c>
    </row>
    <row r="6634" spans="1:9" x14ac:dyDescent="0.3">
      <c r="A6634" t="s">
        <v>8648</v>
      </c>
      <c r="B6634" t="s">
        <v>1319</v>
      </c>
      <c r="C6634" t="s">
        <v>2001</v>
      </c>
      <c r="D6634">
        <v>5</v>
      </c>
      <c r="E6634" s="16">
        <v>1500.4</v>
      </c>
      <c r="F6634" s="1">
        <v>44786</v>
      </c>
      <c r="G6634" t="s">
        <v>2018</v>
      </c>
      <c r="H6634">
        <v>4</v>
      </c>
      <c r="I6634" s="12">
        <f>Table16[[#This Row],[price]]*Table16[[#This Row],[quantity]]</f>
        <v>7502</v>
      </c>
    </row>
    <row r="6635" spans="1:9" x14ac:dyDescent="0.3">
      <c r="A6635" t="s">
        <v>8652</v>
      </c>
      <c r="B6635" t="s">
        <v>1320</v>
      </c>
      <c r="C6635" t="s">
        <v>2001</v>
      </c>
      <c r="D6635">
        <v>5</v>
      </c>
      <c r="E6635" s="16">
        <v>1500.4</v>
      </c>
      <c r="F6635" s="1">
        <v>44405</v>
      </c>
      <c r="G6635" t="s">
        <v>2064</v>
      </c>
      <c r="H6635">
        <v>5</v>
      </c>
      <c r="I6635" s="12">
        <f>Table16[[#This Row],[price]]*Table16[[#This Row],[quantity]]</f>
        <v>7502</v>
      </c>
    </row>
    <row r="6636" spans="1:9" x14ac:dyDescent="0.3">
      <c r="A6636" t="s">
        <v>8655</v>
      </c>
      <c r="B6636" t="s">
        <v>1320</v>
      </c>
      <c r="C6636" t="s">
        <v>2015</v>
      </c>
      <c r="D6636">
        <v>1</v>
      </c>
      <c r="E6636" s="16">
        <v>600.16999999999996</v>
      </c>
      <c r="F6636" s="1">
        <v>44535</v>
      </c>
      <c r="G6636" t="s">
        <v>2020</v>
      </c>
      <c r="H6636">
        <v>1</v>
      </c>
      <c r="I6636" s="12">
        <f>Table16[[#This Row],[price]]*Table16[[#This Row],[quantity]]</f>
        <v>600.16999999999996</v>
      </c>
    </row>
    <row r="6637" spans="1:9" x14ac:dyDescent="0.3">
      <c r="A6637" t="s">
        <v>8654</v>
      </c>
      <c r="B6637" t="s">
        <v>1320</v>
      </c>
      <c r="C6637" t="s">
        <v>2008</v>
      </c>
      <c r="D6637">
        <v>5</v>
      </c>
      <c r="E6637" s="16">
        <v>26.15</v>
      </c>
      <c r="F6637" s="1">
        <v>44626</v>
      </c>
      <c r="G6637" t="s">
        <v>2058</v>
      </c>
      <c r="H6637">
        <v>2</v>
      </c>
      <c r="I6637" s="12">
        <f>Table16[[#This Row],[price]]*Table16[[#This Row],[quantity]]</f>
        <v>130.75</v>
      </c>
    </row>
    <row r="6638" spans="1:9" x14ac:dyDescent="0.3">
      <c r="A6638" t="s">
        <v>8651</v>
      </c>
      <c r="B6638" t="s">
        <v>1320</v>
      </c>
      <c r="C6638" t="s">
        <v>2008</v>
      </c>
      <c r="D6638">
        <v>3</v>
      </c>
      <c r="E6638" s="16">
        <v>15.69</v>
      </c>
      <c r="F6638" s="1">
        <v>44936</v>
      </c>
      <c r="G6638" t="s">
        <v>2018</v>
      </c>
      <c r="H6638">
        <v>1</v>
      </c>
      <c r="I6638" s="12">
        <f>Table16[[#This Row],[price]]*Table16[[#This Row],[quantity]]</f>
        <v>47.07</v>
      </c>
    </row>
    <row r="6639" spans="1:9" x14ac:dyDescent="0.3">
      <c r="A6639" t="s">
        <v>8653</v>
      </c>
      <c r="B6639" t="s">
        <v>1320</v>
      </c>
      <c r="C6639" t="s">
        <v>2001</v>
      </c>
      <c r="D6639">
        <v>5</v>
      </c>
      <c r="E6639" s="16">
        <v>1500.4</v>
      </c>
      <c r="F6639" s="1">
        <v>44978</v>
      </c>
      <c r="G6639" t="s">
        <v>2020</v>
      </c>
      <c r="H6639">
        <v>1</v>
      </c>
      <c r="I6639" s="12">
        <f>Table16[[#This Row],[price]]*Table16[[#This Row],[quantity]]</f>
        <v>7502</v>
      </c>
    </row>
    <row r="6640" spans="1:9" x14ac:dyDescent="0.3">
      <c r="A6640" t="s">
        <v>8660</v>
      </c>
      <c r="B6640" t="s">
        <v>1321</v>
      </c>
      <c r="C6640" t="s">
        <v>2006</v>
      </c>
      <c r="D6640">
        <v>1</v>
      </c>
      <c r="E6640" s="16">
        <v>15.15</v>
      </c>
      <c r="F6640" s="1">
        <v>44397</v>
      </c>
      <c r="G6640" t="s">
        <v>2012</v>
      </c>
      <c r="H6640">
        <v>5</v>
      </c>
      <c r="I6640" s="12">
        <f>Table16[[#This Row],[price]]*Table16[[#This Row],[quantity]]</f>
        <v>15.15</v>
      </c>
    </row>
    <row r="6641" spans="1:9" x14ac:dyDescent="0.3">
      <c r="A6641" t="s">
        <v>8658</v>
      </c>
      <c r="B6641" t="s">
        <v>1321</v>
      </c>
      <c r="C6641" t="s">
        <v>2011</v>
      </c>
      <c r="D6641">
        <v>2</v>
      </c>
      <c r="E6641" s="16">
        <v>81.319999999999993</v>
      </c>
      <c r="F6641" s="1">
        <v>44485</v>
      </c>
      <c r="G6641" t="s">
        <v>2027</v>
      </c>
      <c r="H6641">
        <v>2</v>
      </c>
      <c r="I6641" s="12">
        <f>Table16[[#This Row],[price]]*Table16[[#This Row],[quantity]]</f>
        <v>162.63999999999999</v>
      </c>
    </row>
    <row r="6642" spans="1:9" x14ac:dyDescent="0.3">
      <c r="A6642" t="s">
        <v>8661</v>
      </c>
      <c r="B6642" t="s">
        <v>1321</v>
      </c>
      <c r="C6642" t="s">
        <v>2001</v>
      </c>
      <c r="D6642">
        <v>4</v>
      </c>
      <c r="E6642" s="16">
        <v>1200.32</v>
      </c>
      <c r="F6642" s="1">
        <v>44769</v>
      </c>
      <c r="G6642" t="s">
        <v>2027</v>
      </c>
      <c r="H6642">
        <v>5</v>
      </c>
      <c r="I6642" s="12">
        <f>Table16[[#This Row],[price]]*Table16[[#This Row],[quantity]]</f>
        <v>4801.28</v>
      </c>
    </row>
    <row r="6643" spans="1:9" x14ac:dyDescent="0.3">
      <c r="A6643" t="s">
        <v>8656</v>
      </c>
      <c r="B6643" t="s">
        <v>1321</v>
      </c>
      <c r="C6643" t="s">
        <v>2008</v>
      </c>
      <c r="D6643">
        <v>3</v>
      </c>
      <c r="E6643" s="16">
        <v>15.69</v>
      </c>
      <c r="F6643" s="1">
        <v>44909</v>
      </c>
      <c r="G6643" t="s">
        <v>2009</v>
      </c>
      <c r="H6643">
        <v>3</v>
      </c>
      <c r="I6643" s="12">
        <f>Table16[[#This Row],[price]]*Table16[[#This Row],[quantity]]</f>
        <v>47.07</v>
      </c>
    </row>
    <row r="6644" spans="1:9" x14ac:dyDescent="0.3">
      <c r="A6644" t="s">
        <v>8659</v>
      </c>
      <c r="B6644" t="s">
        <v>1321</v>
      </c>
      <c r="C6644" t="s">
        <v>2024</v>
      </c>
      <c r="D6644">
        <v>5</v>
      </c>
      <c r="E6644" s="16">
        <v>179.2</v>
      </c>
      <c r="F6644" s="1">
        <v>44920</v>
      </c>
      <c r="G6644" t="s">
        <v>2020</v>
      </c>
      <c r="H6644">
        <v>4</v>
      </c>
      <c r="I6644" s="12">
        <f>Table16[[#This Row],[price]]*Table16[[#This Row],[quantity]]</f>
        <v>896</v>
      </c>
    </row>
    <row r="6645" spans="1:9" x14ac:dyDescent="0.3">
      <c r="A6645" t="s">
        <v>8657</v>
      </c>
      <c r="B6645" t="s">
        <v>1321</v>
      </c>
      <c r="C6645" t="s">
        <v>2001</v>
      </c>
      <c r="D6645">
        <v>1</v>
      </c>
      <c r="E6645" s="16">
        <v>300.08</v>
      </c>
      <c r="F6645" s="1">
        <v>44930</v>
      </c>
      <c r="G6645" t="s">
        <v>2020</v>
      </c>
      <c r="H6645">
        <v>4</v>
      </c>
      <c r="I6645" s="12">
        <f>Table16[[#This Row],[price]]*Table16[[#This Row],[quantity]]</f>
        <v>300.08</v>
      </c>
    </row>
    <row r="6646" spans="1:9" x14ac:dyDescent="0.3">
      <c r="A6646" t="s">
        <v>8664</v>
      </c>
      <c r="B6646" t="s">
        <v>1322</v>
      </c>
      <c r="C6646" t="s">
        <v>2057</v>
      </c>
      <c r="D6646">
        <v>4</v>
      </c>
      <c r="E6646" s="16">
        <v>46.92</v>
      </c>
      <c r="F6646" s="1">
        <v>44247</v>
      </c>
      <c r="G6646" t="s">
        <v>2004</v>
      </c>
      <c r="H6646">
        <v>4</v>
      </c>
      <c r="I6646" s="12">
        <f>Table16[[#This Row],[price]]*Table16[[#This Row],[quantity]]</f>
        <v>187.68</v>
      </c>
    </row>
    <row r="6647" spans="1:9" x14ac:dyDescent="0.3">
      <c r="A6647" t="s">
        <v>8663</v>
      </c>
      <c r="B6647" t="s">
        <v>1322</v>
      </c>
      <c r="C6647" t="s">
        <v>2011</v>
      </c>
      <c r="D6647">
        <v>2</v>
      </c>
      <c r="E6647" s="16">
        <v>81.319999999999993</v>
      </c>
      <c r="F6647" s="1">
        <v>44249</v>
      </c>
      <c r="G6647" t="s">
        <v>2027</v>
      </c>
      <c r="H6647">
        <v>1</v>
      </c>
      <c r="I6647" s="12">
        <f>Table16[[#This Row],[price]]*Table16[[#This Row],[quantity]]</f>
        <v>162.63999999999999</v>
      </c>
    </row>
    <row r="6648" spans="1:9" x14ac:dyDescent="0.3">
      <c r="A6648" t="s">
        <v>8665</v>
      </c>
      <c r="B6648" t="s">
        <v>1322</v>
      </c>
      <c r="C6648" t="s">
        <v>2001</v>
      </c>
      <c r="D6648">
        <v>5</v>
      </c>
      <c r="E6648" s="16">
        <v>1500.4</v>
      </c>
      <c r="F6648" s="1">
        <v>44307</v>
      </c>
      <c r="G6648" t="s">
        <v>2064</v>
      </c>
      <c r="H6648">
        <v>5</v>
      </c>
      <c r="I6648" s="12">
        <f>Table16[[#This Row],[price]]*Table16[[#This Row],[quantity]]</f>
        <v>7502</v>
      </c>
    </row>
    <row r="6649" spans="1:9" x14ac:dyDescent="0.3">
      <c r="A6649" t="s">
        <v>8662</v>
      </c>
      <c r="B6649" t="s">
        <v>1322</v>
      </c>
      <c r="C6649" t="s">
        <v>2001</v>
      </c>
      <c r="D6649">
        <v>1</v>
      </c>
      <c r="E6649" s="16">
        <v>300.08</v>
      </c>
      <c r="F6649" s="1">
        <v>44976</v>
      </c>
      <c r="G6649" t="s">
        <v>2027</v>
      </c>
      <c r="H6649">
        <v>4</v>
      </c>
      <c r="I6649" s="12">
        <f>Table16[[#This Row],[price]]*Table16[[#This Row],[quantity]]</f>
        <v>300.08</v>
      </c>
    </row>
    <row r="6650" spans="1:9" x14ac:dyDescent="0.3">
      <c r="A6650" t="s">
        <v>8666</v>
      </c>
      <c r="B6650" t="s">
        <v>1323</v>
      </c>
      <c r="C6650" t="s">
        <v>2024</v>
      </c>
      <c r="D6650">
        <v>1</v>
      </c>
      <c r="E6650" s="16">
        <v>35.840000000000003</v>
      </c>
      <c r="F6650" s="1">
        <v>44219</v>
      </c>
      <c r="G6650" t="s">
        <v>2004</v>
      </c>
      <c r="H6650">
        <v>4</v>
      </c>
      <c r="I6650" s="12">
        <f>Table16[[#This Row],[price]]*Table16[[#This Row],[quantity]]</f>
        <v>35.840000000000003</v>
      </c>
    </row>
    <row r="6651" spans="1:9" x14ac:dyDescent="0.3">
      <c r="A6651" t="s">
        <v>8667</v>
      </c>
      <c r="B6651" t="s">
        <v>1323</v>
      </c>
      <c r="C6651" t="s">
        <v>2024</v>
      </c>
      <c r="D6651">
        <v>4</v>
      </c>
      <c r="E6651" s="16">
        <v>143.36000000000001</v>
      </c>
      <c r="F6651" s="1">
        <v>44352</v>
      </c>
      <c r="G6651" t="s">
        <v>2009</v>
      </c>
      <c r="H6651">
        <v>5</v>
      </c>
      <c r="I6651" s="12">
        <f>Table16[[#This Row],[price]]*Table16[[#This Row],[quantity]]</f>
        <v>573.44000000000005</v>
      </c>
    </row>
    <row r="6652" spans="1:9" x14ac:dyDescent="0.3">
      <c r="A6652" t="s">
        <v>8668</v>
      </c>
      <c r="B6652" t="s">
        <v>1324</v>
      </c>
      <c r="C6652" t="s">
        <v>2001</v>
      </c>
      <c r="D6652">
        <v>2</v>
      </c>
      <c r="E6652" s="16">
        <v>600.16</v>
      </c>
      <c r="F6652" s="1">
        <v>44573</v>
      </c>
      <c r="G6652" t="s">
        <v>2018</v>
      </c>
      <c r="H6652">
        <v>3</v>
      </c>
      <c r="I6652" s="12">
        <f>Table16[[#This Row],[price]]*Table16[[#This Row],[quantity]]</f>
        <v>1200.32</v>
      </c>
    </row>
    <row r="6653" spans="1:9" x14ac:dyDescent="0.3">
      <c r="A6653" t="s">
        <v>8669</v>
      </c>
      <c r="B6653" t="s">
        <v>1324</v>
      </c>
      <c r="C6653" t="s">
        <v>2001</v>
      </c>
      <c r="D6653">
        <v>1</v>
      </c>
      <c r="E6653" s="16">
        <v>300.08</v>
      </c>
      <c r="F6653" s="1">
        <v>44716</v>
      </c>
      <c r="G6653" t="s">
        <v>2002</v>
      </c>
      <c r="H6653">
        <v>2</v>
      </c>
      <c r="I6653" s="12">
        <f>Table16[[#This Row],[price]]*Table16[[#This Row],[quantity]]</f>
        <v>300.08</v>
      </c>
    </row>
    <row r="6654" spans="1:9" x14ac:dyDescent="0.3">
      <c r="A6654" t="s">
        <v>8672</v>
      </c>
      <c r="B6654" t="s">
        <v>1325</v>
      </c>
      <c r="C6654" t="s">
        <v>2006</v>
      </c>
      <c r="D6654">
        <v>1</v>
      </c>
      <c r="E6654" s="16">
        <v>15.15</v>
      </c>
      <c r="F6654" s="1">
        <v>44524</v>
      </c>
      <c r="G6654" t="s">
        <v>2041</v>
      </c>
      <c r="H6654">
        <v>4</v>
      </c>
      <c r="I6654" s="12">
        <f>Table16[[#This Row],[price]]*Table16[[#This Row],[quantity]]</f>
        <v>15.15</v>
      </c>
    </row>
    <row r="6655" spans="1:9" x14ac:dyDescent="0.3">
      <c r="A6655" t="s">
        <v>8671</v>
      </c>
      <c r="B6655" t="s">
        <v>1325</v>
      </c>
      <c r="C6655" t="s">
        <v>2008</v>
      </c>
      <c r="D6655">
        <v>4</v>
      </c>
      <c r="E6655" s="16">
        <v>20.92</v>
      </c>
      <c r="F6655" s="1">
        <v>44556</v>
      </c>
      <c r="G6655" t="s">
        <v>2018</v>
      </c>
      <c r="H6655">
        <v>3</v>
      </c>
      <c r="I6655" s="12">
        <f>Table16[[#This Row],[price]]*Table16[[#This Row],[quantity]]</f>
        <v>83.68</v>
      </c>
    </row>
    <row r="6656" spans="1:9" x14ac:dyDescent="0.3">
      <c r="A6656" t="s">
        <v>8670</v>
      </c>
      <c r="B6656" t="s">
        <v>1325</v>
      </c>
      <c r="C6656" t="s">
        <v>2006</v>
      </c>
      <c r="D6656">
        <v>3</v>
      </c>
      <c r="E6656" s="16">
        <v>45.45</v>
      </c>
      <c r="F6656" s="1">
        <v>44647</v>
      </c>
      <c r="G6656" t="s">
        <v>2004</v>
      </c>
      <c r="H6656">
        <v>5</v>
      </c>
      <c r="I6656" s="12">
        <f>Table16[[#This Row],[price]]*Table16[[#This Row],[quantity]]</f>
        <v>136.35000000000002</v>
      </c>
    </row>
    <row r="6657" spans="1:9" x14ac:dyDescent="0.3">
      <c r="A6657" t="s">
        <v>8673</v>
      </c>
      <c r="B6657" t="s">
        <v>1325</v>
      </c>
      <c r="C6657" t="s">
        <v>2011</v>
      </c>
      <c r="D6657">
        <v>3</v>
      </c>
      <c r="E6657" s="16">
        <v>121.98</v>
      </c>
      <c r="F6657" s="1">
        <v>44679</v>
      </c>
      <c r="G6657" t="s">
        <v>2002</v>
      </c>
      <c r="H6657">
        <v>3</v>
      </c>
      <c r="I6657" s="12">
        <f>Table16[[#This Row],[price]]*Table16[[#This Row],[quantity]]</f>
        <v>365.94</v>
      </c>
    </row>
    <row r="6658" spans="1:9" x14ac:dyDescent="0.3">
      <c r="A6658" t="s">
        <v>8674</v>
      </c>
      <c r="B6658" t="s">
        <v>1326</v>
      </c>
      <c r="C6658" t="s">
        <v>2015</v>
      </c>
      <c r="D6658">
        <v>5</v>
      </c>
      <c r="E6658" s="16">
        <v>3000.85</v>
      </c>
      <c r="F6658" s="1">
        <v>44265</v>
      </c>
      <c r="G6658" t="s">
        <v>2002</v>
      </c>
      <c r="H6658">
        <v>4</v>
      </c>
      <c r="I6658" s="12">
        <f>Table16[[#This Row],[price]]*Table16[[#This Row],[quantity]]</f>
        <v>15004.25</v>
      </c>
    </row>
    <row r="6659" spans="1:9" x14ac:dyDescent="0.3">
      <c r="A6659" t="s">
        <v>8675</v>
      </c>
      <c r="B6659" t="s">
        <v>1326</v>
      </c>
      <c r="C6659" t="s">
        <v>2057</v>
      </c>
      <c r="D6659">
        <v>2</v>
      </c>
      <c r="E6659" s="16">
        <v>23.46</v>
      </c>
      <c r="F6659" s="1">
        <v>44484</v>
      </c>
      <c r="G6659" t="s">
        <v>2002</v>
      </c>
      <c r="H6659">
        <v>2</v>
      </c>
      <c r="I6659" s="12">
        <f>Table16[[#This Row],[price]]*Table16[[#This Row],[quantity]]</f>
        <v>46.92</v>
      </c>
    </row>
    <row r="6660" spans="1:9" x14ac:dyDescent="0.3">
      <c r="A6660" t="s">
        <v>8677</v>
      </c>
      <c r="B6660" t="s">
        <v>1326</v>
      </c>
      <c r="C6660" t="s">
        <v>2011</v>
      </c>
      <c r="D6660">
        <v>2</v>
      </c>
      <c r="E6660" s="16">
        <v>81.319999999999993</v>
      </c>
      <c r="F6660" s="1">
        <v>44670</v>
      </c>
      <c r="G6660" t="s">
        <v>2058</v>
      </c>
      <c r="H6660">
        <v>5</v>
      </c>
      <c r="I6660" s="12">
        <f>Table16[[#This Row],[price]]*Table16[[#This Row],[quantity]]</f>
        <v>162.63999999999999</v>
      </c>
    </row>
    <row r="6661" spans="1:9" x14ac:dyDescent="0.3">
      <c r="A6661" t="s">
        <v>8676</v>
      </c>
      <c r="B6661" t="s">
        <v>1326</v>
      </c>
      <c r="C6661" t="s">
        <v>2015</v>
      </c>
      <c r="D6661">
        <v>2</v>
      </c>
      <c r="E6661" s="16">
        <v>1200.3399999999999</v>
      </c>
      <c r="F6661" s="1">
        <v>44974</v>
      </c>
      <c r="G6661" t="s">
        <v>2027</v>
      </c>
      <c r="H6661">
        <v>2</v>
      </c>
      <c r="I6661" s="12">
        <f>Table16[[#This Row],[price]]*Table16[[#This Row],[quantity]]</f>
        <v>2400.6799999999998</v>
      </c>
    </row>
    <row r="6662" spans="1:9" x14ac:dyDescent="0.3">
      <c r="A6662" t="s">
        <v>8680</v>
      </c>
      <c r="B6662" t="s">
        <v>1327</v>
      </c>
      <c r="C6662" t="s">
        <v>2015</v>
      </c>
      <c r="D6662">
        <v>2</v>
      </c>
      <c r="E6662" s="16">
        <v>1200.3399999999999</v>
      </c>
      <c r="F6662" s="1">
        <v>44201</v>
      </c>
      <c r="G6662" t="s">
        <v>2009</v>
      </c>
      <c r="H6662">
        <v>4</v>
      </c>
      <c r="I6662" s="12">
        <f>Table16[[#This Row],[price]]*Table16[[#This Row],[quantity]]</f>
        <v>2400.6799999999998</v>
      </c>
    </row>
    <row r="6663" spans="1:9" x14ac:dyDescent="0.3">
      <c r="A6663" t="s">
        <v>8682</v>
      </c>
      <c r="B6663" t="s">
        <v>1327</v>
      </c>
      <c r="C6663" t="s">
        <v>2011</v>
      </c>
      <c r="D6663">
        <v>4</v>
      </c>
      <c r="E6663" s="16">
        <v>162.63999999999999</v>
      </c>
      <c r="F6663" s="1">
        <v>44249</v>
      </c>
      <c r="G6663" t="s">
        <v>2027</v>
      </c>
      <c r="H6663">
        <v>3</v>
      </c>
      <c r="I6663" s="12">
        <f>Table16[[#This Row],[price]]*Table16[[#This Row],[quantity]]</f>
        <v>650.55999999999995</v>
      </c>
    </row>
    <row r="6664" spans="1:9" x14ac:dyDescent="0.3">
      <c r="A6664" t="s">
        <v>8681</v>
      </c>
      <c r="B6664" t="s">
        <v>1327</v>
      </c>
      <c r="C6664" t="s">
        <v>2001</v>
      </c>
      <c r="D6664">
        <v>4</v>
      </c>
      <c r="E6664" s="16">
        <v>1200.32</v>
      </c>
      <c r="F6664" s="1">
        <v>44254</v>
      </c>
      <c r="G6664" t="s">
        <v>2004</v>
      </c>
      <c r="H6664">
        <v>5</v>
      </c>
      <c r="I6664" s="12">
        <f>Table16[[#This Row],[price]]*Table16[[#This Row],[quantity]]</f>
        <v>4801.28</v>
      </c>
    </row>
    <row r="6665" spans="1:9" x14ac:dyDescent="0.3">
      <c r="A6665" t="s">
        <v>8678</v>
      </c>
      <c r="B6665" t="s">
        <v>1327</v>
      </c>
      <c r="C6665" t="s">
        <v>2008</v>
      </c>
      <c r="D6665">
        <v>4</v>
      </c>
      <c r="E6665" s="16">
        <v>20.92</v>
      </c>
      <c r="F6665" s="1">
        <v>44392</v>
      </c>
      <c r="G6665" t="s">
        <v>2004</v>
      </c>
      <c r="H6665">
        <v>2</v>
      </c>
      <c r="I6665" s="12">
        <f>Table16[[#This Row],[price]]*Table16[[#This Row],[quantity]]</f>
        <v>83.68</v>
      </c>
    </row>
    <row r="6666" spans="1:9" x14ac:dyDescent="0.3">
      <c r="A6666" t="s">
        <v>8679</v>
      </c>
      <c r="B6666" t="s">
        <v>1327</v>
      </c>
      <c r="C6666" t="s">
        <v>2001</v>
      </c>
      <c r="D6666">
        <v>2</v>
      </c>
      <c r="E6666" s="16">
        <v>600.16</v>
      </c>
      <c r="F6666" s="1">
        <v>44710</v>
      </c>
      <c r="G6666" t="s">
        <v>2004</v>
      </c>
      <c r="H6666">
        <v>5</v>
      </c>
      <c r="I6666" s="12">
        <f>Table16[[#This Row],[price]]*Table16[[#This Row],[quantity]]</f>
        <v>1200.32</v>
      </c>
    </row>
    <row r="6667" spans="1:9" x14ac:dyDescent="0.3">
      <c r="A6667" t="s">
        <v>8683</v>
      </c>
      <c r="B6667" t="s">
        <v>1327</v>
      </c>
      <c r="C6667" t="s">
        <v>2001</v>
      </c>
      <c r="D6667">
        <v>3</v>
      </c>
      <c r="E6667" s="16">
        <v>900.24</v>
      </c>
      <c r="F6667" s="1">
        <v>44932</v>
      </c>
      <c r="G6667" t="s">
        <v>2027</v>
      </c>
      <c r="H6667">
        <v>1</v>
      </c>
      <c r="I6667" s="12">
        <f>Table16[[#This Row],[price]]*Table16[[#This Row],[quantity]]</f>
        <v>2700.7200000000003</v>
      </c>
    </row>
    <row r="6668" spans="1:9" x14ac:dyDescent="0.3">
      <c r="A6668" t="s">
        <v>8685</v>
      </c>
      <c r="B6668" t="s">
        <v>1328</v>
      </c>
      <c r="C6668" t="s">
        <v>2017</v>
      </c>
      <c r="D6668">
        <v>3</v>
      </c>
      <c r="E6668" s="16">
        <v>3150</v>
      </c>
      <c r="F6668" s="1">
        <v>44337</v>
      </c>
      <c r="G6668" t="s">
        <v>2002</v>
      </c>
      <c r="H6668">
        <v>5</v>
      </c>
      <c r="I6668" s="12">
        <f>Table16[[#This Row],[price]]*Table16[[#This Row],[quantity]]</f>
        <v>9450</v>
      </c>
    </row>
    <row r="6669" spans="1:9" x14ac:dyDescent="0.3">
      <c r="A6669" t="s">
        <v>8686</v>
      </c>
      <c r="B6669" t="s">
        <v>1328</v>
      </c>
      <c r="C6669" t="s">
        <v>2001</v>
      </c>
      <c r="D6669">
        <v>1</v>
      </c>
      <c r="E6669" s="16">
        <v>300.08</v>
      </c>
      <c r="F6669" s="1">
        <v>44345</v>
      </c>
      <c r="G6669" t="s">
        <v>2002</v>
      </c>
      <c r="H6669">
        <v>3</v>
      </c>
      <c r="I6669" s="12">
        <f>Table16[[#This Row],[price]]*Table16[[#This Row],[quantity]]</f>
        <v>300.08</v>
      </c>
    </row>
    <row r="6670" spans="1:9" x14ac:dyDescent="0.3">
      <c r="A6670" t="s">
        <v>8687</v>
      </c>
      <c r="B6670" t="s">
        <v>1328</v>
      </c>
      <c r="C6670" t="s">
        <v>2015</v>
      </c>
      <c r="D6670">
        <v>1</v>
      </c>
      <c r="E6670" s="16">
        <v>600.16999999999996</v>
      </c>
      <c r="F6670" s="1">
        <v>44346</v>
      </c>
      <c r="G6670" t="s">
        <v>2018</v>
      </c>
      <c r="H6670">
        <v>4</v>
      </c>
      <c r="I6670" s="12">
        <f>Table16[[#This Row],[price]]*Table16[[#This Row],[quantity]]</f>
        <v>600.16999999999996</v>
      </c>
    </row>
    <row r="6671" spans="1:9" x14ac:dyDescent="0.3">
      <c r="A6671" t="s">
        <v>8690</v>
      </c>
      <c r="B6671" t="s">
        <v>1328</v>
      </c>
      <c r="C6671" t="s">
        <v>2024</v>
      </c>
      <c r="D6671">
        <v>1</v>
      </c>
      <c r="E6671" s="16">
        <v>35.840000000000003</v>
      </c>
      <c r="F6671" s="1">
        <v>44525</v>
      </c>
      <c r="G6671" t="s">
        <v>2004</v>
      </c>
      <c r="H6671">
        <v>2</v>
      </c>
      <c r="I6671" s="12">
        <f>Table16[[#This Row],[price]]*Table16[[#This Row],[quantity]]</f>
        <v>35.840000000000003</v>
      </c>
    </row>
    <row r="6672" spans="1:9" x14ac:dyDescent="0.3">
      <c r="A6672" t="s">
        <v>8684</v>
      </c>
      <c r="B6672" t="s">
        <v>1328</v>
      </c>
      <c r="C6672" t="s">
        <v>2001</v>
      </c>
      <c r="D6672">
        <v>1</v>
      </c>
      <c r="E6672" s="16">
        <v>300.08</v>
      </c>
      <c r="F6672" s="1">
        <v>44528</v>
      </c>
      <c r="G6672" t="s">
        <v>2027</v>
      </c>
      <c r="H6672">
        <v>3</v>
      </c>
      <c r="I6672" s="12">
        <f>Table16[[#This Row],[price]]*Table16[[#This Row],[quantity]]</f>
        <v>300.08</v>
      </c>
    </row>
    <row r="6673" spans="1:9" x14ac:dyDescent="0.3">
      <c r="A6673" t="s">
        <v>8688</v>
      </c>
      <c r="B6673" t="s">
        <v>1328</v>
      </c>
      <c r="C6673" t="s">
        <v>2015</v>
      </c>
      <c r="D6673">
        <v>4</v>
      </c>
      <c r="E6673" s="16">
        <v>2400.6799999999998</v>
      </c>
      <c r="F6673" s="1">
        <v>44563</v>
      </c>
      <c r="G6673" t="s">
        <v>2020</v>
      </c>
      <c r="H6673">
        <v>4</v>
      </c>
      <c r="I6673" s="12">
        <f>Table16[[#This Row],[price]]*Table16[[#This Row],[quantity]]</f>
        <v>9602.7199999999993</v>
      </c>
    </row>
    <row r="6674" spans="1:9" x14ac:dyDescent="0.3">
      <c r="A6674" t="s">
        <v>8691</v>
      </c>
      <c r="B6674" t="s">
        <v>1328</v>
      </c>
      <c r="C6674" t="s">
        <v>2008</v>
      </c>
      <c r="D6674">
        <v>2</v>
      </c>
      <c r="E6674" s="16">
        <v>10.46</v>
      </c>
      <c r="F6674" s="1">
        <v>44588</v>
      </c>
      <c r="G6674" t="s">
        <v>2020</v>
      </c>
      <c r="H6674">
        <v>4</v>
      </c>
      <c r="I6674" s="12">
        <f>Table16[[#This Row],[price]]*Table16[[#This Row],[quantity]]</f>
        <v>20.92</v>
      </c>
    </row>
    <row r="6675" spans="1:9" x14ac:dyDescent="0.3">
      <c r="A6675" t="s">
        <v>8689</v>
      </c>
      <c r="B6675" t="s">
        <v>1328</v>
      </c>
      <c r="C6675" t="s">
        <v>2057</v>
      </c>
      <c r="D6675">
        <v>3</v>
      </c>
      <c r="E6675" s="16">
        <v>35.19</v>
      </c>
      <c r="F6675" s="1">
        <v>44662</v>
      </c>
      <c r="G6675" t="s">
        <v>2002</v>
      </c>
      <c r="H6675">
        <v>2</v>
      </c>
      <c r="I6675" s="12">
        <f>Table16[[#This Row],[price]]*Table16[[#This Row],[quantity]]</f>
        <v>105.57</v>
      </c>
    </row>
    <row r="6676" spans="1:9" x14ac:dyDescent="0.3">
      <c r="A6676" t="s">
        <v>8694</v>
      </c>
      <c r="B6676" t="s">
        <v>1329</v>
      </c>
      <c r="C6676" t="s">
        <v>2001</v>
      </c>
      <c r="D6676">
        <v>2</v>
      </c>
      <c r="E6676" s="16">
        <v>600.16</v>
      </c>
      <c r="F6676" s="1">
        <v>44284</v>
      </c>
      <c r="G6676" t="s">
        <v>2027</v>
      </c>
      <c r="H6676">
        <v>2</v>
      </c>
      <c r="I6676" s="12">
        <f>Table16[[#This Row],[price]]*Table16[[#This Row],[quantity]]</f>
        <v>1200.32</v>
      </c>
    </row>
    <row r="6677" spans="1:9" x14ac:dyDescent="0.3">
      <c r="A6677" t="s">
        <v>8693</v>
      </c>
      <c r="B6677" t="s">
        <v>1329</v>
      </c>
      <c r="C6677" t="s">
        <v>2001</v>
      </c>
      <c r="D6677">
        <v>5</v>
      </c>
      <c r="E6677" s="16">
        <v>1500.4</v>
      </c>
      <c r="F6677" s="1">
        <v>44434</v>
      </c>
      <c r="G6677" t="s">
        <v>2020</v>
      </c>
      <c r="H6677">
        <v>2</v>
      </c>
      <c r="I6677" s="12">
        <f>Table16[[#This Row],[price]]*Table16[[#This Row],[quantity]]</f>
        <v>7502</v>
      </c>
    </row>
    <row r="6678" spans="1:9" x14ac:dyDescent="0.3">
      <c r="A6678" t="s">
        <v>8695</v>
      </c>
      <c r="B6678" t="s">
        <v>1329</v>
      </c>
      <c r="C6678" t="s">
        <v>2001</v>
      </c>
      <c r="D6678">
        <v>5</v>
      </c>
      <c r="E6678" s="16">
        <v>1500.4</v>
      </c>
      <c r="F6678" s="1">
        <v>44742</v>
      </c>
      <c r="G6678" t="s">
        <v>2004</v>
      </c>
      <c r="H6678">
        <v>5</v>
      </c>
      <c r="I6678" s="12">
        <f>Table16[[#This Row],[price]]*Table16[[#This Row],[quantity]]</f>
        <v>7502</v>
      </c>
    </row>
    <row r="6679" spans="1:9" x14ac:dyDescent="0.3">
      <c r="A6679" t="s">
        <v>8692</v>
      </c>
      <c r="B6679" t="s">
        <v>1329</v>
      </c>
      <c r="C6679" t="s">
        <v>2011</v>
      </c>
      <c r="D6679">
        <v>5</v>
      </c>
      <c r="E6679" s="16">
        <v>203.3</v>
      </c>
      <c r="F6679" s="1">
        <v>44916</v>
      </c>
      <c r="G6679" t="s">
        <v>2002</v>
      </c>
      <c r="H6679">
        <v>1</v>
      </c>
      <c r="I6679" s="12">
        <f>Table16[[#This Row],[price]]*Table16[[#This Row],[quantity]]</f>
        <v>1016.5</v>
      </c>
    </row>
    <row r="6680" spans="1:9" x14ac:dyDescent="0.3">
      <c r="A6680" t="s">
        <v>8699</v>
      </c>
      <c r="B6680" t="s">
        <v>1330</v>
      </c>
      <c r="C6680" t="s">
        <v>2008</v>
      </c>
      <c r="D6680">
        <v>2</v>
      </c>
      <c r="E6680" s="16">
        <v>10.46</v>
      </c>
      <c r="F6680" s="1">
        <v>44403</v>
      </c>
      <c r="G6680" t="s">
        <v>2012</v>
      </c>
      <c r="H6680">
        <v>3</v>
      </c>
      <c r="I6680" s="12">
        <f>Table16[[#This Row],[price]]*Table16[[#This Row],[quantity]]</f>
        <v>20.92</v>
      </c>
    </row>
    <row r="6681" spans="1:9" x14ac:dyDescent="0.3">
      <c r="A6681" t="s">
        <v>8696</v>
      </c>
      <c r="B6681" t="s">
        <v>1330</v>
      </c>
      <c r="C6681" t="s">
        <v>2008</v>
      </c>
      <c r="D6681">
        <v>3</v>
      </c>
      <c r="E6681" s="16">
        <v>15.69</v>
      </c>
      <c r="F6681" s="1">
        <v>44716</v>
      </c>
      <c r="G6681" t="s">
        <v>2058</v>
      </c>
      <c r="H6681">
        <v>1</v>
      </c>
      <c r="I6681" s="12">
        <f>Table16[[#This Row],[price]]*Table16[[#This Row],[quantity]]</f>
        <v>47.07</v>
      </c>
    </row>
    <row r="6682" spans="1:9" x14ac:dyDescent="0.3">
      <c r="A6682" t="s">
        <v>8697</v>
      </c>
      <c r="B6682" t="s">
        <v>1330</v>
      </c>
      <c r="C6682" t="s">
        <v>2006</v>
      </c>
      <c r="D6682">
        <v>3</v>
      </c>
      <c r="E6682" s="16">
        <v>45.45</v>
      </c>
      <c r="F6682" s="1">
        <v>44802</v>
      </c>
      <c r="G6682" t="s">
        <v>2027</v>
      </c>
      <c r="H6682">
        <v>2</v>
      </c>
      <c r="I6682" s="12">
        <f>Table16[[#This Row],[price]]*Table16[[#This Row],[quantity]]</f>
        <v>136.35000000000002</v>
      </c>
    </row>
    <row r="6683" spans="1:9" x14ac:dyDescent="0.3">
      <c r="A6683" t="s">
        <v>8700</v>
      </c>
      <c r="B6683" t="s">
        <v>1330</v>
      </c>
      <c r="C6683" t="s">
        <v>2057</v>
      </c>
      <c r="D6683">
        <v>2</v>
      </c>
      <c r="E6683" s="16">
        <v>23.46</v>
      </c>
      <c r="F6683" s="1">
        <v>44813</v>
      </c>
      <c r="G6683" t="s">
        <v>2018</v>
      </c>
      <c r="H6683">
        <v>4</v>
      </c>
      <c r="I6683" s="12">
        <f>Table16[[#This Row],[price]]*Table16[[#This Row],[quantity]]</f>
        <v>46.92</v>
      </c>
    </row>
    <row r="6684" spans="1:9" x14ac:dyDescent="0.3">
      <c r="A6684" t="s">
        <v>8698</v>
      </c>
      <c r="B6684" t="s">
        <v>1330</v>
      </c>
      <c r="C6684" t="s">
        <v>2011</v>
      </c>
      <c r="D6684">
        <v>1</v>
      </c>
      <c r="E6684" s="16">
        <v>40.659999999999997</v>
      </c>
      <c r="F6684" s="1">
        <v>44832</v>
      </c>
      <c r="G6684" t="s">
        <v>2020</v>
      </c>
      <c r="H6684">
        <v>1</v>
      </c>
      <c r="I6684" s="12">
        <f>Table16[[#This Row],[price]]*Table16[[#This Row],[quantity]]</f>
        <v>40.659999999999997</v>
      </c>
    </row>
    <row r="6685" spans="1:9" x14ac:dyDescent="0.3">
      <c r="A6685" t="s">
        <v>8701</v>
      </c>
      <c r="B6685" t="s">
        <v>1331</v>
      </c>
      <c r="C6685" t="s">
        <v>2011</v>
      </c>
      <c r="D6685">
        <v>3</v>
      </c>
      <c r="E6685" s="16">
        <v>121.98</v>
      </c>
      <c r="F6685" s="1">
        <v>44441</v>
      </c>
      <c r="G6685" t="s">
        <v>2027</v>
      </c>
      <c r="H6685">
        <v>4</v>
      </c>
      <c r="I6685" s="12">
        <f>Table16[[#This Row],[price]]*Table16[[#This Row],[quantity]]</f>
        <v>365.94</v>
      </c>
    </row>
    <row r="6686" spans="1:9" x14ac:dyDescent="0.3">
      <c r="A6686" t="s">
        <v>8703</v>
      </c>
      <c r="B6686" t="s">
        <v>1331</v>
      </c>
      <c r="C6686" t="s">
        <v>2001</v>
      </c>
      <c r="D6686">
        <v>5</v>
      </c>
      <c r="E6686" s="16">
        <v>1500.4</v>
      </c>
      <c r="F6686" s="1">
        <v>44734</v>
      </c>
      <c r="G6686" t="s">
        <v>2058</v>
      </c>
      <c r="H6686">
        <v>3</v>
      </c>
      <c r="I6686" s="12">
        <f>Table16[[#This Row],[price]]*Table16[[#This Row],[quantity]]</f>
        <v>7502</v>
      </c>
    </row>
    <row r="6687" spans="1:9" x14ac:dyDescent="0.3">
      <c r="A6687" t="s">
        <v>8702</v>
      </c>
      <c r="B6687" t="s">
        <v>1331</v>
      </c>
      <c r="C6687" t="s">
        <v>2001</v>
      </c>
      <c r="D6687">
        <v>5</v>
      </c>
      <c r="E6687" s="16">
        <v>1500.4</v>
      </c>
      <c r="F6687" s="1">
        <v>44819</v>
      </c>
      <c r="G6687" t="s">
        <v>2027</v>
      </c>
      <c r="H6687">
        <v>5</v>
      </c>
      <c r="I6687" s="12">
        <f>Table16[[#This Row],[price]]*Table16[[#This Row],[quantity]]</f>
        <v>7502</v>
      </c>
    </row>
    <row r="6688" spans="1:9" x14ac:dyDescent="0.3">
      <c r="A6688" t="s">
        <v>8705</v>
      </c>
      <c r="B6688" t="s">
        <v>1332</v>
      </c>
      <c r="C6688" t="s">
        <v>2001</v>
      </c>
      <c r="D6688">
        <v>4</v>
      </c>
      <c r="E6688" s="16">
        <v>1200.32</v>
      </c>
      <c r="F6688" s="1">
        <v>44230</v>
      </c>
      <c r="G6688" t="s">
        <v>2004</v>
      </c>
      <c r="H6688">
        <v>2</v>
      </c>
      <c r="I6688" s="12">
        <f>Table16[[#This Row],[price]]*Table16[[#This Row],[quantity]]</f>
        <v>4801.28</v>
      </c>
    </row>
    <row r="6689" spans="1:9" x14ac:dyDescent="0.3">
      <c r="A6689" t="s">
        <v>8706</v>
      </c>
      <c r="B6689" t="s">
        <v>1332</v>
      </c>
      <c r="C6689" t="s">
        <v>2015</v>
      </c>
      <c r="D6689">
        <v>5</v>
      </c>
      <c r="E6689" s="16">
        <v>3000.85</v>
      </c>
      <c r="F6689" s="1">
        <v>44295</v>
      </c>
      <c r="G6689" t="s">
        <v>2009</v>
      </c>
      <c r="H6689">
        <v>5</v>
      </c>
      <c r="I6689" s="12">
        <f>Table16[[#This Row],[price]]*Table16[[#This Row],[quantity]]</f>
        <v>15004.25</v>
      </c>
    </row>
    <row r="6690" spans="1:9" x14ac:dyDescent="0.3">
      <c r="A6690" t="s">
        <v>8708</v>
      </c>
      <c r="B6690" t="s">
        <v>1332</v>
      </c>
      <c r="C6690" t="s">
        <v>2017</v>
      </c>
      <c r="D6690">
        <v>5</v>
      </c>
      <c r="E6690" s="16">
        <v>5250</v>
      </c>
      <c r="F6690" s="1">
        <v>44494</v>
      </c>
      <c r="G6690" t="s">
        <v>2027</v>
      </c>
      <c r="H6690">
        <v>4</v>
      </c>
      <c r="I6690" s="12">
        <f>Table16[[#This Row],[price]]*Table16[[#This Row],[quantity]]</f>
        <v>26250</v>
      </c>
    </row>
    <row r="6691" spans="1:9" x14ac:dyDescent="0.3">
      <c r="A6691" t="s">
        <v>8707</v>
      </c>
      <c r="B6691" t="s">
        <v>1332</v>
      </c>
      <c r="C6691" t="s">
        <v>2015</v>
      </c>
      <c r="D6691">
        <v>3</v>
      </c>
      <c r="E6691" s="16">
        <v>1800.51</v>
      </c>
      <c r="F6691" s="1">
        <v>44639</v>
      </c>
      <c r="G6691" t="s">
        <v>2002</v>
      </c>
      <c r="H6691">
        <v>5</v>
      </c>
      <c r="I6691" s="12">
        <f>Table16[[#This Row],[price]]*Table16[[#This Row],[quantity]]</f>
        <v>5401.53</v>
      </c>
    </row>
    <row r="6692" spans="1:9" x14ac:dyDescent="0.3">
      <c r="A6692" t="s">
        <v>8704</v>
      </c>
      <c r="B6692" t="s">
        <v>1332</v>
      </c>
      <c r="C6692" t="s">
        <v>2008</v>
      </c>
      <c r="D6692">
        <v>2</v>
      </c>
      <c r="E6692" s="16">
        <v>10.46</v>
      </c>
      <c r="F6692" s="1">
        <v>44810</v>
      </c>
      <c r="G6692" t="s">
        <v>2027</v>
      </c>
      <c r="H6692">
        <v>5</v>
      </c>
      <c r="I6692" s="12">
        <f>Table16[[#This Row],[price]]*Table16[[#This Row],[quantity]]</f>
        <v>20.92</v>
      </c>
    </row>
    <row r="6693" spans="1:9" x14ac:dyDescent="0.3">
      <c r="A6693" t="s">
        <v>8709</v>
      </c>
      <c r="B6693" t="s">
        <v>1333</v>
      </c>
      <c r="C6693" t="s">
        <v>2015</v>
      </c>
      <c r="D6693">
        <v>3</v>
      </c>
      <c r="E6693" s="16">
        <v>1800.51</v>
      </c>
      <c r="F6693" s="1">
        <v>44594</v>
      </c>
      <c r="G6693" t="s">
        <v>2004</v>
      </c>
      <c r="H6693">
        <v>5</v>
      </c>
      <c r="I6693" s="12">
        <f>Table16[[#This Row],[price]]*Table16[[#This Row],[quantity]]</f>
        <v>5401.53</v>
      </c>
    </row>
    <row r="6694" spans="1:9" x14ac:dyDescent="0.3">
      <c r="A6694" t="s">
        <v>8713</v>
      </c>
      <c r="B6694" t="s">
        <v>1334</v>
      </c>
      <c r="C6694" t="s">
        <v>2001</v>
      </c>
      <c r="D6694">
        <v>4</v>
      </c>
      <c r="E6694" s="16">
        <v>1200.32</v>
      </c>
      <c r="F6694" s="1">
        <v>44208</v>
      </c>
      <c r="G6694" t="s">
        <v>2004</v>
      </c>
      <c r="H6694">
        <v>1</v>
      </c>
      <c r="I6694" s="12">
        <f>Table16[[#This Row],[price]]*Table16[[#This Row],[quantity]]</f>
        <v>4801.28</v>
      </c>
    </row>
    <row r="6695" spans="1:9" x14ac:dyDescent="0.3">
      <c r="A6695" t="s">
        <v>8715</v>
      </c>
      <c r="B6695" t="s">
        <v>1334</v>
      </c>
      <c r="C6695" t="s">
        <v>2011</v>
      </c>
      <c r="D6695">
        <v>1</v>
      </c>
      <c r="E6695" s="16">
        <v>40.659999999999997</v>
      </c>
      <c r="F6695" s="1">
        <v>44256</v>
      </c>
      <c r="G6695" t="s">
        <v>2064</v>
      </c>
      <c r="H6695">
        <v>5</v>
      </c>
      <c r="I6695" s="12">
        <f>Table16[[#This Row],[price]]*Table16[[#This Row],[quantity]]</f>
        <v>40.659999999999997</v>
      </c>
    </row>
    <row r="6696" spans="1:9" x14ac:dyDescent="0.3">
      <c r="A6696" t="s">
        <v>8710</v>
      </c>
      <c r="B6696" t="s">
        <v>1334</v>
      </c>
      <c r="C6696" t="s">
        <v>2001</v>
      </c>
      <c r="D6696">
        <v>5</v>
      </c>
      <c r="E6696" s="16">
        <v>1500.4</v>
      </c>
      <c r="F6696" s="1">
        <v>44453</v>
      </c>
      <c r="G6696" t="s">
        <v>2018</v>
      </c>
      <c r="H6696">
        <v>1</v>
      </c>
      <c r="I6696" s="12">
        <f>Table16[[#This Row],[price]]*Table16[[#This Row],[quantity]]</f>
        <v>7502</v>
      </c>
    </row>
    <row r="6697" spans="1:9" x14ac:dyDescent="0.3">
      <c r="A6697" t="s">
        <v>8711</v>
      </c>
      <c r="B6697" t="s">
        <v>1334</v>
      </c>
      <c r="C6697" t="s">
        <v>2001</v>
      </c>
      <c r="D6697">
        <v>4</v>
      </c>
      <c r="E6697" s="16">
        <v>1200.32</v>
      </c>
      <c r="F6697" s="1">
        <v>44511</v>
      </c>
      <c r="G6697" t="s">
        <v>2027</v>
      </c>
      <c r="H6697">
        <v>5</v>
      </c>
      <c r="I6697" s="12">
        <f>Table16[[#This Row],[price]]*Table16[[#This Row],[quantity]]</f>
        <v>4801.28</v>
      </c>
    </row>
    <row r="6698" spans="1:9" x14ac:dyDescent="0.3">
      <c r="A6698" t="s">
        <v>8712</v>
      </c>
      <c r="B6698" t="s">
        <v>1334</v>
      </c>
      <c r="C6698" t="s">
        <v>2017</v>
      </c>
      <c r="D6698">
        <v>1</v>
      </c>
      <c r="E6698" s="16">
        <v>1050</v>
      </c>
      <c r="F6698" s="1">
        <v>44597</v>
      </c>
      <c r="G6698" t="s">
        <v>2027</v>
      </c>
      <c r="H6698">
        <v>1</v>
      </c>
      <c r="I6698" s="12">
        <f>Table16[[#This Row],[price]]*Table16[[#This Row],[quantity]]</f>
        <v>1050</v>
      </c>
    </row>
    <row r="6699" spans="1:9" x14ac:dyDescent="0.3">
      <c r="A6699" t="s">
        <v>8714</v>
      </c>
      <c r="B6699" t="s">
        <v>1334</v>
      </c>
      <c r="C6699" t="s">
        <v>2001</v>
      </c>
      <c r="D6699">
        <v>1</v>
      </c>
      <c r="E6699" s="16">
        <v>300.08</v>
      </c>
      <c r="F6699" s="1">
        <v>44846</v>
      </c>
      <c r="G6699" t="s">
        <v>2004</v>
      </c>
      <c r="H6699">
        <v>4</v>
      </c>
      <c r="I6699" s="12">
        <f>Table16[[#This Row],[price]]*Table16[[#This Row],[quantity]]</f>
        <v>300.08</v>
      </c>
    </row>
    <row r="6700" spans="1:9" x14ac:dyDescent="0.3">
      <c r="A6700" t="s">
        <v>8718</v>
      </c>
      <c r="B6700" t="s">
        <v>1335</v>
      </c>
      <c r="C6700" t="s">
        <v>2017</v>
      </c>
      <c r="D6700">
        <v>4</v>
      </c>
      <c r="E6700" s="16">
        <v>4200</v>
      </c>
      <c r="F6700" s="1">
        <v>44247</v>
      </c>
      <c r="G6700" t="s">
        <v>2004</v>
      </c>
      <c r="H6700">
        <v>3</v>
      </c>
      <c r="I6700" s="12">
        <f>Table16[[#This Row],[price]]*Table16[[#This Row],[quantity]]</f>
        <v>16800</v>
      </c>
    </row>
    <row r="6701" spans="1:9" x14ac:dyDescent="0.3">
      <c r="A6701" t="s">
        <v>8719</v>
      </c>
      <c r="B6701" t="s">
        <v>1335</v>
      </c>
      <c r="C6701" t="s">
        <v>2011</v>
      </c>
      <c r="D6701">
        <v>1</v>
      </c>
      <c r="E6701" s="16">
        <v>40.659999999999997</v>
      </c>
      <c r="F6701" s="1">
        <v>44362</v>
      </c>
      <c r="G6701" t="s">
        <v>2020</v>
      </c>
      <c r="H6701">
        <v>2</v>
      </c>
      <c r="I6701" s="12">
        <f>Table16[[#This Row],[price]]*Table16[[#This Row],[quantity]]</f>
        <v>40.659999999999997</v>
      </c>
    </row>
    <row r="6702" spans="1:9" x14ac:dyDescent="0.3">
      <c r="A6702" t="s">
        <v>8717</v>
      </c>
      <c r="B6702" t="s">
        <v>1335</v>
      </c>
      <c r="C6702" t="s">
        <v>2001</v>
      </c>
      <c r="D6702">
        <v>3</v>
      </c>
      <c r="E6702" s="16">
        <v>900.24</v>
      </c>
      <c r="F6702" s="1">
        <v>44480</v>
      </c>
      <c r="G6702" t="s">
        <v>2002</v>
      </c>
      <c r="H6702">
        <v>2</v>
      </c>
      <c r="I6702" s="12">
        <f>Table16[[#This Row],[price]]*Table16[[#This Row],[quantity]]</f>
        <v>2700.7200000000003</v>
      </c>
    </row>
    <row r="6703" spans="1:9" x14ac:dyDescent="0.3">
      <c r="A6703" t="s">
        <v>8720</v>
      </c>
      <c r="B6703" t="s">
        <v>1335</v>
      </c>
      <c r="C6703" t="s">
        <v>2024</v>
      </c>
      <c r="D6703">
        <v>4</v>
      </c>
      <c r="E6703" s="16">
        <v>143.36000000000001</v>
      </c>
      <c r="F6703" s="1">
        <v>44536</v>
      </c>
      <c r="G6703" t="s">
        <v>2020</v>
      </c>
      <c r="H6703">
        <v>1</v>
      </c>
      <c r="I6703" s="12">
        <f>Table16[[#This Row],[price]]*Table16[[#This Row],[quantity]]</f>
        <v>573.44000000000005</v>
      </c>
    </row>
    <row r="6704" spans="1:9" x14ac:dyDescent="0.3">
      <c r="A6704" t="s">
        <v>8725</v>
      </c>
      <c r="B6704" t="s">
        <v>1335</v>
      </c>
      <c r="C6704" t="s">
        <v>2001</v>
      </c>
      <c r="D6704">
        <v>2</v>
      </c>
      <c r="E6704" s="16">
        <v>600.16</v>
      </c>
      <c r="F6704" s="1">
        <v>44652</v>
      </c>
      <c r="G6704" t="s">
        <v>2027</v>
      </c>
      <c r="H6704">
        <v>1</v>
      </c>
      <c r="I6704" s="12">
        <f>Table16[[#This Row],[price]]*Table16[[#This Row],[quantity]]</f>
        <v>1200.32</v>
      </c>
    </row>
    <row r="6705" spans="1:9" x14ac:dyDescent="0.3">
      <c r="A6705" t="s">
        <v>8722</v>
      </c>
      <c r="B6705" t="s">
        <v>1335</v>
      </c>
      <c r="C6705" t="s">
        <v>2001</v>
      </c>
      <c r="D6705">
        <v>2</v>
      </c>
      <c r="E6705" s="16">
        <v>600.16</v>
      </c>
      <c r="F6705" s="1">
        <v>44666</v>
      </c>
      <c r="G6705" t="s">
        <v>2064</v>
      </c>
      <c r="H6705">
        <v>3</v>
      </c>
      <c r="I6705" s="12">
        <f>Table16[[#This Row],[price]]*Table16[[#This Row],[quantity]]</f>
        <v>1200.32</v>
      </c>
    </row>
    <row r="6706" spans="1:9" x14ac:dyDescent="0.3">
      <c r="A6706" t="s">
        <v>8723</v>
      </c>
      <c r="B6706" t="s">
        <v>1335</v>
      </c>
      <c r="C6706" t="s">
        <v>2006</v>
      </c>
      <c r="D6706">
        <v>5</v>
      </c>
      <c r="E6706" s="16">
        <v>75.75</v>
      </c>
      <c r="F6706" s="1">
        <v>44727</v>
      </c>
      <c r="G6706" t="s">
        <v>2018</v>
      </c>
      <c r="H6706">
        <v>4</v>
      </c>
      <c r="I6706" s="12">
        <f>Table16[[#This Row],[price]]*Table16[[#This Row],[quantity]]</f>
        <v>378.75</v>
      </c>
    </row>
    <row r="6707" spans="1:9" x14ac:dyDescent="0.3">
      <c r="A6707" t="s">
        <v>8721</v>
      </c>
      <c r="B6707" t="s">
        <v>1335</v>
      </c>
      <c r="C6707" t="s">
        <v>2006</v>
      </c>
      <c r="D6707">
        <v>3</v>
      </c>
      <c r="E6707" s="16">
        <v>45.45</v>
      </c>
      <c r="F6707" s="1">
        <v>44742</v>
      </c>
      <c r="G6707" t="s">
        <v>2027</v>
      </c>
      <c r="H6707">
        <v>5</v>
      </c>
      <c r="I6707" s="12">
        <f>Table16[[#This Row],[price]]*Table16[[#This Row],[quantity]]</f>
        <v>136.35000000000002</v>
      </c>
    </row>
    <row r="6708" spans="1:9" x14ac:dyDescent="0.3">
      <c r="A6708" t="s">
        <v>8724</v>
      </c>
      <c r="B6708" t="s">
        <v>1335</v>
      </c>
      <c r="C6708" t="s">
        <v>2011</v>
      </c>
      <c r="D6708">
        <v>5</v>
      </c>
      <c r="E6708" s="16">
        <v>203.3</v>
      </c>
      <c r="F6708" s="1">
        <v>44932</v>
      </c>
      <c r="G6708" t="s">
        <v>2027</v>
      </c>
      <c r="H6708">
        <v>4</v>
      </c>
      <c r="I6708" s="12">
        <f>Table16[[#This Row],[price]]*Table16[[#This Row],[quantity]]</f>
        <v>1016.5</v>
      </c>
    </row>
    <row r="6709" spans="1:9" x14ac:dyDescent="0.3">
      <c r="A6709" t="s">
        <v>8716</v>
      </c>
      <c r="B6709" t="s">
        <v>1335</v>
      </c>
      <c r="C6709" t="s">
        <v>2017</v>
      </c>
      <c r="D6709">
        <v>1</v>
      </c>
      <c r="E6709" s="16">
        <v>1050</v>
      </c>
      <c r="F6709" s="1">
        <v>44935</v>
      </c>
      <c r="G6709" t="s">
        <v>2020</v>
      </c>
      <c r="H6709">
        <v>3</v>
      </c>
      <c r="I6709" s="12">
        <f>Table16[[#This Row],[price]]*Table16[[#This Row],[quantity]]</f>
        <v>1050</v>
      </c>
    </row>
    <row r="6710" spans="1:9" x14ac:dyDescent="0.3">
      <c r="A6710" t="s">
        <v>8726</v>
      </c>
      <c r="B6710" t="s">
        <v>1336</v>
      </c>
      <c r="C6710" t="s">
        <v>2008</v>
      </c>
      <c r="D6710">
        <v>1</v>
      </c>
      <c r="E6710" s="16">
        <v>5.23</v>
      </c>
      <c r="F6710" s="1">
        <v>44199</v>
      </c>
      <c r="G6710" t="s">
        <v>2002</v>
      </c>
      <c r="H6710">
        <v>3</v>
      </c>
      <c r="I6710" s="12">
        <f>Table16[[#This Row],[price]]*Table16[[#This Row],[quantity]]</f>
        <v>5.23</v>
      </c>
    </row>
    <row r="6711" spans="1:9" x14ac:dyDescent="0.3">
      <c r="A6711" t="s">
        <v>8729</v>
      </c>
      <c r="B6711" t="s">
        <v>1336</v>
      </c>
      <c r="C6711" t="s">
        <v>2001</v>
      </c>
      <c r="D6711">
        <v>2</v>
      </c>
      <c r="E6711" s="16">
        <v>600.16</v>
      </c>
      <c r="F6711" s="1">
        <v>44687</v>
      </c>
      <c r="G6711" t="s">
        <v>2002</v>
      </c>
      <c r="H6711">
        <v>1</v>
      </c>
      <c r="I6711" s="12">
        <f>Table16[[#This Row],[price]]*Table16[[#This Row],[quantity]]</f>
        <v>1200.32</v>
      </c>
    </row>
    <row r="6712" spans="1:9" x14ac:dyDescent="0.3">
      <c r="A6712" t="s">
        <v>8727</v>
      </c>
      <c r="B6712" t="s">
        <v>1336</v>
      </c>
      <c r="C6712" t="s">
        <v>2017</v>
      </c>
      <c r="D6712">
        <v>4</v>
      </c>
      <c r="E6712" s="16">
        <v>4200</v>
      </c>
      <c r="F6712" s="1">
        <v>44736</v>
      </c>
      <c r="G6712" t="s">
        <v>2020</v>
      </c>
      <c r="H6712">
        <v>4</v>
      </c>
      <c r="I6712" s="12">
        <f>Table16[[#This Row],[price]]*Table16[[#This Row],[quantity]]</f>
        <v>16800</v>
      </c>
    </row>
    <row r="6713" spans="1:9" x14ac:dyDescent="0.3">
      <c r="A6713" t="s">
        <v>8728</v>
      </c>
      <c r="B6713" t="s">
        <v>1336</v>
      </c>
      <c r="C6713" t="s">
        <v>2006</v>
      </c>
      <c r="D6713">
        <v>5</v>
      </c>
      <c r="E6713" s="16">
        <v>75.75</v>
      </c>
      <c r="F6713" s="1">
        <v>44804</v>
      </c>
      <c r="G6713" t="s">
        <v>2027</v>
      </c>
      <c r="H6713">
        <v>3</v>
      </c>
      <c r="I6713" s="12">
        <f>Table16[[#This Row],[price]]*Table16[[#This Row],[quantity]]</f>
        <v>378.75</v>
      </c>
    </row>
    <row r="6714" spans="1:9" x14ac:dyDescent="0.3">
      <c r="A6714" t="s">
        <v>8730</v>
      </c>
      <c r="B6714" t="s">
        <v>1337</v>
      </c>
      <c r="C6714" t="s">
        <v>2015</v>
      </c>
      <c r="D6714">
        <v>4</v>
      </c>
      <c r="E6714" s="16">
        <v>2400.6799999999998</v>
      </c>
      <c r="F6714" s="1">
        <v>44230</v>
      </c>
      <c r="G6714" t="s">
        <v>2012</v>
      </c>
      <c r="H6714">
        <v>2</v>
      </c>
      <c r="I6714" s="12">
        <f>Table16[[#This Row],[price]]*Table16[[#This Row],[quantity]]</f>
        <v>9602.7199999999993</v>
      </c>
    </row>
    <row r="6715" spans="1:9" x14ac:dyDescent="0.3">
      <c r="A6715" t="s">
        <v>8732</v>
      </c>
      <c r="B6715" t="s">
        <v>1337</v>
      </c>
      <c r="C6715" t="s">
        <v>2001</v>
      </c>
      <c r="D6715">
        <v>1</v>
      </c>
      <c r="E6715" s="16">
        <v>300.08</v>
      </c>
      <c r="F6715" s="1">
        <v>44326</v>
      </c>
      <c r="G6715" t="s">
        <v>2002</v>
      </c>
      <c r="H6715">
        <v>5</v>
      </c>
      <c r="I6715" s="12">
        <f>Table16[[#This Row],[price]]*Table16[[#This Row],[quantity]]</f>
        <v>300.08</v>
      </c>
    </row>
    <row r="6716" spans="1:9" x14ac:dyDescent="0.3">
      <c r="A6716" t="s">
        <v>8735</v>
      </c>
      <c r="B6716" t="s">
        <v>1337</v>
      </c>
      <c r="C6716" t="s">
        <v>2006</v>
      </c>
      <c r="D6716">
        <v>1</v>
      </c>
      <c r="E6716" s="16">
        <v>15.15</v>
      </c>
      <c r="F6716" s="1">
        <v>44689</v>
      </c>
      <c r="G6716" t="s">
        <v>2064</v>
      </c>
      <c r="H6716">
        <v>4</v>
      </c>
      <c r="I6716" s="12">
        <f>Table16[[#This Row],[price]]*Table16[[#This Row],[quantity]]</f>
        <v>15.15</v>
      </c>
    </row>
    <row r="6717" spans="1:9" x14ac:dyDescent="0.3">
      <c r="A6717" t="s">
        <v>8731</v>
      </c>
      <c r="B6717" t="s">
        <v>1337</v>
      </c>
      <c r="C6717" t="s">
        <v>2017</v>
      </c>
      <c r="D6717">
        <v>4</v>
      </c>
      <c r="E6717" s="16">
        <v>4200</v>
      </c>
      <c r="F6717" s="1">
        <v>44808</v>
      </c>
      <c r="G6717" t="s">
        <v>2020</v>
      </c>
      <c r="H6717">
        <v>5</v>
      </c>
      <c r="I6717" s="12">
        <f>Table16[[#This Row],[price]]*Table16[[#This Row],[quantity]]</f>
        <v>16800</v>
      </c>
    </row>
    <row r="6718" spans="1:9" x14ac:dyDescent="0.3">
      <c r="A6718" t="s">
        <v>8736</v>
      </c>
      <c r="B6718" t="s">
        <v>1337</v>
      </c>
      <c r="C6718" t="s">
        <v>2006</v>
      </c>
      <c r="D6718">
        <v>3</v>
      </c>
      <c r="E6718" s="16">
        <v>45.45</v>
      </c>
      <c r="F6718" s="1">
        <v>44829</v>
      </c>
      <c r="G6718" t="s">
        <v>2064</v>
      </c>
      <c r="H6718">
        <v>4</v>
      </c>
      <c r="I6718" s="12">
        <f>Table16[[#This Row],[price]]*Table16[[#This Row],[quantity]]</f>
        <v>136.35000000000002</v>
      </c>
    </row>
    <row r="6719" spans="1:9" x14ac:dyDescent="0.3">
      <c r="A6719" t="s">
        <v>8733</v>
      </c>
      <c r="B6719" t="s">
        <v>1337</v>
      </c>
      <c r="C6719" t="s">
        <v>2008</v>
      </c>
      <c r="D6719">
        <v>3</v>
      </c>
      <c r="E6719" s="16">
        <v>15.69</v>
      </c>
      <c r="F6719" s="1">
        <v>44846</v>
      </c>
      <c r="G6719" t="s">
        <v>2002</v>
      </c>
      <c r="H6719">
        <v>4</v>
      </c>
      <c r="I6719" s="12">
        <f>Table16[[#This Row],[price]]*Table16[[#This Row],[quantity]]</f>
        <v>47.07</v>
      </c>
    </row>
    <row r="6720" spans="1:9" x14ac:dyDescent="0.3">
      <c r="A6720" t="s">
        <v>8734</v>
      </c>
      <c r="B6720" t="s">
        <v>1337</v>
      </c>
      <c r="C6720" t="s">
        <v>2008</v>
      </c>
      <c r="D6720">
        <v>2</v>
      </c>
      <c r="E6720" s="16">
        <v>10.46</v>
      </c>
      <c r="F6720" s="1">
        <v>44971</v>
      </c>
      <c r="G6720" t="s">
        <v>2027</v>
      </c>
      <c r="H6720">
        <v>4</v>
      </c>
      <c r="I6720" s="12">
        <f>Table16[[#This Row],[price]]*Table16[[#This Row],[quantity]]</f>
        <v>20.92</v>
      </c>
    </row>
    <row r="6721" spans="1:9" x14ac:dyDescent="0.3">
      <c r="A6721" t="s">
        <v>8737</v>
      </c>
      <c r="B6721" t="s">
        <v>1338</v>
      </c>
      <c r="C6721" t="s">
        <v>2015</v>
      </c>
      <c r="D6721">
        <v>5</v>
      </c>
      <c r="E6721" s="16">
        <v>3000.85</v>
      </c>
      <c r="F6721" s="1">
        <v>44456</v>
      </c>
      <c r="G6721" t="s">
        <v>2064</v>
      </c>
      <c r="H6721">
        <v>4</v>
      </c>
      <c r="I6721" s="12">
        <f>Table16[[#This Row],[price]]*Table16[[#This Row],[quantity]]</f>
        <v>15004.25</v>
      </c>
    </row>
    <row r="6722" spans="1:9" x14ac:dyDescent="0.3">
      <c r="A6722" t="s">
        <v>8742</v>
      </c>
      <c r="B6722" t="s">
        <v>1338</v>
      </c>
      <c r="C6722" t="s">
        <v>2024</v>
      </c>
      <c r="D6722">
        <v>2</v>
      </c>
      <c r="E6722" s="16">
        <v>71.680000000000007</v>
      </c>
      <c r="F6722" s="1">
        <v>44479</v>
      </c>
      <c r="G6722" t="s">
        <v>2027</v>
      </c>
      <c r="H6722">
        <v>4</v>
      </c>
      <c r="I6722" s="12">
        <f>Table16[[#This Row],[price]]*Table16[[#This Row],[quantity]]</f>
        <v>143.36000000000001</v>
      </c>
    </row>
    <row r="6723" spans="1:9" x14ac:dyDescent="0.3">
      <c r="A6723" t="s">
        <v>8739</v>
      </c>
      <c r="B6723" t="s">
        <v>1338</v>
      </c>
      <c r="C6723" t="s">
        <v>2024</v>
      </c>
      <c r="D6723">
        <v>4</v>
      </c>
      <c r="E6723" s="16">
        <v>143.36000000000001</v>
      </c>
      <c r="F6723" s="1">
        <v>44483</v>
      </c>
      <c r="G6723" t="s">
        <v>2041</v>
      </c>
      <c r="H6723">
        <v>2</v>
      </c>
      <c r="I6723" s="12">
        <f>Table16[[#This Row],[price]]*Table16[[#This Row],[quantity]]</f>
        <v>573.44000000000005</v>
      </c>
    </row>
    <row r="6724" spans="1:9" x14ac:dyDescent="0.3">
      <c r="A6724" t="s">
        <v>8744</v>
      </c>
      <c r="B6724" t="s">
        <v>1338</v>
      </c>
      <c r="C6724" t="s">
        <v>2011</v>
      </c>
      <c r="D6724">
        <v>3</v>
      </c>
      <c r="E6724" s="16">
        <v>121.98</v>
      </c>
      <c r="F6724" s="1">
        <v>44493</v>
      </c>
      <c r="G6724" t="s">
        <v>2064</v>
      </c>
      <c r="H6724">
        <v>2</v>
      </c>
      <c r="I6724" s="12">
        <f>Table16[[#This Row],[price]]*Table16[[#This Row],[quantity]]</f>
        <v>365.94</v>
      </c>
    </row>
    <row r="6725" spans="1:9" x14ac:dyDescent="0.3">
      <c r="A6725" t="s">
        <v>8743</v>
      </c>
      <c r="B6725" t="s">
        <v>1338</v>
      </c>
      <c r="C6725" t="s">
        <v>2001</v>
      </c>
      <c r="D6725">
        <v>4</v>
      </c>
      <c r="E6725" s="16">
        <v>1200.32</v>
      </c>
      <c r="F6725" s="1">
        <v>44546</v>
      </c>
      <c r="G6725" t="s">
        <v>2027</v>
      </c>
      <c r="H6725">
        <v>1</v>
      </c>
      <c r="I6725" s="12">
        <f>Table16[[#This Row],[price]]*Table16[[#This Row],[quantity]]</f>
        <v>4801.28</v>
      </c>
    </row>
    <row r="6726" spans="1:9" x14ac:dyDescent="0.3">
      <c r="A6726" t="s">
        <v>8738</v>
      </c>
      <c r="B6726" t="s">
        <v>1338</v>
      </c>
      <c r="C6726" t="s">
        <v>2001</v>
      </c>
      <c r="D6726">
        <v>2</v>
      </c>
      <c r="E6726" s="16">
        <v>600.16</v>
      </c>
      <c r="F6726" s="1">
        <v>44717</v>
      </c>
      <c r="G6726" t="s">
        <v>2004</v>
      </c>
      <c r="H6726">
        <v>3</v>
      </c>
      <c r="I6726" s="12">
        <f>Table16[[#This Row],[price]]*Table16[[#This Row],[quantity]]</f>
        <v>1200.32</v>
      </c>
    </row>
    <row r="6727" spans="1:9" x14ac:dyDescent="0.3">
      <c r="A6727" t="s">
        <v>8747</v>
      </c>
      <c r="B6727" t="s">
        <v>1338</v>
      </c>
      <c r="C6727" t="s">
        <v>2024</v>
      </c>
      <c r="D6727">
        <v>4</v>
      </c>
      <c r="E6727" s="16">
        <v>143.36000000000001</v>
      </c>
      <c r="F6727" s="1">
        <v>44783</v>
      </c>
      <c r="G6727" t="s">
        <v>2009</v>
      </c>
      <c r="H6727">
        <v>2</v>
      </c>
      <c r="I6727" s="12">
        <f>Table16[[#This Row],[price]]*Table16[[#This Row],[quantity]]</f>
        <v>573.44000000000005</v>
      </c>
    </row>
    <row r="6728" spans="1:9" x14ac:dyDescent="0.3">
      <c r="A6728" t="s">
        <v>8745</v>
      </c>
      <c r="B6728" t="s">
        <v>1338</v>
      </c>
      <c r="C6728" t="s">
        <v>2001</v>
      </c>
      <c r="D6728">
        <v>5</v>
      </c>
      <c r="E6728" s="16">
        <v>1500.4</v>
      </c>
      <c r="F6728" s="1">
        <v>44842</v>
      </c>
      <c r="G6728" t="s">
        <v>2027</v>
      </c>
      <c r="H6728">
        <v>2</v>
      </c>
      <c r="I6728" s="12">
        <f>Table16[[#This Row],[price]]*Table16[[#This Row],[quantity]]</f>
        <v>7502</v>
      </c>
    </row>
    <row r="6729" spans="1:9" x14ac:dyDescent="0.3">
      <c r="A6729" t="s">
        <v>8740</v>
      </c>
      <c r="B6729" t="s">
        <v>1338</v>
      </c>
      <c r="C6729" t="s">
        <v>2001</v>
      </c>
      <c r="D6729">
        <v>3</v>
      </c>
      <c r="E6729" s="16">
        <v>900.24</v>
      </c>
      <c r="F6729" s="1">
        <v>44851</v>
      </c>
      <c r="G6729" t="s">
        <v>2058</v>
      </c>
      <c r="H6729">
        <v>3</v>
      </c>
      <c r="I6729" s="12">
        <f>Table16[[#This Row],[price]]*Table16[[#This Row],[quantity]]</f>
        <v>2700.7200000000003</v>
      </c>
    </row>
    <row r="6730" spans="1:9" x14ac:dyDescent="0.3">
      <c r="A6730" t="s">
        <v>8741</v>
      </c>
      <c r="B6730" t="s">
        <v>1338</v>
      </c>
      <c r="C6730" t="s">
        <v>2011</v>
      </c>
      <c r="D6730">
        <v>4</v>
      </c>
      <c r="E6730" s="16">
        <v>162.63999999999999</v>
      </c>
      <c r="F6730" s="1">
        <v>44899</v>
      </c>
      <c r="G6730" t="s">
        <v>2027</v>
      </c>
      <c r="H6730">
        <v>4</v>
      </c>
      <c r="I6730" s="12">
        <f>Table16[[#This Row],[price]]*Table16[[#This Row],[quantity]]</f>
        <v>650.55999999999995</v>
      </c>
    </row>
    <row r="6731" spans="1:9" x14ac:dyDescent="0.3">
      <c r="A6731" t="s">
        <v>8746</v>
      </c>
      <c r="B6731" t="s">
        <v>1338</v>
      </c>
      <c r="C6731" t="s">
        <v>2001</v>
      </c>
      <c r="D6731">
        <v>4</v>
      </c>
      <c r="E6731" s="16">
        <v>1200.32</v>
      </c>
      <c r="F6731" s="1">
        <v>44946</v>
      </c>
      <c r="G6731" t="s">
        <v>2004</v>
      </c>
      <c r="H6731">
        <v>4</v>
      </c>
      <c r="I6731" s="12">
        <f>Table16[[#This Row],[price]]*Table16[[#This Row],[quantity]]</f>
        <v>4801.28</v>
      </c>
    </row>
    <row r="6732" spans="1:9" x14ac:dyDescent="0.3">
      <c r="A6732" t="s">
        <v>8748</v>
      </c>
      <c r="B6732" t="s">
        <v>1339</v>
      </c>
      <c r="C6732" t="s">
        <v>2008</v>
      </c>
      <c r="D6732">
        <v>3</v>
      </c>
      <c r="E6732" s="16">
        <v>15.69</v>
      </c>
      <c r="F6732" s="1">
        <v>44839</v>
      </c>
      <c r="G6732" t="s">
        <v>2027</v>
      </c>
      <c r="H6732">
        <v>4</v>
      </c>
      <c r="I6732" s="12">
        <f>Table16[[#This Row],[price]]*Table16[[#This Row],[quantity]]</f>
        <v>47.07</v>
      </c>
    </row>
    <row r="6733" spans="1:9" x14ac:dyDescent="0.3">
      <c r="A6733" t="s">
        <v>8749</v>
      </c>
      <c r="B6733" t="s">
        <v>1339</v>
      </c>
      <c r="C6733" t="s">
        <v>2015</v>
      </c>
      <c r="D6733">
        <v>3</v>
      </c>
      <c r="E6733" s="16">
        <v>1800.51</v>
      </c>
      <c r="F6733" s="1">
        <v>44898</v>
      </c>
      <c r="G6733" t="s">
        <v>2002</v>
      </c>
      <c r="H6733">
        <v>4</v>
      </c>
      <c r="I6733" s="12">
        <f>Table16[[#This Row],[price]]*Table16[[#This Row],[quantity]]</f>
        <v>5401.53</v>
      </c>
    </row>
    <row r="6734" spans="1:9" x14ac:dyDescent="0.3">
      <c r="A6734" t="s">
        <v>8751</v>
      </c>
      <c r="B6734" t="s">
        <v>1340</v>
      </c>
      <c r="C6734" t="s">
        <v>2006</v>
      </c>
      <c r="D6734">
        <v>4</v>
      </c>
      <c r="E6734" s="16">
        <v>60.6</v>
      </c>
      <c r="F6734" s="1">
        <v>44371</v>
      </c>
      <c r="G6734" t="s">
        <v>2058</v>
      </c>
      <c r="H6734">
        <v>2</v>
      </c>
      <c r="I6734" s="12">
        <f>Table16[[#This Row],[price]]*Table16[[#This Row],[quantity]]</f>
        <v>242.4</v>
      </c>
    </row>
    <row r="6735" spans="1:9" x14ac:dyDescent="0.3">
      <c r="A6735" t="s">
        <v>8752</v>
      </c>
      <c r="B6735" t="s">
        <v>1340</v>
      </c>
      <c r="C6735" t="s">
        <v>2001</v>
      </c>
      <c r="D6735">
        <v>1</v>
      </c>
      <c r="E6735" s="16">
        <v>300.08</v>
      </c>
      <c r="F6735" s="1">
        <v>44616</v>
      </c>
      <c r="G6735" t="s">
        <v>2027</v>
      </c>
      <c r="H6735">
        <v>4</v>
      </c>
      <c r="I6735" s="12">
        <f>Table16[[#This Row],[price]]*Table16[[#This Row],[quantity]]</f>
        <v>300.08</v>
      </c>
    </row>
    <row r="6736" spans="1:9" x14ac:dyDescent="0.3">
      <c r="A6736" t="s">
        <v>8750</v>
      </c>
      <c r="B6736" t="s">
        <v>1340</v>
      </c>
      <c r="C6736" t="s">
        <v>2001</v>
      </c>
      <c r="D6736">
        <v>5</v>
      </c>
      <c r="E6736" s="16">
        <v>1500.4</v>
      </c>
      <c r="F6736" s="1">
        <v>44982</v>
      </c>
      <c r="G6736" t="s">
        <v>2009</v>
      </c>
      <c r="H6736">
        <v>2</v>
      </c>
      <c r="I6736" s="12">
        <f>Table16[[#This Row],[price]]*Table16[[#This Row],[quantity]]</f>
        <v>7502</v>
      </c>
    </row>
    <row r="6737" spans="1:9" x14ac:dyDescent="0.3">
      <c r="A6737" t="s">
        <v>8753</v>
      </c>
      <c r="B6737" t="s">
        <v>1341</v>
      </c>
      <c r="C6737" t="s">
        <v>2008</v>
      </c>
      <c r="D6737">
        <v>1</v>
      </c>
      <c r="E6737" s="16">
        <v>5.23</v>
      </c>
      <c r="F6737" s="1">
        <v>44242</v>
      </c>
      <c r="G6737" t="s">
        <v>2020</v>
      </c>
      <c r="H6737">
        <v>3</v>
      </c>
      <c r="I6737" s="12">
        <f>Table16[[#This Row],[price]]*Table16[[#This Row],[quantity]]</f>
        <v>5.23</v>
      </c>
    </row>
    <row r="6738" spans="1:9" x14ac:dyDescent="0.3">
      <c r="A6738" t="s">
        <v>8754</v>
      </c>
      <c r="B6738" t="s">
        <v>1341</v>
      </c>
      <c r="C6738" t="s">
        <v>2001</v>
      </c>
      <c r="D6738">
        <v>4</v>
      </c>
      <c r="E6738" s="16">
        <v>1200.32</v>
      </c>
      <c r="F6738" s="1">
        <v>44500</v>
      </c>
      <c r="G6738" t="s">
        <v>2020</v>
      </c>
      <c r="H6738">
        <v>2</v>
      </c>
      <c r="I6738" s="12">
        <f>Table16[[#This Row],[price]]*Table16[[#This Row],[quantity]]</f>
        <v>4801.28</v>
      </c>
    </row>
    <row r="6739" spans="1:9" x14ac:dyDescent="0.3">
      <c r="A6739" t="s">
        <v>8755</v>
      </c>
      <c r="B6739" t="s">
        <v>1341</v>
      </c>
      <c r="C6739" t="s">
        <v>2001</v>
      </c>
      <c r="D6739">
        <v>4</v>
      </c>
      <c r="E6739" s="16">
        <v>1200.32</v>
      </c>
      <c r="F6739" s="1">
        <v>44618</v>
      </c>
      <c r="G6739" t="s">
        <v>2009</v>
      </c>
      <c r="H6739">
        <v>4</v>
      </c>
      <c r="I6739" s="12">
        <f>Table16[[#This Row],[price]]*Table16[[#This Row],[quantity]]</f>
        <v>4801.28</v>
      </c>
    </row>
    <row r="6740" spans="1:9" x14ac:dyDescent="0.3">
      <c r="A6740" t="s">
        <v>8759</v>
      </c>
      <c r="B6740" t="s">
        <v>1342</v>
      </c>
      <c r="C6740" t="s">
        <v>2024</v>
      </c>
      <c r="D6740">
        <v>1</v>
      </c>
      <c r="E6740" s="16">
        <v>35.840000000000003</v>
      </c>
      <c r="F6740" s="1">
        <v>44243</v>
      </c>
      <c r="G6740" t="s">
        <v>2027</v>
      </c>
      <c r="H6740">
        <v>3</v>
      </c>
      <c r="I6740" s="12">
        <f>Table16[[#This Row],[price]]*Table16[[#This Row],[quantity]]</f>
        <v>35.840000000000003</v>
      </c>
    </row>
    <row r="6741" spans="1:9" x14ac:dyDescent="0.3">
      <c r="A6741" t="s">
        <v>8756</v>
      </c>
      <c r="B6741" t="s">
        <v>1342</v>
      </c>
      <c r="C6741" t="s">
        <v>2008</v>
      </c>
      <c r="D6741">
        <v>4</v>
      </c>
      <c r="E6741" s="16">
        <v>20.92</v>
      </c>
      <c r="F6741" s="1">
        <v>44545</v>
      </c>
      <c r="G6741" t="s">
        <v>2058</v>
      </c>
      <c r="H6741">
        <v>3</v>
      </c>
      <c r="I6741" s="12">
        <f>Table16[[#This Row],[price]]*Table16[[#This Row],[quantity]]</f>
        <v>83.68</v>
      </c>
    </row>
    <row r="6742" spans="1:9" x14ac:dyDescent="0.3">
      <c r="A6742" t="s">
        <v>8758</v>
      </c>
      <c r="B6742" t="s">
        <v>1342</v>
      </c>
      <c r="C6742" t="s">
        <v>2008</v>
      </c>
      <c r="D6742">
        <v>2</v>
      </c>
      <c r="E6742" s="16">
        <v>10.46</v>
      </c>
      <c r="F6742" s="1">
        <v>44575</v>
      </c>
      <c r="G6742" t="s">
        <v>2064</v>
      </c>
      <c r="H6742">
        <v>4</v>
      </c>
      <c r="I6742" s="12">
        <f>Table16[[#This Row],[price]]*Table16[[#This Row],[quantity]]</f>
        <v>20.92</v>
      </c>
    </row>
    <row r="6743" spans="1:9" x14ac:dyDescent="0.3">
      <c r="A6743" t="s">
        <v>8757</v>
      </c>
      <c r="B6743" t="s">
        <v>1342</v>
      </c>
      <c r="C6743" t="s">
        <v>2015</v>
      </c>
      <c r="D6743">
        <v>5</v>
      </c>
      <c r="E6743" s="16">
        <v>3000.85</v>
      </c>
      <c r="F6743" s="1">
        <v>44658</v>
      </c>
      <c r="G6743" t="s">
        <v>2027</v>
      </c>
      <c r="H6743">
        <v>1</v>
      </c>
      <c r="I6743" s="12">
        <f>Table16[[#This Row],[price]]*Table16[[#This Row],[quantity]]</f>
        <v>15004.25</v>
      </c>
    </row>
    <row r="6744" spans="1:9" x14ac:dyDescent="0.3">
      <c r="A6744" t="s">
        <v>8760</v>
      </c>
      <c r="B6744" t="s">
        <v>1342</v>
      </c>
      <c r="C6744" t="s">
        <v>2024</v>
      </c>
      <c r="D6744">
        <v>4</v>
      </c>
      <c r="E6744" s="16">
        <v>143.36000000000001</v>
      </c>
      <c r="F6744" s="1">
        <v>44721</v>
      </c>
      <c r="G6744" t="s">
        <v>2027</v>
      </c>
      <c r="H6744">
        <v>4</v>
      </c>
      <c r="I6744" s="12">
        <f>Table16[[#This Row],[price]]*Table16[[#This Row],[quantity]]</f>
        <v>573.44000000000005</v>
      </c>
    </row>
    <row r="6745" spans="1:9" x14ac:dyDescent="0.3">
      <c r="A6745" t="s">
        <v>8764</v>
      </c>
      <c r="B6745" t="s">
        <v>1343</v>
      </c>
      <c r="C6745" t="s">
        <v>2008</v>
      </c>
      <c r="D6745">
        <v>1</v>
      </c>
      <c r="E6745" s="16">
        <v>5.23</v>
      </c>
      <c r="F6745" s="1">
        <v>44390</v>
      </c>
      <c r="G6745" t="s">
        <v>2002</v>
      </c>
      <c r="H6745">
        <v>1</v>
      </c>
      <c r="I6745" s="12">
        <f>Table16[[#This Row],[price]]*Table16[[#This Row],[quantity]]</f>
        <v>5.23</v>
      </c>
    </row>
    <row r="6746" spans="1:9" x14ac:dyDescent="0.3">
      <c r="A6746" t="s">
        <v>8761</v>
      </c>
      <c r="B6746" t="s">
        <v>1343</v>
      </c>
      <c r="C6746" t="s">
        <v>2001</v>
      </c>
      <c r="D6746">
        <v>4</v>
      </c>
      <c r="E6746" s="16">
        <v>1200.32</v>
      </c>
      <c r="F6746" s="1">
        <v>44532</v>
      </c>
      <c r="G6746" t="s">
        <v>2004</v>
      </c>
      <c r="H6746">
        <v>1</v>
      </c>
      <c r="I6746" s="12">
        <f>Table16[[#This Row],[price]]*Table16[[#This Row],[quantity]]</f>
        <v>4801.28</v>
      </c>
    </row>
    <row r="6747" spans="1:9" x14ac:dyDescent="0.3">
      <c r="A6747" t="s">
        <v>8763</v>
      </c>
      <c r="B6747" t="s">
        <v>1343</v>
      </c>
      <c r="C6747" t="s">
        <v>2024</v>
      </c>
      <c r="D6747">
        <v>4</v>
      </c>
      <c r="E6747" s="16">
        <v>143.36000000000001</v>
      </c>
      <c r="F6747" s="1">
        <v>44699</v>
      </c>
      <c r="G6747" t="s">
        <v>2012</v>
      </c>
      <c r="H6747">
        <v>2</v>
      </c>
      <c r="I6747" s="12">
        <f>Table16[[#This Row],[price]]*Table16[[#This Row],[quantity]]</f>
        <v>573.44000000000005</v>
      </c>
    </row>
    <row r="6748" spans="1:9" x14ac:dyDescent="0.3">
      <c r="A6748" t="s">
        <v>8762</v>
      </c>
      <c r="B6748" t="s">
        <v>1343</v>
      </c>
      <c r="C6748" t="s">
        <v>2015</v>
      </c>
      <c r="D6748">
        <v>5</v>
      </c>
      <c r="E6748" s="16">
        <v>3000.85</v>
      </c>
      <c r="F6748" s="1">
        <v>44714</v>
      </c>
      <c r="G6748" t="s">
        <v>2020</v>
      </c>
      <c r="H6748">
        <v>3</v>
      </c>
      <c r="I6748" s="12">
        <f>Table16[[#This Row],[price]]*Table16[[#This Row],[quantity]]</f>
        <v>15004.25</v>
      </c>
    </row>
    <row r="6749" spans="1:9" x14ac:dyDescent="0.3">
      <c r="A6749" t="s">
        <v>8770</v>
      </c>
      <c r="B6749" t="s">
        <v>1344</v>
      </c>
      <c r="C6749" t="s">
        <v>2024</v>
      </c>
      <c r="D6749">
        <v>1</v>
      </c>
      <c r="E6749" s="16">
        <v>35.840000000000003</v>
      </c>
      <c r="F6749" s="1">
        <v>44237</v>
      </c>
      <c r="G6749" t="s">
        <v>2002</v>
      </c>
      <c r="H6749">
        <v>2</v>
      </c>
      <c r="I6749" s="12">
        <f>Table16[[#This Row],[price]]*Table16[[#This Row],[quantity]]</f>
        <v>35.840000000000003</v>
      </c>
    </row>
    <row r="6750" spans="1:9" x14ac:dyDescent="0.3">
      <c r="A6750" t="s">
        <v>8765</v>
      </c>
      <c r="B6750" t="s">
        <v>1344</v>
      </c>
      <c r="C6750" t="s">
        <v>2001</v>
      </c>
      <c r="D6750">
        <v>3</v>
      </c>
      <c r="E6750" s="16">
        <v>900.24</v>
      </c>
      <c r="F6750" s="1">
        <v>44434</v>
      </c>
      <c r="G6750" t="s">
        <v>2002</v>
      </c>
      <c r="H6750">
        <v>1</v>
      </c>
      <c r="I6750" s="12">
        <f>Table16[[#This Row],[price]]*Table16[[#This Row],[quantity]]</f>
        <v>2700.7200000000003</v>
      </c>
    </row>
    <row r="6751" spans="1:9" x14ac:dyDescent="0.3">
      <c r="A6751" t="s">
        <v>8766</v>
      </c>
      <c r="B6751" t="s">
        <v>1344</v>
      </c>
      <c r="C6751" t="s">
        <v>2001</v>
      </c>
      <c r="D6751">
        <v>5</v>
      </c>
      <c r="E6751" s="16">
        <v>1500.4</v>
      </c>
      <c r="F6751" s="1">
        <v>44596</v>
      </c>
      <c r="G6751" t="s">
        <v>2041</v>
      </c>
      <c r="H6751">
        <v>4</v>
      </c>
      <c r="I6751" s="12">
        <f>Table16[[#This Row],[price]]*Table16[[#This Row],[quantity]]</f>
        <v>7502</v>
      </c>
    </row>
    <row r="6752" spans="1:9" x14ac:dyDescent="0.3">
      <c r="A6752" t="s">
        <v>8767</v>
      </c>
      <c r="B6752" t="s">
        <v>1344</v>
      </c>
      <c r="C6752" t="s">
        <v>2006</v>
      </c>
      <c r="D6752">
        <v>4</v>
      </c>
      <c r="E6752" s="16">
        <v>60.6</v>
      </c>
      <c r="F6752" s="1">
        <v>44599</v>
      </c>
      <c r="G6752" t="s">
        <v>2002</v>
      </c>
      <c r="H6752">
        <v>5</v>
      </c>
      <c r="I6752" s="12">
        <f>Table16[[#This Row],[price]]*Table16[[#This Row],[quantity]]</f>
        <v>242.4</v>
      </c>
    </row>
    <row r="6753" spans="1:9" x14ac:dyDescent="0.3">
      <c r="A6753" t="s">
        <v>8769</v>
      </c>
      <c r="B6753" t="s">
        <v>1344</v>
      </c>
      <c r="C6753" t="s">
        <v>2011</v>
      </c>
      <c r="D6753">
        <v>1</v>
      </c>
      <c r="E6753" s="16">
        <v>40.659999999999997</v>
      </c>
      <c r="F6753" s="1">
        <v>44640</v>
      </c>
      <c r="G6753" t="s">
        <v>2004</v>
      </c>
      <c r="H6753">
        <v>3</v>
      </c>
      <c r="I6753" s="12">
        <f>Table16[[#This Row],[price]]*Table16[[#This Row],[quantity]]</f>
        <v>40.659999999999997</v>
      </c>
    </row>
    <row r="6754" spans="1:9" x14ac:dyDescent="0.3">
      <c r="A6754" t="s">
        <v>8768</v>
      </c>
      <c r="B6754" t="s">
        <v>1344</v>
      </c>
      <c r="C6754" t="s">
        <v>2017</v>
      </c>
      <c r="D6754">
        <v>3</v>
      </c>
      <c r="E6754" s="16">
        <v>3150</v>
      </c>
      <c r="F6754" s="1">
        <v>44977</v>
      </c>
      <c r="G6754" t="s">
        <v>2027</v>
      </c>
      <c r="H6754">
        <v>4</v>
      </c>
      <c r="I6754" s="12">
        <f>Table16[[#This Row],[price]]*Table16[[#This Row],[quantity]]</f>
        <v>9450</v>
      </c>
    </row>
    <row r="6755" spans="1:9" x14ac:dyDescent="0.3">
      <c r="A6755" t="s">
        <v>8771</v>
      </c>
      <c r="B6755" t="s">
        <v>1345</v>
      </c>
      <c r="C6755" t="s">
        <v>2001</v>
      </c>
      <c r="D6755">
        <v>5</v>
      </c>
      <c r="E6755" s="16">
        <v>1500.4</v>
      </c>
      <c r="F6755" s="1">
        <v>44394</v>
      </c>
      <c r="G6755" t="s">
        <v>2027</v>
      </c>
      <c r="H6755">
        <v>1</v>
      </c>
      <c r="I6755" s="12">
        <f>Table16[[#This Row],[price]]*Table16[[#This Row],[quantity]]</f>
        <v>7502</v>
      </c>
    </row>
    <row r="6756" spans="1:9" x14ac:dyDescent="0.3">
      <c r="A6756" t="s">
        <v>8775</v>
      </c>
      <c r="B6756" t="s">
        <v>1345</v>
      </c>
      <c r="C6756" t="s">
        <v>2008</v>
      </c>
      <c r="D6756">
        <v>4</v>
      </c>
      <c r="E6756" s="16">
        <v>20.92</v>
      </c>
      <c r="F6756" s="1">
        <v>44571</v>
      </c>
      <c r="G6756" t="s">
        <v>2004</v>
      </c>
      <c r="H6756">
        <v>5</v>
      </c>
      <c r="I6756" s="12">
        <f>Table16[[#This Row],[price]]*Table16[[#This Row],[quantity]]</f>
        <v>83.68</v>
      </c>
    </row>
    <row r="6757" spans="1:9" x14ac:dyDescent="0.3">
      <c r="A6757" t="s">
        <v>8777</v>
      </c>
      <c r="B6757" t="s">
        <v>1345</v>
      </c>
      <c r="C6757" t="s">
        <v>2057</v>
      </c>
      <c r="D6757">
        <v>1</v>
      </c>
      <c r="E6757" s="16">
        <v>11.73</v>
      </c>
      <c r="F6757" s="1">
        <v>44620</v>
      </c>
      <c r="G6757" t="s">
        <v>2020</v>
      </c>
      <c r="H6757">
        <v>4</v>
      </c>
      <c r="I6757" s="12">
        <f>Table16[[#This Row],[price]]*Table16[[#This Row],[quantity]]</f>
        <v>11.73</v>
      </c>
    </row>
    <row r="6758" spans="1:9" x14ac:dyDescent="0.3">
      <c r="A6758" t="s">
        <v>8772</v>
      </c>
      <c r="B6758" t="s">
        <v>1345</v>
      </c>
      <c r="C6758" t="s">
        <v>2001</v>
      </c>
      <c r="D6758">
        <v>1</v>
      </c>
      <c r="E6758" s="16">
        <v>300.08</v>
      </c>
      <c r="F6758" s="1">
        <v>44729</v>
      </c>
      <c r="G6758" t="s">
        <v>2004</v>
      </c>
      <c r="H6758">
        <v>2</v>
      </c>
      <c r="I6758" s="12">
        <f>Table16[[#This Row],[price]]*Table16[[#This Row],[quantity]]</f>
        <v>300.08</v>
      </c>
    </row>
    <row r="6759" spans="1:9" x14ac:dyDescent="0.3">
      <c r="A6759" t="s">
        <v>8774</v>
      </c>
      <c r="B6759" t="s">
        <v>1345</v>
      </c>
      <c r="C6759" t="s">
        <v>2024</v>
      </c>
      <c r="D6759">
        <v>2</v>
      </c>
      <c r="E6759" s="16">
        <v>71.680000000000007</v>
      </c>
      <c r="F6759" s="1">
        <v>44779</v>
      </c>
      <c r="G6759" t="s">
        <v>2027</v>
      </c>
      <c r="H6759">
        <v>4</v>
      </c>
      <c r="I6759" s="12">
        <f>Table16[[#This Row],[price]]*Table16[[#This Row],[quantity]]</f>
        <v>143.36000000000001</v>
      </c>
    </row>
    <row r="6760" spans="1:9" x14ac:dyDescent="0.3">
      <c r="A6760" t="s">
        <v>8773</v>
      </c>
      <c r="B6760" t="s">
        <v>1345</v>
      </c>
      <c r="C6760" t="s">
        <v>2024</v>
      </c>
      <c r="D6760">
        <v>4</v>
      </c>
      <c r="E6760" s="16">
        <v>143.36000000000001</v>
      </c>
      <c r="F6760" s="1">
        <v>44788</v>
      </c>
      <c r="G6760" t="s">
        <v>2004</v>
      </c>
      <c r="H6760">
        <v>1</v>
      </c>
      <c r="I6760" s="12">
        <f>Table16[[#This Row],[price]]*Table16[[#This Row],[quantity]]</f>
        <v>573.44000000000005</v>
      </c>
    </row>
    <row r="6761" spans="1:9" x14ac:dyDescent="0.3">
      <c r="A6761" t="s">
        <v>8776</v>
      </c>
      <c r="B6761" t="s">
        <v>1345</v>
      </c>
      <c r="C6761" t="s">
        <v>2015</v>
      </c>
      <c r="D6761">
        <v>5</v>
      </c>
      <c r="E6761" s="16">
        <v>3000.85</v>
      </c>
      <c r="F6761" s="1">
        <v>44814</v>
      </c>
      <c r="G6761" t="s">
        <v>2041</v>
      </c>
      <c r="H6761">
        <v>2</v>
      </c>
      <c r="I6761" s="12">
        <f>Table16[[#This Row],[price]]*Table16[[#This Row],[quantity]]</f>
        <v>15004.25</v>
      </c>
    </row>
    <row r="6762" spans="1:9" x14ac:dyDescent="0.3">
      <c r="A6762" t="s">
        <v>8781</v>
      </c>
      <c r="B6762" t="s">
        <v>1346</v>
      </c>
      <c r="C6762" t="s">
        <v>2001</v>
      </c>
      <c r="D6762">
        <v>5</v>
      </c>
      <c r="E6762" s="16">
        <v>1500.4</v>
      </c>
      <c r="F6762" s="1">
        <v>44260</v>
      </c>
      <c r="G6762" t="s">
        <v>2009</v>
      </c>
      <c r="H6762">
        <v>1</v>
      </c>
      <c r="I6762" s="12">
        <f>Table16[[#This Row],[price]]*Table16[[#This Row],[quantity]]</f>
        <v>7502</v>
      </c>
    </row>
    <row r="6763" spans="1:9" x14ac:dyDescent="0.3">
      <c r="A6763" t="s">
        <v>8779</v>
      </c>
      <c r="B6763" t="s">
        <v>1346</v>
      </c>
      <c r="C6763" t="s">
        <v>2008</v>
      </c>
      <c r="D6763">
        <v>1</v>
      </c>
      <c r="E6763" s="16">
        <v>5.23</v>
      </c>
      <c r="F6763" s="1">
        <v>44462</v>
      </c>
      <c r="G6763" t="s">
        <v>2002</v>
      </c>
      <c r="H6763">
        <v>3</v>
      </c>
      <c r="I6763" s="12">
        <f>Table16[[#This Row],[price]]*Table16[[#This Row],[quantity]]</f>
        <v>5.23</v>
      </c>
    </row>
    <row r="6764" spans="1:9" x14ac:dyDescent="0.3">
      <c r="A6764" t="s">
        <v>8780</v>
      </c>
      <c r="B6764" t="s">
        <v>1346</v>
      </c>
      <c r="C6764" t="s">
        <v>2001</v>
      </c>
      <c r="D6764">
        <v>2</v>
      </c>
      <c r="E6764" s="16">
        <v>600.16</v>
      </c>
      <c r="F6764" s="1">
        <v>44536</v>
      </c>
      <c r="G6764" t="s">
        <v>2012</v>
      </c>
      <c r="H6764">
        <v>5</v>
      </c>
      <c r="I6764" s="12">
        <f>Table16[[#This Row],[price]]*Table16[[#This Row],[quantity]]</f>
        <v>1200.32</v>
      </c>
    </row>
    <row r="6765" spans="1:9" x14ac:dyDescent="0.3">
      <c r="A6765" t="s">
        <v>8788</v>
      </c>
      <c r="B6765" t="s">
        <v>1346</v>
      </c>
      <c r="C6765" t="s">
        <v>2024</v>
      </c>
      <c r="D6765">
        <v>5</v>
      </c>
      <c r="E6765" s="16">
        <v>179.2</v>
      </c>
      <c r="F6765" s="1">
        <v>44552</v>
      </c>
      <c r="G6765" t="s">
        <v>2012</v>
      </c>
      <c r="H6765">
        <v>1</v>
      </c>
      <c r="I6765" s="12">
        <f>Table16[[#This Row],[price]]*Table16[[#This Row],[quantity]]</f>
        <v>896</v>
      </c>
    </row>
    <row r="6766" spans="1:9" x14ac:dyDescent="0.3">
      <c r="A6766" t="s">
        <v>8782</v>
      </c>
      <c r="B6766" t="s">
        <v>1346</v>
      </c>
      <c r="C6766" t="s">
        <v>2001</v>
      </c>
      <c r="D6766">
        <v>4</v>
      </c>
      <c r="E6766" s="16">
        <v>1200.32</v>
      </c>
      <c r="F6766" s="1">
        <v>44613</v>
      </c>
      <c r="G6766" t="s">
        <v>2004</v>
      </c>
      <c r="H6766">
        <v>1</v>
      </c>
      <c r="I6766" s="12">
        <f>Table16[[#This Row],[price]]*Table16[[#This Row],[quantity]]</f>
        <v>4801.28</v>
      </c>
    </row>
    <row r="6767" spans="1:9" x14ac:dyDescent="0.3">
      <c r="A6767" t="s">
        <v>8784</v>
      </c>
      <c r="B6767" t="s">
        <v>1346</v>
      </c>
      <c r="C6767" t="s">
        <v>2011</v>
      </c>
      <c r="D6767">
        <v>5</v>
      </c>
      <c r="E6767" s="16">
        <v>203.3</v>
      </c>
      <c r="F6767" s="1">
        <v>44624</v>
      </c>
      <c r="G6767" t="s">
        <v>2064</v>
      </c>
      <c r="H6767">
        <v>3</v>
      </c>
      <c r="I6767" s="12">
        <f>Table16[[#This Row],[price]]*Table16[[#This Row],[quantity]]</f>
        <v>1016.5</v>
      </c>
    </row>
    <row r="6768" spans="1:9" x14ac:dyDescent="0.3">
      <c r="A6768" t="s">
        <v>8785</v>
      </c>
      <c r="B6768" t="s">
        <v>1346</v>
      </c>
      <c r="C6768" t="s">
        <v>2001</v>
      </c>
      <c r="D6768">
        <v>2</v>
      </c>
      <c r="E6768" s="16">
        <v>600.16</v>
      </c>
      <c r="F6768" s="1">
        <v>44672</v>
      </c>
      <c r="G6768" t="s">
        <v>2004</v>
      </c>
      <c r="H6768">
        <v>3</v>
      </c>
      <c r="I6768" s="12">
        <f>Table16[[#This Row],[price]]*Table16[[#This Row],[quantity]]</f>
        <v>1200.32</v>
      </c>
    </row>
    <row r="6769" spans="1:9" x14ac:dyDescent="0.3">
      <c r="A6769" t="s">
        <v>8778</v>
      </c>
      <c r="B6769" t="s">
        <v>1346</v>
      </c>
      <c r="C6769" t="s">
        <v>2024</v>
      </c>
      <c r="D6769">
        <v>2</v>
      </c>
      <c r="E6769" s="16">
        <v>71.680000000000007</v>
      </c>
      <c r="F6769" s="1">
        <v>44787</v>
      </c>
      <c r="G6769" t="s">
        <v>2020</v>
      </c>
      <c r="H6769">
        <v>4</v>
      </c>
      <c r="I6769" s="12">
        <f>Table16[[#This Row],[price]]*Table16[[#This Row],[quantity]]</f>
        <v>143.36000000000001</v>
      </c>
    </row>
    <row r="6770" spans="1:9" x14ac:dyDescent="0.3">
      <c r="A6770" t="s">
        <v>8786</v>
      </c>
      <c r="B6770" t="s">
        <v>1346</v>
      </c>
      <c r="C6770" t="s">
        <v>2011</v>
      </c>
      <c r="D6770">
        <v>2</v>
      </c>
      <c r="E6770" s="16">
        <v>81.319999999999993</v>
      </c>
      <c r="F6770" s="1">
        <v>44866</v>
      </c>
      <c r="G6770" t="s">
        <v>2058</v>
      </c>
      <c r="H6770">
        <v>2</v>
      </c>
      <c r="I6770" s="12">
        <f>Table16[[#This Row],[price]]*Table16[[#This Row],[quantity]]</f>
        <v>162.63999999999999</v>
      </c>
    </row>
    <row r="6771" spans="1:9" x14ac:dyDescent="0.3">
      <c r="A6771" t="s">
        <v>8783</v>
      </c>
      <c r="B6771" t="s">
        <v>1346</v>
      </c>
      <c r="C6771" t="s">
        <v>2011</v>
      </c>
      <c r="D6771">
        <v>5</v>
      </c>
      <c r="E6771" s="16">
        <v>203.3</v>
      </c>
      <c r="F6771" s="1">
        <v>44921</v>
      </c>
      <c r="G6771" t="s">
        <v>2020</v>
      </c>
      <c r="H6771">
        <v>5</v>
      </c>
      <c r="I6771" s="12">
        <f>Table16[[#This Row],[price]]*Table16[[#This Row],[quantity]]</f>
        <v>1016.5</v>
      </c>
    </row>
    <row r="6772" spans="1:9" x14ac:dyDescent="0.3">
      <c r="A6772" t="s">
        <v>8787</v>
      </c>
      <c r="B6772" t="s">
        <v>1346</v>
      </c>
      <c r="C6772" t="s">
        <v>2008</v>
      </c>
      <c r="D6772">
        <v>5</v>
      </c>
      <c r="E6772" s="16">
        <v>26.15</v>
      </c>
      <c r="F6772" s="1">
        <v>44960</v>
      </c>
      <c r="G6772" t="s">
        <v>2027</v>
      </c>
      <c r="H6772">
        <v>1</v>
      </c>
      <c r="I6772" s="12">
        <f>Table16[[#This Row],[price]]*Table16[[#This Row],[quantity]]</f>
        <v>130.75</v>
      </c>
    </row>
    <row r="6773" spans="1:9" x14ac:dyDescent="0.3">
      <c r="A6773" t="s">
        <v>8792</v>
      </c>
      <c r="B6773" t="s">
        <v>1347</v>
      </c>
      <c r="C6773" t="s">
        <v>2001</v>
      </c>
      <c r="D6773">
        <v>5</v>
      </c>
      <c r="E6773" s="16">
        <v>1500.4</v>
      </c>
      <c r="F6773" s="1">
        <v>44435</v>
      </c>
      <c r="G6773" t="s">
        <v>2027</v>
      </c>
      <c r="H6773">
        <v>3</v>
      </c>
      <c r="I6773" s="12">
        <f>Table16[[#This Row],[price]]*Table16[[#This Row],[quantity]]</f>
        <v>7502</v>
      </c>
    </row>
    <row r="6774" spans="1:9" x14ac:dyDescent="0.3">
      <c r="A6774" t="s">
        <v>8790</v>
      </c>
      <c r="B6774" t="s">
        <v>1347</v>
      </c>
      <c r="C6774" t="s">
        <v>2024</v>
      </c>
      <c r="D6774">
        <v>2</v>
      </c>
      <c r="E6774" s="16">
        <v>71.680000000000007</v>
      </c>
      <c r="F6774" s="1">
        <v>44438</v>
      </c>
      <c r="G6774" t="s">
        <v>2027</v>
      </c>
      <c r="H6774">
        <v>1</v>
      </c>
      <c r="I6774" s="12">
        <f>Table16[[#This Row],[price]]*Table16[[#This Row],[quantity]]</f>
        <v>143.36000000000001</v>
      </c>
    </row>
    <row r="6775" spans="1:9" x14ac:dyDescent="0.3">
      <c r="A6775" t="s">
        <v>8791</v>
      </c>
      <c r="B6775" t="s">
        <v>1347</v>
      </c>
      <c r="C6775" t="s">
        <v>2011</v>
      </c>
      <c r="D6775">
        <v>5</v>
      </c>
      <c r="E6775" s="16">
        <v>203.3</v>
      </c>
      <c r="F6775" s="1">
        <v>44481</v>
      </c>
      <c r="G6775" t="s">
        <v>2041</v>
      </c>
      <c r="H6775">
        <v>3</v>
      </c>
      <c r="I6775" s="12">
        <f>Table16[[#This Row],[price]]*Table16[[#This Row],[quantity]]</f>
        <v>1016.5</v>
      </c>
    </row>
    <row r="6776" spans="1:9" x14ac:dyDescent="0.3">
      <c r="A6776" t="s">
        <v>8794</v>
      </c>
      <c r="B6776" t="s">
        <v>1347</v>
      </c>
      <c r="C6776" t="s">
        <v>2017</v>
      </c>
      <c r="D6776">
        <v>5</v>
      </c>
      <c r="E6776" s="16">
        <v>5250</v>
      </c>
      <c r="F6776" s="1">
        <v>44495</v>
      </c>
      <c r="G6776" t="s">
        <v>2027</v>
      </c>
      <c r="H6776">
        <v>4</v>
      </c>
      <c r="I6776" s="12">
        <f>Table16[[#This Row],[price]]*Table16[[#This Row],[quantity]]</f>
        <v>26250</v>
      </c>
    </row>
    <row r="6777" spans="1:9" x14ac:dyDescent="0.3">
      <c r="A6777" t="s">
        <v>8793</v>
      </c>
      <c r="B6777" t="s">
        <v>1347</v>
      </c>
      <c r="C6777" t="s">
        <v>2008</v>
      </c>
      <c r="D6777">
        <v>1</v>
      </c>
      <c r="E6777" s="16">
        <v>5.23</v>
      </c>
      <c r="F6777" s="1">
        <v>44786</v>
      </c>
      <c r="G6777" t="s">
        <v>2020</v>
      </c>
      <c r="H6777">
        <v>3</v>
      </c>
      <c r="I6777" s="12">
        <f>Table16[[#This Row],[price]]*Table16[[#This Row],[quantity]]</f>
        <v>5.23</v>
      </c>
    </row>
    <row r="6778" spans="1:9" x14ac:dyDescent="0.3">
      <c r="A6778" t="s">
        <v>8789</v>
      </c>
      <c r="B6778" t="s">
        <v>1347</v>
      </c>
      <c r="C6778" t="s">
        <v>2015</v>
      </c>
      <c r="D6778">
        <v>4</v>
      </c>
      <c r="E6778" s="16">
        <v>2400.6799999999998</v>
      </c>
      <c r="F6778" s="1">
        <v>44923</v>
      </c>
      <c r="G6778" t="s">
        <v>2009</v>
      </c>
      <c r="H6778">
        <v>1</v>
      </c>
      <c r="I6778" s="12">
        <f>Table16[[#This Row],[price]]*Table16[[#This Row],[quantity]]</f>
        <v>9602.7199999999993</v>
      </c>
    </row>
    <row r="6779" spans="1:9" x14ac:dyDescent="0.3">
      <c r="A6779" t="s">
        <v>8795</v>
      </c>
      <c r="B6779" t="s">
        <v>1348</v>
      </c>
      <c r="C6779" t="s">
        <v>2011</v>
      </c>
      <c r="D6779">
        <v>5</v>
      </c>
      <c r="E6779" s="16">
        <v>203.3</v>
      </c>
      <c r="F6779" s="1">
        <v>44340</v>
      </c>
      <c r="G6779" t="s">
        <v>2009</v>
      </c>
      <c r="H6779">
        <v>2</v>
      </c>
      <c r="I6779" s="12">
        <f>Table16[[#This Row],[price]]*Table16[[#This Row],[quantity]]</f>
        <v>1016.5</v>
      </c>
    </row>
    <row r="6780" spans="1:9" x14ac:dyDescent="0.3">
      <c r="A6780" t="s">
        <v>8797</v>
      </c>
      <c r="B6780" t="s">
        <v>1348</v>
      </c>
      <c r="C6780" t="s">
        <v>2001</v>
      </c>
      <c r="D6780">
        <v>4</v>
      </c>
      <c r="E6780" s="16">
        <v>1200.32</v>
      </c>
      <c r="F6780" s="1">
        <v>44506</v>
      </c>
      <c r="G6780" t="s">
        <v>2064</v>
      </c>
      <c r="H6780">
        <v>4</v>
      </c>
      <c r="I6780" s="12">
        <f>Table16[[#This Row],[price]]*Table16[[#This Row],[quantity]]</f>
        <v>4801.28</v>
      </c>
    </row>
    <row r="6781" spans="1:9" x14ac:dyDescent="0.3">
      <c r="A6781" t="s">
        <v>8796</v>
      </c>
      <c r="B6781" t="s">
        <v>1348</v>
      </c>
      <c r="C6781" t="s">
        <v>2001</v>
      </c>
      <c r="D6781">
        <v>4</v>
      </c>
      <c r="E6781" s="16">
        <v>1200.32</v>
      </c>
      <c r="F6781" s="1">
        <v>44707</v>
      </c>
      <c r="G6781" t="s">
        <v>2064</v>
      </c>
      <c r="H6781">
        <v>1</v>
      </c>
      <c r="I6781" s="12">
        <f>Table16[[#This Row],[price]]*Table16[[#This Row],[quantity]]</f>
        <v>4801.28</v>
      </c>
    </row>
    <row r="6782" spans="1:9" x14ac:dyDescent="0.3">
      <c r="A6782" t="s">
        <v>8798</v>
      </c>
      <c r="B6782" t="s">
        <v>1348</v>
      </c>
      <c r="C6782" t="s">
        <v>2001</v>
      </c>
      <c r="D6782">
        <v>3</v>
      </c>
      <c r="E6782" s="16">
        <v>900.24</v>
      </c>
      <c r="F6782" s="1">
        <v>44861</v>
      </c>
      <c r="G6782" t="s">
        <v>2020</v>
      </c>
      <c r="H6782">
        <v>5</v>
      </c>
      <c r="I6782" s="12">
        <f>Table16[[#This Row],[price]]*Table16[[#This Row],[quantity]]</f>
        <v>2700.7200000000003</v>
      </c>
    </row>
    <row r="6783" spans="1:9" x14ac:dyDescent="0.3">
      <c r="A6783" t="s">
        <v>8802</v>
      </c>
      <c r="B6783" t="s">
        <v>1349</v>
      </c>
      <c r="C6783" t="s">
        <v>2006</v>
      </c>
      <c r="D6783">
        <v>3</v>
      </c>
      <c r="E6783" s="16">
        <v>45.45</v>
      </c>
      <c r="F6783" s="1">
        <v>44598</v>
      </c>
      <c r="G6783" t="s">
        <v>2002</v>
      </c>
      <c r="H6783">
        <v>4</v>
      </c>
      <c r="I6783" s="12">
        <f>Table16[[#This Row],[price]]*Table16[[#This Row],[quantity]]</f>
        <v>136.35000000000002</v>
      </c>
    </row>
    <row r="6784" spans="1:9" x14ac:dyDescent="0.3">
      <c r="A6784" t="s">
        <v>8801</v>
      </c>
      <c r="B6784" t="s">
        <v>1349</v>
      </c>
      <c r="C6784" t="s">
        <v>2008</v>
      </c>
      <c r="D6784">
        <v>1</v>
      </c>
      <c r="E6784" s="16">
        <v>5.23</v>
      </c>
      <c r="F6784" s="1">
        <v>44687</v>
      </c>
      <c r="G6784" t="s">
        <v>2020</v>
      </c>
      <c r="H6784">
        <v>1</v>
      </c>
      <c r="I6784" s="12">
        <f>Table16[[#This Row],[price]]*Table16[[#This Row],[quantity]]</f>
        <v>5.23</v>
      </c>
    </row>
    <row r="6785" spans="1:9" x14ac:dyDescent="0.3">
      <c r="A6785" t="s">
        <v>8800</v>
      </c>
      <c r="B6785" t="s">
        <v>1349</v>
      </c>
      <c r="C6785" t="s">
        <v>2017</v>
      </c>
      <c r="D6785">
        <v>3</v>
      </c>
      <c r="E6785" s="16">
        <v>3150</v>
      </c>
      <c r="F6785" s="1">
        <v>44737</v>
      </c>
      <c r="G6785" t="s">
        <v>2027</v>
      </c>
      <c r="H6785">
        <v>1</v>
      </c>
      <c r="I6785" s="12">
        <f>Table16[[#This Row],[price]]*Table16[[#This Row],[quantity]]</f>
        <v>9450</v>
      </c>
    </row>
    <row r="6786" spans="1:9" x14ac:dyDescent="0.3">
      <c r="A6786" t="s">
        <v>8799</v>
      </c>
      <c r="B6786" t="s">
        <v>1349</v>
      </c>
      <c r="C6786" t="s">
        <v>2024</v>
      </c>
      <c r="D6786">
        <v>1</v>
      </c>
      <c r="E6786" s="16">
        <v>35.840000000000003</v>
      </c>
      <c r="F6786" s="1">
        <v>44899</v>
      </c>
      <c r="G6786" t="s">
        <v>2004</v>
      </c>
      <c r="H6786">
        <v>1</v>
      </c>
      <c r="I6786" s="12">
        <f>Table16[[#This Row],[price]]*Table16[[#This Row],[quantity]]</f>
        <v>35.840000000000003</v>
      </c>
    </row>
    <row r="6787" spans="1:9" x14ac:dyDescent="0.3">
      <c r="A6787" t="s">
        <v>8807</v>
      </c>
      <c r="B6787" t="s">
        <v>1350</v>
      </c>
      <c r="C6787" t="s">
        <v>2008</v>
      </c>
      <c r="D6787">
        <v>4</v>
      </c>
      <c r="E6787" s="16">
        <v>20.92</v>
      </c>
      <c r="F6787" s="1">
        <v>44276</v>
      </c>
      <c r="G6787" t="s">
        <v>2020</v>
      </c>
      <c r="H6787">
        <v>1</v>
      </c>
      <c r="I6787" s="12">
        <f>Table16[[#This Row],[price]]*Table16[[#This Row],[quantity]]</f>
        <v>83.68</v>
      </c>
    </row>
    <row r="6788" spans="1:9" x14ac:dyDescent="0.3">
      <c r="A6788" t="s">
        <v>8805</v>
      </c>
      <c r="B6788" t="s">
        <v>1350</v>
      </c>
      <c r="C6788" t="s">
        <v>2015</v>
      </c>
      <c r="D6788">
        <v>1</v>
      </c>
      <c r="E6788" s="16">
        <v>600.16999999999996</v>
      </c>
      <c r="F6788" s="1">
        <v>44467</v>
      </c>
      <c r="G6788" t="s">
        <v>2002</v>
      </c>
      <c r="H6788">
        <v>3</v>
      </c>
      <c r="I6788" s="12">
        <f>Table16[[#This Row],[price]]*Table16[[#This Row],[quantity]]</f>
        <v>600.16999999999996</v>
      </c>
    </row>
    <row r="6789" spans="1:9" x14ac:dyDescent="0.3">
      <c r="A6789" t="s">
        <v>8806</v>
      </c>
      <c r="B6789" t="s">
        <v>1350</v>
      </c>
      <c r="C6789" t="s">
        <v>2008</v>
      </c>
      <c r="D6789">
        <v>4</v>
      </c>
      <c r="E6789" s="16">
        <v>20.92</v>
      </c>
      <c r="F6789" s="1">
        <v>44605</v>
      </c>
      <c r="G6789" t="s">
        <v>2027</v>
      </c>
      <c r="H6789">
        <v>3</v>
      </c>
      <c r="I6789" s="12">
        <f>Table16[[#This Row],[price]]*Table16[[#This Row],[quantity]]</f>
        <v>83.68</v>
      </c>
    </row>
    <row r="6790" spans="1:9" x14ac:dyDescent="0.3">
      <c r="A6790" t="s">
        <v>8803</v>
      </c>
      <c r="B6790" t="s">
        <v>1350</v>
      </c>
      <c r="C6790" t="s">
        <v>2008</v>
      </c>
      <c r="D6790">
        <v>1</v>
      </c>
      <c r="E6790" s="16">
        <v>5.23</v>
      </c>
      <c r="F6790" s="1">
        <v>44610</v>
      </c>
      <c r="G6790" t="s">
        <v>2027</v>
      </c>
      <c r="H6790">
        <v>2</v>
      </c>
      <c r="I6790" s="12">
        <f>Table16[[#This Row],[price]]*Table16[[#This Row],[quantity]]</f>
        <v>5.23</v>
      </c>
    </row>
    <row r="6791" spans="1:9" x14ac:dyDescent="0.3">
      <c r="A6791" t="s">
        <v>8804</v>
      </c>
      <c r="B6791" t="s">
        <v>1350</v>
      </c>
      <c r="C6791" t="s">
        <v>2011</v>
      </c>
      <c r="D6791">
        <v>5</v>
      </c>
      <c r="E6791" s="16">
        <v>203.3</v>
      </c>
      <c r="F6791" s="1">
        <v>44774</v>
      </c>
      <c r="G6791" t="s">
        <v>2004</v>
      </c>
      <c r="H6791">
        <v>4</v>
      </c>
      <c r="I6791" s="12">
        <f>Table16[[#This Row],[price]]*Table16[[#This Row],[quantity]]</f>
        <v>1016.5</v>
      </c>
    </row>
    <row r="6792" spans="1:9" x14ac:dyDescent="0.3">
      <c r="A6792" t="s">
        <v>8808</v>
      </c>
      <c r="B6792" t="s">
        <v>1351</v>
      </c>
      <c r="C6792" t="s">
        <v>2001</v>
      </c>
      <c r="D6792">
        <v>2</v>
      </c>
      <c r="E6792" s="16">
        <v>600.16</v>
      </c>
      <c r="F6792" s="1">
        <v>44546</v>
      </c>
      <c r="G6792" t="s">
        <v>2027</v>
      </c>
      <c r="H6792">
        <v>5</v>
      </c>
      <c r="I6792" s="12">
        <f>Table16[[#This Row],[price]]*Table16[[#This Row],[quantity]]</f>
        <v>1200.32</v>
      </c>
    </row>
    <row r="6793" spans="1:9" x14ac:dyDescent="0.3">
      <c r="A6793" t="s">
        <v>8810</v>
      </c>
      <c r="B6793" t="s">
        <v>1351</v>
      </c>
      <c r="C6793" t="s">
        <v>2011</v>
      </c>
      <c r="D6793">
        <v>3</v>
      </c>
      <c r="E6793" s="16">
        <v>121.98</v>
      </c>
      <c r="F6793" s="1">
        <v>44692</v>
      </c>
      <c r="G6793" t="s">
        <v>2002</v>
      </c>
      <c r="H6793">
        <v>2</v>
      </c>
      <c r="I6793" s="12">
        <f>Table16[[#This Row],[price]]*Table16[[#This Row],[quantity]]</f>
        <v>365.94</v>
      </c>
    </row>
    <row r="6794" spans="1:9" x14ac:dyDescent="0.3">
      <c r="A6794" t="s">
        <v>8809</v>
      </c>
      <c r="B6794" t="s">
        <v>1351</v>
      </c>
      <c r="C6794" t="s">
        <v>2057</v>
      </c>
      <c r="D6794">
        <v>5</v>
      </c>
      <c r="E6794" s="16">
        <v>58.65</v>
      </c>
      <c r="F6794" s="1">
        <v>44848</v>
      </c>
      <c r="G6794" t="s">
        <v>2018</v>
      </c>
      <c r="H6794">
        <v>5</v>
      </c>
      <c r="I6794" s="12">
        <f>Table16[[#This Row],[price]]*Table16[[#This Row],[quantity]]</f>
        <v>293.25</v>
      </c>
    </row>
    <row r="6795" spans="1:9" x14ac:dyDescent="0.3">
      <c r="A6795" t="s">
        <v>8811</v>
      </c>
      <c r="B6795" t="s">
        <v>1352</v>
      </c>
      <c r="C6795" t="s">
        <v>2001</v>
      </c>
      <c r="D6795">
        <v>3</v>
      </c>
      <c r="E6795" s="16">
        <v>900.24</v>
      </c>
      <c r="F6795" s="1">
        <v>44199</v>
      </c>
      <c r="G6795" t="s">
        <v>2027</v>
      </c>
      <c r="H6795">
        <v>5</v>
      </c>
      <c r="I6795" s="12">
        <f>Table16[[#This Row],[price]]*Table16[[#This Row],[quantity]]</f>
        <v>2700.7200000000003</v>
      </c>
    </row>
    <row r="6796" spans="1:9" x14ac:dyDescent="0.3">
      <c r="A6796" t="s">
        <v>8812</v>
      </c>
      <c r="B6796" t="s">
        <v>1352</v>
      </c>
      <c r="C6796" t="s">
        <v>2001</v>
      </c>
      <c r="D6796">
        <v>5</v>
      </c>
      <c r="E6796" s="16">
        <v>1500.4</v>
      </c>
      <c r="F6796" s="1">
        <v>44456</v>
      </c>
      <c r="G6796" t="s">
        <v>2004</v>
      </c>
      <c r="H6796">
        <v>3</v>
      </c>
      <c r="I6796" s="12">
        <f>Table16[[#This Row],[price]]*Table16[[#This Row],[quantity]]</f>
        <v>7502</v>
      </c>
    </row>
    <row r="6797" spans="1:9" x14ac:dyDescent="0.3">
      <c r="A6797" t="s">
        <v>8813</v>
      </c>
      <c r="B6797" t="s">
        <v>1352</v>
      </c>
      <c r="C6797" t="s">
        <v>2001</v>
      </c>
      <c r="D6797">
        <v>3</v>
      </c>
      <c r="E6797" s="16">
        <v>900.24</v>
      </c>
      <c r="F6797" s="1">
        <v>44481</v>
      </c>
      <c r="G6797" t="s">
        <v>2027</v>
      </c>
      <c r="H6797">
        <v>4</v>
      </c>
      <c r="I6797" s="12">
        <f>Table16[[#This Row],[price]]*Table16[[#This Row],[quantity]]</f>
        <v>2700.7200000000003</v>
      </c>
    </row>
    <row r="6798" spans="1:9" x14ac:dyDescent="0.3">
      <c r="A6798" t="s">
        <v>8816</v>
      </c>
      <c r="B6798" t="s">
        <v>1353</v>
      </c>
      <c r="C6798" t="s">
        <v>2001</v>
      </c>
      <c r="D6798">
        <v>1</v>
      </c>
      <c r="E6798" s="16">
        <v>300.08</v>
      </c>
      <c r="F6798" s="1">
        <v>44312</v>
      </c>
      <c r="G6798" t="s">
        <v>2020</v>
      </c>
      <c r="H6798">
        <v>5</v>
      </c>
      <c r="I6798" s="12">
        <f>Table16[[#This Row],[price]]*Table16[[#This Row],[quantity]]</f>
        <v>300.08</v>
      </c>
    </row>
    <row r="6799" spans="1:9" x14ac:dyDescent="0.3">
      <c r="A6799" t="s">
        <v>8817</v>
      </c>
      <c r="B6799" t="s">
        <v>1353</v>
      </c>
      <c r="C6799" t="s">
        <v>2015</v>
      </c>
      <c r="D6799">
        <v>4</v>
      </c>
      <c r="E6799" s="16">
        <v>2400.6799999999998</v>
      </c>
      <c r="F6799" s="1">
        <v>44395</v>
      </c>
      <c r="G6799" t="s">
        <v>2009</v>
      </c>
      <c r="H6799">
        <v>2</v>
      </c>
      <c r="I6799" s="12">
        <f>Table16[[#This Row],[price]]*Table16[[#This Row],[quantity]]</f>
        <v>9602.7199999999993</v>
      </c>
    </row>
    <row r="6800" spans="1:9" x14ac:dyDescent="0.3">
      <c r="A6800" t="s">
        <v>8818</v>
      </c>
      <c r="B6800" t="s">
        <v>1353</v>
      </c>
      <c r="C6800" t="s">
        <v>2001</v>
      </c>
      <c r="D6800">
        <v>5</v>
      </c>
      <c r="E6800" s="16">
        <v>1500.4</v>
      </c>
      <c r="F6800" s="1">
        <v>44626</v>
      </c>
      <c r="G6800" t="s">
        <v>2027</v>
      </c>
      <c r="H6800">
        <v>5</v>
      </c>
      <c r="I6800" s="12">
        <f>Table16[[#This Row],[price]]*Table16[[#This Row],[quantity]]</f>
        <v>7502</v>
      </c>
    </row>
    <row r="6801" spans="1:9" x14ac:dyDescent="0.3">
      <c r="A6801" t="s">
        <v>8814</v>
      </c>
      <c r="B6801" t="s">
        <v>1353</v>
      </c>
      <c r="C6801" t="s">
        <v>2006</v>
      </c>
      <c r="D6801">
        <v>3</v>
      </c>
      <c r="E6801" s="16">
        <v>45.45</v>
      </c>
      <c r="F6801" s="1">
        <v>44663</v>
      </c>
      <c r="G6801" t="s">
        <v>2002</v>
      </c>
      <c r="H6801">
        <v>2</v>
      </c>
      <c r="I6801" s="12">
        <f>Table16[[#This Row],[price]]*Table16[[#This Row],[quantity]]</f>
        <v>136.35000000000002</v>
      </c>
    </row>
    <row r="6802" spans="1:9" x14ac:dyDescent="0.3">
      <c r="A6802" t="s">
        <v>8819</v>
      </c>
      <c r="B6802" t="s">
        <v>1353</v>
      </c>
      <c r="C6802" t="s">
        <v>2011</v>
      </c>
      <c r="D6802">
        <v>2</v>
      </c>
      <c r="E6802" s="16">
        <v>81.319999999999993</v>
      </c>
      <c r="F6802" s="1">
        <v>44719</v>
      </c>
      <c r="G6802" t="s">
        <v>2064</v>
      </c>
      <c r="H6802">
        <v>3</v>
      </c>
      <c r="I6802" s="12">
        <f>Table16[[#This Row],[price]]*Table16[[#This Row],[quantity]]</f>
        <v>162.63999999999999</v>
      </c>
    </row>
    <row r="6803" spans="1:9" x14ac:dyDescent="0.3">
      <c r="A6803" t="s">
        <v>8815</v>
      </c>
      <c r="B6803" t="s">
        <v>1353</v>
      </c>
      <c r="C6803" t="s">
        <v>2015</v>
      </c>
      <c r="D6803">
        <v>1</v>
      </c>
      <c r="E6803" s="16">
        <v>600.16999999999996</v>
      </c>
      <c r="F6803" s="1">
        <v>44871</v>
      </c>
      <c r="G6803" t="s">
        <v>2027</v>
      </c>
      <c r="H6803">
        <v>2</v>
      </c>
      <c r="I6803" s="12">
        <f>Table16[[#This Row],[price]]*Table16[[#This Row],[quantity]]</f>
        <v>600.16999999999996</v>
      </c>
    </row>
    <row r="6804" spans="1:9" x14ac:dyDescent="0.3">
      <c r="A6804" t="s">
        <v>8821</v>
      </c>
      <c r="B6804" t="s">
        <v>1354</v>
      </c>
      <c r="C6804" t="s">
        <v>2011</v>
      </c>
      <c r="D6804">
        <v>3</v>
      </c>
      <c r="E6804" s="16">
        <v>121.98</v>
      </c>
      <c r="F6804" s="1">
        <v>44591</v>
      </c>
      <c r="G6804" t="s">
        <v>2064</v>
      </c>
      <c r="H6804">
        <v>2</v>
      </c>
      <c r="I6804" s="12">
        <f>Table16[[#This Row],[price]]*Table16[[#This Row],[quantity]]</f>
        <v>365.94</v>
      </c>
    </row>
    <row r="6805" spans="1:9" x14ac:dyDescent="0.3">
      <c r="A6805" t="s">
        <v>8820</v>
      </c>
      <c r="B6805" t="s">
        <v>1354</v>
      </c>
      <c r="C6805" t="s">
        <v>2001</v>
      </c>
      <c r="D6805">
        <v>5</v>
      </c>
      <c r="E6805" s="16">
        <v>1500.4</v>
      </c>
      <c r="F6805" s="1">
        <v>44945</v>
      </c>
      <c r="G6805" t="s">
        <v>2058</v>
      </c>
      <c r="H6805">
        <v>3</v>
      </c>
      <c r="I6805" s="12">
        <f>Table16[[#This Row],[price]]*Table16[[#This Row],[quantity]]</f>
        <v>7502</v>
      </c>
    </row>
    <row r="6806" spans="1:9" x14ac:dyDescent="0.3">
      <c r="A6806" t="s">
        <v>8825</v>
      </c>
      <c r="B6806" t="s">
        <v>1355</v>
      </c>
      <c r="C6806" t="s">
        <v>2001</v>
      </c>
      <c r="D6806">
        <v>1</v>
      </c>
      <c r="E6806" s="16">
        <v>300.08</v>
      </c>
      <c r="F6806" s="1">
        <v>44349</v>
      </c>
      <c r="G6806" t="s">
        <v>2012</v>
      </c>
      <c r="H6806">
        <v>5</v>
      </c>
      <c r="I6806" s="12">
        <f>Table16[[#This Row],[price]]*Table16[[#This Row],[quantity]]</f>
        <v>300.08</v>
      </c>
    </row>
    <row r="6807" spans="1:9" x14ac:dyDescent="0.3">
      <c r="A6807" t="s">
        <v>8822</v>
      </c>
      <c r="B6807" t="s">
        <v>1355</v>
      </c>
      <c r="C6807" t="s">
        <v>2008</v>
      </c>
      <c r="D6807">
        <v>2</v>
      </c>
      <c r="E6807" s="16">
        <v>10.46</v>
      </c>
      <c r="F6807" s="1">
        <v>44389</v>
      </c>
      <c r="G6807" t="s">
        <v>2004</v>
      </c>
      <c r="H6807">
        <v>2</v>
      </c>
      <c r="I6807" s="12">
        <f>Table16[[#This Row],[price]]*Table16[[#This Row],[quantity]]</f>
        <v>20.92</v>
      </c>
    </row>
    <row r="6808" spans="1:9" x14ac:dyDescent="0.3">
      <c r="A6808" t="s">
        <v>8823</v>
      </c>
      <c r="B6808" t="s">
        <v>1355</v>
      </c>
      <c r="C6808" t="s">
        <v>2011</v>
      </c>
      <c r="D6808">
        <v>2</v>
      </c>
      <c r="E6808" s="16">
        <v>81.319999999999993</v>
      </c>
      <c r="F6808" s="1">
        <v>44429</v>
      </c>
      <c r="G6808" t="s">
        <v>2002</v>
      </c>
      <c r="H6808">
        <v>5</v>
      </c>
      <c r="I6808" s="12">
        <f>Table16[[#This Row],[price]]*Table16[[#This Row],[quantity]]</f>
        <v>162.63999999999999</v>
      </c>
    </row>
    <row r="6809" spans="1:9" x14ac:dyDescent="0.3">
      <c r="A6809" t="s">
        <v>8824</v>
      </c>
      <c r="B6809" t="s">
        <v>1355</v>
      </c>
      <c r="C6809" t="s">
        <v>2011</v>
      </c>
      <c r="D6809">
        <v>2</v>
      </c>
      <c r="E6809" s="16">
        <v>81.319999999999993</v>
      </c>
      <c r="F6809" s="1">
        <v>44532</v>
      </c>
      <c r="G6809" t="s">
        <v>2027</v>
      </c>
      <c r="H6809">
        <v>5</v>
      </c>
      <c r="I6809" s="12">
        <f>Table16[[#This Row],[price]]*Table16[[#This Row],[quantity]]</f>
        <v>162.63999999999999</v>
      </c>
    </row>
    <row r="6810" spans="1:9" x14ac:dyDescent="0.3">
      <c r="A6810" t="s">
        <v>8828</v>
      </c>
      <c r="B6810" t="s">
        <v>1356</v>
      </c>
      <c r="C6810" t="s">
        <v>2001</v>
      </c>
      <c r="D6810">
        <v>1</v>
      </c>
      <c r="E6810" s="16">
        <v>300.08</v>
      </c>
      <c r="F6810" s="1">
        <v>44467</v>
      </c>
      <c r="G6810" t="s">
        <v>2018</v>
      </c>
      <c r="H6810">
        <v>1</v>
      </c>
      <c r="I6810" s="12">
        <f>Table16[[#This Row],[price]]*Table16[[#This Row],[quantity]]</f>
        <v>300.08</v>
      </c>
    </row>
    <row r="6811" spans="1:9" x14ac:dyDescent="0.3">
      <c r="A6811" t="s">
        <v>8827</v>
      </c>
      <c r="B6811" t="s">
        <v>1356</v>
      </c>
      <c r="C6811" t="s">
        <v>2001</v>
      </c>
      <c r="D6811">
        <v>2</v>
      </c>
      <c r="E6811" s="16">
        <v>600.16</v>
      </c>
      <c r="F6811" s="1">
        <v>44490</v>
      </c>
      <c r="G6811" t="s">
        <v>2012</v>
      </c>
      <c r="H6811">
        <v>1</v>
      </c>
      <c r="I6811" s="12">
        <f>Table16[[#This Row],[price]]*Table16[[#This Row],[quantity]]</f>
        <v>1200.32</v>
      </c>
    </row>
    <row r="6812" spans="1:9" x14ac:dyDescent="0.3">
      <c r="A6812" t="s">
        <v>8829</v>
      </c>
      <c r="B6812" t="s">
        <v>1356</v>
      </c>
      <c r="C6812" t="s">
        <v>2001</v>
      </c>
      <c r="D6812">
        <v>2</v>
      </c>
      <c r="E6812" s="16">
        <v>600.16</v>
      </c>
      <c r="F6812" s="1">
        <v>44517</v>
      </c>
      <c r="G6812" t="s">
        <v>2002</v>
      </c>
      <c r="H6812">
        <v>3</v>
      </c>
      <c r="I6812" s="12">
        <f>Table16[[#This Row],[price]]*Table16[[#This Row],[quantity]]</f>
        <v>1200.32</v>
      </c>
    </row>
    <row r="6813" spans="1:9" x14ac:dyDescent="0.3">
      <c r="A6813" t="s">
        <v>8831</v>
      </c>
      <c r="B6813" t="s">
        <v>1356</v>
      </c>
      <c r="C6813" t="s">
        <v>2011</v>
      </c>
      <c r="D6813">
        <v>1</v>
      </c>
      <c r="E6813" s="16">
        <v>40.659999999999997</v>
      </c>
      <c r="F6813" s="1">
        <v>44725</v>
      </c>
      <c r="G6813" t="s">
        <v>2002</v>
      </c>
      <c r="H6813">
        <v>5</v>
      </c>
      <c r="I6813" s="12">
        <f>Table16[[#This Row],[price]]*Table16[[#This Row],[quantity]]</f>
        <v>40.659999999999997</v>
      </c>
    </row>
    <row r="6814" spans="1:9" x14ac:dyDescent="0.3">
      <c r="A6814" t="s">
        <v>8830</v>
      </c>
      <c r="B6814" t="s">
        <v>1356</v>
      </c>
      <c r="C6814" t="s">
        <v>2008</v>
      </c>
      <c r="D6814">
        <v>1</v>
      </c>
      <c r="E6814" s="16">
        <v>5.23</v>
      </c>
      <c r="F6814" s="1">
        <v>44741</v>
      </c>
      <c r="G6814" t="s">
        <v>2002</v>
      </c>
      <c r="H6814">
        <v>4</v>
      </c>
      <c r="I6814" s="12">
        <f>Table16[[#This Row],[price]]*Table16[[#This Row],[quantity]]</f>
        <v>5.23</v>
      </c>
    </row>
    <row r="6815" spans="1:9" x14ac:dyDescent="0.3">
      <c r="A6815" t="s">
        <v>8832</v>
      </c>
      <c r="B6815" t="s">
        <v>1356</v>
      </c>
      <c r="C6815" t="s">
        <v>2024</v>
      </c>
      <c r="D6815">
        <v>3</v>
      </c>
      <c r="E6815" s="16">
        <v>107.52</v>
      </c>
      <c r="F6815" s="1">
        <v>44750</v>
      </c>
      <c r="G6815" t="s">
        <v>2012</v>
      </c>
      <c r="H6815">
        <v>1</v>
      </c>
      <c r="I6815" s="12">
        <f>Table16[[#This Row],[price]]*Table16[[#This Row],[quantity]]</f>
        <v>322.56</v>
      </c>
    </row>
    <row r="6816" spans="1:9" x14ac:dyDescent="0.3">
      <c r="A6816" t="s">
        <v>8826</v>
      </c>
      <c r="B6816" t="s">
        <v>1356</v>
      </c>
      <c r="C6816" t="s">
        <v>2015</v>
      </c>
      <c r="D6816">
        <v>2</v>
      </c>
      <c r="E6816" s="16">
        <v>1200.3399999999999</v>
      </c>
      <c r="F6816" s="1">
        <v>44897</v>
      </c>
      <c r="G6816" t="s">
        <v>2002</v>
      </c>
      <c r="H6816">
        <v>1</v>
      </c>
      <c r="I6816" s="12">
        <f>Table16[[#This Row],[price]]*Table16[[#This Row],[quantity]]</f>
        <v>2400.6799999999998</v>
      </c>
    </row>
    <row r="6817" spans="1:9" x14ac:dyDescent="0.3">
      <c r="A6817" t="s">
        <v>8836</v>
      </c>
      <c r="B6817" t="s">
        <v>1357</v>
      </c>
      <c r="C6817" t="s">
        <v>2001</v>
      </c>
      <c r="D6817">
        <v>1</v>
      </c>
      <c r="E6817" s="16">
        <v>300.08</v>
      </c>
      <c r="F6817" s="1">
        <v>44419</v>
      </c>
      <c r="G6817" t="s">
        <v>2002</v>
      </c>
      <c r="H6817">
        <v>4</v>
      </c>
      <c r="I6817" s="12">
        <f>Table16[[#This Row],[price]]*Table16[[#This Row],[quantity]]</f>
        <v>300.08</v>
      </c>
    </row>
    <row r="6818" spans="1:9" x14ac:dyDescent="0.3">
      <c r="A6818" t="s">
        <v>8835</v>
      </c>
      <c r="B6818" t="s">
        <v>1357</v>
      </c>
      <c r="C6818" t="s">
        <v>2001</v>
      </c>
      <c r="D6818">
        <v>1</v>
      </c>
      <c r="E6818" s="16">
        <v>300.08</v>
      </c>
      <c r="F6818" s="1">
        <v>44597</v>
      </c>
      <c r="G6818" t="s">
        <v>2004</v>
      </c>
      <c r="H6818">
        <v>2</v>
      </c>
      <c r="I6818" s="12">
        <f>Table16[[#This Row],[price]]*Table16[[#This Row],[quantity]]</f>
        <v>300.08</v>
      </c>
    </row>
    <row r="6819" spans="1:9" x14ac:dyDescent="0.3">
      <c r="A6819" t="s">
        <v>8834</v>
      </c>
      <c r="B6819" t="s">
        <v>1357</v>
      </c>
      <c r="C6819" t="s">
        <v>2008</v>
      </c>
      <c r="D6819">
        <v>1</v>
      </c>
      <c r="E6819" s="16">
        <v>5.23</v>
      </c>
      <c r="F6819" s="1">
        <v>44606</v>
      </c>
      <c r="G6819" t="s">
        <v>2004</v>
      </c>
      <c r="H6819">
        <v>2</v>
      </c>
      <c r="I6819" s="12">
        <f>Table16[[#This Row],[price]]*Table16[[#This Row],[quantity]]</f>
        <v>5.23</v>
      </c>
    </row>
    <row r="6820" spans="1:9" x14ac:dyDescent="0.3">
      <c r="A6820" t="s">
        <v>8833</v>
      </c>
      <c r="B6820" t="s">
        <v>1357</v>
      </c>
      <c r="C6820" t="s">
        <v>2024</v>
      </c>
      <c r="D6820">
        <v>4</v>
      </c>
      <c r="E6820" s="16">
        <v>143.36000000000001</v>
      </c>
      <c r="F6820" s="1">
        <v>44925</v>
      </c>
      <c r="G6820" t="s">
        <v>2002</v>
      </c>
      <c r="H6820">
        <v>4</v>
      </c>
      <c r="I6820" s="12">
        <f>Table16[[#This Row],[price]]*Table16[[#This Row],[quantity]]</f>
        <v>573.44000000000005</v>
      </c>
    </row>
    <row r="6821" spans="1:9" x14ac:dyDescent="0.3">
      <c r="A6821" t="s">
        <v>8839</v>
      </c>
      <c r="B6821" t="s">
        <v>1358</v>
      </c>
      <c r="C6821" t="s">
        <v>2015</v>
      </c>
      <c r="D6821">
        <v>3</v>
      </c>
      <c r="E6821" s="16">
        <v>1800.51</v>
      </c>
      <c r="F6821" s="1">
        <v>44325</v>
      </c>
      <c r="G6821" t="s">
        <v>2018</v>
      </c>
      <c r="H6821">
        <v>2</v>
      </c>
      <c r="I6821" s="12">
        <f>Table16[[#This Row],[price]]*Table16[[#This Row],[quantity]]</f>
        <v>5401.53</v>
      </c>
    </row>
    <row r="6822" spans="1:9" x14ac:dyDescent="0.3">
      <c r="A6822" t="s">
        <v>8842</v>
      </c>
      <c r="B6822" t="s">
        <v>1358</v>
      </c>
      <c r="C6822" t="s">
        <v>2015</v>
      </c>
      <c r="D6822">
        <v>5</v>
      </c>
      <c r="E6822" s="16">
        <v>3000.85</v>
      </c>
      <c r="F6822" s="1">
        <v>44351</v>
      </c>
      <c r="G6822" t="s">
        <v>2012</v>
      </c>
      <c r="H6822">
        <v>3</v>
      </c>
      <c r="I6822" s="12">
        <f>Table16[[#This Row],[price]]*Table16[[#This Row],[quantity]]</f>
        <v>15004.25</v>
      </c>
    </row>
    <row r="6823" spans="1:9" x14ac:dyDescent="0.3">
      <c r="A6823" t="s">
        <v>8837</v>
      </c>
      <c r="B6823" t="s">
        <v>1358</v>
      </c>
      <c r="C6823" t="s">
        <v>2001</v>
      </c>
      <c r="D6823">
        <v>2</v>
      </c>
      <c r="E6823" s="16">
        <v>600.16</v>
      </c>
      <c r="F6823" s="1">
        <v>44493</v>
      </c>
      <c r="G6823" t="s">
        <v>2027</v>
      </c>
      <c r="H6823">
        <v>3</v>
      </c>
      <c r="I6823" s="12">
        <f>Table16[[#This Row],[price]]*Table16[[#This Row],[quantity]]</f>
        <v>1200.32</v>
      </c>
    </row>
    <row r="6824" spans="1:9" x14ac:dyDescent="0.3">
      <c r="A6824" t="s">
        <v>8838</v>
      </c>
      <c r="B6824" t="s">
        <v>1358</v>
      </c>
      <c r="C6824" t="s">
        <v>2001</v>
      </c>
      <c r="D6824">
        <v>3</v>
      </c>
      <c r="E6824" s="16">
        <v>900.24</v>
      </c>
      <c r="F6824" s="1">
        <v>44625</v>
      </c>
      <c r="G6824" t="s">
        <v>2018</v>
      </c>
      <c r="H6824">
        <v>3</v>
      </c>
      <c r="I6824" s="12">
        <f>Table16[[#This Row],[price]]*Table16[[#This Row],[quantity]]</f>
        <v>2700.7200000000003</v>
      </c>
    </row>
    <row r="6825" spans="1:9" x14ac:dyDescent="0.3">
      <c r="A6825" t="s">
        <v>8841</v>
      </c>
      <c r="B6825" t="s">
        <v>1358</v>
      </c>
      <c r="C6825" t="s">
        <v>2011</v>
      </c>
      <c r="D6825">
        <v>3</v>
      </c>
      <c r="E6825" s="16">
        <v>121.98</v>
      </c>
      <c r="F6825" s="1">
        <v>44700</v>
      </c>
      <c r="G6825" t="s">
        <v>2027</v>
      </c>
      <c r="H6825">
        <v>1</v>
      </c>
      <c r="I6825" s="12">
        <f>Table16[[#This Row],[price]]*Table16[[#This Row],[quantity]]</f>
        <v>365.94</v>
      </c>
    </row>
    <row r="6826" spans="1:9" x14ac:dyDescent="0.3">
      <c r="A6826" t="s">
        <v>8840</v>
      </c>
      <c r="B6826" t="s">
        <v>1358</v>
      </c>
      <c r="C6826" t="s">
        <v>2011</v>
      </c>
      <c r="D6826">
        <v>4</v>
      </c>
      <c r="E6826" s="16">
        <v>162.63999999999999</v>
      </c>
      <c r="F6826" s="1">
        <v>44951</v>
      </c>
      <c r="G6826" t="s">
        <v>2027</v>
      </c>
      <c r="H6826">
        <v>3</v>
      </c>
      <c r="I6826" s="12">
        <f>Table16[[#This Row],[price]]*Table16[[#This Row],[quantity]]</f>
        <v>650.55999999999995</v>
      </c>
    </row>
    <row r="6827" spans="1:9" x14ac:dyDescent="0.3">
      <c r="A6827" t="s">
        <v>8852</v>
      </c>
      <c r="B6827" t="s">
        <v>1359</v>
      </c>
      <c r="C6827" t="s">
        <v>2001</v>
      </c>
      <c r="D6827">
        <v>3</v>
      </c>
      <c r="E6827" s="16">
        <v>900.24</v>
      </c>
      <c r="F6827" s="1">
        <v>44211</v>
      </c>
      <c r="G6827" t="s">
        <v>2004</v>
      </c>
      <c r="H6827">
        <v>4</v>
      </c>
      <c r="I6827" s="12">
        <f>Table16[[#This Row],[price]]*Table16[[#This Row],[quantity]]</f>
        <v>2700.7200000000003</v>
      </c>
    </row>
    <row r="6828" spans="1:9" x14ac:dyDescent="0.3">
      <c r="A6828" t="s">
        <v>8843</v>
      </c>
      <c r="B6828" t="s">
        <v>1359</v>
      </c>
      <c r="C6828" t="s">
        <v>2017</v>
      </c>
      <c r="D6828">
        <v>4</v>
      </c>
      <c r="E6828" s="16">
        <v>4200</v>
      </c>
      <c r="F6828" s="1">
        <v>44555</v>
      </c>
      <c r="G6828" t="s">
        <v>2027</v>
      </c>
      <c r="H6828">
        <v>5</v>
      </c>
      <c r="I6828" s="12">
        <f>Table16[[#This Row],[price]]*Table16[[#This Row],[quantity]]</f>
        <v>16800</v>
      </c>
    </row>
    <row r="6829" spans="1:9" x14ac:dyDescent="0.3">
      <c r="A6829" t="s">
        <v>8854</v>
      </c>
      <c r="B6829" t="s">
        <v>1359</v>
      </c>
      <c r="C6829" t="s">
        <v>2015</v>
      </c>
      <c r="D6829">
        <v>1</v>
      </c>
      <c r="E6829" s="16">
        <v>600.16999999999996</v>
      </c>
      <c r="F6829" s="1">
        <v>44589</v>
      </c>
      <c r="G6829" t="s">
        <v>2064</v>
      </c>
      <c r="H6829">
        <v>5</v>
      </c>
      <c r="I6829" s="12">
        <f>Table16[[#This Row],[price]]*Table16[[#This Row],[quantity]]</f>
        <v>600.16999999999996</v>
      </c>
    </row>
    <row r="6830" spans="1:9" x14ac:dyDescent="0.3">
      <c r="A6830" t="s">
        <v>8849</v>
      </c>
      <c r="B6830" t="s">
        <v>1359</v>
      </c>
      <c r="C6830" t="s">
        <v>2015</v>
      </c>
      <c r="D6830">
        <v>5</v>
      </c>
      <c r="E6830" s="16">
        <v>3000.85</v>
      </c>
      <c r="F6830" s="1">
        <v>44633</v>
      </c>
      <c r="G6830" t="s">
        <v>2058</v>
      </c>
      <c r="H6830">
        <v>1</v>
      </c>
      <c r="I6830" s="12">
        <f>Table16[[#This Row],[price]]*Table16[[#This Row],[quantity]]</f>
        <v>15004.25</v>
      </c>
    </row>
    <row r="6831" spans="1:9" x14ac:dyDescent="0.3">
      <c r="A6831" t="s">
        <v>8845</v>
      </c>
      <c r="B6831" t="s">
        <v>1359</v>
      </c>
      <c r="C6831" t="s">
        <v>2006</v>
      </c>
      <c r="D6831">
        <v>3</v>
      </c>
      <c r="E6831" s="16">
        <v>45.45</v>
      </c>
      <c r="F6831" s="1">
        <v>44682</v>
      </c>
      <c r="G6831" t="s">
        <v>2027</v>
      </c>
      <c r="H6831">
        <v>1</v>
      </c>
      <c r="I6831" s="12">
        <f>Table16[[#This Row],[price]]*Table16[[#This Row],[quantity]]</f>
        <v>136.35000000000002</v>
      </c>
    </row>
    <row r="6832" spans="1:9" x14ac:dyDescent="0.3">
      <c r="A6832" t="s">
        <v>8848</v>
      </c>
      <c r="B6832" t="s">
        <v>1359</v>
      </c>
      <c r="C6832" t="s">
        <v>2001</v>
      </c>
      <c r="D6832">
        <v>3</v>
      </c>
      <c r="E6832" s="16">
        <v>900.24</v>
      </c>
      <c r="F6832" s="1">
        <v>44755</v>
      </c>
      <c r="G6832" t="s">
        <v>2027</v>
      </c>
      <c r="H6832">
        <v>5</v>
      </c>
      <c r="I6832" s="12">
        <f>Table16[[#This Row],[price]]*Table16[[#This Row],[quantity]]</f>
        <v>2700.7200000000003</v>
      </c>
    </row>
    <row r="6833" spans="1:9" x14ac:dyDescent="0.3">
      <c r="A6833" t="s">
        <v>8851</v>
      </c>
      <c r="B6833" t="s">
        <v>1359</v>
      </c>
      <c r="C6833" t="s">
        <v>2024</v>
      </c>
      <c r="D6833">
        <v>1</v>
      </c>
      <c r="E6833" s="16">
        <v>35.840000000000003</v>
      </c>
      <c r="F6833" s="1">
        <v>44810</v>
      </c>
      <c r="G6833" t="s">
        <v>2020</v>
      </c>
      <c r="H6833">
        <v>4</v>
      </c>
      <c r="I6833" s="12">
        <f>Table16[[#This Row],[price]]*Table16[[#This Row],[quantity]]</f>
        <v>35.840000000000003</v>
      </c>
    </row>
    <row r="6834" spans="1:9" x14ac:dyDescent="0.3">
      <c r="A6834" t="s">
        <v>8853</v>
      </c>
      <c r="B6834" t="s">
        <v>1359</v>
      </c>
      <c r="C6834" t="s">
        <v>2024</v>
      </c>
      <c r="D6834">
        <v>3</v>
      </c>
      <c r="E6834" s="16">
        <v>107.52</v>
      </c>
      <c r="F6834" s="1">
        <v>44848</v>
      </c>
      <c r="G6834" t="s">
        <v>2004</v>
      </c>
      <c r="H6834">
        <v>1</v>
      </c>
      <c r="I6834" s="12">
        <f>Table16[[#This Row],[price]]*Table16[[#This Row],[quantity]]</f>
        <v>322.56</v>
      </c>
    </row>
    <row r="6835" spans="1:9" x14ac:dyDescent="0.3">
      <c r="A6835" t="s">
        <v>8847</v>
      </c>
      <c r="B6835" t="s">
        <v>1359</v>
      </c>
      <c r="C6835" t="s">
        <v>2001</v>
      </c>
      <c r="D6835">
        <v>3</v>
      </c>
      <c r="E6835" s="16">
        <v>900.24</v>
      </c>
      <c r="F6835" s="1">
        <v>44852</v>
      </c>
      <c r="G6835" t="s">
        <v>2020</v>
      </c>
      <c r="H6835">
        <v>2</v>
      </c>
      <c r="I6835" s="12">
        <f>Table16[[#This Row],[price]]*Table16[[#This Row],[quantity]]</f>
        <v>2700.7200000000003</v>
      </c>
    </row>
    <row r="6836" spans="1:9" x14ac:dyDescent="0.3">
      <c r="A6836" t="s">
        <v>8850</v>
      </c>
      <c r="B6836" t="s">
        <v>1359</v>
      </c>
      <c r="C6836" t="s">
        <v>2001</v>
      </c>
      <c r="D6836">
        <v>5</v>
      </c>
      <c r="E6836" s="16">
        <v>1500.4</v>
      </c>
      <c r="F6836" s="1">
        <v>44880</v>
      </c>
      <c r="G6836" t="s">
        <v>2041</v>
      </c>
      <c r="H6836">
        <v>2</v>
      </c>
      <c r="I6836" s="12">
        <f>Table16[[#This Row],[price]]*Table16[[#This Row],[quantity]]</f>
        <v>7502</v>
      </c>
    </row>
    <row r="6837" spans="1:9" x14ac:dyDescent="0.3">
      <c r="A6837" t="s">
        <v>8846</v>
      </c>
      <c r="B6837" t="s">
        <v>1359</v>
      </c>
      <c r="C6837" t="s">
        <v>2001</v>
      </c>
      <c r="D6837">
        <v>5</v>
      </c>
      <c r="E6837" s="16">
        <v>1500.4</v>
      </c>
      <c r="F6837" s="1">
        <v>44953</v>
      </c>
      <c r="G6837" t="s">
        <v>2002</v>
      </c>
      <c r="H6837">
        <v>4</v>
      </c>
      <c r="I6837" s="12">
        <f>Table16[[#This Row],[price]]*Table16[[#This Row],[quantity]]</f>
        <v>7502</v>
      </c>
    </row>
    <row r="6838" spans="1:9" x14ac:dyDescent="0.3">
      <c r="A6838" t="s">
        <v>8844</v>
      </c>
      <c r="B6838" t="s">
        <v>1359</v>
      </c>
      <c r="C6838" t="s">
        <v>2017</v>
      </c>
      <c r="D6838">
        <v>5</v>
      </c>
      <c r="E6838" s="16">
        <v>5250</v>
      </c>
      <c r="F6838" s="1">
        <v>44990</v>
      </c>
      <c r="G6838" t="s">
        <v>2027</v>
      </c>
      <c r="H6838">
        <v>3</v>
      </c>
      <c r="I6838" s="12">
        <f>Table16[[#This Row],[price]]*Table16[[#This Row],[quantity]]</f>
        <v>26250</v>
      </c>
    </row>
    <row r="6839" spans="1:9" x14ac:dyDescent="0.3">
      <c r="A6839" t="s">
        <v>8857</v>
      </c>
      <c r="B6839" t="s">
        <v>1360</v>
      </c>
      <c r="C6839" t="s">
        <v>2017</v>
      </c>
      <c r="D6839">
        <v>3</v>
      </c>
      <c r="E6839" s="16">
        <v>3150</v>
      </c>
      <c r="F6839" s="1">
        <v>44224</v>
      </c>
      <c r="G6839" t="s">
        <v>2020</v>
      </c>
      <c r="H6839">
        <v>2</v>
      </c>
      <c r="I6839" s="12">
        <f>Table16[[#This Row],[price]]*Table16[[#This Row],[quantity]]</f>
        <v>9450</v>
      </c>
    </row>
    <row r="6840" spans="1:9" x14ac:dyDescent="0.3">
      <c r="A6840" t="s">
        <v>8855</v>
      </c>
      <c r="B6840" t="s">
        <v>1360</v>
      </c>
      <c r="C6840" t="s">
        <v>2011</v>
      </c>
      <c r="D6840">
        <v>5</v>
      </c>
      <c r="E6840" s="16">
        <v>203.3</v>
      </c>
      <c r="F6840" s="1">
        <v>44682</v>
      </c>
      <c r="G6840" t="s">
        <v>2018</v>
      </c>
      <c r="H6840">
        <v>1</v>
      </c>
      <c r="I6840" s="12">
        <f>Table16[[#This Row],[price]]*Table16[[#This Row],[quantity]]</f>
        <v>1016.5</v>
      </c>
    </row>
    <row r="6841" spans="1:9" x14ac:dyDescent="0.3">
      <c r="A6841" t="s">
        <v>8856</v>
      </c>
      <c r="B6841" t="s">
        <v>1360</v>
      </c>
      <c r="C6841" t="s">
        <v>2024</v>
      </c>
      <c r="D6841">
        <v>4</v>
      </c>
      <c r="E6841" s="16">
        <v>143.36000000000001</v>
      </c>
      <c r="F6841" s="1">
        <v>44882</v>
      </c>
      <c r="G6841" t="s">
        <v>2004</v>
      </c>
      <c r="H6841">
        <v>5</v>
      </c>
      <c r="I6841" s="12">
        <f>Table16[[#This Row],[price]]*Table16[[#This Row],[quantity]]</f>
        <v>573.44000000000005</v>
      </c>
    </row>
    <row r="6842" spans="1:9" x14ac:dyDescent="0.3">
      <c r="A6842" t="s">
        <v>8860</v>
      </c>
      <c r="B6842" t="s">
        <v>1361</v>
      </c>
      <c r="C6842" t="s">
        <v>2024</v>
      </c>
      <c r="D6842">
        <v>5</v>
      </c>
      <c r="E6842" s="16">
        <v>179.2</v>
      </c>
      <c r="F6842" s="1">
        <v>44579</v>
      </c>
      <c r="G6842" t="s">
        <v>2027</v>
      </c>
      <c r="H6842">
        <v>5</v>
      </c>
      <c r="I6842" s="12">
        <f>Table16[[#This Row],[price]]*Table16[[#This Row],[quantity]]</f>
        <v>896</v>
      </c>
    </row>
    <row r="6843" spans="1:9" x14ac:dyDescent="0.3">
      <c r="A6843" t="s">
        <v>8858</v>
      </c>
      <c r="B6843" t="s">
        <v>1361</v>
      </c>
      <c r="C6843" t="s">
        <v>2024</v>
      </c>
      <c r="D6843">
        <v>4</v>
      </c>
      <c r="E6843" s="16">
        <v>143.36000000000001</v>
      </c>
      <c r="F6843" s="1">
        <v>44954</v>
      </c>
      <c r="G6843" t="s">
        <v>2064</v>
      </c>
      <c r="H6843">
        <v>5</v>
      </c>
      <c r="I6843" s="12">
        <f>Table16[[#This Row],[price]]*Table16[[#This Row],[quantity]]</f>
        <v>573.44000000000005</v>
      </c>
    </row>
    <row r="6844" spans="1:9" x14ac:dyDescent="0.3">
      <c r="A6844" t="s">
        <v>8859</v>
      </c>
      <c r="B6844" t="s">
        <v>1361</v>
      </c>
      <c r="C6844" t="s">
        <v>2001</v>
      </c>
      <c r="D6844">
        <v>2</v>
      </c>
      <c r="E6844" s="16">
        <v>600.16</v>
      </c>
      <c r="F6844" s="1">
        <v>44983</v>
      </c>
      <c r="G6844" t="s">
        <v>2064</v>
      </c>
      <c r="H6844">
        <v>2</v>
      </c>
      <c r="I6844" s="12">
        <f>Table16[[#This Row],[price]]*Table16[[#This Row],[quantity]]</f>
        <v>1200.32</v>
      </c>
    </row>
    <row r="6845" spans="1:9" x14ac:dyDescent="0.3">
      <c r="A6845" t="s">
        <v>8863</v>
      </c>
      <c r="B6845" t="s">
        <v>1362</v>
      </c>
      <c r="C6845" t="s">
        <v>2011</v>
      </c>
      <c r="D6845">
        <v>4</v>
      </c>
      <c r="E6845" s="16">
        <v>162.63999999999999</v>
      </c>
      <c r="F6845" s="1">
        <v>44224</v>
      </c>
      <c r="G6845" t="s">
        <v>2027</v>
      </c>
      <c r="H6845">
        <v>5</v>
      </c>
      <c r="I6845" s="12">
        <f>Table16[[#This Row],[price]]*Table16[[#This Row],[quantity]]</f>
        <v>650.55999999999995</v>
      </c>
    </row>
    <row r="6846" spans="1:9" x14ac:dyDescent="0.3">
      <c r="A6846" t="s">
        <v>8862</v>
      </c>
      <c r="B6846" t="s">
        <v>1362</v>
      </c>
      <c r="C6846" t="s">
        <v>2015</v>
      </c>
      <c r="D6846">
        <v>2</v>
      </c>
      <c r="E6846" s="16">
        <v>1200.3399999999999</v>
      </c>
      <c r="F6846" s="1">
        <v>44827</v>
      </c>
      <c r="G6846" t="s">
        <v>2064</v>
      </c>
      <c r="H6846">
        <v>2</v>
      </c>
      <c r="I6846" s="12">
        <f>Table16[[#This Row],[price]]*Table16[[#This Row],[quantity]]</f>
        <v>2400.6799999999998</v>
      </c>
    </row>
    <row r="6847" spans="1:9" x14ac:dyDescent="0.3">
      <c r="A6847" t="s">
        <v>8861</v>
      </c>
      <c r="B6847" t="s">
        <v>1362</v>
      </c>
      <c r="C6847" t="s">
        <v>2017</v>
      </c>
      <c r="D6847">
        <v>4</v>
      </c>
      <c r="E6847" s="16">
        <v>4200</v>
      </c>
      <c r="F6847" s="1">
        <v>44881</v>
      </c>
      <c r="G6847" t="s">
        <v>2002</v>
      </c>
      <c r="H6847">
        <v>3</v>
      </c>
      <c r="I6847" s="12">
        <f>Table16[[#This Row],[price]]*Table16[[#This Row],[quantity]]</f>
        <v>16800</v>
      </c>
    </row>
    <row r="6848" spans="1:9" x14ac:dyDescent="0.3">
      <c r="A6848" t="s">
        <v>8866</v>
      </c>
      <c r="B6848" t="s">
        <v>1363</v>
      </c>
      <c r="C6848" t="s">
        <v>2024</v>
      </c>
      <c r="D6848">
        <v>1</v>
      </c>
      <c r="E6848" s="16">
        <v>35.840000000000003</v>
      </c>
      <c r="F6848" s="1">
        <v>44694</v>
      </c>
      <c r="G6848" t="s">
        <v>2002</v>
      </c>
      <c r="H6848">
        <v>4</v>
      </c>
      <c r="I6848" s="12">
        <f>Table16[[#This Row],[price]]*Table16[[#This Row],[quantity]]</f>
        <v>35.840000000000003</v>
      </c>
    </row>
    <row r="6849" spans="1:9" x14ac:dyDescent="0.3">
      <c r="A6849" t="s">
        <v>8864</v>
      </c>
      <c r="B6849" t="s">
        <v>1363</v>
      </c>
      <c r="C6849" t="s">
        <v>2008</v>
      </c>
      <c r="D6849">
        <v>5</v>
      </c>
      <c r="E6849" s="16">
        <v>26.15</v>
      </c>
      <c r="F6849" s="1">
        <v>44738</v>
      </c>
      <c r="G6849" t="s">
        <v>2018</v>
      </c>
      <c r="H6849">
        <v>3</v>
      </c>
      <c r="I6849" s="12">
        <f>Table16[[#This Row],[price]]*Table16[[#This Row],[quantity]]</f>
        <v>130.75</v>
      </c>
    </row>
    <row r="6850" spans="1:9" x14ac:dyDescent="0.3">
      <c r="A6850" t="s">
        <v>8867</v>
      </c>
      <c r="B6850" t="s">
        <v>1363</v>
      </c>
      <c r="C6850" t="s">
        <v>2008</v>
      </c>
      <c r="D6850">
        <v>3</v>
      </c>
      <c r="E6850" s="16">
        <v>15.69</v>
      </c>
      <c r="F6850" s="1">
        <v>44953</v>
      </c>
      <c r="G6850" t="s">
        <v>2064</v>
      </c>
      <c r="H6850">
        <v>2</v>
      </c>
      <c r="I6850" s="12">
        <f>Table16[[#This Row],[price]]*Table16[[#This Row],[quantity]]</f>
        <v>47.07</v>
      </c>
    </row>
    <row r="6851" spans="1:9" x14ac:dyDescent="0.3">
      <c r="A6851" t="s">
        <v>8865</v>
      </c>
      <c r="B6851" t="s">
        <v>1363</v>
      </c>
      <c r="C6851" t="s">
        <v>2001</v>
      </c>
      <c r="D6851">
        <v>1</v>
      </c>
      <c r="E6851" s="16">
        <v>300.08</v>
      </c>
      <c r="F6851" s="1">
        <v>44965</v>
      </c>
      <c r="G6851" t="s">
        <v>2018</v>
      </c>
      <c r="H6851">
        <v>3</v>
      </c>
      <c r="I6851" s="12">
        <f>Table16[[#This Row],[price]]*Table16[[#This Row],[quantity]]</f>
        <v>300.08</v>
      </c>
    </row>
    <row r="6852" spans="1:9" x14ac:dyDescent="0.3">
      <c r="A6852" t="s">
        <v>8870</v>
      </c>
      <c r="B6852" t="s">
        <v>1364</v>
      </c>
      <c r="C6852" t="s">
        <v>2006</v>
      </c>
      <c r="D6852">
        <v>5</v>
      </c>
      <c r="E6852" s="16">
        <v>75.75</v>
      </c>
      <c r="F6852" s="1">
        <v>44277</v>
      </c>
      <c r="G6852" t="s">
        <v>2058</v>
      </c>
      <c r="H6852">
        <v>1</v>
      </c>
      <c r="I6852" s="12">
        <f>Table16[[#This Row],[price]]*Table16[[#This Row],[quantity]]</f>
        <v>378.75</v>
      </c>
    </row>
    <row r="6853" spans="1:9" x14ac:dyDescent="0.3">
      <c r="A6853" t="s">
        <v>8871</v>
      </c>
      <c r="B6853" t="s">
        <v>1364</v>
      </c>
      <c r="C6853" t="s">
        <v>2008</v>
      </c>
      <c r="D6853">
        <v>4</v>
      </c>
      <c r="E6853" s="16">
        <v>20.92</v>
      </c>
      <c r="F6853" s="1">
        <v>44299</v>
      </c>
      <c r="G6853" t="s">
        <v>2009</v>
      </c>
      <c r="H6853">
        <v>1</v>
      </c>
      <c r="I6853" s="12">
        <f>Table16[[#This Row],[price]]*Table16[[#This Row],[quantity]]</f>
        <v>83.68</v>
      </c>
    </row>
    <row r="6854" spans="1:9" x14ac:dyDescent="0.3">
      <c r="A6854" t="s">
        <v>8873</v>
      </c>
      <c r="B6854" t="s">
        <v>1364</v>
      </c>
      <c r="C6854" t="s">
        <v>2015</v>
      </c>
      <c r="D6854">
        <v>1</v>
      </c>
      <c r="E6854" s="16">
        <v>600.16999999999996</v>
      </c>
      <c r="F6854" s="1">
        <v>44356</v>
      </c>
      <c r="G6854" t="s">
        <v>2058</v>
      </c>
      <c r="H6854">
        <v>3</v>
      </c>
      <c r="I6854" s="12">
        <f>Table16[[#This Row],[price]]*Table16[[#This Row],[quantity]]</f>
        <v>600.16999999999996</v>
      </c>
    </row>
    <row r="6855" spans="1:9" x14ac:dyDescent="0.3">
      <c r="A6855" t="s">
        <v>8874</v>
      </c>
      <c r="B6855" t="s">
        <v>1364</v>
      </c>
      <c r="C6855" t="s">
        <v>2011</v>
      </c>
      <c r="D6855">
        <v>3</v>
      </c>
      <c r="E6855" s="16">
        <v>121.98</v>
      </c>
      <c r="F6855" s="1">
        <v>44517</v>
      </c>
      <c r="G6855" t="s">
        <v>2002</v>
      </c>
      <c r="H6855">
        <v>5</v>
      </c>
      <c r="I6855" s="12">
        <f>Table16[[#This Row],[price]]*Table16[[#This Row],[quantity]]</f>
        <v>365.94</v>
      </c>
    </row>
    <row r="6856" spans="1:9" x14ac:dyDescent="0.3">
      <c r="A6856" t="s">
        <v>8872</v>
      </c>
      <c r="B6856" t="s">
        <v>1364</v>
      </c>
      <c r="C6856" t="s">
        <v>2011</v>
      </c>
      <c r="D6856">
        <v>3</v>
      </c>
      <c r="E6856" s="16">
        <v>121.98</v>
      </c>
      <c r="F6856" s="1">
        <v>44563</v>
      </c>
      <c r="G6856" t="s">
        <v>2020</v>
      </c>
      <c r="H6856">
        <v>1</v>
      </c>
      <c r="I6856" s="12">
        <f>Table16[[#This Row],[price]]*Table16[[#This Row],[quantity]]</f>
        <v>365.94</v>
      </c>
    </row>
    <row r="6857" spans="1:9" x14ac:dyDescent="0.3">
      <c r="A6857" t="s">
        <v>8869</v>
      </c>
      <c r="B6857" t="s">
        <v>1364</v>
      </c>
      <c r="C6857" t="s">
        <v>2001</v>
      </c>
      <c r="D6857">
        <v>1</v>
      </c>
      <c r="E6857" s="16">
        <v>300.08</v>
      </c>
      <c r="F6857" s="1">
        <v>44738</v>
      </c>
      <c r="G6857" t="s">
        <v>2020</v>
      </c>
      <c r="H6857">
        <v>3</v>
      </c>
      <c r="I6857" s="12">
        <f>Table16[[#This Row],[price]]*Table16[[#This Row],[quantity]]</f>
        <v>300.08</v>
      </c>
    </row>
    <row r="6858" spans="1:9" x14ac:dyDescent="0.3">
      <c r="A6858" t="s">
        <v>8868</v>
      </c>
      <c r="B6858" t="s">
        <v>1364</v>
      </c>
      <c r="C6858" t="s">
        <v>2008</v>
      </c>
      <c r="D6858">
        <v>1</v>
      </c>
      <c r="E6858" s="16">
        <v>5.23</v>
      </c>
      <c r="F6858" s="1">
        <v>44889</v>
      </c>
      <c r="G6858" t="s">
        <v>2027</v>
      </c>
      <c r="H6858">
        <v>2</v>
      </c>
      <c r="I6858" s="12">
        <f>Table16[[#This Row],[price]]*Table16[[#This Row],[quantity]]</f>
        <v>5.23</v>
      </c>
    </row>
    <row r="6859" spans="1:9" x14ac:dyDescent="0.3">
      <c r="A6859" t="s">
        <v>8875</v>
      </c>
      <c r="B6859" t="s">
        <v>1365</v>
      </c>
      <c r="C6859" t="s">
        <v>2011</v>
      </c>
      <c r="D6859">
        <v>3</v>
      </c>
      <c r="E6859" s="16">
        <v>121.98</v>
      </c>
      <c r="F6859" s="1">
        <v>44245</v>
      </c>
      <c r="G6859" t="s">
        <v>2004</v>
      </c>
      <c r="H6859">
        <v>5</v>
      </c>
      <c r="I6859" s="12">
        <f>Table16[[#This Row],[price]]*Table16[[#This Row],[quantity]]</f>
        <v>365.94</v>
      </c>
    </row>
    <row r="6860" spans="1:9" x14ac:dyDescent="0.3">
      <c r="A6860" t="s">
        <v>8876</v>
      </c>
      <c r="B6860" t="s">
        <v>1365</v>
      </c>
      <c r="C6860" t="s">
        <v>2011</v>
      </c>
      <c r="D6860">
        <v>3</v>
      </c>
      <c r="E6860" s="16">
        <v>121.98</v>
      </c>
      <c r="F6860" s="1">
        <v>44303</v>
      </c>
      <c r="G6860" t="s">
        <v>2064</v>
      </c>
      <c r="H6860">
        <v>2</v>
      </c>
      <c r="I6860" s="12">
        <f>Table16[[#This Row],[price]]*Table16[[#This Row],[quantity]]</f>
        <v>365.94</v>
      </c>
    </row>
    <row r="6861" spans="1:9" x14ac:dyDescent="0.3">
      <c r="A6861" t="s">
        <v>8880</v>
      </c>
      <c r="B6861" t="s">
        <v>1366</v>
      </c>
      <c r="C6861" t="s">
        <v>2017</v>
      </c>
      <c r="D6861">
        <v>5</v>
      </c>
      <c r="E6861" s="16">
        <v>5250</v>
      </c>
      <c r="F6861" s="1">
        <v>44207</v>
      </c>
      <c r="G6861" t="s">
        <v>2004</v>
      </c>
      <c r="H6861">
        <v>1</v>
      </c>
      <c r="I6861" s="12">
        <f>Table16[[#This Row],[price]]*Table16[[#This Row],[quantity]]</f>
        <v>26250</v>
      </c>
    </row>
    <row r="6862" spans="1:9" x14ac:dyDescent="0.3">
      <c r="A6862" t="s">
        <v>8878</v>
      </c>
      <c r="B6862" t="s">
        <v>1366</v>
      </c>
      <c r="C6862" t="s">
        <v>2008</v>
      </c>
      <c r="D6862">
        <v>4</v>
      </c>
      <c r="E6862" s="16">
        <v>20.92</v>
      </c>
      <c r="F6862" s="1">
        <v>44227</v>
      </c>
      <c r="G6862" t="s">
        <v>2004</v>
      </c>
      <c r="H6862">
        <v>1</v>
      </c>
      <c r="I6862" s="12">
        <f>Table16[[#This Row],[price]]*Table16[[#This Row],[quantity]]</f>
        <v>83.68</v>
      </c>
    </row>
    <row r="6863" spans="1:9" x14ac:dyDescent="0.3">
      <c r="A6863" t="s">
        <v>8879</v>
      </c>
      <c r="B6863" t="s">
        <v>1366</v>
      </c>
      <c r="C6863" t="s">
        <v>2001</v>
      </c>
      <c r="D6863">
        <v>2</v>
      </c>
      <c r="E6863" s="16">
        <v>600.16</v>
      </c>
      <c r="F6863" s="1">
        <v>44271</v>
      </c>
      <c r="G6863" t="s">
        <v>2027</v>
      </c>
      <c r="H6863">
        <v>3</v>
      </c>
      <c r="I6863" s="12">
        <f>Table16[[#This Row],[price]]*Table16[[#This Row],[quantity]]</f>
        <v>1200.32</v>
      </c>
    </row>
    <row r="6864" spans="1:9" x14ac:dyDescent="0.3">
      <c r="A6864" t="s">
        <v>8877</v>
      </c>
      <c r="B6864" t="s">
        <v>1366</v>
      </c>
      <c r="C6864" t="s">
        <v>2008</v>
      </c>
      <c r="D6864">
        <v>2</v>
      </c>
      <c r="E6864" s="16">
        <v>10.46</v>
      </c>
      <c r="F6864" s="1">
        <v>44930</v>
      </c>
      <c r="G6864" t="s">
        <v>2002</v>
      </c>
      <c r="H6864">
        <v>4</v>
      </c>
      <c r="I6864" s="12">
        <f>Table16[[#This Row],[price]]*Table16[[#This Row],[quantity]]</f>
        <v>20.92</v>
      </c>
    </row>
    <row r="6865" spans="1:9" x14ac:dyDescent="0.3">
      <c r="A6865" t="s">
        <v>8884</v>
      </c>
      <c r="B6865" t="s">
        <v>1367</v>
      </c>
      <c r="C6865" t="s">
        <v>2001</v>
      </c>
      <c r="D6865">
        <v>5</v>
      </c>
      <c r="E6865" s="16">
        <v>1500.4</v>
      </c>
      <c r="F6865" s="1">
        <v>44319</v>
      </c>
      <c r="G6865" t="s">
        <v>2064</v>
      </c>
      <c r="H6865">
        <v>1</v>
      </c>
      <c r="I6865" s="12">
        <f>Table16[[#This Row],[price]]*Table16[[#This Row],[quantity]]</f>
        <v>7502</v>
      </c>
    </row>
    <row r="6866" spans="1:9" x14ac:dyDescent="0.3">
      <c r="A6866" t="s">
        <v>8882</v>
      </c>
      <c r="B6866" t="s">
        <v>1367</v>
      </c>
      <c r="C6866" t="s">
        <v>2001</v>
      </c>
      <c r="D6866">
        <v>5</v>
      </c>
      <c r="E6866" s="16">
        <v>1500.4</v>
      </c>
      <c r="F6866" s="1">
        <v>44388</v>
      </c>
      <c r="G6866" t="s">
        <v>2020</v>
      </c>
      <c r="H6866">
        <v>3</v>
      </c>
      <c r="I6866" s="12">
        <f>Table16[[#This Row],[price]]*Table16[[#This Row],[quantity]]</f>
        <v>7502</v>
      </c>
    </row>
    <row r="6867" spans="1:9" x14ac:dyDescent="0.3">
      <c r="A6867" t="s">
        <v>8881</v>
      </c>
      <c r="B6867" t="s">
        <v>1367</v>
      </c>
      <c r="C6867" t="s">
        <v>2011</v>
      </c>
      <c r="D6867">
        <v>1</v>
      </c>
      <c r="E6867" s="16">
        <v>40.659999999999997</v>
      </c>
      <c r="F6867" s="1">
        <v>44577</v>
      </c>
      <c r="G6867" t="s">
        <v>2004</v>
      </c>
      <c r="H6867">
        <v>1</v>
      </c>
      <c r="I6867" s="12">
        <f>Table16[[#This Row],[price]]*Table16[[#This Row],[quantity]]</f>
        <v>40.659999999999997</v>
      </c>
    </row>
    <row r="6868" spans="1:9" x14ac:dyDescent="0.3">
      <c r="A6868" t="s">
        <v>8883</v>
      </c>
      <c r="B6868" t="s">
        <v>1367</v>
      </c>
      <c r="C6868" t="s">
        <v>2001</v>
      </c>
      <c r="D6868">
        <v>2</v>
      </c>
      <c r="E6868" s="16">
        <v>600.16</v>
      </c>
      <c r="F6868" s="1">
        <v>44652</v>
      </c>
      <c r="G6868" t="s">
        <v>2002</v>
      </c>
      <c r="H6868">
        <v>2</v>
      </c>
      <c r="I6868" s="12">
        <f>Table16[[#This Row],[price]]*Table16[[#This Row],[quantity]]</f>
        <v>1200.32</v>
      </c>
    </row>
    <row r="6869" spans="1:9" x14ac:dyDescent="0.3">
      <c r="A6869" t="s">
        <v>8885</v>
      </c>
      <c r="B6869" t="s">
        <v>1368</v>
      </c>
      <c r="C6869" t="s">
        <v>2001</v>
      </c>
      <c r="D6869">
        <v>5</v>
      </c>
      <c r="E6869" s="16">
        <v>1500.4</v>
      </c>
      <c r="F6869" s="1">
        <v>44314</v>
      </c>
      <c r="G6869" t="s">
        <v>2027</v>
      </c>
      <c r="H6869">
        <v>1</v>
      </c>
      <c r="I6869" s="12">
        <f>Table16[[#This Row],[price]]*Table16[[#This Row],[quantity]]</f>
        <v>7502</v>
      </c>
    </row>
    <row r="6870" spans="1:9" x14ac:dyDescent="0.3">
      <c r="A6870" t="s">
        <v>8887</v>
      </c>
      <c r="B6870" t="s">
        <v>1368</v>
      </c>
      <c r="C6870" t="s">
        <v>2001</v>
      </c>
      <c r="D6870">
        <v>1</v>
      </c>
      <c r="E6870" s="16">
        <v>300.08</v>
      </c>
      <c r="F6870" s="1">
        <v>44407</v>
      </c>
      <c r="G6870" t="s">
        <v>2027</v>
      </c>
      <c r="H6870">
        <v>2</v>
      </c>
      <c r="I6870" s="12">
        <f>Table16[[#This Row],[price]]*Table16[[#This Row],[quantity]]</f>
        <v>300.08</v>
      </c>
    </row>
    <row r="6871" spans="1:9" x14ac:dyDescent="0.3">
      <c r="A6871" t="s">
        <v>8886</v>
      </c>
      <c r="B6871" t="s">
        <v>1368</v>
      </c>
      <c r="C6871" t="s">
        <v>2011</v>
      </c>
      <c r="D6871">
        <v>5</v>
      </c>
      <c r="E6871" s="16">
        <v>203.3</v>
      </c>
      <c r="F6871" s="1">
        <v>44729</v>
      </c>
      <c r="G6871" t="s">
        <v>2002</v>
      </c>
      <c r="H6871">
        <v>4</v>
      </c>
      <c r="I6871" s="12">
        <f>Table16[[#This Row],[price]]*Table16[[#This Row],[quantity]]</f>
        <v>1016.5</v>
      </c>
    </row>
    <row r="6872" spans="1:9" x14ac:dyDescent="0.3">
      <c r="A6872" t="s">
        <v>8888</v>
      </c>
      <c r="B6872" t="s">
        <v>1368</v>
      </c>
      <c r="C6872" t="s">
        <v>2001</v>
      </c>
      <c r="D6872">
        <v>2</v>
      </c>
      <c r="E6872" s="16">
        <v>600.16</v>
      </c>
      <c r="F6872" s="1">
        <v>44791</v>
      </c>
      <c r="G6872" t="s">
        <v>2027</v>
      </c>
      <c r="H6872">
        <v>4</v>
      </c>
      <c r="I6872" s="12">
        <f>Table16[[#This Row],[price]]*Table16[[#This Row],[quantity]]</f>
        <v>1200.32</v>
      </c>
    </row>
    <row r="6873" spans="1:9" x14ac:dyDescent="0.3">
      <c r="A6873" t="s">
        <v>8890</v>
      </c>
      <c r="B6873" t="s">
        <v>1369</v>
      </c>
      <c r="C6873" t="s">
        <v>2006</v>
      </c>
      <c r="D6873">
        <v>3</v>
      </c>
      <c r="E6873" s="16">
        <v>45.45</v>
      </c>
      <c r="F6873" s="1">
        <v>44276</v>
      </c>
      <c r="G6873" t="s">
        <v>2012</v>
      </c>
      <c r="H6873">
        <v>4</v>
      </c>
      <c r="I6873" s="12">
        <f>Table16[[#This Row],[price]]*Table16[[#This Row],[quantity]]</f>
        <v>136.35000000000002</v>
      </c>
    </row>
    <row r="6874" spans="1:9" x14ac:dyDescent="0.3">
      <c r="A6874" t="s">
        <v>8891</v>
      </c>
      <c r="B6874" t="s">
        <v>1369</v>
      </c>
      <c r="C6874" t="s">
        <v>2057</v>
      </c>
      <c r="D6874">
        <v>3</v>
      </c>
      <c r="E6874" s="16">
        <v>35.19</v>
      </c>
      <c r="F6874" s="1">
        <v>44445</v>
      </c>
      <c r="G6874" t="s">
        <v>2004</v>
      </c>
      <c r="H6874">
        <v>4</v>
      </c>
      <c r="I6874" s="12">
        <f>Table16[[#This Row],[price]]*Table16[[#This Row],[quantity]]</f>
        <v>105.57</v>
      </c>
    </row>
    <row r="6875" spans="1:9" x14ac:dyDescent="0.3">
      <c r="A6875" t="s">
        <v>8889</v>
      </c>
      <c r="B6875" t="s">
        <v>1369</v>
      </c>
      <c r="C6875" t="s">
        <v>2001</v>
      </c>
      <c r="D6875">
        <v>2</v>
      </c>
      <c r="E6875" s="16">
        <v>600.16</v>
      </c>
      <c r="F6875" s="1">
        <v>44882</v>
      </c>
      <c r="G6875" t="s">
        <v>2009</v>
      </c>
      <c r="H6875">
        <v>4</v>
      </c>
      <c r="I6875" s="12">
        <f>Table16[[#This Row],[price]]*Table16[[#This Row],[quantity]]</f>
        <v>1200.32</v>
      </c>
    </row>
    <row r="6876" spans="1:9" x14ac:dyDescent="0.3">
      <c r="A6876" t="s">
        <v>8892</v>
      </c>
      <c r="B6876" t="s">
        <v>1370</v>
      </c>
      <c r="C6876" t="s">
        <v>2008</v>
      </c>
      <c r="D6876">
        <v>4</v>
      </c>
      <c r="E6876" s="16">
        <v>20.92</v>
      </c>
      <c r="F6876" s="1">
        <v>44214</v>
      </c>
      <c r="G6876" t="s">
        <v>2027</v>
      </c>
      <c r="H6876">
        <v>4</v>
      </c>
      <c r="I6876" s="12">
        <f>Table16[[#This Row],[price]]*Table16[[#This Row],[quantity]]</f>
        <v>83.68</v>
      </c>
    </row>
    <row r="6877" spans="1:9" x14ac:dyDescent="0.3">
      <c r="A6877" t="s">
        <v>8894</v>
      </c>
      <c r="B6877" t="s">
        <v>1370</v>
      </c>
      <c r="C6877" t="s">
        <v>2008</v>
      </c>
      <c r="D6877">
        <v>4</v>
      </c>
      <c r="E6877" s="16">
        <v>20.92</v>
      </c>
      <c r="F6877" s="1">
        <v>44440</v>
      </c>
      <c r="G6877" t="s">
        <v>2027</v>
      </c>
      <c r="H6877">
        <v>2</v>
      </c>
      <c r="I6877" s="12">
        <f>Table16[[#This Row],[price]]*Table16[[#This Row],[quantity]]</f>
        <v>83.68</v>
      </c>
    </row>
    <row r="6878" spans="1:9" x14ac:dyDescent="0.3">
      <c r="A6878" t="s">
        <v>8895</v>
      </c>
      <c r="B6878" t="s">
        <v>1370</v>
      </c>
      <c r="C6878" t="s">
        <v>2015</v>
      </c>
      <c r="D6878">
        <v>2</v>
      </c>
      <c r="E6878" s="16">
        <v>1200.3399999999999</v>
      </c>
      <c r="F6878" s="1">
        <v>44830</v>
      </c>
      <c r="G6878" t="s">
        <v>2027</v>
      </c>
      <c r="H6878">
        <v>2</v>
      </c>
      <c r="I6878" s="12">
        <f>Table16[[#This Row],[price]]*Table16[[#This Row],[quantity]]</f>
        <v>2400.6799999999998</v>
      </c>
    </row>
    <row r="6879" spans="1:9" x14ac:dyDescent="0.3">
      <c r="A6879" t="s">
        <v>8893</v>
      </c>
      <c r="B6879" t="s">
        <v>1370</v>
      </c>
      <c r="C6879" t="s">
        <v>2057</v>
      </c>
      <c r="D6879">
        <v>5</v>
      </c>
      <c r="E6879" s="16">
        <v>58.65</v>
      </c>
      <c r="F6879" s="1">
        <v>44940</v>
      </c>
      <c r="G6879" t="s">
        <v>2004</v>
      </c>
      <c r="H6879">
        <v>1</v>
      </c>
      <c r="I6879" s="12">
        <f>Table16[[#This Row],[price]]*Table16[[#This Row],[quantity]]</f>
        <v>293.25</v>
      </c>
    </row>
    <row r="6880" spans="1:9" x14ac:dyDescent="0.3">
      <c r="A6880" t="s">
        <v>8897</v>
      </c>
      <c r="B6880" t="s">
        <v>1371</v>
      </c>
      <c r="C6880" t="s">
        <v>2001</v>
      </c>
      <c r="D6880">
        <v>1</v>
      </c>
      <c r="E6880" s="16">
        <v>300.08</v>
      </c>
      <c r="F6880" s="1">
        <v>44260</v>
      </c>
      <c r="G6880" t="s">
        <v>2004</v>
      </c>
      <c r="H6880">
        <v>3</v>
      </c>
      <c r="I6880" s="12">
        <f>Table16[[#This Row],[price]]*Table16[[#This Row],[quantity]]</f>
        <v>300.08</v>
      </c>
    </row>
    <row r="6881" spans="1:9" x14ac:dyDescent="0.3">
      <c r="A6881" t="s">
        <v>8899</v>
      </c>
      <c r="B6881" t="s">
        <v>1371</v>
      </c>
      <c r="C6881" t="s">
        <v>2001</v>
      </c>
      <c r="D6881">
        <v>2</v>
      </c>
      <c r="E6881" s="16">
        <v>600.16</v>
      </c>
      <c r="F6881" s="1">
        <v>44261</v>
      </c>
      <c r="G6881" t="s">
        <v>2018</v>
      </c>
      <c r="H6881">
        <v>1</v>
      </c>
      <c r="I6881" s="12">
        <f>Table16[[#This Row],[price]]*Table16[[#This Row],[quantity]]</f>
        <v>1200.32</v>
      </c>
    </row>
    <row r="6882" spans="1:9" x14ac:dyDescent="0.3">
      <c r="A6882" t="s">
        <v>8901</v>
      </c>
      <c r="B6882" t="s">
        <v>1371</v>
      </c>
      <c r="C6882" t="s">
        <v>2001</v>
      </c>
      <c r="D6882">
        <v>2</v>
      </c>
      <c r="E6882" s="16">
        <v>600.16</v>
      </c>
      <c r="F6882" s="1">
        <v>44329</v>
      </c>
      <c r="G6882" t="s">
        <v>2027</v>
      </c>
      <c r="H6882">
        <v>3</v>
      </c>
      <c r="I6882" s="12">
        <f>Table16[[#This Row],[price]]*Table16[[#This Row],[quantity]]</f>
        <v>1200.32</v>
      </c>
    </row>
    <row r="6883" spans="1:9" x14ac:dyDescent="0.3">
      <c r="A6883" t="s">
        <v>8902</v>
      </c>
      <c r="B6883" t="s">
        <v>1371</v>
      </c>
      <c r="C6883" t="s">
        <v>2011</v>
      </c>
      <c r="D6883">
        <v>5</v>
      </c>
      <c r="E6883" s="16">
        <v>203.3</v>
      </c>
      <c r="F6883" s="1">
        <v>44429</v>
      </c>
      <c r="G6883" t="s">
        <v>2004</v>
      </c>
      <c r="H6883">
        <v>3</v>
      </c>
      <c r="I6883" s="12">
        <f>Table16[[#This Row],[price]]*Table16[[#This Row],[quantity]]</f>
        <v>1016.5</v>
      </c>
    </row>
    <row r="6884" spans="1:9" x14ac:dyDescent="0.3">
      <c r="A6884" t="s">
        <v>8900</v>
      </c>
      <c r="B6884" t="s">
        <v>1371</v>
      </c>
      <c r="C6884" t="s">
        <v>2017</v>
      </c>
      <c r="D6884">
        <v>5</v>
      </c>
      <c r="E6884" s="16">
        <v>5250</v>
      </c>
      <c r="F6884" s="1">
        <v>44495</v>
      </c>
      <c r="G6884" t="s">
        <v>2004</v>
      </c>
      <c r="H6884">
        <v>3</v>
      </c>
      <c r="I6884" s="12">
        <f>Table16[[#This Row],[price]]*Table16[[#This Row],[quantity]]</f>
        <v>26250</v>
      </c>
    </row>
    <row r="6885" spans="1:9" x14ac:dyDescent="0.3">
      <c r="A6885" t="s">
        <v>8896</v>
      </c>
      <c r="B6885" t="s">
        <v>1371</v>
      </c>
      <c r="C6885" t="s">
        <v>2006</v>
      </c>
      <c r="D6885">
        <v>4</v>
      </c>
      <c r="E6885" s="16">
        <v>60.6</v>
      </c>
      <c r="F6885" s="1">
        <v>44565</v>
      </c>
      <c r="G6885" t="s">
        <v>2018</v>
      </c>
      <c r="H6885">
        <v>3</v>
      </c>
      <c r="I6885" s="12">
        <f>Table16[[#This Row],[price]]*Table16[[#This Row],[quantity]]</f>
        <v>242.4</v>
      </c>
    </row>
    <row r="6886" spans="1:9" x14ac:dyDescent="0.3">
      <c r="A6886" t="s">
        <v>8898</v>
      </c>
      <c r="B6886" t="s">
        <v>1371</v>
      </c>
      <c r="C6886" t="s">
        <v>2011</v>
      </c>
      <c r="D6886">
        <v>3</v>
      </c>
      <c r="E6886" s="16">
        <v>121.98</v>
      </c>
      <c r="F6886" s="1">
        <v>44587</v>
      </c>
      <c r="G6886" t="s">
        <v>2027</v>
      </c>
      <c r="H6886">
        <v>2</v>
      </c>
      <c r="I6886" s="12">
        <f>Table16[[#This Row],[price]]*Table16[[#This Row],[quantity]]</f>
        <v>365.94</v>
      </c>
    </row>
    <row r="6887" spans="1:9" x14ac:dyDescent="0.3">
      <c r="A6887" t="s">
        <v>8903</v>
      </c>
      <c r="B6887" t="s">
        <v>1371</v>
      </c>
      <c r="C6887" t="s">
        <v>2001</v>
      </c>
      <c r="D6887">
        <v>2</v>
      </c>
      <c r="E6887" s="16">
        <v>600.16</v>
      </c>
      <c r="F6887" s="1">
        <v>44964</v>
      </c>
      <c r="G6887" t="s">
        <v>2004</v>
      </c>
      <c r="H6887">
        <v>4</v>
      </c>
      <c r="I6887" s="12">
        <f>Table16[[#This Row],[price]]*Table16[[#This Row],[quantity]]</f>
        <v>1200.32</v>
      </c>
    </row>
    <row r="6888" spans="1:9" x14ac:dyDescent="0.3">
      <c r="A6888" t="s">
        <v>8909</v>
      </c>
      <c r="B6888" t="s">
        <v>1372</v>
      </c>
      <c r="C6888" t="s">
        <v>2024</v>
      </c>
      <c r="D6888">
        <v>4</v>
      </c>
      <c r="E6888" s="16">
        <v>143.36000000000001</v>
      </c>
      <c r="F6888" s="1">
        <v>44282</v>
      </c>
      <c r="G6888" t="s">
        <v>2002</v>
      </c>
      <c r="H6888">
        <v>5</v>
      </c>
      <c r="I6888" s="12">
        <f>Table16[[#This Row],[price]]*Table16[[#This Row],[quantity]]</f>
        <v>573.44000000000005</v>
      </c>
    </row>
    <row r="6889" spans="1:9" x14ac:dyDescent="0.3">
      <c r="A6889" t="s">
        <v>8904</v>
      </c>
      <c r="B6889" t="s">
        <v>1372</v>
      </c>
      <c r="C6889" t="s">
        <v>2001</v>
      </c>
      <c r="D6889">
        <v>1</v>
      </c>
      <c r="E6889" s="16">
        <v>300.08</v>
      </c>
      <c r="F6889" s="1">
        <v>44295</v>
      </c>
      <c r="G6889" t="s">
        <v>2004</v>
      </c>
      <c r="H6889">
        <v>3</v>
      </c>
      <c r="I6889" s="12">
        <f>Table16[[#This Row],[price]]*Table16[[#This Row],[quantity]]</f>
        <v>300.08</v>
      </c>
    </row>
    <row r="6890" spans="1:9" x14ac:dyDescent="0.3">
      <c r="A6890" t="s">
        <v>8908</v>
      </c>
      <c r="B6890" t="s">
        <v>1372</v>
      </c>
      <c r="C6890" t="s">
        <v>2015</v>
      </c>
      <c r="D6890">
        <v>2</v>
      </c>
      <c r="E6890" s="16">
        <v>1200.3399999999999</v>
      </c>
      <c r="F6890" s="1">
        <v>44305</v>
      </c>
      <c r="G6890" t="s">
        <v>2018</v>
      </c>
      <c r="H6890">
        <v>2</v>
      </c>
      <c r="I6890" s="12">
        <f>Table16[[#This Row],[price]]*Table16[[#This Row],[quantity]]</f>
        <v>2400.6799999999998</v>
      </c>
    </row>
    <row r="6891" spans="1:9" x14ac:dyDescent="0.3">
      <c r="A6891" t="s">
        <v>8910</v>
      </c>
      <c r="B6891" t="s">
        <v>1372</v>
      </c>
      <c r="C6891" t="s">
        <v>2015</v>
      </c>
      <c r="D6891">
        <v>1</v>
      </c>
      <c r="E6891" s="16">
        <v>600.16999999999996</v>
      </c>
      <c r="F6891" s="1">
        <v>44463</v>
      </c>
      <c r="G6891" t="s">
        <v>2027</v>
      </c>
      <c r="H6891">
        <v>4</v>
      </c>
      <c r="I6891" s="12">
        <f>Table16[[#This Row],[price]]*Table16[[#This Row],[quantity]]</f>
        <v>600.16999999999996</v>
      </c>
    </row>
    <row r="6892" spans="1:9" x14ac:dyDescent="0.3">
      <c r="A6892" t="s">
        <v>8905</v>
      </c>
      <c r="B6892" t="s">
        <v>1372</v>
      </c>
      <c r="C6892" t="s">
        <v>2001</v>
      </c>
      <c r="D6892">
        <v>5</v>
      </c>
      <c r="E6892" s="16">
        <v>1500.4</v>
      </c>
      <c r="F6892" s="1">
        <v>44530</v>
      </c>
      <c r="G6892" t="s">
        <v>2020</v>
      </c>
      <c r="H6892">
        <v>2</v>
      </c>
      <c r="I6892" s="12">
        <f>Table16[[#This Row],[price]]*Table16[[#This Row],[quantity]]</f>
        <v>7502</v>
      </c>
    </row>
    <row r="6893" spans="1:9" x14ac:dyDescent="0.3">
      <c r="A6893" t="s">
        <v>8907</v>
      </c>
      <c r="B6893" t="s">
        <v>1372</v>
      </c>
      <c r="C6893" t="s">
        <v>2017</v>
      </c>
      <c r="D6893">
        <v>2</v>
      </c>
      <c r="E6893" s="16">
        <v>2100</v>
      </c>
      <c r="F6893" s="1">
        <v>44590</v>
      </c>
      <c r="G6893" t="s">
        <v>2027</v>
      </c>
      <c r="H6893">
        <v>5</v>
      </c>
      <c r="I6893" s="12">
        <f>Table16[[#This Row],[price]]*Table16[[#This Row],[quantity]]</f>
        <v>4200</v>
      </c>
    </row>
    <row r="6894" spans="1:9" x14ac:dyDescent="0.3">
      <c r="A6894" t="s">
        <v>8906</v>
      </c>
      <c r="B6894" t="s">
        <v>1372</v>
      </c>
      <c r="C6894" t="s">
        <v>2024</v>
      </c>
      <c r="D6894">
        <v>1</v>
      </c>
      <c r="E6894" s="16">
        <v>35.840000000000003</v>
      </c>
      <c r="F6894" s="1">
        <v>44617</v>
      </c>
      <c r="G6894" t="s">
        <v>2002</v>
      </c>
      <c r="H6894">
        <v>1</v>
      </c>
      <c r="I6894" s="12">
        <f>Table16[[#This Row],[price]]*Table16[[#This Row],[quantity]]</f>
        <v>35.840000000000003</v>
      </c>
    </row>
    <row r="6895" spans="1:9" x14ac:dyDescent="0.3">
      <c r="A6895" t="s">
        <v>8913</v>
      </c>
      <c r="B6895" t="s">
        <v>1373</v>
      </c>
      <c r="C6895" t="s">
        <v>2001</v>
      </c>
      <c r="D6895">
        <v>3</v>
      </c>
      <c r="E6895" s="16">
        <v>900.24</v>
      </c>
      <c r="F6895" s="1">
        <v>44212</v>
      </c>
      <c r="G6895" t="s">
        <v>2004</v>
      </c>
      <c r="H6895">
        <v>5</v>
      </c>
      <c r="I6895" s="12">
        <f>Table16[[#This Row],[price]]*Table16[[#This Row],[quantity]]</f>
        <v>2700.7200000000003</v>
      </c>
    </row>
    <row r="6896" spans="1:9" x14ac:dyDescent="0.3">
      <c r="A6896" t="s">
        <v>8914</v>
      </c>
      <c r="B6896" t="s">
        <v>1373</v>
      </c>
      <c r="C6896" t="s">
        <v>2001</v>
      </c>
      <c r="D6896">
        <v>3</v>
      </c>
      <c r="E6896" s="16">
        <v>900.24</v>
      </c>
      <c r="F6896" s="1">
        <v>44213</v>
      </c>
      <c r="G6896" t="s">
        <v>2064</v>
      </c>
      <c r="H6896">
        <v>4</v>
      </c>
      <c r="I6896" s="12">
        <f>Table16[[#This Row],[price]]*Table16[[#This Row],[quantity]]</f>
        <v>2700.7200000000003</v>
      </c>
    </row>
    <row r="6897" spans="1:9" x14ac:dyDescent="0.3">
      <c r="A6897" t="s">
        <v>8915</v>
      </c>
      <c r="B6897" t="s">
        <v>1373</v>
      </c>
      <c r="C6897" t="s">
        <v>2006</v>
      </c>
      <c r="D6897">
        <v>1</v>
      </c>
      <c r="E6897" s="16">
        <v>15.15</v>
      </c>
      <c r="F6897" s="1">
        <v>44426</v>
      </c>
      <c r="G6897" t="s">
        <v>2027</v>
      </c>
      <c r="H6897">
        <v>5</v>
      </c>
      <c r="I6897" s="12">
        <f>Table16[[#This Row],[price]]*Table16[[#This Row],[quantity]]</f>
        <v>15.15</v>
      </c>
    </row>
    <row r="6898" spans="1:9" x14ac:dyDescent="0.3">
      <c r="A6898" t="s">
        <v>8911</v>
      </c>
      <c r="B6898" t="s">
        <v>1373</v>
      </c>
      <c r="C6898" t="s">
        <v>2024</v>
      </c>
      <c r="D6898">
        <v>2</v>
      </c>
      <c r="E6898" s="16">
        <v>71.680000000000007</v>
      </c>
      <c r="F6898" s="1">
        <v>44481</v>
      </c>
      <c r="G6898" t="s">
        <v>2004</v>
      </c>
      <c r="H6898">
        <v>2</v>
      </c>
      <c r="I6898" s="12">
        <f>Table16[[#This Row],[price]]*Table16[[#This Row],[quantity]]</f>
        <v>143.36000000000001</v>
      </c>
    </row>
    <row r="6899" spans="1:9" x14ac:dyDescent="0.3">
      <c r="A6899" t="s">
        <v>8912</v>
      </c>
      <c r="B6899" t="s">
        <v>1373</v>
      </c>
      <c r="C6899" t="s">
        <v>2015</v>
      </c>
      <c r="D6899">
        <v>2</v>
      </c>
      <c r="E6899" s="16">
        <v>1200.3399999999999</v>
      </c>
      <c r="F6899" s="1">
        <v>44484</v>
      </c>
      <c r="G6899" t="s">
        <v>2027</v>
      </c>
      <c r="H6899">
        <v>4</v>
      </c>
      <c r="I6899" s="12">
        <f>Table16[[#This Row],[price]]*Table16[[#This Row],[quantity]]</f>
        <v>2400.6799999999998</v>
      </c>
    </row>
    <row r="6900" spans="1:9" x14ac:dyDescent="0.3">
      <c r="A6900" t="s">
        <v>8916</v>
      </c>
      <c r="B6900" t="s">
        <v>1373</v>
      </c>
      <c r="C6900" t="s">
        <v>2008</v>
      </c>
      <c r="D6900">
        <v>4</v>
      </c>
      <c r="E6900" s="16">
        <v>20.92</v>
      </c>
      <c r="F6900" s="1">
        <v>44674</v>
      </c>
      <c r="G6900" t="s">
        <v>2004</v>
      </c>
      <c r="H6900">
        <v>5</v>
      </c>
      <c r="I6900" s="12">
        <f>Table16[[#This Row],[price]]*Table16[[#This Row],[quantity]]</f>
        <v>83.68</v>
      </c>
    </row>
    <row r="6901" spans="1:9" x14ac:dyDescent="0.3">
      <c r="A6901" t="s">
        <v>8917</v>
      </c>
      <c r="B6901" t="s">
        <v>1374</v>
      </c>
      <c r="C6901" t="s">
        <v>2011</v>
      </c>
      <c r="D6901">
        <v>2</v>
      </c>
      <c r="E6901" s="16">
        <v>81.319999999999993</v>
      </c>
      <c r="F6901" s="1">
        <v>44286</v>
      </c>
      <c r="G6901" t="s">
        <v>2002</v>
      </c>
      <c r="H6901">
        <v>2</v>
      </c>
      <c r="I6901" s="12">
        <f>Table16[[#This Row],[price]]*Table16[[#This Row],[quantity]]</f>
        <v>162.63999999999999</v>
      </c>
    </row>
    <row r="6902" spans="1:9" x14ac:dyDescent="0.3">
      <c r="A6902" t="s">
        <v>8919</v>
      </c>
      <c r="B6902" t="s">
        <v>1374</v>
      </c>
      <c r="C6902" t="s">
        <v>2011</v>
      </c>
      <c r="D6902">
        <v>3</v>
      </c>
      <c r="E6902" s="16">
        <v>121.98</v>
      </c>
      <c r="F6902" s="1">
        <v>44506</v>
      </c>
      <c r="G6902" t="s">
        <v>2027</v>
      </c>
      <c r="H6902">
        <v>1</v>
      </c>
      <c r="I6902" s="12">
        <f>Table16[[#This Row],[price]]*Table16[[#This Row],[quantity]]</f>
        <v>365.94</v>
      </c>
    </row>
    <row r="6903" spans="1:9" x14ac:dyDescent="0.3">
      <c r="A6903" t="s">
        <v>8918</v>
      </c>
      <c r="B6903" t="s">
        <v>1374</v>
      </c>
      <c r="C6903" t="s">
        <v>2011</v>
      </c>
      <c r="D6903">
        <v>3</v>
      </c>
      <c r="E6903" s="16">
        <v>121.98</v>
      </c>
      <c r="F6903" s="1">
        <v>44542</v>
      </c>
      <c r="G6903" t="s">
        <v>2064</v>
      </c>
      <c r="H6903">
        <v>5</v>
      </c>
      <c r="I6903" s="12">
        <f>Table16[[#This Row],[price]]*Table16[[#This Row],[quantity]]</f>
        <v>365.94</v>
      </c>
    </row>
    <row r="6904" spans="1:9" x14ac:dyDescent="0.3">
      <c r="A6904" t="s">
        <v>8923</v>
      </c>
      <c r="B6904" t="s">
        <v>1375</v>
      </c>
      <c r="C6904" t="s">
        <v>2017</v>
      </c>
      <c r="D6904">
        <v>4</v>
      </c>
      <c r="E6904" s="16">
        <v>4200</v>
      </c>
      <c r="F6904" s="1">
        <v>44270</v>
      </c>
      <c r="G6904" t="s">
        <v>2004</v>
      </c>
      <c r="H6904">
        <v>5</v>
      </c>
      <c r="I6904" s="12">
        <f>Table16[[#This Row],[price]]*Table16[[#This Row],[quantity]]</f>
        <v>16800</v>
      </c>
    </row>
    <row r="6905" spans="1:9" x14ac:dyDescent="0.3">
      <c r="A6905" t="s">
        <v>8922</v>
      </c>
      <c r="B6905" t="s">
        <v>1375</v>
      </c>
      <c r="C6905" t="s">
        <v>2001</v>
      </c>
      <c r="D6905">
        <v>5</v>
      </c>
      <c r="E6905" s="16">
        <v>1500.4</v>
      </c>
      <c r="F6905" s="1">
        <v>44434</v>
      </c>
      <c r="G6905" t="s">
        <v>2002</v>
      </c>
      <c r="H6905">
        <v>2</v>
      </c>
      <c r="I6905" s="12">
        <f>Table16[[#This Row],[price]]*Table16[[#This Row],[quantity]]</f>
        <v>7502</v>
      </c>
    </row>
    <row r="6906" spans="1:9" x14ac:dyDescent="0.3">
      <c r="A6906" t="s">
        <v>8921</v>
      </c>
      <c r="B6906" t="s">
        <v>1375</v>
      </c>
      <c r="C6906" t="s">
        <v>2001</v>
      </c>
      <c r="D6906">
        <v>2</v>
      </c>
      <c r="E6906" s="16">
        <v>600.16</v>
      </c>
      <c r="F6906" s="1">
        <v>44618</v>
      </c>
      <c r="G6906" t="s">
        <v>2064</v>
      </c>
      <c r="H6906">
        <v>3</v>
      </c>
      <c r="I6906" s="12">
        <f>Table16[[#This Row],[price]]*Table16[[#This Row],[quantity]]</f>
        <v>1200.32</v>
      </c>
    </row>
    <row r="6907" spans="1:9" x14ac:dyDescent="0.3">
      <c r="A6907" t="s">
        <v>8920</v>
      </c>
      <c r="B6907" t="s">
        <v>1375</v>
      </c>
      <c r="C6907" t="s">
        <v>2057</v>
      </c>
      <c r="D6907">
        <v>1</v>
      </c>
      <c r="E6907" s="16">
        <v>11.73</v>
      </c>
      <c r="F6907" s="1">
        <v>44655</v>
      </c>
      <c r="G6907" t="s">
        <v>2027</v>
      </c>
      <c r="H6907">
        <v>3</v>
      </c>
      <c r="I6907" s="12">
        <f>Table16[[#This Row],[price]]*Table16[[#This Row],[quantity]]</f>
        <v>11.73</v>
      </c>
    </row>
    <row r="6908" spans="1:9" x14ac:dyDescent="0.3">
      <c r="A6908" t="s">
        <v>8927</v>
      </c>
      <c r="B6908" t="s">
        <v>1376</v>
      </c>
      <c r="C6908" t="s">
        <v>2015</v>
      </c>
      <c r="D6908">
        <v>2</v>
      </c>
      <c r="E6908" s="16">
        <v>1200.3399999999999</v>
      </c>
      <c r="F6908" s="1">
        <v>44198</v>
      </c>
      <c r="G6908" t="s">
        <v>2020</v>
      </c>
      <c r="H6908">
        <v>4</v>
      </c>
      <c r="I6908" s="12">
        <f>Table16[[#This Row],[price]]*Table16[[#This Row],[quantity]]</f>
        <v>2400.6799999999998</v>
      </c>
    </row>
    <row r="6909" spans="1:9" x14ac:dyDescent="0.3">
      <c r="A6909" t="s">
        <v>8929</v>
      </c>
      <c r="B6909" t="s">
        <v>1376</v>
      </c>
      <c r="C6909" t="s">
        <v>2001</v>
      </c>
      <c r="D6909">
        <v>5</v>
      </c>
      <c r="E6909" s="16">
        <v>1500.4</v>
      </c>
      <c r="F6909" s="1">
        <v>44221</v>
      </c>
      <c r="G6909" t="s">
        <v>2018</v>
      </c>
      <c r="H6909">
        <v>4</v>
      </c>
      <c r="I6909" s="12">
        <f>Table16[[#This Row],[price]]*Table16[[#This Row],[quantity]]</f>
        <v>7502</v>
      </c>
    </row>
    <row r="6910" spans="1:9" x14ac:dyDescent="0.3">
      <c r="A6910" t="s">
        <v>8930</v>
      </c>
      <c r="B6910" t="s">
        <v>1376</v>
      </c>
      <c r="C6910" t="s">
        <v>2001</v>
      </c>
      <c r="D6910">
        <v>4</v>
      </c>
      <c r="E6910" s="16">
        <v>1200.32</v>
      </c>
      <c r="F6910" s="1">
        <v>44421</v>
      </c>
      <c r="G6910" t="s">
        <v>2002</v>
      </c>
      <c r="H6910">
        <v>3</v>
      </c>
      <c r="I6910" s="12">
        <f>Table16[[#This Row],[price]]*Table16[[#This Row],[quantity]]</f>
        <v>4801.28</v>
      </c>
    </row>
    <row r="6911" spans="1:9" x14ac:dyDescent="0.3">
      <c r="A6911" t="s">
        <v>8925</v>
      </c>
      <c r="B6911" t="s">
        <v>1376</v>
      </c>
      <c r="C6911" t="s">
        <v>2015</v>
      </c>
      <c r="D6911">
        <v>2</v>
      </c>
      <c r="E6911" s="16">
        <v>1200.3399999999999</v>
      </c>
      <c r="F6911" s="1">
        <v>44491</v>
      </c>
      <c r="G6911" t="s">
        <v>2018</v>
      </c>
      <c r="H6911">
        <v>5</v>
      </c>
      <c r="I6911" s="12">
        <f>Table16[[#This Row],[price]]*Table16[[#This Row],[quantity]]</f>
        <v>2400.6799999999998</v>
      </c>
    </row>
    <row r="6912" spans="1:9" x14ac:dyDescent="0.3">
      <c r="A6912" t="s">
        <v>8924</v>
      </c>
      <c r="B6912" t="s">
        <v>1376</v>
      </c>
      <c r="C6912" t="s">
        <v>2011</v>
      </c>
      <c r="D6912">
        <v>3</v>
      </c>
      <c r="E6912" s="16">
        <v>121.98</v>
      </c>
      <c r="F6912" s="1">
        <v>44575</v>
      </c>
      <c r="G6912" t="s">
        <v>2027</v>
      </c>
      <c r="H6912">
        <v>4</v>
      </c>
      <c r="I6912" s="12">
        <f>Table16[[#This Row],[price]]*Table16[[#This Row],[quantity]]</f>
        <v>365.94</v>
      </c>
    </row>
    <row r="6913" spans="1:9" x14ac:dyDescent="0.3">
      <c r="A6913" t="s">
        <v>8926</v>
      </c>
      <c r="B6913" t="s">
        <v>1376</v>
      </c>
      <c r="C6913" t="s">
        <v>2001</v>
      </c>
      <c r="D6913">
        <v>3</v>
      </c>
      <c r="E6913" s="16">
        <v>900.24</v>
      </c>
      <c r="F6913" s="1">
        <v>44642</v>
      </c>
      <c r="G6913" t="s">
        <v>2027</v>
      </c>
      <c r="H6913">
        <v>5</v>
      </c>
      <c r="I6913" s="12">
        <f>Table16[[#This Row],[price]]*Table16[[#This Row],[quantity]]</f>
        <v>2700.7200000000003</v>
      </c>
    </row>
    <row r="6914" spans="1:9" x14ac:dyDescent="0.3">
      <c r="A6914" t="s">
        <v>8928</v>
      </c>
      <c r="B6914" t="s">
        <v>1376</v>
      </c>
      <c r="C6914" t="s">
        <v>2001</v>
      </c>
      <c r="D6914">
        <v>1</v>
      </c>
      <c r="E6914" s="16">
        <v>300.08</v>
      </c>
      <c r="F6914" s="1">
        <v>44774</v>
      </c>
      <c r="G6914" t="s">
        <v>2004</v>
      </c>
      <c r="H6914">
        <v>1</v>
      </c>
      <c r="I6914" s="12">
        <f>Table16[[#This Row],[price]]*Table16[[#This Row],[quantity]]</f>
        <v>300.08</v>
      </c>
    </row>
    <row r="6915" spans="1:9" x14ac:dyDescent="0.3">
      <c r="A6915" t="s">
        <v>8934</v>
      </c>
      <c r="B6915" t="s">
        <v>1377</v>
      </c>
      <c r="C6915" t="s">
        <v>2001</v>
      </c>
      <c r="D6915">
        <v>4</v>
      </c>
      <c r="E6915" s="16">
        <v>1200.32</v>
      </c>
      <c r="F6915" s="1">
        <v>44301</v>
      </c>
      <c r="G6915" t="s">
        <v>2020</v>
      </c>
      <c r="H6915">
        <v>1</v>
      </c>
      <c r="I6915" s="12">
        <f>Table16[[#This Row],[price]]*Table16[[#This Row],[quantity]]</f>
        <v>4801.28</v>
      </c>
    </row>
    <row r="6916" spans="1:9" x14ac:dyDescent="0.3">
      <c r="A6916" t="s">
        <v>8932</v>
      </c>
      <c r="B6916" t="s">
        <v>1377</v>
      </c>
      <c r="C6916" t="s">
        <v>2001</v>
      </c>
      <c r="D6916">
        <v>5</v>
      </c>
      <c r="E6916" s="16">
        <v>1500.4</v>
      </c>
      <c r="F6916" s="1">
        <v>44306</v>
      </c>
      <c r="G6916" t="s">
        <v>2027</v>
      </c>
      <c r="H6916">
        <v>4</v>
      </c>
      <c r="I6916" s="12">
        <f>Table16[[#This Row],[price]]*Table16[[#This Row],[quantity]]</f>
        <v>7502</v>
      </c>
    </row>
    <row r="6917" spans="1:9" x14ac:dyDescent="0.3">
      <c r="A6917" t="s">
        <v>8931</v>
      </c>
      <c r="B6917" t="s">
        <v>1377</v>
      </c>
      <c r="C6917" t="s">
        <v>2008</v>
      </c>
      <c r="D6917">
        <v>4</v>
      </c>
      <c r="E6917" s="16">
        <v>20.92</v>
      </c>
      <c r="F6917" s="1">
        <v>44313</v>
      </c>
      <c r="G6917" t="s">
        <v>2064</v>
      </c>
      <c r="H6917">
        <v>2</v>
      </c>
      <c r="I6917" s="12">
        <f>Table16[[#This Row],[price]]*Table16[[#This Row],[quantity]]</f>
        <v>83.68</v>
      </c>
    </row>
    <row r="6918" spans="1:9" x14ac:dyDescent="0.3">
      <c r="A6918" t="s">
        <v>8936</v>
      </c>
      <c r="B6918" t="s">
        <v>1377</v>
      </c>
      <c r="C6918" t="s">
        <v>2011</v>
      </c>
      <c r="D6918">
        <v>4</v>
      </c>
      <c r="E6918" s="16">
        <v>162.63999999999999</v>
      </c>
      <c r="F6918" s="1">
        <v>44699</v>
      </c>
      <c r="G6918" t="s">
        <v>2020</v>
      </c>
      <c r="H6918">
        <v>2</v>
      </c>
      <c r="I6918" s="12">
        <f>Table16[[#This Row],[price]]*Table16[[#This Row],[quantity]]</f>
        <v>650.55999999999995</v>
      </c>
    </row>
    <row r="6919" spans="1:9" x14ac:dyDescent="0.3">
      <c r="A6919" t="s">
        <v>8933</v>
      </c>
      <c r="B6919" t="s">
        <v>1377</v>
      </c>
      <c r="C6919" t="s">
        <v>2001</v>
      </c>
      <c r="D6919">
        <v>3</v>
      </c>
      <c r="E6919" s="16">
        <v>900.24</v>
      </c>
      <c r="F6919" s="1">
        <v>44728</v>
      </c>
      <c r="G6919" t="s">
        <v>2027</v>
      </c>
      <c r="H6919">
        <v>4</v>
      </c>
      <c r="I6919" s="12">
        <f>Table16[[#This Row],[price]]*Table16[[#This Row],[quantity]]</f>
        <v>2700.7200000000003</v>
      </c>
    </row>
    <row r="6920" spans="1:9" x14ac:dyDescent="0.3">
      <c r="A6920" t="s">
        <v>8935</v>
      </c>
      <c r="B6920" t="s">
        <v>1377</v>
      </c>
      <c r="C6920" t="s">
        <v>2006</v>
      </c>
      <c r="D6920">
        <v>2</v>
      </c>
      <c r="E6920" s="16">
        <v>30.3</v>
      </c>
      <c r="F6920" s="1">
        <v>44924</v>
      </c>
      <c r="G6920" t="s">
        <v>2002</v>
      </c>
      <c r="H6920">
        <v>4</v>
      </c>
      <c r="I6920" s="12">
        <f>Table16[[#This Row],[price]]*Table16[[#This Row],[quantity]]</f>
        <v>60.6</v>
      </c>
    </row>
    <row r="6921" spans="1:9" x14ac:dyDescent="0.3">
      <c r="A6921" t="s">
        <v>8937</v>
      </c>
      <c r="B6921" t="s">
        <v>1378</v>
      </c>
      <c r="C6921" t="s">
        <v>2006</v>
      </c>
      <c r="D6921">
        <v>1</v>
      </c>
      <c r="E6921" s="16">
        <v>15.15</v>
      </c>
      <c r="F6921" s="1">
        <v>44368</v>
      </c>
      <c r="G6921" t="s">
        <v>2002</v>
      </c>
      <c r="H6921">
        <v>1</v>
      </c>
      <c r="I6921" s="12">
        <f>Table16[[#This Row],[price]]*Table16[[#This Row],[quantity]]</f>
        <v>15.15</v>
      </c>
    </row>
    <row r="6922" spans="1:9" x14ac:dyDescent="0.3">
      <c r="A6922" t="s">
        <v>8942</v>
      </c>
      <c r="B6922" t="s">
        <v>1378</v>
      </c>
      <c r="C6922" t="s">
        <v>2011</v>
      </c>
      <c r="D6922">
        <v>5</v>
      </c>
      <c r="E6922" s="16">
        <v>203.3</v>
      </c>
      <c r="F6922" s="1">
        <v>44600</v>
      </c>
      <c r="G6922" t="s">
        <v>2027</v>
      </c>
      <c r="H6922">
        <v>3</v>
      </c>
      <c r="I6922" s="12">
        <f>Table16[[#This Row],[price]]*Table16[[#This Row],[quantity]]</f>
        <v>1016.5</v>
      </c>
    </row>
    <row r="6923" spans="1:9" x14ac:dyDescent="0.3">
      <c r="A6923" t="s">
        <v>8939</v>
      </c>
      <c r="B6923" t="s">
        <v>1378</v>
      </c>
      <c r="C6923" t="s">
        <v>2001</v>
      </c>
      <c r="D6923">
        <v>2</v>
      </c>
      <c r="E6923" s="16">
        <v>600.16</v>
      </c>
      <c r="F6923" s="1">
        <v>44645</v>
      </c>
      <c r="G6923" t="s">
        <v>2020</v>
      </c>
      <c r="H6923">
        <v>3</v>
      </c>
      <c r="I6923" s="12">
        <f>Table16[[#This Row],[price]]*Table16[[#This Row],[quantity]]</f>
        <v>1200.32</v>
      </c>
    </row>
    <row r="6924" spans="1:9" x14ac:dyDescent="0.3">
      <c r="A6924" t="s">
        <v>8941</v>
      </c>
      <c r="B6924" t="s">
        <v>1378</v>
      </c>
      <c r="C6924" t="s">
        <v>2015</v>
      </c>
      <c r="D6924">
        <v>3</v>
      </c>
      <c r="E6924" s="16">
        <v>1800.51</v>
      </c>
      <c r="F6924" s="1">
        <v>44859</v>
      </c>
      <c r="G6924" t="s">
        <v>2004</v>
      </c>
      <c r="H6924">
        <v>4</v>
      </c>
      <c r="I6924" s="12">
        <f>Table16[[#This Row],[price]]*Table16[[#This Row],[quantity]]</f>
        <v>5401.53</v>
      </c>
    </row>
    <row r="6925" spans="1:9" x14ac:dyDescent="0.3">
      <c r="A6925" t="s">
        <v>8938</v>
      </c>
      <c r="B6925" t="s">
        <v>1378</v>
      </c>
      <c r="C6925" t="s">
        <v>2001</v>
      </c>
      <c r="D6925">
        <v>1</v>
      </c>
      <c r="E6925" s="16">
        <v>300.08</v>
      </c>
      <c r="F6925" s="1">
        <v>44867</v>
      </c>
      <c r="G6925" t="s">
        <v>2018</v>
      </c>
      <c r="H6925">
        <v>1</v>
      </c>
      <c r="I6925" s="12">
        <f>Table16[[#This Row],[price]]*Table16[[#This Row],[quantity]]</f>
        <v>300.08</v>
      </c>
    </row>
    <row r="6926" spans="1:9" x14ac:dyDescent="0.3">
      <c r="A6926" t="s">
        <v>8940</v>
      </c>
      <c r="B6926" t="s">
        <v>1378</v>
      </c>
      <c r="C6926" t="s">
        <v>2057</v>
      </c>
      <c r="D6926">
        <v>4</v>
      </c>
      <c r="E6926" s="16">
        <v>46.92</v>
      </c>
      <c r="F6926" s="1">
        <v>44918</v>
      </c>
      <c r="G6926" t="s">
        <v>2027</v>
      </c>
      <c r="H6926">
        <v>4</v>
      </c>
      <c r="I6926" s="12">
        <f>Table16[[#This Row],[price]]*Table16[[#This Row],[quantity]]</f>
        <v>187.68</v>
      </c>
    </row>
    <row r="6927" spans="1:9" x14ac:dyDescent="0.3">
      <c r="A6927" t="s">
        <v>8943</v>
      </c>
      <c r="B6927" t="s">
        <v>1379</v>
      </c>
      <c r="C6927" t="s">
        <v>2024</v>
      </c>
      <c r="D6927">
        <v>1</v>
      </c>
      <c r="E6927" s="16">
        <v>35.840000000000003</v>
      </c>
      <c r="F6927" s="1">
        <v>44216</v>
      </c>
      <c r="G6927" t="s">
        <v>2002</v>
      </c>
      <c r="H6927">
        <v>2</v>
      </c>
      <c r="I6927" s="12">
        <f>Table16[[#This Row],[price]]*Table16[[#This Row],[quantity]]</f>
        <v>35.840000000000003</v>
      </c>
    </row>
    <row r="6928" spans="1:9" x14ac:dyDescent="0.3">
      <c r="A6928" t="s">
        <v>8944</v>
      </c>
      <c r="B6928" t="s">
        <v>1379</v>
      </c>
      <c r="C6928" t="s">
        <v>2008</v>
      </c>
      <c r="D6928">
        <v>2</v>
      </c>
      <c r="E6928" s="16">
        <v>10.46</v>
      </c>
      <c r="F6928" s="1">
        <v>44241</v>
      </c>
      <c r="G6928" t="s">
        <v>2058</v>
      </c>
      <c r="H6928">
        <v>1</v>
      </c>
      <c r="I6928" s="12">
        <f>Table16[[#This Row],[price]]*Table16[[#This Row],[quantity]]</f>
        <v>20.92</v>
      </c>
    </row>
    <row r="6929" spans="1:9" x14ac:dyDescent="0.3">
      <c r="A6929" t="s">
        <v>8949</v>
      </c>
      <c r="B6929" t="s">
        <v>1379</v>
      </c>
      <c r="C6929" t="s">
        <v>2024</v>
      </c>
      <c r="D6929">
        <v>5</v>
      </c>
      <c r="E6929" s="16">
        <v>179.2</v>
      </c>
      <c r="F6929" s="1">
        <v>44484</v>
      </c>
      <c r="G6929" t="s">
        <v>2027</v>
      </c>
      <c r="H6929">
        <v>3</v>
      </c>
      <c r="I6929" s="12">
        <f>Table16[[#This Row],[price]]*Table16[[#This Row],[quantity]]</f>
        <v>896</v>
      </c>
    </row>
    <row r="6930" spans="1:9" x14ac:dyDescent="0.3">
      <c r="A6930" t="s">
        <v>8945</v>
      </c>
      <c r="B6930" t="s">
        <v>1379</v>
      </c>
      <c r="C6930" t="s">
        <v>2006</v>
      </c>
      <c r="D6930">
        <v>5</v>
      </c>
      <c r="E6930" s="16">
        <v>75.75</v>
      </c>
      <c r="F6930" s="1">
        <v>44487</v>
      </c>
      <c r="G6930" t="s">
        <v>2020</v>
      </c>
      <c r="H6930">
        <v>5</v>
      </c>
      <c r="I6930" s="12">
        <f>Table16[[#This Row],[price]]*Table16[[#This Row],[quantity]]</f>
        <v>378.75</v>
      </c>
    </row>
    <row r="6931" spans="1:9" x14ac:dyDescent="0.3">
      <c r="A6931" t="s">
        <v>8948</v>
      </c>
      <c r="B6931" t="s">
        <v>1379</v>
      </c>
      <c r="C6931" t="s">
        <v>2006</v>
      </c>
      <c r="D6931">
        <v>1</v>
      </c>
      <c r="E6931" s="16">
        <v>15.15</v>
      </c>
      <c r="F6931" s="1">
        <v>44626</v>
      </c>
      <c r="G6931" t="s">
        <v>2004</v>
      </c>
      <c r="H6931">
        <v>1</v>
      </c>
      <c r="I6931" s="12">
        <f>Table16[[#This Row],[price]]*Table16[[#This Row],[quantity]]</f>
        <v>15.15</v>
      </c>
    </row>
    <row r="6932" spans="1:9" x14ac:dyDescent="0.3">
      <c r="A6932" t="s">
        <v>8947</v>
      </c>
      <c r="B6932" t="s">
        <v>1379</v>
      </c>
      <c r="C6932" t="s">
        <v>2006</v>
      </c>
      <c r="D6932">
        <v>1</v>
      </c>
      <c r="E6932" s="16">
        <v>15.15</v>
      </c>
      <c r="F6932" s="1">
        <v>44628</v>
      </c>
      <c r="G6932" t="s">
        <v>2004</v>
      </c>
      <c r="H6932">
        <v>4</v>
      </c>
      <c r="I6932" s="12">
        <f>Table16[[#This Row],[price]]*Table16[[#This Row],[quantity]]</f>
        <v>15.15</v>
      </c>
    </row>
    <row r="6933" spans="1:9" x14ac:dyDescent="0.3">
      <c r="A6933" t="s">
        <v>8946</v>
      </c>
      <c r="B6933" t="s">
        <v>1379</v>
      </c>
      <c r="C6933" t="s">
        <v>2008</v>
      </c>
      <c r="D6933">
        <v>4</v>
      </c>
      <c r="E6933" s="16">
        <v>20.92</v>
      </c>
      <c r="F6933" s="1">
        <v>44920</v>
      </c>
      <c r="G6933" t="s">
        <v>2002</v>
      </c>
      <c r="H6933">
        <v>5</v>
      </c>
      <c r="I6933" s="12">
        <f>Table16[[#This Row],[price]]*Table16[[#This Row],[quantity]]</f>
        <v>83.68</v>
      </c>
    </row>
    <row r="6934" spans="1:9" x14ac:dyDescent="0.3">
      <c r="A6934" t="s">
        <v>8950</v>
      </c>
      <c r="B6934" t="s">
        <v>1380</v>
      </c>
      <c r="C6934" t="s">
        <v>2008</v>
      </c>
      <c r="D6934">
        <v>1</v>
      </c>
      <c r="E6934" s="16">
        <v>5.23</v>
      </c>
      <c r="F6934" s="1">
        <v>44470</v>
      </c>
      <c r="G6934" t="s">
        <v>2041</v>
      </c>
      <c r="H6934">
        <v>3</v>
      </c>
      <c r="I6934" s="12">
        <f>Table16[[#This Row],[price]]*Table16[[#This Row],[quantity]]</f>
        <v>5.23</v>
      </c>
    </row>
    <row r="6935" spans="1:9" x14ac:dyDescent="0.3">
      <c r="A6935" t="s">
        <v>8955</v>
      </c>
      <c r="B6935" t="s">
        <v>1380</v>
      </c>
      <c r="C6935" t="s">
        <v>2017</v>
      </c>
      <c r="D6935">
        <v>4</v>
      </c>
      <c r="E6935" s="16">
        <v>4200</v>
      </c>
      <c r="F6935" s="1">
        <v>44541</v>
      </c>
      <c r="G6935" t="s">
        <v>2041</v>
      </c>
      <c r="H6935">
        <v>4</v>
      </c>
      <c r="I6935" s="12">
        <f>Table16[[#This Row],[price]]*Table16[[#This Row],[quantity]]</f>
        <v>16800</v>
      </c>
    </row>
    <row r="6936" spans="1:9" x14ac:dyDescent="0.3">
      <c r="A6936" t="s">
        <v>8953</v>
      </c>
      <c r="B6936" t="s">
        <v>1380</v>
      </c>
      <c r="C6936" t="s">
        <v>2001</v>
      </c>
      <c r="D6936">
        <v>1</v>
      </c>
      <c r="E6936" s="16">
        <v>300.08</v>
      </c>
      <c r="F6936" s="1">
        <v>44668</v>
      </c>
      <c r="G6936" t="s">
        <v>2002</v>
      </c>
      <c r="H6936">
        <v>2</v>
      </c>
      <c r="I6936" s="12">
        <f>Table16[[#This Row],[price]]*Table16[[#This Row],[quantity]]</f>
        <v>300.08</v>
      </c>
    </row>
    <row r="6937" spans="1:9" x14ac:dyDescent="0.3">
      <c r="A6937" t="s">
        <v>8952</v>
      </c>
      <c r="B6937" t="s">
        <v>1380</v>
      </c>
      <c r="C6937" t="s">
        <v>2011</v>
      </c>
      <c r="D6937">
        <v>1</v>
      </c>
      <c r="E6937" s="16">
        <v>40.659999999999997</v>
      </c>
      <c r="F6937" s="1">
        <v>44845</v>
      </c>
      <c r="G6937" t="s">
        <v>2027</v>
      </c>
      <c r="H6937">
        <v>4</v>
      </c>
      <c r="I6937" s="12">
        <f>Table16[[#This Row],[price]]*Table16[[#This Row],[quantity]]</f>
        <v>40.659999999999997</v>
      </c>
    </row>
    <row r="6938" spans="1:9" x14ac:dyDescent="0.3">
      <c r="A6938" t="s">
        <v>8951</v>
      </c>
      <c r="B6938" t="s">
        <v>1380</v>
      </c>
      <c r="C6938" t="s">
        <v>2001</v>
      </c>
      <c r="D6938">
        <v>4</v>
      </c>
      <c r="E6938" s="16">
        <v>1200.32</v>
      </c>
      <c r="F6938" s="1">
        <v>44852</v>
      </c>
      <c r="G6938" t="s">
        <v>2027</v>
      </c>
      <c r="H6938">
        <v>4</v>
      </c>
      <c r="I6938" s="12">
        <f>Table16[[#This Row],[price]]*Table16[[#This Row],[quantity]]</f>
        <v>4801.28</v>
      </c>
    </row>
    <row r="6939" spans="1:9" x14ac:dyDescent="0.3">
      <c r="A6939" t="s">
        <v>8954</v>
      </c>
      <c r="B6939" t="s">
        <v>1380</v>
      </c>
      <c r="C6939" t="s">
        <v>2011</v>
      </c>
      <c r="D6939">
        <v>2</v>
      </c>
      <c r="E6939" s="16">
        <v>81.319999999999993</v>
      </c>
      <c r="F6939" s="1">
        <v>44962</v>
      </c>
      <c r="G6939" t="s">
        <v>2020</v>
      </c>
      <c r="H6939">
        <v>3</v>
      </c>
      <c r="I6939" s="12">
        <f>Table16[[#This Row],[price]]*Table16[[#This Row],[quantity]]</f>
        <v>162.63999999999999</v>
      </c>
    </row>
    <row r="6940" spans="1:9" x14ac:dyDescent="0.3">
      <c r="A6940" t="s">
        <v>8958</v>
      </c>
      <c r="B6940" t="s">
        <v>1381</v>
      </c>
      <c r="C6940" t="s">
        <v>2001</v>
      </c>
      <c r="D6940">
        <v>3</v>
      </c>
      <c r="E6940" s="16">
        <v>900.24</v>
      </c>
      <c r="F6940" s="1">
        <v>44590</v>
      </c>
      <c r="G6940" t="s">
        <v>2004</v>
      </c>
      <c r="H6940">
        <v>2</v>
      </c>
      <c r="I6940" s="12">
        <f>Table16[[#This Row],[price]]*Table16[[#This Row],[quantity]]</f>
        <v>2700.7200000000003</v>
      </c>
    </row>
    <row r="6941" spans="1:9" x14ac:dyDescent="0.3">
      <c r="A6941" t="s">
        <v>8957</v>
      </c>
      <c r="B6941" t="s">
        <v>1381</v>
      </c>
      <c r="C6941" t="s">
        <v>2001</v>
      </c>
      <c r="D6941">
        <v>1</v>
      </c>
      <c r="E6941" s="16">
        <v>300.08</v>
      </c>
      <c r="F6941" s="1">
        <v>44695</v>
      </c>
      <c r="G6941" t="s">
        <v>2004</v>
      </c>
      <c r="H6941">
        <v>2</v>
      </c>
      <c r="I6941" s="12">
        <f>Table16[[#This Row],[price]]*Table16[[#This Row],[quantity]]</f>
        <v>300.08</v>
      </c>
    </row>
    <row r="6942" spans="1:9" x14ac:dyDescent="0.3">
      <c r="A6942" t="s">
        <v>8956</v>
      </c>
      <c r="B6942" t="s">
        <v>1381</v>
      </c>
      <c r="C6942" t="s">
        <v>2011</v>
      </c>
      <c r="D6942">
        <v>4</v>
      </c>
      <c r="E6942" s="16">
        <v>162.63999999999999</v>
      </c>
      <c r="F6942" s="1">
        <v>44756</v>
      </c>
      <c r="G6942" t="s">
        <v>2064</v>
      </c>
      <c r="H6942">
        <v>5</v>
      </c>
      <c r="I6942" s="12">
        <f>Table16[[#This Row],[price]]*Table16[[#This Row],[quantity]]</f>
        <v>650.55999999999995</v>
      </c>
    </row>
    <row r="6943" spans="1:9" x14ac:dyDescent="0.3">
      <c r="A6943" t="s">
        <v>8963</v>
      </c>
      <c r="B6943" t="s">
        <v>1382</v>
      </c>
      <c r="C6943" t="s">
        <v>2024</v>
      </c>
      <c r="D6943">
        <v>5</v>
      </c>
      <c r="E6943" s="16">
        <v>179.2</v>
      </c>
      <c r="F6943" s="1">
        <v>44237</v>
      </c>
      <c r="G6943" t="s">
        <v>2004</v>
      </c>
      <c r="H6943">
        <v>3</v>
      </c>
      <c r="I6943" s="12">
        <f>Table16[[#This Row],[price]]*Table16[[#This Row],[quantity]]</f>
        <v>896</v>
      </c>
    </row>
    <row r="6944" spans="1:9" x14ac:dyDescent="0.3">
      <c r="A6944" t="s">
        <v>8962</v>
      </c>
      <c r="B6944" t="s">
        <v>1382</v>
      </c>
      <c r="C6944" t="s">
        <v>2001</v>
      </c>
      <c r="D6944">
        <v>3</v>
      </c>
      <c r="E6944" s="16">
        <v>900.24</v>
      </c>
      <c r="F6944" s="1">
        <v>44404</v>
      </c>
      <c r="G6944" t="s">
        <v>2041</v>
      </c>
      <c r="H6944">
        <v>2</v>
      </c>
      <c r="I6944" s="12">
        <f>Table16[[#This Row],[price]]*Table16[[#This Row],[quantity]]</f>
        <v>2700.7200000000003</v>
      </c>
    </row>
    <row r="6945" spans="1:9" x14ac:dyDescent="0.3">
      <c r="A6945" t="s">
        <v>8965</v>
      </c>
      <c r="B6945" t="s">
        <v>1382</v>
      </c>
      <c r="C6945" t="s">
        <v>2006</v>
      </c>
      <c r="D6945">
        <v>5</v>
      </c>
      <c r="E6945" s="16">
        <v>75.75</v>
      </c>
      <c r="F6945" s="1">
        <v>44560</v>
      </c>
      <c r="G6945" t="s">
        <v>2020</v>
      </c>
      <c r="H6945">
        <v>3</v>
      </c>
      <c r="I6945" s="12">
        <f>Table16[[#This Row],[price]]*Table16[[#This Row],[quantity]]</f>
        <v>378.75</v>
      </c>
    </row>
    <row r="6946" spans="1:9" x14ac:dyDescent="0.3">
      <c r="A6946" t="s">
        <v>8961</v>
      </c>
      <c r="B6946" t="s">
        <v>1382</v>
      </c>
      <c r="C6946" t="s">
        <v>2024</v>
      </c>
      <c r="D6946">
        <v>5</v>
      </c>
      <c r="E6946" s="16">
        <v>179.2</v>
      </c>
      <c r="F6946" s="1">
        <v>44670</v>
      </c>
      <c r="G6946" t="s">
        <v>2020</v>
      </c>
      <c r="H6946">
        <v>2</v>
      </c>
      <c r="I6946" s="12">
        <f>Table16[[#This Row],[price]]*Table16[[#This Row],[quantity]]</f>
        <v>896</v>
      </c>
    </row>
    <row r="6947" spans="1:9" x14ac:dyDescent="0.3">
      <c r="A6947" t="s">
        <v>8964</v>
      </c>
      <c r="B6947" t="s">
        <v>1382</v>
      </c>
      <c r="C6947" t="s">
        <v>2011</v>
      </c>
      <c r="D6947">
        <v>1</v>
      </c>
      <c r="E6947" s="16">
        <v>40.659999999999997</v>
      </c>
      <c r="F6947" s="1">
        <v>44742</v>
      </c>
      <c r="G6947" t="s">
        <v>2018</v>
      </c>
      <c r="H6947">
        <v>4</v>
      </c>
      <c r="I6947" s="12">
        <f>Table16[[#This Row],[price]]*Table16[[#This Row],[quantity]]</f>
        <v>40.659999999999997</v>
      </c>
    </row>
    <row r="6948" spans="1:9" x14ac:dyDescent="0.3">
      <c r="A6948" t="s">
        <v>8960</v>
      </c>
      <c r="B6948" t="s">
        <v>1382</v>
      </c>
      <c r="C6948" t="s">
        <v>2001</v>
      </c>
      <c r="D6948">
        <v>3</v>
      </c>
      <c r="E6948" s="16">
        <v>900.24</v>
      </c>
      <c r="F6948" s="1">
        <v>44822</v>
      </c>
      <c r="G6948" t="s">
        <v>2058</v>
      </c>
      <c r="H6948">
        <v>4</v>
      </c>
      <c r="I6948" s="12">
        <f>Table16[[#This Row],[price]]*Table16[[#This Row],[quantity]]</f>
        <v>2700.7200000000003</v>
      </c>
    </row>
    <row r="6949" spans="1:9" x14ac:dyDescent="0.3">
      <c r="A6949" t="s">
        <v>8966</v>
      </c>
      <c r="B6949" t="s">
        <v>1382</v>
      </c>
      <c r="C6949" t="s">
        <v>2024</v>
      </c>
      <c r="D6949">
        <v>4</v>
      </c>
      <c r="E6949" s="16">
        <v>143.36000000000001</v>
      </c>
      <c r="F6949" s="1">
        <v>44874</v>
      </c>
      <c r="G6949" t="s">
        <v>2004</v>
      </c>
      <c r="H6949">
        <v>5</v>
      </c>
      <c r="I6949" s="12">
        <f>Table16[[#This Row],[price]]*Table16[[#This Row],[quantity]]</f>
        <v>573.44000000000005</v>
      </c>
    </row>
    <row r="6950" spans="1:9" x14ac:dyDescent="0.3">
      <c r="A6950" t="s">
        <v>8959</v>
      </c>
      <c r="B6950" t="s">
        <v>1382</v>
      </c>
      <c r="C6950" t="s">
        <v>2001</v>
      </c>
      <c r="D6950">
        <v>1</v>
      </c>
      <c r="E6950" s="16">
        <v>300.08</v>
      </c>
      <c r="F6950" s="1">
        <v>44938</v>
      </c>
      <c r="G6950" t="s">
        <v>2009</v>
      </c>
      <c r="H6950">
        <v>2</v>
      </c>
      <c r="I6950" s="12">
        <f>Table16[[#This Row],[price]]*Table16[[#This Row],[quantity]]</f>
        <v>300.08</v>
      </c>
    </row>
    <row r="6951" spans="1:9" x14ac:dyDescent="0.3">
      <c r="A6951" t="s">
        <v>8971</v>
      </c>
      <c r="B6951" t="s">
        <v>1383</v>
      </c>
      <c r="C6951" t="s">
        <v>2011</v>
      </c>
      <c r="D6951">
        <v>3</v>
      </c>
      <c r="E6951" s="16">
        <v>121.98</v>
      </c>
      <c r="F6951" s="1">
        <v>44249</v>
      </c>
      <c r="G6951" t="s">
        <v>2012</v>
      </c>
      <c r="H6951">
        <v>3</v>
      </c>
      <c r="I6951" s="12">
        <f>Table16[[#This Row],[price]]*Table16[[#This Row],[quantity]]</f>
        <v>365.94</v>
      </c>
    </row>
    <row r="6952" spans="1:9" x14ac:dyDescent="0.3">
      <c r="A6952" t="s">
        <v>8970</v>
      </c>
      <c r="B6952" t="s">
        <v>1383</v>
      </c>
      <c r="C6952" t="s">
        <v>2001</v>
      </c>
      <c r="D6952">
        <v>1</v>
      </c>
      <c r="E6952" s="16">
        <v>300.08</v>
      </c>
      <c r="F6952" s="1">
        <v>44354</v>
      </c>
      <c r="G6952" t="s">
        <v>2004</v>
      </c>
      <c r="H6952">
        <v>3</v>
      </c>
      <c r="I6952" s="12">
        <f>Table16[[#This Row],[price]]*Table16[[#This Row],[quantity]]</f>
        <v>300.08</v>
      </c>
    </row>
    <row r="6953" spans="1:9" x14ac:dyDescent="0.3">
      <c r="A6953" t="s">
        <v>8972</v>
      </c>
      <c r="B6953" t="s">
        <v>1383</v>
      </c>
      <c r="C6953" t="s">
        <v>2015</v>
      </c>
      <c r="D6953">
        <v>1</v>
      </c>
      <c r="E6953" s="16">
        <v>600.16999999999996</v>
      </c>
      <c r="F6953" s="1">
        <v>44440</v>
      </c>
      <c r="G6953" t="s">
        <v>2020</v>
      </c>
      <c r="H6953">
        <v>5</v>
      </c>
      <c r="I6953" s="12">
        <f>Table16[[#This Row],[price]]*Table16[[#This Row],[quantity]]</f>
        <v>600.16999999999996</v>
      </c>
    </row>
    <row r="6954" spans="1:9" x14ac:dyDescent="0.3">
      <c r="A6954" t="s">
        <v>8967</v>
      </c>
      <c r="B6954" t="s">
        <v>1383</v>
      </c>
      <c r="C6954" t="s">
        <v>2001</v>
      </c>
      <c r="D6954">
        <v>5</v>
      </c>
      <c r="E6954" s="16">
        <v>1500.4</v>
      </c>
      <c r="F6954" s="1">
        <v>44600</v>
      </c>
      <c r="G6954" t="s">
        <v>2027</v>
      </c>
      <c r="H6954">
        <v>5</v>
      </c>
      <c r="I6954" s="12">
        <f>Table16[[#This Row],[price]]*Table16[[#This Row],[quantity]]</f>
        <v>7502</v>
      </c>
    </row>
    <row r="6955" spans="1:9" x14ac:dyDescent="0.3">
      <c r="A6955" t="s">
        <v>8968</v>
      </c>
      <c r="B6955" t="s">
        <v>1383</v>
      </c>
      <c r="C6955" t="s">
        <v>2001</v>
      </c>
      <c r="D6955">
        <v>1</v>
      </c>
      <c r="E6955" s="16">
        <v>300.08</v>
      </c>
      <c r="F6955" s="1">
        <v>44757</v>
      </c>
      <c r="G6955" t="s">
        <v>2002</v>
      </c>
      <c r="H6955">
        <v>2</v>
      </c>
      <c r="I6955" s="12">
        <f>Table16[[#This Row],[price]]*Table16[[#This Row],[quantity]]</f>
        <v>300.08</v>
      </c>
    </row>
    <row r="6956" spans="1:9" x14ac:dyDescent="0.3">
      <c r="A6956" t="s">
        <v>8969</v>
      </c>
      <c r="B6956" t="s">
        <v>1383</v>
      </c>
      <c r="C6956" t="s">
        <v>2006</v>
      </c>
      <c r="D6956">
        <v>5</v>
      </c>
      <c r="E6956" s="16">
        <v>75.75</v>
      </c>
      <c r="F6956" s="1">
        <v>44866</v>
      </c>
      <c r="G6956" t="s">
        <v>2002</v>
      </c>
      <c r="H6956">
        <v>5</v>
      </c>
      <c r="I6956" s="12">
        <f>Table16[[#This Row],[price]]*Table16[[#This Row],[quantity]]</f>
        <v>378.75</v>
      </c>
    </row>
    <row r="6957" spans="1:9" x14ac:dyDescent="0.3">
      <c r="A6957" t="s">
        <v>8974</v>
      </c>
      <c r="B6957" t="s">
        <v>1384</v>
      </c>
      <c r="C6957" t="s">
        <v>2008</v>
      </c>
      <c r="D6957">
        <v>1</v>
      </c>
      <c r="E6957" s="16">
        <v>5.23</v>
      </c>
      <c r="F6957" s="1">
        <v>44216</v>
      </c>
      <c r="G6957" t="s">
        <v>2009</v>
      </c>
      <c r="H6957">
        <v>5</v>
      </c>
      <c r="I6957" s="12">
        <f>Table16[[#This Row],[price]]*Table16[[#This Row],[quantity]]</f>
        <v>5.23</v>
      </c>
    </row>
    <row r="6958" spans="1:9" x14ac:dyDescent="0.3">
      <c r="A6958" t="s">
        <v>8973</v>
      </c>
      <c r="B6958" t="s">
        <v>1384</v>
      </c>
      <c r="C6958" t="s">
        <v>2015</v>
      </c>
      <c r="D6958">
        <v>1</v>
      </c>
      <c r="E6958" s="16">
        <v>600.16999999999996</v>
      </c>
      <c r="F6958" s="1">
        <v>44554</v>
      </c>
      <c r="G6958" t="s">
        <v>2027</v>
      </c>
      <c r="H6958">
        <v>5</v>
      </c>
      <c r="I6958" s="12">
        <f>Table16[[#This Row],[price]]*Table16[[#This Row],[quantity]]</f>
        <v>600.16999999999996</v>
      </c>
    </row>
    <row r="6959" spans="1:9" x14ac:dyDescent="0.3">
      <c r="A6959" t="s">
        <v>8976</v>
      </c>
      <c r="B6959" t="s">
        <v>1384</v>
      </c>
      <c r="C6959" t="s">
        <v>2001</v>
      </c>
      <c r="D6959">
        <v>1</v>
      </c>
      <c r="E6959" s="16">
        <v>300.08</v>
      </c>
      <c r="F6959" s="1">
        <v>44871</v>
      </c>
      <c r="G6959" t="s">
        <v>2002</v>
      </c>
      <c r="H6959">
        <v>1</v>
      </c>
      <c r="I6959" s="12">
        <f>Table16[[#This Row],[price]]*Table16[[#This Row],[quantity]]</f>
        <v>300.08</v>
      </c>
    </row>
    <row r="6960" spans="1:9" x14ac:dyDescent="0.3">
      <c r="A6960" t="s">
        <v>8975</v>
      </c>
      <c r="B6960" t="s">
        <v>1384</v>
      </c>
      <c r="C6960" t="s">
        <v>2011</v>
      </c>
      <c r="D6960">
        <v>2</v>
      </c>
      <c r="E6960" s="16">
        <v>81.319999999999993</v>
      </c>
      <c r="F6960" s="1">
        <v>44940</v>
      </c>
      <c r="G6960" t="s">
        <v>2004</v>
      </c>
      <c r="H6960">
        <v>1</v>
      </c>
      <c r="I6960" s="12">
        <f>Table16[[#This Row],[price]]*Table16[[#This Row],[quantity]]</f>
        <v>162.63999999999999</v>
      </c>
    </row>
    <row r="6961" spans="1:9" x14ac:dyDescent="0.3">
      <c r="A6961" t="s">
        <v>8977</v>
      </c>
      <c r="B6961" t="s">
        <v>1385</v>
      </c>
      <c r="C6961" t="s">
        <v>2001</v>
      </c>
      <c r="D6961">
        <v>4</v>
      </c>
      <c r="E6961" s="16">
        <v>1200.32</v>
      </c>
      <c r="F6961" s="1">
        <v>44357</v>
      </c>
      <c r="G6961" t="s">
        <v>2002</v>
      </c>
      <c r="H6961">
        <v>3</v>
      </c>
      <c r="I6961" s="12">
        <f>Table16[[#This Row],[price]]*Table16[[#This Row],[quantity]]</f>
        <v>4801.28</v>
      </c>
    </row>
    <row r="6962" spans="1:9" x14ac:dyDescent="0.3">
      <c r="A6962" t="s">
        <v>8978</v>
      </c>
      <c r="B6962" t="s">
        <v>1385</v>
      </c>
      <c r="C6962" t="s">
        <v>2015</v>
      </c>
      <c r="D6962">
        <v>4</v>
      </c>
      <c r="E6962" s="16">
        <v>2400.6799999999998</v>
      </c>
      <c r="F6962" s="1">
        <v>44585</v>
      </c>
      <c r="G6962" t="s">
        <v>2020</v>
      </c>
      <c r="H6962">
        <v>2</v>
      </c>
      <c r="I6962" s="12">
        <f>Table16[[#This Row],[price]]*Table16[[#This Row],[quantity]]</f>
        <v>9602.7199999999993</v>
      </c>
    </row>
    <row r="6963" spans="1:9" x14ac:dyDescent="0.3">
      <c r="A6963" t="s">
        <v>8979</v>
      </c>
      <c r="B6963" t="s">
        <v>1385</v>
      </c>
      <c r="C6963" t="s">
        <v>2006</v>
      </c>
      <c r="D6963">
        <v>1</v>
      </c>
      <c r="E6963" s="16">
        <v>15.15</v>
      </c>
      <c r="F6963" s="1">
        <v>44690</v>
      </c>
      <c r="G6963" t="s">
        <v>2064</v>
      </c>
      <c r="H6963">
        <v>3</v>
      </c>
      <c r="I6963" s="12">
        <f>Table16[[#This Row],[price]]*Table16[[#This Row],[quantity]]</f>
        <v>15.15</v>
      </c>
    </row>
    <row r="6964" spans="1:9" x14ac:dyDescent="0.3">
      <c r="A6964" t="s">
        <v>8981</v>
      </c>
      <c r="B6964" t="s">
        <v>1386</v>
      </c>
      <c r="C6964" t="s">
        <v>2001</v>
      </c>
      <c r="D6964">
        <v>3</v>
      </c>
      <c r="E6964" s="16">
        <v>900.24</v>
      </c>
      <c r="F6964" s="1">
        <v>44403</v>
      </c>
      <c r="G6964" t="s">
        <v>2027</v>
      </c>
      <c r="H6964">
        <v>5</v>
      </c>
      <c r="I6964" s="12">
        <f>Table16[[#This Row],[price]]*Table16[[#This Row],[quantity]]</f>
        <v>2700.7200000000003</v>
      </c>
    </row>
    <row r="6965" spans="1:9" x14ac:dyDescent="0.3">
      <c r="A6965" t="s">
        <v>8980</v>
      </c>
      <c r="B6965" t="s">
        <v>1386</v>
      </c>
      <c r="C6965" t="s">
        <v>2001</v>
      </c>
      <c r="D6965">
        <v>2</v>
      </c>
      <c r="E6965" s="16">
        <v>600.16</v>
      </c>
      <c r="F6965" s="1">
        <v>44633</v>
      </c>
      <c r="G6965" t="s">
        <v>2020</v>
      </c>
      <c r="H6965">
        <v>2</v>
      </c>
      <c r="I6965" s="12">
        <f>Table16[[#This Row],[price]]*Table16[[#This Row],[quantity]]</f>
        <v>1200.32</v>
      </c>
    </row>
    <row r="6966" spans="1:9" x14ac:dyDescent="0.3">
      <c r="A6966" t="s">
        <v>8986</v>
      </c>
      <c r="B6966" t="s">
        <v>1387</v>
      </c>
      <c r="C6966" t="s">
        <v>2001</v>
      </c>
      <c r="D6966">
        <v>4</v>
      </c>
      <c r="E6966" s="16">
        <v>1200.32</v>
      </c>
      <c r="F6966" s="1">
        <v>44299</v>
      </c>
      <c r="G6966" t="s">
        <v>2004</v>
      </c>
      <c r="H6966">
        <v>2</v>
      </c>
      <c r="I6966" s="12">
        <f>Table16[[#This Row],[price]]*Table16[[#This Row],[quantity]]</f>
        <v>4801.28</v>
      </c>
    </row>
    <row r="6967" spans="1:9" x14ac:dyDescent="0.3">
      <c r="A6967" t="s">
        <v>8990</v>
      </c>
      <c r="B6967" t="s">
        <v>1387</v>
      </c>
      <c r="C6967" t="s">
        <v>2017</v>
      </c>
      <c r="D6967">
        <v>3</v>
      </c>
      <c r="E6967" s="16">
        <v>3150</v>
      </c>
      <c r="F6967" s="1">
        <v>44346</v>
      </c>
      <c r="G6967" t="s">
        <v>2027</v>
      </c>
      <c r="H6967">
        <v>1</v>
      </c>
      <c r="I6967" s="12">
        <f>Table16[[#This Row],[price]]*Table16[[#This Row],[quantity]]</f>
        <v>9450</v>
      </c>
    </row>
    <row r="6968" spans="1:9" x14ac:dyDescent="0.3">
      <c r="A6968" t="s">
        <v>8985</v>
      </c>
      <c r="B6968" t="s">
        <v>1387</v>
      </c>
      <c r="C6968" t="s">
        <v>2011</v>
      </c>
      <c r="D6968">
        <v>5</v>
      </c>
      <c r="E6968" s="16">
        <v>203.3</v>
      </c>
      <c r="F6968" s="1">
        <v>44401</v>
      </c>
      <c r="G6968" t="s">
        <v>2004</v>
      </c>
      <c r="H6968">
        <v>5</v>
      </c>
      <c r="I6968" s="12">
        <f>Table16[[#This Row],[price]]*Table16[[#This Row],[quantity]]</f>
        <v>1016.5</v>
      </c>
    </row>
    <row r="6969" spans="1:9" x14ac:dyDescent="0.3">
      <c r="A6969" t="s">
        <v>8989</v>
      </c>
      <c r="B6969" t="s">
        <v>1387</v>
      </c>
      <c r="C6969" t="s">
        <v>2001</v>
      </c>
      <c r="D6969">
        <v>2</v>
      </c>
      <c r="E6969" s="16">
        <v>600.16</v>
      </c>
      <c r="F6969" s="1">
        <v>44520</v>
      </c>
      <c r="G6969" t="s">
        <v>2027</v>
      </c>
      <c r="H6969">
        <v>4</v>
      </c>
      <c r="I6969" s="12">
        <f>Table16[[#This Row],[price]]*Table16[[#This Row],[quantity]]</f>
        <v>1200.32</v>
      </c>
    </row>
    <row r="6970" spans="1:9" x14ac:dyDescent="0.3">
      <c r="A6970" t="s">
        <v>8988</v>
      </c>
      <c r="B6970" t="s">
        <v>1387</v>
      </c>
      <c r="C6970" t="s">
        <v>2001</v>
      </c>
      <c r="D6970">
        <v>4</v>
      </c>
      <c r="E6970" s="16">
        <v>1200.32</v>
      </c>
      <c r="F6970" s="1">
        <v>44527</v>
      </c>
      <c r="G6970" t="s">
        <v>2027</v>
      </c>
      <c r="H6970">
        <v>5</v>
      </c>
      <c r="I6970" s="12">
        <f>Table16[[#This Row],[price]]*Table16[[#This Row],[quantity]]</f>
        <v>4801.28</v>
      </c>
    </row>
    <row r="6971" spans="1:9" x14ac:dyDescent="0.3">
      <c r="A6971" t="s">
        <v>8987</v>
      </c>
      <c r="B6971" t="s">
        <v>1387</v>
      </c>
      <c r="C6971" t="s">
        <v>2024</v>
      </c>
      <c r="D6971">
        <v>3</v>
      </c>
      <c r="E6971" s="16">
        <v>107.52</v>
      </c>
      <c r="F6971" s="1">
        <v>44604</v>
      </c>
      <c r="G6971" t="s">
        <v>2041</v>
      </c>
      <c r="H6971">
        <v>5</v>
      </c>
      <c r="I6971" s="12">
        <f>Table16[[#This Row],[price]]*Table16[[#This Row],[quantity]]</f>
        <v>322.56</v>
      </c>
    </row>
    <row r="6972" spans="1:9" x14ac:dyDescent="0.3">
      <c r="A6972" t="s">
        <v>8983</v>
      </c>
      <c r="B6972" t="s">
        <v>1387</v>
      </c>
      <c r="C6972" t="s">
        <v>2015</v>
      </c>
      <c r="D6972">
        <v>1</v>
      </c>
      <c r="E6972" s="16">
        <v>600.16999999999996</v>
      </c>
      <c r="F6972" s="1">
        <v>44622</v>
      </c>
      <c r="G6972" t="s">
        <v>2027</v>
      </c>
      <c r="H6972">
        <v>5</v>
      </c>
      <c r="I6972" s="12">
        <f>Table16[[#This Row],[price]]*Table16[[#This Row],[quantity]]</f>
        <v>600.16999999999996</v>
      </c>
    </row>
    <row r="6973" spans="1:9" x14ac:dyDescent="0.3">
      <c r="A6973" t="s">
        <v>8984</v>
      </c>
      <c r="B6973" t="s">
        <v>1387</v>
      </c>
      <c r="C6973" t="s">
        <v>2001</v>
      </c>
      <c r="D6973">
        <v>4</v>
      </c>
      <c r="E6973" s="16">
        <v>1200.32</v>
      </c>
      <c r="F6973" s="1">
        <v>44701</v>
      </c>
      <c r="G6973" t="s">
        <v>2004</v>
      </c>
      <c r="H6973">
        <v>5</v>
      </c>
      <c r="I6973" s="12">
        <f>Table16[[#This Row],[price]]*Table16[[#This Row],[quantity]]</f>
        <v>4801.28</v>
      </c>
    </row>
    <row r="6974" spans="1:9" x14ac:dyDescent="0.3">
      <c r="A6974" t="s">
        <v>8982</v>
      </c>
      <c r="B6974" t="s">
        <v>1387</v>
      </c>
      <c r="C6974" t="s">
        <v>2015</v>
      </c>
      <c r="D6974">
        <v>5</v>
      </c>
      <c r="E6974" s="16">
        <v>3000.85</v>
      </c>
      <c r="F6974" s="1">
        <v>44762</v>
      </c>
      <c r="G6974" t="s">
        <v>2004</v>
      </c>
      <c r="H6974">
        <v>1</v>
      </c>
      <c r="I6974" s="12">
        <f>Table16[[#This Row],[price]]*Table16[[#This Row],[quantity]]</f>
        <v>15004.25</v>
      </c>
    </row>
    <row r="6975" spans="1:9" x14ac:dyDescent="0.3">
      <c r="A6975" t="s">
        <v>8991</v>
      </c>
      <c r="B6975" t="s">
        <v>1387</v>
      </c>
      <c r="C6975" t="s">
        <v>2008</v>
      </c>
      <c r="D6975">
        <v>5</v>
      </c>
      <c r="E6975" s="16">
        <v>26.15</v>
      </c>
      <c r="F6975" s="1">
        <v>44914</v>
      </c>
      <c r="G6975" t="s">
        <v>2004</v>
      </c>
      <c r="H6975">
        <v>3</v>
      </c>
      <c r="I6975" s="12">
        <f>Table16[[#This Row],[price]]*Table16[[#This Row],[quantity]]</f>
        <v>130.75</v>
      </c>
    </row>
    <row r="6976" spans="1:9" x14ac:dyDescent="0.3">
      <c r="A6976" t="s">
        <v>8994</v>
      </c>
      <c r="B6976" t="s">
        <v>1388</v>
      </c>
      <c r="C6976" t="s">
        <v>2001</v>
      </c>
      <c r="D6976">
        <v>5</v>
      </c>
      <c r="E6976" s="16">
        <v>1500.4</v>
      </c>
      <c r="F6976" s="1">
        <v>44264</v>
      </c>
      <c r="G6976" t="s">
        <v>2004</v>
      </c>
      <c r="H6976">
        <v>3</v>
      </c>
      <c r="I6976" s="12">
        <f>Table16[[#This Row],[price]]*Table16[[#This Row],[quantity]]</f>
        <v>7502</v>
      </c>
    </row>
    <row r="6977" spans="1:9" x14ac:dyDescent="0.3">
      <c r="A6977" t="s">
        <v>8992</v>
      </c>
      <c r="B6977" t="s">
        <v>1388</v>
      </c>
      <c r="C6977" t="s">
        <v>2001</v>
      </c>
      <c r="D6977">
        <v>5</v>
      </c>
      <c r="E6977" s="16">
        <v>1500.4</v>
      </c>
      <c r="F6977" s="1">
        <v>44420</v>
      </c>
      <c r="G6977" t="s">
        <v>2004</v>
      </c>
      <c r="H6977">
        <v>4</v>
      </c>
      <c r="I6977" s="12">
        <f>Table16[[#This Row],[price]]*Table16[[#This Row],[quantity]]</f>
        <v>7502</v>
      </c>
    </row>
    <row r="6978" spans="1:9" x14ac:dyDescent="0.3">
      <c r="A6978" t="s">
        <v>8993</v>
      </c>
      <c r="B6978" t="s">
        <v>1388</v>
      </c>
      <c r="C6978" t="s">
        <v>2024</v>
      </c>
      <c r="D6978">
        <v>2</v>
      </c>
      <c r="E6978" s="16">
        <v>71.680000000000007</v>
      </c>
      <c r="F6978" s="1">
        <v>44579</v>
      </c>
      <c r="G6978" t="s">
        <v>2004</v>
      </c>
      <c r="H6978">
        <v>4</v>
      </c>
      <c r="I6978" s="12">
        <f>Table16[[#This Row],[price]]*Table16[[#This Row],[quantity]]</f>
        <v>143.36000000000001</v>
      </c>
    </row>
    <row r="6979" spans="1:9" x14ac:dyDescent="0.3">
      <c r="A6979" t="s">
        <v>8995</v>
      </c>
      <c r="B6979" t="s">
        <v>1388</v>
      </c>
      <c r="C6979" t="s">
        <v>2008</v>
      </c>
      <c r="D6979">
        <v>3</v>
      </c>
      <c r="E6979" s="16">
        <v>15.69</v>
      </c>
      <c r="F6979" s="1">
        <v>44839</v>
      </c>
      <c r="G6979" t="s">
        <v>2018</v>
      </c>
      <c r="H6979">
        <v>1</v>
      </c>
      <c r="I6979" s="12">
        <f>Table16[[#This Row],[price]]*Table16[[#This Row],[quantity]]</f>
        <v>47.07</v>
      </c>
    </row>
    <row r="6980" spans="1:9" x14ac:dyDescent="0.3">
      <c r="A6980" t="s">
        <v>8998</v>
      </c>
      <c r="B6980" t="s">
        <v>1389</v>
      </c>
      <c r="C6980" t="s">
        <v>2001</v>
      </c>
      <c r="D6980">
        <v>5</v>
      </c>
      <c r="E6980" s="16">
        <v>1500.4</v>
      </c>
      <c r="F6980" s="1">
        <v>44233</v>
      </c>
      <c r="G6980" t="s">
        <v>2004</v>
      </c>
      <c r="H6980">
        <v>2</v>
      </c>
      <c r="I6980" s="12">
        <f>Table16[[#This Row],[price]]*Table16[[#This Row],[quantity]]</f>
        <v>7502</v>
      </c>
    </row>
    <row r="6981" spans="1:9" x14ac:dyDescent="0.3">
      <c r="A6981" t="s">
        <v>8996</v>
      </c>
      <c r="B6981" t="s">
        <v>1389</v>
      </c>
      <c r="C6981" t="s">
        <v>2017</v>
      </c>
      <c r="D6981">
        <v>2</v>
      </c>
      <c r="E6981" s="16">
        <v>2100</v>
      </c>
      <c r="F6981" s="1">
        <v>44268</v>
      </c>
      <c r="G6981" t="s">
        <v>2027</v>
      </c>
      <c r="H6981">
        <v>1</v>
      </c>
      <c r="I6981" s="12">
        <f>Table16[[#This Row],[price]]*Table16[[#This Row],[quantity]]</f>
        <v>4200</v>
      </c>
    </row>
    <row r="6982" spans="1:9" x14ac:dyDescent="0.3">
      <c r="A6982" t="s">
        <v>8999</v>
      </c>
      <c r="B6982" t="s">
        <v>1389</v>
      </c>
      <c r="C6982" t="s">
        <v>2006</v>
      </c>
      <c r="D6982">
        <v>4</v>
      </c>
      <c r="E6982" s="16">
        <v>60.6</v>
      </c>
      <c r="F6982" s="1">
        <v>44440</v>
      </c>
      <c r="G6982" t="s">
        <v>2004</v>
      </c>
      <c r="H6982">
        <v>3</v>
      </c>
      <c r="I6982" s="12">
        <f>Table16[[#This Row],[price]]*Table16[[#This Row],[quantity]]</f>
        <v>242.4</v>
      </c>
    </row>
    <row r="6983" spans="1:9" x14ac:dyDescent="0.3">
      <c r="A6983" t="s">
        <v>8997</v>
      </c>
      <c r="B6983" t="s">
        <v>1389</v>
      </c>
      <c r="C6983" t="s">
        <v>2001</v>
      </c>
      <c r="D6983">
        <v>1</v>
      </c>
      <c r="E6983" s="16">
        <v>300.08</v>
      </c>
      <c r="F6983" s="1">
        <v>44501</v>
      </c>
      <c r="G6983" t="s">
        <v>2004</v>
      </c>
      <c r="H6983">
        <v>1</v>
      </c>
      <c r="I6983" s="12">
        <f>Table16[[#This Row],[price]]*Table16[[#This Row],[quantity]]</f>
        <v>300.08</v>
      </c>
    </row>
    <row r="6984" spans="1:9" x14ac:dyDescent="0.3">
      <c r="A6984" t="s">
        <v>9000</v>
      </c>
      <c r="B6984" t="s">
        <v>1389</v>
      </c>
      <c r="C6984" t="s">
        <v>2015</v>
      </c>
      <c r="D6984">
        <v>2</v>
      </c>
      <c r="E6984" s="16">
        <v>1200.3399999999999</v>
      </c>
      <c r="F6984" s="1">
        <v>44689</v>
      </c>
      <c r="G6984" t="s">
        <v>2002</v>
      </c>
      <c r="H6984">
        <v>4</v>
      </c>
      <c r="I6984" s="12">
        <f>Table16[[#This Row],[price]]*Table16[[#This Row],[quantity]]</f>
        <v>2400.6799999999998</v>
      </c>
    </row>
    <row r="6985" spans="1:9" x14ac:dyDescent="0.3">
      <c r="A6985" t="s">
        <v>9001</v>
      </c>
      <c r="B6985" t="s">
        <v>1390</v>
      </c>
      <c r="C6985" t="s">
        <v>2001</v>
      </c>
      <c r="D6985">
        <v>5</v>
      </c>
      <c r="E6985" s="16">
        <v>1500.4</v>
      </c>
      <c r="F6985" s="1">
        <v>44241</v>
      </c>
      <c r="G6985" t="s">
        <v>2027</v>
      </c>
      <c r="H6985">
        <v>5</v>
      </c>
      <c r="I6985" s="12">
        <f>Table16[[#This Row],[price]]*Table16[[#This Row],[quantity]]</f>
        <v>7502</v>
      </c>
    </row>
    <row r="6986" spans="1:9" x14ac:dyDescent="0.3">
      <c r="A6986" t="s">
        <v>9003</v>
      </c>
      <c r="B6986" t="s">
        <v>1390</v>
      </c>
      <c r="C6986" t="s">
        <v>2015</v>
      </c>
      <c r="D6986">
        <v>4</v>
      </c>
      <c r="E6986" s="16">
        <v>2400.6799999999998</v>
      </c>
      <c r="F6986" s="1">
        <v>44248</v>
      </c>
      <c r="G6986" t="s">
        <v>2018</v>
      </c>
      <c r="H6986">
        <v>1</v>
      </c>
      <c r="I6986" s="12">
        <f>Table16[[#This Row],[price]]*Table16[[#This Row],[quantity]]</f>
        <v>9602.7199999999993</v>
      </c>
    </row>
    <row r="6987" spans="1:9" x14ac:dyDescent="0.3">
      <c r="A6987" t="s">
        <v>9006</v>
      </c>
      <c r="B6987" t="s">
        <v>1390</v>
      </c>
      <c r="C6987" t="s">
        <v>2008</v>
      </c>
      <c r="D6987">
        <v>3</v>
      </c>
      <c r="E6987" s="16">
        <v>15.69</v>
      </c>
      <c r="F6987" s="1">
        <v>44265</v>
      </c>
      <c r="G6987" t="s">
        <v>2027</v>
      </c>
      <c r="H6987">
        <v>3</v>
      </c>
      <c r="I6987" s="12">
        <f>Table16[[#This Row],[price]]*Table16[[#This Row],[quantity]]</f>
        <v>47.07</v>
      </c>
    </row>
    <row r="6988" spans="1:9" x14ac:dyDescent="0.3">
      <c r="A6988" t="s">
        <v>9002</v>
      </c>
      <c r="B6988" t="s">
        <v>1390</v>
      </c>
      <c r="C6988" t="s">
        <v>2017</v>
      </c>
      <c r="D6988">
        <v>1</v>
      </c>
      <c r="E6988" s="16">
        <v>1050</v>
      </c>
      <c r="F6988" s="1">
        <v>44276</v>
      </c>
      <c r="G6988" t="s">
        <v>2002</v>
      </c>
      <c r="H6988">
        <v>5</v>
      </c>
      <c r="I6988" s="12">
        <f>Table16[[#This Row],[price]]*Table16[[#This Row],[quantity]]</f>
        <v>1050</v>
      </c>
    </row>
    <row r="6989" spans="1:9" x14ac:dyDescent="0.3">
      <c r="A6989" t="s">
        <v>9005</v>
      </c>
      <c r="B6989" t="s">
        <v>1390</v>
      </c>
      <c r="C6989" t="s">
        <v>2001</v>
      </c>
      <c r="D6989">
        <v>4</v>
      </c>
      <c r="E6989" s="16">
        <v>1200.32</v>
      </c>
      <c r="F6989" s="1">
        <v>44773</v>
      </c>
      <c r="G6989" t="s">
        <v>2027</v>
      </c>
      <c r="H6989">
        <v>3</v>
      </c>
      <c r="I6989" s="12">
        <f>Table16[[#This Row],[price]]*Table16[[#This Row],[quantity]]</f>
        <v>4801.28</v>
      </c>
    </row>
    <row r="6990" spans="1:9" x14ac:dyDescent="0.3">
      <c r="A6990" t="s">
        <v>9004</v>
      </c>
      <c r="B6990" t="s">
        <v>1390</v>
      </c>
      <c r="C6990" t="s">
        <v>2024</v>
      </c>
      <c r="D6990">
        <v>2</v>
      </c>
      <c r="E6990" s="16">
        <v>71.680000000000007</v>
      </c>
      <c r="F6990" s="1">
        <v>44840</v>
      </c>
      <c r="G6990" t="s">
        <v>2027</v>
      </c>
      <c r="H6990">
        <v>1</v>
      </c>
      <c r="I6990" s="12">
        <f>Table16[[#This Row],[price]]*Table16[[#This Row],[quantity]]</f>
        <v>143.36000000000001</v>
      </c>
    </row>
    <row r="6991" spans="1:9" x14ac:dyDescent="0.3">
      <c r="A6991" t="s">
        <v>9008</v>
      </c>
      <c r="B6991" t="s">
        <v>1391</v>
      </c>
      <c r="C6991" t="s">
        <v>2006</v>
      </c>
      <c r="D6991">
        <v>4</v>
      </c>
      <c r="E6991" s="16">
        <v>60.6</v>
      </c>
      <c r="F6991" s="1">
        <v>44266</v>
      </c>
      <c r="G6991" t="s">
        <v>2064</v>
      </c>
      <c r="H6991">
        <v>3</v>
      </c>
      <c r="I6991" s="12">
        <f>Table16[[#This Row],[price]]*Table16[[#This Row],[quantity]]</f>
        <v>242.4</v>
      </c>
    </row>
    <row r="6992" spans="1:9" x14ac:dyDescent="0.3">
      <c r="A6992" t="s">
        <v>9009</v>
      </c>
      <c r="B6992" t="s">
        <v>1391</v>
      </c>
      <c r="C6992" t="s">
        <v>2001</v>
      </c>
      <c r="D6992">
        <v>1</v>
      </c>
      <c r="E6992" s="16">
        <v>300.08</v>
      </c>
      <c r="F6992" s="1">
        <v>44412</v>
      </c>
      <c r="G6992" t="s">
        <v>2041</v>
      </c>
      <c r="H6992">
        <v>2</v>
      </c>
      <c r="I6992" s="12">
        <f>Table16[[#This Row],[price]]*Table16[[#This Row],[quantity]]</f>
        <v>300.08</v>
      </c>
    </row>
    <row r="6993" spans="1:9" x14ac:dyDescent="0.3">
      <c r="A6993" t="s">
        <v>9014</v>
      </c>
      <c r="B6993" t="s">
        <v>1391</v>
      </c>
      <c r="C6993" t="s">
        <v>2001</v>
      </c>
      <c r="D6993">
        <v>3</v>
      </c>
      <c r="E6993" s="16">
        <v>900.24</v>
      </c>
      <c r="F6993" s="1">
        <v>44642</v>
      </c>
      <c r="G6993" t="s">
        <v>2064</v>
      </c>
      <c r="H6993">
        <v>1</v>
      </c>
      <c r="I6993" s="12">
        <f>Table16[[#This Row],[price]]*Table16[[#This Row],[quantity]]</f>
        <v>2700.7200000000003</v>
      </c>
    </row>
    <row r="6994" spans="1:9" x14ac:dyDescent="0.3">
      <c r="A6994" t="s">
        <v>9010</v>
      </c>
      <c r="B6994" t="s">
        <v>1391</v>
      </c>
      <c r="C6994" t="s">
        <v>2015</v>
      </c>
      <c r="D6994">
        <v>2</v>
      </c>
      <c r="E6994" s="16">
        <v>1200.3399999999999</v>
      </c>
      <c r="F6994" s="1">
        <v>44674</v>
      </c>
      <c r="G6994" t="s">
        <v>2058</v>
      </c>
      <c r="H6994">
        <v>1</v>
      </c>
      <c r="I6994" s="12">
        <f>Table16[[#This Row],[price]]*Table16[[#This Row],[quantity]]</f>
        <v>2400.6799999999998</v>
      </c>
    </row>
    <row r="6995" spans="1:9" x14ac:dyDescent="0.3">
      <c r="A6995" t="s">
        <v>9013</v>
      </c>
      <c r="B6995" t="s">
        <v>1391</v>
      </c>
      <c r="C6995" t="s">
        <v>2008</v>
      </c>
      <c r="D6995">
        <v>3</v>
      </c>
      <c r="E6995" s="16">
        <v>15.69</v>
      </c>
      <c r="F6995" s="1">
        <v>44685</v>
      </c>
      <c r="G6995" t="s">
        <v>2012</v>
      </c>
      <c r="H6995">
        <v>1</v>
      </c>
      <c r="I6995" s="12">
        <f>Table16[[#This Row],[price]]*Table16[[#This Row],[quantity]]</f>
        <v>47.07</v>
      </c>
    </row>
    <row r="6996" spans="1:9" x14ac:dyDescent="0.3">
      <c r="A6996" t="s">
        <v>9011</v>
      </c>
      <c r="B6996" t="s">
        <v>1391</v>
      </c>
      <c r="C6996" t="s">
        <v>2011</v>
      </c>
      <c r="D6996">
        <v>1</v>
      </c>
      <c r="E6996" s="16">
        <v>40.659999999999997</v>
      </c>
      <c r="F6996" s="1">
        <v>44870</v>
      </c>
      <c r="G6996" t="s">
        <v>2002</v>
      </c>
      <c r="H6996">
        <v>3</v>
      </c>
      <c r="I6996" s="12">
        <f>Table16[[#This Row],[price]]*Table16[[#This Row],[quantity]]</f>
        <v>40.659999999999997</v>
      </c>
    </row>
    <row r="6997" spans="1:9" x14ac:dyDescent="0.3">
      <c r="A6997" t="s">
        <v>9007</v>
      </c>
      <c r="B6997" t="s">
        <v>1391</v>
      </c>
      <c r="C6997" t="s">
        <v>2001</v>
      </c>
      <c r="D6997">
        <v>2</v>
      </c>
      <c r="E6997" s="16">
        <v>600.16</v>
      </c>
      <c r="F6997" s="1">
        <v>44910</v>
      </c>
      <c r="G6997" t="s">
        <v>2004</v>
      </c>
      <c r="H6997">
        <v>5</v>
      </c>
      <c r="I6997" s="12">
        <f>Table16[[#This Row],[price]]*Table16[[#This Row],[quantity]]</f>
        <v>1200.32</v>
      </c>
    </row>
    <row r="6998" spans="1:9" x14ac:dyDescent="0.3">
      <c r="A6998" t="s">
        <v>9012</v>
      </c>
      <c r="B6998" t="s">
        <v>1391</v>
      </c>
      <c r="C6998" t="s">
        <v>2001</v>
      </c>
      <c r="D6998">
        <v>4</v>
      </c>
      <c r="E6998" s="16">
        <v>1200.32</v>
      </c>
      <c r="F6998" s="1">
        <v>44992</v>
      </c>
      <c r="G6998" t="s">
        <v>2002</v>
      </c>
      <c r="H6998">
        <v>3</v>
      </c>
      <c r="I6998" s="12">
        <f>Table16[[#This Row],[price]]*Table16[[#This Row],[quantity]]</f>
        <v>4801.28</v>
      </c>
    </row>
    <row r="6999" spans="1:9" x14ac:dyDescent="0.3">
      <c r="A6999" t="s">
        <v>9016</v>
      </c>
      <c r="B6999" t="s">
        <v>1392</v>
      </c>
      <c r="C6999" t="s">
        <v>2001</v>
      </c>
      <c r="D6999">
        <v>4</v>
      </c>
      <c r="E6999" s="16">
        <v>1200.32</v>
      </c>
      <c r="F6999" s="1">
        <v>44392</v>
      </c>
      <c r="G6999" t="s">
        <v>2027</v>
      </c>
      <c r="H6999">
        <v>2</v>
      </c>
      <c r="I6999" s="12">
        <f>Table16[[#This Row],[price]]*Table16[[#This Row],[quantity]]</f>
        <v>4801.28</v>
      </c>
    </row>
    <row r="7000" spans="1:9" x14ac:dyDescent="0.3">
      <c r="A7000" t="s">
        <v>9015</v>
      </c>
      <c r="B7000" t="s">
        <v>1392</v>
      </c>
      <c r="C7000" t="s">
        <v>2001</v>
      </c>
      <c r="D7000">
        <v>3</v>
      </c>
      <c r="E7000" s="16">
        <v>900.24</v>
      </c>
      <c r="F7000" s="1">
        <v>44892</v>
      </c>
      <c r="G7000" t="s">
        <v>2027</v>
      </c>
      <c r="H7000">
        <v>4</v>
      </c>
      <c r="I7000" s="12">
        <f>Table16[[#This Row],[price]]*Table16[[#This Row],[quantity]]</f>
        <v>2700.7200000000003</v>
      </c>
    </row>
    <row r="7001" spans="1:9" x14ac:dyDescent="0.3">
      <c r="A7001" t="s">
        <v>9018</v>
      </c>
      <c r="B7001" t="s">
        <v>1393</v>
      </c>
      <c r="C7001" t="s">
        <v>2015</v>
      </c>
      <c r="D7001">
        <v>3</v>
      </c>
      <c r="E7001" s="16">
        <v>1800.51</v>
      </c>
      <c r="F7001" s="1">
        <v>44553</v>
      </c>
      <c r="G7001" t="s">
        <v>2020</v>
      </c>
      <c r="H7001">
        <v>4</v>
      </c>
      <c r="I7001" s="12">
        <f>Table16[[#This Row],[price]]*Table16[[#This Row],[quantity]]</f>
        <v>5401.53</v>
      </c>
    </row>
    <row r="7002" spans="1:9" x14ac:dyDescent="0.3">
      <c r="A7002" t="s">
        <v>9017</v>
      </c>
      <c r="B7002" t="s">
        <v>1393</v>
      </c>
      <c r="C7002" t="s">
        <v>2017</v>
      </c>
      <c r="D7002">
        <v>3</v>
      </c>
      <c r="E7002" s="16">
        <v>3150</v>
      </c>
      <c r="F7002" s="1">
        <v>44572</v>
      </c>
      <c r="G7002" t="s">
        <v>2002</v>
      </c>
      <c r="H7002">
        <v>3</v>
      </c>
      <c r="I7002" s="12">
        <f>Table16[[#This Row],[price]]*Table16[[#This Row],[quantity]]</f>
        <v>9450</v>
      </c>
    </row>
    <row r="7003" spans="1:9" x14ac:dyDescent="0.3">
      <c r="A7003" t="s">
        <v>9019</v>
      </c>
      <c r="B7003" t="s">
        <v>1393</v>
      </c>
      <c r="C7003" t="s">
        <v>2008</v>
      </c>
      <c r="D7003">
        <v>4</v>
      </c>
      <c r="E7003" s="16">
        <v>20.92</v>
      </c>
      <c r="F7003" s="1">
        <v>44778</v>
      </c>
      <c r="G7003" t="s">
        <v>2041</v>
      </c>
      <c r="H7003">
        <v>2</v>
      </c>
      <c r="I7003" s="12">
        <f>Table16[[#This Row],[price]]*Table16[[#This Row],[quantity]]</f>
        <v>83.68</v>
      </c>
    </row>
    <row r="7004" spans="1:9" x14ac:dyDescent="0.3">
      <c r="A7004" t="s">
        <v>9020</v>
      </c>
      <c r="B7004" t="s">
        <v>1393</v>
      </c>
      <c r="C7004" t="s">
        <v>2015</v>
      </c>
      <c r="D7004">
        <v>3</v>
      </c>
      <c r="E7004" s="16">
        <v>1800.51</v>
      </c>
      <c r="F7004" s="1">
        <v>44921</v>
      </c>
      <c r="G7004" t="s">
        <v>2027</v>
      </c>
      <c r="H7004">
        <v>4</v>
      </c>
      <c r="I7004" s="12">
        <f>Table16[[#This Row],[price]]*Table16[[#This Row],[quantity]]</f>
        <v>5401.53</v>
      </c>
    </row>
    <row r="7005" spans="1:9" x14ac:dyDescent="0.3">
      <c r="A7005" t="s">
        <v>9023</v>
      </c>
      <c r="B7005" t="s">
        <v>1394</v>
      </c>
      <c r="C7005" t="s">
        <v>2008</v>
      </c>
      <c r="D7005">
        <v>4</v>
      </c>
      <c r="E7005" s="16">
        <v>20.92</v>
      </c>
      <c r="F7005" s="1">
        <v>44226</v>
      </c>
      <c r="G7005" t="s">
        <v>2027</v>
      </c>
      <c r="H7005">
        <v>5</v>
      </c>
      <c r="I7005" s="12">
        <f>Table16[[#This Row],[price]]*Table16[[#This Row],[quantity]]</f>
        <v>83.68</v>
      </c>
    </row>
    <row r="7006" spans="1:9" x14ac:dyDescent="0.3">
      <c r="A7006" t="s">
        <v>9022</v>
      </c>
      <c r="B7006" t="s">
        <v>1394</v>
      </c>
      <c r="C7006" t="s">
        <v>2024</v>
      </c>
      <c r="D7006">
        <v>3</v>
      </c>
      <c r="E7006" s="16">
        <v>107.52</v>
      </c>
      <c r="F7006" s="1">
        <v>44307</v>
      </c>
      <c r="G7006" t="s">
        <v>2004</v>
      </c>
      <c r="H7006">
        <v>4</v>
      </c>
      <c r="I7006" s="12">
        <f>Table16[[#This Row],[price]]*Table16[[#This Row],[quantity]]</f>
        <v>322.56</v>
      </c>
    </row>
    <row r="7007" spans="1:9" x14ac:dyDescent="0.3">
      <c r="A7007" t="s">
        <v>9025</v>
      </c>
      <c r="B7007" t="s">
        <v>1394</v>
      </c>
      <c r="C7007" t="s">
        <v>2017</v>
      </c>
      <c r="D7007">
        <v>4</v>
      </c>
      <c r="E7007" s="16">
        <v>4200</v>
      </c>
      <c r="F7007" s="1">
        <v>44370</v>
      </c>
      <c r="G7007" t="s">
        <v>2064</v>
      </c>
      <c r="H7007">
        <v>4</v>
      </c>
      <c r="I7007" s="12">
        <f>Table16[[#This Row],[price]]*Table16[[#This Row],[quantity]]</f>
        <v>16800</v>
      </c>
    </row>
    <row r="7008" spans="1:9" x14ac:dyDescent="0.3">
      <c r="A7008" t="s">
        <v>9028</v>
      </c>
      <c r="B7008" t="s">
        <v>1394</v>
      </c>
      <c r="C7008" t="s">
        <v>2024</v>
      </c>
      <c r="D7008">
        <v>4</v>
      </c>
      <c r="E7008" s="16">
        <v>143.36000000000001</v>
      </c>
      <c r="F7008" s="1">
        <v>44387</v>
      </c>
      <c r="G7008" t="s">
        <v>2064</v>
      </c>
      <c r="H7008">
        <v>2</v>
      </c>
      <c r="I7008" s="12">
        <f>Table16[[#This Row],[price]]*Table16[[#This Row],[quantity]]</f>
        <v>573.44000000000005</v>
      </c>
    </row>
    <row r="7009" spans="1:9" x14ac:dyDescent="0.3">
      <c r="A7009" t="s">
        <v>9029</v>
      </c>
      <c r="B7009" t="s">
        <v>1394</v>
      </c>
      <c r="C7009" t="s">
        <v>2024</v>
      </c>
      <c r="D7009">
        <v>5</v>
      </c>
      <c r="E7009" s="16">
        <v>179.2</v>
      </c>
      <c r="F7009" s="1">
        <v>44438</v>
      </c>
      <c r="G7009" t="s">
        <v>2002</v>
      </c>
      <c r="H7009">
        <v>5</v>
      </c>
      <c r="I7009" s="12">
        <f>Table16[[#This Row],[price]]*Table16[[#This Row],[quantity]]</f>
        <v>896</v>
      </c>
    </row>
    <row r="7010" spans="1:9" x14ac:dyDescent="0.3">
      <c r="A7010" t="s">
        <v>9026</v>
      </c>
      <c r="B7010" t="s">
        <v>1394</v>
      </c>
      <c r="C7010" t="s">
        <v>2024</v>
      </c>
      <c r="D7010">
        <v>2</v>
      </c>
      <c r="E7010" s="16">
        <v>71.680000000000007</v>
      </c>
      <c r="F7010" s="1">
        <v>44490</v>
      </c>
      <c r="G7010" t="s">
        <v>2002</v>
      </c>
      <c r="H7010">
        <v>1</v>
      </c>
      <c r="I7010" s="12">
        <f>Table16[[#This Row],[price]]*Table16[[#This Row],[quantity]]</f>
        <v>143.36000000000001</v>
      </c>
    </row>
    <row r="7011" spans="1:9" x14ac:dyDescent="0.3">
      <c r="A7011" t="s">
        <v>9030</v>
      </c>
      <c r="B7011" t="s">
        <v>1394</v>
      </c>
      <c r="C7011" t="s">
        <v>2011</v>
      </c>
      <c r="D7011">
        <v>1</v>
      </c>
      <c r="E7011" s="16">
        <v>40.659999999999997</v>
      </c>
      <c r="F7011" s="1">
        <v>44701</v>
      </c>
      <c r="G7011" t="s">
        <v>2027</v>
      </c>
      <c r="H7011">
        <v>4</v>
      </c>
      <c r="I7011" s="12">
        <f>Table16[[#This Row],[price]]*Table16[[#This Row],[quantity]]</f>
        <v>40.659999999999997</v>
      </c>
    </row>
    <row r="7012" spans="1:9" x14ac:dyDescent="0.3">
      <c r="A7012" t="s">
        <v>9021</v>
      </c>
      <c r="B7012" t="s">
        <v>1394</v>
      </c>
      <c r="C7012" t="s">
        <v>2001</v>
      </c>
      <c r="D7012">
        <v>5</v>
      </c>
      <c r="E7012" s="16">
        <v>1500.4</v>
      </c>
      <c r="F7012" s="1">
        <v>44768</v>
      </c>
      <c r="G7012" t="s">
        <v>2041</v>
      </c>
      <c r="H7012">
        <v>1</v>
      </c>
      <c r="I7012" s="12">
        <f>Table16[[#This Row],[price]]*Table16[[#This Row],[quantity]]</f>
        <v>7502</v>
      </c>
    </row>
    <row r="7013" spans="1:9" x14ac:dyDescent="0.3">
      <c r="A7013" t="s">
        <v>9027</v>
      </c>
      <c r="B7013" t="s">
        <v>1394</v>
      </c>
      <c r="C7013" t="s">
        <v>2024</v>
      </c>
      <c r="D7013">
        <v>3</v>
      </c>
      <c r="E7013" s="16">
        <v>107.52</v>
      </c>
      <c r="F7013" s="1">
        <v>44814</v>
      </c>
      <c r="G7013" t="s">
        <v>2002</v>
      </c>
      <c r="H7013">
        <v>1</v>
      </c>
      <c r="I7013" s="12">
        <f>Table16[[#This Row],[price]]*Table16[[#This Row],[quantity]]</f>
        <v>322.56</v>
      </c>
    </row>
    <row r="7014" spans="1:9" x14ac:dyDescent="0.3">
      <c r="A7014" t="s">
        <v>9024</v>
      </c>
      <c r="B7014" t="s">
        <v>1394</v>
      </c>
      <c r="C7014" t="s">
        <v>2006</v>
      </c>
      <c r="D7014">
        <v>3</v>
      </c>
      <c r="E7014" s="16">
        <v>45.45</v>
      </c>
      <c r="F7014" s="1">
        <v>44981</v>
      </c>
      <c r="G7014" t="s">
        <v>2064</v>
      </c>
      <c r="H7014">
        <v>1</v>
      </c>
      <c r="I7014" s="12">
        <f>Table16[[#This Row],[price]]*Table16[[#This Row],[quantity]]</f>
        <v>136.35000000000002</v>
      </c>
    </row>
    <row r="7015" spans="1:9" x14ac:dyDescent="0.3">
      <c r="A7015" t="s">
        <v>9034</v>
      </c>
      <c r="B7015" t="s">
        <v>1395</v>
      </c>
      <c r="C7015" t="s">
        <v>2001</v>
      </c>
      <c r="D7015">
        <v>3</v>
      </c>
      <c r="E7015" s="16">
        <v>900.24</v>
      </c>
      <c r="F7015" s="1">
        <v>44246</v>
      </c>
      <c r="G7015" t="s">
        <v>2002</v>
      </c>
      <c r="H7015">
        <v>3</v>
      </c>
      <c r="I7015" s="12">
        <f>Table16[[#This Row],[price]]*Table16[[#This Row],[quantity]]</f>
        <v>2700.7200000000003</v>
      </c>
    </row>
    <row r="7016" spans="1:9" x14ac:dyDescent="0.3">
      <c r="A7016" t="s">
        <v>9031</v>
      </c>
      <c r="B7016" t="s">
        <v>1395</v>
      </c>
      <c r="C7016" t="s">
        <v>2015</v>
      </c>
      <c r="D7016">
        <v>2</v>
      </c>
      <c r="E7016" s="16">
        <v>1200.3399999999999</v>
      </c>
      <c r="F7016" s="1">
        <v>44790</v>
      </c>
      <c r="G7016" t="s">
        <v>2027</v>
      </c>
      <c r="H7016">
        <v>5</v>
      </c>
      <c r="I7016" s="12">
        <f>Table16[[#This Row],[price]]*Table16[[#This Row],[quantity]]</f>
        <v>2400.6799999999998</v>
      </c>
    </row>
    <row r="7017" spans="1:9" x14ac:dyDescent="0.3">
      <c r="A7017" t="s">
        <v>9033</v>
      </c>
      <c r="B7017" t="s">
        <v>1395</v>
      </c>
      <c r="C7017" t="s">
        <v>2017</v>
      </c>
      <c r="D7017">
        <v>4</v>
      </c>
      <c r="E7017" s="16">
        <v>4200</v>
      </c>
      <c r="F7017" s="1">
        <v>44899</v>
      </c>
      <c r="G7017" t="s">
        <v>2020</v>
      </c>
      <c r="H7017">
        <v>3</v>
      </c>
      <c r="I7017" s="12">
        <f>Table16[[#This Row],[price]]*Table16[[#This Row],[quantity]]</f>
        <v>16800</v>
      </c>
    </row>
    <row r="7018" spans="1:9" x14ac:dyDescent="0.3">
      <c r="A7018" t="s">
        <v>9032</v>
      </c>
      <c r="B7018" t="s">
        <v>1395</v>
      </c>
      <c r="C7018" t="s">
        <v>2011</v>
      </c>
      <c r="D7018">
        <v>3</v>
      </c>
      <c r="E7018" s="16">
        <v>121.98</v>
      </c>
      <c r="F7018" s="1">
        <v>44938</v>
      </c>
      <c r="G7018" t="s">
        <v>2027</v>
      </c>
      <c r="H7018">
        <v>5</v>
      </c>
      <c r="I7018" s="12">
        <f>Table16[[#This Row],[price]]*Table16[[#This Row],[quantity]]</f>
        <v>365.94</v>
      </c>
    </row>
    <row r="7019" spans="1:9" x14ac:dyDescent="0.3">
      <c r="A7019" t="s">
        <v>9036</v>
      </c>
      <c r="B7019" t="s">
        <v>1396</v>
      </c>
      <c r="C7019" t="s">
        <v>2024</v>
      </c>
      <c r="D7019">
        <v>3</v>
      </c>
      <c r="E7019" s="16">
        <v>107.52</v>
      </c>
      <c r="F7019" s="1">
        <v>44363</v>
      </c>
      <c r="G7019" t="s">
        <v>2020</v>
      </c>
      <c r="H7019">
        <v>1</v>
      </c>
      <c r="I7019" s="12">
        <f>Table16[[#This Row],[price]]*Table16[[#This Row],[quantity]]</f>
        <v>322.56</v>
      </c>
    </row>
    <row r="7020" spans="1:9" x14ac:dyDescent="0.3">
      <c r="A7020" t="s">
        <v>9035</v>
      </c>
      <c r="B7020" t="s">
        <v>1396</v>
      </c>
      <c r="C7020" t="s">
        <v>2011</v>
      </c>
      <c r="D7020">
        <v>5</v>
      </c>
      <c r="E7020" s="16">
        <v>203.3</v>
      </c>
      <c r="F7020" s="1">
        <v>44727</v>
      </c>
      <c r="G7020" t="s">
        <v>2020</v>
      </c>
      <c r="H7020">
        <v>1</v>
      </c>
      <c r="I7020" s="12">
        <f>Table16[[#This Row],[price]]*Table16[[#This Row],[quantity]]</f>
        <v>1016.5</v>
      </c>
    </row>
    <row r="7021" spans="1:9" x14ac:dyDescent="0.3">
      <c r="A7021" t="s">
        <v>9038</v>
      </c>
      <c r="B7021" t="s">
        <v>1397</v>
      </c>
      <c r="C7021" t="s">
        <v>2011</v>
      </c>
      <c r="D7021">
        <v>2</v>
      </c>
      <c r="E7021" s="16">
        <v>81.319999999999993</v>
      </c>
      <c r="F7021" s="1">
        <v>44484</v>
      </c>
      <c r="G7021" t="s">
        <v>2064</v>
      </c>
      <c r="H7021">
        <v>1</v>
      </c>
      <c r="I7021" s="12">
        <f>Table16[[#This Row],[price]]*Table16[[#This Row],[quantity]]</f>
        <v>162.63999999999999</v>
      </c>
    </row>
    <row r="7022" spans="1:9" x14ac:dyDescent="0.3">
      <c r="A7022" t="s">
        <v>9039</v>
      </c>
      <c r="B7022" t="s">
        <v>1397</v>
      </c>
      <c r="C7022" t="s">
        <v>2011</v>
      </c>
      <c r="D7022">
        <v>5</v>
      </c>
      <c r="E7022" s="16">
        <v>203.3</v>
      </c>
      <c r="F7022" s="1">
        <v>44709</v>
      </c>
      <c r="G7022" t="s">
        <v>2064</v>
      </c>
      <c r="H7022">
        <v>4</v>
      </c>
      <c r="I7022" s="12">
        <f>Table16[[#This Row],[price]]*Table16[[#This Row],[quantity]]</f>
        <v>1016.5</v>
      </c>
    </row>
    <row r="7023" spans="1:9" x14ac:dyDescent="0.3">
      <c r="A7023" t="s">
        <v>9037</v>
      </c>
      <c r="B7023" t="s">
        <v>1397</v>
      </c>
      <c r="C7023" t="s">
        <v>2057</v>
      </c>
      <c r="D7023">
        <v>2</v>
      </c>
      <c r="E7023" s="16">
        <v>23.46</v>
      </c>
      <c r="F7023" s="1">
        <v>44993</v>
      </c>
      <c r="G7023" t="s">
        <v>2041</v>
      </c>
      <c r="H7023">
        <v>3</v>
      </c>
      <c r="I7023" s="12">
        <f>Table16[[#This Row],[price]]*Table16[[#This Row],[quantity]]</f>
        <v>46.92</v>
      </c>
    </row>
    <row r="7024" spans="1:9" x14ac:dyDescent="0.3">
      <c r="A7024" t="s">
        <v>9041</v>
      </c>
      <c r="B7024" t="s">
        <v>1398</v>
      </c>
      <c r="C7024" t="s">
        <v>2024</v>
      </c>
      <c r="D7024">
        <v>1</v>
      </c>
      <c r="E7024" s="16">
        <v>35.840000000000003</v>
      </c>
      <c r="F7024" s="1">
        <v>44730</v>
      </c>
      <c r="G7024" t="s">
        <v>2018</v>
      </c>
      <c r="H7024">
        <v>5</v>
      </c>
      <c r="I7024" s="12">
        <f>Table16[[#This Row],[price]]*Table16[[#This Row],[quantity]]</f>
        <v>35.840000000000003</v>
      </c>
    </row>
    <row r="7025" spans="1:9" x14ac:dyDescent="0.3">
      <c r="A7025" t="s">
        <v>9044</v>
      </c>
      <c r="B7025" t="s">
        <v>1398</v>
      </c>
      <c r="C7025" t="s">
        <v>2008</v>
      </c>
      <c r="D7025">
        <v>5</v>
      </c>
      <c r="E7025" s="16">
        <v>26.15</v>
      </c>
      <c r="F7025" s="1">
        <v>44766</v>
      </c>
      <c r="G7025" t="s">
        <v>2020</v>
      </c>
      <c r="H7025">
        <v>3</v>
      </c>
      <c r="I7025" s="12">
        <f>Table16[[#This Row],[price]]*Table16[[#This Row],[quantity]]</f>
        <v>130.75</v>
      </c>
    </row>
    <row r="7026" spans="1:9" x14ac:dyDescent="0.3">
      <c r="A7026" t="s">
        <v>9043</v>
      </c>
      <c r="B7026" t="s">
        <v>1398</v>
      </c>
      <c r="C7026" t="s">
        <v>2001</v>
      </c>
      <c r="D7026">
        <v>1</v>
      </c>
      <c r="E7026" s="16">
        <v>300.08</v>
      </c>
      <c r="F7026" s="1">
        <v>44804</v>
      </c>
      <c r="G7026" t="s">
        <v>2018</v>
      </c>
      <c r="H7026">
        <v>3</v>
      </c>
      <c r="I7026" s="12">
        <f>Table16[[#This Row],[price]]*Table16[[#This Row],[quantity]]</f>
        <v>300.08</v>
      </c>
    </row>
    <row r="7027" spans="1:9" x14ac:dyDescent="0.3">
      <c r="A7027" t="s">
        <v>9040</v>
      </c>
      <c r="B7027" t="s">
        <v>1398</v>
      </c>
      <c r="C7027" t="s">
        <v>2006</v>
      </c>
      <c r="D7027">
        <v>4</v>
      </c>
      <c r="E7027" s="16">
        <v>60.6</v>
      </c>
      <c r="F7027" s="1">
        <v>44887</v>
      </c>
      <c r="G7027" t="s">
        <v>2064</v>
      </c>
      <c r="H7027">
        <v>5</v>
      </c>
      <c r="I7027" s="12">
        <f>Table16[[#This Row],[price]]*Table16[[#This Row],[quantity]]</f>
        <v>242.4</v>
      </c>
    </row>
    <row r="7028" spans="1:9" x14ac:dyDescent="0.3">
      <c r="A7028" t="s">
        <v>9045</v>
      </c>
      <c r="B7028" t="s">
        <v>1398</v>
      </c>
      <c r="C7028" t="s">
        <v>2024</v>
      </c>
      <c r="D7028">
        <v>2</v>
      </c>
      <c r="E7028" s="16">
        <v>71.680000000000007</v>
      </c>
      <c r="F7028" s="1">
        <v>44914</v>
      </c>
      <c r="G7028" t="s">
        <v>2041</v>
      </c>
      <c r="H7028">
        <v>5</v>
      </c>
      <c r="I7028" s="12">
        <f>Table16[[#This Row],[price]]*Table16[[#This Row],[quantity]]</f>
        <v>143.36000000000001</v>
      </c>
    </row>
    <row r="7029" spans="1:9" x14ac:dyDescent="0.3">
      <c r="A7029" t="s">
        <v>9042</v>
      </c>
      <c r="B7029" t="s">
        <v>1398</v>
      </c>
      <c r="C7029" t="s">
        <v>2015</v>
      </c>
      <c r="D7029">
        <v>2</v>
      </c>
      <c r="E7029" s="16">
        <v>1200.3399999999999</v>
      </c>
      <c r="F7029" s="1">
        <v>44918</v>
      </c>
      <c r="G7029" t="s">
        <v>2027</v>
      </c>
      <c r="H7029">
        <v>2</v>
      </c>
      <c r="I7029" s="12">
        <f>Table16[[#This Row],[price]]*Table16[[#This Row],[quantity]]</f>
        <v>2400.6799999999998</v>
      </c>
    </row>
    <row r="7030" spans="1:9" x14ac:dyDescent="0.3">
      <c r="A7030" t="s">
        <v>9049</v>
      </c>
      <c r="B7030" t="s">
        <v>1399</v>
      </c>
      <c r="C7030" t="s">
        <v>2011</v>
      </c>
      <c r="D7030">
        <v>4</v>
      </c>
      <c r="E7030" s="16">
        <v>162.63999999999999</v>
      </c>
      <c r="F7030" s="1">
        <v>44204</v>
      </c>
      <c r="G7030" t="s">
        <v>2020</v>
      </c>
      <c r="H7030">
        <v>5</v>
      </c>
      <c r="I7030" s="12">
        <f>Table16[[#This Row],[price]]*Table16[[#This Row],[quantity]]</f>
        <v>650.55999999999995</v>
      </c>
    </row>
    <row r="7031" spans="1:9" x14ac:dyDescent="0.3">
      <c r="A7031" t="s">
        <v>9048</v>
      </c>
      <c r="B7031" t="s">
        <v>1399</v>
      </c>
      <c r="C7031" t="s">
        <v>2015</v>
      </c>
      <c r="D7031">
        <v>3</v>
      </c>
      <c r="E7031" s="16">
        <v>1800.51</v>
      </c>
      <c r="F7031" s="1">
        <v>44218</v>
      </c>
      <c r="G7031" t="s">
        <v>2004</v>
      </c>
      <c r="H7031">
        <v>4</v>
      </c>
      <c r="I7031" s="12">
        <f>Table16[[#This Row],[price]]*Table16[[#This Row],[quantity]]</f>
        <v>5401.53</v>
      </c>
    </row>
    <row r="7032" spans="1:9" x14ac:dyDescent="0.3">
      <c r="A7032" t="s">
        <v>9047</v>
      </c>
      <c r="B7032" t="s">
        <v>1399</v>
      </c>
      <c r="C7032" t="s">
        <v>2057</v>
      </c>
      <c r="D7032">
        <v>1</v>
      </c>
      <c r="E7032" s="16">
        <v>11.73</v>
      </c>
      <c r="F7032" s="1">
        <v>44283</v>
      </c>
      <c r="G7032" t="s">
        <v>2002</v>
      </c>
      <c r="H7032">
        <v>1</v>
      </c>
      <c r="I7032" s="12">
        <f>Table16[[#This Row],[price]]*Table16[[#This Row],[quantity]]</f>
        <v>11.73</v>
      </c>
    </row>
    <row r="7033" spans="1:9" x14ac:dyDescent="0.3">
      <c r="A7033" t="s">
        <v>9046</v>
      </c>
      <c r="B7033" t="s">
        <v>1399</v>
      </c>
      <c r="C7033" t="s">
        <v>2001</v>
      </c>
      <c r="D7033">
        <v>4</v>
      </c>
      <c r="E7033" s="16">
        <v>1200.32</v>
      </c>
      <c r="F7033" s="1">
        <v>44939</v>
      </c>
      <c r="G7033" t="s">
        <v>2004</v>
      </c>
      <c r="H7033">
        <v>1</v>
      </c>
      <c r="I7033" s="12">
        <f>Table16[[#This Row],[price]]*Table16[[#This Row],[quantity]]</f>
        <v>4801.28</v>
      </c>
    </row>
    <row r="7034" spans="1:9" x14ac:dyDescent="0.3">
      <c r="A7034" t="s">
        <v>9056</v>
      </c>
      <c r="B7034" t="s">
        <v>1400</v>
      </c>
      <c r="C7034" t="s">
        <v>2001</v>
      </c>
      <c r="D7034">
        <v>4</v>
      </c>
      <c r="E7034" s="16">
        <v>1200.32</v>
      </c>
      <c r="F7034" s="1">
        <v>44367</v>
      </c>
      <c r="G7034" t="s">
        <v>2002</v>
      </c>
      <c r="H7034">
        <v>5</v>
      </c>
      <c r="I7034" s="12">
        <f>Table16[[#This Row],[price]]*Table16[[#This Row],[quantity]]</f>
        <v>4801.28</v>
      </c>
    </row>
    <row r="7035" spans="1:9" x14ac:dyDescent="0.3">
      <c r="A7035" t="s">
        <v>9054</v>
      </c>
      <c r="B7035" t="s">
        <v>1400</v>
      </c>
      <c r="C7035" t="s">
        <v>2017</v>
      </c>
      <c r="D7035">
        <v>2</v>
      </c>
      <c r="E7035" s="16">
        <v>2100</v>
      </c>
      <c r="F7035" s="1">
        <v>44370</v>
      </c>
      <c r="G7035" t="s">
        <v>2064</v>
      </c>
      <c r="H7035">
        <v>1</v>
      </c>
      <c r="I7035" s="12">
        <f>Table16[[#This Row],[price]]*Table16[[#This Row],[quantity]]</f>
        <v>4200</v>
      </c>
    </row>
    <row r="7036" spans="1:9" x14ac:dyDescent="0.3">
      <c r="A7036" t="s">
        <v>9052</v>
      </c>
      <c r="B7036" t="s">
        <v>1400</v>
      </c>
      <c r="C7036" t="s">
        <v>2015</v>
      </c>
      <c r="D7036">
        <v>2</v>
      </c>
      <c r="E7036" s="16">
        <v>1200.3399999999999</v>
      </c>
      <c r="F7036" s="1">
        <v>44454</v>
      </c>
      <c r="G7036" t="s">
        <v>2018</v>
      </c>
      <c r="H7036">
        <v>3</v>
      </c>
      <c r="I7036" s="12">
        <f>Table16[[#This Row],[price]]*Table16[[#This Row],[quantity]]</f>
        <v>2400.6799999999998</v>
      </c>
    </row>
    <row r="7037" spans="1:9" x14ac:dyDescent="0.3">
      <c r="A7037" t="s">
        <v>9055</v>
      </c>
      <c r="B7037" t="s">
        <v>1400</v>
      </c>
      <c r="C7037" t="s">
        <v>2017</v>
      </c>
      <c r="D7037">
        <v>4</v>
      </c>
      <c r="E7037" s="16">
        <v>4200</v>
      </c>
      <c r="F7037" s="1">
        <v>44457</v>
      </c>
      <c r="G7037" t="s">
        <v>2041</v>
      </c>
      <c r="H7037">
        <v>1</v>
      </c>
      <c r="I7037" s="12">
        <f>Table16[[#This Row],[price]]*Table16[[#This Row],[quantity]]</f>
        <v>16800</v>
      </c>
    </row>
    <row r="7038" spans="1:9" x14ac:dyDescent="0.3">
      <c r="A7038" t="s">
        <v>9051</v>
      </c>
      <c r="B7038" t="s">
        <v>1400</v>
      </c>
      <c r="C7038" t="s">
        <v>2008</v>
      </c>
      <c r="D7038">
        <v>4</v>
      </c>
      <c r="E7038" s="16">
        <v>20.92</v>
      </c>
      <c r="F7038" s="1">
        <v>44573</v>
      </c>
      <c r="G7038" t="s">
        <v>2004</v>
      </c>
      <c r="H7038">
        <v>1</v>
      </c>
      <c r="I7038" s="12">
        <f>Table16[[#This Row],[price]]*Table16[[#This Row],[quantity]]</f>
        <v>83.68</v>
      </c>
    </row>
    <row r="7039" spans="1:9" x14ac:dyDescent="0.3">
      <c r="A7039" t="s">
        <v>9057</v>
      </c>
      <c r="B7039" t="s">
        <v>1400</v>
      </c>
      <c r="C7039" t="s">
        <v>2024</v>
      </c>
      <c r="D7039">
        <v>5</v>
      </c>
      <c r="E7039" s="16">
        <v>179.2</v>
      </c>
      <c r="F7039" s="1">
        <v>44636</v>
      </c>
      <c r="G7039" t="s">
        <v>2020</v>
      </c>
      <c r="H7039">
        <v>1</v>
      </c>
      <c r="I7039" s="12">
        <f>Table16[[#This Row],[price]]*Table16[[#This Row],[quantity]]</f>
        <v>896</v>
      </c>
    </row>
    <row r="7040" spans="1:9" x14ac:dyDescent="0.3">
      <c r="A7040" t="s">
        <v>9053</v>
      </c>
      <c r="B7040" t="s">
        <v>1400</v>
      </c>
      <c r="C7040" t="s">
        <v>2011</v>
      </c>
      <c r="D7040">
        <v>2</v>
      </c>
      <c r="E7040" s="16">
        <v>81.319999999999993</v>
      </c>
      <c r="F7040" s="1">
        <v>44758</v>
      </c>
      <c r="G7040" t="s">
        <v>2027</v>
      </c>
      <c r="H7040">
        <v>4</v>
      </c>
      <c r="I7040" s="12">
        <f>Table16[[#This Row],[price]]*Table16[[#This Row],[quantity]]</f>
        <v>162.63999999999999</v>
      </c>
    </row>
    <row r="7041" spans="1:9" x14ac:dyDescent="0.3">
      <c r="A7041" t="s">
        <v>9050</v>
      </c>
      <c r="B7041" t="s">
        <v>1400</v>
      </c>
      <c r="C7041" t="s">
        <v>2024</v>
      </c>
      <c r="D7041">
        <v>1</v>
      </c>
      <c r="E7041" s="16">
        <v>35.840000000000003</v>
      </c>
      <c r="F7041" s="1">
        <v>44896</v>
      </c>
      <c r="G7041" t="s">
        <v>2020</v>
      </c>
      <c r="H7041">
        <v>2</v>
      </c>
      <c r="I7041" s="12">
        <f>Table16[[#This Row],[price]]*Table16[[#This Row],[quantity]]</f>
        <v>35.840000000000003</v>
      </c>
    </row>
    <row r="7042" spans="1:9" x14ac:dyDescent="0.3">
      <c r="A7042" t="s">
        <v>9060</v>
      </c>
      <c r="B7042" t="s">
        <v>1401</v>
      </c>
      <c r="C7042" t="s">
        <v>2001</v>
      </c>
      <c r="D7042">
        <v>2</v>
      </c>
      <c r="E7042" s="16">
        <v>600.16</v>
      </c>
      <c r="F7042" s="1">
        <v>44565</v>
      </c>
      <c r="G7042" t="s">
        <v>2004</v>
      </c>
      <c r="H7042">
        <v>2</v>
      </c>
      <c r="I7042" s="12">
        <f>Table16[[#This Row],[price]]*Table16[[#This Row],[quantity]]</f>
        <v>1200.32</v>
      </c>
    </row>
    <row r="7043" spans="1:9" x14ac:dyDescent="0.3">
      <c r="A7043" t="s">
        <v>9059</v>
      </c>
      <c r="B7043" t="s">
        <v>1401</v>
      </c>
      <c r="C7043" t="s">
        <v>2057</v>
      </c>
      <c r="D7043">
        <v>2</v>
      </c>
      <c r="E7043" s="16">
        <v>23.46</v>
      </c>
      <c r="F7043" s="1">
        <v>44881</v>
      </c>
      <c r="G7043" t="s">
        <v>2004</v>
      </c>
      <c r="H7043">
        <v>1</v>
      </c>
      <c r="I7043" s="12">
        <f>Table16[[#This Row],[price]]*Table16[[#This Row],[quantity]]</f>
        <v>46.92</v>
      </c>
    </row>
    <row r="7044" spans="1:9" x14ac:dyDescent="0.3">
      <c r="A7044" t="s">
        <v>9058</v>
      </c>
      <c r="B7044" t="s">
        <v>1401</v>
      </c>
      <c r="C7044" t="s">
        <v>2015</v>
      </c>
      <c r="D7044">
        <v>1</v>
      </c>
      <c r="E7044" s="16">
        <v>600.16999999999996</v>
      </c>
      <c r="F7044" s="1">
        <v>44961</v>
      </c>
      <c r="G7044" t="s">
        <v>2004</v>
      </c>
      <c r="H7044">
        <v>1</v>
      </c>
      <c r="I7044" s="12">
        <f>Table16[[#This Row],[price]]*Table16[[#This Row],[quantity]]</f>
        <v>600.16999999999996</v>
      </c>
    </row>
    <row r="7045" spans="1:9" x14ac:dyDescent="0.3">
      <c r="A7045" t="s">
        <v>9063</v>
      </c>
      <c r="B7045" t="s">
        <v>1402</v>
      </c>
      <c r="C7045" t="s">
        <v>2001</v>
      </c>
      <c r="D7045">
        <v>2</v>
      </c>
      <c r="E7045" s="16">
        <v>600.16</v>
      </c>
      <c r="F7045" s="1">
        <v>44275</v>
      </c>
      <c r="G7045" t="s">
        <v>2002</v>
      </c>
      <c r="H7045">
        <v>3</v>
      </c>
      <c r="I7045" s="12">
        <f>Table16[[#This Row],[price]]*Table16[[#This Row],[quantity]]</f>
        <v>1200.32</v>
      </c>
    </row>
    <row r="7046" spans="1:9" x14ac:dyDescent="0.3">
      <c r="A7046" t="s">
        <v>9061</v>
      </c>
      <c r="B7046" t="s">
        <v>1402</v>
      </c>
      <c r="C7046" t="s">
        <v>2001</v>
      </c>
      <c r="D7046">
        <v>2</v>
      </c>
      <c r="E7046" s="16">
        <v>600.16</v>
      </c>
      <c r="F7046" s="1">
        <v>44277</v>
      </c>
      <c r="G7046" t="s">
        <v>2002</v>
      </c>
      <c r="H7046">
        <v>2</v>
      </c>
      <c r="I7046" s="12">
        <f>Table16[[#This Row],[price]]*Table16[[#This Row],[quantity]]</f>
        <v>1200.32</v>
      </c>
    </row>
    <row r="7047" spans="1:9" x14ac:dyDescent="0.3">
      <c r="A7047" t="s">
        <v>9064</v>
      </c>
      <c r="B7047" t="s">
        <v>1402</v>
      </c>
      <c r="C7047" t="s">
        <v>2001</v>
      </c>
      <c r="D7047">
        <v>2</v>
      </c>
      <c r="E7047" s="16">
        <v>600.16</v>
      </c>
      <c r="F7047" s="1">
        <v>44674</v>
      </c>
      <c r="G7047" t="s">
        <v>2020</v>
      </c>
      <c r="H7047">
        <v>5</v>
      </c>
      <c r="I7047" s="12">
        <f>Table16[[#This Row],[price]]*Table16[[#This Row],[quantity]]</f>
        <v>1200.32</v>
      </c>
    </row>
    <row r="7048" spans="1:9" x14ac:dyDescent="0.3">
      <c r="A7048" t="s">
        <v>9062</v>
      </c>
      <c r="B7048" t="s">
        <v>1402</v>
      </c>
      <c r="C7048" t="s">
        <v>2006</v>
      </c>
      <c r="D7048">
        <v>1</v>
      </c>
      <c r="E7048" s="16">
        <v>15.15</v>
      </c>
      <c r="F7048" s="1">
        <v>44969</v>
      </c>
      <c r="G7048" t="s">
        <v>2027</v>
      </c>
      <c r="H7048">
        <v>1</v>
      </c>
      <c r="I7048" s="12">
        <f>Table16[[#This Row],[price]]*Table16[[#This Row],[quantity]]</f>
        <v>15.15</v>
      </c>
    </row>
    <row r="7049" spans="1:9" x14ac:dyDescent="0.3">
      <c r="A7049" t="s">
        <v>9066</v>
      </c>
      <c r="B7049" t="s">
        <v>1403</v>
      </c>
      <c r="C7049" t="s">
        <v>2001</v>
      </c>
      <c r="D7049">
        <v>1</v>
      </c>
      <c r="E7049" s="16">
        <v>300.08</v>
      </c>
      <c r="F7049" s="1">
        <v>44244</v>
      </c>
      <c r="G7049" t="s">
        <v>2002</v>
      </c>
      <c r="H7049">
        <v>1</v>
      </c>
      <c r="I7049" s="12">
        <f>Table16[[#This Row],[price]]*Table16[[#This Row],[quantity]]</f>
        <v>300.08</v>
      </c>
    </row>
    <row r="7050" spans="1:9" x14ac:dyDescent="0.3">
      <c r="A7050" t="s">
        <v>9067</v>
      </c>
      <c r="B7050" t="s">
        <v>1403</v>
      </c>
      <c r="C7050" t="s">
        <v>2001</v>
      </c>
      <c r="D7050">
        <v>4</v>
      </c>
      <c r="E7050" s="16">
        <v>1200.32</v>
      </c>
      <c r="F7050" s="1">
        <v>44406</v>
      </c>
      <c r="G7050" t="s">
        <v>2027</v>
      </c>
      <c r="H7050">
        <v>2</v>
      </c>
      <c r="I7050" s="12">
        <f>Table16[[#This Row],[price]]*Table16[[#This Row],[quantity]]</f>
        <v>4801.28</v>
      </c>
    </row>
    <row r="7051" spans="1:9" x14ac:dyDescent="0.3">
      <c r="A7051" t="s">
        <v>9065</v>
      </c>
      <c r="B7051" t="s">
        <v>1403</v>
      </c>
      <c r="C7051" t="s">
        <v>2001</v>
      </c>
      <c r="D7051">
        <v>3</v>
      </c>
      <c r="E7051" s="16">
        <v>900.24</v>
      </c>
      <c r="F7051" s="1">
        <v>44774</v>
      </c>
      <c r="G7051" t="s">
        <v>2027</v>
      </c>
      <c r="H7051">
        <v>3</v>
      </c>
      <c r="I7051" s="12">
        <f>Table16[[#This Row],[price]]*Table16[[#This Row],[quantity]]</f>
        <v>2700.7200000000003</v>
      </c>
    </row>
    <row r="7052" spans="1:9" x14ac:dyDescent="0.3">
      <c r="A7052" t="s">
        <v>9068</v>
      </c>
      <c r="B7052" t="s">
        <v>1404</v>
      </c>
      <c r="C7052" t="s">
        <v>2006</v>
      </c>
      <c r="D7052">
        <v>1</v>
      </c>
      <c r="E7052" s="16">
        <v>15.15</v>
      </c>
      <c r="F7052" s="1">
        <v>44241</v>
      </c>
      <c r="G7052" t="s">
        <v>2004</v>
      </c>
      <c r="H7052">
        <v>5</v>
      </c>
      <c r="I7052" s="12">
        <f>Table16[[#This Row],[price]]*Table16[[#This Row],[quantity]]</f>
        <v>15.15</v>
      </c>
    </row>
    <row r="7053" spans="1:9" x14ac:dyDescent="0.3">
      <c r="A7053" t="s">
        <v>9069</v>
      </c>
      <c r="B7053" t="s">
        <v>1404</v>
      </c>
      <c r="C7053" t="s">
        <v>2015</v>
      </c>
      <c r="D7053">
        <v>1</v>
      </c>
      <c r="E7053" s="16">
        <v>600.16999999999996</v>
      </c>
      <c r="F7053" s="1">
        <v>44400</v>
      </c>
      <c r="G7053" t="s">
        <v>2020</v>
      </c>
      <c r="H7053">
        <v>4</v>
      </c>
      <c r="I7053" s="12">
        <f>Table16[[#This Row],[price]]*Table16[[#This Row],[quantity]]</f>
        <v>600.16999999999996</v>
      </c>
    </row>
    <row r="7054" spans="1:9" x14ac:dyDescent="0.3">
      <c r="A7054" t="s">
        <v>9071</v>
      </c>
      <c r="B7054" t="s">
        <v>1404</v>
      </c>
      <c r="C7054" t="s">
        <v>2011</v>
      </c>
      <c r="D7054">
        <v>1</v>
      </c>
      <c r="E7054" s="16">
        <v>40.659999999999997</v>
      </c>
      <c r="F7054" s="1">
        <v>44536</v>
      </c>
      <c r="G7054" t="s">
        <v>2064</v>
      </c>
      <c r="H7054">
        <v>2</v>
      </c>
      <c r="I7054" s="12">
        <f>Table16[[#This Row],[price]]*Table16[[#This Row],[quantity]]</f>
        <v>40.659999999999997</v>
      </c>
    </row>
    <row r="7055" spans="1:9" x14ac:dyDescent="0.3">
      <c r="A7055" t="s">
        <v>9073</v>
      </c>
      <c r="B7055" t="s">
        <v>1404</v>
      </c>
      <c r="C7055" t="s">
        <v>2001</v>
      </c>
      <c r="D7055">
        <v>1</v>
      </c>
      <c r="E7055" s="16">
        <v>300.08</v>
      </c>
      <c r="F7055" s="1">
        <v>44670</v>
      </c>
      <c r="G7055" t="s">
        <v>2027</v>
      </c>
      <c r="H7055">
        <v>2</v>
      </c>
      <c r="I7055" s="12">
        <f>Table16[[#This Row],[price]]*Table16[[#This Row],[quantity]]</f>
        <v>300.08</v>
      </c>
    </row>
    <row r="7056" spans="1:9" x14ac:dyDescent="0.3">
      <c r="A7056" t="s">
        <v>9072</v>
      </c>
      <c r="B7056" t="s">
        <v>1404</v>
      </c>
      <c r="C7056" t="s">
        <v>2017</v>
      </c>
      <c r="D7056">
        <v>5</v>
      </c>
      <c r="E7056" s="16">
        <v>5250</v>
      </c>
      <c r="F7056" s="1">
        <v>44730</v>
      </c>
      <c r="G7056" t="s">
        <v>2009</v>
      </c>
      <c r="H7056">
        <v>2</v>
      </c>
      <c r="I7056" s="12">
        <f>Table16[[#This Row],[price]]*Table16[[#This Row],[quantity]]</f>
        <v>26250</v>
      </c>
    </row>
    <row r="7057" spans="1:9" x14ac:dyDescent="0.3">
      <c r="A7057" t="s">
        <v>9074</v>
      </c>
      <c r="B7057" t="s">
        <v>1404</v>
      </c>
      <c r="C7057" t="s">
        <v>2001</v>
      </c>
      <c r="D7057">
        <v>4</v>
      </c>
      <c r="E7057" s="16">
        <v>1200.32</v>
      </c>
      <c r="F7057" s="1">
        <v>44854</v>
      </c>
      <c r="G7057" t="s">
        <v>2004</v>
      </c>
      <c r="H7057">
        <v>1</v>
      </c>
      <c r="I7057" s="12">
        <f>Table16[[#This Row],[price]]*Table16[[#This Row],[quantity]]</f>
        <v>4801.28</v>
      </c>
    </row>
    <row r="7058" spans="1:9" x14ac:dyDescent="0.3">
      <c r="A7058" t="s">
        <v>9070</v>
      </c>
      <c r="B7058" t="s">
        <v>1404</v>
      </c>
      <c r="C7058" t="s">
        <v>2015</v>
      </c>
      <c r="D7058">
        <v>5</v>
      </c>
      <c r="E7058" s="16">
        <v>3000.85</v>
      </c>
      <c r="F7058" s="1">
        <v>44953</v>
      </c>
      <c r="G7058" t="s">
        <v>2064</v>
      </c>
      <c r="H7058">
        <v>2</v>
      </c>
      <c r="I7058" s="12">
        <f>Table16[[#This Row],[price]]*Table16[[#This Row],[quantity]]</f>
        <v>15004.25</v>
      </c>
    </row>
    <row r="7059" spans="1:9" x14ac:dyDescent="0.3">
      <c r="A7059" t="s">
        <v>9077</v>
      </c>
      <c r="B7059" t="s">
        <v>1405</v>
      </c>
      <c r="C7059" t="s">
        <v>2008</v>
      </c>
      <c r="D7059">
        <v>2</v>
      </c>
      <c r="E7059" s="16">
        <v>10.46</v>
      </c>
      <c r="F7059" s="1">
        <v>44341</v>
      </c>
      <c r="G7059" t="s">
        <v>2027</v>
      </c>
      <c r="H7059">
        <v>1</v>
      </c>
      <c r="I7059" s="12">
        <f>Table16[[#This Row],[price]]*Table16[[#This Row],[quantity]]</f>
        <v>20.92</v>
      </c>
    </row>
    <row r="7060" spans="1:9" x14ac:dyDescent="0.3">
      <c r="A7060" t="s">
        <v>9076</v>
      </c>
      <c r="B7060" t="s">
        <v>1405</v>
      </c>
      <c r="C7060" t="s">
        <v>2011</v>
      </c>
      <c r="D7060">
        <v>5</v>
      </c>
      <c r="E7060" s="16">
        <v>203.3</v>
      </c>
      <c r="F7060" s="1">
        <v>44500</v>
      </c>
      <c r="G7060" t="s">
        <v>2064</v>
      </c>
      <c r="H7060">
        <v>5</v>
      </c>
      <c r="I7060" s="12">
        <f>Table16[[#This Row],[price]]*Table16[[#This Row],[quantity]]</f>
        <v>1016.5</v>
      </c>
    </row>
    <row r="7061" spans="1:9" x14ac:dyDescent="0.3">
      <c r="A7061" t="s">
        <v>9079</v>
      </c>
      <c r="B7061" t="s">
        <v>1405</v>
      </c>
      <c r="C7061" t="s">
        <v>2008</v>
      </c>
      <c r="D7061">
        <v>2</v>
      </c>
      <c r="E7061" s="16">
        <v>10.46</v>
      </c>
      <c r="F7061" s="1">
        <v>44571</v>
      </c>
      <c r="G7061" t="s">
        <v>2002</v>
      </c>
      <c r="H7061">
        <v>5</v>
      </c>
      <c r="I7061" s="12">
        <f>Table16[[#This Row],[price]]*Table16[[#This Row],[quantity]]</f>
        <v>20.92</v>
      </c>
    </row>
    <row r="7062" spans="1:9" x14ac:dyDescent="0.3">
      <c r="A7062" t="s">
        <v>9075</v>
      </c>
      <c r="B7062" t="s">
        <v>1405</v>
      </c>
      <c r="C7062" t="s">
        <v>2015</v>
      </c>
      <c r="D7062">
        <v>4</v>
      </c>
      <c r="E7062" s="16">
        <v>2400.6799999999998</v>
      </c>
      <c r="F7062" s="1">
        <v>44612</v>
      </c>
      <c r="G7062" t="s">
        <v>2027</v>
      </c>
      <c r="H7062">
        <v>2</v>
      </c>
      <c r="I7062" s="12">
        <f>Table16[[#This Row],[price]]*Table16[[#This Row],[quantity]]</f>
        <v>9602.7199999999993</v>
      </c>
    </row>
    <row r="7063" spans="1:9" x14ac:dyDescent="0.3">
      <c r="A7063" t="s">
        <v>9078</v>
      </c>
      <c r="B7063" t="s">
        <v>1405</v>
      </c>
      <c r="C7063" t="s">
        <v>2057</v>
      </c>
      <c r="D7063">
        <v>5</v>
      </c>
      <c r="E7063" s="16">
        <v>58.65</v>
      </c>
      <c r="F7063" s="1">
        <v>44666</v>
      </c>
      <c r="G7063" t="s">
        <v>2041</v>
      </c>
      <c r="H7063">
        <v>1</v>
      </c>
      <c r="I7063" s="12">
        <f>Table16[[#This Row],[price]]*Table16[[#This Row],[quantity]]</f>
        <v>293.25</v>
      </c>
    </row>
    <row r="7064" spans="1:9" x14ac:dyDescent="0.3">
      <c r="A7064" t="s">
        <v>9080</v>
      </c>
      <c r="B7064" t="s">
        <v>1405</v>
      </c>
      <c r="C7064" t="s">
        <v>2011</v>
      </c>
      <c r="D7064">
        <v>1</v>
      </c>
      <c r="E7064" s="16">
        <v>40.659999999999997</v>
      </c>
      <c r="F7064" s="1">
        <v>44975</v>
      </c>
      <c r="G7064" t="s">
        <v>2020</v>
      </c>
      <c r="H7064">
        <v>3</v>
      </c>
      <c r="I7064" s="12">
        <f>Table16[[#This Row],[price]]*Table16[[#This Row],[quantity]]</f>
        <v>40.659999999999997</v>
      </c>
    </row>
    <row r="7065" spans="1:9" x14ac:dyDescent="0.3">
      <c r="A7065" t="s">
        <v>9083</v>
      </c>
      <c r="B7065" t="s">
        <v>1406</v>
      </c>
      <c r="C7065" t="s">
        <v>2008</v>
      </c>
      <c r="D7065">
        <v>1</v>
      </c>
      <c r="E7065" s="16">
        <v>5.23</v>
      </c>
      <c r="F7065" s="1">
        <v>44219</v>
      </c>
      <c r="G7065" t="s">
        <v>2002</v>
      </c>
      <c r="H7065">
        <v>4</v>
      </c>
      <c r="I7065" s="12">
        <f>Table16[[#This Row],[price]]*Table16[[#This Row],[quantity]]</f>
        <v>5.23</v>
      </c>
    </row>
    <row r="7066" spans="1:9" x14ac:dyDescent="0.3">
      <c r="A7066" t="s">
        <v>9081</v>
      </c>
      <c r="B7066" t="s">
        <v>1406</v>
      </c>
      <c r="C7066" t="s">
        <v>2001</v>
      </c>
      <c r="D7066">
        <v>1</v>
      </c>
      <c r="E7066" s="16">
        <v>300.08</v>
      </c>
      <c r="F7066" s="1">
        <v>44278</v>
      </c>
      <c r="G7066" t="s">
        <v>2041</v>
      </c>
      <c r="H7066">
        <v>3</v>
      </c>
      <c r="I7066" s="12">
        <f>Table16[[#This Row],[price]]*Table16[[#This Row],[quantity]]</f>
        <v>300.08</v>
      </c>
    </row>
    <row r="7067" spans="1:9" x14ac:dyDescent="0.3">
      <c r="A7067" t="s">
        <v>9082</v>
      </c>
      <c r="B7067" t="s">
        <v>1406</v>
      </c>
      <c r="C7067" t="s">
        <v>2011</v>
      </c>
      <c r="D7067">
        <v>1</v>
      </c>
      <c r="E7067" s="16">
        <v>40.659999999999997</v>
      </c>
      <c r="F7067" s="1">
        <v>44475</v>
      </c>
      <c r="G7067" t="s">
        <v>2002</v>
      </c>
      <c r="H7067">
        <v>2</v>
      </c>
      <c r="I7067" s="12">
        <f>Table16[[#This Row],[price]]*Table16[[#This Row],[quantity]]</f>
        <v>40.659999999999997</v>
      </c>
    </row>
    <row r="7068" spans="1:9" x14ac:dyDescent="0.3">
      <c r="A7068" t="s">
        <v>9084</v>
      </c>
      <c r="B7068" t="s">
        <v>1406</v>
      </c>
      <c r="C7068" t="s">
        <v>2001</v>
      </c>
      <c r="D7068">
        <v>5</v>
      </c>
      <c r="E7068" s="16">
        <v>1500.4</v>
      </c>
      <c r="F7068" s="1">
        <v>44874</v>
      </c>
      <c r="G7068" t="s">
        <v>2018</v>
      </c>
      <c r="H7068">
        <v>5</v>
      </c>
      <c r="I7068" s="12">
        <f>Table16[[#This Row],[price]]*Table16[[#This Row],[quantity]]</f>
        <v>7502</v>
      </c>
    </row>
    <row r="7069" spans="1:9" x14ac:dyDescent="0.3">
      <c r="A7069" t="s">
        <v>9088</v>
      </c>
      <c r="B7069" t="s">
        <v>1407</v>
      </c>
      <c r="C7069" t="s">
        <v>2011</v>
      </c>
      <c r="D7069">
        <v>5</v>
      </c>
      <c r="E7069" s="16">
        <v>203.3</v>
      </c>
      <c r="F7069" s="1">
        <v>44322</v>
      </c>
      <c r="G7069" t="s">
        <v>2027</v>
      </c>
      <c r="H7069">
        <v>2</v>
      </c>
      <c r="I7069" s="12">
        <f>Table16[[#This Row],[price]]*Table16[[#This Row],[quantity]]</f>
        <v>1016.5</v>
      </c>
    </row>
    <row r="7070" spans="1:9" x14ac:dyDescent="0.3">
      <c r="A7070" t="s">
        <v>9087</v>
      </c>
      <c r="B7070" t="s">
        <v>1407</v>
      </c>
      <c r="C7070" t="s">
        <v>2008</v>
      </c>
      <c r="D7070">
        <v>1</v>
      </c>
      <c r="E7070" s="16">
        <v>5.23</v>
      </c>
      <c r="F7070" s="1">
        <v>44330</v>
      </c>
      <c r="G7070" t="s">
        <v>2004</v>
      </c>
      <c r="H7070">
        <v>1</v>
      </c>
      <c r="I7070" s="12">
        <f>Table16[[#This Row],[price]]*Table16[[#This Row],[quantity]]</f>
        <v>5.23</v>
      </c>
    </row>
    <row r="7071" spans="1:9" x14ac:dyDescent="0.3">
      <c r="A7071" t="s">
        <v>9086</v>
      </c>
      <c r="B7071" t="s">
        <v>1407</v>
      </c>
      <c r="C7071" t="s">
        <v>2015</v>
      </c>
      <c r="D7071">
        <v>5</v>
      </c>
      <c r="E7071" s="16">
        <v>3000.85</v>
      </c>
      <c r="F7071" s="1">
        <v>44429</v>
      </c>
      <c r="G7071" t="s">
        <v>2002</v>
      </c>
      <c r="H7071">
        <v>5</v>
      </c>
      <c r="I7071" s="12">
        <f>Table16[[#This Row],[price]]*Table16[[#This Row],[quantity]]</f>
        <v>15004.25</v>
      </c>
    </row>
    <row r="7072" spans="1:9" x14ac:dyDescent="0.3">
      <c r="A7072" t="s">
        <v>9085</v>
      </c>
      <c r="B7072" t="s">
        <v>1407</v>
      </c>
      <c r="C7072" t="s">
        <v>2011</v>
      </c>
      <c r="D7072">
        <v>5</v>
      </c>
      <c r="E7072" s="16">
        <v>203.3</v>
      </c>
      <c r="F7072" s="1">
        <v>44537</v>
      </c>
      <c r="G7072" t="s">
        <v>2064</v>
      </c>
      <c r="H7072">
        <v>2</v>
      </c>
      <c r="I7072" s="12">
        <f>Table16[[#This Row],[price]]*Table16[[#This Row],[quantity]]</f>
        <v>1016.5</v>
      </c>
    </row>
    <row r="7073" spans="1:9" x14ac:dyDescent="0.3">
      <c r="A7073" t="s">
        <v>9091</v>
      </c>
      <c r="B7073" t="s">
        <v>1407</v>
      </c>
      <c r="C7073" t="s">
        <v>2008</v>
      </c>
      <c r="D7073">
        <v>1</v>
      </c>
      <c r="E7073" s="16">
        <v>5.23</v>
      </c>
      <c r="F7073" s="1">
        <v>44839</v>
      </c>
      <c r="G7073" t="s">
        <v>2064</v>
      </c>
      <c r="H7073">
        <v>3</v>
      </c>
      <c r="I7073" s="12">
        <f>Table16[[#This Row],[price]]*Table16[[#This Row],[quantity]]</f>
        <v>5.23</v>
      </c>
    </row>
    <row r="7074" spans="1:9" x14ac:dyDescent="0.3">
      <c r="A7074" t="s">
        <v>9090</v>
      </c>
      <c r="B7074" t="s">
        <v>1407</v>
      </c>
      <c r="C7074" t="s">
        <v>2001</v>
      </c>
      <c r="D7074">
        <v>2</v>
      </c>
      <c r="E7074" s="16">
        <v>600.16</v>
      </c>
      <c r="F7074" s="1">
        <v>44910</v>
      </c>
      <c r="G7074" t="s">
        <v>2012</v>
      </c>
      <c r="H7074">
        <v>5</v>
      </c>
      <c r="I7074" s="12">
        <f>Table16[[#This Row],[price]]*Table16[[#This Row],[quantity]]</f>
        <v>1200.32</v>
      </c>
    </row>
    <row r="7075" spans="1:9" x14ac:dyDescent="0.3">
      <c r="A7075" t="s">
        <v>9089</v>
      </c>
      <c r="B7075" t="s">
        <v>1407</v>
      </c>
      <c r="C7075" t="s">
        <v>2008</v>
      </c>
      <c r="D7075">
        <v>2</v>
      </c>
      <c r="E7075" s="16">
        <v>10.46</v>
      </c>
      <c r="F7075" s="1">
        <v>44986</v>
      </c>
      <c r="G7075" t="s">
        <v>2004</v>
      </c>
      <c r="H7075">
        <v>4</v>
      </c>
      <c r="I7075" s="12">
        <f>Table16[[#This Row],[price]]*Table16[[#This Row],[quantity]]</f>
        <v>20.92</v>
      </c>
    </row>
    <row r="7076" spans="1:9" x14ac:dyDescent="0.3">
      <c r="A7076" t="s">
        <v>9093</v>
      </c>
      <c r="B7076" t="s">
        <v>1408</v>
      </c>
      <c r="C7076" t="s">
        <v>2024</v>
      </c>
      <c r="D7076">
        <v>4</v>
      </c>
      <c r="E7076" s="16">
        <v>143.36000000000001</v>
      </c>
      <c r="F7076" s="1">
        <v>44443</v>
      </c>
      <c r="G7076" t="s">
        <v>2027</v>
      </c>
      <c r="H7076">
        <v>5</v>
      </c>
      <c r="I7076" s="12">
        <f>Table16[[#This Row],[price]]*Table16[[#This Row],[quantity]]</f>
        <v>573.44000000000005</v>
      </c>
    </row>
    <row r="7077" spans="1:9" x14ac:dyDescent="0.3">
      <c r="A7077" t="s">
        <v>9092</v>
      </c>
      <c r="B7077" t="s">
        <v>1408</v>
      </c>
      <c r="C7077" t="s">
        <v>2011</v>
      </c>
      <c r="D7077">
        <v>1</v>
      </c>
      <c r="E7077" s="16">
        <v>40.659999999999997</v>
      </c>
      <c r="F7077" s="1">
        <v>44784</v>
      </c>
      <c r="G7077" t="s">
        <v>2002</v>
      </c>
      <c r="H7077">
        <v>3</v>
      </c>
      <c r="I7077" s="12">
        <f>Table16[[#This Row],[price]]*Table16[[#This Row],[quantity]]</f>
        <v>40.659999999999997</v>
      </c>
    </row>
    <row r="7078" spans="1:9" x14ac:dyDescent="0.3">
      <c r="A7078" t="s">
        <v>9094</v>
      </c>
      <c r="B7078" t="s">
        <v>1408</v>
      </c>
      <c r="C7078" t="s">
        <v>2017</v>
      </c>
      <c r="D7078">
        <v>5</v>
      </c>
      <c r="E7078" s="16">
        <v>5250</v>
      </c>
      <c r="F7078" s="1">
        <v>44983</v>
      </c>
      <c r="G7078" t="s">
        <v>2012</v>
      </c>
      <c r="H7078">
        <v>2</v>
      </c>
      <c r="I7078" s="12">
        <f>Table16[[#This Row],[price]]*Table16[[#This Row],[quantity]]</f>
        <v>26250</v>
      </c>
    </row>
    <row r="7079" spans="1:9" x14ac:dyDescent="0.3">
      <c r="A7079" t="s">
        <v>9095</v>
      </c>
      <c r="B7079" t="s">
        <v>1409</v>
      </c>
      <c r="C7079" t="s">
        <v>2006</v>
      </c>
      <c r="D7079">
        <v>2</v>
      </c>
      <c r="E7079" s="16">
        <v>30.3</v>
      </c>
      <c r="F7079" s="1">
        <v>44306</v>
      </c>
      <c r="G7079" t="s">
        <v>2027</v>
      </c>
      <c r="H7079">
        <v>2</v>
      </c>
      <c r="I7079" s="12">
        <f>Table16[[#This Row],[price]]*Table16[[#This Row],[quantity]]</f>
        <v>60.6</v>
      </c>
    </row>
    <row r="7080" spans="1:9" x14ac:dyDescent="0.3">
      <c r="A7080" t="s">
        <v>9097</v>
      </c>
      <c r="B7080" t="s">
        <v>1409</v>
      </c>
      <c r="C7080" t="s">
        <v>2006</v>
      </c>
      <c r="D7080">
        <v>1</v>
      </c>
      <c r="E7080" s="16">
        <v>15.15</v>
      </c>
      <c r="F7080" s="1">
        <v>44402</v>
      </c>
      <c r="G7080" t="s">
        <v>2058</v>
      </c>
      <c r="H7080">
        <v>4</v>
      </c>
      <c r="I7080" s="12">
        <f>Table16[[#This Row],[price]]*Table16[[#This Row],[quantity]]</f>
        <v>15.15</v>
      </c>
    </row>
    <row r="7081" spans="1:9" x14ac:dyDescent="0.3">
      <c r="A7081" t="s">
        <v>9096</v>
      </c>
      <c r="B7081" t="s">
        <v>1409</v>
      </c>
      <c r="C7081" t="s">
        <v>2057</v>
      </c>
      <c r="D7081">
        <v>1</v>
      </c>
      <c r="E7081" s="16">
        <v>11.73</v>
      </c>
      <c r="F7081" s="1">
        <v>44621</v>
      </c>
      <c r="G7081" t="s">
        <v>2018</v>
      </c>
      <c r="H7081">
        <v>3</v>
      </c>
      <c r="I7081" s="12">
        <f>Table16[[#This Row],[price]]*Table16[[#This Row],[quantity]]</f>
        <v>11.73</v>
      </c>
    </row>
    <row r="7082" spans="1:9" x14ac:dyDescent="0.3">
      <c r="A7082" t="s">
        <v>9098</v>
      </c>
      <c r="B7082" t="s">
        <v>1409</v>
      </c>
      <c r="C7082" t="s">
        <v>2001</v>
      </c>
      <c r="D7082">
        <v>5</v>
      </c>
      <c r="E7082" s="16">
        <v>1500.4</v>
      </c>
      <c r="F7082" s="1">
        <v>44896</v>
      </c>
      <c r="G7082" t="s">
        <v>2027</v>
      </c>
      <c r="H7082">
        <v>1</v>
      </c>
      <c r="I7082" s="12">
        <f>Table16[[#This Row],[price]]*Table16[[#This Row],[quantity]]</f>
        <v>7502</v>
      </c>
    </row>
    <row r="7083" spans="1:9" x14ac:dyDescent="0.3">
      <c r="A7083" t="s">
        <v>9101</v>
      </c>
      <c r="B7083" t="s">
        <v>1410</v>
      </c>
      <c r="C7083" t="s">
        <v>2001</v>
      </c>
      <c r="D7083">
        <v>1</v>
      </c>
      <c r="E7083" s="16">
        <v>300.08</v>
      </c>
      <c r="F7083" s="1">
        <v>44242</v>
      </c>
      <c r="G7083" t="s">
        <v>2002</v>
      </c>
      <c r="H7083">
        <v>2</v>
      </c>
      <c r="I7083" s="12">
        <f>Table16[[#This Row],[price]]*Table16[[#This Row],[quantity]]</f>
        <v>300.08</v>
      </c>
    </row>
    <row r="7084" spans="1:9" x14ac:dyDescent="0.3">
      <c r="A7084" t="s">
        <v>9102</v>
      </c>
      <c r="B7084" t="s">
        <v>1410</v>
      </c>
      <c r="C7084" t="s">
        <v>2011</v>
      </c>
      <c r="D7084">
        <v>5</v>
      </c>
      <c r="E7084" s="16">
        <v>203.3</v>
      </c>
      <c r="F7084" s="1">
        <v>44337</v>
      </c>
      <c r="G7084" t="s">
        <v>2020</v>
      </c>
      <c r="H7084">
        <v>5</v>
      </c>
      <c r="I7084" s="12">
        <f>Table16[[#This Row],[price]]*Table16[[#This Row],[quantity]]</f>
        <v>1016.5</v>
      </c>
    </row>
    <row r="7085" spans="1:9" x14ac:dyDescent="0.3">
      <c r="A7085" t="s">
        <v>9099</v>
      </c>
      <c r="B7085" t="s">
        <v>1410</v>
      </c>
      <c r="C7085" t="s">
        <v>2011</v>
      </c>
      <c r="D7085">
        <v>5</v>
      </c>
      <c r="E7085" s="16">
        <v>203.3</v>
      </c>
      <c r="F7085" s="1">
        <v>44373</v>
      </c>
      <c r="G7085" t="s">
        <v>2027</v>
      </c>
      <c r="H7085">
        <v>5</v>
      </c>
      <c r="I7085" s="12">
        <f>Table16[[#This Row],[price]]*Table16[[#This Row],[quantity]]</f>
        <v>1016.5</v>
      </c>
    </row>
    <row r="7086" spans="1:9" x14ac:dyDescent="0.3">
      <c r="A7086" t="s">
        <v>9103</v>
      </c>
      <c r="B7086" t="s">
        <v>1410</v>
      </c>
      <c r="C7086" t="s">
        <v>2057</v>
      </c>
      <c r="D7086">
        <v>5</v>
      </c>
      <c r="E7086" s="16">
        <v>58.65</v>
      </c>
      <c r="F7086" s="1">
        <v>44594</v>
      </c>
      <c r="G7086" t="s">
        <v>2004</v>
      </c>
      <c r="H7086">
        <v>1</v>
      </c>
      <c r="I7086" s="12">
        <f>Table16[[#This Row],[price]]*Table16[[#This Row],[quantity]]</f>
        <v>293.25</v>
      </c>
    </row>
    <row r="7087" spans="1:9" x14ac:dyDescent="0.3">
      <c r="A7087" t="s">
        <v>9100</v>
      </c>
      <c r="B7087" t="s">
        <v>1410</v>
      </c>
      <c r="C7087" t="s">
        <v>2008</v>
      </c>
      <c r="D7087">
        <v>3</v>
      </c>
      <c r="E7087" s="16">
        <v>15.69</v>
      </c>
      <c r="F7087" s="1">
        <v>44753</v>
      </c>
      <c r="G7087" t="s">
        <v>2020</v>
      </c>
      <c r="H7087">
        <v>5</v>
      </c>
      <c r="I7087" s="12">
        <f>Table16[[#This Row],[price]]*Table16[[#This Row],[quantity]]</f>
        <v>47.07</v>
      </c>
    </row>
    <row r="7088" spans="1:9" x14ac:dyDescent="0.3">
      <c r="A7088" t="s">
        <v>9104</v>
      </c>
      <c r="B7088" t="s">
        <v>1411</v>
      </c>
      <c r="C7088" t="s">
        <v>2001</v>
      </c>
      <c r="D7088">
        <v>4</v>
      </c>
      <c r="E7088" s="16">
        <v>1200.32</v>
      </c>
      <c r="F7088" s="1">
        <v>44617</v>
      </c>
      <c r="G7088" t="s">
        <v>2018</v>
      </c>
      <c r="H7088">
        <v>5</v>
      </c>
      <c r="I7088" s="12">
        <f>Table16[[#This Row],[price]]*Table16[[#This Row],[quantity]]</f>
        <v>4801.28</v>
      </c>
    </row>
    <row r="7089" spans="1:9" x14ac:dyDescent="0.3">
      <c r="A7089" t="s">
        <v>9105</v>
      </c>
      <c r="B7089" t="s">
        <v>1411</v>
      </c>
      <c r="C7089" t="s">
        <v>2011</v>
      </c>
      <c r="D7089">
        <v>1</v>
      </c>
      <c r="E7089" s="16">
        <v>40.659999999999997</v>
      </c>
      <c r="F7089" s="1">
        <v>44719</v>
      </c>
      <c r="G7089" t="s">
        <v>2018</v>
      </c>
      <c r="H7089">
        <v>5</v>
      </c>
      <c r="I7089" s="12">
        <f>Table16[[#This Row],[price]]*Table16[[#This Row],[quantity]]</f>
        <v>40.659999999999997</v>
      </c>
    </row>
    <row r="7090" spans="1:9" x14ac:dyDescent="0.3">
      <c r="A7090" t="s">
        <v>9106</v>
      </c>
      <c r="B7090" t="s">
        <v>1411</v>
      </c>
      <c r="C7090" t="s">
        <v>2001</v>
      </c>
      <c r="D7090">
        <v>5</v>
      </c>
      <c r="E7090" s="16">
        <v>1500.4</v>
      </c>
      <c r="F7090" s="1">
        <v>44853</v>
      </c>
      <c r="G7090" t="s">
        <v>2004</v>
      </c>
      <c r="H7090">
        <v>5</v>
      </c>
      <c r="I7090" s="12">
        <f>Table16[[#This Row],[price]]*Table16[[#This Row],[quantity]]</f>
        <v>7502</v>
      </c>
    </row>
    <row r="7091" spans="1:9" x14ac:dyDescent="0.3">
      <c r="A7091" t="s">
        <v>9107</v>
      </c>
      <c r="B7091" t="s">
        <v>1412</v>
      </c>
      <c r="C7091" t="s">
        <v>2057</v>
      </c>
      <c r="D7091">
        <v>1</v>
      </c>
      <c r="E7091" s="16">
        <v>11.73</v>
      </c>
      <c r="F7091" s="1">
        <v>44875</v>
      </c>
      <c r="G7091" t="s">
        <v>2004</v>
      </c>
      <c r="H7091">
        <v>3</v>
      </c>
      <c r="I7091" s="12">
        <f>Table16[[#This Row],[price]]*Table16[[#This Row],[quantity]]</f>
        <v>11.73</v>
      </c>
    </row>
    <row r="7092" spans="1:9" x14ac:dyDescent="0.3">
      <c r="A7092" t="s">
        <v>9110</v>
      </c>
      <c r="B7092" t="s">
        <v>1412</v>
      </c>
      <c r="C7092" t="s">
        <v>2024</v>
      </c>
      <c r="D7092">
        <v>1</v>
      </c>
      <c r="E7092" s="16">
        <v>35.840000000000003</v>
      </c>
      <c r="F7092" s="1">
        <v>44896</v>
      </c>
      <c r="G7092" t="s">
        <v>2027</v>
      </c>
      <c r="H7092">
        <v>5</v>
      </c>
      <c r="I7092" s="12">
        <f>Table16[[#This Row],[price]]*Table16[[#This Row],[quantity]]</f>
        <v>35.840000000000003</v>
      </c>
    </row>
    <row r="7093" spans="1:9" x14ac:dyDescent="0.3">
      <c r="A7093" t="s">
        <v>9108</v>
      </c>
      <c r="B7093" t="s">
        <v>1412</v>
      </c>
      <c r="C7093" t="s">
        <v>2001</v>
      </c>
      <c r="D7093">
        <v>5</v>
      </c>
      <c r="E7093" s="16">
        <v>1500.4</v>
      </c>
      <c r="F7093" s="1">
        <v>44932</v>
      </c>
      <c r="G7093" t="s">
        <v>2041</v>
      </c>
      <c r="H7093">
        <v>4</v>
      </c>
      <c r="I7093" s="12">
        <f>Table16[[#This Row],[price]]*Table16[[#This Row],[quantity]]</f>
        <v>7502</v>
      </c>
    </row>
    <row r="7094" spans="1:9" x14ac:dyDescent="0.3">
      <c r="A7094" t="s">
        <v>9109</v>
      </c>
      <c r="B7094" t="s">
        <v>1412</v>
      </c>
      <c r="C7094" t="s">
        <v>2001</v>
      </c>
      <c r="D7094">
        <v>4</v>
      </c>
      <c r="E7094" s="16">
        <v>1200.32</v>
      </c>
      <c r="F7094" s="1">
        <v>44983</v>
      </c>
      <c r="G7094" t="s">
        <v>2020</v>
      </c>
      <c r="H7094">
        <v>5</v>
      </c>
      <c r="I7094" s="12">
        <f>Table16[[#This Row],[price]]*Table16[[#This Row],[quantity]]</f>
        <v>4801.28</v>
      </c>
    </row>
    <row r="7095" spans="1:9" x14ac:dyDescent="0.3">
      <c r="A7095" t="s">
        <v>9113</v>
      </c>
      <c r="B7095" t="s">
        <v>1413</v>
      </c>
      <c r="C7095" t="s">
        <v>2011</v>
      </c>
      <c r="D7095">
        <v>5</v>
      </c>
      <c r="E7095" s="16">
        <v>203.3</v>
      </c>
      <c r="F7095" s="1">
        <v>44214</v>
      </c>
      <c r="G7095" t="s">
        <v>2064</v>
      </c>
      <c r="H7095">
        <v>3</v>
      </c>
      <c r="I7095" s="12">
        <f>Table16[[#This Row],[price]]*Table16[[#This Row],[quantity]]</f>
        <v>1016.5</v>
      </c>
    </row>
    <row r="7096" spans="1:9" x14ac:dyDescent="0.3">
      <c r="A7096" t="s">
        <v>9112</v>
      </c>
      <c r="B7096" t="s">
        <v>1413</v>
      </c>
      <c r="C7096" t="s">
        <v>2008</v>
      </c>
      <c r="D7096">
        <v>1</v>
      </c>
      <c r="E7096" s="16">
        <v>5.23</v>
      </c>
      <c r="F7096" s="1">
        <v>44630</v>
      </c>
      <c r="G7096" t="s">
        <v>2020</v>
      </c>
      <c r="H7096">
        <v>3</v>
      </c>
      <c r="I7096" s="12">
        <f>Table16[[#This Row],[price]]*Table16[[#This Row],[quantity]]</f>
        <v>5.23</v>
      </c>
    </row>
    <row r="7097" spans="1:9" x14ac:dyDescent="0.3">
      <c r="A7097" t="s">
        <v>9111</v>
      </c>
      <c r="B7097" t="s">
        <v>1413</v>
      </c>
      <c r="C7097" t="s">
        <v>2001</v>
      </c>
      <c r="D7097">
        <v>4</v>
      </c>
      <c r="E7097" s="16">
        <v>1200.32</v>
      </c>
      <c r="F7097" s="1">
        <v>44823</v>
      </c>
      <c r="G7097" t="s">
        <v>2064</v>
      </c>
      <c r="H7097">
        <v>5</v>
      </c>
      <c r="I7097" s="12">
        <f>Table16[[#This Row],[price]]*Table16[[#This Row],[quantity]]</f>
        <v>4801.28</v>
      </c>
    </row>
    <row r="7098" spans="1:9" x14ac:dyDescent="0.3">
      <c r="A7098" t="s">
        <v>9114</v>
      </c>
      <c r="B7098" t="s">
        <v>1413</v>
      </c>
      <c r="C7098" t="s">
        <v>2011</v>
      </c>
      <c r="D7098">
        <v>3</v>
      </c>
      <c r="E7098" s="16">
        <v>121.98</v>
      </c>
      <c r="F7098" s="1">
        <v>44941</v>
      </c>
      <c r="G7098" t="s">
        <v>2058</v>
      </c>
      <c r="H7098">
        <v>2</v>
      </c>
      <c r="I7098" s="12">
        <f>Table16[[#This Row],[price]]*Table16[[#This Row],[quantity]]</f>
        <v>365.94</v>
      </c>
    </row>
    <row r="7099" spans="1:9" x14ac:dyDescent="0.3">
      <c r="A7099" t="s">
        <v>9116</v>
      </c>
      <c r="B7099" t="s">
        <v>1414</v>
      </c>
      <c r="C7099" t="s">
        <v>2001</v>
      </c>
      <c r="D7099">
        <v>4</v>
      </c>
      <c r="E7099" s="16">
        <v>1200.32</v>
      </c>
      <c r="F7099" s="1">
        <v>44467</v>
      </c>
      <c r="G7099" t="s">
        <v>2004</v>
      </c>
      <c r="H7099">
        <v>3</v>
      </c>
      <c r="I7099" s="12">
        <f>Table16[[#This Row],[price]]*Table16[[#This Row],[quantity]]</f>
        <v>4801.28</v>
      </c>
    </row>
    <row r="7100" spans="1:9" x14ac:dyDescent="0.3">
      <c r="A7100" t="s">
        <v>9115</v>
      </c>
      <c r="B7100" t="s">
        <v>1414</v>
      </c>
      <c r="C7100" t="s">
        <v>2015</v>
      </c>
      <c r="D7100">
        <v>4</v>
      </c>
      <c r="E7100" s="16">
        <v>2400.6799999999998</v>
      </c>
      <c r="F7100" s="1">
        <v>44663</v>
      </c>
      <c r="G7100" t="s">
        <v>2004</v>
      </c>
      <c r="H7100">
        <v>1</v>
      </c>
      <c r="I7100" s="12">
        <f>Table16[[#This Row],[price]]*Table16[[#This Row],[quantity]]</f>
        <v>9602.7199999999993</v>
      </c>
    </row>
    <row r="7101" spans="1:9" x14ac:dyDescent="0.3">
      <c r="A7101" t="s">
        <v>9119</v>
      </c>
      <c r="B7101" t="s">
        <v>1414</v>
      </c>
      <c r="C7101" t="s">
        <v>2015</v>
      </c>
      <c r="D7101">
        <v>5</v>
      </c>
      <c r="E7101" s="16">
        <v>3000.85</v>
      </c>
      <c r="F7101" s="1">
        <v>44690</v>
      </c>
      <c r="G7101" t="s">
        <v>2020</v>
      </c>
      <c r="H7101">
        <v>2</v>
      </c>
      <c r="I7101" s="12">
        <f>Table16[[#This Row],[price]]*Table16[[#This Row],[quantity]]</f>
        <v>15004.25</v>
      </c>
    </row>
    <row r="7102" spans="1:9" x14ac:dyDescent="0.3">
      <c r="A7102" t="s">
        <v>9117</v>
      </c>
      <c r="B7102" t="s">
        <v>1414</v>
      </c>
      <c r="C7102" t="s">
        <v>2017</v>
      </c>
      <c r="D7102">
        <v>5</v>
      </c>
      <c r="E7102" s="16">
        <v>5250</v>
      </c>
      <c r="F7102" s="1">
        <v>44735</v>
      </c>
      <c r="G7102" t="s">
        <v>2018</v>
      </c>
      <c r="H7102">
        <v>2</v>
      </c>
      <c r="I7102" s="12">
        <f>Table16[[#This Row],[price]]*Table16[[#This Row],[quantity]]</f>
        <v>26250</v>
      </c>
    </row>
    <row r="7103" spans="1:9" x14ac:dyDescent="0.3">
      <c r="A7103" t="s">
        <v>9120</v>
      </c>
      <c r="B7103" t="s">
        <v>1414</v>
      </c>
      <c r="C7103" t="s">
        <v>2006</v>
      </c>
      <c r="D7103">
        <v>1</v>
      </c>
      <c r="E7103" s="16">
        <v>15.15</v>
      </c>
      <c r="F7103" s="1">
        <v>44853</v>
      </c>
      <c r="G7103" t="s">
        <v>2004</v>
      </c>
      <c r="H7103">
        <v>2</v>
      </c>
      <c r="I7103" s="12">
        <f>Table16[[#This Row],[price]]*Table16[[#This Row],[quantity]]</f>
        <v>15.15</v>
      </c>
    </row>
    <row r="7104" spans="1:9" x14ac:dyDescent="0.3">
      <c r="A7104" t="s">
        <v>9121</v>
      </c>
      <c r="B7104" t="s">
        <v>1414</v>
      </c>
      <c r="C7104" t="s">
        <v>2001</v>
      </c>
      <c r="D7104">
        <v>5</v>
      </c>
      <c r="E7104" s="16">
        <v>1500.4</v>
      </c>
      <c r="F7104" s="1">
        <v>44922</v>
      </c>
      <c r="G7104" t="s">
        <v>2027</v>
      </c>
      <c r="H7104">
        <v>4</v>
      </c>
      <c r="I7104" s="12">
        <f>Table16[[#This Row],[price]]*Table16[[#This Row],[quantity]]</f>
        <v>7502</v>
      </c>
    </row>
    <row r="7105" spans="1:9" x14ac:dyDescent="0.3">
      <c r="A7105" t="s">
        <v>9118</v>
      </c>
      <c r="B7105" t="s">
        <v>1414</v>
      </c>
      <c r="C7105" t="s">
        <v>2001</v>
      </c>
      <c r="D7105">
        <v>1</v>
      </c>
      <c r="E7105" s="16">
        <v>300.08</v>
      </c>
      <c r="F7105" s="1">
        <v>44969</v>
      </c>
      <c r="G7105" t="s">
        <v>2004</v>
      </c>
      <c r="H7105">
        <v>1</v>
      </c>
      <c r="I7105" s="12">
        <f>Table16[[#This Row],[price]]*Table16[[#This Row],[quantity]]</f>
        <v>300.08</v>
      </c>
    </row>
    <row r="7106" spans="1:9" x14ac:dyDescent="0.3">
      <c r="A7106" t="s">
        <v>9128</v>
      </c>
      <c r="B7106" t="s">
        <v>1415</v>
      </c>
      <c r="C7106" t="s">
        <v>2006</v>
      </c>
      <c r="D7106">
        <v>4</v>
      </c>
      <c r="E7106" s="16">
        <v>60.6</v>
      </c>
      <c r="F7106" s="1">
        <v>44515</v>
      </c>
      <c r="G7106" t="s">
        <v>2012</v>
      </c>
      <c r="H7106">
        <v>2</v>
      </c>
      <c r="I7106" s="12">
        <f>Table16[[#This Row],[price]]*Table16[[#This Row],[quantity]]</f>
        <v>242.4</v>
      </c>
    </row>
    <row r="7107" spans="1:9" x14ac:dyDescent="0.3">
      <c r="A7107" t="s">
        <v>9125</v>
      </c>
      <c r="B7107" t="s">
        <v>1415</v>
      </c>
      <c r="C7107" t="s">
        <v>2001</v>
      </c>
      <c r="D7107">
        <v>4</v>
      </c>
      <c r="E7107" s="16">
        <v>1200.32</v>
      </c>
      <c r="F7107" s="1">
        <v>44528</v>
      </c>
      <c r="G7107" t="s">
        <v>2018</v>
      </c>
      <c r="H7107">
        <v>1</v>
      </c>
      <c r="I7107" s="12">
        <f>Table16[[#This Row],[price]]*Table16[[#This Row],[quantity]]</f>
        <v>4801.28</v>
      </c>
    </row>
    <row r="7108" spans="1:9" x14ac:dyDescent="0.3">
      <c r="A7108" t="s">
        <v>9129</v>
      </c>
      <c r="B7108" t="s">
        <v>1415</v>
      </c>
      <c r="C7108" t="s">
        <v>2024</v>
      </c>
      <c r="D7108">
        <v>3</v>
      </c>
      <c r="E7108" s="16">
        <v>107.52</v>
      </c>
      <c r="F7108" s="1">
        <v>44544</v>
      </c>
      <c r="G7108" t="s">
        <v>2012</v>
      </c>
      <c r="H7108">
        <v>3</v>
      </c>
      <c r="I7108" s="12">
        <f>Table16[[#This Row],[price]]*Table16[[#This Row],[quantity]]</f>
        <v>322.56</v>
      </c>
    </row>
    <row r="7109" spans="1:9" x14ac:dyDescent="0.3">
      <c r="A7109" t="s">
        <v>9122</v>
      </c>
      <c r="B7109" t="s">
        <v>1415</v>
      </c>
      <c r="C7109" t="s">
        <v>2024</v>
      </c>
      <c r="D7109">
        <v>1</v>
      </c>
      <c r="E7109" s="16">
        <v>35.840000000000003</v>
      </c>
      <c r="F7109" s="1">
        <v>44599</v>
      </c>
      <c r="G7109" t="s">
        <v>2020</v>
      </c>
      <c r="H7109">
        <v>1</v>
      </c>
      <c r="I7109" s="12">
        <f>Table16[[#This Row],[price]]*Table16[[#This Row],[quantity]]</f>
        <v>35.840000000000003</v>
      </c>
    </row>
    <row r="7110" spans="1:9" x14ac:dyDescent="0.3">
      <c r="A7110" t="s">
        <v>9126</v>
      </c>
      <c r="B7110" t="s">
        <v>1415</v>
      </c>
      <c r="C7110" t="s">
        <v>2001</v>
      </c>
      <c r="D7110">
        <v>3</v>
      </c>
      <c r="E7110" s="16">
        <v>900.24</v>
      </c>
      <c r="F7110" s="1">
        <v>44630</v>
      </c>
      <c r="G7110" t="s">
        <v>2004</v>
      </c>
      <c r="H7110">
        <v>4</v>
      </c>
      <c r="I7110" s="12">
        <f>Table16[[#This Row],[price]]*Table16[[#This Row],[quantity]]</f>
        <v>2700.7200000000003</v>
      </c>
    </row>
    <row r="7111" spans="1:9" x14ac:dyDescent="0.3">
      <c r="A7111" t="s">
        <v>9130</v>
      </c>
      <c r="B7111" t="s">
        <v>1415</v>
      </c>
      <c r="C7111" t="s">
        <v>2024</v>
      </c>
      <c r="D7111">
        <v>5</v>
      </c>
      <c r="E7111" s="16">
        <v>179.2</v>
      </c>
      <c r="F7111" s="1">
        <v>44646</v>
      </c>
      <c r="G7111" t="s">
        <v>2012</v>
      </c>
      <c r="H7111">
        <v>3</v>
      </c>
      <c r="I7111" s="12">
        <f>Table16[[#This Row],[price]]*Table16[[#This Row],[quantity]]</f>
        <v>896</v>
      </c>
    </row>
    <row r="7112" spans="1:9" x14ac:dyDescent="0.3">
      <c r="A7112" t="s">
        <v>9123</v>
      </c>
      <c r="B7112" t="s">
        <v>1415</v>
      </c>
      <c r="C7112" t="s">
        <v>2015</v>
      </c>
      <c r="D7112">
        <v>1</v>
      </c>
      <c r="E7112" s="16">
        <v>600.16999999999996</v>
      </c>
      <c r="F7112" s="1">
        <v>44677</v>
      </c>
      <c r="G7112" t="s">
        <v>2009</v>
      </c>
      <c r="H7112">
        <v>1</v>
      </c>
      <c r="I7112" s="12">
        <f>Table16[[#This Row],[price]]*Table16[[#This Row],[quantity]]</f>
        <v>600.16999999999996</v>
      </c>
    </row>
    <row r="7113" spans="1:9" x14ac:dyDescent="0.3">
      <c r="A7113" t="s">
        <v>9127</v>
      </c>
      <c r="B7113" t="s">
        <v>1415</v>
      </c>
      <c r="C7113" t="s">
        <v>2001</v>
      </c>
      <c r="D7113">
        <v>1</v>
      </c>
      <c r="E7113" s="16">
        <v>300.08</v>
      </c>
      <c r="F7113" s="1">
        <v>44990</v>
      </c>
      <c r="G7113" t="s">
        <v>2027</v>
      </c>
      <c r="H7113">
        <v>3</v>
      </c>
      <c r="I7113" s="12">
        <f>Table16[[#This Row],[price]]*Table16[[#This Row],[quantity]]</f>
        <v>300.08</v>
      </c>
    </row>
    <row r="7114" spans="1:9" x14ac:dyDescent="0.3">
      <c r="A7114" t="s">
        <v>9124</v>
      </c>
      <c r="B7114" t="s">
        <v>1415</v>
      </c>
      <c r="C7114" t="s">
        <v>2024</v>
      </c>
      <c r="D7114">
        <v>1</v>
      </c>
      <c r="E7114" s="16">
        <v>35.840000000000003</v>
      </c>
      <c r="F7114" s="1">
        <v>44991</v>
      </c>
      <c r="G7114" t="s">
        <v>2012</v>
      </c>
      <c r="H7114">
        <v>1</v>
      </c>
      <c r="I7114" s="12">
        <f>Table16[[#This Row],[price]]*Table16[[#This Row],[quantity]]</f>
        <v>35.840000000000003</v>
      </c>
    </row>
    <row r="7115" spans="1:9" x14ac:dyDescent="0.3">
      <c r="A7115" t="s">
        <v>9133</v>
      </c>
      <c r="B7115" t="s">
        <v>1416</v>
      </c>
      <c r="C7115" t="s">
        <v>2015</v>
      </c>
      <c r="D7115">
        <v>1</v>
      </c>
      <c r="E7115" s="16">
        <v>600.16999999999996</v>
      </c>
      <c r="F7115" s="1">
        <v>44234</v>
      </c>
      <c r="G7115" t="s">
        <v>2058</v>
      </c>
      <c r="H7115">
        <v>2</v>
      </c>
      <c r="I7115" s="12">
        <f>Table16[[#This Row],[price]]*Table16[[#This Row],[quantity]]</f>
        <v>600.16999999999996</v>
      </c>
    </row>
    <row r="7116" spans="1:9" x14ac:dyDescent="0.3">
      <c r="A7116" t="s">
        <v>9134</v>
      </c>
      <c r="B7116" t="s">
        <v>1416</v>
      </c>
      <c r="C7116" t="s">
        <v>2001</v>
      </c>
      <c r="D7116">
        <v>5</v>
      </c>
      <c r="E7116" s="16">
        <v>1500.4</v>
      </c>
      <c r="F7116" s="1">
        <v>44429</v>
      </c>
      <c r="G7116" t="s">
        <v>2027</v>
      </c>
      <c r="H7116">
        <v>5</v>
      </c>
      <c r="I7116" s="12">
        <f>Table16[[#This Row],[price]]*Table16[[#This Row],[quantity]]</f>
        <v>7502</v>
      </c>
    </row>
    <row r="7117" spans="1:9" x14ac:dyDescent="0.3">
      <c r="A7117" t="s">
        <v>9131</v>
      </c>
      <c r="B7117" t="s">
        <v>1416</v>
      </c>
      <c r="C7117" t="s">
        <v>2008</v>
      </c>
      <c r="D7117">
        <v>3</v>
      </c>
      <c r="E7117" s="16">
        <v>15.69</v>
      </c>
      <c r="F7117" s="1">
        <v>44647</v>
      </c>
      <c r="G7117" t="s">
        <v>2004</v>
      </c>
      <c r="H7117">
        <v>3</v>
      </c>
      <c r="I7117" s="12">
        <f>Table16[[#This Row],[price]]*Table16[[#This Row],[quantity]]</f>
        <v>47.07</v>
      </c>
    </row>
    <row r="7118" spans="1:9" x14ac:dyDescent="0.3">
      <c r="A7118" t="s">
        <v>9132</v>
      </c>
      <c r="B7118" t="s">
        <v>1416</v>
      </c>
      <c r="C7118" t="s">
        <v>2001</v>
      </c>
      <c r="D7118">
        <v>5</v>
      </c>
      <c r="E7118" s="16">
        <v>1500.4</v>
      </c>
      <c r="F7118" s="1">
        <v>44825</v>
      </c>
      <c r="G7118" t="s">
        <v>2027</v>
      </c>
      <c r="H7118">
        <v>1</v>
      </c>
      <c r="I7118" s="12">
        <f>Table16[[#This Row],[price]]*Table16[[#This Row],[quantity]]</f>
        <v>7502</v>
      </c>
    </row>
    <row r="7119" spans="1:9" x14ac:dyDescent="0.3">
      <c r="A7119" t="s">
        <v>9137</v>
      </c>
      <c r="B7119" t="s">
        <v>1417</v>
      </c>
      <c r="C7119" t="s">
        <v>2008</v>
      </c>
      <c r="D7119">
        <v>2</v>
      </c>
      <c r="E7119" s="16">
        <v>10.46</v>
      </c>
      <c r="F7119" s="1">
        <v>44317</v>
      </c>
      <c r="G7119" t="s">
        <v>2004</v>
      </c>
      <c r="H7119">
        <v>5</v>
      </c>
      <c r="I7119" s="12">
        <f>Table16[[#This Row],[price]]*Table16[[#This Row],[quantity]]</f>
        <v>20.92</v>
      </c>
    </row>
    <row r="7120" spans="1:9" x14ac:dyDescent="0.3">
      <c r="A7120" t="s">
        <v>9135</v>
      </c>
      <c r="B7120" t="s">
        <v>1417</v>
      </c>
      <c r="C7120" t="s">
        <v>2008</v>
      </c>
      <c r="D7120">
        <v>5</v>
      </c>
      <c r="E7120" s="16">
        <v>26.15</v>
      </c>
      <c r="F7120" s="1">
        <v>44384</v>
      </c>
      <c r="G7120" t="s">
        <v>2009</v>
      </c>
      <c r="H7120">
        <v>5</v>
      </c>
      <c r="I7120" s="12">
        <f>Table16[[#This Row],[price]]*Table16[[#This Row],[quantity]]</f>
        <v>130.75</v>
      </c>
    </row>
    <row r="7121" spans="1:9" x14ac:dyDescent="0.3">
      <c r="A7121" t="s">
        <v>9140</v>
      </c>
      <c r="B7121" t="s">
        <v>1417</v>
      </c>
      <c r="C7121" t="s">
        <v>2001</v>
      </c>
      <c r="D7121">
        <v>4</v>
      </c>
      <c r="E7121" s="16">
        <v>1200.32</v>
      </c>
      <c r="F7121" s="1">
        <v>44634</v>
      </c>
      <c r="G7121" t="s">
        <v>2041</v>
      </c>
      <c r="H7121">
        <v>1</v>
      </c>
      <c r="I7121" s="12">
        <f>Table16[[#This Row],[price]]*Table16[[#This Row],[quantity]]</f>
        <v>4801.28</v>
      </c>
    </row>
    <row r="7122" spans="1:9" x14ac:dyDescent="0.3">
      <c r="A7122" t="s">
        <v>9138</v>
      </c>
      <c r="B7122" t="s">
        <v>1417</v>
      </c>
      <c r="C7122" t="s">
        <v>2001</v>
      </c>
      <c r="D7122">
        <v>3</v>
      </c>
      <c r="E7122" s="16">
        <v>900.24</v>
      </c>
      <c r="F7122" s="1">
        <v>44698</v>
      </c>
      <c r="G7122" t="s">
        <v>2012</v>
      </c>
      <c r="H7122">
        <v>4</v>
      </c>
      <c r="I7122" s="12">
        <f>Table16[[#This Row],[price]]*Table16[[#This Row],[quantity]]</f>
        <v>2700.7200000000003</v>
      </c>
    </row>
    <row r="7123" spans="1:9" x14ac:dyDescent="0.3">
      <c r="A7123" t="s">
        <v>9141</v>
      </c>
      <c r="B7123" t="s">
        <v>1417</v>
      </c>
      <c r="C7123" t="s">
        <v>2001</v>
      </c>
      <c r="D7123">
        <v>4</v>
      </c>
      <c r="E7123" s="16">
        <v>1200.32</v>
      </c>
      <c r="F7123" s="1">
        <v>44782</v>
      </c>
      <c r="G7123" t="s">
        <v>2009</v>
      </c>
      <c r="H7123">
        <v>1</v>
      </c>
      <c r="I7123" s="12">
        <f>Table16[[#This Row],[price]]*Table16[[#This Row],[quantity]]</f>
        <v>4801.28</v>
      </c>
    </row>
    <row r="7124" spans="1:9" x14ac:dyDescent="0.3">
      <c r="A7124" t="s">
        <v>9139</v>
      </c>
      <c r="B7124" t="s">
        <v>1417</v>
      </c>
      <c r="C7124" t="s">
        <v>2024</v>
      </c>
      <c r="D7124">
        <v>5</v>
      </c>
      <c r="E7124" s="16">
        <v>179.2</v>
      </c>
      <c r="F7124" s="1">
        <v>44857</v>
      </c>
      <c r="G7124" t="s">
        <v>2020</v>
      </c>
      <c r="H7124">
        <v>3</v>
      </c>
      <c r="I7124" s="12">
        <f>Table16[[#This Row],[price]]*Table16[[#This Row],[quantity]]</f>
        <v>896</v>
      </c>
    </row>
    <row r="7125" spans="1:9" x14ac:dyDescent="0.3">
      <c r="A7125" t="s">
        <v>9136</v>
      </c>
      <c r="B7125" t="s">
        <v>1417</v>
      </c>
      <c r="C7125" t="s">
        <v>2017</v>
      </c>
      <c r="D7125">
        <v>4</v>
      </c>
      <c r="E7125" s="16">
        <v>4200</v>
      </c>
      <c r="F7125" s="1">
        <v>44861</v>
      </c>
      <c r="G7125" t="s">
        <v>2004</v>
      </c>
      <c r="H7125">
        <v>5</v>
      </c>
      <c r="I7125" s="12">
        <f>Table16[[#This Row],[price]]*Table16[[#This Row],[quantity]]</f>
        <v>16800</v>
      </c>
    </row>
    <row r="7126" spans="1:9" x14ac:dyDescent="0.3">
      <c r="A7126" t="s">
        <v>9146</v>
      </c>
      <c r="B7126" t="s">
        <v>1418</v>
      </c>
      <c r="C7126" t="s">
        <v>2015</v>
      </c>
      <c r="D7126">
        <v>2</v>
      </c>
      <c r="E7126" s="16">
        <v>1200.3399999999999</v>
      </c>
      <c r="F7126" s="1">
        <v>44200</v>
      </c>
      <c r="G7126" t="s">
        <v>2004</v>
      </c>
      <c r="H7126">
        <v>4</v>
      </c>
      <c r="I7126" s="12">
        <f>Table16[[#This Row],[price]]*Table16[[#This Row],[quantity]]</f>
        <v>2400.6799999999998</v>
      </c>
    </row>
    <row r="7127" spans="1:9" x14ac:dyDescent="0.3">
      <c r="A7127" t="s">
        <v>9143</v>
      </c>
      <c r="B7127" t="s">
        <v>1418</v>
      </c>
      <c r="C7127" t="s">
        <v>2024</v>
      </c>
      <c r="D7127">
        <v>1</v>
      </c>
      <c r="E7127" s="16">
        <v>35.840000000000003</v>
      </c>
      <c r="F7127" s="1">
        <v>44384</v>
      </c>
      <c r="G7127" t="s">
        <v>2004</v>
      </c>
      <c r="H7127">
        <v>1</v>
      </c>
      <c r="I7127" s="12">
        <f>Table16[[#This Row],[price]]*Table16[[#This Row],[quantity]]</f>
        <v>35.840000000000003</v>
      </c>
    </row>
    <row r="7128" spans="1:9" x14ac:dyDescent="0.3">
      <c r="A7128" t="s">
        <v>9145</v>
      </c>
      <c r="B7128" t="s">
        <v>1418</v>
      </c>
      <c r="C7128" t="s">
        <v>2006</v>
      </c>
      <c r="D7128">
        <v>3</v>
      </c>
      <c r="E7128" s="16">
        <v>45.45</v>
      </c>
      <c r="F7128" s="1">
        <v>44421</v>
      </c>
      <c r="G7128" t="s">
        <v>2064</v>
      </c>
      <c r="H7128">
        <v>3</v>
      </c>
      <c r="I7128" s="12">
        <f>Table16[[#This Row],[price]]*Table16[[#This Row],[quantity]]</f>
        <v>136.35000000000002</v>
      </c>
    </row>
    <row r="7129" spans="1:9" x14ac:dyDescent="0.3">
      <c r="A7129" t="s">
        <v>9144</v>
      </c>
      <c r="B7129" t="s">
        <v>1418</v>
      </c>
      <c r="C7129" t="s">
        <v>2011</v>
      </c>
      <c r="D7129">
        <v>3</v>
      </c>
      <c r="E7129" s="16">
        <v>121.98</v>
      </c>
      <c r="F7129" s="1">
        <v>44595</v>
      </c>
      <c r="G7129" t="s">
        <v>2027</v>
      </c>
      <c r="H7129">
        <v>4</v>
      </c>
      <c r="I7129" s="12">
        <f>Table16[[#This Row],[price]]*Table16[[#This Row],[quantity]]</f>
        <v>365.94</v>
      </c>
    </row>
    <row r="7130" spans="1:9" x14ac:dyDescent="0.3">
      <c r="A7130" t="s">
        <v>9142</v>
      </c>
      <c r="B7130" t="s">
        <v>1418</v>
      </c>
      <c r="C7130" t="s">
        <v>2008</v>
      </c>
      <c r="D7130">
        <v>1</v>
      </c>
      <c r="E7130" s="16">
        <v>5.23</v>
      </c>
      <c r="F7130" s="1">
        <v>44657</v>
      </c>
      <c r="G7130" t="s">
        <v>2012</v>
      </c>
      <c r="H7130">
        <v>1</v>
      </c>
      <c r="I7130" s="12">
        <f>Table16[[#This Row],[price]]*Table16[[#This Row],[quantity]]</f>
        <v>5.23</v>
      </c>
    </row>
    <row r="7131" spans="1:9" x14ac:dyDescent="0.3">
      <c r="A7131" t="s">
        <v>9147</v>
      </c>
      <c r="B7131" t="s">
        <v>1418</v>
      </c>
      <c r="C7131" t="s">
        <v>2017</v>
      </c>
      <c r="D7131">
        <v>4</v>
      </c>
      <c r="E7131" s="16">
        <v>4200</v>
      </c>
      <c r="F7131" s="1">
        <v>44745</v>
      </c>
      <c r="G7131" t="s">
        <v>2009</v>
      </c>
      <c r="H7131">
        <v>2</v>
      </c>
      <c r="I7131" s="12">
        <f>Table16[[#This Row],[price]]*Table16[[#This Row],[quantity]]</f>
        <v>16800</v>
      </c>
    </row>
    <row r="7132" spans="1:9" x14ac:dyDescent="0.3">
      <c r="A7132" t="s">
        <v>9150</v>
      </c>
      <c r="B7132" t="s">
        <v>1419</v>
      </c>
      <c r="C7132" t="s">
        <v>2011</v>
      </c>
      <c r="D7132">
        <v>3</v>
      </c>
      <c r="E7132" s="16">
        <v>121.98</v>
      </c>
      <c r="F7132" s="1">
        <v>44459</v>
      </c>
      <c r="G7132" t="s">
        <v>2004</v>
      </c>
      <c r="H7132">
        <v>1</v>
      </c>
      <c r="I7132" s="12">
        <f>Table16[[#This Row],[price]]*Table16[[#This Row],[quantity]]</f>
        <v>365.94</v>
      </c>
    </row>
    <row r="7133" spans="1:9" x14ac:dyDescent="0.3">
      <c r="A7133" t="s">
        <v>9149</v>
      </c>
      <c r="B7133" t="s">
        <v>1419</v>
      </c>
      <c r="C7133" t="s">
        <v>2017</v>
      </c>
      <c r="D7133">
        <v>1</v>
      </c>
      <c r="E7133" s="16">
        <v>1050</v>
      </c>
      <c r="F7133" s="1">
        <v>44489</v>
      </c>
      <c r="G7133" t="s">
        <v>2018</v>
      </c>
      <c r="H7133">
        <v>5</v>
      </c>
      <c r="I7133" s="12">
        <f>Table16[[#This Row],[price]]*Table16[[#This Row],[quantity]]</f>
        <v>1050</v>
      </c>
    </row>
    <row r="7134" spans="1:9" x14ac:dyDescent="0.3">
      <c r="A7134" t="s">
        <v>9148</v>
      </c>
      <c r="B7134" t="s">
        <v>1419</v>
      </c>
      <c r="C7134" t="s">
        <v>2001</v>
      </c>
      <c r="D7134">
        <v>3</v>
      </c>
      <c r="E7134" s="16">
        <v>900.24</v>
      </c>
      <c r="F7134" s="1">
        <v>44534</v>
      </c>
      <c r="G7134" t="s">
        <v>2012</v>
      </c>
      <c r="H7134">
        <v>1</v>
      </c>
      <c r="I7134" s="12">
        <f>Table16[[#This Row],[price]]*Table16[[#This Row],[quantity]]</f>
        <v>2700.7200000000003</v>
      </c>
    </row>
    <row r="7135" spans="1:9" x14ac:dyDescent="0.3">
      <c r="A7135" t="s">
        <v>9153</v>
      </c>
      <c r="B7135" t="s">
        <v>1420</v>
      </c>
      <c r="C7135" t="s">
        <v>2011</v>
      </c>
      <c r="D7135">
        <v>3</v>
      </c>
      <c r="E7135" s="16">
        <v>121.98</v>
      </c>
      <c r="F7135" s="1">
        <v>44313</v>
      </c>
      <c r="G7135" t="s">
        <v>2041</v>
      </c>
      <c r="H7135">
        <v>4</v>
      </c>
      <c r="I7135" s="12">
        <f>Table16[[#This Row],[price]]*Table16[[#This Row],[quantity]]</f>
        <v>365.94</v>
      </c>
    </row>
    <row r="7136" spans="1:9" x14ac:dyDescent="0.3">
      <c r="A7136" t="s">
        <v>9156</v>
      </c>
      <c r="B7136" t="s">
        <v>1420</v>
      </c>
      <c r="C7136" t="s">
        <v>2011</v>
      </c>
      <c r="D7136">
        <v>3</v>
      </c>
      <c r="E7136" s="16">
        <v>121.98</v>
      </c>
      <c r="F7136" s="1">
        <v>44513</v>
      </c>
      <c r="G7136" t="s">
        <v>2002</v>
      </c>
      <c r="H7136">
        <v>5</v>
      </c>
      <c r="I7136" s="12">
        <f>Table16[[#This Row],[price]]*Table16[[#This Row],[quantity]]</f>
        <v>365.94</v>
      </c>
    </row>
    <row r="7137" spans="1:9" x14ac:dyDescent="0.3">
      <c r="A7137" t="s">
        <v>9157</v>
      </c>
      <c r="B7137" t="s">
        <v>1420</v>
      </c>
      <c r="C7137" t="s">
        <v>2008</v>
      </c>
      <c r="D7137">
        <v>5</v>
      </c>
      <c r="E7137" s="16">
        <v>26.15</v>
      </c>
      <c r="F7137" s="1">
        <v>44704</v>
      </c>
      <c r="G7137" t="s">
        <v>2064</v>
      </c>
      <c r="H7137">
        <v>1</v>
      </c>
      <c r="I7137" s="12">
        <f>Table16[[#This Row],[price]]*Table16[[#This Row],[quantity]]</f>
        <v>130.75</v>
      </c>
    </row>
    <row r="7138" spans="1:9" x14ac:dyDescent="0.3">
      <c r="A7138" t="s">
        <v>9152</v>
      </c>
      <c r="B7138" t="s">
        <v>1420</v>
      </c>
      <c r="C7138" t="s">
        <v>2001</v>
      </c>
      <c r="D7138">
        <v>3</v>
      </c>
      <c r="E7138" s="16">
        <v>900.24</v>
      </c>
      <c r="F7138" s="1">
        <v>44721</v>
      </c>
      <c r="G7138" t="s">
        <v>2027</v>
      </c>
      <c r="H7138">
        <v>1</v>
      </c>
      <c r="I7138" s="12">
        <f>Table16[[#This Row],[price]]*Table16[[#This Row],[quantity]]</f>
        <v>2700.7200000000003</v>
      </c>
    </row>
    <row r="7139" spans="1:9" x14ac:dyDescent="0.3">
      <c r="A7139" t="s">
        <v>9154</v>
      </c>
      <c r="B7139" t="s">
        <v>1420</v>
      </c>
      <c r="C7139" t="s">
        <v>2008</v>
      </c>
      <c r="D7139">
        <v>1</v>
      </c>
      <c r="E7139" s="16">
        <v>5.23</v>
      </c>
      <c r="F7139" s="1">
        <v>44734</v>
      </c>
      <c r="G7139" t="s">
        <v>2058</v>
      </c>
      <c r="H7139">
        <v>1</v>
      </c>
      <c r="I7139" s="12">
        <f>Table16[[#This Row],[price]]*Table16[[#This Row],[quantity]]</f>
        <v>5.23</v>
      </c>
    </row>
    <row r="7140" spans="1:9" x14ac:dyDescent="0.3">
      <c r="A7140" t="s">
        <v>9159</v>
      </c>
      <c r="B7140" t="s">
        <v>1420</v>
      </c>
      <c r="C7140" t="s">
        <v>2017</v>
      </c>
      <c r="D7140">
        <v>3</v>
      </c>
      <c r="E7140" s="16">
        <v>3150</v>
      </c>
      <c r="F7140" s="1">
        <v>44784</v>
      </c>
      <c r="G7140" t="s">
        <v>2002</v>
      </c>
      <c r="H7140">
        <v>1</v>
      </c>
      <c r="I7140" s="12">
        <f>Table16[[#This Row],[price]]*Table16[[#This Row],[quantity]]</f>
        <v>9450</v>
      </c>
    </row>
    <row r="7141" spans="1:9" x14ac:dyDescent="0.3">
      <c r="A7141" t="s">
        <v>9158</v>
      </c>
      <c r="B7141" t="s">
        <v>1420</v>
      </c>
      <c r="C7141" t="s">
        <v>2001</v>
      </c>
      <c r="D7141">
        <v>5</v>
      </c>
      <c r="E7141" s="16">
        <v>1500.4</v>
      </c>
      <c r="F7141" s="1">
        <v>44839</v>
      </c>
      <c r="G7141" t="s">
        <v>2002</v>
      </c>
      <c r="H7141">
        <v>3</v>
      </c>
      <c r="I7141" s="12">
        <f>Table16[[#This Row],[price]]*Table16[[#This Row],[quantity]]</f>
        <v>7502</v>
      </c>
    </row>
    <row r="7142" spans="1:9" x14ac:dyDescent="0.3">
      <c r="A7142" t="s">
        <v>9155</v>
      </c>
      <c r="B7142" t="s">
        <v>1420</v>
      </c>
      <c r="C7142" t="s">
        <v>2057</v>
      </c>
      <c r="D7142">
        <v>2</v>
      </c>
      <c r="E7142" s="16">
        <v>23.46</v>
      </c>
      <c r="F7142" s="1">
        <v>44908</v>
      </c>
      <c r="G7142" t="s">
        <v>2064</v>
      </c>
      <c r="H7142">
        <v>3</v>
      </c>
      <c r="I7142" s="12">
        <f>Table16[[#This Row],[price]]*Table16[[#This Row],[quantity]]</f>
        <v>46.92</v>
      </c>
    </row>
    <row r="7143" spans="1:9" x14ac:dyDescent="0.3">
      <c r="A7143" t="s">
        <v>9151</v>
      </c>
      <c r="B7143" t="s">
        <v>1420</v>
      </c>
      <c r="C7143" t="s">
        <v>2001</v>
      </c>
      <c r="D7143">
        <v>3</v>
      </c>
      <c r="E7143" s="16">
        <v>900.24</v>
      </c>
      <c r="F7143" s="1">
        <v>44954</v>
      </c>
      <c r="G7143" t="s">
        <v>2002</v>
      </c>
      <c r="H7143">
        <v>5</v>
      </c>
      <c r="I7143" s="12">
        <f>Table16[[#This Row],[price]]*Table16[[#This Row],[quantity]]</f>
        <v>2700.7200000000003</v>
      </c>
    </row>
    <row r="7144" spans="1:9" x14ac:dyDescent="0.3">
      <c r="A7144" t="s">
        <v>9161</v>
      </c>
      <c r="B7144" t="s">
        <v>1421</v>
      </c>
      <c r="C7144" t="s">
        <v>2006</v>
      </c>
      <c r="D7144">
        <v>5</v>
      </c>
      <c r="E7144" s="16">
        <v>75.75</v>
      </c>
      <c r="F7144" s="1">
        <v>44291</v>
      </c>
      <c r="G7144" t="s">
        <v>2027</v>
      </c>
      <c r="H7144">
        <v>4</v>
      </c>
      <c r="I7144" s="12">
        <f>Table16[[#This Row],[price]]*Table16[[#This Row],[quantity]]</f>
        <v>378.75</v>
      </c>
    </row>
    <row r="7145" spans="1:9" x14ac:dyDescent="0.3">
      <c r="A7145" t="s">
        <v>9160</v>
      </c>
      <c r="B7145" t="s">
        <v>1421</v>
      </c>
      <c r="C7145" t="s">
        <v>2015</v>
      </c>
      <c r="D7145">
        <v>3</v>
      </c>
      <c r="E7145" s="16">
        <v>1800.51</v>
      </c>
      <c r="F7145" s="1">
        <v>44296</v>
      </c>
      <c r="G7145" t="s">
        <v>2012</v>
      </c>
      <c r="H7145">
        <v>3</v>
      </c>
      <c r="I7145" s="12">
        <f>Table16[[#This Row],[price]]*Table16[[#This Row],[quantity]]</f>
        <v>5401.53</v>
      </c>
    </row>
    <row r="7146" spans="1:9" x14ac:dyDescent="0.3">
      <c r="A7146" t="s">
        <v>9164</v>
      </c>
      <c r="B7146" t="s">
        <v>1421</v>
      </c>
      <c r="C7146" t="s">
        <v>2015</v>
      </c>
      <c r="D7146">
        <v>1</v>
      </c>
      <c r="E7146" s="16">
        <v>600.16999999999996</v>
      </c>
      <c r="F7146" s="1">
        <v>44384</v>
      </c>
      <c r="G7146" t="s">
        <v>2004</v>
      </c>
      <c r="H7146">
        <v>1</v>
      </c>
      <c r="I7146" s="12">
        <f>Table16[[#This Row],[price]]*Table16[[#This Row],[quantity]]</f>
        <v>600.16999999999996</v>
      </c>
    </row>
    <row r="7147" spans="1:9" x14ac:dyDescent="0.3">
      <c r="A7147" t="s">
        <v>9163</v>
      </c>
      <c r="B7147" t="s">
        <v>1421</v>
      </c>
      <c r="C7147" t="s">
        <v>2001</v>
      </c>
      <c r="D7147">
        <v>5</v>
      </c>
      <c r="E7147" s="16">
        <v>1500.4</v>
      </c>
      <c r="F7147" s="1">
        <v>44646</v>
      </c>
      <c r="G7147" t="s">
        <v>2027</v>
      </c>
      <c r="H7147">
        <v>4</v>
      </c>
      <c r="I7147" s="12">
        <f>Table16[[#This Row],[price]]*Table16[[#This Row],[quantity]]</f>
        <v>7502</v>
      </c>
    </row>
    <row r="7148" spans="1:9" x14ac:dyDescent="0.3">
      <c r="A7148" t="s">
        <v>9162</v>
      </c>
      <c r="B7148" t="s">
        <v>1421</v>
      </c>
      <c r="C7148" t="s">
        <v>2024</v>
      </c>
      <c r="D7148">
        <v>3</v>
      </c>
      <c r="E7148" s="16">
        <v>107.52</v>
      </c>
      <c r="F7148" s="1">
        <v>44768</v>
      </c>
      <c r="G7148" t="s">
        <v>2064</v>
      </c>
      <c r="H7148">
        <v>3</v>
      </c>
      <c r="I7148" s="12">
        <f>Table16[[#This Row],[price]]*Table16[[#This Row],[quantity]]</f>
        <v>322.56</v>
      </c>
    </row>
    <row r="7149" spans="1:9" x14ac:dyDescent="0.3">
      <c r="A7149" t="s">
        <v>9168</v>
      </c>
      <c r="B7149" t="s">
        <v>1422</v>
      </c>
      <c r="C7149" t="s">
        <v>2008</v>
      </c>
      <c r="D7149">
        <v>2</v>
      </c>
      <c r="E7149" s="16">
        <v>10.46</v>
      </c>
      <c r="F7149" s="1">
        <v>44292</v>
      </c>
      <c r="G7149" t="s">
        <v>2027</v>
      </c>
      <c r="H7149">
        <v>1</v>
      </c>
      <c r="I7149" s="12">
        <f>Table16[[#This Row],[price]]*Table16[[#This Row],[quantity]]</f>
        <v>20.92</v>
      </c>
    </row>
    <row r="7150" spans="1:9" x14ac:dyDescent="0.3">
      <c r="A7150" t="s">
        <v>9165</v>
      </c>
      <c r="B7150" t="s">
        <v>1422</v>
      </c>
      <c r="C7150" t="s">
        <v>2011</v>
      </c>
      <c r="D7150">
        <v>1</v>
      </c>
      <c r="E7150" s="16">
        <v>40.659999999999997</v>
      </c>
      <c r="F7150" s="1">
        <v>44793</v>
      </c>
      <c r="G7150" t="s">
        <v>2020</v>
      </c>
      <c r="H7150">
        <v>1</v>
      </c>
      <c r="I7150" s="12">
        <f>Table16[[#This Row],[price]]*Table16[[#This Row],[quantity]]</f>
        <v>40.659999999999997</v>
      </c>
    </row>
    <row r="7151" spans="1:9" x14ac:dyDescent="0.3">
      <c r="A7151" t="s">
        <v>9167</v>
      </c>
      <c r="B7151" t="s">
        <v>1422</v>
      </c>
      <c r="C7151" t="s">
        <v>2001</v>
      </c>
      <c r="D7151">
        <v>2</v>
      </c>
      <c r="E7151" s="16">
        <v>600.16</v>
      </c>
      <c r="F7151" s="1">
        <v>44899</v>
      </c>
      <c r="G7151" t="s">
        <v>2064</v>
      </c>
      <c r="H7151">
        <v>1</v>
      </c>
      <c r="I7151" s="12">
        <f>Table16[[#This Row],[price]]*Table16[[#This Row],[quantity]]</f>
        <v>1200.32</v>
      </c>
    </row>
    <row r="7152" spans="1:9" x14ac:dyDescent="0.3">
      <c r="A7152" t="s">
        <v>9166</v>
      </c>
      <c r="B7152" t="s">
        <v>1422</v>
      </c>
      <c r="C7152" t="s">
        <v>2001</v>
      </c>
      <c r="D7152">
        <v>1</v>
      </c>
      <c r="E7152" s="16">
        <v>300.08</v>
      </c>
      <c r="F7152" s="1">
        <v>44987</v>
      </c>
      <c r="G7152" t="s">
        <v>2004</v>
      </c>
      <c r="H7152">
        <v>3</v>
      </c>
      <c r="I7152" s="12">
        <f>Table16[[#This Row],[price]]*Table16[[#This Row],[quantity]]</f>
        <v>300.08</v>
      </c>
    </row>
    <row r="7153" spans="1:9" x14ac:dyDescent="0.3">
      <c r="A7153" t="s">
        <v>9169</v>
      </c>
      <c r="B7153" t="s">
        <v>1423</v>
      </c>
      <c r="C7153" t="s">
        <v>2008</v>
      </c>
      <c r="D7153">
        <v>5</v>
      </c>
      <c r="E7153" s="16">
        <v>26.15</v>
      </c>
      <c r="F7153" s="1">
        <v>44465</v>
      </c>
      <c r="G7153" t="s">
        <v>2027</v>
      </c>
      <c r="H7153">
        <v>3</v>
      </c>
      <c r="I7153" s="12">
        <f>Table16[[#This Row],[price]]*Table16[[#This Row],[quantity]]</f>
        <v>130.75</v>
      </c>
    </row>
    <row r="7154" spans="1:9" x14ac:dyDescent="0.3">
      <c r="A7154" t="s">
        <v>9170</v>
      </c>
      <c r="B7154" t="s">
        <v>1423</v>
      </c>
      <c r="C7154" t="s">
        <v>2024</v>
      </c>
      <c r="D7154">
        <v>3</v>
      </c>
      <c r="E7154" s="16">
        <v>107.52</v>
      </c>
      <c r="F7154" s="1">
        <v>44729</v>
      </c>
      <c r="G7154" t="s">
        <v>2020</v>
      </c>
      <c r="H7154">
        <v>3</v>
      </c>
      <c r="I7154" s="12">
        <f>Table16[[#This Row],[price]]*Table16[[#This Row],[quantity]]</f>
        <v>322.56</v>
      </c>
    </row>
    <row r="7155" spans="1:9" x14ac:dyDescent="0.3">
      <c r="A7155" t="s">
        <v>9171</v>
      </c>
      <c r="B7155" t="s">
        <v>1423</v>
      </c>
      <c r="C7155" t="s">
        <v>2015</v>
      </c>
      <c r="D7155">
        <v>3</v>
      </c>
      <c r="E7155" s="16">
        <v>1800.51</v>
      </c>
      <c r="F7155" s="1">
        <v>44982</v>
      </c>
      <c r="G7155" t="s">
        <v>2020</v>
      </c>
      <c r="H7155">
        <v>3</v>
      </c>
      <c r="I7155" s="12">
        <f>Table16[[#This Row],[price]]*Table16[[#This Row],[quantity]]</f>
        <v>5401.53</v>
      </c>
    </row>
    <row r="7156" spans="1:9" x14ac:dyDescent="0.3">
      <c r="A7156" t="s">
        <v>9173</v>
      </c>
      <c r="B7156" t="s">
        <v>1424</v>
      </c>
      <c r="C7156" t="s">
        <v>2024</v>
      </c>
      <c r="D7156">
        <v>1</v>
      </c>
      <c r="E7156" s="16">
        <v>35.840000000000003</v>
      </c>
      <c r="F7156" s="1">
        <v>44342</v>
      </c>
      <c r="G7156" t="s">
        <v>2012</v>
      </c>
      <c r="H7156">
        <v>5</v>
      </c>
      <c r="I7156" s="12">
        <f>Table16[[#This Row],[price]]*Table16[[#This Row],[quantity]]</f>
        <v>35.840000000000003</v>
      </c>
    </row>
    <row r="7157" spans="1:9" x14ac:dyDescent="0.3">
      <c r="A7157" t="s">
        <v>9172</v>
      </c>
      <c r="B7157" t="s">
        <v>1424</v>
      </c>
      <c r="C7157" t="s">
        <v>2001</v>
      </c>
      <c r="D7157">
        <v>2</v>
      </c>
      <c r="E7157" s="16">
        <v>600.16</v>
      </c>
      <c r="F7157" s="1">
        <v>44775</v>
      </c>
      <c r="G7157" t="s">
        <v>2020</v>
      </c>
      <c r="H7157">
        <v>1</v>
      </c>
      <c r="I7157" s="12">
        <f>Table16[[#This Row],[price]]*Table16[[#This Row],[quantity]]</f>
        <v>1200.32</v>
      </c>
    </row>
    <row r="7158" spans="1:9" x14ac:dyDescent="0.3">
      <c r="A7158" t="s">
        <v>9175</v>
      </c>
      <c r="B7158" t="s">
        <v>1425</v>
      </c>
      <c r="C7158" t="s">
        <v>2057</v>
      </c>
      <c r="D7158">
        <v>2</v>
      </c>
      <c r="E7158" s="16">
        <v>23.46</v>
      </c>
      <c r="F7158" s="1">
        <v>44285</v>
      </c>
      <c r="G7158" t="s">
        <v>2027</v>
      </c>
      <c r="H7158">
        <v>2</v>
      </c>
      <c r="I7158" s="12">
        <f>Table16[[#This Row],[price]]*Table16[[#This Row],[quantity]]</f>
        <v>46.92</v>
      </c>
    </row>
    <row r="7159" spans="1:9" x14ac:dyDescent="0.3">
      <c r="A7159" t="s">
        <v>9179</v>
      </c>
      <c r="B7159" t="s">
        <v>1425</v>
      </c>
      <c r="C7159" t="s">
        <v>2017</v>
      </c>
      <c r="D7159">
        <v>1</v>
      </c>
      <c r="E7159" s="16">
        <v>1050</v>
      </c>
      <c r="F7159" s="1">
        <v>44449</v>
      </c>
      <c r="G7159" t="s">
        <v>2004</v>
      </c>
      <c r="H7159">
        <v>4</v>
      </c>
      <c r="I7159" s="12">
        <f>Table16[[#This Row],[price]]*Table16[[#This Row],[quantity]]</f>
        <v>1050</v>
      </c>
    </row>
    <row r="7160" spans="1:9" x14ac:dyDescent="0.3">
      <c r="A7160" t="s">
        <v>9177</v>
      </c>
      <c r="B7160" t="s">
        <v>1425</v>
      </c>
      <c r="C7160" t="s">
        <v>2001</v>
      </c>
      <c r="D7160">
        <v>1</v>
      </c>
      <c r="E7160" s="16">
        <v>300.08</v>
      </c>
      <c r="F7160" s="1">
        <v>44456</v>
      </c>
      <c r="G7160" t="s">
        <v>2041</v>
      </c>
      <c r="H7160">
        <v>1</v>
      </c>
      <c r="I7160" s="12">
        <f>Table16[[#This Row],[price]]*Table16[[#This Row],[quantity]]</f>
        <v>300.08</v>
      </c>
    </row>
    <row r="7161" spans="1:9" x14ac:dyDescent="0.3">
      <c r="A7161" t="s">
        <v>9178</v>
      </c>
      <c r="B7161" t="s">
        <v>1425</v>
      </c>
      <c r="C7161" t="s">
        <v>2001</v>
      </c>
      <c r="D7161">
        <v>5</v>
      </c>
      <c r="E7161" s="16">
        <v>1500.4</v>
      </c>
      <c r="F7161" s="1">
        <v>44539</v>
      </c>
      <c r="G7161" t="s">
        <v>2041</v>
      </c>
      <c r="H7161">
        <v>1</v>
      </c>
      <c r="I7161" s="12">
        <f>Table16[[#This Row],[price]]*Table16[[#This Row],[quantity]]</f>
        <v>7502</v>
      </c>
    </row>
    <row r="7162" spans="1:9" x14ac:dyDescent="0.3">
      <c r="A7162" t="s">
        <v>9176</v>
      </c>
      <c r="B7162" t="s">
        <v>1425</v>
      </c>
      <c r="C7162" t="s">
        <v>2001</v>
      </c>
      <c r="D7162">
        <v>1</v>
      </c>
      <c r="E7162" s="16">
        <v>300.08</v>
      </c>
      <c r="F7162" s="1">
        <v>44661</v>
      </c>
      <c r="G7162" t="s">
        <v>2004</v>
      </c>
      <c r="H7162">
        <v>4</v>
      </c>
      <c r="I7162" s="12">
        <f>Table16[[#This Row],[price]]*Table16[[#This Row],[quantity]]</f>
        <v>300.08</v>
      </c>
    </row>
    <row r="7163" spans="1:9" x14ac:dyDescent="0.3">
      <c r="A7163" t="s">
        <v>9174</v>
      </c>
      <c r="B7163" t="s">
        <v>1425</v>
      </c>
      <c r="C7163" t="s">
        <v>2001</v>
      </c>
      <c r="D7163">
        <v>3</v>
      </c>
      <c r="E7163" s="16">
        <v>900.24</v>
      </c>
      <c r="F7163" s="1">
        <v>44923</v>
      </c>
      <c r="G7163" t="s">
        <v>2012</v>
      </c>
      <c r="H7163">
        <v>1</v>
      </c>
      <c r="I7163" s="12">
        <f>Table16[[#This Row],[price]]*Table16[[#This Row],[quantity]]</f>
        <v>2700.7200000000003</v>
      </c>
    </row>
    <row r="7164" spans="1:9" x14ac:dyDescent="0.3">
      <c r="A7164" t="s">
        <v>9183</v>
      </c>
      <c r="B7164" t="s">
        <v>1426</v>
      </c>
      <c r="C7164" t="s">
        <v>2057</v>
      </c>
      <c r="D7164">
        <v>3</v>
      </c>
      <c r="E7164" s="16">
        <v>35.19</v>
      </c>
      <c r="F7164" s="1">
        <v>44481</v>
      </c>
      <c r="G7164" t="s">
        <v>2020</v>
      </c>
      <c r="H7164">
        <v>3</v>
      </c>
      <c r="I7164" s="12">
        <f>Table16[[#This Row],[price]]*Table16[[#This Row],[quantity]]</f>
        <v>105.57</v>
      </c>
    </row>
    <row r="7165" spans="1:9" x14ac:dyDescent="0.3">
      <c r="A7165" t="s">
        <v>9180</v>
      </c>
      <c r="B7165" t="s">
        <v>1426</v>
      </c>
      <c r="C7165" t="s">
        <v>2001</v>
      </c>
      <c r="D7165">
        <v>5</v>
      </c>
      <c r="E7165" s="16">
        <v>1500.4</v>
      </c>
      <c r="F7165" s="1">
        <v>44501</v>
      </c>
      <c r="G7165" t="s">
        <v>2004</v>
      </c>
      <c r="H7165">
        <v>1</v>
      </c>
      <c r="I7165" s="12">
        <f>Table16[[#This Row],[price]]*Table16[[#This Row],[quantity]]</f>
        <v>7502</v>
      </c>
    </row>
    <row r="7166" spans="1:9" x14ac:dyDescent="0.3">
      <c r="A7166" t="s">
        <v>9182</v>
      </c>
      <c r="B7166" t="s">
        <v>1426</v>
      </c>
      <c r="C7166" t="s">
        <v>2001</v>
      </c>
      <c r="D7166">
        <v>3</v>
      </c>
      <c r="E7166" s="16">
        <v>900.24</v>
      </c>
      <c r="F7166" s="1">
        <v>44639</v>
      </c>
      <c r="G7166" t="s">
        <v>2004</v>
      </c>
      <c r="H7166">
        <v>1</v>
      </c>
      <c r="I7166" s="12">
        <f>Table16[[#This Row],[price]]*Table16[[#This Row],[quantity]]</f>
        <v>2700.7200000000003</v>
      </c>
    </row>
    <row r="7167" spans="1:9" x14ac:dyDescent="0.3">
      <c r="A7167" t="s">
        <v>9181</v>
      </c>
      <c r="B7167" t="s">
        <v>1426</v>
      </c>
      <c r="C7167" t="s">
        <v>2001</v>
      </c>
      <c r="D7167">
        <v>5</v>
      </c>
      <c r="E7167" s="16">
        <v>1500.4</v>
      </c>
      <c r="F7167" s="1">
        <v>44948</v>
      </c>
      <c r="G7167" t="s">
        <v>2002</v>
      </c>
      <c r="H7167">
        <v>2</v>
      </c>
      <c r="I7167" s="12">
        <f>Table16[[#This Row],[price]]*Table16[[#This Row],[quantity]]</f>
        <v>7502</v>
      </c>
    </row>
    <row r="7168" spans="1:9" x14ac:dyDescent="0.3">
      <c r="A7168" t="s">
        <v>9184</v>
      </c>
      <c r="B7168" t="s">
        <v>1426</v>
      </c>
      <c r="C7168" t="s">
        <v>2001</v>
      </c>
      <c r="D7168">
        <v>4</v>
      </c>
      <c r="E7168" s="16">
        <v>1200.32</v>
      </c>
      <c r="F7168" s="1">
        <v>44963</v>
      </c>
      <c r="G7168" t="s">
        <v>2002</v>
      </c>
      <c r="H7168">
        <v>2</v>
      </c>
      <c r="I7168" s="12">
        <f>Table16[[#This Row],[price]]*Table16[[#This Row],[quantity]]</f>
        <v>4801.28</v>
      </c>
    </row>
    <row r="7169" spans="1:9" x14ac:dyDescent="0.3">
      <c r="A7169" t="s">
        <v>9191</v>
      </c>
      <c r="B7169" t="s">
        <v>1427</v>
      </c>
      <c r="C7169" t="s">
        <v>2001</v>
      </c>
      <c r="D7169">
        <v>3</v>
      </c>
      <c r="E7169" s="16">
        <v>900.24</v>
      </c>
      <c r="F7169" s="1">
        <v>44203</v>
      </c>
      <c r="G7169" t="s">
        <v>2027</v>
      </c>
      <c r="H7169">
        <v>2</v>
      </c>
      <c r="I7169" s="12">
        <f>Table16[[#This Row],[price]]*Table16[[#This Row],[quantity]]</f>
        <v>2700.7200000000003</v>
      </c>
    </row>
    <row r="7170" spans="1:9" x14ac:dyDescent="0.3">
      <c r="A7170" t="s">
        <v>9189</v>
      </c>
      <c r="B7170" t="s">
        <v>1427</v>
      </c>
      <c r="C7170" t="s">
        <v>2015</v>
      </c>
      <c r="D7170">
        <v>3</v>
      </c>
      <c r="E7170" s="16">
        <v>1800.51</v>
      </c>
      <c r="F7170" s="1">
        <v>44361</v>
      </c>
      <c r="G7170" t="s">
        <v>2004</v>
      </c>
      <c r="H7170">
        <v>5</v>
      </c>
      <c r="I7170" s="12">
        <f>Table16[[#This Row],[price]]*Table16[[#This Row],[quantity]]</f>
        <v>5401.53</v>
      </c>
    </row>
    <row r="7171" spans="1:9" x14ac:dyDescent="0.3">
      <c r="A7171" t="s">
        <v>9187</v>
      </c>
      <c r="B7171" t="s">
        <v>1427</v>
      </c>
      <c r="C7171" t="s">
        <v>2017</v>
      </c>
      <c r="D7171">
        <v>3</v>
      </c>
      <c r="E7171" s="16">
        <v>3150</v>
      </c>
      <c r="F7171" s="1">
        <v>44417</v>
      </c>
      <c r="G7171" t="s">
        <v>2020</v>
      </c>
      <c r="H7171">
        <v>3</v>
      </c>
      <c r="I7171" s="12">
        <f>Table16[[#This Row],[price]]*Table16[[#This Row],[quantity]]</f>
        <v>9450</v>
      </c>
    </row>
    <row r="7172" spans="1:9" x14ac:dyDescent="0.3">
      <c r="A7172" t="s">
        <v>9188</v>
      </c>
      <c r="B7172" t="s">
        <v>1427</v>
      </c>
      <c r="C7172" t="s">
        <v>2001</v>
      </c>
      <c r="D7172">
        <v>2</v>
      </c>
      <c r="E7172" s="16">
        <v>600.16</v>
      </c>
      <c r="F7172" s="1">
        <v>44803</v>
      </c>
      <c r="G7172" t="s">
        <v>2020</v>
      </c>
      <c r="H7172">
        <v>1</v>
      </c>
      <c r="I7172" s="12">
        <f>Table16[[#This Row],[price]]*Table16[[#This Row],[quantity]]</f>
        <v>1200.32</v>
      </c>
    </row>
    <row r="7173" spans="1:9" x14ac:dyDescent="0.3">
      <c r="A7173" t="s">
        <v>9185</v>
      </c>
      <c r="B7173" t="s">
        <v>1427</v>
      </c>
      <c r="C7173" t="s">
        <v>2001</v>
      </c>
      <c r="D7173">
        <v>5</v>
      </c>
      <c r="E7173" s="16">
        <v>1500.4</v>
      </c>
      <c r="F7173" s="1">
        <v>44813</v>
      </c>
      <c r="G7173" t="s">
        <v>2004</v>
      </c>
      <c r="H7173">
        <v>2</v>
      </c>
      <c r="I7173" s="12">
        <f>Table16[[#This Row],[price]]*Table16[[#This Row],[quantity]]</f>
        <v>7502</v>
      </c>
    </row>
    <row r="7174" spans="1:9" x14ac:dyDescent="0.3">
      <c r="A7174" t="s">
        <v>9186</v>
      </c>
      <c r="B7174" t="s">
        <v>1427</v>
      </c>
      <c r="C7174" t="s">
        <v>2001</v>
      </c>
      <c r="D7174">
        <v>5</v>
      </c>
      <c r="E7174" s="16">
        <v>1500.4</v>
      </c>
      <c r="F7174" s="1">
        <v>44894</v>
      </c>
      <c r="G7174" t="s">
        <v>2009</v>
      </c>
      <c r="H7174">
        <v>4</v>
      </c>
      <c r="I7174" s="12">
        <f>Table16[[#This Row],[price]]*Table16[[#This Row],[quantity]]</f>
        <v>7502</v>
      </c>
    </row>
    <row r="7175" spans="1:9" x14ac:dyDescent="0.3">
      <c r="A7175" t="s">
        <v>9192</v>
      </c>
      <c r="B7175" t="s">
        <v>1427</v>
      </c>
      <c r="C7175" t="s">
        <v>2057</v>
      </c>
      <c r="D7175">
        <v>2</v>
      </c>
      <c r="E7175" s="16">
        <v>23.46</v>
      </c>
      <c r="F7175" s="1">
        <v>44906</v>
      </c>
      <c r="G7175" t="s">
        <v>2027</v>
      </c>
      <c r="H7175">
        <v>4</v>
      </c>
      <c r="I7175" s="12">
        <f>Table16[[#This Row],[price]]*Table16[[#This Row],[quantity]]</f>
        <v>46.92</v>
      </c>
    </row>
    <row r="7176" spans="1:9" x14ac:dyDescent="0.3">
      <c r="A7176" t="s">
        <v>9190</v>
      </c>
      <c r="B7176" t="s">
        <v>1427</v>
      </c>
      <c r="C7176" t="s">
        <v>2008</v>
      </c>
      <c r="D7176">
        <v>1</v>
      </c>
      <c r="E7176" s="16">
        <v>5.23</v>
      </c>
      <c r="F7176" s="1">
        <v>44958</v>
      </c>
      <c r="G7176" t="s">
        <v>2041</v>
      </c>
      <c r="H7176">
        <v>5</v>
      </c>
      <c r="I7176" s="12">
        <f>Table16[[#This Row],[price]]*Table16[[#This Row],[quantity]]</f>
        <v>5.23</v>
      </c>
    </row>
    <row r="7177" spans="1:9" x14ac:dyDescent="0.3">
      <c r="A7177" t="s">
        <v>9197</v>
      </c>
      <c r="B7177" t="s">
        <v>1428</v>
      </c>
      <c r="C7177" t="s">
        <v>2011</v>
      </c>
      <c r="D7177">
        <v>1</v>
      </c>
      <c r="E7177" s="16">
        <v>40.659999999999997</v>
      </c>
      <c r="F7177" s="1">
        <v>44309</v>
      </c>
      <c r="G7177" t="s">
        <v>2020</v>
      </c>
      <c r="H7177">
        <v>5</v>
      </c>
      <c r="I7177" s="12">
        <f>Table16[[#This Row],[price]]*Table16[[#This Row],[quantity]]</f>
        <v>40.659999999999997</v>
      </c>
    </row>
    <row r="7178" spans="1:9" x14ac:dyDescent="0.3">
      <c r="A7178" t="s">
        <v>9196</v>
      </c>
      <c r="B7178" t="s">
        <v>1428</v>
      </c>
      <c r="C7178" t="s">
        <v>2024</v>
      </c>
      <c r="D7178">
        <v>5</v>
      </c>
      <c r="E7178" s="16">
        <v>179.2</v>
      </c>
      <c r="F7178" s="1">
        <v>44378</v>
      </c>
      <c r="G7178" t="s">
        <v>2027</v>
      </c>
      <c r="H7178">
        <v>2</v>
      </c>
      <c r="I7178" s="12">
        <f>Table16[[#This Row],[price]]*Table16[[#This Row],[quantity]]</f>
        <v>896</v>
      </c>
    </row>
    <row r="7179" spans="1:9" x14ac:dyDescent="0.3">
      <c r="A7179" t="s">
        <v>9199</v>
      </c>
      <c r="B7179" t="s">
        <v>1428</v>
      </c>
      <c r="C7179" t="s">
        <v>2015</v>
      </c>
      <c r="D7179">
        <v>3</v>
      </c>
      <c r="E7179" s="16">
        <v>1800.51</v>
      </c>
      <c r="F7179" s="1">
        <v>44533</v>
      </c>
      <c r="G7179" t="s">
        <v>2009</v>
      </c>
      <c r="H7179">
        <v>5</v>
      </c>
      <c r="I7179" s="12">
        <f>Table16[[#This Row],[price]]*Table16[[#This Row],[quantity]]</f>
        <v>5401.53</v>
      </c>
    </row>
    <row r="7180" spans="1:9" x14ac:dyDescent="0.3">
      <c r="A7180" t="s">
        <v>9194</v>
      </c>
      <c r="B7180" t="s">
        <v>1428</v>
      </c>
      <c r="C7180" t="s">
        <v>2008</v>
      </c>
      <c r="D7180">
        <v>5</v>
      </c>
      <c r="E7180" s="16">
        <v>26.15</v>
      </c>
      <c r="F7180" s="1">
        <v>44546</v>
      </c>
      <c r="G7180" t="s">
        <v>2004</v>
      </c>
      <c r="H7180">
        <v>3</v>
      </c>
      <c r="I7180" s="12">
        <f>Table16[[#This Row],[price]]*Table16[[#This Row],[quantity]]</f>
        <v>130.75</v>
      </c>
    </row>
    <row r="7181" spans="1:9" x14ac:dyDescent="0.3">
      <c r="A7181" t="s">
        <v>9198</v>
      </c>
      <c r="B7181" t="s">
        <v>1428</v>
      </c>
      <c r="C7181" t="s">
        <v>2024</v>
      </c>
      <c r="D7181">
        <v>3</v>
      </c>
      <c r="E7181" s="16">
        <v>107.52</v>
      </c>
      <c r="F7181" s="1">
        <v>44696</v>
      </c>
      <c r="G7181" t="s">
        <v>2004</v>
      </c>
      <c r="H7181">
        <v>2</v>
      </c>
      <c r="I7181" s="12">
        <f>Table16[[#This Row],[price]]*Table16[[#This Row],[quantity]]</f>
        <v>322.56</v>
      </c>
    </row>
    <row r="7182" spans="1:9" x14ac:dyDescent="0.3">
      <c r="A7182" t="s">
        <v>9201</v>
      </c>
      <c r="B7182" t="s">
        <v>1428</v>
      </c>
      <c r="C7182" t="s">
        <v>2011</v>
      </c>
      <c r="D7182">
        <v>4</v>
      </c>
      <c r="E7182" s="16">
        <v>162.63999999999999</v>
      </c>
      <c r="F7182" s="1">
        <v>44729</v>
      </c>
      <c r="G7182" t="s">
        <v>2002</v>
      </c>
      <c r="H7182">
        <v>4</v>
      </c>
      <c r="I7182" s="12">
        <f>Table16[[#This Row],[price]]*Table16[[#This Row],[quantity]]</f>
        <v>650.55999999999995</v>
      </c>
    </row>
    <row r="7183" spans="1:9" x14ac:dyDescent="0.3">
      <c r="A7183" t="s">
        <v>9200</v>
      </c>
      <c r="B7183" t="s">
        <v>1428</v>
      </c>
      <c r="C7183" t="s">
        <v>2001</v>
      </c>
      <c r="D7183">
        <v>2</v>
      </c>
      <c r="E7183" s="16">
        <v>600.16</v>
      </c>
      <c r="F7183" s="1">
        <v>44730</v>
      </c>
      <c r="G7183" t="s">
        <v>2009</v>
      </c>
      <c r="H7183">
        <v>4</v>
      </c>
      <c r="I7183" s="12">
        <f>Table16[[#This Row],[price]]*Table16[[#This Row],[quantity]]</f>
        <v>1200.32</v>
      </c>
    </row>
    <row r="7184" spans="1:9" x14ac:dyDescent="0.3">
      <c r="A7184" t="s">
        <v>9195</v>
      </c>
      <c r="B7184" t="s">
        <v>1428</v>
      </c>
      <c r="C7184" t="s">
        <v>2024</v>
      </c>
      <c r="D7184">
        <v>2</v>
      </c>
      <c r="E7184" s="16">
        <v>71.680000000000007</v>
      </c>
      <c r="F7184" s="1">
        <v>44730</v>
      </c>
      <c r="G7184" t="s">
        <v>2009</v>
      </c>
      <c r="H7184">
        <v>3</v>
      </c>
      <c r="I7184" s="12">
        <f>Table16[[#This Row],[price]]*Table16[[#This Row],[quantity]]</f>
        <v>143.36000000000001</v>
      </c>
    </row>
    <row r="7185" spans="1:9" x14ac:dyDescent="0.3">
      <c r="A7185" t="s">
        <v>9193</v>
      </c>
      <c r="B7185" t="s">
        <v>1428</v>
      </c>
      <c r="C7185" t="s">
        <v>2001</v>
      </c>
      <c r="D7185">
        <v>2</v>
      </c>
      <c r="E7185" s="16">
        <v>600.16</v>
      </c>
      <c r="F7185" s="1">
        <v>44844</v>
      </c>
      <c r="G7185" t="s">
        <v>2058</v>
      </c>
      <c r="H7185">
        <v>1</v>
      </c>
      <c r="I7185" s="12">
        <f>Table16[[#This Row],[price]]*Table16[[#This Row],[quantity]]</f>
        <v>1200.32</v>
      </c>
    </row>
    <row r="7186" spans="1:9" x14ac:dyDescent="0.3">
      <c r="A7186" t="s">
        <v>9203</v>
      </c>
      <c r="B7186" t="s">
        <v>1429</v>
      </c>
      <c r="C7186" t="s">
        <v>2011</v>
      </c>
      <c r="D7186">
        <v>4</v>
      </c>
      <c r="E7186" s="16">
        <v>162.63999999999999</v>
      </c>
      <c r="F7186" s="1">
        <v>44343</v>
      </c>
      <c r="G7186" t="s">
        <v>2004</v>
      </c>
      <c r="H7186">
        <v>4</v>
      </c>
      <c r="I7186" s="12">
        <f>Table16[[#This Row],[price]]*Table16[[#This Row],[quantity]]</f>
        <v>650.55999999999995</v>
      </c>
    </row>
    <row r="7187" spans="1:9" x14ac:dyDescent="0.3">
      <c r="A7187" t="s">
        <v>9202</v>
      </c>
      <c r="B7187" t="s">
        <v>1429</v>
      </c>
      <c r="C7187" t="s">
        <v>2001</v>
      </c>
      <c r="D7187">
        <v>4</v>
      </c>
      <c r="E7187" s="16">
        <v>1200.32</v>
      </c>
      <c r="F7187" s="1">
        <v>44541</v>
      </c>
      <c r="G7187" t="s">
        <v>2041</v>
      </c>
      <c r="H7187">
        <v>3</v>
      </c>
      <c r="I7187" s="12">
        <f>Table16[[#This Row],[price]]*Table16[[#This Row],[quantity]]</f>
        <v>4801.28</v>
      </c>
    </row>
    <row r="7188" spans="1:9" x14ac:dyDescent="0.3">
      <c r="A7188" t="s">
        <v>9204</v>
      </c>
      <c r="B7188" t="s">
        <v>1429</v>
      </c>
      <c r="C7188" t="s">
        <v>2011</v>
      </c>
      <c r="D7188">
        <v>3</v>
      </c>
      <c r="E7188" s="16">
        <v>121.98</v>
      </c>
      <c r="F7188" s="1">
        <v>44765</v>
      </c>
      <c r="G7188" t="s">
        <v>2064</v>
      </c>
      <c r="H7188">
        <v>3</v>
      </c>
      <c r="I7188" s="12">
        <f>Table16[[#This Row],[price]]*Table16[[#This Row],[quantity]]</f>
        <v>365.94</v>
      </c>
    </row>
    <row r="7189" spans="1:9" x14ac:dyDescent="0.3">
      <c r="A7189" t="s">
        <v>9205</v>
      </c>
      <c r="B7189" t="s">
        <v>1429</v>
      </c>
      <c r="C7189" t="s">
        <v>2001</v>
      </c>
      <c r="D7189">
        <v>1</v>
      </c>
      <c r="E7189" s="16">
        <v>300.08</v>
      </c>
      <c r="F7189" s="1">
        <v>44984</v>
      </c>
      <c r="G7189" t="s">
        <v>2004</v>
      </c>
      <c r="H7189">
        <v>5</v>
      </c>
      <c r="I7189" s="12">
        <f>Table16[[#This Row],[price]]*Table16[[#This Row],[quantity]]</f>
        <v>300.08</v>
      </c>
    </row>
    <row r="7190" spans="1:9" x14ac:dyDescent="0.3">
      <c r="A7190" t="s">
        <v>9213</v>
      </c>
      <c r="B7190" t="s">
        <v>1430</v>
      </c>
      <c r="C7190" t="s">
        <v>2011</v>
      </c>
      <c r="D7190">
        <v>4</v>
      </c>
      <c r="E7190" s="16">
        <v>162.63999999999999</v>
      </c>
      <c r="F7190" s="1">
        <v>44339</v>
      </c>
      <c r="G7190" t="s">
        <v>2012</v>
      </c>
      <c r="H7190">
        <v>1</v>
      </c>
      <c r="I7190" s="12">
        <f>Table16[[#This Row],[price]]*Table16[[#This Row],[quantity]]</f>
        <v>650.55999999999995</v>
      </c>
    </row>
    <row r="7191" spans="1:9" x14ac:dyDescent="0.3">
      <c r="A7191" t="s">
        <v>9210</v>
      </c>
      <c r="B7191" t="s">
        <v>1430</v>
      </c>
      <c r="C7191" t="s">
        <v>2024</v>
      </c>
      <c r="D7191">
        <v>5</v>
      </c>
      <c r="E7191" s="16">
        <v>179.2</v>
      </c>
      <c r="F7191" s="1">
        <v>44454</v>
      </c>
      <c r="G7191" t="s">
        <v>2004</v>
      </c>
      <c r="H7191">
        <v>5</v>
      </c>
      <c r="I7191" s="12">
        <f>Table16[[#This Row],[price]]*Table16[[#This Row],[quantity]]</f>
        <v>896</v>
      </c>
    </row>
    <row r="7192" spans="1:9" x14ac:dyDescent="0.3">
      <c r="A7192" t="s">
        <v>9215</v>
      </c>
      <c r="B7192" t="s">
        <v>1430</v>
      </c>
      <c r="C7192" t="s">
        <v>2001</v>
      </c>
      <c r="D7192">
        <v>3</v>
      </c>
      <c r="E7192" s="16">
        <v>900.24</v>
      </c>
      <c r="F7192" s="1">
        <v>44460</v>
      </c>
      <c r="G7192" t="s">
        <v>2027</v>
      </c>
      <c r="H7192">
        <v>3</v>
      </c>
      <c r="I7192" s="12">
        <f>Table16[[#This Row],[price]]*Table16[[#This Row],[quantity]]</f>
        <v>2700.7200000000003</v>
      </c>
    </row>
    <row r="7193" spans="1:9" x14ac:dyDescent="0.3">
      <c r="A7193" t="s">
        <v>9208</v>
      </c>
      <c r="B7193" t="s">
        <v>1430</v>
      </c>
      <c r="C7193" t="s">
        <v>2011</v>
      </c>
      <c r="D7193">
        <v>1</v>
      </c>
      <c r="E7193" s="16">
        <v>40.659999999999997</v>
      </c>
      <c r="F7193" s="1">
        <v>44469</v>
      </c>
      <c r="G7193" t="s">
        <v>2027</v>
      </c>
      <c r="H7193">
        <v>3</v>
      </c>
      <c r="I7193" s="12">
        <f>Table16[[#This Row],[price]]*Table16[[#This Row],[quantity]]</f>
        <v>40.659999999999997</v>
      </c>
    </row>
    <row r="7194" spans="1:9" x14ac:dyDescent="0.3">
      <c r="A7194" t="s">
        <v>9209</v>
      </c>
      <c r="B7194" t="s">
        <v>1430</v>
      </c>
      <c r="C7194" t="s">
        <v>2001</v>
      </c>
      <c r="D7194">
        <v>2</v>
      </c>
      <c r="E7194" s="16">
        <v>600.16</v>
      </c>
      <c r="F7194" s="1">
        <v>44551</v>
      </c>
      <c r="G7194" t="s">
        <v>2012</v>
      </c>
      <c r="H7194">
        <v>2</v>
      </c>
      <c r="I7194" s="12">
        <f>Table16[[#This Row],[price]]*Table16[[#This Row],[quantity]]</f>
        <v>1200.32</v>
      </c>
    </row>
    <row r="7195" spans="1:9" x14ac:dyDescent="0.3">
      <c r="A7195" t="s">
        <v>9207</v>
      </c>
      <c r="B7195" t="s">
        <v>1430</v>
      </c>
      <c r="C7195" t="s">
        <v>2001</v>
      </c>
      <c r="D7195">
        <v>3</v>
      </c>
      <c r="E7195" s="16">
        <v>900.24</v>
      </c>
      <c r="F7195" s="1">
        <v>44660</v>
      </c>
      <c r="G7195" t="s">
        <v>2027</v>
      </c>
      <c r="H7195">
        <v>1</v>
      </c>
      <c r="I7195" s="12">
        <f>Table16[[#This Row],[price]]*Table16[[#This Row],[quantity]]</f>
        <v>2700.7200000000003</v>
      </c>
    </row>
    <row r="7196" spans="1:9" x14ac:dyDescent="0.3">
      <c r="A7196" t="s">
        <v>9206</v>
      </c>
      <c r="B7196" t="s">
        <v>1430</v>
      </c>
      <c r="C7196" t="s">
        <v>2011</v>
      </c>
      <c r="D7196">
        <v>3</v>
      </c>
      <c r="E7196" s="16">
        <v>121.98</v>
      </c>
      <c r="F7196" s="1">
        <v>44738</v>
      </c>
      <c r="G7196" t="s">
        <v>2064</v>
      </c>
      <c r="H7196">
        <v>4</v>
      </c>
      <c r="I7196" s="12">
        <f>Table16[[#This Row],[price]]*Table16[[#This Row],[quantity]]</f>
        <v>365.94</v>
      </c>
    </row>
    <row r="7197" spans="1:9" x14ac:dyDescent="0.3">
      <c r="A7197" t="s">
        <v>9214</v>
      </c>
      <c r="B7197" t="s">
        <v>1430</v>
      </c>
      <c r="C7197" t="s">
        <v>2017</v>
      </c>
      <c r="D7197">
        <v>2</v>
      </c>
      <c r="E7197" s="16">
        <v>2100</v>
      </c>
      <c r="F7197" s="1">
        <v>44811</v>
      </c>
      <c r="G7197" t="s">
        <v>2027</v>
      </c>
      <c r="H7197">
        <v>5</v>
      </c>
      <c r="I7197" s="12">
        <f>Table16[[#This Row],[price]]*Table16[[#This Row],[quantity]]</f>
        <v>4200</v>
      </c>
    </row>
    <row r="7198" spans="1:9" x14ac:dyDescent="0.3">
      <c r="A7198" t="s">
        <v>9212</v>
      </c>
      <c r="B7198" t="s">
        <v>1430</v>
      </c>
      <c r="C7198" t="s">
        <v>2001</v>
      </c>
      <c r="D7198">
        <v>2</v>
      </c>
      <c r="E7198" s="16">
        <v>600.16</v>
      </c>
      <c r="F7198" s="1">
        <v>44895</v>
      </c>
      <c r="G7198" t="s">
        <v>2018</v>
      </c>
      <c r="H7198">
        <v>2</v>
      </c>
      <c r="I7198" s="12">
        <f>Table16[[#This Row],[price]]*Table16[[#This Row],[quantity]]</f>
        <v>1200.32</v>
      </c>
    </row>
    <row r="7199" spans="1:9" x14ac:dyDescent="0.3">
      <c r="A7199" t="s">
        <v>9211</v>
      </c>
      <c r="B7199" t="s">
        <v>1430</v>
      </c>
      <c r="C7199" t="s">
        <v>2015</v>
      </c>
      <c r="D7199">
        <v>2</v>
      </c>
      <c r="E7199" s="16">
        <v>1200.3399999999999</v>
      </c>
      <c r="F7199" s="1">
        <v>44950</v>
      </c>
      <c r="G7199" t="s">
        <v>2002</v>
      </c>
      <c r="H7199">
        <v>3</v>
      </c>
      <c r="I7199" s="12">
        <f>Table16[[#This Row],[price]]*Table16[[#This Row],[quantity]]</f>
        <v>2400.6799999999998</v>
      </c>
    </row>
    <row r="7200" spans="1:9" x14ac:dyDescent="0.3">
      <c r="A7200" t="s">
        <v>9219</v>
      </c>
      <c r="B7200" t="s">
        <v>1431</v>
      </c>
      <c r="C7200" t="s">
        <v>2011</v>
      </c>
      <c r="D7200">
        <v>4</v>
      </c>
      <c r="E7200" s="16">
        <v>162.63999999999999</v>
      </c>
      <c r="F7200" s="1">
        <v>44280</v>
      </c>
      <c r="G7200" t="s">
        <v>2027</v>
      </c>
      <c r="H7200">
        <v>5</v>
      </c>
      <c r="I7200" s="12">
        <f>Table16[[#This Row],[price]]*Table16[[#This Row],[quantity]]</f>
        <v>650.55999999999995</v>
      </c>
    </row>
    <row r="7201" spans="1:9" x14ac:dyDescent="0.3">
      <c r="A7201" t="s">
        <v>9216</v>
      </c>
      <c r="B7201" t="s">
        <v>1431</v>
      </c>
      <c r="C7201" t="s">
        <v>2011</v>
      </c>
      <c r="D7201">
        <v>5</v>
      </c>
      <c r="E7201" s="16">
        <v>203.3</v>
      </c>
      <c r="F7201" s="1">
        <v>44482</v>
      </c>
      <c r="G7201" t="s">
        <v>2002</v>
      </c>
      <c r="H7201">
        <v>4</v>
      </c>
      <c r="I7201" s="12">
        <f>Table16[[#This Row],[price]]*Table16[[#This Row],[quantity]]</f>
        <v>1016.5</v>
      </c>
    </row>
    <row r="7202" spans="1:9" x14ac:dyDescent="0.3">
      <c r="A7202" t="s">
        <v>9218</v>
      </c>
      <c r="B7202" t="s">
        <v>1431</v>
      </c>
      <c r="C7202" t="s">
        <v>2024</v>
      </c>
      <c r="D7202">
        <v>5</v>
      </c>
      <c r="E7202" s="16">
        <v>179.2</v>
      </c>
      <c r="F7202" s="1">
        <v>44513</v>
      </c>
      <c r="G7202" t="s">
        <v>2002</v>
      </c>
      <c r="H7202">
        <v>3</v>
      </c>
      <c r="I7202" s="12">
        <f>Table16[[#This Row],[price]]*Table16[[#This Row],[quantity]]</f>
        <v>896</v>
      </c>
    </row>
    <row r="7203" spans="1:9" x14ac:dyDescent="0.3">
      <c r="A7203" t="s">
        <v>9217</v>
      </c>
      <c r="B7203" t="s">
        <v>1431</v>
      </c>
      <c r="C7203" t="s">
        <v>2001</v>
      </c>
      <c r="D7203">
        <v>5</v>
      </c>
      <c r="E7203" s="16">
        <v>1500.4</v>
      </c>
      <c r="F7203" s="1">
        <v>44831</v>
      </c>
      <c r="G7203" t="s">
        <v>2004</v>
      </c>
      <c r="H7203">
        <v>5</v>
      </c>
      <c r="I7203" s="12">
        <f>Table16[[#This Row],[price]]*Table16[[#This Row],[quantity]]</f>
        <v>7502</v>
      </c>
    </row>
    <row r="7204" spans="1:9" x14ac:dyDescent="0.3">
      <c r="A7204" t="s">
        <v>9220</v>
      </c>
      <c r="B7204" t="s">
        <v>1431</v>
      </c>
      <c r="C7204" t="s">
        <v>2001</v>
      </c>
      <c r="D7204">
        <v>2</v>
      </c>
      <c r="E7204" s="16">
        <v>600.16</v>
      </c>
      <c r="F7204" s="1">
        <v>44928</v>
      </c>
      <c r="G7204" t="s">
        <v>2027</v>
      </c>
      <c r="H7204">
        <v>5</v>
      </c>
      <c r="I7204" s="12">
        <f>Table16[[#This Row],[price]]*Table16[[#This Row],[quantity]]</f>
        <v>1200.32</v>
      </c>
    </row>
    <row r="7205" spans="1:9" x14ac:dyDescent="0.3">
      <c r="A7205" t="s">
        <v>9222</v>
      </c>
      <c r="B7205" t="s">
        <v>1432</v>
      </c>
      <c r="C7205" t="s">
        <v>2001</v>
      </c>
      <c r="D7205">
        <v>2</v>
      </c>
      <c r="E7205" s="16">
        <v>600.16</v>
      </c>
      <c r="F7205" s="1">
        <v>44373</v>
      </c>
      <c r="G7205" t="s">
        <v>2027</v>
      </c>
      <c r="H7205">
        <v>4</v>
      </c>
      <c r="I7205" s="12">
        <f>Table16[[#This Row],[price]]*Table16[[#This Row],[quantity]]</f>
        <v>1200.32</v>
      </c>
    </row>
    <row r="7206" spans="1:9" x14ac:dyDescent="0.3">
      <c r="A7206" t="s">
        <v>9221</v>
      </c>
      <c r="B7206" t="s">
        <v>1432</v>
      </c>
      <c r="C7206" t="s">
        <v>2001</v>
      </c>
      <c r="D7206">
        <v>5</v>
      </c>
      <c r="E7206" s="16">
        <v>1500.4</v>
      </c>
      <c r="F7206" s="1">
        <v>44390</v>
      </c>
      <c r="G7206" t="s">
        <v>2027</v>
      </c>
      <c r="H7206">
        <v>2</v>
      </c>
      <c r="I7206" s="12">
        <f>Table16[[#This Row],[price]]*Table16[[#This Row],[quantity]]</f>
        <v>7502</v>
      </c>
    </row>
    <row r="7207" spans="1:9" x14ac:dyDescent="0.3">
      <c r="A7207" t="s">
        <v>9223</v>
      </c>
      <c r="B7207" t="s">
        <v>1433</v>
      </c>
      <c r="C7207" t="s">
        <v>2008</v>
      </c>
      <c r="D7207">
        <v>4</v>
      </c>
      <c r="E7207" s="16">
        <v>20.92</v>
      </c>
      <c r="F7207" s="1">
        <v>44483</v>
      </c>
      <c r="G7207" t="s">
        <v>2002</v>
      </c>
      <c r="H7207">
        <v>4</v>
      </c>
      <c r="I7207" s="12">
        <f>Table16[[#This Row],[price]]*Table16[[#This Row],[quantity]]</f>
        <v>83.68</v>
      </c>
    </row>
    <row r="7208" spans="1:9" x14ac:dyDescent="0.3">
      <c r="A7208" t="s">
        <v>9224</v>
      </c>
      <c r="B7208" t="s">
        <v>1433</v>
      </c>
      <c r="C7208" t="s">
        <v>2001</v>
      </c>
      <c r="D7208">
        <v>5</v>
      </c>
      <c r="E7208" s="16">
        <v>1500.4</v>
      </c>
      <c r="F7208" s="1">
        <v>44723</v>
      </c>
      <c r="G7208" t="s">
        <v>2004</v>
      </c>
      <c r="H7208">
        <v>2</v>
      </c>
      <c r="I7208" s="12">
        <f>Table16[[#This Row],[price]]*Table16[[#This Row],[quantity]]</f>
        <v>7502</v>
      </c>
    </row>
    <row r="7209" spans="1:9" x14ac:dyDescent="0.3">
      <c r="A7209" t="s">
        <v>9226</v>
      </c>
      <c r="B7209" t="s">
        <v>1434</v>
      </c>
      <c r="C7209" t="s">
        <v>2011</v>
      </c>
      <c r="D7209">
        <v>5</v>
      </c>
      <c r="E7209" s="16">
        <v>203.3</v>
      </c>
      <c r="F7209" s="1">
        <v>44597</v>
      </c>
      <c r="G7209" t="s">
        <v>2027</v>
      </c>
      <c r="H7209">
        <v>4</v>
      </c>
      <c r="I7209" s="12">
        <f>Table16[[#This Row],[price]]*Table16[[#This Row],[quantity]]</f>
        <v>1016.5</v>
      </c>
    </row>
    <row r="7210" spans="1:9" x14ac:dyDescent="0.3">
      <c r="A7210" t="s">
        <v>9225</v>
      </c>
      <c r="B7210" t="s">
        <v>1434</v>
      </c>
      <c r="C7210" t="s">
        <v>2001</v>
      </c>
      <c r="D7210">
        <v>3</v>
      </c>
      <c r="E7210" s="16">
        <v>900.24</v>
      </c>
      <c r="F7210" s="1">
        <v>44682</v>
      </c>
      <c r="G7210" t="s">
        <v>2012</v>
      </c>
      <c r="H7210">
        <v>1</v>
      </c>
      <c r="I7210" s="12">
        <f>Table16[[#This Row],[price]]*Table16[[#This Row],[quantity]]</f>
        <v>2700.7200000000003</v>
      </c>
    </row>
    <row r="7211" spans="1:9" x14ac:dyDescent="0.3">
      <c r="A7211" t="s">
        <v>9227</v>
      </c>
      <c r="B7211" t="s">
        <v>1434</v>
      </c>
      <c r="C7211" t="s">
        <v>2001</v>
      </c>
      <c r="D7211">
        <v>2</v>
      </c>
      <c r="E7211" s="16">
        <v>600.16</v>
      </c>
      <c r="F7211" s="1">
        <v>44879</v>
      </c>
      <c r="G7211" t="s">
        <v>2041</v>
      </c>
      <c r="H7211">
        <v>3</v>
      </c>
      <c r="I7211" s="12">
        <f>Table16[[#This Row],[price]]*Table16[[#This Row],[quantity]]</f>
        <v>1200.32</v>
      </c>
    </row>
    <row r="7212" spans="1:9" x14ac:dyDescent="0.3">
      <c r="A7212" t="s">
        <v>9230</v>
      </c>
      <c r="B7212" t="s">
        <v>1435</v>
      </c>
      <c r="C7212" t="s">
        <v>2001</v>
      </c>
      <c r="D7212">
        <v>4</v>
      </c>
      <c r="E7212" s="16">
        <v>1200.32</v>
      </c>
      <c r="F7212" s="1">
        <v>44387</v>
      </c>
      <c r="G7212" t="s">
        <v>2004</v>
      </c>
      <c r="H7212">
        <v>5</v>
      </c>
      <c r="I7212" s="12">
        <f>Table16[[#This Row],[price]]*Table16[[#This Row],[quantity]]</f>
        <v>4801.28</v>
      </c>
    </row>
    <row r="7213" spans="1:9" x14ac:dyDescent="0.3">
      <c r="A7213" t="s">
        <v>9229</v>
      </c>
      <c r="B7213" t="s">
        <v>1435</v>
      </c>
      <c r="C7213" t="s">
        <v>2001</v>
      </c>
      <c r="D7213">
        <v>3</v>
      </c>
      <c r="E7213" s="16">
        <v>900.24</v>
      </c>
      <c r="F7213" s="1">
        <v>44665</v>
      </c>
      <c r="G7213" t="s">
        <v>2027</v>
      </c>
      <c r="H7213">
        <v>5</v>
      </c>
      <c r="I7213" s="12">
        <f>Table16[[#This Row],[price]]*Table16[[#This Row],[quantity]]</f>
        <v>2700.7200000000003</v>
      </c>
    </row>
    <row r="7214" spans="1:9" x14ac:dyDescent="0.3">
      <c r="A7214" t="s">
        <v>9228</v>
      </c>
      <c r="B7214" t="s">
        <v>1435</v>
      </c>
      <c r="C7214" t="s">
        <v>2011</v>
      </c>
      <c r="D7214">
        <v>3</v>
      </c>
      <c r="E7214" s="16">
        <v>121.98</v>
      </c>
      <c r="F7214" s="1">
        <v>44699</v>
      </c>
      <c r="G7214" t="s">
        <v>2018</v>
      </c>
      <c r="H7214">
        <v>2</v>
      </c>
      <c r="I7214" s="12">
        <f>Table16[[#This Row],[price]]*Table16[[#This Row],[quantity]]</f>
        <v>365.94</v>
      </c>
    </row>
    <row r="7215" spans="1:9" x14ac:dyDescent="0.3">
      <c r="A7215" t="s">
        <v>9232</v>
      </c>
      <c r="B7215" t="s">
        <v>1436</v>
      </c>
      <c r="C7215" t="s">
        <v>2011</v>
      </c>
      <c r="D7215">
        <v>3</v>
      </c>
      <c r="E7215" s="16">
        <v>121.98</v>
      </c>
      <c r="F7215" s="1">
        <v>44392</v>
      </c>
      <c r="G7215" t="s">
        <v>2009</v>
      </c>
      <c r="H7215">
        <v>2</v>
      </c>
      <c r="I7215" s="12">
        <f>Table16[[#This Row],[price]]*Table16[[#This Row],[quantity]]</f>
        <v>365.94</v>
      </c>
    </row>
    <row r="7216" spans="1:9" x14ac:dyDescent="0.3">
      <c r="A7216" t="s">
        <v>9231</v>
      </c>
      <c r="B7216" t="s">
        <v>1436</v>
      </c>
      <c r="C7216" t="s">
        <v>2008</v>
      </c>
      <c r="D7216">
        <v>3</v>
      </c>
      <c r="E7216" s="16">
        <v>15.69</v>
      </c>
      <c r="F7216" s="1">
        <v>44709</v>
      </c>
      <c r="G7216" t="s">
        <v>2027</v>
      </c>
      <c r="H7216">
        <v>2</v>
      </c>
      <c r="I7216" s="12">
        <f>Table16[[#This Row],[price]]*Table16[[#This Row],[quantity]]</f>
        <v>47.07</v>
      </c>
    </row>
    <row r="7217" spans="1:9" x14ac:dyDescent="0.3">
      <c r="A7217" t="s">
        <v>9233</v>
      </c>
      <c r="B7217" t="s">
        <v>1436</v>
      </c>
      <c r="C7217" t="s">
        <v>2057</v>
      </c>
      <c r="D7217">
        <v>2</v>
      </c>
      <c r="E7217" s="16">
        <v>23.46</v>
      </c>
      <c r="F7217" s="1">
        <v>44770</v>
      </c>
      <c r="G7217" t="s">
        <v>2004</v>
      </c>
      <c r="H7217">
        <v>4</v>
      </c>
      <c r="I7217" s="12">
        <f>Table16[[#This Row],[price]]*Table16[[#This Row],[quantity]]</f>
        <v>46.92</v>
      </c>
    </row>
    <row r="7218" spans="1:9" x14ac:dyDescent="0.3">
      <c r="A7218" t="s">
        <v>9234</v>
      </c>
      <c r="B7218" t="s">
        <v>1437</v>
      </c>
      <c r="C7218" t="s">
        <v>2001</v>
      </c>
      <c r="D7218">
        <v>4</v>
      </c>
      <c r="E7218" s="16">
        <v>1200.32</v>
      </c>
      <c r="F7218" s="1">
        <v>44303</v>
      </c>
      <c r="G7218" t="s">
        <v>2020</v>
      </c>
      <c r="H7218">
        <v>3</v>
      </c>
      <c r="I7218" s="12">
        <f>Table16[[#This Row],[price]]*Table16[[#This Row],[quantity]]</f>
        <v>4801.28</v>
      </c>
    </row>
    <row r="7219" spans="1:9" x14ac:dyDescent="0.3">
      <c r="A7219" t="s">
        <v>9235</v>
      </c>
      <c r="B7219" t="s">
        <v>1437</v>
      </c>
      <c r="C7219" t="s">
        <v>2008</v>
      </c>
      <c r="D7219">
        <v>3</v>
      </c>
      <c r="E7219" s="16">
        <v>15.69</v>
      </c>
      <c r="F7219" s="1">
        <v>44729</v>
      </c>
      <c r="G7219" t="s">
        <v>2004</v>
      </c>
      <c r="H7219">
        <v>5</v>
      </c>
      <c r="I7219" s="12">
        <f>Table16[[#This Row],[price]]*Table16[[#This Row],[quantity]]</f>
        <v>47.07</v>
      </c>
    </row>
    <row r="7220" spans="1:9" x14ac:dyDescent="0.3">
      <c r="A7220" t="s">
        <v>9237</v>
      </c>
      <c r="B7220" t="s">
        <v>1437</v>
      </c>
      <c r="C7220" t="s">
        <v>2001</v>
      </c>
      <c r="D7220">
        <v>5</v>
      </c>
      <c r="E7220" s="16">
        <v>1500.4</v>
      </c>
      <c r="F7220" s="1">
        <v>44866</v>
      </c>
      <c r="G7220" t="s">
        <v>2002</v>
      </c>
      <c r="H7220">
        <v>3</v>
      </c>
      <c r="I7220" s="12">
        <f>Table16[[#This Row],[price]]*Table16[[#This Row],[quantity]]</f>
        <v>7502</v>
      </c>
    </row>
    <row r="7221" spans="1:9" x14ac:dyDescent="0.3">
      <c r="A7221" t="s">
        <v>9236</v>
      </c>
      <c r="B7221" t="s">
        <v>1437</v>
      </c>
      <c r="C7221" t="s">
        <v>2015</v>
      </c>
      <c r="D7221">
        <v>4</v>
      </c>
      <c r="E7221" s="16">
        <v>2400.6799999999998</v>
      </c>
      <c r="F7221" s="1">
        <v>44980</v>
      </c>
      <c r="G7221" t="s">
        <v>2002</v>
      </c>
      <c r="H7221">
        <v>3</v>
      </c>
      <c r="I7221" s="12">
        <f>Table16[[#This Row],[price]]*Table16[[#This Row],[quantity]]</f>
        <v>9602.7199999999993</v>
      </c>
    </row>
    <row r="7222" spans="1:9" x14ac:dyDescent="0.3">
      <c r="A7222" t="s">
        <v>9240</v>
      </c>
      <c r="B7222" t="s">
        <v>1438</v>
      </c>
      <c r="C7222" t="s">
        <v>2001</v>
      </c>
      <c r="D7222">
        <v>4</v>
      </c>
      <c r="E7222" s="16">
        <v>1200.32</v>
      </c>
      <c r="F7222" s="1">
        <v>44397</v>
      </c>
      <c r="G7222" t="s">
        <v>2004</v>
      </c>
      <c r="H7222">
        <v>4</v>
      </c>
      <c r="I7222" s="12">
        <f>Table16[[#This Row],[price]]*Table16[[#This Row],[quantity]]</f>
        <v>4801.28</v>
      </c>
    </row>
    <row r="7223" spans="1:9" x14ac:dyDescent="0.3">
      <c r="A7223" t="s">
        <v>9239</v>
      </c>
      <c r="B7223" t="s">
        <v>1438</v>
      </c>
      <c r="C7223" t="s">
        <v>2008</v>
      </c>
      <c r="D7223">
        <v>5</v>
      </c>
      <c r="E7223" s="16">
        <v>26.15</v>
      </c>
      <c r="F7223" s="1">
        <v>44406</v>
      </c>
      <c r="G7223" t="s">
        <v>2004</v>
      </c>
      <c r="H7223">
        <v>1</v>
      </c>
      <c r="I7223" s="12">
        <f>Table16[[#This Row],[price]]*Table16[[#This Row],[quantity]]</f>
        <v>130.75</v>
      </c>
    </row>
    <row r="7224" spans="1:9" x14ac:dyDescent="0.3">
      <c r="A7224" t="s">
        <v>9241</v>
      </c>
      <c r="B7224" t="s">
        <v>1438</v>
      </c>
      <c r="C7224" t="s">
        <v>2008</v>
      </c>
      <c r="D7224">
        <v>1</v>
      </c>
      <c r="E7224" s="16">
        <v>5.23</v>
      </c>
      <c r="F7224" s="1">
        <v>44435</v>
      </c>
      <c r="G7224" t="s">
        <v>2004</v>
      </c>
      <c r="H7224">
        <v>5</v>
      </c>
      <c r="I7224" s="12">
        <f>Table16[[#This Row],[price]]*Table16[[#This Row],[quantity]]</f>
        <v>5.23</v>
      </c>
    </row>
    <row r="7225" spans="1:9" x14ac:dyDescent="0.3">
      <c r="A7225" t="s">
        <v>9238</v>
      </c>
      <c r="B7225" t="s">
        <v>1438</v>
      </c>
      <c r="C7225" t="s">
        <v>2057</v>
      </c>
      <c r="D7225">
        <v>5</v>
      </c>
      <c r="E7225" s="16">
        <v>58.65</v>
      </c>
      <c r="F7225" s="1">
        <v>44547</v>
      </c>
      <c r="G7225" t="s">
        <v>2058</v>
      </c>
      <c r="H7225">
        <v>4</v>
      </c>
      <c r="I7225" s="12">
        <f>Table16[[#This Row],[price]]*Table16[[#This Row],[quantity]]</f>
        <v>293.25</v>
      </c>
    </row>
    <row r="7226" spans="1:9" x14ac:dyDescent="0.3">
      <c r="A7226" t="s">
        <v>9242</v>
      </c>
      <c r="B7226" t="s">
        <v>1438</v>
      </c>
      <c r="C7226" t="s">
        <v>2001</v>
      </c>
      <c r="D7226">
        <v>1</v>
      </c>
      <c r="E7226" s="16">
        <v>300.08</v>
      </c>
      <c r="F7226" s="1">
        <v>44954</v>
      </c>
      <c r="G7226" t="s">
        <v>2002</v>
      </c>
      <c r="H7226">
        <v>3</v>
      </c>
      <c r="I7226" s="12">
        <f>Table16[[#This Row],[price]]*Table16[[#This Row],[quantity]]</f>
        <v>300.08</v>
      </c>
    </row>
    <row r="7227" spans="1:9" x14ac:dyDescent="0.3">
      <c r="A7227" t="s">
        <v>9246</v>
      </c>
      <c r="B7227" t="s">
        <v>1439</v>
      </c>
      <c r="C7227" t="s">
        <v>2015</v>
      </c>
      <c r="D7227">
        <v>3</v>
      </c>
      <c r="E7227" s="16">
        <v>1800.51</v>
      </c>
      <c r="F7227" s="1">
        <v>44201</v>
      </c>
      <c r="G7227" t="s">
        <v>2064</v>
      </c>
      <c r="H7227">
        <v>1</v>
      </c>
      <c r="I7227" s="12">
        <f>Table16[[#This Row],[price]]*Table16[[#This Row],[quantity]]</f>
        <v>5401.53</v>
      </c>
    </row>
    <row r="7228" spans="1:9" x14ac:dyDescent="0.3">
      <c r="A7228" t="s">
        <v>9244</v>
      </c>
      <c r="B7228" t="s">
        <v>1439</v>
      </c>
      <c r="C7228" t="s">
        <v>2024</v>
      </c>
      <c r="D7228">
        <v>3</v>
      </c>
      <c r="E7228" s="16">
        <v>107.52</v>
      </c>
      <c r="F7228" s="1">
        <v>44413</v>
      </c>
      <c r="G7228" t="s">
        <v>2002</v>
      </c>
      <c r="H7228">
        <v>4</v>
      </c>
      <c r="I7228" s="12">
        <f>Table16[[#This Row],[price]]*Table16[[#This Row],[quantity]]</f>
        <v>322.56</v>
      </c>
    </row>
    <row r="7229" spans="1:9" x14ac:dyDescent="0.3">
      <c r="A7229" t="s">
        <v>9243</v>
      </c>
      <c r="B7229" t="s">
        <v>1439</v>
      </c>
      <c r="C7229" t="s">
        <v>2015</v>
      </c>
      <c r="D7229">
        <v>5</v>
      </c>
      <c r="E7229" s="16">
        <v>3000.85</v>
      </c>
      <c r="F7229" s="1">
        <v>44552</v>
      </c>
      <c r="G7229" t="s">
        <v>2027</v>
      </c>
      <c r="H7229">
        <v>1</v>
      </c>
      <c r="I7229" s="12">
        <f>Table16[[#This Row],[price]]*Table16[[#This Row],[quantity]]</f>
        <v>15004.25</v>
      </c>
    </row>
    <row r="7230" spans="1:9" x14ac:dyDescent="0.3">
      <c r="A7230" t="s">
        <v>9245</v>
      </c>
      <c r="B7230" t="s">
        <v>1439</v>
      </c>
      <c r="C7230" t="s">
        <v>2008</v>
      </c>
      <c r="D7230">
        <v>4</v>
      </c>
      <c r="E7230" s="16">
        <v>20.92</v>
      </c>
      <c r="F7230" s="1">
        <v>44566</v>
      </c>
      <c r="G7230" t="s">
        <v>2020</v>
      </c>
      <c r="H7230">
        <v>1</v>
      </c>
      <c r="I7230" s="12">
        <f>Table16[[#This Row],[price]]*Table16[[#This Row],[quantity]]</f>
        <v>83.68</v>
      </c>
    </row>
    <row r="7231" spans="1:9" x14ac:dyDescent="0.3">
      <c r="A7231" t="s">
        <v>9248</v>
      </c>
      <c r="B7231" t="s">
        <v>1440</v>
      </c>
      <c r="C7231" t="s">
        <v>2057</v>
      </c>
      <c r="D7231">
        <v>2</v>
      </c>
      <c r="E7231" s="16">
        <v>23.46</v>
      </c>
      <c r="F7231" s="1">
        <v>44279</v>
      </c>
      <c r="G7231" t="s">
        <v>2020</v>
      </c>
      <c r="H7231">
        <v>3</v>
      </c>
      <c r="I7231" s="12">
        <f>Table16[[#This Row],[price]]*Table16[[#This Row],[quantity]]</f>
        <v>46.92</v>
      </c>
    </row>
    <row r="7232" spans="1:9" x14ac:dyDescent="0.3">
      <c r="A7232" t="s">
        <v>9249</v>
      </c>
      <c r="B7232" t="s">
        <v>1440</v>
      </c>
      <c r="C7232" t="s">
        <v>2001</v>
      </c>
      <c r="D7232">
        <v>4</v>
      </c>
      <c r="E7232" s="16">
        <v>1200.32</v>
      </c>
      <c r="F7232" s="1">
        <v>44471</v>
      </c>
      <c r="G7232" t="s">
        <v>2041</v>
      </c>
      <c r="H7232">
        <v>1</v>
      </c>
      <c r="I7232" s="12">
        <f>Table16[[#This Row],[price]]*Table16[[#This Row],[quantity]]</f>
        <v>4801.28</v>
      </c>
    </row>
    <row r="7233" spans="1:9" x14ac:dyDescent="0.3">
      <c r="A7233" t="s">
        <v>9247</v>
      </c>
      <c r="B7233" t="s">
        <v>1440</v>
      </c>
      <c r="C7233" t="s">
        <v>2001</v>
      </c>
      <c r="D7233">
        <v>3</v>
      </c>
      <c r="E7233" s="16">
        <v>900.24</v>
      </c>
      <c r="F7233" s="1">
        <v>44774</v>
      </c>
      <c r="G7233" t="s">
        <v>2004</v>
      </c>
      <c r="H7233">
        <v>3</v>
      </c>
      <c r="I7233" s="12">
        <f>Table16[[#This Row],[price]]*Table16[[#This Row],[quantity]]</f>
        <v>2700.7200000000003</v>
      </c>
    </row>
    <row r="7234" spans="1:9" x14ac:dyDescent="0.3">
      <c r="A7234" t="s">
        <v>9250</v>
      </c>
      <c r="B7234" t="s">
        <v>1441</v>
      </c>
      <c r="C7234" t="s">
        <v>2001</v>
      </c>
      <c r="D7234">
        <v>3</v>
      </c>
      <c r="E7234" s="16">
        <v>900.24</v>
      </c>
      <c r="F7234" s="1">
        <v>44229</v>
      </c>
      <c r="G7234" t="s">
        <v>2064</v>
      </c>
      <c r="H7234">
        <v>2</v>
      </c>
      <c r="I7234" s="12">
        <f>Table16[[#This Row],[price]]*Table16[[#This Row],[quantity]]</f>
        <v>2700.7200000000003</v>
      </c>
    </row>
    <row r="7235" spans="1:9" x14ac:dyDescent="0.3">
      <c r="A7235" t="s">
        <v>9251</v>
      </c>
      <c r="B7235" t="s">
        <v>1441</v>
      </c>
      <c r="C7235" t="s">
        <v>2008</v>
      </c>
      <c r="D7235">
        <v>1</v>
      </c>
      <c r="E7235" s="16">
        <v>5.23</v>
      </c>
      <c r="F7235" s="1">
        <v>44728</v>
      </c>
      <c r="G7235" t="s">
        <v>2020</v>
      </c>
      <c r="H7235">
        <v>4</v>
      </c>
      <c r="I7235" s="12">
        <f>Table16[[#This Row],[price]]*Table16[[#This Row],[quantity]]</f>
        <v>5.23</v>
      </c>
    </row>
    <row r="7236" spans="1:9" x14ac:dyDescent="0.3">
      <c r="A7236" t="s">
        <v>9253</v>
      </c>
      <c r="B7236" t="s">
        <v>1441</v>
      </c>
      <c r="C7236" t="s">
        <v>2017</v>
      </c>
      <c r="D7236">
        <v>2</v>
      </c>
      <c r="E7236" s="16">
        <v>2100</v>
      </c>
      <c r="F7236" s="1">
        <v>44803</v>
      </c>
      <c r="G7236" t="s">
        <v>2027</v>
      </c>
      <c r="H7236">
        <v>4</v>
      </c>
      <c r="I7236" s="12">
        <f>Table16[[#This Row],[price]]*Table16[[#This Row],[quantity]]</f>
        <v>4200</v>
      </c>
    </row>
    <row r="7237" spans="1:9" x14ac:dyDescent="0.3">
      <c r="A7237" t="s">
        <v>9254</v>
      </c>
      <c r="B7237" t="s">
        <v>1441</v>
      </c>
      <c r="C7237" t="s">
        <v>2011</v>
      </c>
      <c r="D7237">
        <v>2</v>
      </c>
      <c r="E7237" s="16">
        <v>81.319999999999993</v>
      </c>
      <c r="F7237" s="1">
        <v>44926</v>
      </c>
      <c r="G7237" t="s">
        <v>2058</v>
      </c>
      <c r="H7237">
        <v>5</v>
      </c>
      <c r="I7237" s="12">
        <f>Table16[[#This Row],[price]]*Table16[[#This Row],[quantity]]</f>
        <v>162.63999999999999</v>
      </c>
    </row>
    <row r="7238" spans="1:9" x14ac:dyDescent="0.3">
      <c r="A7238" t="s">
        <v>9252</v>
      </c>
      <c r="B7238" t="s">
        <v>1441</v>
      </c>
      <c r="C7238" t="s">
        <v>2011</v>
      </c>
      <c r="D7238">
        <v>5</v>
      </c>
      <c r="E7238" s="16">
        <v>203.3</v>
      </c>
      <c r="F7238" s="1">
        <v>44986</v>
      </c>
      <c r="G7238" t="s">
        <v>2018</v>
      </c>
      <c r="H7238">
        <v>5</v>
      </c>
      <c r="I7238" s="12">
        <f>Table16[[#This Row],[price]]*Table16[[#This Row],[quantity]]</f>
        <v>1016.5</v>
      </c>
    </row>
    <row r="7239" spans="1:9" x14ac:dyDescent="0.3">
      <c r="A7239" t="s">
        <v>9257</v>
      </c>
      <c r="B7239" t="s">
        <v>1442</v>
      </c>
      <c r="C7239" t="s">
        <v>2057</v>
      </c>
      <c r="D7239">
        <v>3</v>
      </c>
      <c r="E7239" s="16">
        <v>35.19</v>
      </c>
      <c r="F7239" s="1">
        <v>44415</v>
      </c>
      <c r="G7239" t="s">
        <v>2041</v>
      </c>
      <c r="H7239">
        <v>3</v>
      </c>
      <c r="I7239" s="12">
        <f>Table16[[#This Row],[price]]*Table16[[#This Row],[quantity]]</f>
        <v>105.57</v>
      </c>
    </row>
    <row r="7240" spans="1:9" x14ac:dyDescent="0.3">
      <c r="A7240" t="s">
        <v>9255</v>
      </c>
      <c r="B7240" t="s">
        <v>1442</v>
      </c>
      <c r="C7240" t="s">
        <v>2024</v>
      </c>
      <c r="D7240">
        <v>2</v>
      </c>
      <c r="E7240" s="16">
        <v>71.680000000000007</v>
      </c>
      <c r="F7240" s="1">
        <v>44485</v>
      </c>
      <c r="G7240" t="s">
        <v>2027</v>
      </c>
      <c r="H7240">
        <v>5</v>
      </c>
      <c r="I7240" s="12">
        <f>Table16[[#This Row],[price]]*Table16[[#This Row],[quantity]]</f>
        <v>143.36000000000001</v>
      </c>
    </row>
    <row r="7241" spans="1:9" x14ac:dyDescent="0.3">
      <c r="A7241" t="s">
        <v>9259</v>
      </c>
      <c r="B7241" t="s">
        <v>1442</v>
      </c>
      <c r="C7241" t="s">
        <v>2015</v>
      </c>
      <c r="D7241">
        <v>5</v>
      </c>
      <c r="E7241" s="16">
        <v>3000.85</v>
      </c>
      <c r="F7241" s="1">
        <v>44512</v>
      </c>
      <c r="G7241" t="s">
        <v>2009</v>
      </c>
      <c r="H7241">
        <v>4</v>
      </c>
      <c r="I7241" s="12">
        <f>Table16[[#This Row],[price]]*Table16[[#This Row],[quantity]]</f>
        <v>15004.25</v>
      </c>
    </row>
    <row r="7242" spans="1:9" x14ac:dyDescent="0.3">
      <c r="A7242" t="s">
        <v>9256</v>
      </c>
      <c r="B7242" t="s">
        <v>1442</v>
      </c>
      <c r="C7242" t="s">
        <v>2008</v>
      </c>
      <c r="D7242">
        <v>4</v>
      </c>
      <c r="E7242" s="16">
        <v>20.92</v>
      </c>
      <c r="F7242" s="1">
        <v>44651</v>
      </c>
      <c r="G7242" t="s">
        <v>2004</v>
      </c>
      <c r="H7242">
        <v>2</v>
      </c>
      <c r="I7242" s="12">
        <f>Table16[[#This Row],[price]]*Table16[[#This Row],[quantity]]</f>
        <v>83.68</v>
      </c>
    </row>
    <row r="7243" spans="1:9" x14ac:dyDescent="0.3">
      <c r="A7243" t="s">
        <v>9258</v>
      </c>
      <c r="B7243" t="s">
        <v>1442</v>
      </c>
      <c r="C7243" t="s">
        <v>2015</v>
      </c>
      <c r="D7243">
        <v>5</v>
      </c>
      <c r="E7243" s="16">
        <v>3000.85</v>
      </c>
      <c r="F7243" s="1">
        <v>44829</v>
      </c>
      <c r="G7243" t="s">
        <v>2002</v>
      </c>
      <c r="H7243">
        <v>5</v>
      </c>
      <c r="I7243" s="12">
        <f>Table16[[#This Row],[price]]*Table16[[#This Row],[quantity]]</f>
        <v>15004.25</v>
      </c>
    </row>
    <row r="7244" spans="1:9" x14ac:dyDescent="0.3">
      <c r="A7244" t="s">
        <v>9263</v>
      </c>
      <c r="B7244" t="s">
        <v>1443</v>
      </c>
      <c r="C7244" t="s">
        <v>2015</v>
      </c>
      <c r="D7244">
        <v>3</v>
      </c>
      <c r="E7244" s="16">
        <v>1800.51</v>
      </c>
      <c r="F7244" s="1">
        <v>44537</v>
      </c>
      <c r="G7244" t="s">
        <v>2002</v>
      </c>
      <c r="H7244">
        <v>3</v>
      </c>
      <c r="I7244" s="12">
        <f>Table16[[#This Row],[price]]*Table16[[#This Row],[quantity]]</f>
        <v>5401.53</v>
      </c>
    </row>
    <row r="7245" spans="1:9" x14ac:dyDescent="0.3">
      <c r="A7245" t="s">
        <v>9260</v>
      </c>
      <c r="B7245" t="s">
        <v>1443</v>
      </c>
      <c r="C7245" t="s">
        <v>2006</v>
      </c>
      <c r="D7245">
        <v>5</v>
      </c>
      <c r="E7245" s="16">
        <v>75.75</v>
      </c>
      <c r="F7245" s="1">
        <v>44877</v>
      </c>
      <c r="G7245" t="s">
        <v>2002</v>
      </c>
      <c r="H7245">
        <v>2</v>
      </c>
      <c r="I7245" s="12">
        <f>Table16[[#This Row],[price]]*Table16[[#This Row],[quantity]]</f>
        <v>378.75</v>
      </c>
    </row>
    <row r="7246" spans="1:9" x14ac:dyDescent="0.3">
      <c r="A7246" t="s">
        <v>9264</v>
      </c>
      <c r="B7246" t="s">
        <v>1443</v>
      </c>
      <c r="C7246" t="s">
        <v>2001</v>
      </c>
      <c r="D7246">
        <v>4</v>
      </c>
      <c r="E7246" s="16">
        <v>1200.32</v>
      </c>
      <c r="F7246" s="1">
        <v>44950</v>
      </c>
      <c r="G7246" t="s">
        <v>2004</v>
      </c>
      <c r="H7246">
        <v>3</v>
      </c>
      <c r="I7246" s="12">
        <f>Table16[[#This Row],[price]]*Table16[[#This Row],[quantity]]</f>
        <v>4801.28</v>
      </c>
    </row>
    <row r="7247" spans="1:9" x14ac:dyDescent="0.3">
      <c r="A7247" t="s">
        <v>9262</v>
      </c>
      <c r="B7247" t="s">
        <v>1443</v>
      </c>
      <c r="C7247" t="s">
        <v>2024</v>
      </c>
      <c r="D7247">
        <v>3</v>
      </c>
      <c r="E7247" s="16">
        <v>107.52</v>
      </c>
      <c r="F7247" s="1">
        <v>44960</v>
      </c>
      <c r="G7247" t="s">
        <v>2004</v>
      </c>
      <c r="H7247">
        <v>1</v>
      </c>
      <c r="I7247" s="12">
        <f>Table16[[#This Row],[price]]*Table16[[#This Row],[quantity]]</f>
        <v>322.56</v>
      </c>
    </row>
    <row r="7248" spans="1:9" x14ac:dyDescent="0.3">
      <c r="A7248" t="s">
        <v>9261</v>
      </c>
      <c r="B7248" t="s">
        <v>1443</v>
      </c>
      <c r="C7248" t="s">
        <v>2015</v>
      </c>
      <c r="D7248">
        <v>1</v>
      </c>
      <c r="E7248" s="16">
        <v>600.16999999999996</v>
      </c>
      <c r="F7248" s="1">
        <v>44989</v>
      </c>
      <c r="G7248" t="s">
        <v>2020</v>
      </c>
      <c r="H7248">
        <v>1</v>
      </c>
      <c r="I7248" s="12">
        <f>Table16[[#This Row],[price]]*Table16[[#This Row],[quantity]]</f>
        <v>600.16999999999996</v>
      </c>
    </row>
    <row r="7249" spans="1:9" x14ac:dyDescent="0.3">
      <c r="A7249" t="s">
        <v>9271</v>
      </c>
      <c r="B7249" t="s">
        <v>1444</v>
      </c>
      <c r="C7249" t="s">
        <v>2001</v>
      </c>
      <c r="D7249">
        <v>5</v>
      </c>
      <c r="E7249" s="16">
        <v>1500.4</v>
      </c>
      <c r="F7249" s="1">
        <v>44271</v>
      </c>
      <c r="G7249" t="s">
        <v>2002</v>
      </c>
      <c r="H7249">
        <v>1</v>
      </c>
      <c r="I7249" s="12">
        <f>Table16[[#This Row],[price]]*Table16[[#This Row],[quantity]]</f>
        <v>7502</v>
      </c>
    </row>
    <row r="7250" spans="1:9" x14ac:dyDescent="0.3">
      <c r="A7250" t="s">
        <v>9269</v>
      </c>
      <c r="B7250" t="s">
        <v>1444</v>
      </c>
      <c r="C7250" t="s">
        <v>2008</v>
      </c>
      <c r="D7250">
        <v>4</v>
      </c>
      <c r="E7250" s="16">
        <v>20.92</v>
      </c>
      <c r="F7250" s="1">
        <v>44282</v>
      </c>
      <c r="G7250" t="s">
        <v>2002</v>
      </c>
      <c r="H7250">
        <v>5</v>
      </c>
      <c r="I7250" s="12">
        <f>Table16[[#This Row],[price]]*Table16[[#This Row],[quantity]]</f>
        <v>83.68</v>
      </c>
    </row>
    <row r="7251" spans="1:9" x14ac:dyDescent="0.3">
      <c r="A7251" t="s">
        <v>9265</v>
      </c>
      <c r="B7251" t="s">
        <v>1444</v>
      </c>
      <c r="C7251" t="s">
        <v>2001</v>
      </c>
      <c r="D7251">
        <v>2</v>
      </c>
      <c r="E7251" s="16">
        <v>600.16</v>
      </c>
      <c r="F7251" s="1">
        <v>44463</v>
      </c>
      <c r="G7251" t="s">
        <v>2009</v>
      </c>
      <c r="H7251">
        <v>1</v>
      </c>
      <c r="I7251" s="12">
        <f>Table16[[#This Row],[price]]*Table16[[#This Row],[quantity]]</f>
        <v>1200.32</v>
      </c>
    </row>
    <row r="7252" spans="1:9" x14ac:dyDescent="0.3">
      <c r="A7252" t="s">
        <v>9266</v>
      </c>
      <c r="B7252" t="s">
        <v>1444</v>
      </c>
      <c r="C7252" t="s">
        <v>2001</v>
      </c>
      <c r="D7252">
        <v>4</v>
      </c>
      <c r="E7252" s="16">
        <v>1200.32</v>
      </c>
      <c r="F7252" s="1">
        <v>44502</v>
      </c>
      <c r="G7252" t="s">
        <v>2004</v>
      </c>
      <c r="H7252">
        <v>1</v>
      </c>
      <c r="I7252" s="12">
        <f>Table16[[#This Row],[price]]*Table16[[#This Row],[quantity]]</f>
        <v>4801.28</v>
      </c>
    </row>
    <row r="7253" spans="1:9" x14ac:dyDescent="0.3">
      <c r="A7253" t="s">
        <v>9270</v>
      </c>
      <c r="B7253" t="s">
        <v>1444</v>
      </c>
      <c r="C7253" t="s">
        <v>2001</v>
      </c>
      <c r="D7253">
        <v>5</v>
      </c>
      <c r="E7253" s="16">
        <v>1500.4</v>
      </c>
      <c r="F7253" s="1">
        <v>44510</v>
      </c>
      <c r="G7253" t="s">
        <v>2064</v>
      </c>
      <c r="H7253">
        <v>1</v>
      </c>
      <c r="I7253" s="12">
        <f>Table16[[#This Row],[price]]*Table16[[#This Row],[quantity]]</f>
        <v>7502</v>
      </c>
    </row>
    <row r="7254" spans="1:9" x14ac:dyDescent="0.3">
      <c r="A7254" t="s">
        <v>9268</v>
      </c>
      <c r="B7254" t="s">
        <v>1444</v>
      </c>
      <c r="C7254" t="s">
        <v>2011</v>
      </c>
      <c r="D7254">
        <v>3</v>
      </c>
      <c r="E7254" s="16">
        <v>121.98</v>
      </c>
      <c r="F7254" s="1">
        <v>44670</v>
      </c>
      <c r="G7254" t="s">
        <v>2004</v>
      </c>
      <c r="H7254">
        <v>2</v>
      </c>
      <c r="I7254" s="12">
        <f>Table16[[#This Row],[price]]*Table16[[#This Row],[quantity]]</f>
        <v>365.94</v>
      </c>
    </row>
    <row r="7255" spans="1:9" x14ac:dyDescent="0.3">
      <c r="A7255" t="s">
        <v>9267</v>
      </c>
      <c r="B7255" t="s">
        <v>1444</v>
      </c>
      <c r="C7255" t="s">
        <v>2006</v>
      </c>
      <c r="D7255">
        <v>2</v>
      </c>
      <c r="E7255" s="16">
        <v>30.3</v>
      </c>
      <c r="F7255" s="1">
        <v>44839</v>
      </c>
      <c r="G7255" t="s">
        <v>2012</v>
      </c>
      <c r="H7255">
        <v>2</v>
      </c>
      <c r="I7255" s="12">
        <f>Table16[[#This Row],[price]]*Table16[[#This Row],[quantity]]</f>
        <v>60.6</v>
      </c>
    </row>
    <row r="7256" spans="1:9" x14ac:dyDescent="0.3">
      <c r="A7256" t="s">
        <v>9274</v>
      </c>
      <c r="B7256" t="s">
        <v>1445</v>
      </c>
      <c r="C7256" t="s">
        <v>2008</v>
      </c>
      <c r="D7256">
        <v>4</v>
      </c>
      <c r="E7256" s="16">
        <v>20.92</v>
      </c>
      <c r="F7256" s="1">
        <v>44422</v>
      </c>
      <c r="G7256" t="s">
        <v>2002</v>
      </c>
      <c r="H7256">
        <v>5</v>
      </c>
      <c r="I7256" s="12">
        <f>Table16[[#This Row],[price]]*Table16[[#This Row],[quantity]]</f>
        <v>83.68</v>
      </c>
    </row>
    <row r="7257" spans="1:9" x14ac:dyDescent="0.3">
      <c r="A7257" t="s">
        <v>9273</v>
      </c>
      <c r="B7257" t="s">
        <v>1445</v>
      </c>
      <c r="C7257" t="s">
        <v>2008</v>
      </c>
      <c r="D7257">
        <v>1</v>
      </c>
      <c r="E7257" s="16">
        <v>5.23</v>
      </c>
      <c r="F7257" s="1">
        <v>44852</v>
      </c>
      <c r="G7257" t="s">
        <v>2002</v>
      </c>
      <c r="H7257">
        <v>2</v>
      </c>
      <c r="I7257" s="12">
        <f>Table16[[#This Row],[price]]*Table16[[#This Row],[quantity]]</f>
        <v>5.23</v>
      </c>
    </row>
    <row r="7258" spans="1:9" x14ac:dyDescent="0.3">
      <c r="A7258" t="s">
        <v>9272</v>
      </c>
      <c r="B7258" t="s">
        <v>1445</v>
      </c>
      <c r="C7258" t="s">
        <v>2001</v>
      </c>
      <c r="D7258">
        <v>4</v>
      </c>
      <c r="E7258" s="16">
        <v>1200.32</v>
      </c>
      <c r="F7258" s="1">
        <v>44975</v>
      </c>
      <c r="G7258" t="s">
        <v>2064</v>
      </c>
      <c r="H7258">
        <v>3</v>
      </c>
      <c r="I7258" s="12">
        <f>Table16[[#This Row],[price]]*Table16[[#This Row],[quantity]]</f>
        <v>4801.28</v>
      </c>
    </row>
    <row r="7259" spans="1:9" x14ac:dyDescent="0.3">
      <c r="A7259" t="s">
        <v>9278</v>
      </c>
      <c r="B7259" t="s">
        <v>1446</v>
      </c>
      <c r="C7259" t="s">
        <v>2001</v>
      </c>
      <c r="D7259">
        <v>3</v>
      </c>
      <c r="E7259" s="16">
        <v>900.24</v>
      </c>
      <c r="F7259" s="1">
        <v>44252</v>
      </c>
      <c r="G7259" t="s">
        <v>2064</v>
      </c>
      <c r="H7259">
        <v>1</v>
      </c>
      <c r="I7259" s="12">
        <f>Table16[[#This Row],[price]]*Table16[[#This Row],[quantity]]</f>
        <v>2700.7200000000003</v>
      </c>
    </row>
    <row r="7260" spans="1:9" x14ac:dyDescent="0.3">
      <c r="A7260" t="s">
        <v>9277</v>
      </c>
      <c r="B7260" t="s">
        <v>1446</v>
      </c>
      <c r="C7260" t="s">
        <v>2011</v>
      </c>
      <c r="D7260">
        <v>4</v>
      </c>
      <c r="E7260" s="16">
        <v>162.63999999999999</v>
      </c>
      <c r="F7260" s="1">
        <v>44385</v>
      </c>
      <c r="G7260" t="s">
        <v>2002</v>
      </c>
      <c r="H7260">
        <v>5</v>
      </c>
      <c r="I7260" s="12">
        <f>Table16[[#This Row],[price]]*Table16[[#This Row],[quantity]]</f>
        <v>650.55999999999995</v>
      </c>
    </row>
    <row r="7261" spans="1:9" x14ac:dyDescent="0.3">
      <c r="A7261" t="s">
        <v>9279</v>
      </c>
      <c r="B7261" t="s">
        <v>1446</v>
      </c>
      <c r="C7261" t="s">
        <v>2001</v>
      </c>
      <c r="D7261">
        <v>5</v>
      </c>
      <c r="E7261" s="16">
        <v>1500.4</v>
      </c>
      <c r="F7261" s="1">
        <v>44402</v>
      </c>
      <c r="G7261" t="s">
        <v>2002</v>
      </c>
      <c r="H7261">
        <v>3</v>
      </c>
      <c r="I7261" s="12">
        <f>Table16[[#This Row],[price]]*Table16[[#This Row],[quantity]]</f>
        <v>7502</v>
      </c>
    </row>
    <row r="7262" spans="1:9" x14ac:dyDescent="0.3">
      <c r="A7262" t="s">
        <v>9275</v>
      </c>
      <c r="B7262" t="s">
        <v>1446</v>
      </c>
      <c r="C7262" t="s">
        <v>2015</v>
      </c>
      <c r="D7262">
        <v>3</v>
      </c>
      <c r="E7262" s="16">
        <v>1800.51</v>
      </c>
      <c r="F7262" s="1">
        <v>44757</v>
      </c>
      <c r="G7262" t="s">
        <v>2004</v>
      </c>
      <c r="H7262">
        <v>2</v>
      </c>
      <c r="I7262" s="12">
        <f>Table16[[#This Row],[price]]*Table16[[#This Row],[quantity]]</f>
        <v>5401.53</v>
      </c>
    </row>
    <row r="7263" spans="1:9" x14ac:dyDescent="0.3">
      <c r="A7263" t="s">
        <v>9276</v>
      </c>
      <c r="B7263" t="s">
        <v>1446</v>
      </c>
      <c r="C7263" t="s">
        <v>2001</v>
      </c>
      <c r="D7263">
        <v>2</v>
      </c>
      <c r="E7263" s="16">
        <v>600.16</v>
      </c>
      <c r="F7263" s="1">
        <v>44787</v>
      </c>
      <c r="G7263" t="s">
        <v>2002</v>
      </c>
      <c r="H7263">
        <v>2</v>
      </c>
      <c r="I7263" s="12">
        <f>Table16[[#This Row],[price]]*Table16[[#This Row],[quantity]]</f>
        <v>1200.32</v>
      </c>
    </row>
    <row r="7264" spans="1:9" x14ac:dyDescent="0.3">
      <c r="A7264" t="s">
        <v>9284</v>
      </c>
      <c r="B7264" t="s">
        <v>1447</v>
      </c>
      <c r="C7264" t="s">
        <v>2008</v>
      </c>
      <c r="D7264">
        <v>5</v>
      </c>
      <c r="E7264" s="16">
        <v>26.15</v>
      </c>
      <c r="F7264" s="1">
        <v>44464</v>
      </c>
      <c r="G7264" t="s">
        <v>2018</v>
      </c>
      <c r="H7264">
        <v>3</v>
      </c>
      <c r="I7264" s="12">
        <f>Table16[[#This Row],[price]]*Table16[[#This Row],[quantity]]</f>
        <v>130.75</v>
      </c>
    </row>
    <row r="7265" spans="1:9" x14ac:dyDescent="0.3">
      <c r="A7265" t="s">
        <v>9282</v>
      </c>
      <c r="B7265" t="s">
        <v>1447</v>
      </c>
      <c r="C7265" t="s">
        <v>2001</v>
      </c>
      <c r="D7265">
        <v>2</v>
      </c>
      <c r="E7265" s="16">
        <v>600.16</v>
      </c>
      <c r="F7265" s="1">
        <v>44487</v>
      </c>
      <c r="G7265" t="s">
        <v>2027</v>
      </c>
      <c r="H7265">
        <v>1</v>
      </c>
      <c r="I7265" s="12">
        <f>Table16[[#This Row],[price]]*Table16[[#This Row],[quantity]]</f>
        <v>1200.32</v>
      </c>
    </row>
    <row r="7266" spans="1:9" x14ac:dyDescent="0.3">
      <c r="A7266" t="s">
        <v>9281</v>
      </c>
      <c r="B7266" t="s">
        <v>1447</v>
      </c>
      <c r="C7266" t="s">
        <v>2017</v>
      </c>
      <c r="D7266">
        <v>5</v>
      </c>
      <c r="E7266" s="16">
        <v>5250</v>
      </c>
      <c r="F7266" s="1">
        <v>44623</v>
      </c>
      <c r="G7266" t="s">
        <v>2009</v>
      </c>
      <c r="H7266">
        <v>4</v>
      </c>
      <c r="I7266" s="12">
        <f>Table16[[#This Row],[price]]*Table16[[#This Row],[quantity]]</f>
        <v>26250</v>
      </c>
    </row>
    <row r="7267" spans="1:9" x14ac:dyDescent="0.3">
      <c r="A7267" t="s">
        <v>9283</v>
      </c>
      <c r="B7267" t="s">
        <v>1447</v>
      </c>
      <c r="C7267" t="s">
        <v>2008</v>
      </c>
      <c r="D7267">
        <v>3</v>
      </c>
      <c r="E7267" s="16">
        <v>15.69</v>
      </c>
      <c r="F7267" s="1">
        <v>44747</v>
      </c>
      <c r="G7267" t="s">
        <v>2002</v>
      </c>
      <c r="H7267">
        <v>5</v>
      </c>
      <c r="I7267" s="12">
        <f>Table16[[#This Row],[price]]*Table16[[#This Row],[quantity]]</f>
        <v>47.07</v>
      </c>
    </row>
    <row r="7268" spans="1:9" x14ac:dyDescent="0.3">
      <c r="A7268" t="s">
        <v>9280</v>
      </c>
      <c r="B7268" t="s">
        <v>1447</v>
      </c>
      <c r="C7268" t="s">
        <v>2011</v>
      </c>
      <c r="D7268">
        <v>3</v>
      </c>
      <c r="E7268" s="16">
        <v>121.98</v>
      </c>
      <c r="F7268" s="1">
        <v>44990</v>
      </c>
      <c r="G7268" t="s">
        <v>2041</v>
      </c>
      <c r="H7268">
        <v>5</v>
      </c>
      <c r="I7268" s="12">
        <f>Table16[[#This Row],[price]]*Table16[[#This Row],[quantity]]</f>
        <v>365.94</v>
      </c>
    </row>
    <row r="7269" spans="1:9" x14ac:dyDescent="0.3">
      <c r="A7269" t="s">
        <v>9286</v>
      </c>
      <c r="B7269" t="s">
        <v>1448</v>
      </c>
      <c r="C7269" t="s">
        <v>2008</v>
      </c>
      <c r="D7269">
        <v>5</v>
      </c>
      <c r="E7269" s="16">
        <v>26.15</v>
      </c>
      <c r="F7269" s="1">
        <v>44705</v>
      </c>
      <c r="G7269" t="s">
        <v>2004</v>
      </c>
      <c r="H7269">
        <v>5</v>
      </c>
      <c r="I7269" s="12">
        <f>Table16[[#This Row],[price]]*Table16[[#This Row],[quantity]]</f>
        <v>130.75</v>
      </c>
    </row>
    <row r="7270" spans="1:9" x14ac:dyDescent="0.3">
      <c r="A7270" t="s">
        <v>9285</v>
      </c>
      <c r="B7270" t="s">
        <v>1448</v>
      </c>
      <c r="C7270" t="s">
        <v>2001</v>
      </c>
      <c r="D7270">
        <v>3</v>
      </c>
      <c r="E7270" s="16">
        <v>900.24</v>
      </c>
      <c r="F7270" s="1">
        <v>44792</v>
      </c>
      <c r="G7270" t="s">
        <v>2041</v>
      </c>
      <c r="H7270">
        <v>1</v>
      </c>
      <c r="I7270" s="12">
        <f>Table16[[#This Row],[price]]*Table16[[#This Row],[quantity]]</f>
        <v>2700.7200000000003</v>
      </c>
    </row>
    <row r="7271" spans="1:9" x14ac:dyDescent="0.3">
      <c r="A7271" t="s">
        <v>9287</v>
      </c>
      <c r="B7271" t="s">
        <v>1448</v>
      </c>
      <c r="C7271" t="s">
        <v>2001</v>
      </c>
      <c r="D7271">
        <v>2</v>
      </c>
      <c r="E7271" s="16">
        <v>600.16</v>
      </c>
      <c r="F7271" s="1">
        <v>44904</v>
      </c>
      <c r="G7271" t="s">
        <v>2004</v>
      </c>
      <c r="H7271">
        <v>3</v>
      </c>
      <c r="I7271" s="12">
        <f>Table16[[#This Row],[price]]*Table16[[#This Row],[quantity]]</f>
        <v>1200.32</v>
      </c>
    </row>
    <row r="7272" spans="1:9" x14ac:dyDescent="0.3">
      <c r="A7272" t="s">
        <v>9289</v>
      </c>
      <c r="B7272" t="s">
        <v>1449</v>
      </c>
      <c r="C7272" t="s">
        <v>2001</v>
      </c>
      <c r="D7272">
        <v>5</v>
      </c>
      <c r="E7272" s="16">
        <v>1500.4</v>
      </c>
      <c r="F7272" s="1">
        <v>44225</v>
      </c>
      <c r="G7272" t="s">
        <v>2020</v>
      </c>
      <c r="H7272">
        <v>5</v>
      </c>
      <c r="I7272" s="12">
        <f>Table16[[#This Row],[price]]*Table16[[#This Row],[quantity]]</f>
        <v>7502</v>
      </c>
    </row>
    <row r="7273" spans="1:9" x14ac:dyDescent="0.3">
      <c r="A7273" t="s">
        <v>9288</v>
      </c>
      <c r="B7273" t="s">
        <v>1449</v>
      </c>
      <c r="C7273" t="s">
        <v>2001</v>
      </c>
      <c r="D7273">
        <v>3</v>
      </c>
      <c r="E7273" s="16">
        <v>900.24</v>
      </c>
      <c r="F7273" s="1">
        <v>44352</v>
      </c>
      <c r="G7273" t="s">
        <v>2002</v>
      </c>
      <c r="H7273">
        <v>3</v>
      </c>
      <c r="I7273" s="12">
        <f>Table16[[#This Row],[price]]*Table16[[#This Row],[quantity]]</f>
        <v>2700.7200000000003</v>
      </c>
    </row>
    <row r="7274" spans="1:9" x14ac:dyDescent="0.3">
      <c r="A7274" t="s">
        <v>9292</v>
      </c>
      <c r="B7274" t="s">
        <v>1449</v>
      </c>
      <c r="C7274" t="s">
        <v>2008</v>
      </c>
      <c r="D7274">
        <v>4</v>
      </c>
      <c r="E7274" s="16">
        <v>20.92</v>
      </c>
      <c r="F7274" s="1">
        <v>44483</v>
      </c>
      <c r="G7274" t="s">
        <v>2002</v>
      </c>
      <c r="H7274">
        <v>4</v>
      </c>
      <c r="I7274" s="12">
        <f>Table16[[#This Row],[price]]*Table16[[#This Row],[quantity]]</f>
        <v>83.68</v>
      </c>
    </row>
    <row r="7275" spans="1:9" x14ac:dyDescent="0.3">
      <c r="A7275" t="s">
        <v>9290</v>
      </c>
      <c r="B7275" t="s">
        <v>1449</v>
      </c>
      <c r="C7275" t="s">
        <v>2011</v>
      </c>
      <c r="D7275">
        <v>1</v>
      </c>
      <c r="E7275" s="16">
        <v>40.659999999999997</v>
      </c>
      <c r="F7275" s="1">
        <v>44646</v>
      </c>
      <c r="G7275" t="s">
        <v>2002</v>
      </c>
      <c r="H7275">
        <v>5</v>
      </c>
      <c r="I7275" s="12">
        <f>Table16[[#This Row],[price]]*Table16[[#This Row],[quantity]]</f>
        <v>40.659999999999997</v>
      </c>
    </row>
    <row r="7276" spans="1:9" x14ac:dyDescent="0.3">
      <c r="A7276" t="s">
        <v>9291</v>
      </c>
      <c r="B7276" t="s">
        <v>1449</v>
      </c>
      <c r="C7276" t="s">
        <v>2008</v>
      </c>
      <c r="D7276">
        <v>5</v>
      </c>
      <c r="E7276" s="16">
        <v>26.15</v>
      </c>
      <c r="F7276" s="1">
        <v>44772</v>
      </c>
      <c r="G7276" t="s">
        <v>2041</v>
      </c>
      <c r="H7276">
        <v>2</v>
      </c>
      <c r="I7276" s="12">
        <f>Table16[[#This Row],[price]]*Table16[[#This Row],[quantity]]</f>
        <v>130.75</v>
      </c>
    </row>
    <row r="7277" spans="1:9" x14ac:dyDescent="0.3">
      <c r="A7277" t="s">
        <v>9293</v>
      </c>
      <c r="B7277" t="s">
        <v>1449</v>
      </c>
      <c r="C7277" t="s">
        <v>2024</v>
      </c>
      <c r="D7277">
        <v>5</v>
      </c>
      <c r="E7277" s="16">
        <v>179.2</v>
      </c>
      <c r="F7277" s="1">
        <v>44817</v>
      </c>
      <c r="G7277" t="s">
        <v>2004</v>
      </c>
      <c r="H7277">
        <v>3</v>
      </c>
      <c r="I7277" s="12">
        <f>Table16[[#This Row],[price]]*Table16[[#This Row],[quantity]]</f>
        <v>896</v>
      </c>
    </row>
    <row r="7278" spans="1:9" x14ac:dyDescent="0.3">
      <c r="A7278" t="s">
        <v>9294</v>
      </c>
      <c r="B7278" t="s">
        <v>1449</v>
      </c>
      <c r="C7278" t="s">
        <v>2024</v>
      </c>
      <c r="D7278">
        <v>1</v>
      </c>
      <c r="E7278" s="16">
        <v>35.840000000000003</v>
      </c>
      <c r="F7278" s="1">
        <v>44906</v>
      </c>
      <c r="G7278" t="s">
        <v>2018</v>
      </c>
      <c r="H7278">
        <v>5</v>
      </c>
      <c r="I7278" s="12">
        <f>Table16[[#This Row],[price]]*Table16[[#This Row],[quantity]]</f>
        <v>35.840000000000003</v>
      </c>
    </row>
    <row r="7279" spans="1:9" x14ac:dyDescent="0.3">
      <c r="A7279" t="s">
        <v>9296</v>
      </c>
      <c r="B7279" t="s">
        <v>1450</v>
      </c>
      <c r="C7279" t="s">
        <v>2008</v>
      </c>
      <c r="D7279">
        <v>4</v>
      </c>
      <c r="E7279" s="16">
        <v>20.92</v>
      </c>
      <c r="F7279" s="1">
        <v>44644</v>
      </c>
      <c r="G7279" t="s">
        <v>2012</v>
      </c>
      <c r="H7279">
        <v>4</v>
      </c>
      <c r="I7279" s="12">
        <f>Table16[[#This Row],[price]]*Table16[[#This Row],[quantity]]</f>
        <v>83.68</v>
      </c>
    </row>
    <row r="7280" spans="1:9" x14ac:dyDescent="0.3">
      <c r="A7280" t="s">
        <v>9297</v>
      </c>
      <c r="B7280" t="s">
        <v>1450</v>
      </c>
      <c r="C7280" t="s">
        <v>2017</v>
      </c>
      <c r="D7280">
        <v>5</v>
      </c>
      <c r="E7280" s="16">
        <v>5250</v>
      </c>
      <c r="F7280" s="1">
        <v>44741</v>
      </c>
      <c r="G7280" t="s">
        <v>2027</v>
      </c>
      <c r="H7280">
        <v>4</v>
      </c>
      <c r="I7280" s="12">
        <f>Table16[[#This Row],[price]]*Table16[[#This Row],[quantity]]</f>
        <v>26250</v>
      </c>
    </row>
    <row r="7281" spans="1:9" x14ac:dyDescent="0.3">
      <c r="A7281" t="s">
        <v>9295</v>
      </c>
      <c r="B7281" t="s">
        <v>1450</v>
      </c>
      <c r="C7281" t="s">
        <v>2001</v>
      </c>
      <c r="D7281">
        <v>5</v>
      </c>
      <c r="E7281" s="16">
        <v>1500.4</v>
      </c>
      <c r="F7281" s="1">
        <v>44857</v>
      </c>
      <c r="G7281" t="s">
        <v>2004</v>
      </c>
      <c r="H7281">
        <v>4</v>
      </c>
      <c r="I7281" s="12">
        <f>Table16[[#This Row],[price]]*Table16[[#This Row],[quantity]]</f>
        <v>7502</v>
      </c>
    </row>
    <row r="7282" spans="1:9" x14ac:dyDescent="0.3">
      <c r="A7282" t="s">
        <v>9301</v>
      </c>
      <c r="B7282" t="s">
        <v>1451</v>
      </c>
      <c r="C7282" t="s">
        <v>2008</v>
      </c>
      <c r="D7282">
        <v>3</v>
      </c>
      <c r="E7282" s="16">
        <v>15.69</v>
      </c>
      <c r="F7282" s="1">
        <v>44397</v>
      </c>
      <c r="G7282" t="s">
        <v>2009</v>
      </c>
      <c r="H7282">
        <v>5</v>
      </c>
      <c r="I7282" s="12">
        <f>Table16[[#This Row],[price]]*Table16[[#This Row],[quantity]]</f>
        <v>47.07</v>
      </c>
    </row>
    <row r="7283" spans="1:9" x14ac:dyDescent="0.3">
      <c r="A7283" t="s">
        <v>9300</v>
      </c>
      <c r="B7283" t="s">
        <v>1451</v>
      </c>
      <c r="C7283" t="s">
        <v>2024</v>
      </c>
      <c r="D7283">
        <v>2</v>
      </c>
      <c r="E7283" s="16">
        <v>71.680000000000007</v>
      </c>
      <c r="F7283" s="1">
        <v>44504</v>
      </c>
      <c r="G7283" t="s">
        <v>2012</v>
      </c>
      <c r="H7283">
        <v>5</v>
      </c>
      <c r="I7283" s="12">
        <f>Table16[[#This Row],[price]]*Table16[[#This Row],[quantity]]</f>
        <v>143.36000000000001</v>
      </c>
    </row>
    <row r="7284" spans="1:9" x14ac:dyDescent="0.3">
      <c r="A7284" t="s">
        <v>9298</v>
      </c>
      <c r="B7284" t="s">
        <v>1451</v>
      </c>
      <c r="C7284" t="s">
        <v>2001</v>
      </c>
      <c r="D7284">
        <v>1</v>
      </c>
      <c r="E7284" s="16">
        <v>300.08</v>
      </c>
      <c r="F7284" s="1">
        <v>44631</v>
      </c>
      <c r="G7284" t="s">
        <v>2002</v>
      </c>
      <c r="H7284">
        <v>5</v>
      </c>
      <c r="I7284" s="12">
        <f>Table16[[#This Row],[price]]*Table16[[#This Row],[quantity]]</f>
        <v>300.08</v>
      </c>
    </row>
    <row r="7285" spans="1:9" x14ac:dyDescent="0.3">
      <c r="A7285" t="s">
        <v>9299</v>
      </c>
      <c r="B7285" t="s">
        <v>1451</v>
      </c>
      <c r="C7285" t="s">
        <v>2001</v>
      </c>
      <c r="D7285">
        <v>2</v>
      </c>
      <c r="E7285" s="16">
        <v>600.16</v>
      </c>
      <c r="F7285" s="1">
        <v>44676</v>
      </c>
      <c r="G7285" t="s">
        <v>2058</v>
      </c>
      <c r="H7285">
        <v>5</v>
      </c>
      <c r="I7285" s="12">
        <f>Table16[[#This Row],[price]]*Table16[[#This Row],[quantity]]</f>
        <v>1200.32</v>
      </c>
    </row>
    <row r="7286" spans="1:9" x14ac:dyDescent="0.3">
      <c r="A7286" t="s">
        <v>9302</v>
      </c>
      <c r="B7286" t="s">
        <v>1451</v>
      </c>
      <c r="C7286" t="s">
        <v>2011</v>
      </c>
      <c r="D7286">
        <v>3</v>
      </c>
      <c r="E7286" s="16">
        <v>121.98</v>
      </c>
      <c r="F7286" s="1">
        <v>44821</v>
      </c>
      <c r="G7286" t="s">
        <v>2004</v>
      </c>
      <c r="H7286">
        <v>4</v>
      </c>
      <c r="I7286" s="12">
        <f>Table16[[#This Row],[price]]*Table16[[#This Row],[quantity]]</f>
        <v>365.94</v>
      </c>
    </row>
    <row r="7287" spans="1:9" x14ac:dyDescent="0.3">
      <c r="A7287" t="s">
        <v>9303</v>
      </c>
      <c r="B7287" t="s">
        <v>1451</v>
      </c>
      <c r="C7287" t="s">
        <v>2001</v>
      </c>
      <c r="D7287">
        <v>2</v>
      </c>
      <c r="E7287" s="16">
        <v>600.16</v>
      </c>
      <c r="F7287" s="1">
        <v>44855</v>
      </c>
      <c r="G7287" t="s">
        <v>2027</v>
      </c>
      <c r="H7287">
        <v>4</v>
      </c>
      <c r="I7287" s="12">
        <f>Table16[[#This Row],[price]]*Table16[[#This Row],[quantity]]</f>
        <v>1200.32</v>
      </c>
    </row>
    <row r="7288" spans="1:9" x14ac:dyDescent="0.3">
      <c r="A7288" t="s">
        <v>9309</v>
      </c>
      <c r="B7288" t="s">
        <v>1452</v>
      </c>
      <c r="C7288" t="s">
        <v>2001</v>
      </c>
      <c r="D7288">
        <v>5</v>
      </c>
      <c r="E7288" s="16">
        <v>1500.4</v>
      </c>
      <c r="F7288" s="1">
        <v>44348</v>
      </c>
      <c r="G7288" t="s">
        <v>2064</v>
      </c>
      <c r="H7288">
        <v>4</v>
      </c>
      <c r="I7288" s="12">
        <f>Table16[[#This Row],[price]]*Table16[[#This Row],[quantity]]</f>
        <v>7502</v>
      </c>
    </row>
    <row r="7289" spans="1:9" x14ac:dyDescent="0.3">
      <c r="A7289" t="s">
        <v>9308</v>
      </c>
      <c r="B7289" t="s">
        <v>1452</v>
      </c>
      <c r="C7289" t="s">
        <v>2015</v>
      </c>
      <c r="D7289">
        <v>1</v>
      </c>
      <c r="E7289" s="16">
        <v>600.16999999999996</v>
      </c>
      <c r="F7289" s="1">
        <v>44559</v>
      </c>
      <c r="G7289" t="s">
        <v>2027</v>
      </c>
      <c r="H7289">
        <v>4</v>
      </c>
      <c r="I7289" s="12">
        <f>Table16[[#This Row],[price]]*Table16[[#This Row],[quantity]]</f>
        <v>600.16999999999996</v>
      </c>
    </row>
    <row r="7290" spans="1:9" x14ac:dyDescent="0.3">
      <c r="A7290" t="s">
        <v>9305</v>
      </c>
      <c r="B7290" t="s">
        <v>1452</v>
      </c>
      <c r="C7290" t="s">
        <v>2008</v>
      </c>
      <c r="D7290">
        <v>4</v>
      </c>
      <c r="E7290" s="16">
        <v>20.92</v>
      </c>
      <c r="F7290" s="1">
        <v>44614</v>
      </c>
      <c r="G7290" t="s">
        <v>2027</v>
      </c>
      <c r="H7290">
        <v>4</v>
      </c>
      <c r="I7290" s="12">
        <f>Table16[[#This Row],[price]]*Table16[[#This Row],[quantity]]</f>
        <v>83.68</v>
      </c>
    </row>
    <row r="7291" spans="1:9" x14ac:dyDescent="0.3">
      <c r="A7291" t="s">
        <v>9304</v>
      </c>
      <c r="B7291" t="s">
        <v>1452</v>
      </c>
      <c r="C7291" t="s">
        <v>2017</v>
      </c>
      <c r="D7291">
        <v>3</v>
      </c>
      <c r="E7291" s="16">
        <v>3150</v>
      </c>
      <c r="F7291" s="1">
        <v>44729</v>
      </c>
      <c r="G7291" t="s">
        <v>2002</v>
      </c>
      <c r="H7291">
        <v>4</v>
      </c>
      <c r="I7291" s="12">
        <f>Table16[[#This Row],[price]]*Table16[[#This Row],[quantity]]</f>
        <v>9450</v>
      </c>
    </row>
    <row r="7292" spans="1:9" x14ac:dyDescent="0.3">
      <c r="A7292" t="s">
        <v>9307</v>
      </c>
      <c r="B7292" t="s">
        <v>1452</v>
      </c>
      <c r="C7292" t="s">
        <v>2011</v>
      </c>
      <c r="D7292">
        <v>2</v>
      </c>
      <c r="E7292" s="16">
        <v>81.319999999999993</v>
      </c>
      <c r="F7292" s="1">
        <v>44806</v>
      </c>
      <c r="G7292" t="s">
        <v>2020</v>
      </c>
      <c r="H7292">
        <v>4</v>
      </c>
      <c r="I7292" s="12">
        <f>Table16[[#This Row],[price]]*Table16[[#This Row],[quantity]]</f>
        <v>162.63999999999999</v>
      </c>
    </row>
    <row r="7293" spans="1:9" x14ac:dyDescent="0.3">
      <c r="A7293" t="s">
        <v>9306</v>
      </c>
      <c r="B7293" t="s">
        <v>1452</v>
      </c>
      <c r="C7293" t="s">
        <v>2001</v>
      </c>
      <c r="D7293">
        <v>3</v>
      </c>
      <c r="E7293" s="16">
        <v>900.24</v>
      </c>
      <c r="F7293" s="1">
        <v>44948</v>
      </c>
      <c r="G7293" t="s">
        <v>2064</v>
      </c>
      <c r="H7293">
        <v>3</v>
      </c>
      <c r="I7293" s="12">
        <f>Table16[[#This Row],[price]]*Table16[[#This Row],[quantity]]</f>
        <v>2700.7200000000003</v>
      </c>
    </row>
    <row r="7294" spans="1:9" x14ac:dyDescent="0.3">
      <c r="A7294" t="s">
        <v>9310</v>
      </c>
      <c r="B7294" t="s">
        <v>1453</v>
      </c>
      <c r="C7294" t="s">
        <v>2008</v>
      </c>
      <c r="D7294">
        <v>2</v>
      </c>
      <c r="E7294" s="16">
        <v>10.46</v>
      </c>
      <c r="F7294" s="1">
        <v>44480</v>
      </c>
      <c r="G7294" t="s">
        <v>2002</v>
      </c>
      <c r="H7294">
        <v>4</v>
      </c>
      <c r="I7294" s="12">
        <f>Table16[[#This Row],[price]]*Table16[[#This Row],[quantity]]</f>
        <v>20.92</v>
      </c>
    </row>
    <row r="7295" spans="1:9" x14ac:dyDescent="0.3">
      <c r="A7295" t="s">
        <v>9314</v>
      </c>
      <c r="B7295" t="s">
        <v>1453</v>
      </c>
      <c r="C7295" t="s">
        <v>2057</v>
      </c>
      <c r="D7295">
        <v>3</v>
      </c>
      <c r="E7295" s="16">
        <v>35.19</v>
      </c>
      <c r="F7295" s="1">
        <v>44517</v>
      </c>
      <c r="G7295" t="s">
        <v>2004</v>
      </c>
      <c r="H7295">
        <v>1</v>
      </c>
      <c r="I7295" s="12">
        <f>Table16[[#This Row],[price]]*Table16[[#This Row],[quantity]]</f>
        <v>105.57</v>
      </c>
    </row>
    <row r="7296" spans="1:9" x14ac:dyDescent="0.3">
      <c r="A7296" t="s">
        <v>9316</v>
      </c>
      <c r="B7296" t="s">
        <v>1453</v>
      </c>
      <c r="C7296" t="s">
        <v>2015</v>
      </c>
      <c r="D7296">
        <v>3</v>
      </c>
      <c r="E7296" s="16">
        <v>1800.51</v>
      </c>
      <c r="F7296" s="1">
        <v>44722</v>
      </c>
      <c r="G7296" t="s">
        <v>2004</v>
      </c>
      <c r="H7296">
        <v>4</v>
      </c>
      <c r="I7296" s="12">
        <f>Table16[[#This Row],[price]]*Table16[[#This Row],[quantity]]</f>
        <v>5401.53</v>
      </c>
    </row>
    <row r="7297" spans="1:9" x14ac:dyDescent="0.3">
      <c r="A7297" t="s">
        <v>9312</v>
      </c>
      <c r="B7297" t="s">
        <v>1453</v>
      </c>
      <c r="C7297" t="s">
        <v>2008</v>
      </c>
      <c r="D7297">
        <v>5</v>
      </c>
      <c r="E7297" s="16">
        <v>26.15</v>
      </c>
      <c r="F7297" s="1">
        <v>44767</v>
      </c>
      <c r="G7297" t="s">
        <v>2027</v>
      </c>
      <c r="H7297">
        <v>1</v>
      </c>
      <c r="I7297" s="12">
        <f>Table16[[#This Row],[price]]*Table16[[#This Row],[quantity]]</f>
        <v>130.75</v>
      </c>
    </row>
    <row r="7298" spans="1:9" x14ac:dyDescent="0.3">
      <c r="A7298" t="s">
        <v>9313</v>
      </c>
      <c r="B7298" t="s">
        <v>1453</v>
      </c>
      <c r="C7298" t="s">
        <v>2015</v>
      </c>
      <c r="D7298">
        <v>4</v>
      </c>
      <c r="E7298" s="16">
        <v>2400.6799999999998</v>
      </c>
      <c r="F7298" s="1">
        <v>44811</v>
      </c>
      <c r="G7298" t="s">
        <v>2041</v>
      </c>
      <c r="H7298">
        <v>2</v>
      </c>
      <c r="I7298" s="12">
        <f>Table16[[#This Row],[price]]*Table16[[#This Row],[quantity]]</f>
        <v>9602.7199999999993</v>
      </c>
    </row>
    <row r="7299" spans="1:9" x14ac:dyDescent="0.3">
      <c r="A7299" t="s">
        <v>9311</v>
      </c>
      <c r="B7299" t="s">
        <v>1453</v>
      </c>
      <c r="C7299" t="s">
        <v>2024</v>
      </c>
      <c r="D7299">
        <v>1</v>
      </c>
      <c r="E7299" s="16">
        <v>35.840000000000003</v>
      </c>
      <c r="F7299" s="1">
        <v>44829</v>
      </c>
      <c r="G7299" t="s">
        <v>2002</v>
      </c>
      <c r="H7299">
        <v>3</v>
      </c>
      <c r="I7299" s="12">
        <f>Table16[[#This Row],[price]]*Table16[[#This Row],[quantity]]</f>
        <v>35.840000000000003</v>
      </c>
    </row>
    <row r="7300" spans="1:9" x14ac:dyDescent="0.3">
      <c r="A7300" t="s">
        <v>9315</v>
      </c>
      <c r="B7300" t="s">
        <v>1453</v>
      </c>
      <c r="C7300" t="s">
        <v>2011</v>
      </c>
      <c r="D7300">
        <v>4</v>
      </c>
      <c r="E7300" s="16">
        <v>162.63999999999999</v>
      </c>
      <c r="F7300" s="1">
        <v>44857</v>
      </c>
      <c r="G7300" t="s">
        <v>2002</v>
      </c>
      <c r="H7300">
        <v>5</v>
      </c>
      <c r="I7300" s="12">
        <f>Table16[[#This Row],[price]]*Table16[[#This Row],[quantity]]</f>
        <v>650.55999999999995</v>
      </c>
    </row>
    <row r="7301" spans="1:9" x14ac:dyDescent="0.3">
      <c r="A7301" t="s">
        <v>9317</v>
      </c>
      <c r="B7301" t="s">
        <v>1454</v>
      </c>
      <c r="C7301" t="s">
        <v>2011</v>
      </c>
      <c r="D7301">
        <v>3</v>
      </c>
      <c r="E7301" s="16">
        <v>121.98</v>
      </c>
      <c r="F7301" s="1">
        <v>44820</v>
      </c>
      <c r="G7301" t="s">
        <v>2004</v>
      </c>
      <c r="H7301">
        <v>1</v>
      </c>
      <c r="I7301" s="12">
        <f>Table16[[#This Row],[price]]*Table16[[#This Row],[quantity]]</f>
        <v>365.94</v>
      </c>
    </row>
    <row r="7302" spans="1:9" x14ac:dyDescent="0.3">
      <c r="A7302" t="s">
        <v>9318</v>
      </c>
      <c r="B7302" t="s">
        <v>1455</v>
      </c>
      <c r="C7302" t="s">
        <v>2001</v>
      </c>
      <c r="D7302">
        <v>2</v>
      </c>
      <c r="E7302" s="16">
        <v>600.16</v>
      </c>
      <c r="F7302" s="1">
        <v>44259</v>
      </c>
      <c r="G7302" t="s">
        <v>2027</v>
      </c>
      <c r="H7302">
        <v>2</v>
      </c>
      <c r="I7302" s="12">
        <f>Table16[[#This Row],[price]]*Table16[[#This Row],[quantity]]</f>
        <v>1200.32</v>
      </c>
    </row>
    <row r="7303" spans="1:9" x14ac:dyDescent="0.3">
      <c r="A7303" t="s">
        <v>9319</v>
      </c>
      <c r="B7303" t="s">
        <v>1455</v>
      </c>
      <c r="C7303" t="s">
        <v>2017</v>
      </c>
      <c r="D7303">
        <v>5</v>
      </c>
      <c r="E7303" s="16">
        <v>5250</v>
      </c>
      <c r="F7303" s="1">
        <v>44346</v>
      </c>
      <c r="G7303" t="s">
        <v>2027</v>
      </c>
      <c r="H7303">
        <v>3</v>
      </c>
      <c r="I7303" s="12">
        <f>Table16[[#This Row],[price]]*Table16[[#This Row],[quantity]]</f>
        <v>26250</v>
      </c>
    </row>
    <row r="7304" spans="1:9" x14ac:dyDescent="0.3">
      <c r="A7304" t="s">
        <v>9320</v>
      </c>
      <c r="B7304" t="s">
        <v>1455</v>
      </c>
      <c r="C7304" t="s">
        <v>2001</v>
      </c>
      <c r="D7304">
        <v>2</v>
      </c>
      <c r="E7304" s="16">
        <v>600.16</v>
      </c>
      <c r="F7304" s="1">
        <v>44523</v>
      </c>
      <c r="G7304" t="s">
        <v>2027</v>
      </c>
      <c r="H7304">
        <v>5</v>
      </c>
      <c r="I7304" s="12">
        <f>Table16[[#This Row],[price]]*Table16[[#This Row],[quantity]]</f>
        <v>1200.32</v>
      </c>
    </row>
    <row r="7305" spans="1:9" x14ac:dyDescent="0.3">
      <c r="A7305" t="s">
        <v>9321</v>
      </c>
      <c r="B7305" t="s">
        <v>1455</v>
      </c>
      <c r="C7305" t="s">
        <v>2008</v>
      </c>
      <c r="D7305">
        <v>5</v>
      </c>
      <c r="E7305" s="16">
        <v>26.15</v>
      </c>
      <c r="F7305" s="1">
        <v>44834</v>
      </c>
      <c r="G7305" t="s">
        <v>2018</v>
      </c>
      <c r="H7305">
        <v>1</v>
      </c>
      <c r="I7305" s="12">
        <f>Table16[[#This Row],[price]]*Table16[[#This Row],[quantity]]</f>
        <v>130.75</v>
      </c>
    </row>
    <row r="7306" spans="1:9" x14ac:dyDescent="0.3">
      <c r="A7306" t="s">
        <v>9327</v>
      </c>
      <c r="B7306" t="s">
        <v>1456</v>
      </c>
      <c r="C7306" t="s">
        <v>2008</v>
      </c>
      <c r="D7306">
        <v>3</v>
      </c>
      <c r="E7306" s="16">
        <v>15.69</v>
      </c>
      <c r="F7306" s="1">
        <v>44433</v>
      </c>
      <c r="G7306" t="s">
        <v>2002</v>
      </c>
      <c r="H7306">
        <v>2</v>
      </c>
      <c r="I7306" s="12">
        <f>Table16[[#This Row],[price]]*Table16[[#This Row],[quantity]]</f>
        <v>47.07</v>
      </c>
    </row>
    <row r="7307" spans="1:9" x14ac:dyDescent="0.3">
      <c r="A7307" t="s">
        <v>9324</v>
      </c>
      <c r="B7307" t="s">
        <v>1456</v>
      </c>
      <c r="C7307" t="s">
        <v>2001</v>
      </c>
      <c r="D7307">
        <v>3</v>
      </c>
      <c r="E7307" s="16">
        <v>900.24</v>
      </c>
      <c r="F7307" s="1">
        <v>44541</v>
      </c>
      <c r="G7307" t="s">
        <v>2004</v>
      </c>
      <c r="H7307">
        <v>4</v>
      </c>
      <c r="I7307" s="12">
        <f>Table16[[#This Row],[price]]*Table16[[#This Row],[quantity]]</f>
        <v>2700.7200000000003</v>
      </c>
    </row>
    <row r="7308" spans="1:9" x14ac:dyDescent="0.3">
      <c r="A7308" t="s">
        <v>9322</v>
      </c>
      <c r="B7308" t="s">
        <v>1456</v>
      </c>
      <c r="C7308" t="s">
        <v>2024</v>
      </c>
      <c r="D7308">
        <v>2</v>
      </c>
      <c r="E7308" s="16">
        <v>71.680000000000007</v>
      </c>
      <c r="F7308" s="1">
        <v>44617</v>
      </c>
      <c r="G7308" t="s">
        <v>2002</v>
      </c>
      <c r="H7308">
        <v>2</v>
      </c>
      <c r="I7308" s="12">
        <f>Table16[[#This Row],[price]]*Table16[[#This Row],[quantity]]</f>
        <v>143.36000000000001</v>
      </c>
    </row>
    <row r="7309" spans="1:9" x14ac:dyDescent="0.3">
      <c r="A7309" t="s">
        <v>9325</v>
      </c>
      <c r="B7309" t="s">
        <v>1456</v>
      </c>
      <c r="C7309" t="s">
        <v>2011</v>
      </c>
      <c r="D7309">
        <v>2</v>
      </c>
      <c r="E7309" s="16">
        <v>81.319999999999993</v>
      </c>
      <c r="F7309" s="1">
        <v>44627</v>
      </c>
      <c r="G7309" t="s">
        <v>2004</v>
      </c>
      <c r="H7309">
        <v>2</v>
      </c>
      <c r="I7309" s="12">
        <f>Table16[[#This Row],[price]]*Table16[[#This Row],[quantity]]</f>
        <v>162.63999999999999</v>
      </c>
    </row>
    <row r="7310" spans="1:9" x14ac:dyDescent="0.3">
      <c r="A7310" t="s">
        <v>9328</v>
      </c>
      <c r="B7310" t="s">
        <v>1456</v>
      </c>
      <c r="C7310" t="s">
        <v>2006</v>
      </c>
      <c r="D7310">
        <v>1</v>
      </c>
      <c r="E7310" s="16">
        <v>15.15</v>
      </c>
      <c r="F7310" s="1">
        <v>44743</v>
      </c>
      <c r="G7310" t="s">
        <v>2027</v>
      </c>
      <c r="H7310">
        <v>4</v>
      </c>
      <c r="I7310" s="12">
        <f>Table16[[#This Row],[price]]*Table16[[#This Row],[quantity]]</f>
        <v>15.15</v>
      </c>
    </row>
    <row r="7311" spans="1:9" x14ac:dyDescent="0.3">
      <c r="A7311" t="s">
        <v>9323</v>
      </c>
      <c r="B7311" t="s">
        <v>1456</v>
      </c>
      <c r="C7311" t="s">
        <v>2001</v>
      </c>
      <c r="D7311">
        <v>1</v>
      </c>
      <c r="E7311" s="16">
        <v>300.08</v>
      </c>
      <c r="F7311" s="1">
        <v>44797</v>
      </c>
      <c r="G7311" t="s">
        <v>2002</v>
      </c>
      <c r="H7311">
        <v>3</v>
      </c>
      <c r="I7311" s="12">
        <f>Table16[[#This Row],[price]]*Table16[[#This Row],[quantity]]</f>
        <v>300.08</v>
      </c>
    </row>
    <row r="7312" spans="1:9" x14ac:dyDescent="0.3">
      <c r="A7312" t="s">
        <v>9326</v>
      </c>
      <c r="B7312" t="s">
        <v>1456</v>
      </c>
      <c r="C7312" t="s">
        <v>2057</v>
      </c>
      <c r="D7312">
        <v>5</v>
      </c>
      <c r="E7312" s="16">
        <v>58.65</v>
      </c>
      <c r="F7312" s="1">
        <v>44853</v>
      </c>
      <c r="G7312" t="s">
        <v>2064</v>
      </c>
      <c r="H7312">
        <v>3</v>
      </c>
      <c r="I7312" s="12">
        <f>Table16[[#This Row],[price]]*Table16[[#This Row],[quantity]]</f>
        <v>293.25</v>
      </c>
    </row>
    <row r="7313" spans="1:9" x14ac:dyDescent="0.3">
      <c r="A7313" t="s">
        <v>9332</v>
      </c>
      <c r="B7313" t="s">
        <v>1457</v>
      </c>
      <c r="C7313" t="s">
        <v>2015</v>
      </c>
      <c r="D7313">
        <v>1</v>
      </c>
      <c r="E7313" s="16">
        <v>600.16999999999996</v>
      </c>
      <c r="F7313" s="1">
        <v>44650</v>
      </c>
      <c r="G7313" t="s">
        <v>2004</v>
      </c>
      <c r="H7313">
        <v>2</v>
      </c>
      <c r="I7313" s="12">
        <f>Table16[[#This Row],[price]]*Table16[[#This Row],[quantity]]</f>
        <v>600.16999999999996</v>
      </c>
    </row>
    <row r="7314" spans="1:9" x14ac:dyDescent="0.3">
      <c r="A7314" t="s">
        <v>9329</v>
      </c>
      <c r="B7314" t="s">
        <v>1457</v>
      </c>
      <c r="C7314" t="s">
        <v>2001</v>
      </c>
      <c r="D7314">
        <v>2</v>
      </c>
      <c r="E7314" s="16">
        <v>600.16</v>
      </c>
      <c r="F7314" s="1">
        <v>44754</v>
      </c>
      <c r="G7314" t="s">
        <v>2064</v>
      </c>
      <c r="H7314">
        <v>4</v>
      </c>
      <c r="I7314" s="12">
        <f>Table16[[#This Row],[price]]*Table16[[#This Row],[quantity]]</f>
        <v>1200.32</v>
      </c>
    </row>
    <row r="7315" spans="1:9" x14ac:dyDescent="0.3">
      <c r="A7315" t="s">
        <v>9333</v>
      </c>
      <c r="B7315" t="s">
        <v>1457</v>
      </c>
      <c r="C7315" t="s">
        <v>2001</v>
      </c>
      <c r="D7315">
        <v>1</v>
      </c>
      <c r="E7315" s="16">
        <v>300.08</v>
      </c>
      <c r="F7315" s="1">
        <v>44831</v>
      </c>
      <c r="G7315" t="s">
        <v>2004</v>
      </c>
      <c r="H7315">
        <v>2</v>
      </c>
      <c r="I7315" s="12">
        <f>Table16[[#This Row],[price]]*Table16[[#This Row],[quantity]]</f>
        <v>300.08</v>
      </c>
    </row>
    <row r="7316" spans="1:9" x14ac:dyDescent="0.3">
      <c r="A7316" t="s">
        <v>9330</v>
      </c>
      <c r="B7316" t="s">
        <v>1457</v>
      </c>
      <c r="C7316" t="s">
        <v>2008</v>
      </c>
      <c r="D7316">
        <v>4</v>
      </c>
      <c r="E7316" s="16">
        <v>20.92</v>
      </c>
      <c r="F7316" s="1">
        <v>44929</v>
      </c>
      <c r="G7316" t="s">
        <v>2002</v>
      </c>
      <c r="H7316">
        <v>1</v>
      </c>
      <c r="I7316" s="12">
        <f>Table16[[#This Row],[price]]*Table16[[#This Row],[quantity]]</f>
        <v>83.68</v>
      </c>
    </row>
    <row r="7317" spans="1:9" x14ac:dyDescent="0.3">
      <c r="A7317" t="s">
        <v>9331</v>
      </c>
      <c r="B7317" t="s">
        <v>1457</v>
      </c>
      <c r="C7317" t="s">
        <v>2006</v>
      </c>
      <c r="D7317">
        <v>1</v>
      </c>
      <c r="E7317" s="16">
        <v>15.15</v>
      </c>
      <c r="F7317" s="1">
        <v>44978</v>
      </c>
      <c r="G7317" t="s">
        <v>2027</v>
      </c>
      <c r="H7317">
        <v>4</v>
      </c>
      <c r="I7317" s="12">
        <f>Table16[[#This Row],[price]]*Table16[[#This Row],[quantity]]</f>
        <v>15.15</v>
      </c>
    </row>
    <row r="7318" spans="1:9" x14ac:dyDescent="0.3">
      <c r="A7318" t="s">
        <v>9336</v>
      </c>
      <c r="B7318" t="s">
        <v>1458</v>
      </c>
      <c r="C7318" t="s">
        <v>2001</v>
      </c>
      <c r="D7318">
        <v>1</v>
      </c>
      <c r="E7318" s="16">
        <v>300.08</v>
      </c>
      <c r="F7318" s="1">
        <v>44222</v>
      </c>
      <c r="G7318" t="s">
        <v>2064</v>
      </c>
      <c r="H7318">
        <v>1</v>
      </c>
      <c r="I7318" s="12">
        <f>Table16[[#This Row],[price]]*Table16[[#This Row],[quantity]]</f>
        <v>300.08</v>
      </c>
    </row>
    <row r="7319" spans="1:9" x14ac:dyDescent="0.3">
      <c r="A7319" t="s">
        <v>9335</v>
      </c>
      <c r="B7319" t="s">
        <v>1458</v>
      </c>
      <c r="C7319" t="s">
        <v>2011</v>
      </c>
      <c r="D7319">
        <v>2</v>
      </c>
      <c r="E7319" s="16">
        <v>81.319999999999993</v>
      </c>
      <c r="F7319" s="1">
        <v>44415</v>
      </c>
      <c r="G7319" t="s">
        <v>2058</v>
      </c>
      <c r="H7319">
        <v>5</v>
      </c>
      <c r="I7319" s="12">
        <f>Table16[[#This Row],[price]]*Table16[[#This Row],[quantity]]</f>
        <v>162.63999999999999</v>
      </c>
    </row>
    <row r="7320" spans="1:9" x14ac:dyDescent="0.3">
      <c r="A7320" t="s">
        <v>9340</v>
      </c>
      <c r="B7320" t="s">
        <v>1458</v>
      </c>
      <c r="C7320" t="s">
        <v>2001</v>
      </c>
      <c r="D7320">
        <v>1</v>
      </c>
      <c r="E7320" s="16">
        <v>300.08</v>
      </c>
      <c r="F7320" s="1">
        <v>44428</v>
      </c>
      <c r="G7320" t="s">
        <v>2002</v>
      </c>
      <c r="H7320">
        <v>5</v>
      </c>
      <c r="I7320" s="12">
        <f>Table16[[#This Row],[price]]*Table16[[#This Row],[quantity]]</f>
        <v>300.08</v>
      </c>
    </row>
    <row r="7321" spans="1:9" x14ac:dyDescent="0.3">
      <c r="A7321" t="s">
        <v>9337</v>
      </c>
      <c r="B7321" t="s">
        <v>1458</v>
      </c>
      <c r="C7321" t="s">
        <v>2011</v>
      </c>
      <c r="D7321">
        <v>2</v>
      </c>
      <c r="E7321" s="16">
        <v>81.319999999999993</v>
      </c>
      <c r="F7321" s="1">
        <v>44471</v>
      </c>
      <c r="G7321" t="s">
        <v>2041</v>
      </c>
      <c r="H7321">
        <v>2</v>
      </c>
      <c r="I7321" s="12">
        <f>Table16[[#This Row],[price]]*Table16[[#This Row],[quantity]]</f>
        <v>162.63999999999999</v>
      </c>
    </row>
    <row r="7322" spans="1:9" x14ac:dyDescent="0.3">
      <c r="A7322" t="s">
        <v>9339</v>
      </c>
      <c r="B7322" t="s">
        <v>1458</v>
      </c>
      <c r="C7322" t="s">
        <v>2001</v>
      </c>
      <c r="D7322">
        <v>4</v>
      </c>
      <c r="E7322" s="16">
        <v>1200.32</v>
      </c>
      <c r="F7322" s="1">
        <v>44489</v>
      </c>
      <c r="G7322" t="s">
        <v>2020</v>
      </c>
      <c r="H7322">
        <v>4</v>
      </c>
      <c r="I7322" s="12">
        <f>Table16[[#This Row],[price]]*Table16[[#This Row],[quantity]]</f>
        <v>4801.28</v>
      </c>
    </row>
    <row r="7323" spans="1:9" x14ac:dyDescent="0.3">
      <c r="A7323" t="s">
        <v>9334</v>
      </c>
      <c r="B7323" t="s">
        <v>1458</v>
      </c>
      <c r="C7323" t="s">
        <v>2001</v>
      </c>
      <c r="D7323">
        <v>5</v>
      </c>
      <c r="E7323" s="16">
        <v>1500.4</v>
      </c>
      <c r="F7323" s="1">
        <v>44528</v>
      </c>
      <c r="G7323" t="s">
        <v>2012</v>
      </c>
      <c r="H7323">
        <v>3</v>
      </c>
      <c r="I7323" s="12">
        <f>Table16[[#This Row],[price]]*Table16[[#This Row],[quantity]]</f>
        <v>7502</v>
      </c>
    </row>
    <row r="7324" spans="1:9" x14ac:dyDescent="0.3">
      <c r="A7324" t="s">
        <v>9341</v>
      </c>
      <c r="B7324" t="s">
        <v>1458</v>
      </c>
      <c r="C7324" t="s">
        <v>2015</v>
      </c>
      <c r="D7324">
        <v>1</v>
      </c>
      <c r="E7324" s="16">
        <v>600.16999999999996</v>
      </c>
      <c r="F7324" s="1">
        <v>44612</v>
      </c>
      <c r="G7324" t="s">
        <v>2041</v>
      </c>
      <c r="H7324">
        <v>1</v>
      </c>
      <c r="I7324" s="12">
        <f>Table16[[#This Row],[price]]*Table16[[#This Row],[quantity]]</f>
        <v>600.16999999999996</v>
      </c>
    </row>
    <row r="7325" spans="1:9" x14ac:dyDescent="0.3">
      <c r="A7325" t="s">
        <v>9338</v>
      </c>
      <c r="B7325" t="s">
        <v>1458</v>
      </c>
      <c r="C7325" t="s">
        <v>2011</v>
      </c>
      <c r="D7325">
        <v>2</v>
      </c>
      <c r="E7325" s="16">
        <v>81.319999999999993</v>
      </c>
      <c r="F7325" s="1">
        <v>44898</v>
      </c>
      <c r="G7325" t="s">
        <v>2002</v>
      </c>
      <c r="H7325">
        <v>2</v>
      </c>
      <c r="I7325" s="12">
        <f>Table16[[#This Row],[price]]*Table16[[#This Row],[quantity]]</f>
        <v>162.63999999999999</v>
      </c>
    </row>
    <row r="7326" spans="1:9" x14ac:dyDescent="0.3">
      <c r="A7326" t="s">
        <v>9343</v>
      </c>
      <c r="B7326" t="s">
        <v>1459</v>
      </c>
      <c r="C7326" t="s">
        <v>2001</v>
      </c>
      <c r="D7326">
        <v>4</v>
      </c>
      <c r="E7326" s="16">
        <v>1200.32</v>
      </c>
      <c r="F7326" s="1">
        <v>44271</v>
      </c>
      <c r="G7326" t="s">
        <v>2004</v>
      </c>
      <c r="H7326">
        <v>3</v>
      </c>
      <c r="I7326" s="12">
        <f>Table16[[#This Row],[price]]*Table16[[#This Row],[quantity]]</f>
        <v>4801.28</v>
      </c>
    </row>
    <row r="7327" spans="1:9" x14ac:dyDescent="0.3">
      <c r="A7327" t="s">
        <v>9342</v>
      </c>
      <c r="B7327" t="s">
        <v>1459</v>
      </c>
      <c r="C7327" t="s">
        <v>2001</v>
      </c>
      <c r="D7327">
        <v>2</v>
      </c>
      <c r="E7327" s="16">
        <v>600.16</v>
      </c>
      <c r="F7327" s="1">
        <v>44772</v>
      </c>
      <c r="G7327" t="s">
        <v>2004</v>
      </c>
      <c r="H7327">
        <v>3</v>
      </c>
      <c r="I7327" s="12">
        <f>Table16[[#This Row],[price]]*Table16[[#This Row],[quantity]]</f>
        <v>1200.32</v>
      </c>
    </row>
    <row r="7328" spans="1:9" x14ac:dyDescent="0.3">
      <c r="A7328" t="s">
        <v>9344</v>
      </c>
      <c r="B7328" t="s">
        <v>1459</v>
      </c>
      <c r="C7328" t="s">
        <v>2011</v>
      </c>
      <c r="D7328">
        <v>2</v>
      </c>
      <c r="E7328" s="16">
        <v>81.319999999999993</v>
      </c>
      <c r="F7328" s="1">
        <v>44914</v>
      </c>
      <c r="G7328" t="s">
        <v>2004</v>
      </c>
      <c r="H7328">
        <v>3</v>
      </c>
      <c r="I7328" s="12">
        <f>Table16[[#This Row],[price]]*Table16[[#This Row],[quantity]]</f>
        <v>162.63999999999999</v>
      </c>
    </row>
    <row r="7329" spans="1:9" x14ac:dyDescent="0.3">
      <c r="A7329" t="s">
        <v>9345</v>
      </c>
      <c r="B7329" t="s">
        <v>1460</v>
      </c>
      <c r="C7329" t="s">
        <v>2011</v>
      </c>
      <c r="D7329">
        <v>1</v>
      </c>
      <c r="E7329" s="16">
        <v>40.659999999999997</v>
      </c>
      <c r="F7329" s="1">
        <v>44534</v>
      </c>
      <c r="G7329" t="s">
        <v>2002</v>
      </c>
      <c r="H7329">
        <v>3</v>
      </c>
      <c r="I7329" s="12">
        <f>Table16[[#This Row],[price]]*Table16[[#This Row],[quantity]]</f>
        <v>40.659999999999997</v>
      </c>
    </row>
    <row r="7330" spans="1:9" x14ac:dyDescent="0.3">
      <c r="A7330" t="s">
        <v>9347</v>
      </c>
      <c r="B7330" t="s">
        <v>1460</v>
      </c>
      <c r="C7330" t="s">
        <v>2001</v>
      </c>
      <c r="D7330">
        <v>1</v>
      </c>
      <c r="E7330" s="16">
        <v>300.08</v>
      </c>
      <c r="F7330" s="1">
        <v>44580</v>
      </c>
      <c r="G7330" t="s">
        <v>2027</v>
      </c>
      <c r="H7330">
        <v>4</v>
      </c>
      <c r="I7330" s="12">
        <f>Table16[[#This Row],[price]]*Table16[[#This Row],[quantity]]</f>
        <v>300.08</v>
      </c>
    </row>
    <row r="7331" spans="1:9" x14ac:dyDescent="0.3">
      <c r="A7331" t="s">
        <v>9346</v>
      </c>
      <c r="B7331" t="s">
        <v>1460</v>
      </c>
      <c r="C7331" t="s">
        <v>2011</v>
      </c>
      <c r="D7331">
        <v>1</v>
      </c>
      <c r="E7331" s="16">
        <v>40.659999999999997</v>
      </c>
      <c r="F7331" s="1">
        <v>44882</v>
      </c>
      <c r="G7331" t="s">
        <v>2002</v>
      </c>
      <c r="H7331">
        <v>2</v>
      </c>
      <c r="I7331" s="12">
        <f>Table16[[#This Row],[price]]*Table16[[#This Row],[quantity]]</f>
        <v>40.659999999999997</v>
      </c>
    </row>
    <row r="7332" spans="1:9" x14ac:dyDescent="0.3">
      <c r="A7332" t="s">
        <v>9354</v>
      </c>
      <c r="B7332" t="s">
        <v>1461</v>
      </c>
      <c r="C7332" t="s">
        <v>2015</v>
      </c>
      <c r="D7332">
        <v>3</v>
      </c>
      <c r="E7332" s="16">
        <v>1800.51</v>
      </c>
      <c r="F7332" s="1">
        <v>44304</v>
      </c>
      <c r="G7332" t="s">
        <v>2064</v>
      </c>
      <c r="H7332">
        <v>1</v>
      </c>
      <c r="I7332" s="12">
        <f>Table16[[#This Row],[price]]*Table16[[#This Row],[quantity]]</f>
        <v>5401.53</v>
      </c>
    </row>
    <row r="7333" spans="1:9" x14ac:dyDescent="0.3">
      <c r="A7333" t="s">
        <v>9353</v>
      </c>
      <c r="B7333" t="s">
        <v>1461</v>
      </c>
      <c r="C7333" t="s">
        <v>2008</v>
      </c>
      <c r="D7333">
        <v>3</v>
      </c>
      <c r="E7333" s="16">
        <v>15.69</v>
      </c>
      <c r="F7333" s="1">
        <v>44318</v>
      </c>
      <c r="G7333" t="s">
        <v>2002</v>
      </c>
      <c r="H7333">
        <v>3</v>
      </c>
      <c r="I7333" s="12">
        <f>Table16[[#This Row],[price]]*Table16[[#This Row],[quantity]]</f>
        <v>47.07</v>
      </c>
    </row>
    <row r="7334" spans="1:9" x14ac:dyDescent="0.3">
      <c r="A7334" t="s">
        <v>9357</v>
      </c>
      <c r="B7334" t="s">
        <v>1461</v>
      </c>
      <c r="C7334" t="s">
        <v>2015</v>
      </c>
      <c r="D7334">
        <v>2</v>
      </c>
      <c r="E7334" s="16">
        <v>1200.3399999999999</v>
      </c>
      <c r="F7334" s="1">
        <v>44334</v>
      </c>
      <c r="G7334" t="s">
        <v>2064</v>
      </c>
      <c r="H7334">
        <v>2</v>
      </c>
      <c r="I7334" s="12">
        <f>Table16[[#This Row],[price]]*Table16[[#This Row],[quantity]]</f>
        <v>2400.6799999999998</v>
      </c>
    </row>
    <row r="7335" spans="1:9" x14ac:dyDescent="0.3">
      <c r="A7335" t="s">
        <v>9349</v>
      </c>
      <c r="B7335" t="s">
        <v>1461</v>
      </c>
      <c r="C7335" t="s">
        <v>2008</v>
      </c>
      <c r="D7335">
        <v>1</v>
      </c>
      <c r="E7335" s="16">
        <v>5.23</v>
      </c>
      <c r="F7335" s="1">
        <v>44695</v>
      </c>
      <c r="G7335" t="s">
        <v>2027</v>
      </c>
      <c r="H7335">
        <v>2</v>
      </c>
      <c r="I7335" s="12">
        <f>Table16[[#This Row],[price]]*Table16[[#This Row],[quantity]]</f>
        <v>5.23</v>
      </c>
    </row>
    <row r="7336" spans="1:9" x14ac:dyDescent="0.3">
      <c r="A7336" t="s">
        <v>9350</v>
      </c>
      <c r="B7336" t="s">
        <v>1461</v>
      </c>
      <c r="C7336" t="s">
        <v>2001</v>
      </c>
      <c r="D7336">
        <v>2</v>
      </c>
      <c r="E7336" s="16">
        <v>600.16</v>
      </c>
      <c r="F7336" s="1">
        <v>44700</v>
      </c>
      <c r="G7336" t="s">
        <v>2004</v>
      </c>
      <c r="H7336">
        <v>4</v>
      </c>
      <c r="I7336" s="12">
        <f>Table16[[#This Row],[price]]*Table16[[#This Row],[quantity]]</f>
        <v>1200.32</v>
      </c>
    </row>
    <row r="7337" spans="1:9" x14ac:dyDescent="0.3">
      <c r="A7337" t="s">
        <v>9352</v>
      </c>
      <c r="B7337" t="s">
        <v>1461</v>
      </c>
      <c r="C7337" t="s">
        <v>2017</v>
      </c>
      <c r="D7337">
        <v>4</v>
      </c>
      <c r="E7337" s="16">
        <v>4200</v>
      </c>
      <c r="F7337" s="1">
        <v>44788</v>
      </c>
      <c r="G7337" t="s">
        <v>2020</v>
      </c>
      <c r="H7337">
        <v>5</v>
      </c>
      <c r="I7337" s="12">
        <f>Table16[[#This Row],[price]]*Table16[[#This Row],[quantity]]</f>
        <v>16800</v>
      </c>
    </row>
    <row r="7338" spans="1:9" x14ac:dyDescent="0.3">
      <c r="A7338" t="s">
        <v>9348</v>
      </c>
      <c r="B7338" t="s">
        <v>1461</v>
      </c>
      <c r="C7338" t="s">
        <v>2001</v>
      </c>
      <c r="D7338">
        <v>2</v>
      </c>
      <c r="E7338" s="16">
        <v>600.16</v>
      </c>
      <c r="F7338" s="1">
        <v>44811</v>
      </c>
      <c r="G7338" t="s">
        <v>2004</v>
      </c>
      <c r="H7338">
        <v>1</v>
      </c>
      <c r="I7338" s="12">
        <f>Table16[[#This Row],[price]]*Table16[[#This Row],[quantity]]</f>
        <v>1200.32</v>
      </c>
    </row>
    <row r="7339" spans="1:9" x14ac:dyDescent="0.3">
      <c r="A7339" t="s">
        <v>9351</v>
      </c>
      <c r="B7339" t="s">
        <v>1461</v>
      </c>
      <c r="C7339" t="s">
        <v>2008</v>
      </c>
      <c r="D7339">
        <v>5</v>
      </c>
      <c r="E7339" s="16">
        <v>26.15</v>
      </c>
      <c r="F7339" s="1">
        <v>44844</v>
      </c>
      <c r="G7339" t="s">
        <v>2064</v>
      </c>
      <c r="H7339">
        <v>4</v>
      </c>
      <c r="I7339" s="12">
        <f>Table16[[#This Row],[price]]*Table16[[#This Row],[quantity]]</f>
        <v>130.75</v>
      </c>
    </row>
    <row r="7340" spans="1:9" x14ac:dyDescent="0.3">
      <c r="A7340" t="s">
        <v>9356</v>
      </c>
      <c r="B7340" t="s">
        <v>1461</v>
      </c>
      <c r="C7340" t="s">
        <v>2001</v>
      </c>
      <c r="D7340">
        <v>4</v>
      </c>
      <c r="E7340" s="16">
        <v>1200.32</v>
      </c>
      <c r="F7340" s="1">
        <v>44859</v>
      </c>
      <c r="G7340" t="s">
        <v>2020</v>
      </c>
      <c r="H7340">
        <v>1</v>
      </c>
      <c r="I7340" s="12">
        <f>Table16[[#This Row],[price]]*Table16[[#This Row],[quantity]]</f>
        <v>4801.28</v>
      </c>
    </row>
    <row r="7341" spans="1:9" x14ac:dyDescent="0.3">
      <c r="A7341" t="s">
        <v>9355</v>
      </c>
      <c r="B7341" t="s">
        <v>1461</v>
      </c>
      <c r="C7341" t="s">
        <v>2017</v>
      </c>
      <c r="D7341">
        <v>1</v>
      </c>
      <c r="E7341" s="16">
        <v>1050</v>
      </c>
      <c r="F7341" s="1">
        <v>44950</v>
      </c>
      <c r="G7341" t="s">
        <v>2004</v>
      </c>
      <c r="H7341">
        <v>1</v>
      </c>
      <c r="I7341" s="12">
        <f>Table16[[#This Row],[price]]*Table16[[#This Row],[quantity]]</f>
        <v>1050</v>
      </c>
    </row>
    <row r="7342" spans="1:9" x14ac:dyDescent="0.3">
      <c r="A7342" t="s">
        <v>9359</v>
      </c>
      <c r="B7342" t="s">
        <v>1462</v>
      </c>
      <c r="C7342" t="s">
        <v>2008</v>
      </c>
      <c r="D7342">
        <v>3</v>
      </c>
      <c r="E7342" s="16">
        <v>15.69</v>
      </c>
      <c r="F7342" s="1">
        <v>44314</v>
      </c>
      <c r="G7342" t="s">
        <v>2004</v>
      </c>
      <c r="H7342">
        <v>4</v>
      </c>
      <c r="I7342" s="12">
        <f>Table16[[#This Row],[price]]*Table16[[#This Row],[quantity]]</f>
        <v>47.07</v>
      </c>
    </row>
    <row r="7343" spans="1:9" x14ac:dyDescent="0.3">
      <c r="A7343" t="s">
        <v>9362</v>
      </c>
      <c r="B7343" t="s">
        <v>1462</v>
      </c>
      <c r="C7343" t="s">
        <v>2008</v>
      </c>
      <c r="D7343">
        <v>2</v>
      </c>
      <c r="E7343" s="16">
        <v>10.46</v>
      </c>
      <c r="F7343" s="1">
        <v>44549</v>
      </c>
      <c r="G7343" t="s">
        <v>2004</v>
      </c>
      <c r="H7343">
        <v>5</v>
      </c>
      <c r="I7343" s="12">
        <f>Table16[[#This Row],[price]]*Table16[[#This Row],[quantity]]</f>
        <v>20.92</v>
      </c>
    </row>
    <row r="7344" spans="1:9" x14ac:dyDescent="0.3">
      <c r="A7344" t="s">
        <v>9360</v>
      </c>
      <c r="B7344" t="s">
        <v>1462</v>
      </c>
      <c r="C7344" t="s">
        <v>2015</v>
      </c>
      <c r="D7344">
        <v>1</v>
      </c>
      <c r="E7344" s="16">
        <v>600.16999999999996</v>
      </c>
      <c r="F7344" s="1">
        <v>44775</v>
      </c>
      <c r="G7344" t="s">
        <v>2018</v>
      </c>
      <c r="H7344">
        <v>1</v>
      </c>
      <c r="I7344" s="12">
        <f>Table16[[#This Row],[price]]*Table16[[#This Row],[quantity]]</f>
        <v>600.16999999999996</v>
      </c>
    </row>
    <row r="7345" spans="1:9" x14ac:dyDescent="0.3">
      <c r="A7345" t="s">
        <v>9358</v>
      </c>
      <c r="B7345" t="s">
        <v>1462</v>
      </c>
      <c r="C7345" t="s">
        <v>2006</v>
      </c>
      <c r="D7345">
        <v>2</v>
      </c>
      <c r="E7345" s="16">
        <v>30.3</v>
      </c>
      <c r="F7345" s="1">
        <v>44777</v>
      </c>
      <c r="G7345" t="s">
        <v>2020</v>
      </c>
      <c r="H7345">
        <v>1</v>
      </c>
      <c r="I7345" s="12">
        <f>Table16[[#This Row],[price]]*Table16[[#This Row],[quantity]]</f>
        <v>60.6</v>
      </c>
    </row>
    <row r="7346" spans="1:9" x14ac:dyDescent="0.3">
      <c r="A7346" t="s">
        <v>9361</v>
      </c>
      <c r="B7346" t="s">
        <v>1462</v>
      </c>
      <c r="C7346" t="s">
        <v>2015</v>
      </c>
      <c r="D7346">
        <v>3</v>
      </c>
      <c r="E7346" s="16">
        <v>1800.51</v>
      </c>
      <c r="F7346" s="1">
        <v>44809</v>
      </c>
      <c r="G7346" t="s">
        <v>2064</v>
      </c>
      <c r="H7346">
        <v>4</v>
      </c>
      <c r="I7346" s="12">
        <f>Table16[[#This Row],[price]]*Table16[[#This Row],[quantity]]</f>
        <v>5401.53</v>
      </c>
    </row>
    <row r="7347" spans="1:9" x14ac:dyDescent="0.3">
      <c r="A7347" t="s">
        <v>9364</v>
      </c>
      <c r="B7347" t="s">
        <v>1463</v>
      </c>
      <c r="C7347" t="s">
        <v>2024</v>
      </c>
      <c r="D7347">
        <v>5</v>
      </c>
      <c r="E7347" s="16">
        <v>179.2</v>
      </c>
      <c r="F7347" s="1">
        <v>44285</v>
      </c>
      <c r="G7347" t="s">
        <v>2002</v>
      </c>
      <c r="H7347">
        <v>5</v>
      </c>
      <c r="I7347" s="12">
        <f>Table16[[#This Row],[price]]*Table16[[#This Row],[quantity]]</f>
        <v>896</v>
      </c>
    </row>
    <row r="7348" spans="1:9" x14ac:dyDescent="0.3">
      <c r="A7348" t="s">
        <v>9363</v>
      </c>
      <c r="B7348" t="s">
        <v>1463</v>
      </c>
      <c r="C7348" t="s">
        <v>2024</v>
      </c>
      <c r="D7348">
        <v>3</v>
      </c>
      <c r="E7348" s="16">
        <v>107.52</v>
      </c>
      <c r="F7348" s="1">
        <v>44687</v>
      </c>
      <c r="G7348" t="s">
        <v>2004</v>
      </c>
      <c r="H7348">
        <v>5</v>
      </c>
      <c r="I7348" s="12">
        <f>Table16[[#This Row],[price]]*Table16[[#This Row],[quantity]]</f>
        <v>322.56</v>
      </c>
    </row>
    <row r="7349" spans="1:9" x14ac:dyDescent="0.3">
      <c r="A7349" t="s">
        <v>9365</v>
      </c>
      <c r="B7349" t="s">
        <v>1463</v>
      </c>
      <c r="C7349" t="s">
        <v>2008</v>
      </c>
      <c r="D7349">
        <v>3</v>
      </c>
      <c r="E7349" s="16">
        <v>15.69</v>
      </c>
      <c r="F7349" s="1">
        <v>44703</v>
      </c>
      <c r="G7349" t="s">
        <v>2004</v>
      </c>
      <c r="H7349">
        <v>5</v>
      </c>
      <c r="I7349" s="12">
        <f>Table16[[#This Row],[price]]*Table16[[#This Row],[quantity]]</f>
        <v>47.07</v>
      </c>
    </row>
    <row r="7350" spans="1:9" x14ac:dyDescent="0.3">
      <c r="A7350" t="s">
        <v>9367</v>
      </c>
      <c r="B7350" t="s">
        <v>1464</v>
      </c>
      <c r="C7350" t="s">
        <v>2057</v>
      </c>
      <c r="D7350">
        <v>1</v>
      </c>
      <c r="E7350" s="16">
        <v>11.73</v>
      </c>
      <c r="F7350" s="1">
        <v>44286</v>
      </c>
      <c r="G7350" t="s">
        <v>2004</v>
      </c>
      <c r="H7350">
        <v>2</v>
      </c>
      <c r="I7350" s="12">
        <f>Table16[[#This Row],[price]]*Table16[[#This Row],[quantity]]</f>
        <v>11.73</v>
      </c>
    </row>
    <row r="7351" spans="1:9" x14ac:dyDescent="0.3">
      <c r="A7351" t="s">
        <v>9366</v>
      </c>
      <c r="B7351" t="s">
        <v>1464</v>
      </c>
      <c r="C7351" t="s">
        <v>2001</v>
      </c>
      <c r="D7351">
        <v>1</v>
      </c>
      <c r="E7351" s="16">
        <v>300.08</v>
      </c>
      <c r="F7351" s="1">
        <v>44354</v>
      </c>
      <c r="G7351" t="s">
        <v>2012</v>
      </c>
      <c r="H7351">
        <v>3</v>
      </c>
      <c r="I7351" s="12">
        <f>Table16[[#This Row],[price]]*Table16[[#This Row],[quantity]]</f>
        <v>300.08</v>
      </c>
    </row>
    <row r="7352" spans="1:9" x14ac:dyDescent="0.3">
      <c r="A7352" t="s">
        <v>9370</v>
      </c>
      <c r="B7352" t="s">
        <v>1464</v>
      </c>
      <c r="C7352" t="s">
        <v>2017</v>
      </c>
      <c r="D7352">
        <v>5</v>
      </c>
      <c r="E7352" s="16">
        <v>5250</v>
      </c>
      <c r="F7352" s="1">
        <v>44380</v>
      </c>
      <c r="G7352" t="s">
        <v>2004</v>
      </c>
      <c r="H7352">
        <v>2</v>
      </c>
      <c r="I7352" s="12">
        <f>Table16[[#This Row],[price]]*Table16[[#This Row],[quantity]]</f>
        <v>26250</v>
      </c>
    </row>
    <row r="7353" spans="1:9" x14ac:dyDescent="0.3">
      <c r="A7353" t="s">
        <v>9368</v>
      </c>
      <c r="B7353" t="s">
        <v>1464</v>
      </c>
      <c r="C7353" t="s">
        <v>2011</v>
      </c>
      <c r="D7353">
        <v>2</v>
      </c>
      <c r="E7353" s="16">
        <v>81.319999999999993</v>
      </c>
      <c r="F7353" s="1">
        <v>44651</v>
      </c>
      <c r="G7353" t="s">
        <v>2064</v>
      </c>
      <c r="H7353">
        <v>3</v>
      </c>
      <c r="I7353" s="12">
        <f>Table16[[#This Row],[price]]*Table16[[#This Row],[quantity]]</f>
        <v>162.63999999999999</v>
      </c>
    </row>
    <row r="7354" spans="1:9" x14ac:dyDescent="0.3">
      <c r="A7354" t="s">
        <v>9369</v>
      </c>
      <c r="B7354" t="s">
        <v>1464</v>
      </c>
      <c r="C7354" t="s">
        <v>2024</v>
      </c>
      <c r="D7354">
        <v>5</v>
      </c>
      <c r="E7354" s="16">
        <v>179.2</v>
      </c>
      <c r="F7354" s="1">
        <v>44767</v>
      </c>
      <c r="G7354" t="s">
        <v>2002</v>
      </c>
      <c r="H7354">
        <v>1</v>
      </c>
      <c r="I7354" s="12">
        <f>Table16[[#This Row],[price]]*Table16[[#This Row],[quantity]]</f>
        <v>896</v>
      </c>
    </row>
    <row r="7355" spans="1:9" x14ac:dyDescent="0.3">
      <c r="A7355" t="s">
        <v>9372</v>
      </c>
      <c r="B7355" t="s">
        <v>1465</v>
      </c>
      <c r="C7355" t="s">
        <v>2015</v>
      </c>
      <c r="D7355">
        <v>3</v>
      </c>
      <c r="E7355" s="16">
        <v>1800.51</v>
      </c>
      <c r="F7355" s="1">
        <v>44354</v>
      </c>
      <c r="G7355" t="s">
        <v>2020</v>
      </c>
      <c r="H7355">
        <v>2</v>
      </c>
      <c r="I7355" s="12">
        <f>Table16[[#This Row],[price]]*Table16[[#This Row],[quantity]]</f>
        <v>5401.53</v>
      </c>
    </row>
    <row r="7356" spans="1:9" x14ac:dyDescent="0.3">
      <c r="A7356" t="s">
        <v>9371</v>
      </c>
      <c r="B7356" t="s">
        <v>1465</v>
      </c>
      <c r="C7356" t="s">
        <v>2024</v>
      </c>
      <c r="D7356">
        <v>1</v>
      </c>
      <c r="E7356" s="16">
        <v>35.840000000000003</v>
      </c>
      <c r="F7356" s="1">
        <v>44754</v>
      </c>
      <c r="G7356" t="s">
        <v>2058</v>
      </c>
      <c r="H7356">
        <v>1</v>
      </c>
      <c r="I7356" s="12">
        <f>Table16[[#This Row],[price]]*Table16[[#This Row],[quantity]]</f>
        <v>35.840000000000003</v>
      </c>
    </row>
    <row r="7357" spans="1:9" x14ac:dyDescent="0.3">
      <c r="A7357" t="s">
        <v>9373</v>
      </c>
      <c r="B7357" t="s">
        <v>1465</v>
      </c>
      <c r="C7357" t="s">
        <v>2057</v>
      </c>
      <c r="D7357">
        <v>3</v>
      </c>
      <c r="E7357" s="16">
        <v>35.19</v>
      </c>
      <c r="F7357" s="1">
        <v>44906</v>
      </c>
      <c r="G7357" t="s">
        <v>2020</v>
      </c>
      <c r="H7357">
        <v>1</v>
      </c>
      <c r="I7357" s="12">
        <f>Table16[[#This Row],[price]]*Table16[[#This Row],[quantity]]</f>
        <v>105.57</v>
      </c>
    </row>
    <row r="7358" spans="1:9" x14ac:dyDescent="0.3">
      <c r="A7358" t="s">
        <v>9374</v>
      </c>
      <c r="B7358" t="s">
        <v>1466</v>
      </c>
      <c r="C7358" t="s">
        <v>2015</v>
      </c>
      <c r="D7358">
        <v>1</v>
      </c>
      <c r="E7358" s="16">
        <v>600.16999999999996</v>
      </c>
      <c r="F7358" s="1">
        <v>44575</v>
      </c>
      <c r="G7358" t="s">
        <v>2002</v>
      </c>
      <c r="H7358">
        <v>3</v>
      </c>
      <c r="I7358" s="12">
        <f>Table16[[#This Row],[price]]*Table16[[#This Row],[quantity]]</f>
        <v>600.16999999999996</v>
      </c>
    </row>
    <row r="7359" spans="1:9" x14ac:dyDescent="0.3">
      <c r="A7359" t="s">
        <v>9376</v>
      </c>
      <c r="B7359" t="s">
        <v>1466</v>
      </c>
      <c r="C7359" t="s">
        <v>2008</v>
      </c>
      <c r="D7359">
        <v>3</v>
      </c>
      <c r="E7359" s="16">
        <v>15.69</v>
      </c>
      <c r="F7359" s="1">
        <v>44693</v>
      </c>
      <c r="G7359" t="s">
        <v>2027</v>
      </c>
      <c r="H7359">
        <v>1</v>
      </c>
      <c r="I7359" s="12">
        <f>Table16[[#This Row],[price]]*Table16[[#This Row],[quantity]]</f>
        <v>47.07</v>
      </c>
    </row>
    <row r="7360" spans="1:9" x14ac:dyDescent="0.3">
      <c r="A7360" t="s">
        <v>9375</v>
      </c>
      <c r="B7360" t="s">
        <v>1466</v>
      </c>
      <c r="C7360" t="s">
        <v>2057</v>
      </c>
      <c r="D7360">
        <v>3</v>
      </c>
      <c r="E7360" s="16">
        <v>35.19</v>
      </c>
      <c r="F7360" s="1">
        <v>44797</v>
      </c>
      <c r="G7360" t="s">
        <v>2020</v>
      </c>
      <c r="H7360">
        <v>4</v>
      </c>
      <c r="I7360" s="12">
        <f>Table16[[#This Row],[price]]*Table16[[#This Row],[quantity]]</f>
        <v>105.57</v>
      </c>
    </row>
    <row r="7361" spans="1:9" x14ac:dyDescent="0.3">
      <c r="A7361" t="s">
        <v>9377</v>
      </c>
      <c r="B7361" t="s">
        <v>1467</v>
      </c>
      <c r="C7361" t="s">
        <v>2001</v>
      </c>
      <c r="D7361">
        <v>4</v>
      </c>
      <c r="E7361" s="16">
        <v>1200.32</v>
      </c>
      <c r="F7361" s="1">
        <v>44512</v>
      </c>
      <c r="G7361" t="s">
        <v>2064</v>
      </c>
      <c r="H7361">
        <v>4</v>
      </c>
      <c r="I7361" s="12">
        <f>Table16[[#This Row],[price]]*Table16[[#This Row],[quantity]]</f>
        <v>4801.28</v>
      </c>
    </row>
    <row r="7362" spans="1:9" x14ac:dyDescent="0.3">
      <c r="A7362" t="s">
        <v>9380</v>
      </c>
      <c r="B7362" t="s">
        <v>1468</v>
      </c>
      <c r="C7362" t="s">
        <v>2001</v>
      </c>
      <c r="D7362">
        <v>2</v>
      </c>
      <c r="E7362" s="16">
        <v>600.16</v>
      </c>
      <c r="F7362" s="1">
        <v>44231</v>
      </c>
      <c r="G7362" t="s">
        <v>2027</v>
      </c>
      <c r="H7362">
        <v>1</v>
      </c>
      <c r="I7362" s="12">
        <f>Table16[[#This Row],[price]]*Table16[[#This Row],[quantity]]</f>
        <v>1200.32</v>
      </c>
    </row>
    <row r="7363" spans="1:9" x14ac:dyDescent="0.3">
      <c r="A7363" t="s">
        <v>9384</v>
      </c>
      <c r="B7363" t="s">
        <v>1468</v>
      </c>
      <c r="C7363" t="s">
        <v>2017</v>
      </c>
      <c r="D7363">
        <v>1</v>
      </c>
      <c r="E7363" s="16">
        <v>1050</v>
      </c>
      <c r="F7363" s="1">
        <v>44266</v>
      </c>
      <c r="G7363" t="s">
        <v>2020</v>
      </c>
      <c r="H7363">
        <v>4</v>
      </c>
      <c r="I7363" s="12">
        <f>Table16[[#This Row],[price]]*Table16[[#This Row],[quantity]]</f>
        <v>1050</v>
      </c>
    </row>
    <row r="7364" spans="1:9" x14ac:dyDescent="0.3">
      <c r="A7364" t="s">
        <v>9379</v>
      </c>
      <c r="B7364" t="s">
        <v>1468</v>
      </c>
      <c r="C7364" t="s">
        <v>2001</v>
      </c>
      <c r="D7364">
        <v>2</v>
      </c>
      <c r="E7364" s="16">
        <v>600.16</v>
      </c>
      <c r="F7364" s="1">
        <v>44280</v>
      </c>
      <c r="G7364" t="s">
        <v>2064</v>
      </c>
      <c r="H7364">
        <v>5</v>
      </c>
      <c r="I7364" s="12">
        <f>Table16[[#This Row],[price]]*Table16[[#This Row],[quantity]]</f>
        <v>1200.32</v>
      </c>
    </row>
    <row r="7365" spans="1:9" x14ac:dyDescent="0.3">
      <c r="A7365" t="s">
        <v>9378</v>
      </c>
      <c r="B7365" t="s">
        <v>1468</v>
      </c>
      <c r="C7365" t="s">
        <v>2024</v>
      </c>
      <c r="D7365">
        <v>3</v>
      </c>
      <c r="E7365" s="16">
        <v>107.52</v>
      </c>
      <c r="F7365" s="1">
        <v>44386</v>
      </c>
      <c r="G7365" t="s">
        <v>2020</v>
      </c>
      <c r="H7365">
        <v>2</v>
      </c>
      <c r="I7365" s="12">
        <f>Table16[[#This Row],[price]]*Table16[[#This Row],[quantity]]</f>
        <v>322.56</v>
      </c>
    </row>
    <row r="7366" spans="1:9" x14ac:dyDescent="0.3">
      <c r="A7366" t="s">
        <v>9386</v>
      </c>
      <c r="B7366" t="s">
        <v>1468</v>
      </c>
      <c r="C7366" t="s">
        <v>2008</v>
      </c>
      <c r="D7366">
        <v>1</v>
      </c>
      <c r="E7366" s="16">
        <v>5.23</v>
      </c>
      <c r="F7366" s="1">
        <v>44449</v>
      </c>
      <c r="G7366" t="s">
        <v>2002</v>
      </c>
      <c r="H7366">
        <v>3</v>
      </c>
      <c r="I7366" s="12">
        <f>Table16[[#This Row],[price]]*Table16[[#This Row],[quantity]]</f>
        <v>5.23</v>
      </c>
    </row>
    <row r="7367" spans="1:9" x14ac:dyDescent="0.3">
      <c r="A7367" t="s">
        <v>9382</v>
      </c>
      <c r="B7367" t="s">
        <v>1468</v>
      </c>
      <c r="C7367" t="s">
        <v>2024</v>
      </c>
      <c r="D7367">
        <v>3</v>
      </c>
      <c r="E7367" s="16">
        <v>107.52</v>
      </c>
      <c r="F7367" s="1">
        <v>44476</v>
      </c>
      <c r="G7367" t="s">
        <v>2002</v>
      </c>
      <c r="H7367">
        <v>4</v>
      </c>
      <c r="I7367" s="12">
        <f>Table16[[#This Row],[price]]*Table16[[#This Row],[quantity]]</f>
        <v>322.56</v>
      </c>
    </row>
    <row r="7368" spans="1:9" x14ac:dyDescent="0.3">
      <c r="A7368" t="s">
        <v>9383</v>
      </c>
      <c r="B7368" t="s">
        <v>1468</v>
      </c>
      <c r="C7368" t="s">
        <v>2001</v>
      </c>
      <c r="D7368">
        <v>4</v>
      </c>
      <c r="E7368" s="16">
        <v>1200.32</v>
      </c>
      <c r="F7368" s="1">
        <v>44509</v>
      </c>
      <c r="G7368" t="s">
        <v>2018</v>
      </c>
      <c r="H7368">
        <v>4</v>
      </c>
      <c r="I7368" s="12">
        <f>Table16[[#This Row],[price]]*Table16[[#This Row],[quantity]]</f>
        <v>4801.28</v>
      </c>
    </row>
    <row r="7369" spans="1:9" x14ac:dyDescent="0.3">
      <c r="A7369" t="s">
        <v>9381</v>
      </c>
      <c r="B7369" t="s">
        <v>1468</v>
      </c>
      <c r="C7369" t="s">
        <v>2008</v>
      </c>
      <c r="D7369">
        <v>3</v>
      </c>
      <c r="E7369" s="16">
        <v>15.69</v>
      </c>
      <c r="F7369" s="1">
        <v>44543</v>
      </c>
      <c r="G7369" t="s">
        <v>2002</v>
      </c>
      <c r="H7369">
        <v>2</v>
      </c>
      <c r="I7369" s="12">
        <f>Table16[[#This Row],[price]]*Table16[[#This Row],[quantity]]</f>
        <v>47.07</v>
      </c>
    </row>
    <row r="7370" spans="1:9" x14ac:dyDescent="0.3">
      <c r="A7370" t="s">
        <v>9385</v>
      </c>
      <c r="B7370" t="s">
        <v>1468</v>
      </c>
      <c r="C7370" t="s">
        <v>2001</v>
      </c>
      <c r="D7370">
        <v>5</v>
      </c>
      <c r="E7370" s="16">
        <v>1500.4</v>
      </c>
      <c r="F7370" s="1">
        <v>44932</v>
      </c>
      <c r="G7370" t="s">
        <v>2064</v>
      </c>
      <c r="H7370">
        <v>3</v>
      </c>
      <c r="I7370" s="12">
        <f>Table16[[#This Row],[price]]*Table16[[#This Row],[quantity]]</f>
        <v>7502</v>
      </c>
    </row>
    <row r="7371" spans="1:9" x14ac:dyDescent="0.3">
      <c r="A7371" t="s">
        <v>9391</v>
      </c>
      <c r="B7371" t="s">
        <v>1469</v>
      </c>
      <c r="C7371" t="s">
        <v>2015</v>
      </c>
      <c r="D7371">
        <v>4</v>
      </c>
      <c r="E7371" s="16">
        <v>2400.6799999999998</v>
      </c>
      <c r="F7371" s="1">
        <v>44294</v>
      </c>
      <c r="G7371" t="s">
        <v>2020</v>
      </c>
      <c r="H7371">
        <v>5</v>
      </c>
      <c r="I7371" s="12">
        <f>Table16[[#This Row],[price]]*Table16[[#This Row],[quantity]]</f>
        <v>9602.7199999999993</v>
      </c>
    </row>
    <row r="7372" spans="1:9" x14ac:dyDescent="0.3">
      <c r="A7372" t="s">
        <v>9388</v>
      </c>
      <c r="B7372" t="s">
        <v>1469</v>
      </c>
      <c r="C7372" t="s">
        <v>2008</v>
      </c>
      <c r="D7372">
        <v>3</v>
      </c>
      <c r="E7372" s="16">
        <v>15.69</v>
      </c>
      <c r="F7372" s="1">
        <v>44309</v>
      </c>
      <c r="G7372" t="s">
        <v>2002</v>
      </c>
      <c r="H7372">
        <v>1</v>
      </c>
      <c r="I7372" s="12">
        <f>Table16[[#This Row],[price]]*Table16[[#This Row],[quantity]]</f>
        <v>47.07</v>
      </c>
    </row>
    <row r="7373" spans="1:9" x14ac:dyDescent="0.3">
      <c r="A7373" t="s">
        <v>9390</v>
      </c>
      <c r="B7373" t="s">
        <v>1469</v>
      </c>
      <c r="C7373" t="s">
        <v>2011</v>
      </c>
      <c r="D7373">
        <v>3</v>
      </c>
      <c r="E7373" s="16">
        <v>121.98</v>
      </c>
      <c r="F7373" s="1">
        <v>44393</v>
      </c>
      <c r="G7373" t="s">
        <v>2009</v>
      </c>
      <c r="H7373">
        <v>5</v>
      </c>
      <c r="I7373" s="12">
        <f>Table16[[#This Row],[price]]*Table16[[#This Row],[quantity]]</f>
        <v>365.94</v>
      </c>
    </row>
    <row r="7374" spans="1:9" x14ac:dyDescent="0.3">
      <c r="A7374" t="s">
        <v>9389</v>
      </c>
      <c r="B7374" t="s">
        <v>1469</v>
      </c>
      <c r="C7374" t="s">
        <v>2001</v>
      </c>
      <c r="D7374">
        <v>3</v>
      </c>
      <c r="E7374" s="16">
        <v>900.24</v>
      </c>
      <c r="F7374" s="1">
        <v>44792</v>
      </c>
      <c r="G7374" t="s">
        <v>2027</v>
      </c>
      <c r="H7374">
        <v>4</v>
      </c>
      <c r="I7374" s="12">
        <f>Table16[[#This Row],[price]]*Table16[[#This Row],[quantity]]</f>
        <v>2700.7200000000003</v>
      </c>
    </row>
    <row r="7375" spans="1:9" x14ac:dyDescent="0.3">
      <c r="A7375" t="s">
        <v>9387</v>
      </c>
      <c r="B7375" t="s">
        <v>1469</v>
      </c>
      <c r="C7375" t="s">
        <v>2011</v>
      </c>
      <c r="D7375">
        <v>2</v>
      </c>
      <c r="E7375" s="16">
        <v>81.319999999999993</v>
      </c>
      <c r="F7375" s="1">
        <v>44836</v>
      </c>
      <c r="G7375" t="s">
        <v>2058</v>
      </c>
      <c r="H7375">
        <v>3</v>
      </c>
      <c r="I7375" s="12">
        <f>Table16[[#This Row],[price]]*Table16[[#This Row],[quantity]]</f>
        <v>162.63999999999999</v>
      </c>
    </row>
    <row r="7376" spans="1:9" x14ac:dyDescent="0.3">
      <c r="A7376" t="s">
        <v>9394</v>
      </c>
      <c r="B7376" t="s">
        <v>1470</v>
      </c>
      <c r="C7376" t="s">
        <v>2001</v>
      </c>
      <c r="D7376">
        <v>2</v>
      </c>
      <c r="E7376" s="16">
        <v>600.16</v>
      </c>
      <c r="F7376" s="1">
        <v>44318</v>
      </c>
      <c r="G7376" t="s">
        <v>2004</v>
      </c>
      <c r="H7376">
        <v>5</v>
      </c>
      <c r="I7376" s="12">
        <f>Table16[[#This Row],[price]]*Table16[[#This Row],[quantity]]</f>
        <v>1200.32</v>
      </c>
    </row>
    <row r="7377" spans="1:9" x14ac:dyDescent="0.3">
      <c r="A7377" t="s">
        <v>9397</v>
      </c>
      <c r="B7377" t="s">
        <v>1470</v>
      </c>
      <c r="C7377" t="s">
        <v>2011</v>
      </c>
      <c r="D7377">
        <v>4</v>
      </c>
      <c r="E7377" s="16">
        <v>162.63999999999999</v>
      </c>
      <c r="F7377" s="1">
        <v>44697</v>
      </c>
      <c r="G7377" t="s">
        <v>2004</v>
      </c>
      <c r="H7377">
        <v>5</v>
      </c>
      <c r="I7377" s="12">
        <f>Table16[[#This Row],[price]]*Table16[[#This Row],[quantity]]</f>
        <v>650.55999999999995</v>
      </c>
    </row>
    <row r="7378" spans="1:9" x14ac:dyDescent="0.3">
      <c r="A7378" t="s">
        <v>9393</v>
      </c>
      <c r="B7378" t="s">
        <v>1470</v>
      </c>
      <c r="C7378" t="s">
        <v>2011</v>
      </c>
      <c r="D7378">
        <v>5</v>
      </c>
      <c r="E7378" s="16">
        <v>203.3</v>
      </c>
      <c r="F7378" s="1">
        <v>44749</v>
      </c>
      <c r="G7378" t="s">
        <v>2002</v>
      </c>
      <c r="H7378">
        <v>5</v>
      </c>
      <c r="I7378" s="12">
        <f>Table16[[#This Row],[price]]*Table16[[#This Row],[quantity]]</f>
        <v>1016.5</v>
      </c>
    </row>
    <row r="7379" spans="1:9" x14ac:dyDescent="0.3">
      <c r="A7379" t="s">
        <v>9392</v>
      </c>
      <c r="B7379" t="s">
        <v>1470</v>
      </c>
      <c r="C7379" t="s">
        <v>2011</v>
      </c>
      <c r="D7379">
        <v>1</v>
      </c>
      <c r="E7379" s="16">
        <v>40.659999999999997</v>
      </c>
      <c r="F7379" s="1">
        <v>44788</v>
      </c>
      <c r="G7379" t="s">
        <v>2027</v>
      </c>
      <c r="H7379">
        <v>1</v>
      </c>
      <c r="I7379" s="12">
        <f>Table16[[#This Row],[price]]*Table16[[#This Row],[quantity]]</f>
        <v>40.659999999999997</v>
      </c>
    </row>
    <row r="7380" spans="1:9" x14ac:dyDescent="0.3">
      <c r="A7380" t="s">
        <v>9396</v>
      </c>
      <c r="B7380" t="s">
        <v>1470</v>
      </c>
      <c r="C7380" t="s">
        <v>2015</v>
      </c>
      <c r="D7380">
        <v>3</v>
      </c>
      <c r="E7380" s="16">
        <v>1800.51</v>
      </c>
      <c r="F7380" s="1">
        <v>44847</v>
      </c>
      <c r="G7380" t="s">
        <v>2058</v>
      </c>
      <c r="H7380">
        <v>5</v>
      </c>
      <c r="I7380" s="12">
        <f>Table16[[#This Row],[price]]*Table16[[#This Row],[quantity]]</f>
        <v>5401.53</v>
      </c>
    </row>
    <row r="7381" spans="1:9" x14ac:dyDescent="0.3">
      <c r="A7381" t="s">
        <v>9395</v>
      </c>
      <c r="B7381" t="s">
        <v>1470</v>
      </c>
      <c r="C7381" t="s">
        <v>2001</v>
      </c>
      <c r="D7381">
        <v>5</v>
      </c>
      <c r="E7381" s="16">
        <v>1500.4</v>
      </c>
      <c r="F7381" s="1">
        <v>44924</v>
      </c>
      <c r="G7381" t="s">
        <v>2027</v>
      </c>
      <c r="H7381">
        <v>3</v>
      </c>
      <c r="I7381" s="12">
        <f>Table16[[#This Row],[price]]*Table16[[#This Row],[quantity]]</f>
        <v>7502</v>
      </c>
    </row>
    <row r="7382" spans="1:9" x14ac:dyDescent="0.3">
      <c r="A7382" t="s">
        <v>9399</v>
      </c>
      <c r="B7382" t="s">
        <v>1471</v>
      </c>
      <c r="C7382" t="s">
        <v>2011</v>
      </c>
      <c r="D7382">
        <v>5</v>
      </c>
      <c r="E7382" s="16">
        <v>203.3</v>
      </c>
      <c r="F7382" s="1">
        <v>44284</v>
      </c>
      <c r="G7382" t="s">
        <v>2041</v>
      </c>
      <c r="H7382">
        <v>5</v>
      </c>
      <c r="I7382" s="12">
        <f>Table16[[#This Row],[price]]*Table16[[#This Row],[quantity]]</f>
        <v>1016.5</v>
      </c>
    </row>
    <row r="7383" spans="1:9" x14ac:dyDescent="0.3">
      <c r="A7383" t="s">
        <v>9400</v>
      </c>
      <c r="B7383" t="s">
        <v>1471</v>
      </c>
      <c r="C7383" t="s">
        <v>2015</v>
      </c>
      <c r="D7383">
        <v>5</v>
      </c>
      <c r="E7383" s="16">
        <v>3000.85</v>
      </c>
      <c r="F7383" s="1">
        <v>44413</v>
      </c>
      <c r="G7383" t="s">
        <v>2064</v>
      </c>
      <c r="H7383">
        <v>4</v>
      </c>
      <c r="I7383" s="12">
        <f>Table16[[#This Row],[price]]*Table16[[#This Row],[quantity]]</f>
        <v>15004.25</v>
      </c>
    </row>
    <row r="7384" spans="1:9" x14ac:dyDescent="0.3">
      <c r="A7384" t="s">
        <v>9401</v>
      </c>
      <c r="B7384" t="s">
        <v>1471</v>
      </c>
      <c r="C7384" t="s">
        <v>2008</v>
      </c>
      <c r="D7384">
        <v>4</v>
      </c>
      <c r="E7384" s="16">
        <v>20.92</v>
      </c>
      <c r="F7384" s="1">
        <v>44822</v>
      </c>
      <c r="G7384" t="s">
        <v>2027</v>
      </c>
      <c r="H7384">
        <v>4</v>
      </c>
      <c r="I7384" s="12">
        <f>Table16[[#This Row],[price]]*Table16[[#This Row],[quantity]]</f>
        <v>83.68</v>
      </c>
    </row>
    <row r="7385" spans="1:9" x14ac:dyDescent="0.3">
      <c r="A7385" t="s">
        <v>9398</v>
      </c>
      <c r="B7385" t="s">
        <v>1471</v>
      </c>
      <c r="C7385" t="s">
        <v>2024</v>
      </c>
      <c r="D7385">
        <v>4</v>
      </c>
      <c r="E7385" s="16">
        <v>143.36000000000001</v>
      </c>
      <c r="F7385" s="1">
        <v>44908</v>
      </c>
      <c r="G7385" t="s">
        <v>2020</v>
      </c>
      <c r="H7385">
        <v>1</v>
      </c>
      <c r="I7385" s="12">
        <f>Table16[[#This Row],[price]]*Table16[[#This Row],[quantity]]</f>
        <v>573.44000000000005</v>
      </c>
    </row>
    <row r="7386" spans="1:9" x14ac:dyDescent="0.3">
      <c r="A7386" t="s">
        <v>9407</v>
      </c>
      <c r="B7386" t="s">
        <v>1472</v>
      </c>
      <c r="C7386" t="s">
        <v>2008</v>
      </c>
      <c r="D7386">
        <v>2</v>
      </c>
      <c r="E7386" s="16">
        <v>10.46</v>
      </c>
      <c r="F7386" s="1">
        <v>44314</v>
      </c>
      <c r="G7386" t="s">
        <v>2020</v>
      </c>
      <c r="H7386">
        <v>2</v>
      </c>
      <c r="I7386" s="12">
        <f>Table16[[#This Row],[price]]*Table16[[#This Row],[quantity]]</f>
        <v>20.92</v>
      </c>
    </row>
    <row r="7387" spans="1:9" x14ac:dyDescent="0.3">
      <c r="A7387" t="s">
        <v>9402</v>
      </c>
      <c r="B7387" t="s">
        <v>1472</v>
      </c>
      <c r="C7387" t="s">
        <v>2017</v>
      </c>
      <c r="D7387">
        <v>1</v>
      </c>
      <c r="E7387" s="16">
        <v>1050</v>
      </c>
      <c r="F7387" s="1">
        <v>44339</v>
      </c>
      <c r="G7387" t="s">
        <v>2002</v>
      </c>
      <c r="H7387">
        <v>3</v>
      </c>
      <c r="I7387" s="12">
        <f>Table16[[#This Row],[price]]*Table16[[#This Row],[quantity]]</f>
        <v>1050</v>
      </c>
    </row>
    <row r="7388" spans="1:9" x14ac:dyDescent="0.3">
      <c r="A7388" t="s">
        <v>9403</v>
      </c>
      <c r="B7388" t="s">
        <v>1472</v>
      </c>
      <c r="C7388" t="s">
        <v>2015</v>
      </c>
      <c r="D7388">
        <v>1</v>
      </c>
      <c r="E7388" s="16">
        <v>600.16999999999996</v>
      </c>
      <c r="F7388" s="1">
        <v>44355</v>
      </c>
      <c r="G7388" t="s">
        <v>2064</v>
      </c>
      <c r="H7388">
        <v>1</v>
      </c>
      <c r="I7388" s="12">
        <f>Table16[[#This Row],[price]]*Table16[[#This Row],[quantity]]</f>
        <v>600.16999999999996</v>
      </c>
    </row>
    <row r="7389" spans="1:9" x14ac:dyDescent="0.3">
      <c r="A7389" t="s">
        <v>9406</v>
      </c>
      <c r="B7389" t="s">
        <v>1472</v>
      </c>
      <c r="C7389" t="s">
        <v>2011</v>
      </c>
      <c r="D7389">
        <v>3</v>
      </c>
      <c r="E7389" s="16">
        <v>121.98</v>
      </c>
      <c r="F7389" s="1">
        <v>44626</v>
      </c>
      <c r="G7389" t="s">
        <v>2002</v>
      </c>
      <c r="H7389">
        <v>1</v>
      </c>
      <c r="I7389" s="12">
        <f>Table16[[#This Row],[price]]*Table16[[#This Row],[quantity]]</f>
        <v>365.94</v>
      </c>
    </row>
    <row r="7390" spans="1:9" x14ac:dyDescent="0.3">
      <c r="A7390" t="s">
        <v>9404</v>
      </c>
      <c r="B7390" t="s">
        <v>1472</v>
      </c>
      <c r="C7390" t="s">
        <v>2024</v>
      </c>
      <c r="D7390">
        <v>4</v>
      </c>
      <c r="E7390" s="16">
        <v>143.36000000000001</v>
      </c>
      <c r="F7390" s="1">
        <v>44736</v>
      </c>
      <c r="G7390" t="s">
        <v>2002</v>
      </c>
      <c r="H7390">
        <v>2</v>
      </c>
      <c r="I7390" s="12">
        <f>Table16[[#This Row],[price]]*Table16[[#This Row],[quantity]]</f>
        <v>573.44000000000005</v>
      </c>
    </row>
    <row r="7391" spans="1:9" x14ac:dyDescent="0.3">
      <c r="A7391" t="s">
        <v>9408</v>
      </c>
      <c r="B7391" t="s">
        <v>1472</v>
      </c>
      <c r="C7391" t="s">
        <v>2017</v>
      </c>
      <c r="D7391">
        <v>5</v>
      </c>
      <c r="E7391" s="16">
        <v>5250</v>
      </c>
      <c r="F7391" s="1">
        <v>44808</v>
      </c>
      <c r="G7391" t="s">
        <v>2002</v>
      </c>
      <c r="H7391">
        <v>5</v>
      </c>
      <c r="I7391" s="12">
        <f>Table16[[#This Row],[price]]*Table16[[#This Row],[quantity]]</f>
        <v>26250</v>
      </c>
    </row>
    <row r="7392" spans="1:9" x14ac:dyDescent="0.3">
      <c r="A7392" t="s">
        <v>9405</v>
      </c>
      <c r="B7392" t="s">
        <v>1472</v>
      </c>
      <c r="C7392" t="s">
        <v>2006</v>
      </c>
      <c r="D7392">
        <v>2</v>
      </c>
      <c r="E7392" s="16">
        <v>30.3</v>
      </c>
      <c r="F7392" s="1">
        <v>44862</v>
      </c>
      <c r="G7392" t="s">
        <v>2002</v>
      </c>
      <c r="H7392">
        <v>1</v>
      </c>
      <c r="I7392" s="12">
        <f>Table16[[#This Row],[price]]*Table16[[#This Row],[quantity]]</f>
        <v>60.6</v>
      </c>
    </row>
    <row r="7393" spans="1:9" x14ac:dyDescent="0.3">
      <c r="A7393" t="s">
        <v>9412</v>
      </c>
      <c r="B7393" t="s">
        <v>1473</v>
      </c>
      <c r="C7393" t="s">
        <v>2024</v>
      </c>
      <c r="D7393">
        <v>5</v>
      </c>
      <c r="E7393" s="16">
        <v>179.2</v>
      </c>
      <c r="F7393" s="1">
        <v>44572</v>
      </c>
      <c r="G7393" t="s">
        <v>2064</v>
      </c>
      <c r="H7393">
        <v>2</v>
      </c>
      <c r="I7393" s="12">
        <f>Table16[[#This Row],[price]]*Table16[[#This Row],[quantity]]</f>
        <v>896</v>
      </c>
    </row>
    <row r="7394" spans="1:9" x14ac:dyDescent="0.3">
      <c r="A7394" t="s">
        <v>9413</v>
      </c>
      <c r="B7394" t="s">
        <v>1473</v>
      </c>
      <c r="C7394" t="s">
        <v>2011</v>
      </c>
      <c r="D7394">
        <v>2</v>
      </c>
      <c r="E7394" s="16">
        <v>81.319999999999993</v>
      </c>
      <c r="F7394" s="1">
        <v>44578</v>
      </c>
      <c r="G7394" t="s">
        <v>2027</v>
      </c>
      <c r="H7394">
        <v>3</v>
      </c>
      <c r="I7394" s="12">
        <f>Table16[[#This Row],[price]]*Table16[[#This Row],[quantity]]</f>
        <v>162.63999999999999</v>
      </c>
    </row>
    <row r="7395" spans="1:9" x14ac:dyDescent="0.3">
      <c r="A7395" t="s">
        <v>9409</v>
      </c>
      <c r="B7395" t="s">
        <v>1473</v>
      </c>
      <c r="C7395" t="s">
        <v>2057</v>
      </c>
      <c r="D7395">
        <v>5</v>
      </c>
      <c r="E7395" s="16">
        <v>58.65</v>
      </c>
      <c r="F7395" s="1">
        <v>44615</v>
      </c>
      <c r="G7395" t="s">
        <v>2027</v>
      </c>
      <c r="H7395">
        <v>5</v>
      </c>
      <c r="I7395" s="12">
        <f>Table16[[#This Row],[price]]*Table16[[#This Row],[quantity]]</f>
        <v>293.25</v>
      </c>
    </row>
    <row r="7396" spans="1:9" x14ac:dyDescent="0.3">
      <c r="A7396" t="s">
        <v>9411</v>
      </c>
      <c r="B7396" t="s">
        <v>1473</v>
      </c>
      <c r="C7396" t="s">
        <v>2015</v>
      </c>
      <c r="D7396">
        <v>1</v>
      </c>
      <c r="E7396" s="16">
        <v>600.16999999999996</v>
      </c>
      <c r="F7396" s="1">
        <v>44687</v>
      </c>
      <c r="G7396" t="s">
        <v>2004</v>
      </c>
      <c r="H7396">
        <v>1</v>
      </c>
      <c r="I7396" s="12">
        <f>Table16[[#This Row],[price]]*Table16[[#This Row],[quantity]]</f>
        <v>600.16999999999996</v>
      </c>
    </row>
    <row r="7397" spans="1:9" x14ac:dyDescent="0.3">
      <c r="A7397" t="s">
        <v>9410</v>
      </c>
      <c r="B7397" t="s">
        <v>1473</v>
      </c>
      <c r="C7397" t="s">
        <v>2011</v>
      </c>
      <c r="D7397">
        <v>4</v>
      </c>
      <c r="E7397" s="16">
        <v>162.63999999999999</v>
      </c>
      <c r="F7397" s="1">
        <v>44909</v>
      </c>
      <c r="G7397" t="s">
        <v>2027</v>
      </c>
      <c r="H7397">
        <v>5</v>
      </c>
      <c r="I7397" s="12">
        <f>Table16[[#This Row],[price]]*Table16[[#This Row],[quantity]]</f>
        <v>650.55999999999995</v>
      </c>
    </row>
    <row r="7398" spans="1:9" x14ac:dyDescent="0.3">
      <c r="A7398" t="s">
        <v>9414</v>
      </c>
      <c r="B7398" t="s">
        <v>1474</v>
      </c>
      <c r="C7398" t="s">
        <v>2006</v>
      </c>
      <c r="D7398">
        <v>3</v>
      </c>
      <c r="E7398" s="16">
        <v>45.45</v>
      </c>
      <c r="F7398" s="1">
        <v>44249</v>
      </c>
      <c r="G7398" t="s">
        <v>2020</v>
      </c>
      <c r="H7398">
        <v>3</v>
      </c>
      <c r="I7398" s="12">
        <f>Table16[[#This Row],[price]]*Table16[[#This Row],[quantity]]</f>
        <v>136.35000000000002</v>
      </c>
    </row>
    <row r="7399" spans="1:9" x14ac:dyDescent="0.3">
      <c r="A7399" t="s">
        <v>9418</v>
      </c>
      <c r="B7399" t="s">
        <v>1474</v>
      </c>
      <c r="C7399" t="s">
        <v>2006</v>
      </c>
      <c r="D7399">
        <v>1</v>
      </c>
      <c r="E7399" s="16">
        <v>15.15</v>
      </c>
      <c r="F7399" s="1">
        <v>44268</v>
      </c>
      <c r="G7399" t="s">
        <v>2027</v>
      </c>
      <c r="H7399">
        <v>2</v>
      </c>
      <c r="I7399" s="12">
        <f>Table16[[#This Row],[price]]*Table16[[#This Row],[quantity]]</f>
        <v>15.15</v>
      </c>
    </row>
    <row r="7400" spans="1:9" x14ac:dyDescent="0.3">
      <c r="A7400" t="s">
        <v>9415</v>
      </c>
      <c r="B7400" t="s">
        <v>1474</v>
      </c>
      <c r="C7400" t="s">
        <v>2017</v>
      </c>
      <c r="D7400">
        <v>2</v>
      </c>
      <c r="E7400" s="16">
        <v>2100</v>
      </c>
      <c r="F7400" s="1">
        <v>44314</v>
      </c>
      <c r="G7400" t="s">
        <v>2004</v>
      </c>
      <c r="H7400">
        <v>2</v>
      </c>
      <c r="I7400" s="12">
        <f>Table16[[#This Row],[price]]*Table16[[#This Row],[quantity]]</f>
        <v>4200</v>
      </c>
    </row>
    <row r="7401" spans="1:9" x14ac:dyDescent="0.3">
      <c r="A7401" t="s">
        <v>9416</v>
      </c>
      <c r="B7401" t="s">
        <v>1474</v>
      </c>
      <c r="C7401" t="s">
        <v>2011</v>
      </c>
      <c r="D7401">
        <v>1</v>
      </c>
      <c r="E7401" s="16">
        <v>40.659999999999997</v>
      </c>
      <c r="F7401" s="1">
        <v>44566</v>
      </c>
      <c r="G7401" t="s">
        <v>2004</v>
      </c>
      <c r="H7401">
        <v>2</v>
      </c>
      <c r="I7401" s="12">
        <f>Table16[[#This Row],[price]]*Table16[[#This Row],[quantity]]</f>
        <v>40.659999999999997</v>
      </c>
    </row>
    <row r="7402" spans="1:9" x14ac:dyDescent="0.3">
      <c r="A7402" t="s">
        <v>9417</v>
      </c>
      <c r="B7402" t="s">
        <v>1474</v>
      </c>
      <c r="C7402" t="s">
        <v>2015</v>
      </c>
      <c r="D7402">
        <v>4</v>
      </c>
      <c r="E7402" s="16">
        <v>2400.6799999999998</v>
      </c>
      <c r="F7402" s="1">
        <v>44571</v>
      </c>
      <c r="G7402" t="s">
        <v>2018</v>
      </c>
      <c r="H7402">
        <v>1</v>
      </c>
      <c r="I7402" s="12">
        <f>Table16[[#This Row],[price]]*Table16[[#This Row],[quantity]]</f>
        <v>9602.7199999999993</v>
      </c>
    </row>
    <row r="7403" spans="1:9" x14ac:dyDescent="0.3">
      <c r="A7403" t="s">
        <v>9421</v>
      </c>
      <c r="B7403" t="s">
        <v>1475</v>
      </c>
      <c r="C7403" t="s">
        <v>2001</v>
      </c>
      <c r="D7403">
        <v>2</v>
      </c>
      <c r="E7403" s="16">
        <v>600.16</v>
      </c>
      <c r="F7403" s="1">
        <v>44299</v>
      </c>
      <c r="G7403" t="s">
        <v>2002</v>
      </c>
      <c r="H7403">
        <v>1</v>
      </c>
      <c r="I7403" s="12">
        <f>Table16[[#This Row],[price]]*Table16[[#This Row],[quantity]]</f>
        <v>1200.32</v>
      </c>
    </row>
    <row r="7404" spans="1:9" x14ac:dyDescent="0.3">
      <c r="A7404" t="s">
        <v>9424</v>
      </c>
      <c r="B7404" t="s">
        <v>1475</v>
      </c>
      <c r="C7404" t="s">
        <v>2001</v>
      </c>
      <c r="D7404">
        <v>3</v>
      </c>
      <c r="E7404" s="16">
        <v>900.24</v>
      </c>
      <c r="F7404" s="1">
        <v>44357</v>
      </c>
      <c r="G7404" t="s">
        <v>2002</v>
      </c>
      <c r="H7404">
        <v>1</v>
      </c>
      <c r="I7404" s="12">
        <f>Table16[[#This Row],[price]]*Table16[[#This Row],[quantity]]</f>
        <v>2700.7200000000003</v>
      </c>
    </row>
    <row r="7405" spans="1:9" x14ac:dyDescent="0.3">
      <c r="A7405" t="s">
        <v>9423</v>
      </c>
      <c r="B7405" t="s">
        <v>1475</v>
      </c>
      <c r="C7405" t="s">
        <v>2001</v>
      </c>
      <c r="D7405">
        <v>4</v>
      </c>
      <c r="E7405" s="16">
        <v>1200.32</v>
      </c>
      <c r="F7405" s="1">
        <v>44481</v>
      </c>
      <c r="G7405" t="s">
        <v>2064</v>
      </c>
      <c r="H7405">
        <v>5</v>
      </c>
      <c r="I7405" s="12">
        <f>Table16[[#This Row],[price]]*Table16[[#This Row],[quantity]]</f>
        <v>4801.28</v>
      </c>
    </row>
    <row r="7406" spans="1:9" x14ac:dyDescent="0.3">
      <c r="A7406" t="s">
        <v>9422</v>
      </c>
      <c r="B7406" t="s">
        <v>1475</v>
      </c>
      <c r="C7406" t="s">
        <v>2001</v>
      </c>
      <c r="D7406">
        <v>2</v>
      </c>
      <c r="E7406" s="16">
        <v>600.16</v>
      </c>
      <c r="F7406" s="1">
        <v>44488</v>
      </c>
      <c r="G7406" t="s">
        <v>2004</v>
      </c>
      <c r="H7406">
        <v>4</v>
      </c>
      <c r="I7406" s="12">
        <f>Table16[[#This Row],[price]]*Table16[[#This Row],[quantity]]</f>
        <v>1200.32</v>
      </c>
    </row>
    <row r="7407" spans="1:9" x14ac:dyDescent="0.3">
      <c r="A7407" t="s">
        <v>9420</v>
      </c>
      <c r="B7407" t="s">
        <v>1475</v>
      </c>
      <c r="C7407" t="s">
        <v>2011</v>
      </c>
      <c r="D7407">
        <v>1</v>
      </c>
      <c r="E7407" s="16">
        <v>40.659999999999997</v>
      </c>
      <c r="F7407" s="1">
        <v>44550</v>
      </c>
      <c r="G7407" t="s">
        <v>2012</v>
      </c>
      <c r="H7407">
        <v>4</v>
      </c>
      <c r="I7407" s="12">
        <f>Table16[[#This Row],[price]]*Table16[[#This Row],[quantity]]</f>
        <v>40.659999999999997</v>
      </c>
    </row>
    <row r="7408" spans="1:9" x14ac:dyDescent="0.3">
      <c r="A7408" t="s">
        <v>9419</v>
      </c>
      <c r="B7408" t="s">
        <v>1475</v>
      </c>
      <c r="C7408" t="s">
        <v>2011</v>
      </c>
      <c r="D7408">
        <v>1</v>
      </c>
      <c r="E7408" s="16">
        <v>40.659999999999997</v>
      </c>
      <c r="F7408" s="1">
        <v>44993</v>
      </c>
      <c r="G7408" t="s">
        <v>2012</v>
      </c>
      <c r="H7408">
        <v>2</v>
      </c>
      <c r="I7408" s="12">
        <f>Table16[[#This Row],[price]]*Table16[[#This Row],[quantity]]</f>
        <v>40.659999999999997</v>
      </c>
    </row>
    <row r="7409" spans="1:9" x14ac:dyDescent="0.3">
      <c r="A7409" t="s">
        <v>9427</v>
      </c>
      <c r="B7409" t="s">
        <v>1476</v>
      </c>
      <c r="C7409" t="s">
        <v>2015</v>
      </c>
      <c r="D7409">
        <v>4</v>
      </c>
      <c r="E7409" s="16">
        <v>2400.6799999999998</v>
      </c>
      <c r="F7409" s="1">
        <v>44301</v>
      </c>
      <c r="G7409" t="s">
        <v>2027</v>
      </c>
      <c r="H7409">
        <v>3</v>
      </c>
      <c r="I7409" s="12">
        <f>Table16[[#This Row],[price]]*Table16[[#This Row],[quantity]]</f>
        <v>9602.7199999999993</v>
      </c>
    </row>
    <row r="7410" spans="1:9" x14ac:dyDescent="0.3">
      <c r="A7410" t="s">
        <v>9426</v>
      </c>
      <c r="B7410" t="s">
        <v>1476</v>
      </c>
      <c r="C7410" t="s">
        <v>2008</v>
      </c>
      <c r="D7410">
        <v>5</v>
      </c>
      <c r="E7410" s="16">
        <v>26.15</v>
      </c>
      <c r="F7410" s="1">
        <v>44358</v>
      </c>
      <c r="G7410" t="s">
        <v>2027</v>
      </c>
      <c r="H7410">
        <v>2</v>
      </c>
      <c r="I7410" s="12">
        <f>Table16[[#This Row],[price]]*Table16[[#This Row],[quantity]]</f>
        <v>130.75</v>
      </c>
    </row>
    <row r="7411" spans="1:9" x14ac:dyDescent="0.3">
      <c r="A7411" t="s">
        <v>9425</v>
      </c>
      <c r="B7411" t="s">
        <v>1476</v>
      </c>
      <c r="C7411" t="s">
        <v>2001</v>
      </c>
      <c r="D7411">
        <v>1</v>
      </c>
      <c r="E7411" s="16">
        <v>300.08</v>
      </c>
      <c r="F7411" s="1">
        <v>44578</v>
      </c>
      <c r="G7411" t="s">
        <v>2027</v>
      </c>
      <c r="H7411">
        <v>5</v>
      </c>
      <c r="I7411" s="12">
        <f>Table16[[#This Row],[price]]*Table16[[#This Row],[quantity]]</f>
        <v>300.08</v>
      </c>
    </row>
    <row r="7412" spans="1:9" x14ac:dyDescent="0.3">
      <c r="A7412" t="s">
        <v>9428</v>
      </c>
      <c r="B7412" t="s">
        <v>1476</v>
      </c>
      <c r="C7412" t="s">
        <v>2008</v>
      </c>
      <c r="D7412">
        <v>1</v>
      </c>
      <c r="E7412" s="16">
        <v>5.23</v>
      </c>
      <c r="F7412" s="1">
        <v>44745</v>
      </c>
      <c r="G7412" t="s">
        <v>2020</v>
      </c>
      <c r="H7412">
        <v>5</v>
      </c>
      <c r="I7412" s="12">
        <f>Table16[[#This Row],[price]]*Table16[[#This Row],[quantity]]</f>
        <v>5.23</v>
      </c>
    </row>
    <row r="7413" spans="1:9" x14ac:dyDescent="0.3">
      <c r="A7413" t="s">
        <v>9429</v>
      </c>
      <c r="B7413" t="s">
        <v>1476</v>
      </c>
      <c r="C7413" t="s">
        <v>2024</v>
      </c>
      <c r="D7413">
        <v>2</v>
      </c>
      <c r="E7413" s="16">
        <v>71.680000000000007</v>
      </c>
      <c r="F7413" s="1">
        <v>44876</v>
      </c>
      <c r="G7413" t="s">
        <v>2020</v>
      </c>
      <c r="H7413">
        <v>2</v>
      </c>
      <c r="I7413" s="12">
        <f>Table16[[#This Row],[price]]*Table16[[#This Row],[quantity]]</f>
        <v>143.36000000000001</v>
      </c>
    </row>
    <row r="7414" spans="1:9" x14ac:dyDescent="0.3">
      <c r="A7414" t="s">
        <v>9431</v>
      </c>
      <c r="B7414" t="s">
        <v>1477</v>
      </c>
      <c r="C7414" t="s">
        <v>2057</v>
      </c>
      <c r="D7414">
        <v>1</v>
      </c>
      <c r="E7414" s="16">
        <v>11.73</v>
      </c>
      <c r="F7414" s="1">
        <v>44240</v>
      </c>
      <c r="G7414" t="s">
        <v>2002</v>
      </c>
      <c r="H7414">
        <v>3</v>
      </c>
      <c r="I7414" s="12">
        <f>Table16[[#This Row],[price]]*Table16[[#This Row],[quantity]]</f>
        <v>11.73</v>
      </c>
    </row>
    <row r="7415" spans="1:9" x14ac:dyDescent="0.3">
      <c r="A7415" t="s">
        <v>9430</v>
      </c>
      <c r="B7415" t="s">
        <v>1477</v>
      </c>
      <c r="C7415" t="s">
        <v>2001</v>
      </c>
      <c r="D7415">
        <v>4</v>
      </c>
      <c r="E7415" s="16">
        <v>1200.32</v>
      </c>
      <c r="F7415" s="1">
        <v>44349</v>
      </c>
      <c r="G7415" t="s">
        <v>2027</v>
      </c>
      <c r="H7415">
        <v>1</v>
      </c>
      <c r="I7415" s="12">
        <f>Table16[[#This Row],[price]]*Table16[[#This Row],[quantity]]</f>
        <v>4801.28</v>
      </c>
    </row>
    <row r="7416" spans="1:9" x14ac:dyDescent="0.3">
      <c r="A7416" t="s">
        <v>9434</v>
      </c>
      <c r="B7416" t="s">
        <v>1478</v>
      </c>
      <c r="C7416" t="s">
        <v>2001</v>
      </c>
      <c r="D7416">
        <v>5</v>
      </c>
      <c r="E7416" s="16">
        <v>1500.4</v>
      </c>
      <c r="F7416" s="1">
        <v>44429</v>
      </c>
      <c r="G7416" t="s">
        <v>2012</v>
      </c>
      <c r="H7416">
        <v>3</v>
      </c>
      <c r="I7416" s="12">
        <f>Table16[[#This Row],[price]]*Table16[[#This Row],[quantity]]</f>
        <v>7502</v>
      </c>
    </row>
    <row r="7417" spans="1:9" x14ac:dyDescent="0.3">
      <c r="A7417" t="s">
        <v>9432</v>
      </c>
      <c r="B7417" t="s">
        <v>1478</v>
      </c>
      <c r="C7417" t="s">
        <v>2001</v>
      </c>
      <c r="D7417">
        <v>5</v>
      </c>
      <c r="E7417" s="16">
        <v>1500.4</v>
      </c>
      <c r="F7417" s="1">
        <v>44750</v>
      </c>
      <c r="G7417" t="s">
        <v>2018</v>
      </c>
      <c r="H7417">
        <v>3</v>
      </c>
      <c r="I7417" s="12">
        <f>Table16[[#This Row],[price]]*Table16[[#This Row],[quantity]]</f>
        <v>7502</v>
      </c>
    </row>
    <row r="7418" spans="1:9" x14ac:dyDescent="0.3">
      <c r="A7418" t="s">
        <v>9435</v>
      </c>
      <c r="B7418" t="s">
        <v>1478</v>
      </c>
      <c r="C7418" t="s">
        <v>2008</v>
      </c>
      <c r="D7418">
        <v>2</v>
      </c>
      <c r="E7418" s="16">
        <v>10.46</v>
      </c>
      <c r="F7418" s="1">
        <v>44877</v>
      </c>
      <c r="G7418" t="s">
        <v>2064</v>
      </c>
      <c r="H7418">
        <v>2</v>
      </c>
      <c r="I7418" s="12">
        <f>Table16[[#This Row],[price]]*Table16[[#This Row],[quantity]]</f>
        <v>20.92</v>
      </c>
    </row>
    <row r="7419" spans="1:9" x14ac:dyDescent="0.3">
      <c r="A7419" t="s">
        <v>9433</v>
      </c>
      <c r="B7419" t="s">
        <v>1478</v>
      </c>
      <c r="C7419" t="s">
        <v>2008</v>
      </c>
      <c r="D7419">
        <v>4</v>
      </c>
      <c r="E7419" s="16">
        <v>20.92</v>
      </c>
      <c r="F7419" s="1">
        <v>44911</v>
      </c>
      <c r="G7419" t="s">
        <v>2027</v>
      </c>
      <c r="H7419">
        <v>5</v>
      </c>
      <c r="I7419" s="12">
        <f>Table16[[#This Row],[price]]*Table16[[#This Row],[quantity]]</f>
        <v>83.68</v>
      </c>
    </row>
    <row r="7420" spans="1:9" x14ac:dyDescent="0.3">
      <c r="A7420" t="s">
        <v>9436</v>
      </c>
      <c r="B7420" t="s">
        <v>1478</v>
      </c>
      <c r="C7420" t="s">
        <v>2001</v>
      </c>
      <c r="D7420">
        <v>1</v>
      </c>
      <c r="E7420" s="16">
        <v>300.08</v>
      </c>
      <c r="F7420" s="1">
        <v>44991</v>
      </c>
      <c r="G7420" t="s">
        <v>2064</v>
      </c>
      <c r="H7420">
        <v>5</v>
      </c>
      <c r="I7420" s="12">
        <f>Table16[[#This Row],[price]]*Table16[[#This Row],[quantity]]</f>
        <v>300.08</v>
      </c>
    </row>
    <row r="7421" spans="1:9" x14ac:dyDescent="0.3">
      <c r="A7421" t="s">
        <v>9440</v>
      </c>
      <c r="B7421" t="s">
        <v>1479</v>
      </c>
      <c r="C7421" t="s">
        <v>2024</v>
      </c>
      <c r="D7421">
        <v>4</v>
      </c>
      <c r="E7421" s="16">
        <v>143.36000000000001</v>
      </c>
      <c r="F7421" s="1">
        <v>44230</v>
      </c>
      <c r="G7421" t="s">
        <v>2004</v>
      </c>
      <c r="H7421">
        <v>4</v>
      </c>
      <c r="I7421" s="12">
        <f>Table16[[#This Row],[price]]*Table16[[#This Row],[quantity]]</f>
        <v>573.44000000000005</v>
      </c>
    </row>
    <row r="7422" spans="1:9" x14ac:dyDescent="0.3">
      <c r="A7422" t="s">
        <v>9441</v>
      </c>
      <c r="B7422" t="s">
        <v>1479</v>
      </c>
      <c r="C7422" t="s">
        <v>2006</v>
      </c>
      <c r="D7422">
        <v>4</v>
      </c>
      <c r="E7422" s="16">
        <v>60.6</v>
      </c>
      <c r="F7422" s="1">
        <v>44339</v>
      </c>
      <c r="G7422" t="s">
        <v>2027</v>
      </c>
      <c r="H7422">
        <v>5</v>
      </c>
      <c r="I7422" s="12">
        <f>Table16[[#This Row],[price]]*Table16[[#This Row],[quantity]]</f>
        <v>242.4</v>
      </c>
    </row>
    <row r="7423" spans="1:9" x14ac:dyDescent="0.3">
      <c r="A7423" t="s">
        <v>9438</v>
      </c>
      <c r="B7423" t="s">
        <v>1479</v>
      </c>
      <c r="C7423" t="s">
        <v>2001</v>
      </c>
      <c r="D7423">
        <v>2</v>
      </c>
      <c r="E7423" s="16">
        <v>600.16</v>
      </c>
      <c r="F7423" s="1">
        <v>44382</v>
      </c>
      <c r="G7423" t="s">
        <v>2002</v>
      </c>
      <c r="H7423">
        <v>1</v>
      </c>
      <c r="I7423" s="12">
        <f>Table16[[#This Row],[price]]*Table16[[#This Row],[quantity]]</f>
        <v>1200.32</v>
      </c>
    </row>
    <row r="7424" spans="1:9" x14ac:dyDescent="0.3">
      <c r="A7424" t="s">
        <v>9439</v>
      </c>
      <c r="B7424" t="s">
        <v>1479</v>
      </c>
      <c r="C7424" t="s">
        <v>2015</v>
      </c>
      <c r="D7424">
        <v>2</v>
      </c>
      <c r="E7424" s="16">
        <v>1200.3399999999999</v>
      </c>
      <c r="F7424" s="1">
        <v>44450</v>
      </c>
      <c r="G7424" t="s">
        <v>2002</v>
      </c>
      <c r="H7424">
        <v>4</v>
      </c>
      <c r="I7424" s="12">
        <f>Table16[[#This Row],[price]]*Table16[[#This Row],[quantity]]</f>
        <v>2400.6799999999998</v>
      </c>
    </row>
    <row r="7425" spans="1:9" x14ac:dyDescent="0.3">
      <c r="A7425" t="s">
        <v>9437</v>
      </c>
      <c r="B7425" t="s">
        <v>1479</v>
      </c>
      <c r="C7425" t="s">
        <v>2011</v>
      </c>
      <c r="D7425">
        <v>4</v>
      </c>
      <c r="E7425" s="16">
        <v>162.63999999999999</v>
      </c>
      <c r="F7425" s="1">
        <v>44564</v>
      </c>
      <c r="G7425" t="s">
        <v>2004</v>
      </c>
      <c r="H7425">
        <v>2</v>
      </c>
      <c r="I7425" s="12">
        <f>Table16[[#This Row],[price]]*Table16[[#This Row],[quantity]]</f>
        <v>650.55999999999995</v>
      </c>
    </row>
    <row r="7426" spans="1:9" x14ac:dyDescent="0.3">
      <c r="A7426" t="s">
        <v>9444</v>
      </c>
      <c r="B7426" t="s">
        <v>1480</v>
      </c>
      <c r="C7426" t="s">
        <v>2011</v>
      </c>
      <c r="D7426">
        <v>2</v>
      </c>
      <c r="E7426" s="16">
        <v>81.319999999999993</v>
      </c>
      <c r="F7426" s="1">
        <v>44308</v>
      </c>
      <c r="G7426" t="s">
        <v>2020</v>
      </c>
      <c r="H7426">
        <v>5</v>
      </c>
      <c r="I7426" s="12">
        <f>Table16[[#This Row],[price]]*Table16[[#This Row],[quantity]]</f>
        <v>162.63999999999999</v>
      </c>
    </row>
    <row r="7427" spans="1:9" x14ac:dyDescent="0.3">
      <c r="A7427" t="s">
        <v>9445</v>
      </c>
      <c r="B7427" t="s">
        <v>1480</v>
      </c>
      <c r="C7427" t="s">
        <v>2008</v>
      </c>
      <c r="D7427">
        <v>3</v>
      </c>
      <c r="E7427" s="16">
        <v>15.69</v>
      </c>
      <c r="F7427" s="1">
        <v>44457</v>
      </c>
      <c r="G7427" t="s">
        <v>2027</v>
      </c>
      <c r="H7427">
        <v>5</v>
      </c>
      <c r="I7427" s="12">
        <f>Table16[[#This Row],[price]]*Table16[[#This Row],[quantity]]</f>
        <v>47.07</v>
      </c>
    </row>
    <row r="7428" spans="1:9" x14ac:dyDescent="0.3">
      <c r="A7428" t="s">
        <v>9443</v>
      </c>
      <c r="B7428" t="s">
        <v>1480</v>
      </c>
      <c r="C7428" t="s">
        <v>2008</v>
      </c>
      <c r="D7428">
        <v>5</v>
      </c>
      <c r="E7428" s="16">
        <v>26.15</v>
      </c>
      <c r="F7428" s="1">
        <v>44510</v>
      </c>
      <c r="G7428" t="s">
        <v>2009</v>
      </c>
      <c r="H7428">
        <v>2</v>
      </c>
      <c r="I7428" s="12">
        <f>Table16[[#This Row],[price]]*Table16[[#This Row],[quantity]]</f>
        <v>130.75</v>
      </c>
    </row>
    <row r="7429" spans="1:9" x14ac:dyDescent="0.3">
      <c r="A7429" t="s">
        <v>9446</v>
      </c>
      <c r="B7429" t="s">
        <v>1480</v>
      </c>
      <c r="C7429" t="s">
        <v>2024</v>
      </c>
      <c r="D7429">
        <v>4</v>
      </c>
      <c r="E7429" s="16">
        <v>143.36000000000001</v>
      </c>
      <c r="F7429" s="1">
        <v>44555</v>
      </c>
      <c r="G7429" t="s">
        <v>2064</v>
      </c>
      <c r="H7429">
        <v>3</v>
      </c>
      <c r="I7429" s="12">
        <f>Table16[[#This Row],[price]]*Table16[[#This Row],[quantity]]</f>
        <v>573.44000000000005</v>
      </c>
    </row>
    <row r="7430" spans="1:9" x14ac:dyDescent="0.3">
      <c r="A7430" t="s">
        <v>9442</v>
      </c>
      <c r="B7430" t="s">
        <v>1480</v>
      </c>
      <c r="C7430" t="s">
        <v>2008</v>
      </c>
      <c r="D7430">
        <v>1</v>
      </c>
      <c r="E7430" s="16">
        <v>5.23</v>
      </c>
      <c r="F7430" s="1">
        <v>44727</v>
      </c>
      <c r="G7430" t="s">
        <v>2064</v>
      </c>
      <c r="H7430">
        <v>2</v>
      </c>
      <c r="I7430" s="12">
        <f>Table16[[#This Row],[price]]*Table16[[#This Row],[quantity]]</f>
        <v>5.23</v>
      </c>
    </row>
    <row r="7431" spans="1:9" x14ac:dyDescent="0.3">
      <c r="A7431" t="s">
        <v>9447</v>
      </c>
      <c r="B7431" t="s">
        <v>1480</v>
      </c>
      <c r="C7431" t="s">
        <v>2008</v>
      </c>
      <c r="D7431">
        <v>5</v>
      </c>
      <c r="E7431" s="16">
        <v>26.15</v>
      </c>
      <c r="F7431" s="1">
        <v>44881</v>
      </c>
      <c r="G7431" t="s">
        <v>2020</v>
      </c>
      <c r="H7431">
        <v>1</v>
      </c>
      <c r="I7431" s="12">
        <f>Table16[[#This Row],[price]]*Table16[[#This Row],[quantity]]</f>
        <v>130.75</v>
      </c>
    </row>
    <row r="7432" spans="1:9" x14ac:dyDescent="0.3">
      <c r="A7432" t="s">
        <v>9448</v>
      </c>
      <c r="B7432" t="s">
        <v>1480</v>
      </c>
      <c r="C7432" t="s">
        <v>2057</v>
      </c>
      <c r="D7432">
        <v>1</v>
      </c>
      <c r="E7432" s="16">
        <v>11.73</v>
      </c>
      <c r="F7432" s="1">
        <v>44989</v>
      </c>
      <c r="G7432" t="s">
        <v>2064</v>
      </c>
      <c r="H7432">
        <v>5</v>
      </c>
      <c r="I7432" s="12">
        <f>Table16[[#This Row],[price]]*Table16[[#This Row],[quantity]]</f>
        <v>11.73</v>
      </c>
    </row>
    <row r="7433" spans="1:9" x14ac:dyDescent="0.3">
      <c r="A7433" t="s">
        <v>9451</v>
      </c>
      <c r="B7433" t="s">
        <v>1481</v>
      </c>
      <c r="C7433" t="s">
        <v>2001</v>
      </c>
      <c r="D7433">
        <v>4</v>
      </c>
      <c r="E7433" s="16">
        <v>1200.32</v>
      </c>
      <c r="F7433" s="1">
        <v>44283</v>
      </c>
      <c r="G7433" t="s">
        <v>2018</v>
      </c>
      <c r="H7433">
        <v>1</v>
      </c>
      <c r="I7433" s="12">
        <f>Table16[[#This Row],[price]]*Table16[[#This Row],[quantity]]</f>
        <v>4801.28</v>
      </c>
    </row>
    <row r="7434" spans="1:9" x14ac:dyDescent="0.3">
      <c r="A7434" t="s">
        <v>9449</v>
      </c>
      <c r="B7434" t="s">
        <v>1481</v>
      </c>
      <c r="C7434" t="s">
        <v>2011</v>
      </c>
      <c r="D7434">
        <v>3</v>
      </c>
      <c r="E7434" s="16">
        <v>121.98</v>
      </c>
      <c r="F7434" s="1">
        <v>44456</v>
      </c>
      <c r="G7434" t="s">
        <v>2020</v>
      </c>
      <c r="H7434">
        <v>4</v>
      </c>
      <c r="I7434" s="12">
        <f>Table16[[#This Row],[price]]*Table16[[#This Row],[quantity]]</f>
        <v>365.94</v>
      </c>
    </row>
    <row r="7435" spans="1:9" x14ac:dyDescent="0.3">
      <c r="A7435" t="s">
        <v>9450</v>
      </c>
      <c r="B7435" t="s">
        <v>1481</v>
      </c>
      <c r="C7435" t="s">
        <v>2001</v>
      </c>
      <c r="D7435">
        <v>2</v>
      </c>
      <c r="E7435" s="16">
        <v>600.16</v>
      </c>
      <c r="F7435" s="1">
        <v>44525</v>
      </c>
      <c r="G7435" t="s">
        <v>2020</v>
      </c>
      <c r="H7435">
        <v>1</v>
      </c>
      <c r="I7435" s="12">
        <f>Table16[[#This Row],[price]]*Table16[[#This Row],[quantity]]</f>
        <v>1200.32</v>
      </c>
    </row>
    <row r="7436" spans="1:9" x14ac:dyDescent="0.3">
      <c r="A7436" t="s">
        <v>9457</v>
      </c>
      <c r="B7436" t="s">
        <v>1482</v>
      </c>
      <c r="C7436" t="s">
        <v>2001</v>
      </c>
      <c r="D7436">
        <v>5</v>
      </c>
      <c r="E7436" s="16">
        <v>1500.4</v>
      </c>
      <c r="F7436" s="1">
        <v>44436</v>
      </c>
      <c r="G7436" t="s">
        <v>2004</v>
      </c>
      <c r="H7436">
        <v>3</v>
      </c>
      <c r="I7436" s="12">
        <f>Table16[[#This Row],[price]]*Table16[[#This Row],[quantity]]</f>
        <v>7502</v>
      </c>
    </row>
    <row r="7437" spans="1:9" x14ac:dyDescent="0.3">
      <c r="A7437" t="s">
        <v>9452</v>
      </c>
      <c r="B7437" t="s">
        <v>1482</v>
      </c>
      <c r="C7437" t="s">
        <v>2008</v>
      </c>
      <c r="D7437">
        <v>1</v>
      </c>
      <c r="E7437" s="16">
        <v>5.23</v>
      </c>
      <c r="F7437" s="1">
        <v>44518</v>
      </c>
      <c r="G7437" t="s">
        <v>2064</v>
      </c>
      <c r="H7437">
        <v>5</v>
      </c>
      <c r="I7437" s="12">
        <f>Table16[[#This Row],[price]]*Table16[[#This Row],[quantity]]</f>
        <v>5.23</v>
      </c>
    </row>
    <row r="7438" spans="1:9" x14ac:dyDescent="0.3">
      <c r="A7438" t="s">
        <v>9455</v>
      </c>
      <c r="B7438" t="s">
        <v>1482</v>
      </c>
      <c r="C7438" t="s">
        <v>2008</v>
      </c>
      <c r="D7438">
        <v>5</v>
      </c>
      <c r="E7438" s="16">
        <v>26.15</v>
      </c>
      <c r="F7438" s="1">
        <v>44624</v>
      </c>
      <c r="G7438" t="s">
        <v>2020</v>
      </c>
      <c r="H7438">
        <v>2</v>
      </c>
      <c r="I7438" s="12">
        <f>Table16[[#This Row],[price]]*Table16[[#This Row],[quantity]]</f>
        <v>130.75</v>
      </c>
    </row>
    <row r="7439" spans="1:9" x14ac:dyDescent="0.3">
      <c r="A7439" t="s">
        <v>9456</v>
      </c>
      <c r="B7439" t="s">
        <v>1482</v>
      </c>
      <c r="C7439" t="s">
        <v>2011</v>
      </c>
      <c r="D7439">
        <v>3</v>
      </c>
      <c r="E7439" s="16">
        <v>121.98</v>
      </c>
      <c r="F7439" s="1">
        <v>44703</v>
      </c>
      <c r="G7439" t="s">
        <v>2002</v>
      </c>
      <c r="H7439">
        <v>2</v>
      </c>
      <c r="I7439" s="12">
        <f>Table16[[#This Row],[price]]*Table16[[#This Row],[quantity]]</f>
        <v>365.94</v>
      </c>
    </row>
    <row r="7440" spans="1:9" x14ac:dyDescent="0.3">
      <c r="A7440" t="s">
        <v>9454</v>
      </c>
      <c r="B7440" t="s">
        <v>1482</v>
      </c>
      <c r="C7440" t="s">
        <v>2024</v>
      </c>
      <c r="D7440">
        <v>5</v>
      </c>
      <c r="E7440" s="16">
        <v>179.2</v>
      </c>
      <c r="F7440" s="1">
        <v>44928</v>
      </c>
      <c r="G7440" t="s">
        <v>2020</v>
      </c>
      <c r="H7440">
        <v>4</v>
      </c>
      <c r="I7440" s="12">
        <f>Table16[[#This Row],[price]]*Table16[[#This Row],[quantity]]</f>
        <v>896</v>
      </c>
    </row>
    <row r="7441" spans="1:9" x14ac:dyDescent="0.3">
      <c r="A7441" t="s">
        <v>9453</v>
      </c>
      <c r="B7441" t="s">
        <v>1482</v>
      </c>
      <c r="C7441" t="s">
        <v>2008</v>
      </c>
      <c r="D7441">
        <v>4</v>
      </c>
      <c r="E7441" s="16">
        <v>20.92</v>
      </c>
      <c r="F7441" s="1">
        <v>44942</v>
      </c>
      <c r="G7441" t="s">
        <v>2002</v>
      </c>
      <c r="H7441">
        <v>3</v>
      </c>
      <c r="I7441" s="12">
        <f>Table16[[#This Row],[price]]*Table16[[#This Row],[quantity]]</f>
        <v>83.68</v>
      </c>
    </row>
    <row r="7442" spans="1:9" x14ac:dyDescent="0.3">
      <c r="A7442" t="s">
        <v>9458</v>
      </c>
      <c r="B7442" t="s">
        <v>1483</v>
      </c>
      <c r="C7442" t="s">
        <v>2008</v>
      </c>
      <c r="D7442">
        <v>1</v>
      </c>
      <c r="E7442" s="16">
        <v>5.23</v>
      </c>
      <c r="F7442" s="1">
        <v>44281</v>
      </c>
      <c r="G7442" t="s">
        <v>2004</v>
      </c>
      <c r="H7442">
        <v>2</v>
      </c>
      <c r="I7442" s="12">
        <f>Table16[[#This Row],[price]]*Table16[[#This Row],[quantity]]</f>
        <v>5.23</v>
      </c>
    </row>
    <row r="7443" spans="1:9" x14ac:dyDescent="0.3">
      <c r="A7443" t="s">
        <v>9459</v>
      </c>
      <c r="B7443" t="s">
        <v>1483</v>
      </c>
      <c r="C7443" t="s">
        <v>2008</v>
      </c>
      <c r="D7443">
        <v>4</v>
      </c>
      <c r="E7443" s="16">
        <v>20.92</v>
      </c>
      <c r="F7443" s="1">
        <v>44472</v>
      </c>
      <c r="G7443" t="s">
        <v>2004</v>
      </c>
      <c r="H7443">
        <v>5</v>
      </c>
      <c r="I7443" s="12">
        <f>Table16[[#This Row],[price]]*Table16[[#This Row],[quantity]]</f>
        <v>83.68</v>
      </c>
    </row>
    <row r="7444" spans="1:9" x14ac:dyDescent="0.3">
      <c r="A7444" t="s">
        <v>9460</v>
      </c>
      <c r="B7444" t="s">
        <v>1483</v>
      </c>
      <c r="C7444" t="s">
        <v>2008</v>
      </c>
      <c r="D7444">
        <v>3</v>
      </c>
      <c r="E7444" s="16">
        <v>15.69</v>
      </c>
      <c r="F7444" s="1">
        <v>44496</v>
      </c>
      <c r="G7444" t="s">
        <v>2004</v>
      </c>
      <c r="H7444">
        <v>2</v>
      </c>
      <c r="I7444" s="12">
        <f>Table16[[#This Row],[price]]*Table16[[#This Row],[quantity]]</f>
        <v>47.07</v>
      </c>
    </row>
    <row r="7445" spans="1:9" x14ac:dyDescent="0.3">
      <c r="A7445" t="s">
        <v>9461</v>
      </c>
      <c r="B7445" t="s">
        <v>1483</v>
      </c>
      <c r="C7445" t="s">
        <v>2008</v>
      </c>
      <c r="D7445">
        <v>5</v>
      </c>
      <c r="E7445" s="16">
        <v>26.15</v>
      </c>
      <c r="F7445" s="1">
        <v>44678</v>
      </c>
      <c r="G7445" t="s">
        <v>2020</v>
      </c>
      <c r="H7445">
        <v>5</v>
      </c>
      <c r="I7445" s="12">
        <f>Table16[[#This Row],[price]]*Table16[[#This Row],[quantity]]</f>
        <v>130.75</v>
      </c>
    </row>
    <row r="7446" spans="1:9" x14ac:dyDescent="0.3">
      <c r="A7446" t="s">
        <v>9462</v>
      </c>
      <c r="B7446" t="s">
        <v>1484</v>
      </c>
      <c r="C7446" t="s">
        <v>2001</v>
      </c>
      <c r="D7446">
        <v>2</v>
      </c>
      <c r="E7446" s="16">
        <v>600.16</v>
      </c>
      <c r="F7446" s="1">
        <v>44313</v>
      </c>
      <c r="G7446" t="s">
        <v>2027</v>
      </c>
      <c r="H7446">
        <v>3</v>
      </c>
      <c r="I7446" s="12">
        <f>Table16[[#This Row],[price]]*Table16[[#This Row],[quantity]]</f>
        <v>1200.32</v>
      </c>
    </row>
    <row r="7447" spans="1:9" x14ac:dyDescent="0.3">
      <c r="A7447" t="s">
        <v>9467</v>
      </c>
      <c r="B7447" t="s">
        <v>1484</v>
      </c>
      <c r="C7447" t="s">
        <v>2001</v>
      </c>
      <c r="D7447">
        <v>1</v>
      </c>
      <c r="E7447" s="16">
        <v>300.08</v>
      </c>
      <c r="F7447" s="1">
        <v>44315</v>
      </c>
      <c r="G7447" t="s">
        <v>2018</v>
      </c>
      <c r="H7447">
        <v>4</v>
      </c>
      <c r="I7447" s="12">
        <f>Table16[[#This Row],[price]]*Table16[[#This Row],[quantity]]</f>
        <v>300.08</v>
      </c>
    </row>
    <row r="7448" spans="1:9" x14ac:dyDescent="0.3">
      <c r="A7448" t="s">
        <v>9463</v>
      </c>
      <c r="B7448" t="s">
        <v>1484</v>
      </c>
      <c r="C7448" t="s">
        <v>2015</v>
      </c>
      <c r="D7448">
        <v>4</v>
      </c>
      <c r="E7448" s="16">
        <v>2400.6799999999998</v>
      </c>
      <c r="F7448" s="1">
        <v>44435</v>
      </c>
      <c r="G7448" t="s">
        <v>2027</v>
      </c>
      <c r="H7448">
        <v>3</v>
      </c>
      <c r="I7448" s="12">
        <f>Table16[[#This Row],[price]]*Table16[[#This Row],[quantity]]</f>
        <v>9602.7199999999993</v>
      </c>
    </row>
    <row r="7449" spans="1:9" x14ac:dyDescent="0.3">
      <c r="A7449" t="s">
        <v>9464</v>
      </c>
      <c r="B7449" t="s">
        <v>1484</v>
      </c>
      <c r="C7449" t="s">
        <v>2006</v>
      </c>
      <c r="D7449">
        <v>3</v>
      </c>
      <c r="E7449" s="16">
        <v>45.45</v>
      </c>
      <c r="F7449" s="1">
        <v>44445</v>
      </c>
      <c r="G7449" t="s">
        <v>2002</v>
      </c>
      <c r="H7449">
        <v>1</v>
      </c>
      <c r="I7449" s="12">
        <f>Table16[[#This Row],[price]]*Table16[[#This Row],[quantity]]</f>
        <v>136.35000000000002</v>
      </c>
    </row>
    <row r="7450" spans="1:9" x14ac:dyDescent="0.3">
      <c r="A7450" t="s">
        <v>9466</v>
      </c>
      <c r="B7450" t="s">
        <v>1484</v>
      </c>
      <c r="C7450" t="s">
        <v>2001</v>
      </c>
      <c r="D7450">
        <v>1</v>
      </c>
      <c r="E7450" s="16">
        <v>300.08</v>
      </c>
      <c r="F7450" s="1">
        <v>44703</v>
      </c>
      <c r="G7450" t="s">
        <v>2002</v>
      </c>
      <c r="H7450">
        <v>3</v>
      </c>
      <c r="I7450" s="12">
        <f>Table16[[#This Row],[price]]*Table16[[#This Row],[quantity]]</f>
        <v>300.08</v>
      </c>
    </row>
    <row r="7451" spans="1:9" x14ac:dyDescent="0.3">
      <c r="A7451" t="s">
        <v>9465</v>
      </c>
      <c r="B7451" t="s">
        <v>1484</v>
      </c>
      <c r="C7451" t="s">
        <v>2001</v>
      </c>
      <c r="D7451">
        <v>3</v>
      </c>
      <c r="E7451" s="16">
        <v>900.24</v>
      </c>
      <c r="F7451" s="1">
        <v>44862</v>
      </c>
      <c r="G7451" t="s">
        <v>2004</v>
      </c>
      <c r="H7451">
        <v>2</v>
      </c>
      <c r="I7451" s="12">
        <f>Table16[[#This Row],[price]]*Table16[[#This Row],[quantity]]</f>
        <v>2700.7200000000003</v>
      </c>
    </row>
    <row r="7452" spans="1:9" x14ac:dyDescent="0.3">
      <c r="A7452" t="s">
        <v>9468</v>
      </c>
      <c r="B7452" t="s">
        <v>1485</v>
      </c>
      <c r="C7452" t="s">
        <v>2011</v>
      </c>
      <c r="D7452">
        <v>3</v>
      </c>
      <c r="E7452" s="16">
        <v>121.98</v>
      </c>
      <c r="F7452" s="1">
        <v>44405</v>
      </c>
      <c r="G7452" t="s">
        <v>2004</v>
      </c>
      <c r="H7452">
        <v>5</v>
      </c>
      <c r="I7452" s="12">
        <f>Table16[[#This Row],[price]]*Table16[[#This Row],[quantity]]</f>
        <v>365.94</v>
      </c>
    </row>
    <row r="7453" spans="1:9" x14ac:dyDescent="0.3">
      <c r="A7453" t="s">
        <v>9471</v>
      </c>
      <c r="B7453" t="s">
        <v>1485</v>
      </c>
      <c r="C7453" t="s">
        <v>2008</v>
      </c>
      <c r="D7453">
        <v>3</v>
      </c>
      <c r="E7453" s="16">
        <v>15.69</v>
      </c>
      <c r="F7453" s="1">
        <v>44566</v>
      </c>
      <c r="G7453" t="s">
        <v>2012</v>
      </c>
      <c r="H7453">
        <v>2</v>
      </c>
      <c r="I7453" s="12">
        <f>Table16[[#This Row],[price]]*Table16[[#This Row],[quantity]]</f>
        <v>47.07</v>
      </c>
    </row>
    <row r="7454" spans="1:9" x14ac:dyDescent="0.3">
      <c r="A7454" t="s">
        <v>9469</v>
      </c>
      <c r="B7454" t="s">
        <v>1485</v>
      </c>
      <c r="C7454" t="s">
        <v>2057</v>
      </c>
      <c r="D7454">
        <v>5</v>
      </c>
      <c r="E7454" s="16">
        <v>58.65</v>
      </c>
      <c r="F7454" s="1">
        <v>44592</v>
      </c>
      <c r="G7454" t="s">
        <v>2012</v>
      </c>
      <c r="H7454">
        <v>4</v>
      </c>
      <c r="I7454" s="12">
        <f>Table16[[#This Row],[price]]*Table16[[#This Row],[quantity]]</f>
        <v>293.25</v>
      </c>
    </row>
    <row r="7455" spans="1:9" x14ac:dyDescent="0.3">
      <c r="A7455" t="s">
        <v>9472</v>
      </c>
      <c r="B7455" t="s">
        <v>1485</v>
      </c>
      <c r="C7455" t="s">
        <v>2001</v>
      </c>
      <c r="D7455">
        <v>2</v>
      </c>
      <c r="E7455" s="16">
        <v>600.16</v>
      </c>
      <c r="F7455" s="1">
        <v>44685</v>
      </c>
      <c r="G7455" t="s">
        <v>2041</v>
      </c>
      <c r="H7455">
        <v>4</v>
      </c>
      <c r="I7455" s="12">
        <f>Table16[[#This Row],[price]]*Table16[[#This Row],[quantity]]</f>
        <v>1200.32</v>
      </c>
    </row>
    <row r="7456" spans="1:9" x14ac:dyDescent="0.3">
      <c r="A7456" t="s">
        <v>9474</v>
      </c>
      <c r="B7456" t="s">
        <v>1485</v>
      </c>
      <c r="C7456" t="s">
        <v>2024</v>
      </c>
      <c r="D7456">
        <v>3</v>
      </c>
      <c r="E7456" s="16">
        <v>107.52</v>
      </c>
      <c r="F7456" s="1">
        <v>44801</v>
      </c>
      <c r="G7456" t="s">
        <v>2064</v>
      </c>
      <c r="H7456">
        <v>4</v>
      </c>
      <c r="I7456" s="12">
        <f>Table16[[#This Row],[price]]*Table16[[#This Row],[quantity]]</f>
        <v>322.56</v>
      </c>
    </row>
    <row r="7457" spans="1:9" x14ac:dyDescent="0.3">
      <c r="A7457" t="s">
        <v>9470</v>
      </c>
      <c r="B7457" t="s">
        <v>1485</v>
      </c>
      <c r="C7457" t="s">
        <v>2017</v>
      </c>
      <c r="D7457">
        <v>1</v>
      </c>
      <c r="E7457" s="16">
        <v>1050</v>
      </c>
      <c r="F7457" s="1">
        <v>44821</v>
      </c>
      <c r="G7457" t="s">
        <v>2004</v>
      </c>
      <c r="H7457">
        <v>2</v>
      </c>
      <c r="I7457" s="12">
        <f>Table16[[#This Row],[price]]*Table16[[#This Row],[quantity]]</f>
        <v>1050</v>
      </c>
    </row>
    <row r="7458" spans="1:9" x14ac:dyDescent="0.3">
      <c r="A7458" t="s">
        <v>9473</v>
      </c>
      <c r="B7458" t="s">
        <v>1485</v>
      </c>
      <c r="C7458" t="s">
        <v>2015</v>
      </c>
      <c r="D7458">
        <v>5</v>
      </c>
      <c r="E7458" s="16">
        <v>3000.85</v>
      </c>
      <c r="F7458" s="1">
        <v>44825</v>
      </c>
      <c r="G7458" t="s">
        <v>2004</v>
      </c>
      <c r="H7458">
        <v>5</v>
      </c>
      <c r="I7458" s="12">
        <f>Table16[[#This Row],[price]]*Table16[[#This Row],[quantity]]</f>
        <v>15004.25</v>
      </c>
    </row>
    <row r="7459" spans="1:9" x14ac:dyDescent="0.3">
      <c r="A7459" t="s">
        <v>9479</v>
      </c>
      <c r="B7459" t="s">
        <v>1486</v>
      </c>
      <c r="C7459" t="s">
        <v>2024</v>
      </c>
      <c r="D7459">
        <v>4</v>
      </c>
      <c r="E7459" s="16">
        <v>143.36000000000001</v>
      </c>
      <c r="F7459" s="1">
        <v>44271</v>
      </c>
      <c r="G7459" t="s">
        <v>2004</v>
      </c>
      <c r="H7459">
        <v>1</v>
      </c>
      <c r="I7459" s="12">
        <f>Table16[[#This Row],[price]]*Table16[[#This Row],[quantity]]</f>
        <v>573.44000000000005</v>
      </c>
    </row>
    <row r="7460" spans="1:9" x14ac:dyDescent="0.3">
      <c r="A7460" t="s">
        <v>9477</v>
      </c>
      <c r="B7460" t="s">
        <v>1486</v>
      </c>
      <c r="C7460" t="s">
        <v>2011</v>
      </c>
      <c r="D7460">
        <v>5</v>
      </c>
      <c r="E7460" s="16">
        <v>203.3</v>
      </c>
      <c r="F7460" s="1">
        <v>44316</v>
      </c>
      <c r="G7460" t="s">
        <v>2041</v>
      </c>
      <c r="H7460">
        <v>5</v>
      </c>
      <c r="I7460" s="12">
        <f>Table16[[#This Row],[price]]*Table16[[#This Row],[quantity]]</f>
        <v>1016.5</v>
      </c>
    </row>
    <row r="7461" spans="1:9" x14ac:dyDescent="0.3">
      <c r="A7461" t="s">
        <v>9475</v>
      </c>
      <c r="B7461" t="s">
        <v>1486</v>
      </c>
      <c r="C7461" t="s">
        <v>2001</v>
      </c>
      <c r="D7461">
        <v>5</v>
      </c>
      <c r="E7461" s="16">
        <v>1500.4</v>
      </c>
      <c r="F7461" s="1">
        <v>44456</v>
      </c>
      <c r="G7461" t="s">
        <v>2018</v>
      </c>
      <c r="H7461">
        <v>4</v>
      </c>
      <c r="I7461" s="12">
        <f>Table16[[#This Row],[price]]*Table16[[#This Row],[quantity]]</f>
        <v>7502</v>
      </c>
    </row>
    <row r="7462" spans="1:9" x14ac:dyDescent="0.3">
      <c r="A7462" t="s">
        <v>9476</v>
      </c>
      <c r="B7462" t="s">
        <v>1486</v>
      </c>
      <c r="C7462" t="s">
        <v>2057</v>
      </c>
      <c r="D7462">
        <v>4</v>
      </c>
      <c r="E7462" s="16">
        <v>46.92</v>
      </c>
      <c r="F7462" s="1">
        <v>44696</v>
      </c>
      <c r="G7462" t="s">
        <v>2027</v>
      </c>
      <c r="H7462">
        <v>5</v>
      </c>
      <c r="I7462" s="12">
        <f>Table16[[#This Row],[price]]*Table16[[#This Row],[quantity]]</f>
        <v>187.68</v>
      </c>
    </row>
    <row r="7463" spans="1:9" x14ac:dyDescent="0.3">
      <c r="A7463" t="s">
        <v>9478</v>
      </c>
      <c r="B7463" t="s">
        <v>1486</v>
      </c>
      <c r="C7463" t="s">
        <v>2011</v>
      </c>
      <c r="D7463">
        <v>3</v>
      </c>
      <c r="E7463" s="16">
        <v>121.98</v>
      </c>
      <c r="F7463" s="1">
        <v>44935</v>
      </c>
      <c r="G7463" t="s">
        <v>2027</v>
      </c>
      <c r="H7463">
        <v>4</v>
      </c>
      <c r="I7463" s="12">
        <f>Table16[[#This Row],[price]]*Table16[[#This Row],[quantity]]</f>
        <v>365.94</v>
      </c>
    </row>
    <row r="7464" spans="1:9" x14ac:dyDescent="0.3">
      <c r="A7464" t="s">
        <v>9480</v>
      </c>
      <c r="B7464" t="s">
        <v>1486</v>
      </c>
      <c r="C7464" t="s">
        <v>2001</v>
      </c>
      <c r="D7464">
        <v>4</v>
      </c>
      <c r="E7464" s="16">
        <v>1200.32</v>
      </c>
      <c r="F7464" s="1">
        <v>44993</v>
      </c>
      <c r="G7464" t="s">
        <v>2002</v>
      </c>
      <c r="H7464">
        <v>4</v>
      </c>
      <c r="I7464" s="12">
        <f>Table16[[#This Row],[price]]*Table16[[#This Row],[quantity]]</f>
        <v>4801.28</v>
      </c>
    </row>
    <row r="7465" spans="1:9" x14ac:dyDescent="0.3">
      <c r="A7465" t="s">
        <v>9481</v>
      </c>
      <c r="B7465" t="s">
        <v>1487</v>
      </c>
      <c r="C7465" t="s">
        <v>2011</v>
      </c>
      <c r="D7465">
        <v>2</v>
      </c>
      <c r="E7465" s="16">
        <v>81.319999999999993</v>
      </c>
      <c r="F7465" s="1">
        <v>44231</v>
      </c>
      <c r="G7465" t="s">
        <v>2041</v>
      </c>
      <c r="H7465">
        <v>3</v>
      </c>
      <c r="I7465" s="12">
        <f>Table16[[#This Row],[price]]*Table16[[#This Row],[quantity]]</f>
        <v>162.63999999999999</v>
      </c>
    </row>
    <row r="7466" spans="1:9" x14ac:dyDescent="0.3">
      <c r="A7466" t="s">
        <v>9483</v>
      </c>
      <c r="B7466" t="s">
        <v>1487</v>
      </c>
      <c r="C7466" t="s">
        <v>2008</v>
      </c>
      <c r="D7466">
        <v>4</v>
      </c>
      <c r="E7466" s="16">
        <v>20.92</v>
      </c>
      <c r="F7466" s="1">
        <v>44635</v>
      </c>
      <c r="G7466" t="s">
        <v>2002</v>
      </c>
      <c r="H7466">
        <v>3</v>
      </c>
      <c r="I7466" s="12">
        <f>Table16[[#This Row],[price]]*Table16[[#This Row],[quantity]]</f>
        <v>83.68</v>
      </c>
    </row>
    <row r="7467" spans="1:9" x14ac:dyDescent="0.3">
      <c r="A7467" t="s">
        <v>9482</v>
      </c>
      <c r="B7467" t="s">
        <v>1487</v>
      </c>
      <c r="C7467" t="s">
        <v>2024</v>
      </c>
      <c r="D7467">
        <v>4</v>
      </c>
      <c r="E7467" s="16">
        <v>143.36000000000001</v>
      </c>
      <c r="F7467" s="1">
        <v>44917</v>
      </c>
      <c r="G7467" t="s">
        <v>2027</v>
      </c>
      <c r="H7467">
        <v>3</v>
      </c>
      <c r="I7467" s="12">
        <f>Table16[[#This Row],[price]]*Table16[[#This Row],[quantity]]</f>
        <v>573.44000000000005</v>
      </c>
    </row>
    <row r="7468" spans="1:9" x14ac:dyDescent="0.3">
      <c r="A7468" t="s">
        <v>9490</v>
      </c>
      <c r="B7468" t="s">
        <v>1488</v>
      </c>
      <c r="C7468" t="s">
        <v>2011</v>
      </c>
      <c r="D7468">
        <v>5</v>
      </c>
      <c r="E7468" s="16">
        <v>203.3</v>
      </c>
      <c r="F7468" s="1">
        <v>44296</v>
      </c>
      <c r="G7468" t="s">
        <v>2004</v>
      </c>
      <c r="H7468">
        <v>1</v>
      </c>
      <c r="I7468" s="12">
        <f>Table16[[#This Row],[price]]*Table16[[#This Row],[quantity]]</f>
        <v>1016.5</v>
      </c>
    </row>
    <row r="7469" spans="1:9" x14ac:dyDescent="0.3">
      <c r="A7469" t="s">
        <v>9484</v>
      </c>
      <c r="B7469" t="s">
        <v>1488</v>
      </c>
      <c r="C7469" t="s">
        <v>2001</v>
      </c>
      <c r="D7469">
        <v>3</v>
      </c>
      <c r="E7469" s="16">
        <v>900.24</v>
      </c>
      <c r="F7469" s="1">
        <v>44315</v>
      </c>
      <c r="G7469" t="s">
        <v>2027</v>
      </c>
      <c r="H7469">
        <v>1</v>
      </c>
      <c r="I7469" s="12">
        <f>Table16[[#This Row],[price]]*Table16[[#This Row],[quantity]]</f>
        <v>2700.7200000000003</v>
      </c>
    </row>
    <row r="7470" spans="1:9" x14ac:dyDescent="0.3">
      <c r="A7470" t="s">
        <v>9487</v>
      </c>
      <c r="B7470" t="s">
        <v>1488</v>
      </c>
      <c r="C7470" t="s">
        <v>2008</v>
      </c>
      <c r="D7470">
        <v>3</v>
      </c>
      <c r="E7470" s="16">
        <v>15.69</v>
      </c>
      <c r="F7470" s="1">
        <v>44411</v>
      </c>
      <c r="G7470" t="s">
        <v>2041</v>
      </c>
      <c r="H7470">
        <v>4</v>
      </c>
      <c r="I7470" s="12">
        <f>Table16[[#This Row],[price]]*Table16[[#This Row],[quantity]]</f>
        <v>47.07</v>
      </c>
    </row>
    <row r="7471" spans="1:9" x14ac:dyDescent="0.3">
      <c r="A7471" t="s">
        <v>9488</v>
      </c>
      <c r="B7471" t="s">
        <v>1488</v>
      </c>
      <c r="C7471" t="s">
        <v>2015</v>
      </c>
      <c r="D7471">
        <v>4</v>
      </c>
      <c r="E7471" s="16">
        <v>2400.6799999999998</v>
      </c>
      <c r="F7471" s="1">
        <v>44653</v>
      </c>
      <c r="G7471" t="s">
        <v>2002</v>
      </c>
      <c r="H7471">
        <v>5</v>
      </c>
      <c r="I7471" s="12">
        <f>Table16[[#This Row],[price]]*Table16[[#This Row],[quantity]]</f>
        <v>9602.7199999999993</v>
      </c>
    </row>
    <row r="7472" spans="1:9" x14ac:dyDescent="0.3">
      <c r="A7472" t="s">
        <v>9489</v>
      </c>
      <c r="B7472" t="s">
        <v>1488</v>
      </c>
      <c r="C7472" t="s">
        <v>2001</v>
      </c>
      <c r="D7472">
        <v>5</v>
      </c>
      <c r="E7472" s="16">
        <v>1500.4</v>
      </c>
      <c r="F7472" s="1">
        <v>44666</v>
      </c>
      <c r="G7472" t="s">
        <v>2020</v>
      </c>
      <c r="H7472">
        <v>5</v>
      </c>
      <c r="I7472" s="12">
        <f>Table16[[#This Row],[price]]*Table16[[#This Row],[quantity]]</f>
        <v>7502</v>
      </c>
    </row>
    <row r="7473" spans="1:9" x14ac:dyDescent="0.3">
      <c r="A7473" t="s">
        <v>9492</v>
      </c>
      <c r="B7473" t="s">
        <v>1488</v>
      </c>
      <c r="C7473" t="s">
        <v>2024</v>
      </c>
      <c r="D7473">
        <v>4</v>
      </c>
      <c r="E7473" s="16">
        <v>143.36000000000001</v>
      </c>
      <c r="F7473" s="1">
        <v>44773</v>
      </c>
      <c r="G7473" t="s">
        <v>2004</v>
      </c>
      <c r="H7473">
        <v>4</v>
      </c>
      <c r="I7473" s="12">
        <f>Table16[[#This Row],[price]]*Table16[[#This Row],[quantity]]</f>
        <v>573.44000000000005</v>
      </c>
    </row>
    <row r="7474" spans="1:9" x14ac:dyDescent="0.3">
      <c r="A7474" t="s">
        <v>9491</v>
      </c>
      <c r="B7474" t="s">
        <v>1488</v>
      </c>
      <c r="C7474" t="s">
        <v>2011</v>
      </c>
      <c r="D7474">
        <v>3</v>
      </c>
      <c r="E7474" s="16">
        <v>121.98</v>
      </c>
      <c r="F7474" s="1">
        <v>44787</v>
      </c>
      <c r="G7474" t="s">
        <v>2009</v>
      </c>
      <c r="H7474">
        <v>2</v>
      </c>
      <c r="I7474" s="12">
        <f>Table16[[#This Row],[price]]*Table16[[#This Row],[quantity]]</f>
        <v>365.94</v>
      </c>
    </row>
    <row r="7475" spans="1:9" x14ac:dyDescent="0.3">
      <c r="A7475" t="s">
        <v>9485</v>
      </c>
      <c r="B7475" t="s">
        <v>1488</v>
      </c>
      <c r="C7475" t="s">
        <v>2015</v>
      </c>
      <c r="D7475">
        <v>2</v>
      </c>
      <c r="E7475" s="16">
        <v>1200.3399999999999</v>
      </c>
      <c r="F7475" s="1">
        <v>44836</v>
      </c>
      <c r="G7475" t="s">
        <v>2064</v>
      </c>
      <c r="H7475">
        <v>5</v>
      </c>
      <c r="I7475" s="12">
        <f>Table16[[#This Row],[price]]*Table16[[#This Row],[quantity]]</f>
        <v>2400.6799999999998</v>
      </c>
    </row>
    <row r="7476" spans="1:9" x14ac:dyDescent="0.3">
      <c r="A7476" t="s">
        <v>9486</v>
      </c>
      <c r="B7476" t="s">
        <v>1488</v>
      </c>
      <c r="C7476" t="s">
        <v>2001</v>
      </c>
      <c r="D7476">
        <v>3</v>
      </c>
      <c r="E7476" s="16">
        <v>900.24</v>
      </c>
      <c r="F7476" s="1">
        <v>44939</v>
      </c>
      <c r="G7476" t="s">
        <v>2004</v>
      </c>
      <c r="H7476">
        <v>2</v>
      </c>
      <c r="I7476" s="12">
        <f>Table16[[#This Row],[price]]*Table16[[#This Row],[quantity]]</f>
        <v>2700.7200000000003</v>
      </c>
    </row>
    <row r="7477" spans="1:9" x14ac:dyDescent="0.3">
      <c r="A7477" t="s">
        <v>9495</v>
      </c>
      <c r="B7477" t="s">
        <v>1489</v>
      </c>
      <c r="C7477" t="s">
        <v>2015</v>
      </c>
      <c r="D7477">
        <v>4</v>
      </c>
      <c r="E7477" s="16">
        <v>2400.6799999999998</v>
      </c>
      <c r="F7477" s="1">
        <v>44335</v>
      </c>
      <c r="G7477" t="s">
        <v>2064</v>
      </c>
      <c r="H7477">
        <v>4</v>
      </c>
      <c r="I7477" s="12">
        <f>Table16[[#This Row],[price]]*Table16[[#This Row],[quantity]]</f>
        <v>9602.7199999999993</v>
      </c>
    </row>
    <row r="7478" spans="1:9" x14ac:dyDescent="0.3">
      <c r="A7478" t="s">
        <v>9494</v>
      </c>
      <c r="B7478" t="s">
        <v>1489</v>
      </c>
      <c r="C7478" t="s">
        <v>2001</v>
      </c>
      <c r="D7478">
        <v>1</v>
      </c>
      <c r="E7478" s="16">
        <v>300.08</v>
      </c>
      <c r="F7478" s="1">
        <v>44516</v>
      </c>
      <c r="G7478" t="s">
        <v>2002</v>
      </c>
      <c r="H7478">
        <v>1</v>
      </c>
      <c r="I7478" s="12">
        <f>Table16[[#This Row],[price]]*Table16[[#This Row],[quantity]]</f>
        <v>300.08</v>
      </c>
    </row>
    <row r="7479" spans="1:9" x14ac:dyDescent="0.3">
      <c r="A7479" t="s">
        <v>9493</v>
      </c>
      <c r="B7479" t="s">
        <v>1489</v>
      </c>
      <c r="C7479" t="s">
        <v>2008</v>
      </c>
      <c r="D7479">
        <v>4</v>
      </c>
      <c r="E7479" s="16">
        <v>20.92</v>
      </c>
      <c r="F7479" s="1">
        <v>44773</v>
      </c>
      <c r="G7479" t="s">
        <v>2058</v>
      </c>
      <c r="H7479">
        <v>1</v>
      </c>
      <c r="I7479" s="12">
        <f>Table16[[#This Row],[price]]*Table16[[#This Row],[quantity]]</f>
        <v>83.68</v>
      </c>
    </row>
    <row r="7480" spans="1:9" x14ac:dyDescent="0.3">
      <c r="A7480" t="s">
        <v>9496</v>
      </c>
      <c r="B7480" t="s">
        <v>1490</v>
      </c>
      <c r="C7480" t="s">
        <v>2015</v>
      </c>
      <c r="D7480">
        <v>4</v>
      </c>
      <c r="E7480" s="16">
        <v>2400.6799999999998</v>
      </c>
      <c r="F7480" s="1">
        <v>44624</v>
      </c>
      <c r="G7480" t="s">
        <v>2004</v>
      </c>
      <c r="H7480">
        <v>1</v>
      </c>
      <c r="I7480" s="12">
        <f>Table16[[#This Row],[price]]*Table16[[#This Row],[quantity]]</f>
        <v>9602.7199999999993</v>
      </c>
    </row>
    <row r="7481" spans="1:9" x14ac:dyDescent="0.3">
      <c r="A7481" t="s">
        <v>9498</v>
      </c>
      <c r="B7481" t="s">
        <v>1490</v>
      </c>
      <c r="C7481" t="s">
        <v>2011</v>
      </c>
      <c r="D7481">
        <v>2</v>
      </c>
      <c r="E7481" s="16">
        <v>81.319999999999993</v>
      </c>
      <c r="F7481" s="1">
        <v>44790</v>
      </c>
      <c r="G7481" t="s">
        <v>2004</v>
      </c>
      <c r="H7481">
        <v>3</v>
      </c>
      <c r="I7481" s="12">
        <f>Table16[[#This Row],[price]]*Table16[[#This Row],[quantity]]</f>
        <v>162.63999999999999</v>
      </c>
    </row>
    <row r="7482" spans="1:9" x14ac:dyDescent="0.3">
      <c r="A7482" t="s">
        <v>9497</v>
      </c>
      <c r="B7482" t="s">
        <v>1490</v>
      </c>
      <c r="C7482" t="s">
        <v>2011</v>
      </c>
      <c r="D7482">
        <v>1</v>
      </c>
      <c r="E7482" s="16">
        <v>40.659999999999997</v>
      </c>
      <c r="F7482" s="1">
        <v>44958</v>
      </c>
      <c r="G7482" t="s">
        <v>2064</v>
      </c>
      <c r="H7482">
        <v>4</v>
      </c>
      <c r="I7482" s="12">
        <f>Table16[[#This Row],[price]]*Table16[[#This Row],[quantity]]</f>
        <v>40.659999999999997</v>
      </c>
    </row>
    <row r="7483" spans="1:9" x14ac:dyDescent="0.3">
      <c r="A7483" t="s">
        <v>9501</v>
      </c>
      <c r="B7483" t="s">
        <v>1491</v>
      </c>
      <c r="C7483" t="s">
        <v>2017</v>
      </c>
      <c r="D7483">
        <v>4</v>
      </c>
      <c r="E7483" s="16">
        <v>4200</v>
      </c>
      <c r="F7483" s="1">
        <v>44299</v>
      </c>
      <c r="G7483" t="s">
        <v>2012</v>
      </c>
      <c r="H7483">
        <v>2</v>
      </c>
      <c r="I7483" s="12">
        <f>Table16[[#This Row],[price]]*Table16[[#This Row],[quantity]]</f>
        <v>16800</v>
      </c>
    </row>
    <row r="7484" spans="1:9" x14ac:dyDescent="0.3">
      <c r="A7484" t="s">
        <v>9500</v>
      </c>
      <c r="B7484" t="s">
        <v>1491</v>
      </c>
      <c r="C7484" t="s">
        <v>2008</v>
      </c>
      <c r="D7484">
        <v>4</v>
      </c>
      <c r="E7484" s="16">
        <v>20.92</v>
      </c>
      <c r="F7484" s="1">
        <v>44660</v>
      </c>
      <c r="G7484" t="s">
        <v>2004</v>
      </c>
      <c r="H7484">
        <v>5</v>
      </c>
      <c r="I7484" s="12">
        <f>Table16[[#This Row],[price]]*Table16[[#This Row],[quantity]]</f>
        <v>83.68</v>
      </c>
    </row>
    <row r="7485" spans="1:9" x14ac:dyDescent="0.3">
      <c r="A7485" t="s">
        <v>9499</v>
      </c>
      <c r="B7485" t="s">
        <v>1491</v>
      </c>
      <c r="C7485" t="s">
        <v>2001</v>
      </c>
      <c r="D7485">
        <v>2</v>
      </c>
      <c r="E7485" s="16">
        <v>600.16</v>
      </c>
      <c r="F7485" s="1">
        <v>44902</v>
      </c>
      <c r="G7485" t="s">
        <v>2027</v>
      </c>
      <c r="H7485">
        <v>4</v>
      </c>
      <c r="I7485" s="12">
        <f>Table16[[#This Row],[price]]*Table16[[#This Row],[quantity]]</f>
        <v>1200.32</v>
      </c>
    </row>
    <row r="7486" spans="1:9" x14ac:dyDescent="0.3">
      <c r="A7486" t="s">
        <v>9504</v>
      </c>
      <c r="B7486" t="s">
        <v>1492</v>
      </c>
      <c r="C7486" t="s">
        <v>2011</v>
      </c>
      <c r="D7486">
        <v>2</v>
      </c>
      <c r="E7486" s="16">
        <v>81.319999999999993</v>
      </c>
      <c r="F7486" s="1">
        <v>44315</v>
      </c>
      <c r="G7486" t="s">
        <v>2002</v>
      </c>
      <c r="H7486">
        <v>2</v>
      </c>
      <c r="I7486" s="12">
        <f>Table16[[#This Row],[price]]*Table16[[#This Row],[quantity]]</f>
        <v>162.63999999999999</v>
      </c>
    </row>
    <row r="7487" spans="1:9" x14ac:dyDescent="0.3">
      <c r="A7487" t="s">
        <v>9502</v>
      </c>
      <c r="B7487" t="s">
        <v>1492</v>
      </c>
      <c r="C7487" t="s">
        <v>2001</v>
      </c>
      <c r="D7487">
        <v>4</v>
      </c>
      <c r="E7487" s="16">
        <v>1200.32</v>
      </c>
      <c r="F7487" s="1">
        <v>44406</v>
      </c>
      <c r="G7487" t="s">
        <v>2004</v>
      </c>
      <c r="H7487">
        <v>4</v>
      </c>
      <c r="I7487" s="12">
        <f>Table16[[#This Row],[price]]*Table16[[#This Row],[quantity]]</f>
        <v>4801.28</v>
      </c>
    </row>
    <row r="7488" spans="1:9" x14ac:dyDescent="0.3">
      <c r="A7488" t="s">
        <v>9508</v>
      </c>
      <c r="B7488" t="s">
        <v>1492</v>
      </c>
      <c r="C7488" t="s">
        <v>2001</v>
      </c>
      <c r="D7488">
        <v>2</v>
      </c>
      <c r="E7488" s="16">
        <v>600.16</v>
      </c>
      <c r="F7488" s="1">
        <v>44426</v>
      </c>
      <c r="G7488" t="s">
        <v>2041</v>
      </c>
      <c r="H7488">
        <v>4</v>
      </c>
      <c r="I7488" s="12">
        <f>Table16[[#This Row],[price]]*Table16[[#This Row],[quantity]]</f>
        <v>1200.32</v>
      </c>
    </row>
    <row r="7489" spans="1:9" x14ac:dyDescent="0.3">
      <c r="A7489" t="s">
        <v>9505</v>
      </c>
      <c r="B7489" t="s">
        <v>1492</v>
      </c>
      <c r="C7489" t="s">
        <v>2001</v>
      </c>
      <c r="D7489">
        <v>4</v>
      </c>
      <c r="E7489" s="16">
        <v>1200.32</v>
      </c>
      <c r="F7489" s="1">
        <v>44441</v>
      </c>
      <c r="G7489" t="s">
        <v>2041</v>
      </c>
      <c r="H7489">
        <v>4</v>
      </c>
      <c r="I7489" s="12">
        <f>Table16[[#This Row],[price]]*Table16[[#This Row],[quantity]]</f>
        <v>4801.28</v>
      </c>
    </row>
    <row r="7490" spans="1:9" x14ac:dyDescent="0.3">
      <c r="A7490" t="s">
        <v>9503</v>
      </c>
      <c r="B7490" t="s">
        <v>1492</v>
      </c>
      <c r="C7490" t="s">
        <v>2001</v>
      </c>
      <c r="D7490">
        <v>1</v>
      </c>
      <c r="E7490" s="16">
        <v>300.08</v>
      </c>
      <c r="F7490" s="1">
        <v>44533</v>
      </c>
      <c r="G7490" t="s">
        <v>2027</v>
      </c>
      <c r="H7490">
        <v>3</v>
      </c>
      <c r="I7490" s="12">
        <f>Table16[[#This Row],[price]]*Table16[[#This Row],[quantity]]</f>
        <v>300.08</v>
      </c>
    </row>
    <row r="7491" spans="1:9" x14ac:dyDescent="0.3">
      <c r="A7491" t="s">
        <v>9507</v>
      </c>
      <c r="B7491" t="s">
        <v>1492</v>
      </c>
      <c r="C7491" t="s">
        <v>2024</v>
      </c>
      <c r="D7491">
        <v>2</v>
      </c>
      <c r="E7491" s="16">
        <v>71.680000000000007</v>
      </c>
      <c r="F7491" s="1">
        <v>44605</v>
      </c>
      <c r="G7491" t="s">
        <v>2041</v>
      </c>
      <c r="H7491">
        <v>1</v>
      </c>
      <c r="I7491" s="12">
        <f>Table16[[#This Row],[price]]*Table16[[#This Row],[quantity]]</f>
        <v>143.36000000000001</v>
      </c>
    </row>
    <row r="7492" spans="1:9" x14ac:dyDescent="0.3">
      <c r="A7492" t="s">
        <v>9506</v>
      </c>
      <c r="B7492" t="s">
        <v>1492</v>
      </c>
      <c r="C7492" t="s">
        <v>2057</v>
      </c>
      <c r="D7492">
        <v>1</v>
      </c>
      <c r="E7492" s="16">
        <v>11.73</v>
      </c>
      <c r="F7492" s="1">
        <v>44840</v>
      </c>
      <c r="G7492" t="s">
        <v>2004</v>
      </c>
      <c r="H7492">
        <v>5</v>
      </c>
      <c r="I7492" s="12">
        <f>Table16[[#This Row],[price]]*Table16[[#This Row],[quantity]]</f>
        <v>11.73</v>
      </c>
    </row>
    <row r="7493" spans="1:9" x14ac:dyDescent="0.3">
      <c r="A7493" t="s">
        <v>9517</v>
      </c>
      <c r="B7493" t="s">
        <v>1493</v>
      </c>
      <c r="C7493" t="s">
        <v>2001</v>
      </c>
      <c r="D7493">
        <v>4</v>
      </c>
      <c r="E7493" s="16">
        <v>1200.32</v>
      </c>
      <c r="F7493" s="1">
        <v>44284</v>
      </c>
      <c r="G7493" t="s">
        <v>2004</v>
      </c>
      <c r="H7493">
        <v>2</v>
      </c>
      <c r="I7493" s="12">
        <f>Table16[[#This Row],[price]]*Table16[[#This Row],[quantity]]</f>
        <v>4801.28</v>
      </c>
    </row>
    <row r="7494" spans="1:9" x14ac:dyDescent="0.3">
      <c r="A7494" t="s">
        <v>9509</v>
      </c>
      <c r="B7494" t="s">
        <v>1493</v>
      </c>
      <c r="C7494" t="s">
        <v>2024</v>
      </c>
      <c r="D7494">
        <v>2</v>
      </c>
      <c r="E7494" s="16">
        <v>71.680000000000007</v>
      </c>
      <c r="F7494" s="1">
        <v>44311</v>
      </c>
      <c r="G7494" t="s">
        <v>2002</v>
      </c>
      <c r="H7494">
        <v>3</v>
      </c>
      <c r="I7494" s="12">
        <f>Table16[[#This Row],[price]]*Table16[[#This Row],[quantity]]</f>
        <v>143.36000000000001</v>
      </c>
    </row>
    <row r="7495" spans="1:9" x14ac:dyDescent="0.3">
      <c r="A7495" t="s">
        <v>9516</v>
      </c>
      <c r="B7495" t="s">
        <v>1493</v>
      </c>
      <c r="C7495" t="s">
        <v>2057</v>
      </c>
      <c r="D7495">
        <v>3</v>
      </c>
      <c r="E7495" s="16">
        <v>35.19</v>
      </c>
      <c r="F7495" s="1">
        <v>44386</v>
      </c>
      <c r="G7495" t="s">
        <v>2012</v>
      </c>
      <c r="H7495">
        <v>1</v>
      </c>
      <c r="I7495" s="12">
        <f>Table16[[#This Row],[price]]*Table16[[#This Row],[quantity]]</f>
        <v>105.57</v>
      </c>
    </row>
    <row r="7496" spans="1:9" x14ac:dyDescent="0.3">
      <c r="A7496" t="s">
        <v>9515</v>
      </c>
      <c r="B7496" t="s">
        <v>1493</v>
      </c>
      <c r="C7496" t="s">
        <v>2008</v>
      </c>
      <c r="D7496">
        <v>2</v>
      </c>
      <c r="E7496" s="16">
        <v>10.46</v>
      </c>
      <c r="F7496" s="1">
        <v>44431</v>
      </c>
      <c r="G7496" t="s">
        <v>2009</v>
      </c>
      <c r="H7496">
        <v>5</v>
      </c>
      <c r="I7496" s="12">
        <f>Table16[[#This Row],[price]]*Table16[[#This Row],[quantity]]</f>
        <v>20.92</v>
      </c>
    </row>
    <row r="7497" spans="1:9" x14ac:dyDescent="0.3">
      <c r="A7497" t="s">
        <v>9512</v>
      </c>
      <c r="B7497" t="s">
        <v>1493</v>
      </c>
      <c r="C7497" t="s">
        <v>2057</v>
      </c>
      <c r="D7497">
        <v>5</v>
      </c>
      <c r="E7497" s="16">
        <v>58.65</v>
      </c>
      <c r="F7497" s="1">
        <v>44443</v>
      </c>
      <c r="G7497" t="s">
        <v>2004</v>
      </c>
      <c r="H7497">
        <v>5</v>
      </c>
      <c r="I7497" s="12">
        <f>Table16[[#This Row],[price]]*Table16[[#This Row],[quantity]]</f>
        <v>293.25</v>
      </c>
    </row>
    <row r="7498" spans="1:9" x14ac:dyDescent="0.3">
      <c r="A7498" t="s">
        <v>9511</v>
      </c>
      <c r="B7498" t="s">
        <v>1493</v>
      </c>
      <c r="C7498" t="s">
        <v>2001</v>
      </c>
      <c r="D7498">
        <v>5</v>
      </c>
      <c r="E7498" s="16">
        <v>1500.4</v>
      </c>
      <c r="F7498" s="1">
        <v>44559</v>
      </c>
      <c r="G7498" t="s">
        <v>2027</v>
      </c>
      <c r="H7498">
        <v>4</v>
      </c>
      <c r="I7498" s="12">
        <f>Table16[[#This Row],[price]]*Table16[[#This Row],[quantity]]</f>
        <v>7502</v>
      </c>
    </row>
    <row r="7499" spans="1:9" x14ac:dyDescent="0.3">
      <c r="A7499" t="s">
        <v>9514</v>
      </c>
      <c r="B7499" t="s">
        <v>1493</v>
      </c>
      <c r="C7499" t="s">
        <v>2008</v>
      </c>
      <c r="D7499">
        <v>4</v>
      </c>
      <c r="E7499" s="16">
        <v>20.92</v>
      </c>
      <c r="F7499" s="1">
        <v>44693</v>
      </c>
      <c r="G7499" t="s">
        <v>2012</v>
      </c>
      <c r="H7499">
        <v>4</v>
      </c>
      <c r="I7499" s="12">
        <f>Table16[[#This Row],[price]]*Table16[[#This Row],[quantity]]</f>
        <v>83.68</v>
      </c>
    </row>
    <row r="7500" spans="1:9" x14ac:dyDescent="0.3">
      <c r="A7500" t="s">
        <v>9510</v>
      </c>
      <c r="B7500" t="s">
        <v>1493</v>
      </c>
      <c r="C7500" t="s">
        <v>2001</v>
      </c>
      <c r="D7500">
        <v>5</v>
      </c>
      <c r="E7500" s="16">
        <v>1500.4</v>
      </c>
      <c r="F7500" s="1">
        <v>44846</v>
      </c>
      <c r="G7500" t="s">
        <v>2041</v>
      </c>
      <c r="H7500">
        <v>4</v>
      </c>
      <c r="I7500" s="12">
        <f>Table16[[#This Row],[price]]*Table16[[#This Row],[quantity]]</f>
        <v>7502</v>
      </c>
    </row>
    <row r="7501" spans="1:9" x14ac:dyDescent="0.3">
      <c r="A7501" t="s">
        <v>9513</v>
      </c>
      <c r="B7501" t="s">
        <v>1493</v>
      </c>
      <c r="C7501" t="s">
        <v>2008</v>
      </c>
      <c r="D7501">
        <v>5</v>
      </c>
      <c r="E7501" s="16">
        <v>26.15</v>
      </c>
      <c r="F7501" s="1">
        <v>44926</v>
      </c>
      <c r="G7501" t="s">
        <v>2004</v>
      </c>
      <c r="H7501">
        <v>2</v>
      </c>
      <c r="I7501" s="12">
        <f>Table16[[#This Row],[price]]*Table16[[#This Row],[quantity]]</f>
        <v>130.75</v>
      </c>
    </row>
    <row r="7502" spans="1:9" x14ac:dyDescent="0.3">
      <c r="A7502" t="s">
        <v>9518</v>
      </c>
      <c r="B7502" t="s">
        <v>1494</v>
      </c>
      <c r="C7502" t="s">
        <v>2001</v>
      </c>
      <c r="D7502">
        <v>1</v>
      </c>
      <c r="E7502" s="16">
        <v>300.08</v>
      </c>
      <c r="F7502" s="1">
        <v>44230</v>
      </c>
      <c r="G7502" t="s">
        <v>2012</v>
      </c>
      <c r="H7502">
        <v>5</v>
      </c>
      <c r="I7502" s="12">
        <f>Table16[[#This Row],[price]]*Table16[[#This Row],[quantity]]</f>
        <v>300.08</v>
      </c>
    </row>
    <row r="7503" spans="1:9" x14ac:dyDescent="0.3">
      <c r="A7503" t="s">
        <v>9520</v>
      </c>
      <c r="B7503" t="s">
        <v>1494</v>
      </c>
      <c r="C7503" t="s">
        <v>2006</v>
      </c>
      <c r="D7503">
        <v>1</v>
      </c>
      <c r="E7503" s="16">
        <v>15.15</v>
      </c>
      <c r="F7503" s="1">
        <v>44356</v>
      </c>
      <c r="G7503" t="s">
        <v>2004</v>
      </c>
      <c r="H7503">
        <v>1</v>
      </c>
      <c r="I7503" s="12">
        <f>Table16[[#This Row],[price]]*Table16[[#This Row],[quantity]]</f>
        <v>15.15</v>
      </c>
    </row>
    <row r="7504" spans="1:9" x14ac:dyDescent="0.3">
      <c r="A7504" t="s">
        <v>9522</v>
      </c>
      <c r="B7504" t="s">
        <v>1494</v>
      </c>
      <c r="C7504" t="s">
        <v>2008</v>
      </c>
      <c r="D7504">
        <v>5</v>
      </c>
      <c r="E7504" s="16">
        <v>26.15</v>
      </c>
      <c r="F7504" s="1">
        <v>44506</v>
      </c>
      <c r="G7504" t="s">
        <v>2004</v>
      </c>
      <c r="H7504">
        <v>2</v>
      </c>
      <c r="I7504" s="12">
        <f>Table16[[#This Row],[price]]*Table16[[#This Row],[quantity]]</f>
        <v>130.75</v>
      </c>
    </row>
    <row r="7505" spans="1:9" x14ac:dyDescent="0.3">
      <c r="A7505" t="s">
        <v>9519</v>
      </c>
      <c r="B7505" t="s">
        <v>1494</v>
      </c>
      <c r="C7505" t="s">
        <v>2006</v>
      </c>
      <c r="D7505">
        <v>2</v>
      </c>
      <c r="E7505" s="16">
        <v>30.3</v>
      </c>
      <c r="F7505" s="1">
        <v>44533</v>
      </c>
      <c r="G7505" t="s">
        <v>2058</v>
      </c>
      <c r="H7505">
        <v>4</v>
      </c>
      <c r="I7505" s="12">
        <f>Table16[[#This Row],[price]]*Table16[[#This Row],[quantity]]</f>
        <v>60.6</v>
      </c>
    </row>
    <row r="7506" spans="1:9" x14ac:dyDescent="0.3">
      <c r="A7506" t="s">
        <v>9524</v>
      </c>
      <c r="B7506" t="s">
        <v>1494</v>
      </c>
      <c r="C7506" t="s">
        <v>2006</v>
      </c>
      <c r="D7506">
        <v>4</v>
      </c>
      <c r="E7506" s="16">
        <v>60.6</v>
      </c>
      <c r="F7506" s="1">
        <v>44589</v>
      </c>
      <c r="G7506" t="s">
        <v>2002</v>
      </c>
      <c r="H7506">
        <v>2</v>
      </c>
      <c r="I7506" s="12">
        <f>Table16[[#This Row],[price]]*Table16[[#This Row],[quantity]]</f>
        <v>242.4</v>
      </c>
    </row>
    <row r="7507" spans="1:9" x14ac:dyDescent="0.3">
      <c r="A7507" t="s">
        <v>9525</v>
      </c>
      <c r="B7507" t="s">
        <v>1494</v>
      </c>
      <c r="C7507" t="s">
        <v>2024</v>
      </c>
      <c r="D7507">
        <v>3</v>
      </c>
      <c r="E7507" s="16">
        <v>107.52</v>
      </c>
      <c r="F7507" s="1">
        <v>44807</v>
      </c>
      <c r="G7507" t="s">
        <v>2009</v>
      </c>
      <c r="H7507">
        <v>1</v>
      </c>
      <c r="I7507" s="12">
        <f>Table16[[#This Row],[price]]*Table16[[#This Row],[quantity]]</f>
        <v>322.56</v>
      </c>
    </row>
    <row r="7508" spans="1:9" x14ac:dyDescent="0.3">
      <c r="A7508" t="s">
        <v>9523</v>
      </c>
      <c r="B7508" t="s">
        <v>1494</v>
      </c>
      <c r="C7508" t="s">
        <v>2011</v>
      </c>
      <c r="D7508">
        <v>2</v>
      </c>
      <c r="E7508" s="16">
        <v>81.319999999999993</v>
      </c>
      <c r="F7508" s="1">
        <v>44907</v>
      </c>
      <c r="G7508" t="s">
        <v>2041</v>
      </c>
      <c r="H7508">
        <v>2</v>
      </c>
      <c r="I7508" s="12">
        <f>Table16[[#This Row],[price]]*Table16[[#This Row],[quantity]]</f>
        <v>162.63999999999999</v>
      </c>
    </row>
    <row r="7509" spans="1:9" x14ac:dyDescent="0.3">
      <c r="A7509" t="s">
        <v>9526</v>
      </c>
      <c r="B7509" t="s">
        <v>1494</v>
      </c>
      <c r="C7509" t="s">
        <v>2001</v>
      </c>
      <c r="D7509">
        <v>3</v>
      </c>
      <c r="E7509" s="16">
        <v>900.24</v>
      </c>
      <c r="F7509" s="1">
        <v>44954</v>
      </c>
      <c r="G7509" t="s">
        <v>2041</v>
      </c>
      <c r="H7509">
        <v>5</v>
      </c>
      <c r="I7509" s="12">
        <f>Table16[[#This Row],[price]]*Table16[[#This Row],[quantity]]</f>
        <v>2700.7200000000003</v>
      </c>
    </row>
    <row r="7510" spans="1:9" x14ac:dyDescent="0.3">
      <c r="A7510" t="s">
        <v>9521</v>
      </c>
      <c r="B7510" t="s">
        <v>1494</v>
      </c>
      <c r="C7510" t="s">
        <v>2057</v>
      </c>
      <c r="D7510">
        <v>5</v>
      </c>
      <c r="E7510" s="16">
        <v>58.65</v>
      </c>
      <c r="F7510" s="1">
        <v>44985</v>
      </c>
      <c r="G7510" t="s">
        <v>2064</v>
      </c>
      <c r="H7510">
        <v>1</v>
      </c>
      <c r="I7510" s="12">
        <f>Table16[[#This Row],[price]]*Table16[[#This Row],[quantity]]</f>
        <v>293.25</v>
      </c>
    </row>
    <row r="7511" spans="1:9" x14ac:dyDescent="0.3">
      <c r="A7511" t="s">
        <v>9529</v>
      </c>
      <c r="B7511" t="s">
        <v>1495</v>
      </c>
      <c r="C7511" t="s">
        <v>2057</v>
      </c>
      <c r="D7511">
        <v>5</v>
      </c>
      <c r="E7511" s="16">
        <v>58.65</v>
      </c>
      <c r="F7511" s="1">
        <v>44308</v>
      </c>
      <c r="G7511" t="s">
        <v>2018</v>
      </c>
      <c r="H7511">
        <v>5</v>
      </c>
      <c r="I7511" s="12">
        <f>Table16[[#This Row],[price]]*Table16[[#This Row],[quantity]]</f>
        <v>293.25</v>
      </c>
    </row>
    <row r="7512" spans="1:9" x14ac:dyDescent="0.3">
      <c r="A7512" t="s">
        <v>9530</v>
      </c>
      <c r="B7512" t="s">
        <v>1495</v>
      </c>
      <c r="C7512" t="s">
        <v>2001</v>
      </c>
      <c r="D7512">
        <v>1</v>
      </c>
      <c r="E7512" s="16">
        <v>300.08</v>
      </c>
      <c r="F7512" s="1">
        <v>44424</v>
      </c>
      <c r="G7512" t="s">
        <v>2064</v>
      </c>
      <c r="H7512">
        <v>5</v>
      </c>
      <c r="I7512" s="12">
        <f>Table16[[#This Row],[price]]*Table16[[#This Row],[quantity]]</f>
        <v>300.08</v>
      </c>
    </row>
    <row r="7513" spans="1:9" x14ac:dyDescent="0.3">
      <c r="A7513" t="s">
        <v>9528</v>
      </c>
      <c r="B7513" t="s">
        <v>1495</v>
      </c>
      <c r="C7513" t="s">
        <v>2001</v>
      </c>
      <c r="D7513">
        <v>1</v>
      </c>
      <c r="E7513" s="16">
        <v>300.08</v>
      </c>
      <c r="F7513" s="1">
        <v>44639</v>
      </c>
      <c r="G7513" t="s">
        <v>2004</v>
      </c>
      <c r="H7513">
        <v>5</v>
      </c>
      <c r="I7513" s="12">
        <f>Table16[[#This Row],[price]]*Table16[[#This Row],[quantity]]</f>
        <v>300.08</v>
      </c>
    </row>
    <row r="7514" spans="1:9" x14ac:dyDescent="0.3">
      <c r="A7514" t="s">
        <v>9527</v>
      </c>
      <c r="B7514" t="s">
        <v>1495</v>
      </c>
      <c r="C7514" t="s">
        <v>2001</v>
      </c>
      <c r="D7514">
        <v>1</v>
      </c>
      <c r="E7514" s="16">
        <v>300.08</v>
      </c>
      <c r="F7514" s="1">
        <v>44963</v>
      </c>
      <c r="G7514" t="s">
        <v>2004</v>
      </c>
      <c r="H7514">
        <v>5</v>
      </c>
      <c r="I7514" s="12">
        <f>Table16[[#This Row],[price]]*Table16[[#This Row],[quantity]]</f>
        <v>300.08</v>
      </c>
    </row>
    <row r="7515" spans="1:9" x14ac:dyDescent="0.3">
      <c r="A7515" t="s">
        <v>9531</v>
      </c>
      <c r="B7515" t="s">
        <v>1495</v>
      </c>
      <c r="C7515" t="s">
        <v>2008</v>
      </c>
      <c r="D7515">
        <v>3</v>
      </c>
      <c r="E7515" s="16">
        <v>15.69</v>
      </c>
      <c r="F7515" s="1">
        <v>44966</v>
      </c>
      <c r="G7515" t="s">
        <v>2004</v>
      </c>
      <c r="H7515">
        <v>5</v>
      </c>
      <c r="I7515" s="12">
        <f>Table16[[#This Row],[price]]*Table16[[#This Row],[quantity]]</f>
        <v>47.07</v>
      </c>
    </row>
    <row r="7516" spans="1:9" x14ac:dyDescent="0.3">
      <c r="A7516" t="s">
        <v>9537</v>
      </c>
      <c r="B7516" t="s">
        <v>1496</v>
      </c>
      <c r="C7516" t="s">
        <v>2017</v>
      </c>
      <c r="D7516">
        <v>3</v>
      </c>
      <c r="E7516" s="16">
        <v>3150</v>
      </c>
      <c r="F7516" s="1">
        <v>44213</v>
      </c>
      <c r="G7516" t="s">
        <v>2020</v>
      </c>
      <c r="H7516">
        <v>2</v>
      </c>
      <c r="I7516" s="12">
        <f>Table16[[#This Row],[price]]*Table16[[#This Row],[quantity]]</f>
        <v>9450</v>
      </c>
    </row>
    <row r="7517" spans="1:9" x14ac:dyDescent="0.3">
      <c r="A7517" t="s">
        <v>9532</v>
      </c>
      <c r="B7517" t="s">
        <v>1496</v>
      </c>
      <c r="C7517" t="s">
        <v>2008</v>
      </c>
      <c r="D7517">
        <v>4</v>
      </c>
      <c r="E7517" s="16">
        <v>20.92</v>
      </c>
      <c r="F7517" s="1">
        <v>44302</v>
      </c>
      <c r="G7517" t="s">
        <v>2027</v>
      </c>
      <c r="H7517">
        <v>2</v>
      </c>
      <c r="I7517" s="12">
        <f>Table16[[#This Row],[price]]*Table16[[#This Row],[quantity]]</f>
        <v>83.68</v>
      </c>
    </row>
    <row r="7518" spans="1:9" x14ac:dyDescent="0.3">
      <c r="A7518" t="s">
        <v>9533</v>
      </c>
      <c r="B7518" t="s">
        <v>1496</v>
      </c>
      <c r="C7518" t="s">
        <v>2008</v>
      </c>
      <c r="D7518">
        <v>4</v>
      </c>
      <c r="E7518" s="16">
        <v>20.92</v>
      </c>
      <c r="F7518" s="1">
        <v>44643</v>
      </c>
      <c r="G7518" t="s">
        <v>2002</v>
      </c>
      <c r="H7518">
        <v>1</v>
      </c>
      <c r="I7518" s="12">
        <f>Table16[[#This Row],[price]]*Table16[[#This Row],[quantity]]</f>
        <v>83.68</v>
      </c>
    </row>
    <row r="7519" spans="1:9" x14ac:dyDescent="0.3">
      <c r="A7519" t="s">
        <v>9535</v>
      </c>
      <c r="B7519" t="s">
        <v>1496</v>
      </c>
      <c r="C7519" t="s">
        <v>2017</v>
      </c>
      <c r="D7519">
        <v>5</v>
      </c>
      <c r="E7519" s="16">
        <v>5250</v>
      </c>
      <c r="F7519" s="1">
        <v>44768</v>
      </c>
      <c r="G7519" t="s">
        <v>2004</v>
      </c>
      <c r="H7519">
        <v>1</v>
      </c>
      <c r="I7519" s="12">
        <f>Table16[[#This Row],[price]]*Table16[[#This Row],[quantity]]</f>
        <v>26250</v>
      </c>
    </row>
    <row r="7520" spans="1:9" x14ac:dyDescent="0.3">
      <c r="A7520" t="s">
        <v>9536</v>
      </c>
      <c r="B7520" t="s">
        <v>1496</v>
      </c>
      <c r="C7520" t="s">
        <v>2008</v>
      </c>
      <c r="D7520">
        <v>1</v>
      </c>
      <c r="E7520" s="16">
        <v>5.23</v>
      </c>
      <c r="F7520" s="1">
        <v>44870</v>
      </c>
      <c r="G7520" t="s">
        <v>2027</v>
      </c>
      <c r="H7520">
        <v>4</v>
      </c>
      <c r="I7520" s="12">
        <f>Table16[[#This Row],[price]]*Table16[[#This Row],[quantity]]</f>
        <v>5.23</v>
      </c>
    </row>
    <row r="7521" spans="1:9" x14ac:dyDescent="0.3">
      <c r="A7521" t="s">
        <v>9538</v>
      </c>
      <c r="B7521" t="s">
        <v>1496</v>
      </c>
      <c r="C7521" t="s">
        <v>2015</v>
      </c>
      <c r="D7521">
        <v>1</v>
      </c>
      <c r="E7521" s="16">
        <v>600.16999999999996</v>
      </c>
      <c r="F7521" s="1">
        <v>44948</v>
      </c>
      <c r="G7521" t="s">
        <v>2027</v>
      </c>
      <c r="H7521">
        <v>5</v>
      </c>
      <c r="I7521" s="12">
        <f>Table16[[#This Row],[price]]*Table16[[#This Row],[quantity]]</f>
        <v>600.16999999999996</v>
      </c>
    </row>
    <row r="7522" spans="1:9" x14ac:dyDescent="0.3">
      <c r="A7522" t="s">
        <v>9534</v>
      </c>
      <c r="B7522" t="s">
        <v>1496</v>
      </c>
      <c r="C7522" t="s">
        <v>2001</v>
      </c>
      <c r="D7522">
        <v>4</v>
      </c>
      <c r="E7522" s="16">
        <v>1200.32</v>
      </c>
      <c r="F7522" s="1">
        <v>44988</v>
      </c>
      <c r="G7522" t="s">
        <v>2027</v>
      </c>
      <c r="H7522">
        <v>3</v>
      </c>
      <c r="I7522" s="12">
        <f>Table16[[#This Row],[price]]*Table16[[#This Row],[quantity]]</f>
        <v>4801.28</v>
      </c>
    </row>
    <row r="7523" spans="1:9" x14ac:dyDescent="0.3">
      <c r="A7523" t="s">
        <v>9541</v>
      </c>
      <c r="B7523" t="s">
        <v>1497</v>
      </c>
      <c r="C7523" t="s">
        <v>2001</v>
      </c>
      <c r="D7523">
        <v>4</v>
      </c>
      <c r="E7523" s="16">
        <v>1200.32</v>
      </c>
      <c r="F7523" s="1">
        <v>44430</v>
      </c>
      <c r="G7523" t="s">
        <v>2020</v>
      </c>
      <c r="H7523">
        <v>5</v>
      </c>
      <c r="I7523" s="12">
        <f>Table16[[#This Row],[price]]*Table16[[#This Row],[quantity]]</f>
        <v>4801.28</v>
      </c>
    </row>
    <row r="7524" spans="1:9" x14ac:dyDescent="0.3">
      <c r="A7524" t="s">
        <v>9539</v>
      </c>
      <c r="B7524" t="s">
        <v>1497</v>
      </c>
      <c r="C7524" t="s">
        <v>2015</v>
      </c>
      <c r="D7524">
        <v>4</v>
      </c>
      <c r="E7524" s="16">
        <v>2400.6799999999998</v>
      </c>
      <c r="F7524" s="1">
        <v>44680</v>
      </c>
      <c r="G7524" t="s">
        <v>2058</v>
      </c>
      <c r="H7524">
        <v>1</v>
      </c>
      <c r="I7524" s="12">
        <f>Table16[[#This Row],[price]]*Table16[[#This Row],[quantity]]</f>
        <v>9602.7199999999993</v>
      </c>
    </row>
    <row r="7525" spans="1:9" x14ac:dyDescent="0.3">
      <c r="A7525" t="s">
        <v>9540</v>
      </c>
      <c r="B7525" t="s">
        <v>1497</v>
      </c>
      <c r="C7525" t="s">
        <v>2017</v>
      </c>
      <c r="D7525">
        <v>5</v>
      </c>
      <c r="E7525" s="16">
        <v>5250</v>
      </c>
      <c r="F7525" s="1">
        <v>44838</v>
      </c>
      <c r="G7525" t="s">
        <v>2009</v>
      </c>
      <c r="H7525">
        <v>5</v>
      </c>
      <c r="I7525" s="12">
        <f>Table16[[#This Row],[price]]*Table16[[#This Row],[quantity]]</f>
        <v>26250</v>
      </c>
    </row>
    <row r="7526" spans="1:9" x14ac:dyDescent="0.3">
      <c r="A7526" t="s">
        <v>9542</v>
      </c>
      <c r="B7526" t="s">
        <v>1498</v>
      </c>
      <c r="C7526" t="s">
        <v>2008</v>
      </c>
      <c r="D7526">
        <v>5</v>
      </c>
      <c r="E7526" s="16">
        <v>26.15</v>
      </c>
      <c r="F7526" s="1">
        <v>44272</v>
      </c>
      <c r="G7526" t="s">
        <v>2058</v>
      </c>
      <c r="H7526">
        <v>4</v>
      </c>
      <c r="I7526" s="12">
        <f>Table16[[#This Row],[price]]*Table16[[#This Row],[quantity]]</f>
        <v>130.75</v>
      </c>
    </row>
    <row r="7527" spans="1:9" x14ac:dyDescent="0.3">
      <c r="A7527" t="s">
        <v>9543</v>
      </c>
      <c r="B7527" t="s">
        <v>1498</v>
      </c>
      <c r="C7527" t="s">
        <v>2024</v>
      </c>
      <c r="D7527">
        <v>4</v>
      </c>
      <c r="E7527" s="16">
        <v>143.36000000000001</v>
      </c>
      <c r="F7527" s="1">
        <v>44413</v>
      </c>
      <c r="G7527" t="s">
        <v>2041</v>
      </c>
      <c r="H7527">
        <v>5</v>
      </c>
      <c r="I7527" s="12">
        <f>Table16[[#This Row],[price]]*Table16[[#This Row],[quantity]]</f>
        <v>573.44000000000005</v>
      </c>
    </row>
    <row r="7528" spans="1:9" x14ac:dyDescent="0.3">
      <c r="A7528" t="s">
        <v>9544</v>
      </c>
      <c r="B7528" t="s">
        <v>1498</v>
      </c>
      <c r="C7528" t="s">
        <v>2011</v>
      </c>
      <c r="D7528">
        <v>5</v>
      </c>
      <c r="E7528" s="16">
        <v>203.3</v>
      </c>
      <c r="F7528" s="1">
        <v>44970</v>
      </c>
      <c r="G7528" t="s">
        <v>2004</v>
      </c>
      <c r="H7528">
        <v>3</v>
      </c>
      <c r="I7528" s="12">
        <f>Table16[[#This Row],[price]]*Table16[[#This Row],[quantity]]</f>
        <v>1016.5</v>
      </c>
    </row>
    <row r="7529" spans="1:9" x14ac:dyDescent="0.3">
      <c r="A7529" t="s">
        <v>9547</v>
      </c>
      <c r="B7529" t="s">
        <v>1499</v>
      </c>
      <c r="C7529" t="s">
        <v>2001</v>
      </c>
      <c r="D7529">
        <v>3</v>
      </c>
      <c r="E7529" s="16">
        <v>900.24</v>
      </c>
      <c r="F7529" s="1">
        <v>44509</v>
      </c>
      <c r="G7529" t="s">
        <v>2064</v>
      </c>
      <c r="H7529">
        <v>4</v>
      </c>
      <c r="I7529" s="12">
        <f>Table16[[#This Row],[price]]*Table16[[#This Row],[quantity]]</f>
        <v>2700.7200000000003</v>
      </c>
    </row>
    <row r="7530" spans="1:9" x14ac:dyDescent="0.3">
      <c r="A7530" t="s">
        <v>9545</v>
      </c>
      <c r="B7530" t="s">
        <v>1499</v>
      </c>
      <c r="C7530" t="s">
        <v>2001</v>
      </c>
      <c r="D7530">
        <v>5</v>
      </c>
      <c r="E7530" s="16">
        <v>1500.4</v>
      </c>
      <c r="F7530" s="1">
        <v>44842</v>
      </c>
      <c r="G7530" t="s">
        <v>2004</v>
      </c>
      <c r="H7530">
        <v>4</v>
      </c>
      <c r="I7530" s="12">
        <f>Table16[[#This Row],[price]]*Table16[[#This Row],[quantity]]</f>
        <v>7502</v>
      </c>
    </row>
    <row r="7531" spans="1:9" x14ac:dyDescent="0.3">
      <c r="A7531" t="s">
        <v>9546</v>
      </c>
      <c r="B7531" t="s">
        <v>1499</v>
      </c>
      <c r="C7531" t="s">
        <v>2001</v>
      </c>
      <c r="D7531">
        <v>5</v>
      </c>
      <c r="E7531" s="16">
        <v>1500.4</v>
      </c>
      <c r="F7531" s="1">
        <v>44906</v>
      </c>
      <c r="G7531" t="s">
        <v>2018</v>
      </c>
      <c r="H7531">
        <v>4</v>
      </c>
      <c r="I7531" s="12">
        <f>Table16[[#This Row],[price]]*Table16[[#This Row],[quantity]]</f>
        <v>7502</v>
      </c>
    </row>
    <row r="7532" spans="1:9" x14ac:dyDescent="0.3">
      <c r="A7532" t="s">
        <v>9550</v>
      </c>
      <c r="B7532" t="s">
        <v>1500</v>
      </c>
      <c r="C7532" t="s">
        <v>2015</v>
      </c>
      <c r="D7532">
        <v>1</v>
      </c>
      <c r="E7532" s="16">
        <v>600.16999999999996</v>
      </c>
      <c r="F7532" s="1">
        <v>44566</v>
      </c>
      <c r="G7532" t="s">
        <v>2027</v>
      </c>
      <c r="H7532">
        <v>5</v>
      </c>
      <c r="I7532" s="12">
        <f>Table16[[#This Row],[price]]*Table16[[#This Row],[quantity]]</f>
        <v>600.16999999999996</v>
      </c>
    </row>
    <row r="7533" spans="1:9" x14ac:dyDescent="0.3">
      <c r="A7533" t="s">
        <v>9548</v>
      </c>
      <c r="B7533" t="s">
        <v>1500</v>
      </c>
      <c r="C7533" t="s">
        <v>2001</v>
      </c>
      <c r="D7533">
        <v>5</v>
      </c>
      <c r="E7533" s="16">
        <v>1500.4</v>
      </c>
      <c r="F7533" s="1">
        <v>44679</v>
      </c>
      <c r="G7533" t="s">
        <v>2027</v>
      </c>
      <c r="H7533">
        <v>4</v>
      </c>
      <c r="I7533" s="12">
        <f>Table16[[#This Row],[price]]*Table16[[#This Row],[quantity]]</f>
        <v>7502</v>
      </c>
    </row>
    <row r="7534" spans="1:9" x14ac:dyDescent="0.3">
      <c r="A7534" t="s">
        <v>9551</v>
      </c>
      <c r="B7534" t="s">
        <v>1500</v>
      </c>
      <c r="C7534" t="s">
        <v>2008</v>
      </c>
      <c r="D7534">
        <v>1</v>
      </c>
      <c r="E7534" s="16">
        <v>5.23</v>
      </c>
      <c r="F7534" s="1">
        <v>44787</v>
      </c>
      <c r="G7534" t="s">
        <v>2027</v>
      </c>
      <c r="H7534">
        <v>2</v>
      </c>
      <c r="I7534" s="12">
        <f>Table16[[#This Row],[price]]*Table16[[#This Row],[quantity]]</f>
        <v>5.23</v>
      </c>
    </row>
    <row r="7535" spans="1:9" x14ac:dyDescent="0.3">
      <c r="A7535" t="s">
        <v>9549</v>
      </c>
      <c r="B7535" t="s">
        <v>1500</v>
      </c>
      <c r="C7535" t="s">
        <v>2001</v>
      </c>
      <c r="D7535">
        <v>3</v>
      </c>
      <c r="E7535" s="16">
        <v>900.24</v>
      </c>
      <c r="F7535" s="1">
        <v>44865</v>
      </c>
      <c r="G7535" t="s">
        <v>2004</v>
      </c>
      <c r="H7535">
        <v>1</v>
      </c>
      <c r="I7535" s="12">
        <f>Table16[[#This Row],[price]]*Table16[[#This Row],[quantity]]</f>
        <v>2700.7200000000003</v>
      </c>
    </row>
    <row r="7536" spans="1:9" x14ac:dyDescent="0.3">
      <c r="A7536" t="s">
        <v>9554</v>
      </c>
      <c r="B7536" t="s">
        <v>1501</v>
      </c>
      <c r="C7536" t="s">
        <v>2008</v>
      </c>
      <c r="D7536">
        <v>3</v>
      </c>
      <c r="E7536" s="16">
        <v>15.69</v>
      </c>
      <c r="F7536" s="1">
        <v>44740</v>
      </c>
      <c r="G7536" t="s">
        <v>2064</v>
      </c>
      <c r="H7536">
        <v>3</v>
      </c>
      <c r="I7536" s="12">
        <f>Table16[[#This Row],[price]]*Table16[[#This Row],[quantity]]</f>
        <v>47.07</v>
      </c>
    </row>
    <row r="7537" spans="1:9" x14ac:dyDescent="0.3">
      <c r="A7537" t="s">
        <v>9553</v>
      </c>
      <c r="B7537" t="s">
        <v>1501</v>
      </c>
      <c r="C7537" t="s">
        <v>2008</v>
      </c>
      <c r="D7537">
        <v>4</v>
      </c>
      <c r="E7537" s="16">
        <v>20.92</v>
      </c>
      <c r="F7537" s="1">
        <v>44829</v>
      </c>
      <c r="G7537" t="s">
        <v>2004</v>
      </c>
      <c r="H7537">
        <v>2</v>
      </c>
      <c r="I7537" s="12">
        <f>Table16[[#This Row],[price]]*Table16[[#This Row],[quantity]]</f>
        <v>83.68</v>
      </c>
    </row>
    <row r="7538" spans="1:9" x14ac:dyDescent="0.3">
      <c r="A7538" t="s">
        <v>9552</v>
      </c>
      <c r="B7538" t="s">
        <v>1501</v>
      </c>
      <c r="C7538" t="s">
        <v>2011</v>
      </c>
      <c r="D7538">
        <v>4</v>
      </c>
      <c r="E7538" s="16">
        <v>162.63999999999999</v>
      </c>
      <c r="F7538" s="1">
        <v>44894</v>
      </c>
      <c r="G7538" t="s">
        <v>2027</v>
      </c>
      <c r="H7538">
        <v>3</v>
      </c>
      <c r="I7538" s="12">
        <f>Table16[[#This Row],[price]]*Table16[[#This Row],[quantity]]</f>
        <v>650.55999999999995</v>
      </c>
    </row>
    <row r="7539" spans="1:9" x14ac:dyDescent="0.3">
      <c r="A7539" t="s">
        <v>9559</v>
      </c>
      <c r="B7539" t="s">
        <v>1502</v>
      </c>
      <c r="C7539" t="s">
        <v>2015</v>
      </c>
      <c r="D7539">
        <v>5</v>
      </c>
      <c r="E7539" s="16">
        <v>3000.85</v>
      </c>
      <c r="F7539" s="1">
        <v>44204</v>
      </c>
      <c r="G7539" t="s">
        <v>2064</v>
      </c>
      <c r="H7539">
        <v>1</v>
      </c>
      <c r="I7539" s="12">
        <f>Table16[[#This Row],[price]]*Table16[[#This Row],[quantity]]</f>
        <v>15004.25</v>
      </c>
    </row>
    <row r="7540" spans="1:9" x14ac:dyDescent="0.3">
      <c r="A7540" t="s">
        <v>9557</v>
      </c>
      <c r="B7540" t="s">
        <v>1502</v>
      </c>
      <c r="C7540" t="s">
        <v>2001</v>
      </c>
      <c r="D7540">
        <v>2</v>
      </c>
      <c r="E7540" s="16">
        <v>600.16</v>
      </c>
      <c r="F7540" s="1">
        <v>44210</v>
      </c>
      <c r="G7540" t="s">
        <v>2041</v>
      </c>
      <c r="H7540">
        <v>3</v>
      </c>
      <c r="I7540" s="12">
        <f>Table16[[#This Row],[price]]*Table16[[#This Row],[quantity]]</f>
        <v>1200.32</v>
      </c>
    </row>
    <row r="7541" spans="1:9" x14ac:dyDescent="0.3">
      <c r="A7541" t="s">
        <v>9560</v>
      </c>
      <c r="B7541" t="s">
        <v>1502</v>
      </c>
      <c r="C7541" t="s">
        <v>2001</v>
      </c>
      <c r="D7541">
        <v>3</v>
      </c>
      <c r="E7541" s="16">
        <v>900.24</v>
      </c>
      <c r="F7541" s="1">
        <v>44278</v>
      </c>
      <c r="G7541" t="s">
        <v>2004</v>
      </c>
      <c r="H7541">
        <v>2</v>
      </c>
      <c r="I7541" s="12">
        <f>Table16[[#This Row],[price]]*Table16[[#This Row],[quantity]]</f>
        <v>2700.7200000000003</v>
      </c>
    </row>
    <row r="7542" spans="1:9" x14ac:dyDescent="0.3">
      <c r="A7542" t="s">
        <v>9556</v>
      </c>
      <c r="B7542" t="s">
        <v>1502</v>
      </c>
      <c r="C7542" t="s">
        <v>2001</v>
      </c>
      <c r="D7542">
        <v>2</v>
      </c>
      <c r="E7542" s="16">
        <v>600.16</v>
      </c>
      <c r="F7542" s="1">
        <v>44364</v>
      </c>
      <c r="G7542" t="s">
        <v>2027</v>
      </c>
      <c r="H7542">
        <v>2</v>
      </c>
      <c r="I7542" s="12">
        <f>Table16[[#This Row],[price]]*Table16[[#This Row],[quantity]]</f>
        <v>1200.32</v>
      </c>
    </row>
    <row r="7543" spans="1:9" x14ac:dyDescent="0.3">
      <c r="A7543" t="s">
        <v>9555</v>
      </c>
      <c r="B7543" t="s">
        <v>1502</v>
      </c>
      <c r="C7543" t="s">
        <v>2006</v>
      </c>
      <c r="D7543">
        <v>2</v>
      </c>
      <c r="E7543" s="16">
        <v>30.3</v>
      </c>
      <c r="F7543" s="1">
        <v>44637</v>
      </c>
      <c r="G7543" t="s">
        <v>2027</v>
      </c>
      <c r="H7543">
        <v>3</v>
      </c>
      <c r="I7543" s="12">
        <f>Table16[[#This Row],[price]]*Table16[[#This Row],[quantity]]</f>
        <v>60.6</v>
      </c>
    </row>
    <row r="7544" spans="1:9" x14ac:dyDescent="0.3">
      <c r="A7544" t="s">
        <v>9558</v>
      </c>
      <c r="B7544" t="s">
        <v>1502</v>
      </c>
      <c r="C7544" t="s">
        <v>2015</v>
      </c>
      <c r="D7544">
        <v>1</v>
      </c>
      <c r="E7544" s="16">
        <v>600.16999999999996</v>
      </c>
      <c r="F7544" s="1">
        <v>44698</v>
      </c>
      <c r="G7544" t="s">
        <v>2002</v>
      </c>
      <c r="H7544">
        <v>5</v>
      </c>
      <c r="I7544" s="12">
        <f>Table16[[#This Row],[price]]*Table16[[#This Row],[quantity]]</f>
        <v>600.16999999999996</v>
      </c>
    </row>
    <row r="7545" spans="1:9" x14ac:dyDescent="0.3">
      <c r="A7545" t="s">
        <v>9561</v>
      </c>
      <c r="B7545" t="s">
        <v>1502</v>
      </c>
      <c r="C7545" t="s">
        <v>2008</v>
      </c>
      <c r="D7545">
        <v>4</v>
      </c>
      <c r="E7545" s="16">
        <v>20.92</v>
      </c>
      <c r="F7545" s="1">
        <v>44909</v>
      </c>
      <c r="G7545" t="s">
        <v>2020</v>
      </c>
      <c r="H7545">
        <v>3</v>
      </c>
      <c r="I7545" s="12">
        <f>Table16[[#This Row],[price]]*Table16[[#This Row],[quantity]]</f>
        <v>83.68</v>
      </c>
    </row>
    <row r="7546" spans="1:9" x14ac:dyDescent="0.3">
      <c r="A7546" t="s">
        <v>9563</v>
      </c>
      <c r="B7546" t="s">
        <v>1503</v>
      </c>
      <c r="C7546" t="s">
        <v>2008</v>
      </c>
      <c r="D7546">
        <v>5</v>
      </c>
      <c r="E7546" s="16">
        <v>26.15</v>
      </c>
      <c r="F7546" s="1">
        <v>44270</v>
      </c>
      <c r="G7546" t="s">
        <v>2004</v>
      </c>
      <c r="H7546">
        <v>1</v>
      </c>
      <c r="I7546" s="12">
        <f>Table16[[#This Row],[price]]*Table16[[#This Row],[quantity]]</f>
        <v>130.75</v>
      </c>
    </row>
    <row r="7547" spans="1:9" x14ac:dyDescent="0.3">
      <c r="A7547" t="s">
        <v>9562</v>
      </c>
      <c r="B7547" t="s">
        <v>1503</v>
      </c>
      <c r="C7547" t="s">
        <v>2001</v>
      </c>
      <c r="D7547">
        <v>1</v>
      </c>
      <c r="E7547" s="16">
        <v>300.08</v>
      </c>
      <c r="F7547" s="1">
        <v>44654</v>
      </c>
      <c r="G7547" t="s">
        <v>2002</v>
      </c>
      <c r="H7547">
        <v>5</v>
      </c>
      <c r="I7547" s="12">
        <f>Table16[[#This Row],[price]]*Table16[[#This Row],[quantity]]</f>
        <v>300.08</v>
      </c>
    </row>
    <row r="7548" spans="1:9" x14ac:dyDescent="0.3">
      <c r="A7548" t="s">
        <v>9564</v>
      </c>
      <c r="B7548" t="s">
        <v>1503</v>
      </c>
      <c r="C7548" t="s">
        <v>2057</v>
      </c>
      <c r="D7548">
        <v>2</v>
      </c>
      <c r="E7548" s="16">
        <v>23.46</v>
      </c>
      <c r="F7548" s="1">
        <v>44862</v>
      </c>
      <c r="G7548" t="s">
        <v>2002</v>
      </c>
      <c r="H7548">
        <v>1</v>
      </c>
      <c r="I7548" s="12">
        <f>Table16[[#This Row],[price]]*Table16[[#This Row],[quantity]]</f>
        <v>46.92</v>
      </c>
    </row>
    <row r="7549" spans="1:9" x14ac:dyDescent="0.3">
      <c r="A7549" t="s">
        <v>9568</v>
      </c>
      <c r="B7549" t="s">
        <v>1504</v>
      </c>
      <c r="C7549" t="s">
        <v>2001</v>
      </c>
      <c r="D7549">
        <v>2</v>
      </c>
      <c r="E7549" s="16">
        <v>600.16</v>
      </c>
      <c r="F7549" s="1">
        <v>44367</v>
      </c>
      <c r="G7549" t="s">
        <v>2027</v>
      </c>
      <c r="H7549">
        <v>1</v>
      </c>
      <c r="I7549" s="12">
        <f>Table16[[#This Row],[price]]*Table16[[#This Row],[quantity]]</f>
        <v>1200.32</v>
      </c>
    </row>
    <row r="7550" spans="1:9" x14ac:dyDescent="0.3">
      <c r="A7550" t="s">
        <v>9565</v>
      </c>
      <c r="B7550" t="s">
        <v>1504</v>
      </c>
      <c r="C7550" t="s">
        <v>2024</v>
      </c>
      <c r="D7550">
        <v>2</v>
      </c>
      <c r="E7550" s="16">
        <v>71.680000000000007</v>
      </c>
      <c r="F7550" s="1">
        <v>44460</v>
      </c>
      <c r="G7550" t="s">
        <v>2020</v>
      </c>
      <c r="H7550">
        <v>1</v>
      </c>
      <c r="I7550" s="12">
        <f>Table16[[#This Row],[price]]*Table16[[#This Row],[quantity]]</f>
        <v>143.36000000000001</v>
      </c>
    </row>
    <row r="7551" spans="1:9" x14ac:dyDescent="0.3">
      <c r="A7551" t="s">
        <v>9569</v>
      </c>
      <c r="B7551" t="s">
        <v>1504</v>
      </c>
      <c r="C7551" t="s">
        <v>2017</v>
      </c>
      <c r="D7551">
        <v>4</v>
      </c>
      <c r="E7551" s="16">
        <v>4200</v>
      </c>
      <c r="F7551" s="1">
        <v>44597</v>
      </c>
      <c r="G7551" t="s">
        <v>2004</v>
      </c>
      <c r="H7551">
        <v>3</v>
      </c>
      <c r="I7551" s="12">
        <f>Table16[[#This Row],[price]]*Table16[[#This Row],[quantity]]</f>
        <v>16800</v>
      </c>
    </row>
    <row r="7552" spans="1:9" x14ac:dyDescent="0.3">
      <c r="A7552" t="s">
        <v>9567</v>
      </c>
      <c r="B7552" t="s">
        <v>1504</v>
      </c>
      <c r="C7552" t="s">
        <v>2017</v>
      </c>
      <c r="D7552">
        <v>1</v>
      </c>
      <c r="E7552" s="16">
        <v>1050</v>
      </c>
      <c r="F7552" s="1">
        <v>44678</v>
      </c>
      <c r="G7552" t="s">
        <v>2004</v>
      </c>
      <c r="H7552">
        <v>1</v>
      </c>
      <c r="I7552" s="12">
        <f>Table16[[#This Row],[price]]*Table16[[#This Row],[quantity]]</f>
        <v>1050</v>
      </c>
    </row>
    <row r="7553" spans="1:9" x14ac:dyDescent="0.3">
      <c r="A7553" t="s">
        <v>9566</v>
      </c>
      <c r="B7553" t="s">
        <v>1504</v>
      </c>
      <c r="C7553" t="s">
        <v>2001</v>
      </c>
      <c r="D7553">
        <v>5</v>
      </c>
      <c r="E7553" s="16">
        <v>1500.4</v>
      </c>
      <c r="F7553" s="1">
        <v>44934</v>
      </c>
      <c r="G7553" t="s">
        <v>2002</v>
      </c>
      <c r="H7553">
        <v>3</v>
      </c>
      <c r="I7553" s="12">
        <f>Table16[[#This Row],[price]]*Table16[[#This Row],[quantity]]</f>
        <v>7502</v>
      </c>
    </row>
    <row r="7554" spans="1:9" x14ac:dyDescent="0.3">
      <c r="A7554" t="s">
        <v>9573</v>
      </c>
      <c r="B7554" t="s">
        <v>1505</v>
      </c>
      <c r="C7554" t="s">
        <v>2001</v>
      </c>
      <c r="D7554">
        <v>4</v>
      </c>
      <c r="E7554" s="16">
        <v>1200.32</v>
      </c>
      <c r="F7554" s="1">
        <v>44327</v>
      </c>
      <c r="G7554" t="s">
        <v>2020</v>
      </c>
      <c r="H7554">
        <v>5</v>
      </c>
      <c r="I7554" s="12">
        <f>Table16[[#This Row],[price]]*Table16[[#This Row],[quantity]]</f>
        <v>4801.28</v>
      </c>
    </row>
    <row r="7555" spans="1:9" x14ac:dyDescent="0.3">
      <c r="A7555" t="s">
        <v>9570</v>
      </c>
      <c r="B7555" t="s">
        <v>1505</v>
      </c>
      <c r="C7555" t="s">
        <v>2011</v>
      </c>
      <c r="D7555">
        <v>3</v>
      </c>
      <c r="E7555" s="16">
        <v>121.98</v>
      </c>
      <c r="F7555" s="1">
        <v>44338</v>
      </c>
      <c r="G7555" t="s">
        <v>2027</v>
      </c>
      <c r="H7555">
        <v>5</v>
      </c>
      <c r="I7555" s="12">
        <f>Table16[[#This Row],[price]]*Table16[[#This Row],[quantity]]</f>
        <v>365.94</v>
      </c>
    </row>
    <row r="7556" spans="1:9" x14ac:dyDescent="0.3">
      <c r="A7556" t="s">
        <v>9571</v>
      </c>
      <c r="B7556" t="s">
        <v>1505</v>
      </c>
      <c r="C7556" t="s">
        <v>2015</v>
      </c>
      <c r="D7556">
        <v>2</v>
      </c>
      <c r="E7556" s="16">
        <v>1200.3399999999999</v>
      </c>
      <c r="F7556" s="1">
        <v>44446</v>
      </c>
      <c r="G7556" t="s">
        <v>2002</v>
      </c>
      <c r="H7556">
        <v>5</v>
      </c>
      <c r="I7556" s="12">
        <f>Table16[[#This Row],[price]]*Table16[[#This Row],[quantity]]</f>
        <v>2400.6799999999998</v>
      </c>
    </row>
    <row r="7557" spans="1:9" x14ac:dyDescent="0.3">
      <c r="A7557" t="s">
        <v>9575</v>
      </c>
      <c r="B7557" t="s">
        <v>1505</v>
      </c>
      <c r="C7557" t="s">
        <v>2008</v>
      </c>
      <c r="D7557">
        <v>1</v>
      </c>
      <c r="E7557" s="16">
        <v>5.23</v>
      </c>
      <c r="F7557" s="1">
        <v>44484</v>
      </c>
      <c r="G7557" t="s">
        <v>2009</v>
      </c>
      <c r="H7557">
        <v>2</v>
      </c>
      <c r="I7557" s="12">
        <f>Table16[[#This Row],[price]]*Table16[[#This Row],[quantity]]</f>
        <v>5.23</v>
      </c>
    </row>
    <row r="7558" spans="1:9" x14ac:dyDescent="0.3">
      <c r="A7558" t="s">
        <v>9576</v>
      </c>
      <c r="B7558" t="s">
        <v>1505</v>
      </c>
      <c r="C7558" t="s">
        <v>2011</v>
      </c>
      <c r="D7558">
        <v>5</v>
      </c>
      <c r="E7558" s="16">
        <v>203.3</v>
      </c>
      <c r="F7558" s="1">
        <v>44531</v>
      </c>
      <c r="G7558" t="s">
        <v>2004</v>
      </c>
      <c r="H7558">
        <v>1</v>
      </c>
      <c r="I7558" s="12">
        <f>Table16[[#This Row],[price]]*Table16[[#This Row],[quantity]]</f>
        <v>1016.5</v>
      </c>
    </row>
    <row r="7559" spans="1:9" x14ac:dyDescent="0.3">
      <c r="A7559" t="s">
        <v>9572</v>
      </c>
      <c r="B7559" t="s">
        <v>1505</v>
      </c>
      <c r="C7559" t="s">
        <v>2001</v>
      </c>
      <c r="D7559">
        <v>1</v>
      </c>
      <c r="E7559" s="16">
        <v>300.08</v>
      </c>
      <c r="F7559" s="1">
        <v>44630</v>
      </c>
      <c r="G7559" t="s">
        <v>2012</v>
      </c>
      <c r="H7559">
        <v>2</v>
      </c>
      <c r="I7559" s="12">
        <f>Table16[[#This Row],[price]]*Table16[[#This Row],[quantity]]</f>
        <v>300.08</v>
      </c>
    </row>
    <row r="7560" spans="1:9" x14ac:dyDescent="0.3">
      <c r="A7560" t="s">
        <v>9574</v>
      </c>
      <c r="B7560" t="s">
        <v>1505</v>
      </c>
      <c r="C7560" t="s">
        <v>2008</v>
      </c>
      <c r="D7560">
        <v>5</v>
      </c>
      <c r="E7560" s="16">
        <v>26.15</v>
      </c>
      <c r="F7560" s="1">
        <v>44940</v>
      </c>
      <c r="G7560" t="s">
        <v>2027</v>
      </c>
      <c r="H7560">
        <v>4</v>
      </c>
      <c r="I7560" s="12">
        <f>Table16[[#This Row],[price]]*Table16[[#This Row],[quantity]]</f>
        <v>130.75</v>
      </c>
    </row>
    <row r="7561" spans="1:9" x14ac:dyDescent="0.3">
      <c r="A7561" t="s">
        <v>9579</v>
      </c>
      <c r="B7561" t="s">
        <v>1506</v>
      </c>
      <c r="C7561" t="s">
        <v>2001</v>
      </c>
      <c r="D7561">
        <v>5</v>
      </c>
      <c r="E7561" s="16">
        <v>1500.4</v>
      </c>
      <c r="F7561" s="1">
        <v>44238</v>
      </c>
      <c r="G7561" t="s">
        <v>2004</v>
      </c>
      <c r="H7561">
        <v>1</v>
      </c>
      <c r="I7561" s="12">
        <f>Table16[[#This Row],[price]]*Table16[[#This Row],[quantity]]</f>
        <v>7502</v>
      </c>
    </row>
    <row r="7562" spans="1:9" x14ac:dyDescent="0.3">
      <c r="A7562" t="s">
        <v>9583</v>
      </c>
      <c r="B7562" t="s">
        <v>1506</v>
      </c>
      <c r="C7562" t="s">
        <v>2001</v>
      </c>
      <c r="D7562">
        <v>1</v>
      </c>
      <c r="E7562" s="16">
        <v>300.08</v>
      </c>
      <c r="F7562" s="1">
        <v>44296</v>
      </c>
      <c r="G7562" t="s">
        <v>2002</v>
      </c>
      <c r="H7562">
        <v>2</v>
      </c>
      <c r="I7562" s="12">
        <f>Table16[[#This Row],[price]]*Table16[[#This Row],[quantity]]</f>
        <v>300.08</v>
      </c>
    </row>
    <row r="7563" spans="1:9" x14ac:dyDescent="0.3">
      <c r="A7563" t="s">
        <v>9578</v>
      </c>
      <c r="B7563" t="s">
        <v>1506</v>
      </c>
      <c r="C7563" t="s">
        <v>2011</v>
      </c>
      <c r="D7563">
        <v>4</v>
      </c>
      <c r="E7563" s="16">
        <v>162.63999999999999</v>
      </c>
      <c r="F7563" s="1">
        <v>44371</v>
      </c>
      <c r="G7563" t="s">
        <v>2041</v>
      </c>
      <c r="H7563">
        <v>2</v>
      </c>
      <c r="I7563" s="12">
        <f>Table16[[#This Row],[price]]*Table16[[#This Row],[quantity]]</f>
        <v>650.55999999999995</v>
      </c>
    </row>
    <row r="7564" spans="1:9" x14ac:dyDescent="0.3">
      <c r="A7564" t="s">
        <v>9581</v>
      </c>
      <c r="B7564" t="s">
        <v>1506</v>
      </c>
      <c r="C7564" t="s">
        <v>2008</v>
      </c>
      <c r="D7564">
        <v>2</v>
      </c>
      <c r="E7564" s="16">
        <v>10.46</v>
      </c>
      <c r="F7564" s="1">
        <v>44659</v>
      </c>
      <c r="G7564" t="s">
        <v>2027</v>
      </c>
      <c r="H7564">
        <v>3</v>
      </c>
      <c r="I7564" s="12">
        <f>Table16[[#This Row],[price]]*Table16[[#This Row],[quantity]]</f>
        <v>20.92</v>
      </c>
    </row>
    <row r="7565" spans="1:9" x14ac:dyDescent="0.3">
      <c r="A7565" t="s">
        <v>9582</v>
      </c>
      <c r="B7565" t="s">
        <v>1506</v>
      </c>
      <c r="C7565" t="s">
        <v>2008</v>
      </c>
      <c r="D7565">
        <v>1</v>
      </c>
      <c r="E7565" s="16">
        <v>5.23</v>
      </c>
      <c r="F7565" s="1">
        <v>44710</v>
      </c>
      <c r="G7565" t="s">
        <v>2027</v>
      </c>
      <c r="H7565">
        <v>1</v>
      </c>
      <c r="I7565" s="12">
        <f>Table16[[#This Row],[price]]*Table16[[#This Row],[quantity]]</f>
        <v>5.23</v>
      </c>
    </row>
    <row r="7566" spans="1:9" x14ac:dyDescent="0.3">
      <c r="A7566" t="s">
        <v>9577</v>
      </c>
      <c r="B7566" t="s">
        <v>1506</v>
      </c>
      <c r="C7566" t="s">
        <v>2001</v>
      </c>
      <c r="D7566">
        <v>1</v>
      </c>
      <c r="E7566" s="16">
        <v>300.08</v>
      </c>
      <c r="F7566" s="1">
        <v>44812</v>
      </c>
      <c r="G7566" t="s">
        <v>2020</v>
      </c>
      <c r="H7566">
        <v>1</v>
      </c>
      <c r="I7566" s="12">
        <f>Table16[[#This Row],[price]]*Table16[[#This Row],[quantity]]</f>
        <v>300.08</v>
      </c>
    </row>
    <row r="7567" spans="1:9" x14ac:dyDescent="0.3">
      <c r="A7567" t="s">
        <v>9584</v>
      </c>
      <c r="B7567" t="s">
        <v>1506</v>
      </c>
      <c r="C7567" t="s">
        <v>2015</v>
      </c>
      <c r="D7567">
        <v>2</v>
      </c>
      <c r="E7567" s="16">
        <v>1200.3399999999999</v>
      </c>
      <c r="F7567" s="1">
        <v>44823</v>
      </c>
      <c r="G7567" t="s">
        <v>2064</v>
      </c>
      <c r="H7567">
        <v>1</v>
      </c>
      <c r="I7567" s="12">
        <f>Table16[[#This Row],[price]]*Table16[[#This Row],[quantity]]</f>
        <v>2400.6799999999998</v>
      </c>
    </row>
    <row r="7568" spans="1:9" x14ac:dyDescent="0.3">
      <c r="A7568" t="s">
        <v>9580</v>
      </c>
      <c r="B7568" t="s">
        <v>1506</v>
      </c>
      <c r="C7568" t="s">
        <v>2024</v>
      </c>
      <c r="D7568">
        <v>2</v>
      </c>
      <c r="E7568" s="16">
        <v>71.680000000000007</v>
      </c>
      <c r="F7568" s="1">
        <v>44913</v>
      </c>
      <c r="G7568" t="s">
        <v>2012</v>
      </c>
      <c r="H7568">
        <v>3</v>
      </c>
      <c r="I7568" s="12">
        <f>Table16[[#This Row],[price]]*Table16[[#This Row],[quantity]]</f>
        <v>143.36000000000001</v>
      </c>
    </row>
    <row r="7569" spans="1:9" x14ac:dyDescent="0.3">
      <c r="A7569" t="s">
        <v>9589</v>
      </c>
      <c r="B7569" t="s">
        <v>1507</v>
      </c>
      <c r="C7569" t="s">
        <v>2011</v>
      </c>
      <c r="D7569">
        <v>3</v>
      </c>
      <c r="E7569" s="17">
        <v>121.98</v>
      </c>
      <c r="F7569" s="1">
        <v>44197</v>
      </c>
      <c r="G7569" t="s">
        <v>2027</v>
      </c>
      <c r="H7569">
        <v>4</v>
      </c>
      <c r="I7569" s="12">
        <f>Table16[[#This Row],[price]]*Table16[[#This Row],[quantity]]</f>
        <v>365.94</v>
      </c>
    </row>
    <row r="7570" spans="1:9" x14ac:dyDescent="0.3">
      <c r="A7570" t="s">
        <v>9590</v>
      </c>
      <c r="B7570" t="s">
        <v>1507</v>
      </c>
      <c r="C7570" t="s">
        <v>2001</v>
      </c>
      <c r="D7570">
        <v>1</v>
      </c>
      <c r="E7570" s="16">
        <v>300.08</v>
      </c>
      <c r="F7570" s="1">
        <v>44239</v>
      </c>
      <c r="G7570" t="s">
        <v>2002</v>
      </c>
      <c r="H7570">
        <v>1</v>
      </c>
      <c r="I7570" s="12">
        <f>Table16[[#This Row],[price]]*Table16[[#This Row],[quantity]]</f>
        <v>300.08</v>
      </c>
    </row>
    <row r="7571" spans="1:9" x14ac:dyDescent="0.3">
      <c r="A7571" t="s">
        <v>9585</v>
      </c>
      <c r="B7571" t="s">
        <v>1507</v>
      </c>
      <c r="C7571" t="s">
        <v>2024</v>
      </c>
      <c r="D7571">
        <v>4</v>
      </c>
      <c r="E7571" s="16">
        <v>143.36000000000001</v>
      </c>
      <c r="F7571" s="1">
        <v>44350</v>
      </c>
      <c r="G7571" t="s">
        <v>2009</v>
      </c>
      <c r="H7571">
        <v>2</v>
      </c>
      <c r="I7571" s="12">
        <f>Table16[[#This Row],[price]]*Table16[[#This Row],[quantity]]</f>
        <v>573.44000000000005</v>
      </c>
    </row>
    <row r="7572" spans="1:9" x14ac:dyDescent="0.3">
      <c r="A7572" t="s">
        <v>9587</v>
      </c>
      <c r="B7572" t="s">
        <v>1507</v>
      </c>
      <c r="C7572" t="s">
        <v>2024</v>
      </c>
      <c r="D7572">
        <v>1</v>
      </c>
      <c r="E7572" s="16">
        <v>35.840000000000003</v>
      </c>
      <c r="F7572" s="1">
        <v>44402</v>
      </c>
      <c r="G7572" t="s">
        <v>2002</v>
      </c>
      <c r="H7572">
        <v>2</v>
      </c>
      <c r="I7572" s="12">
        <f>Table16[[#This Row],[price]]*Table16[[#This Row],[quantity]]</f>
        <v>35.840000000000003</v>
      </c>
    </row>
    <row r="7573" spans="1:9" x14ac:dyDescent="0.3">
      <c r="A7573" t="s">
        <v>9588</v>
      </c>
      <c r="B7573" t="s">
        <v>1507</v>
      </c>
      <c r="C7573" t="s">
        <v>2024</v>
      </c>
      <c r="D7573">
        <v>1</v>
      </c>
      <c r="E7573" s="16">
        <v>35.840000000000003</v>
      </c>
      <c r="F7573" s="1">
        <v>44466</v>
      </c>
      <c r="G7573" t="s">
        <v>2002</v>
      </c>
      <c r="H7573">
        <v>2</v>
      </c>
      <c r="I7573" s="12">
        <f>Table16[[#This Row],[price]]*Table16[[#This Row],[quantity]]</f>
        <v>35.840000000000003</v>
      </c>
    </row>
    <row r="7574" spans="1:9" x14ac:dyDescent="0.3">
      <c r="A7574" t="s">
        <v>9586</v>
      </c>
      <c r="B7574" t="s">
        <v>1507</v>
      </c>
      <c r="C7574" t="s">
        <v>2008</v>
      </c>
      <c r="D7574">
        <v>3</v>
      </c>
      <c r="E7574" s="16">
        <v>15.69</v>
      </c>
      <c r="F7574" s="1">
        <v>44484</v>
      </c>
      <c r="G7574" t="s">
        <v>2004</v>
      </c>
      <c r="H7574">
        <v>5</v>
      </c>
      <c r="I7574" s="12">
        <f>Table16[[#This Row],[price]]*Table16[[#This Row],[quantity]]</f>
        <v>47.07</v>
      </c>
    </row>
    <row r="7575" spans="1:9" x14ac:dyDescent="0.3">
      <c r="A7575" t="s">
        <v>9593</v>
      </c>
      <c r="B7575" t="s">
        <v>1508</v>
      </c>
      <c r="C7575" t="s">
        <v>2011</v>
      </c>
      <c r="D7575">
        <v>2</v>
      </c>
      <c r="E7575" s="16">
        <v>81.319999999999993</v>
      </c>
      <c r="F7575" s="1">
        <v>44216</v>
      </c>
      <c r="G7575" t="s">
        <v>2002</v>
      </c>
      <c r="H7575">
        <v>3</v>
      </c>
      <c r="I7575" s="12">
        <f>Table16[[#This Row],[price]]*Table16[[#This Row],[quantity]]</f>
        <v>162.63999999999999</v>
      </c>
    </row>
    <row r="7576" spans="1:9" x14ac:dyDescent="0.3">
      <c r="A7576" t="s">
        <v>9592</v>
      </c>
      <c r="B7576" t="s">
        <v>1508</v>
      </c>
      <c r="C7576" t="s">
        <v>2001</v>
      </c>
      <c r="D7576">
        <v>3</v>
      </c>
      <c r="E7576" s="16">
        <v>900.24</v>
      </c>
      <c r="F7576" s="1">
        <v>44304</v>
      </c>
      <c r="G7576" t="s">
        <v>2002</v>
      </c>
      <c r="H7576">
        <v>2</v>
      </c>
      <c r="I7576" s="12">
        <f>Table16[[#This Row],[price]]*Table16[[#This Row],[quantity]]</f>
        <v>2700.7200000000003</v>
      </c>
    </row>
    <row r="7577" spans="1:9" x14ac:dyDescent="0.3">
      <c r="A7577" t="s">
        <v>9591</v>
      </c>
      <c r="B7577" t="s">
        <v>1508</v>
      </c>
      <c r="C7577" t="s">
        <v>2015</v>
      </c>
      <c r="D7577">
        <v>2</v>
      </c>
      <c r="E7577" s="16">
        <v>1200.3399999999999</v>
      </c>
      <c r="F7577" s="1">
        <v>44404</v>
      </c>
      <c r="G7577" t="s">
        <v>2004</v>
      </c>
      <c r="H7577">
        <v>3</v>
      </c>
      <c r="I7577" s="12">
        <f>Table16[[#This Row],[price]]*Table16[[#This Row],[quantity]]</f>
        <v>2400.6799999999998</v>
      </c>
    </row>
    <row r="7578" spans="1:9" x14ac:dyDescent="0.3">
      <c r="A7578" t="s">
        <v>9594</v>
      </c>
      <c r="B7578" t="s">
        <v>1508</v>
      </c>
      <c r="C7578" t="s">
        <v>2008</v>
      </c>
      <c r="D7578">
        <v>1</v>
      </c>
      <c r="E7578" s="16">
        <v>5.23</v>
      </c>
      <c r="F7578" s="1">
        <v>44495</v>
      </c>
      <c r="G7578" t="s">
        <v>2027</v>
      </c>
      <c r="H7578">
        <v>3</v>
      </c>
      <c r="I7578" s="12">
        <f>Table16[[#This Row],[price]]*Table16[[#This Row],[quantity]]</f>
        <v>5.23</v>
      </c>
    </row>
    <row r="7579" spans="1:9" x14ac:dyDescent="0.3">
      <c r="A7579" t="s">
        <v>9595</v>
      </c>
      <c r="B7579" t="s">
        <v>1509</v>
      </c>
      <c r="C7579" t="s">
        <v>2001</v>
      </c>
      <c r="D7579">
        <v>4</v>
      </c>
      <c r="E7579" s="16">
        <v>1200.32</v>
      </c>
      <c r="F7579" s="1">
        <v>44474</v>
      </c>
      <c r="G7579" t="s">
        <v>2004</v>
      </c>
      <c r="H7579">
        <v>4</v>
      </c>
      <c r="I7579" s="12">
        <f>Table16[[#This Row],[price]]*Table16[[#This Row],[quantity]]</f>
        <v>4801.28</v>
      </c>
    </row>
    <row r="7580" spans="1:9" x14ac:dyDescent="0.3">
      <c r="A7580" t="s">
        <v>9596</v>
      </c>
      <c r="B7580" t="s">
        <v>1509</v>
      </c>
      <c r="C7580" t="s">
        <v>2008</v>
      </c>
      <c r="D7580">
        <v>3</v>
      </c>
      <c r="E7580" s="16">
        <v>15.69</v>
      </c>
      <c r="F7580" s="1">
        <v>44908</v>
      </c>
      <c r="G7580" t="s">
        <v>2020</v>
      </c>
      <c r="H7580">
        <v>3</v>
      </c>
      <c r="I7580" s="12">
        <f>Table16[[#This Row],[price]]*Table16[[#This Row],[quantity]]</f>
        <v>47.07</v>
      </c>
    </row>
    <row r="7581" spans="1:9" x14ac:dyDescent="0.3">
      <c r="A7581" t="s">
        <v>9600</v>
      </c>
      <c r="B7581" t="s">
        <v>1510</v>
      </c>
      <c r="C7581" t="s">
        <v>2011</v>
      </c>
      <c r="D7581">
        <v>4</v>
      </c>
      <c r="E7581" s="16">
        <v>162.63999999999999</v>
      </c>
      <c r="F7581" s="1">
        <v>44314</v>
      </c>
      <c r="G7581" t="s">
        <v>2027</v>
      </c>
      <c r="H7581">
        <v>5</v>
      </c>
      <c r="I7581" s="12">
        <f>Table16[[#This Row],[price]]*Table16[[#This Row],[quantity]]</f>
        <v>650.55999999999995</v>
      </c>
    </row>
    <row r="7582" spans="1:9" x14ac:dyDescent="0.3">
      <c r="A7582" t="s">
        <v>9599</v>
      </c>
      <c r="B7582" t="s">
        <v>1510</v>
      </c>
      <c r="C7582" t="s">
        <v>2001</v>
      </c>
      <c r="D7582">
        <v>4</v>
      </c>
      <c r="E7582" s="16">
        <v>1200.32</v>
      </c>
      <c r="F7582" s="1">
        <v>44556</v>
      </c>
      <c r="G7582" t="s">
        <v>2012</v>
      </c>
      <c r="H7582">
        <v>1</v>
      </c>
      <c r="I7582" s="12">
        <f>Table16[[#This Row],[price]]*Table16[[#This Row],[quantity]]</f>
        <v>4801.28</v>
      </c>
    </row>
    <row r="7583" spans="1:9" x14ac:dyDescent="0.3">
      <c r="A7583" t="s">
        <v>9598</v>
      </c>
      <c r="B7583" t="s">
        <v>1510</v>
      </c>
      <c r="C7583" t="s">
        <v>2001</v>
      </c>
      <c r="D7583">
        <v>4</v>
      </c>
      <c r="E7583" s="16">
        <v>1200.32</v>
      </c>
      <c r="F7583" s="1">
        <v>44602</v>
      </c>
      <c r="G7583" t="s">
        <v>2027</v>
      </c>
      <c r="H7583">
        <v>2</v>
      </c>
      <c r="I7583" s="12">
        <f>Table16[[#This Row],[price]]*Table16[[#This Row],[quantity]]</f>
        <v>4801.28</v>
      </c>
    </row>
    <row r="7584" spans="1:9" x14ac:dyDescent="0.3">
      <c r="A7584" t="s">
        <v>9597</v>
      </c>
      <c r="B7584" t="s">
        <v>1510</v>
      </c>
      <c r="C7584" t="s">
        <v>2008</v>
      </c>
      <c r="D7584">
        <v>1</v>
      </c>
      <c r="E7584" s="16">
        <v>5.23</v>
      </c>
      <c r="F7584" s="1">
        <v>44767</v>
      </c>
      <c r="G7584" t="s">
        <v>2020</v>
      </c>
      <c r="H7584">
        <v>4</v>
      </c>
      <c r="I7584" s="12">
        <f>Table16[[#This Row],[price]]*Table16[[#This Row],[quantity]]</f>
        <v>5.23</v>
      </c>
    </row>
    <row r="7585" spans="1:9" x14ac:dyDescent="0.3">
      <c r="A7585" t="s">
        <v>9602</v>
      </c>
      <c r="B7585" t="s">
        <v>1511</v>
      </c>
      <c r="C7585" t="s">
        <v>2024</v>
      </c>
      <c r="D7585">
        <v>2</v>
      </c>
      <c r="E7585" s="16">
        <v>71.680000000000007</v>
      </c>
      <c r="F7585" s="1">
        <v>44375</v>
      </c>
      <c r="G7585" t="s">
        <v>2004</v>
      </c>
      <c r="H7585">
        <v>2</v>
      </c>
      <c r="I7585" s="12">
        <f>Table16[[#This Row],[price]]*Table16[[#This Row],[quantity]]</f>
        <v>143.36000000000001</v>
      </c>
    </row>
    <row r="7586" spans="1:9" x14ac:dyDescent="0.3">
      <c r="A7586" t="s">
        <v>9601</v>
      </c>
      <c r="B7586" t="s">
        <v>1511</v>
      </c>
      <c r="C7586" t="s">
        <v>2024</v>
      </c>
      <c r="D7586">
        <v>3</v>
      </c>
      <c r="E7586" s="16">
        <v>107.52</v>
      </c>
      <c r="F7586" s="1">
        <v>44512</v>
      </c>
      <c r="G7586" t="s">
        <v>2064</v>
      </c>
      <c r="H7586">
        <v>1</v>
      </c>
      <c r="I7586" s="12">
        <f>Table16[[#This Row],[price]]*Table16[[#This Row],[quantity]]</f>
        <v>322.56</v>
      </c>
    </row>
    <row r="7587" spans="1:9" x14ac:dyDescent="0.3">
      <c r="A7587" t="s">
        <v>9604</v>
      </c>
      <c r="B7587" t="s">
        <v>1511</v>
      </c>
      <c r="C7587" t="s">
        <v>2001</v>
      </c>
      <c r="D7587">
        <v>4</v>
      </c>
      <c r="E7587" s="16">
        <v>1200.32</v>
      </c>
      <c r="F7587" s="1">
        <v>44651</v>
      </c>
      <c r="G7587" t="s">
        <v>2004</v>
      </c>
      <c r="H7587">
        <v>2</v>
      </c>
      <c r="I7587" s="12">
        <f>Table16[[#This Row],[price]]*Table16[[#This Row],[quantity]]</f>
        <v>4801.28</v>
      </c>
    </row>
    <row r="7588" spans="1:9" x14ac:dyDescent="0.3">
      <c r="A7588" t="s">
        <v>9603</v>
      </c>
      <c r="B7588" t="s">
        <v>1511</v>
      </c>
      <c r="C7588" t="s">
        <v>2017</v>
      </c>
      <c r="D7588">
        <v>5</v>
      </c>
      <c r="E7588" s="16">
        <v>5250</v>
      </c>
      <c r="F7588" s="1">
        <v>44654</v>
      </c>
      <c r="G7588" t="s">
        <v>2064</v>
      </c>
      <c r="H7588">
        <v>4</v>
      </c>
      <c r="I7588" s="12">
        <f>Table16[[#This Row],[price]]*Table16[[#This Row],[quantity]]</f>
        <v>26250</v>
      </c>
    </row>
    <row r="7589" spans="1:9" x14ac:dyDescent="0.3">
      <c r="A7589" t="s">
        <v>9605</v>
      </c>
      <c r="B7589" t="s">
        <v>1511</v>
      </c>
      <c r="C7589" t="s">
        <v>2008</v>
      </c>
      <c r="D7589">
        <v>1</v>
      </c>
      <c r="E7589" s="16">
        <v>5.23</v>
      </c>
      <c r="F7589" s="1">
        <v>44910</v>
      </c>
      <c r="G7589" t="s">
        <v>2004</v>
      </c>
      <c r="H7589">
        <v>3</v>
      </c>
      <c r="I7589" s="12">
        <f>Table16[[#This Row],[price]]*Table16[[#This Row],[quantity]]</f>
        <v>5.23</v>
      </c>
    </row>
    <row r="7590" spans="1:9" x14ac:dyDescent="0.3">
      <c r="A7590" t="s">
        <v>9609</v>
      </c>
      <c r="B7590" t="s">
        <v>1512</v>
      </c>
      <c r="C7590" t="s">
        <v>2008</v>
      </c>
      <c r="D7590">
        <v>1</v>
      </c>
      <c r="E7590" s="16">
        <v>5.23</v>
      </c>
      <c r="F7590" s="1">
        <v>44359</v>
      </c>
      <c r="G7590" t="s">
        <v>2027</v>
      </c>
      <c r="H7590">
        <v>4</v>
      </c>
      <c r="I7590" s="12">
        <f>Table16[[#This Row],[price]]*Table16[[#This Row],[quantity]]</f>
        <v>5.23</v>
      </c>
    </row>
    <row r="7591" spans="1:9" x14ac:dyDescent="0.3">
      <c r="A7591" t="s">
        <v>9608</v>
      </c>
      <c r="B7591" t="s">
        <v>1512</v>
      </c>
      <c r="C7591" t="s">
        <v>2001</v>
      </c>
      <c r="D7591">
        <v>5</v>
      </c>
      <c r="E7591" s="16">
        <v>1500.4</v>
      </c>
      <c r="F7591" s="1">
        <v>44369</v>
      </c>
      <c r="G7591" t="s">
        <v>2027</v>
      </c>
      <c r="H7591">
        <v>3</v>
      </c>
      <c r="I7591" s="12">
        <f>Table16[[#This Row],[price]]*Table16[[#This Row],[quantity]]</f>
        <v>7502</v>
      </c>
    </row>
    <row r="7592" spans="1:9" x14ac:dyDescent="0.3">
      <c r="A7592" t="s">
        <v>9606</v>
      </c>
      <c r="B7592" t="s">
        <v>1512</v>
      </c>
      <c r="C7592" t="s">
        <v>2011</v>
      </c>
      <c r="D7592">
        <v>5</v>
      </c>
      <c r="E7592" s="16">
        <v>203.3</v>
      </c>
      <c r="F7592" s="1">
        <v>44602</v>
      </c>
      <c r="G7592" t="s">
        <v>2004</v>
      </c>
      <c r="H7592">
        <v>5</v>
      </c>
      <c r="I7592" s="12">
        <f>Table16[[#This Row],[price]]*Table16[[#This Row],[quantity]]</f>
        <v>1016.5</v>
      </c>
    </row>
    <row r="7593" spans="1:9" x14ac:dyDescent="0.3">
      <c r="A7593" t="s">
        <v>9611</v>
      </c>
      <c r="B7593" t="s">
        <v>1512</v>
      </c>
      <c r="C7593" t="s">
        <v>2008</v>
      </c>
      <c r="D7593">
        <v>1</v>
      </c>
      <c r="E7593" s="16">
        <v>5.23</v>
      </c>
      <c r="F7593" s="1">
        <v>44621</v>
      </c>
      <c r="G7593" t="s">
        <v>2027</v>
      </c>
      <c r="H7593">
        <v>4</v>
      </c>
      <c r="I7593" s="12">
        <f>Table16[[#This Row],[price]]*Table16[[#This Row],[quantity]]</f>
        <v>5.23</v>
      </c>
    </row>
    <row r="7594" spans="1:9" x14ac:dyDescent="0.3">
      <c r="A7594" t="s">
        <v>9607</v>
      </c>
      <c r="B7594" t="s">
        <v>1512</v>
      </c>
      <c r="C7594" t="s">
        <v>2001</v>
      </c>
      <c r="D7594">
        <v>3</v>
      </c>
      <c r="E7594" s="16">
        <v>900.24</v>
      </c>
      <c r="F7594" s="1">
        <v>44837</v>
      </c>
      <c r="G7594" t="s">
        <v>2064</v>
      </c>
      <c r="H7594">
        <v>1</v>
      </c>
      <c r="I7594" s="12">
        <f>Table16[[#This Row],[price]]*Table16[[#This Row],[quantity]]</f>
        <v>2700.7200000000003</v>
      </c>
    </row>
    <row r="7595" spans="1:9" x14ac:dyDescent="0.3">
      <c r="A7595" t="s">
        <v>9610</v>
      </c>
      <c r="B7595" t="s">
        <v>1512</v>
      </c>
      <c r="C7595" t="s">
        <v>2008</v>
      </c>
      <c r="D7595">
        <v>4</v>
      </c>
      <c r="E7595" s="16">
        <v>20.92</v>
      </c>
      <c r="F7595" s="1">
        <v>44978</v>
      </c>
      <c r="G7595" t="s">
        <v>2027</v>
      </c>
      <c r="H7595">
        <v>3</v>
      </c>
      <c r="I7595" s="12">
        <f>Table16[[#This Row],[price]]*Table16[[#This Row],[quantity]]</f>
        <v>83.68</v>
      </c>
    </row>
    <row r="7596" spans="1:9" x14ac:dyDescent="0.3">
      <c r="A7596" t="s">
        <v>9614</v>
      </c>
      <c r="B7596" t="s">
        <v>1513</v>
      </c>
      <c r="C7596" t="s">
        <v>2017</v>
      </c>
      <c r="D7596">
        <v>4</v>
      </c>
      <c r="E7596" s="16">
        <v>4200</v>
      </c>
      <c r="F7596" s="1">
        <v>44359</v>
      </c>
      <c r="G7596" t="s">
        <v>2004</v>
      </c>
      <c r="H7596">
        <v>4</v>
      </c>
      <c r="I7596" s="12">
        <f>Table16[[#This Row],[price]]*Table16[[#This Row],[quantity]]</f>
        <v>16800</v>
      </c>
    </row>
    <row r="7597" spans="1:9" x14ac:dyDescent="0.3">
      <c r="A7597" t="s">
        <v>9615</v>
      </c>
      <c r="B7597" t="s">
        <v>1513</v>
      </c>
      <c r="C7597" t="s">
        <v>2001</v>
      </c>
      <c r="D7597">
        <v>1</v>
      </c>
      <c r="E7597" s="16">
        <v>300.08</v>
      </c>
      <c r="F7597" s="1">
        <v>44608</v>
      </c>
      <c r="G7597" t="s">
        <v>2004</v>
      </c>
      <c r="H7597">
        <v>2</v>
      </c>
      <c r="I7597" s="12">
        <f>Table16[[#This Row],[price]]*Table16[[#This Row],[quantity]]</f>
        <v>300.08</v>
      </c>
    </row>
    <row r="7598" spans="1:9" x14ac:dyDescent="0.3">
      <c r="A7598" t="s">
        <v>9612</v>
      </c>
      <c r="B7598" t="s">
        <v>1513</v>
      </c>
      <c r="C7598" t="s">
        <v>2011</v>
      </c>
      <c r="D7598">
        <v>4</v>
      </c>
      <c r="E7598" s="16">
        <v>162.63999999999999</v>
      </c>
      <c r="F7598" s="1">
        <v>44730</v>
      </c>
      <c r="G7598" t="s">
        <v>2064</v>
      </c>
      <c r="H7598">
        <v>5</v>
      </c>
      <c r="I7598" s="12">
        <f>Table16[[#This Row],[price]]*Table16[[#This Row],[quantity]]</f>
        <v>650.55999999999995</v>
      </c>
    </row>
    <row r="7599" spans="1:9" x14ac:dyDescent="0.3">
      <c r="A7599" t="s">
        <v>9616</v>
      </c>
      <c r="B7599" t="s">
        <v>1513</v>
      </c>
      <c r="C7599" t="s">
        <v>2001</v>
      </c>
      <c r="D7599">
        <v>1</v>
      </c>
      <c r="E7599" s="16">
        <v>300.08</v>
      </c>
      <c r="F7599" s="1">
        <v>44793</v>
      </c>
      <c r="G7599" t="s">
        <v>2002</v>
      </c>
      <c r="H7599">
        <v>4</v>
      </c>
      <c r="I7599" s="12">
        <f>Table16[[#This Row],[price]]*Table16[[#This Row],[quantity]]</f>
        <v>300.08</v>
      </c>
    </row>
    <row r="7600" spans="1:9" x14ac:dyDescent="0.3">
      <c r="A7600" t="s">
        <v>9613</v>
      </c>
      <c r="B7600" t="s">
        <v>1513</v>
      </c>
      <c r="C7600" t="s">
        <v>2015</v>
      </c>
      <c r="D7600">
        <v>1</v>
      </c>
      <c r="E7600" s="16">
        <v>600.16999999999996</v>
      </c>
      <c r="F7600" s="1">
        <v>44795</v>
      </c>
      <c r="G7600" t="s">
        <v>2004</v>
      </c>
      <c r="H7600">
        <v>3</v>
      </c>
      <c r="I7600" s="12">
        <f>Table16[[#This Row],[price]]*Table16[[#This Row],[quantity]]</f>
        <v>600.16999999999996</v>
      </c>
    </row>
    <row r="7601" spans="1:9" x14ac:dyDescent="0.3">
      <c r="A7601" t="s">
        <v>9617</v>
      </c>
      <c r="B7601" t="s">
        <v>1514</v>
      </c>
      <c r="C7601" t="s">
        <v>2008</v>
      </c>
      <c r="D7601">
        <v>1</v>
      </c>
      <c r="E7601" s="16">
        <v>5.23</v>
      </c>
      <c r="F7601" s="1">
        <v>44313</v>
      </c>
      <c r="G7601" t="s">
        <v>2027</v>
      </c>
      <c r="H7601">
        <v>5</v>
      </c>
      <c r="I7601" s="12">
        <f>Table16[[#This Row],[price]]*Table16[[#This Row],[quantity]]</f>
        <v>5.23</v>
      </c>
    </row>
    <row r="7602" spans="1:9" x14ac:dyDescent="0.3">
      <c r="A7602" t="s">
        <v>9621</v>
      </c>
      <c r="B7602" t="s">
        <v>1514</v>
      </c>
      <c r="C7602" t="s">
        <v>2008</v>
      </c>
      <c r="D7602">
        <v>4</v>
      </c>
      <c r="E7602" s="16">
        <v>20.92</v>
      </c>
      <c r="F7602" s="1">
        <v>44335</v>
      </c>
      <c r="G7602" t="s">
        <v>2020</v>
      </c>
      <c r="H7602">
        <v>5</v>
      </c>
      <c r="I7602" s="12">
        <f>Table16[[#This Row],[price]]*Table16[[#This Row],[quantity]]</f>
        <v>83.68</v>
      </c>
    </row>
    <row r="7603" spans="1:9" x14ac:dyDescent="0.3">
      <c r="A7603" t="s">
        <v>9620</v>
      </c>
      <c r="B7603" t="s">
        <v>1514</v>
      </c>
      <c r="C7603" t="s">
        <v>2057</v>
      </c>
      <c r="D7603">
        <v>4</v>
      </c>
      <c r="E7603" s="16">
        <v>46.92</v>
      </c>
      <c r="F7603" s="1">
        <v>44738</v>
      </c>
      <c r="G7603" t="s">
        <v>2012</v>
      </c>
      <c r="H7603">
        <v>4</v>
      </c>
      <c r="I7603" s="12">
        <f>Table16[[#This Row],[price]]*Table16[[#This Row],[quantity]]</f>
        <v>187.68</v>
      </c>
    </row>
    <row r="7604" spans="1:9" x14ac:dyDescent="0.3">
      <c r="A7604" t="s">
        <v>9618</v>
      </c>
      <c r="B7604" t="s">
        <v>1514</v>
      </c>
      <c r="C7604" t="s">
        <v>2001</v>
      </c>
      <c r="D7604">
        <v>5</v>
      </c>
      <c r="E7604" s="16">
        <v>1500.4</v>
      </c>
      <c r="F7604" s="1">
        <v>44768</v>
      </c>
      <c r="G7604" t="s">
        <v>2012</v>
      </c>
      <c r="H7604">
        <v>4</v>
      </c>
      <c r="I7604" s="12">
        <f>Table16[[#This Row],[price]]*Table16[[#This Row],[quantity]]</f>
        <v>7502</v>
      </c>
    </row>
    <row r="7605" spans="1:9" x14ac:dyDescent="0.3">
      <c r="A7605" t="s">
        <v>9623</v>
      </c>
      <c r="B7605" t="s">
        <v>1514</v>
      </c>
      <c r="C7605" t="s">
        <v>2001</v>
      </c>
      <c r="D7605">
        <v>5</v>
      </c>
      <c r="E7605" s="16">
        <v>1500.4</v>
      </c>
      <c r="F7605" s="1">
        <v>44867</v>
      </c>
      <c r="G7605" t="s">
        <v>2009</v>
      </c>
      <c r="H7605">
        <v>1</v>
      </c>
      <c r="I7605" s="12">
        <f>Table16[[#This Row],[price]]*Table16[[#This Row],[quantity]]</f>
        <v>7502</v>
      </c>
    </row>
    <row r="7606" spans="1:9" x14ac:dyDescent="0.3">
      <c r="A7606" t="s">
        <v>9619</v>
      </c>
      <c r="B7606" t="s">
        <v>1514</v>
      </c>
      <c r="C7606" t="s">
        <v>2011</v>
      </c>
      <c r="D7606">
        <v>2</v>
      </c>
      <c r="E7606" s="16">
        <v>81.319999999999993</v>
      </c>
      <c r="F7606" s="1">
        <v>44881</v>
      </c>
      <c r="G7606" t="s">
        <v>2041</v>
      </c>
      <c r="H7606">
        <v>2</v>
      </c>
      <c r="I7606" s="12">
        <f>Table16[[#This Row],[price]]*Table16[[#This Row],[quantity]]</f>
        <v>162.63999999999999</v>
      </c>
    </row>
    <row r="7607" spans="1:9" x14ac:dyDescent="0.3">
      <c r="A7607" t="s">
        <v>9622</v>
      </c>
      <c r="B7607" t="s">
        <v>1514</v>
      </c>
      <c r="C7607" t="s">
        <v>2011</v>
      </c>
      <c r="D7607">
        <v>4</v>
      </c>
      <c r="E7607" s="16">
        <v>162.63999999999999</v>
      </c>
      <c r="F7607" s="1">
        <v>44913</v>
      </c>
      <c r="G7607" t="s">
        <v>2027</v>
      </c>
      <c r="H7607">
        <v>3</v>
      </c>
      <c r="I7607" s="12">
        <f>Table16[[#This Row],[price]]*Table16[[#This Row],[quantity]]</f>
        <v>650.55999999999995</v>
      </c>
    </row>
    <row r="7608" spans="1:9" x14ac:dyDescent="0.3">
      <c r="A7608" t="s">
        <v>9625</v>
      </c>
      <c r="B7608" t="s">
        <v>1515</v>
      </c>
      <c r="C7608" t="s">
        <v>2015</v>
      </c>
      <c r="D7608">
        <v>2</v>
      </c>
      <c r="E7608" s="16">
        <v>1200.3399999999999</v>
      </c>
      <c r="F7608" s="1">
        <v>44600</v>
      </c>
      <c r="G7608" t="s">
        <v>2058</v>
      </c>
      <c r="H7608">
        <v>2</v>
      </c>
      <c r="I7608" s="12">
        <f>Table16[[#This Row],[price]]*Table16[[#This Row],[quantity]]</f>
        <v>2400.6799999999998</v>
      </c>
    </row>
    <row r="7609" spans="1:9" x14ac:dyDescent="0.3">
      <c r="A7609" t="s">
        <v>9624</v>
      </c>
      <c r="B7609" t="s">
        <v>1515</v>
      </c>
      <c r="C7609" t="s">
        <v>2001</v>
      </c>
      <c r="D7609">
        <v>1</v>
      </c>
      <c r="E7609" s="16">
        <v>300.08</v>
      </c>
      <c r="F7609" s="1">
        <v>44704</v>
      </c>
      <c r="G7609" t="s">
        <v>2027</v>
      </c>
      <c r="H7609">
        <v>5</v>
      </c>
      <c r="I7609" s="12">
        <f>Table16[[#This Row],[price]]*Table16[[#This Row],[quantity]]</f>
        <v>300.08</v>
      </c>
    </row>
    <row r="7610" spans="1:9" x14ac:dyDescent="0.3">
      <c r="A7610" t="s">
        <v>9627</v>
      </c>
      <c r="B7610" t="s">
        <v>1515</v>
      </c>
      <c r="C7610" t="s">
        <v>2057</v>
      </c>
      <c r="D7610">
        <v>3</v>
      </c>
      <c r="E7610" s="16">
        <v>35.19</v>
      </c>
      <c r="F7610" s="1">
        <v>44776</v>
      </c>
      <c r="G7610" t="s">
        <v>2041</v>
      </c>
      <c r="H7610">
        <v>3</v>
      </c>
      <c r="I7610" s="12">
        <f>Table16[[#This Row],[price]]*Table16[[#This Row],[quantity]]</f>
        <v>105.57</v>
      </c>
    </row>
    <row r="7611" spans="1:9" x14ac:dyDescent="0.3">
      <c r="A7611" t="s">
        <v>9626</v>
      </c>
      <c r="B7611" t="s">
        <v>1515</v>
      </c>
      <c r="C7611" t="s">
        <v>2001</v>
      </c>
      <c r="D7611">
        <v>4</v>
      </c>
      <c r="E7611" s="16">
        <v>1200.32</v>
      </c>
      <c r="F7611" s="1">
        <v>44860</v>
      </c>
      <c r="G7611" t="s">
        <v>2004</v>
      </c>
      <c r="H7611">
        <v>1</v>
      </c>
      <c r="I7611" s="12">
        <f>Table16[[#This Row],[price]]*Table16[[#This Row],[quantity]]</f>
        <v>4801.28</v>
      </c>
    </row>
    <row r="7612" spans="1:9" x14ac:dyDescent="0.3">
      <c r="A7612" t="s">
        <v>9628</v>
      </c>
      <c r="B7612" t="s">
        <v>1515</v>
      </c>
      <c r="C7612" t="s">
        <v>2001</v>
      </c>
      <c r="D7612">
        <v>4</v>
      </c>
      <c r="E7612" s="16">
        <v>1200.32</v>
      </c>
      <c r="F7612" s="1">
        <v>44890</v>
      </c>
      <c r="G7612" t="s">
        <v>2012</v>
      </c>
      <c r="H7612">
        <v>2</v>
      </c>
      <c r="I7612" s="12">
        <f>Table16[[#This Row],[price]]*Table16[[#This Row],[quantity]]</f>
        <v>4801.28</v>
      </c>
    </row>
    <row r="7613" spans="1:9" x14ac:dyDescent="0.3">
      <c r="A7613" t="s">
        <v>9630</v>
      </c>
      <c r="B7613" t="s">
        <v>1516</v>
      </c>
      <c r="C7613" t="s">
        <v>2011</v>
      </c>
      <c r="D7613">
        <v>1</v>
      </c>
      <c r="E7613" s="16">
        <v>40.659999999999997</v>
      </c>
      <c r="F7613" s="1">
        <v>44415</v>
      </c>
      <c r="G7613" t="s">
        <v>2027</v>
      </c>
      <c r="H7613">
        <v>5</v>
      </c>
      <c r="I7613" s="12">
        <f>Table16[[#This Row],[price]]*Table16[[#This Row],[quantity]]</f>
        <v>40.659999999999997</v>
      </c>
    </row>
    <row r="7614" spans="1:9" x14ac:dyDescent="0.3">
      <c r="A7614" t="s">
        <v>9629</v>
      </c>
      <c r="B7614" t="s">
        <v>1516</v>
      </c>
      <c r="C7614" t="s">
        <v>2008</v>
      </c>
      <c r="D7614">
        <v>5</v>
      </c>
      <c r="E7614" s="16">
        <v>26.15</v>
      </c>
      <c r="F7614" s="1">
        <v>44542</v>
      </c>
      <c r="G7614" t="s">
        <v>2058</v>
      </c>
      <c r="H7614">
        <v>5</v>
      </c>
      <c r="I7614" s="12">
        <f>Table16[[#This Row],[price]]*Table16[[#This Row],[quantity]]</f>
        <v>130.75</v>
      </c>
    </row>
    <row r="7615" spans="1:9" x14ac:dyDescent="0.3">
      <c r="A7615" t="s">
        <v>9633</v>
      </c>
      <c r="B7615" t="s">
        <v>1517</v>
      </c>
      <c r="C7615" t="s">
        <v>2024</v>
      </c>
      <c r="D7615">
        <v>5</v>
      </c>
      <c r="E7615" s="16">
        <v>179.2</v>
      </c>
      <c r="F7615" s="1">
        <v>44214</v>
      </c>
      <c r="G7615" t="s">
        <v>2009</v>
      </c>
      <c r="H7615">
        <v>4</v>
      </c>
      <c r="I7615" s="12">
        <f>Table16[[#This Row],[price]]*Table16[[#This Row],[quantity]]</f>
        <v>896</v>
      </c>
    </row>
    <row r="7616" spans="1:9" x14ac:dyDescent="0.3">
      <c r="A7616" t="s">
        <v>9635</v>
      </c>
      <c r="B7616" t="s">
        <v>1517</v>
      </c>
      <c r="C7616" t="s">
        <v>2008</v>
      </c>
      <c r="D7616">
        <v>5</v>
      </c>
      <c r="E7616" s="16">
        <v>26.15</v>
      </c>
      <c r="F7616" s="1">
        <v>44583</v>
      </c>
      <c r="G7616" t="s">
        <v>2002</v>
      </c>
      <c r="H7616">
        <v>1</v>
      </c>
      <c r="I7616" s="12">
        <f>Table16[[#This Row],[price]]*Table16[[#This Row],[quantity]]</f>
        <v>130.75</v>
      </c>
    </row>
    <row r="7617" spans="1:9" x14ac:dyDescent="0.3">
      <c r="A7617" t="s">
        <v>9632</v>
      </c>
      <c r="B7617" t="s">
        <v>1517</v>
      </c>
      <c r="C7617" t="s">
        <v>2011</v>
      </c>
      <c r="D7617">
        <v>5</v>
      </c>
      <c r="E7617" s="16">
        <v>203.3</v>
      </c>
      <c r="F7617" s="1">
        <v>44610</v>
      </c>
      <c r="G7617" t="s">
        <v>2058</v>
      </c>
      <c r="H7617">
        <v>2</v>
      </c>
      <c r="I7617" s="12">
        <f>Table16[[#This Row],[price]]*Table16[[#This Row],[quantity]]</f>
        <v>1016.5</v>
      </c>
    </row>
    <row r="7618" spans="1:9" x14ac:dyDescent="0.3">
      <c r="A7618" t="s">
        <v>9631</v>
      </c>
      <c r="B7618" t="s">
        <v>1517</v>
      </c>
      <c r="C7618" t="s">
        <v>2001</v>
      </c>
      <c r="D7618">
        <v>1</v>
      </c>
      <c r="E7618" s="16">
        <v>300.08</v>
      </c>
      <c r="F7618" s="1">
        <v>44619</v>
      </c>
      <c r="G7618" t="s">
        <v>2004</v>
      </c>
      <c r="H7618">
        <v>4</v>
      </c>
      <c r="I7618" s="12">
        <f>Table16[[#This Row],[price]]*Table16[[#This Row],[quantity]]</f>
        <v>300.08</v>
      </c>
    </row>
    <row r="7619" spans="1:9" x14ac:dyDescent="0.3">
      <c r="A7619" t="s">
        <v>9636</v>
      </c>
      <c r="B7619" t="s">
        <v>1517</v>
      </c>
      <c r="C7619" t="s">
        <v>2015</v>
      </c>
      <c r="D7619">
        <v>2</v>
      </c>
      <c r="E7619" s="16">
        <v>1200.3399999999999</v>
      </c>
      <c r="F7619" s="1">
        <v>44756</v>
      </c>
      <c r="G7619" t="s">
        <v>2027</v>
      </c>
      <c r="H7619">
        <v>1</v>
      </c>
      <c r="I7619" s="12">
        <f>Table16[[#This Row],[price]]*Table16[[#This Row],[quantity]]</f>
        <v>2400.6799999999998</v>
      </c>
    </row>
    <row r="7620" spans="1:9" x14ac:dyDescent="0.3">
      <c r="A7620" t="s">
        <v>9634</v>
      </c>
      <c r="B7620" t="s">
        <v>1517</v>
      </c>
      <c r="C7620" t="s">
        <v>2008</v>
      </c>
      <c r="D7620">
        <v>1</v>
      </c>
      <c r="E7620" s="16">
        <v>5.23</v>
      </c>
      <c r="F7620" s="1">
        <v>44886</v>
      </c>
      <c r="G7620" t="s">
        <v>2064</v>
      </c>
      <c r="H7620">
        <v>3</v>
      </c>
      <c r="I7620" s="12">
        <f>Table16[[#This Row],[price]]*Table16[[#This Row],[quantity]]</f>
        <v>5.23</v>
      </c>
    </row>
    <row r="7621" spans="1:9" x14ac:dyDescent="0.3">
      <c r="A7621" t="s">
        <v>9640</v>
      </c>
      <c r="B7621" t="s">
        <v>1518</v>
      </c>
      <c r="C7621" t="s">
        <v>2008</v>
      </c>
      <c r="D7621">
        <v>3</v>
      </c>
      <c r="E7621" s="16">
        <v>15.69</v>
      </c>
      <c r="F7621" s="1">
        <v>44282</v>
      </c>
      <c r="G7621" t="s">
        <v>2064</v>
      </c>
      <c r="H7621">
        <v>3</v>
      </c>
      <c r="I7621" s="12">
        <f>Table16[[#This Row],[price]]*Table16[[#This Row],[quantity]]</f>
        <v>47.07</v>
      </c>
    </row>
    <row r="7622" spans="1:9" x14ac:dyDescent="0.3">
      <c r="A7622" t="s">
        <v>9639</v>
      </c>
      <c r="B7622" t="s">
        <v>1518</v>
      </c>
      <c r="C7622" t="s">
        <v>2001</v>
      </c>
      <c r="D7622">
        <v>3</v>
      </c>
      <c r="E7622" s="16">
        <v>900.24</v>
      </c>
      <c r="F7622" s="1">
        <v>44406</v>
      </c>
      <c r="G7622" t="s">
        <v>2027</v>
      </c>
      <c r="H7622">
        <v>4</v>
      </c>
      <c r="I7622" s="12">
        <f>Table16[[#This Row],[price]]*Table16[[#This Row],[quantity]]</f>
        <v>2700.7200000000003</v>
      </c>
    </row>
    <row r="7623" spans="1:9" x14ac:dyDescent="0.3">
      <c r="A7623" t="s">
        <v>9638</v>
      </c>
      <c r="B7623" t="s">
        <v>1518</v>
      </c>
      <c r="C7623" t="s">
        <v>2001</v>
      </c>
      <c r="D7623">
        <v>5</v>
      </c>
      <c r="E7623" s="16">
        <v>1500.4</v>
      </c>
      <c r="F7623" s="1">
        <v>44721</v>
      </c>
      <c r="G7623" t="s">
        <v>2027</v>
      </c>
      <c r="H7623">
        <v>3</v>
      </c>
      <c r="I7623" s="12">
        <f>Table16[[#This Row],[price]]*Table16[[#This Row],[quantity]]</f>
        <v>7502</v>
      </c>
    </row>
    <row r="7624" spans="1:9" x14ac:dyDescent="0.3">
      <c r="A7624" t="s">
        <v>9637</v>
      </c>
      <c r="B7624" t="s">
        <v>1518</v>
      </c>
      <c r="C7624" t="s">
        <v>2008</v>
      </c>
      <c r="D7624">
        <v>4</v>
      </c>
      <c r="E7624" s="16">
        <v>20.92</v>
      </c>
      <c r="F7624" s="1">
        <v>44761</v>
      </c>
      <c r="G7624" t="s">
        <v>2064</v>
      </c>
      <c r="H7624">
        <v>1</v>
      </c>
      <c r="I7624" s="12">
        <f>Table16[[#This Row],[price]]*Table16[[#This Row],[quantity]]</f>
        <v>83.68</v>
      </c>
    </row>
    <row r="7625" spans="1:9" x14ac:dyDescent="0.3">
      <c r="A7625" t="s">
        <v>9642</v>
      </c>
      <c r="B7625" t="s">
        <v>1519</v>
      </c>
      <c r="C7625" t="s">
        <v>2011</v>
      </c>
      <c r="D7625">
        <v>5</v>
      </c>
      <c r="E7625" s="16">
        <v>203.3</v>
      </c>
      <c r="F7625" s="1">
        <v>44286</v>
      </c>
      <c r="G7625" t="s">
        <v>2004</v>
      </c>
      <c r="H7625">
        <v>2</v>
      </c>
      <c r="I7625" s="12">
        <f>Table16[[#This Row],[price]]*Table16[[#This Row],[quantity]]</f>
        <v>1016.5</v>
      </c>
    </row>
    <row r="7626" spans="1:9" x14ac:dyDescent="0.3">
      <c r="A7626" t="s">
        <v>9644</v>
      </c>
      <c r="B7626" t="s">
        <v>1519</v>
      </c>
      <c r="C7626" t="s">
        <v>2011</v>
      </c>
      <c r="D7626">
        <v>1</v>
      </c>
      <c r="E7626" s="16">
        <v>40.659999999999997</v>
      </c>
      <c r="F7626" s="1">
        <v>44306</v>
      </c>
      <c r="G7626" t="s">
        <v>2020</v>
      </c>
      <c r="H7626">
        <v>4</v>
      </c>
      <c r="I7626" s="12">
        <f>Table16[[#This Row],[price]]*Table16[[#This Row],[quantity]]</f>
        <v>40.659999999999997</v>
      </c>
    </row>
    <row r="7627" spans="1:9" x14ac:dyDescent="0.3">
      <c r="A7627" t="s">
        <v>9641</v>
      </c>
      <c r="B7627" t="s">
        <v>1519</v>
      </c>
      <c r="C7627" t="s">
        <v>2001</v>
      </c>
      <c r="D7627">
        <v>4</v>
      </c>
      <c r="E7627" s="16">
        <v>1200.32</v>
      </c>
      <c r="F7627" s="1">
        <v>44653</v>
      </c>
      <c r="G7627" t="s">
        <v>2002</v>
      </c>
      <c r="H7627">
        <v>4</v>
      </c>
      <c r="I7627" s="12">
        <f>Table16[[#This Row],[price]]*Table16[[#This Row],[quantity]]</f>
        <v>4801.28</v>
      </c>
    </row>
    <row r="7628" spans="1:9" x14ac:dyDescent="0.3">
      <c r="A7628" t="s">
        <v>9643</v>
      </c>
      <c r="B7628" t="s">
        <v>1519</v>
      </c>
      <c r="C7628" t="s">
        <v>2001</v>
      </c>
      <c r="D7628">
        <v>3</v>
      </c>
      <c r="E7628" s="16">
        <v>900.24</v>
      </c>
      <c r="F7628" s="1">
        <v>44929</v>
      </c>
      <c r="G7628" t="s">
        <v>2002</v>
      </c>
      <c r="H7628">
        <v>4</v>
      </c>
      <c r="I7628" s="12">
        <f>Table16[[#This Row],[price]]*Table16[[#This Row],[quantity]]</f>
        <v>2700.7200000000003</v>
      </c>
    </row>
    <row r="7629" spans="1:9" x14ac:dyDescent="0.3">
      <c r="A7629" t="s">
        <v>9645</v>
      </c>
      <c r="B7629" t="s">
        <v>1520</v>
      </c>
      <c r="C7629" t="s">
        <v>2001</v>
      </c>
      <c r="D7629">
        <v>1</v>
      </c>
      <c r="E7629" s="16">
        <v>300.08</v>
      </c>
      <c r="F7629" s="1">
        <v>44964</v>
      </c>
      <c r="G7629" t="s">
        <v>2058</v>
      </c>
      <c r="H7629">
        <v>3</v>
      </c>
      <c r="I7629" s="12">
        <f>Table16[[#This Row],[price]]*Table16[[#This Row],[quantity]]</f>
        <v>300.08</v>
      </c>
    </row>
    <row r="7630" spans="1:9" x14ac:dyDescent="0.3">
      <c r="A7630" t="s">
        <v>9652</v>
      </c>
      <c r="B7630" t="s">
        <v>1521</v>
      </c>
      <c r="C7630" t="s">
        <v>2001</v>
      </c>
      <c r="D7630">
        <v>5</v>
      </c>
      <c r="E7630" s="16">
        <v>1500.4</v>
      </c>
      <c r="F7630" s="1">
        <v>44298</v>
      </c>
      <c r="G7630" t="s">
        <v>2058</v>
      </c>
      <c r="H7630">
        <v>5</v>
      </c>
      <c r="I7630" s="12">
        <f>Table16[[#This Row],[price]]*Table16[[#This Row],[quantity]]</f>
        <v>7502</v>
      </c>
    </row>
    <row r="7631" spans="1:9" x14ac:dyDescent="0.3">
      <c r="A7631" t="s">
        <v>9653</v>
      </c>
      <c r="B7631" t="s">
        <v>1521</v>
      </c>
      <c r="C7631" t="s">
        <v>2011</v>
      </c>
      <c r="D7631">
        <v>1</v>
      </c>
      <c r="E7631" s="16">
        <v>40.659999999999997</v>
      </c>
      <c r="F7631" s="1">
        <v>44387</v>
      </c>
      <c r="G7631" t="s">
        <v>2020</v>
      </c>
      <c r="H7631">
        <v>1</v>
      </c>
      <c r="I7631" s="12">
        <f>Table16[[#This Row],[price]]*Table16[[#This Row],[quantity]]</f>
        <v>40.659999999999997</v>
      </c>
    </row>
    <row r="7632" spans="1:9" x14ac:dyDescent="0.3">
      <c r="A7632" t="s">
        <v>9648</v>
      </c>
      <c r="B7632" t="s">
        <v>1521</v>
      </c>
      <c r="C7632" t="s">
        <v>2008</v>
      </c>
      <c r="D7632">
        <v>4</v>
      </c>
      <c r="E7632" s="16">
        <v>20.92</v>
      </c>
      <c r="F7632" s="1">
        <v>44415</v>
      </c>
      <c r="G7632" t="s">
        <v>2018</v>
      </c>
      <c r="H7632">
        <v>3</v>
      </c>
      <c r="I7632" s="12">
        <f>Table16[[#This Row],[price]]*Table16[[#This Row],[quantity]]</f>
        <v>83.68</v>
      </c>
    </row>
    <row r="7633" spans="1:9" x14ac:dyDescent="0.3">
      <c r="A7633" t="s">
        <v>9647</v>
      </c>
      <c r="B7633" t="s">
        <v>1521</v>
      </c>
      <c r="C7633" t="s">
        <v>2017</v>
      </c>
      <c r="D7633">
        <v>1</v>
      </c>
      <c r="E7633" s="16">
        <v>1050</v>
      </c>
      <c r="F7633" s="1">
        <v>44520</v>
      </c>
      <c r="G7633" t="s">
        <v>2004</v>
      </c>
      <c r="H7633">
        <v>2</v>
      </c>
      <c r="I7633" s="12">
        <f>Table16[[#This Row],[price]]*Table16[[#This Row],[quantity]]</f>
        <v>1050</v>
      </c>
    </row>
    <row r="7634" spans="1:9" x14ac:dyDescent="0.3">
      <c r="A7634" t="s">
        <v>9651</v>
      </c>
      <c r="B7634" t="s">
        <v>1521</v>
      </c>
      <c r="C7634" t="s">
        <v>2001</v>
      </c>
      <c r="D7634">
        <v>1</v>
      </c>
      <c r="E7634" s="16">
        <v>300.08</v>
      </c>
      <c r="F7634" s="1">
        <v>44669</v>
      </c>
      <c r="G7634" t="s">
        <v>2027</v>
      </c>
      <c r="H7634">
        <v>4</v>
      </c>
      <c r="I7634" s="12">
        <f>Table16[[#This Row],[price]]*Table16[[#This Row],[quantity]]</f>
        <v>300.08</v>
      </c>
    </row>
    <row r="7635" spans="1:9" x14ac:dyDescent="0.3">
      <c r="A7635" t="s">
        <v>9650</v>
      </c>
      <c r="B7635" t="s">
        <v>1521</v>
      </c>
      <c r="C7635" t="s">
        <v>2011</v>
      </c>
      <c r="D7635">
        <v>1</v>
      </c>
      <c r="E7635" s="16">
        <v>40.659999999999997</v>
      </c>
      <c r="F7635" s="1">
        <v>44826</v>
      </c>
      <c r="G7635" t="s">
        <v>2018</v>
      </c>
      <c r="H7635">
        <v>2</v>
      </c>
      <c r="I7635" s="12">
        <f>Table16[[#This Row],[price]]*Table16[[#This Row],[quantity]]</f>
        <v>40.659999999999997</v>
      </c>
    </row>
    <row r="7636" spans="1:9" x14ac:dyDescent="0.3">
      <c r="A7636" t="s">
        <v>9646</v>
      </c>
      <c r="B7636" t="s">
        <v>1521</v>
      </c>
      <c r="C7636" t="s">
        <v>2015</v>
      </c>
      <c r="D7636">
        <v>4</v>
      </c>
      <c r="E7636" s="16">
        <v>2400.6799999999998</v>
      </c>
      <c r="F7636" s="1">
        <v>44953</v>
      </c>
      <c r="G7636" t="s">
        <v>2027</v>
      </c>
      <c r="H7636">
        <v>3</v>
      </c>
      <c r="I7636" s="12">
        <f>Table16[[#This Row],[price]]*Table16[[#This Row],[quantity]]</f>
        <v>9602.7199999999993</v>
      </c>
    </row>
    <row r="7637" spans="1:9" x14ac:dyDescent="0.3">
      <c r="A7637" t="s">
        <v>9649</v>
      </c>
      <c r="B7637" t="s">
        <v>1521</v>
      </c>
      <c r="C7637" t="s">
        <v>2011</v>
      </c>
      <c r="D7637">
        <v>4</v>
      </c>
      <c r="E7637" s="16">
        <v>162.63999999999999</v>
      </c>
      <c r="F7637" s="1">
        <v>44961</v>
      </c>
      <c r="G7637" t="s">
        <v>2064</v>
      </c>
      <c r="H7637">
        <v>1</v>
      </c>
      <c r="I7637" s="12">
        <f>Table16[[#This Row],[price]]*Table16[[#This Row],[quantity]]</f>
        <v>650.55999999999995</v>
      </c>
    </row>
    <row r="7638" spans="1:9" x14ac:dyDescent="0.3">
      <c r="A7638" t="s">
        <v>9655</v>
      </c>
      <c r="B7638" t="s">
        <v>1522</v>
      </c>
      <c r="C7638" t="s">
        <v>2001</v>
      </c>
      <c r="D7638">
        <v>5</v>
      </c>
      <c r="E7638" s="16">
        <v>1500.4</v>
      </c>
      <c r="F7638" s="1">
        <v>44324</v>
      </c>
      <c r="G7638" t="s">
        <v>2002</v>
      </c>
      <c r="H7638">
        <v>4</v>
      </c>
      <c r="I7638" s="12">
        <f>Table16[[#This Row],[price]]*Table16[[#This Row],[quantity]]</f>
        <v>7502</v>
      </c>
    </row>
    <row r="7639" spans="1:9" x14ac:dyDescent="0.3">
      <c r="A7639" t="s">
        <v>9656</v>
      </c>
      <c r="B7639" t="s">
        <v>1522</v>
      </c>
      <c r="C7639" t="s">
        <v>2006</v>
      </c>
      <c r="D7639">
        <v>1</v>
      </c>
      <c r="E7639" s="16">
        <v>15.15</v>
      </c>
      <c r="F7639" s="1">
        <v>44468</v>
      </c>
      <c r="G7639" t="s">
        <v>2020</v>
      </c>
      <c r="H7639">
        <v>1</v>
      </c>
      <c r="I7639" s="12">
        <f>Table16[[#This Row],[price]]*Table16[[#This Row],[quantity]]</f>
        <v>15.15</v>
      </c>
    </row>
    <row r="7640" spans="1:9" x14ac:dyDescent="0.3">
      <c r="A7640" t="s">
        <v>9654</v>
      </c>
      <c r="B7640" t="s">
        <v>1522</v>
      </c>
      <c r="C7640" t="s">
        <v>2017</v>
      </c>
      <c r="D7640">
        <v>3</v>
      </c>
      <c r="E7640" s="16">
        <v>3150</v>
      </c>
      <c r="F7640" s="1">
        <v>44491</v>
      </c>
      <c r="G7640" t="s">
        <v>2002</v>
      </c>
      <c r="H7640">
        <v>2</v>
      </c>
      <c r="I7640" s="12">
        <f>Table16[[#This Row],[price]]*Table16[[#This Row],[quantity]]</f>
        <v>9450</v>
      </c>
    </row>
    <row r="7641" spans="1:9" x14ac:dyDescent="0.3">
      <c r="A7641" t="s">
        <v>9657</v>
      </c>
      <c r="B7641" t="s">
        <v>1522</v>
      </c>
      <c r="C7641" t="s">
        <v>2011</v>
      </c>
      <c r="D7641">
        <v>1</v>
      </c>
      <c r="E7641" s="16">
        <v>40.659999999999997</v>
      </c>
      <c r="F7641" s="1">
        <v>44842</v>
      </c>
      <c r="G7641" t="s">
        <v>2041</v>
      </c>
      <c r="H7641">
        <v>1</v>
      </c>
      <c r="I7641" s="12">
        <f>Table16[[#This Row],[price]]*Table16[[#This Row],[quantity]]</f>
        <v>40.659999999999997</v>
      </c>
    </row>
    <row r="7642" spans="1:9" x14ac:dyDescent="0.3">
      <c r="A7642" t="s">
        <v>9659</v>
      </c>
      <c r="B7642" t="s">
        <v>1523</v>
      </c>
      <c r="C7642" t="s">
        <v>2011</v>
      </c>
      <c r="D7642">
        <v>5</v>
      </c>
      <c r="E7642" s="16">
        <v>203.3</v>
      </c>
      <c r="F7642" s="1">
        <v>44276</v>
      </c>
      <c r="G7642" t="s">
        <v>2058</v>
      </c>
      <c r="H7642">
        <v>1</v>
      </c>
      <c r="I7642" s="12">
        <f>Table16[[#This Row],[price]]*Table16[[#This Row],[quantity]]</f>
        <v>1016.5</v>
      </c>
    </row>
    <row r="7643" spans="1:9" x14ac:dyDescent="0.3">
      <c r="A7643" t="s">
        <v>9658</v>
      </c>
      <c r="B7643" t="s">
        <v>1523</v>
      </c>
      <c r="C7643" t="s">
        <v>2011</v>
      </c>
      <c r="D7643">
        <v>4</v>
      </c>
      <c r="E7643" s="16">
        <v>162.63999999999999</v>
      </c>
      <c r="F7643" s="1">
        <v>44620</v>
      </c>
      <c r="G7643" t="s">
        <v>2027</v>
      </c>
      <c r="H7643">
        <v>2</v>
      </c>
      <c r="I7643" s="12">
        <f>Table16[[#This Row],[price]]*Table16[[#This Row],[quantity]]</f>
        <v>650.55999999999995</v>
      </c>
    </row>
    <row r="7644" spans="1:9" x14ac:dyDescent="0.3">
      <c r="A7644" t="s">
        <v>9662</v>
      </c>
      <c r="B7644" t="s">
        <v>1523</v>
      </c>
      <c r="C7644" t="s">
        <v>2057</v>
      </c>
      <c r="D7644">
        <v>1</v>
      </c>
      <c r="E7644" s="16">
        <v>11.73</v>
      </c>
      <c r="F7644" s="1">
        <v>44807</v>
      </c>
      <c r="G7644" t="s">
        <v>2004</v>
      </c>
      <c r="H7644">
        <v>3</v>
      </c>
      <c r="I7644" s="12">
        <f>Table16[[#This Row],[price]]*Table16[[#This Row],[quantity]]</f>
        <v>11.73</v>
      </c>
    </row>
    <row r="7645" spans="1:9" x14ac:dyDescent="0.3">
      <c r="A7645" t="s">
        <v>9660</v>
      </c>
      <c r="B7645" t="s">
        <v>1523</v>
      </c>
      <c r="C7645" t="s">
        <v>2001</v>
      </c>
      <c r="D7645">
        <v>4</v>
      </c>
      <c r="E7645" s="16">
        <v>1200.32</v>
      </c>
      <c r="F7645" s="1">
        <v>44934</v>
      </c>
      <c r="G7645" t="s">
        <v>2002</v>
      </c>
      <c r="H7645">
        <v>4</v>
      </c>
      <c r="I7645" s="12">
        <f>Table16[[#This Row],[price]]*Table16[[#This Row],[quantity]]</f>
        <v>4801.28</v>
      </c>
    </row>
    <row r="7646" spans="1:9" x14ac:dyDescent="0.3">
      <c r="A7646" t="s">
        <v>9661</v>
      </c>
      <c r="B7646" t="s">
        <v>1523</v>
      </c>
      <c r="C7646" t="s">
        <v>2001</v>
      </c>
      <c r="D7646">
        <v>2</v>
      </c>
      <c r="E7646" s="16">
        <v>600.16</v>
      </c>
      <c r="F7646" s="1">
        <v>44952</v>
      </c>
      <c r="G7646" t="s">
        <v>2002</v>
      </c>
      <c r="H7646">
        <v>1</v>
      </c>
      <c r="I7646" s="12">
        <f>Table16[[#This Row],[price]]*Table16[[#This Row],[quantity]]</f>
        <v>1200.32</v>
      </c>
    </row>
    <row r="7647" spans="1:9" x14ac:dyDescent="0.3">
      <c r="A7647" t="s">
        <v>9663</v>
      </c>
      <c r="B7647" t="s">
        <v>1524</v>
      </c>
      <c r="C7647" t="s">
        <v>2017</v>
      </c>
      <c r="D7647">
        <v>1</v>
      </c>
      <c r="E7647" s="16">
        <v>1050</v>
      </c>
      <c r="F7647" s="1">
        <v>44898</v>
      </c>
      <c r="G7647" t="s">
        <v>2027</v>
      </c>
      <c r="H7647">
        <v>1</v>
      </c>
      <c r="I7647" s="12">
        <f>Table16[[#This Row],[price]]*Table16[[#This Row],[quantity]]</f>
        <v>1050</v>
      </c>
    </row>
    <row r="7648" spans="1:9" x14ac:dyDescent="0.3">
      <c r="A7648" t="s">
        <v>9664</v>
      </c>
      <c r="B7648" t="s">
        <v>1524</v>
      </c>
      <c r="C7648" t="s">
        <v>2011</v>
      </c>
      <c r="D7648">
        <v>1</v>
      </c>
      <c r="E7648" s="16">
        <v>40.659999999999997</v>
      </c>
      <c r="F7648" s="1">
        <v>44960</v>
      </c>
      <c r="G7648" t="s">
        <v>2004</v>
      </c>
      <c r="H7648">
        <v>5</v>
      </c>
      <c r="I7648" s="12">
        <f>Table16[[#This Row],[price]]*Table16[[#This Row],[quantity]]</f>
        <v>40.659999999999997</v>
      </c>
    </row>
    <row r="7649" spans="1:9" x14ac:dyDescent="0.3">
      <c r="A7649" t="s">
        <v>9668</v>
      </c>
      <c r="B7649" t="s">
        <v>1525</v>
      </c>
      <c r="C7649" t="s">
        <v>2001</v>
      </c>
      <c r="D7649">
        <v>4</v>
      </c>
      <c r="E7649" s="16">
        <v>1200.32</v>
      </c>
      <c r="F7649" s="1">
        <v>44255</v>
      </c>
      <c r="G7649" t="s">
        <v>2027</v>
      </c>
      <c r="H7649">
        <v>2</v>
      </c>
      <c r="I7649" s="12">
        <f>Table16[[#This Row],[price]]*Table16[[#This Row],[quantity]]</f>
        <v>4801.28</v>
      </c>
    </row>
    <row r="7650" spans="1:9" x14ac:dyDescent="0.3">
      <c r="A7650" t="s">
        <v>9666</v>
      </c>
      <c r="B7650" t="s">
        <v>1525</v>
      </c>
      <c r="C7650" t="s">
        <v>2015</v>
      </c>
      <c r="D7650">
        <v>4</v>
      </c>
      <c r="E7650" s="16">
        <v>2400.6799999999998</v>
      </c>
      <c r="F7650" s="1">
        <v>44348</v>
      </c>
      <c r="G7650" t="s">
        <v>2027</v>
      </c>
      <c r="H7650">
        <v>2</v>
      </c>
      <c r="I7650" s="12">
        <f>Table16[[#This Row],[price]]*Table16[[#This Row],[quantity]]</f>
        <v>9602.7199999999993</v>
      </c>
    </row>
    <row r="7651" spans="1:9" x14ac:dyDescent="0.3">
      <c r="A7651" t="s">
        <v>9669</v>
      </c>
      <c r="B7651" t="s">
        <v>1525</v>
      </c>
      <c r="C7651" t="s">
        <v>2001</v>
      </c>
      <c r="D7651">
        <v>1</v>
      </c>
      <c r="E7651" s="16">
        <v>300.08</v>
      </c>
      <c r="F7651" s="1">
        <v>44400</v>
      </c>
      <c r="G7651" t="s">
        <v>2027</v>
      </c>
      <c r="H7651">
        <v>5</v>
      </c>
      <c r="I7651" s="12">
        <f>Table16[[#This Row],[price]]*Table16[[#This Row],[quantity]]</f>
        <v>300.08</v>
      </c>
    </row>
    <row r="7652" spans="1:9" x14ac:dyDescent="0.3">
      <c r="A7652" t="s">
        <v>9670</v>
      </c>
      <c r="B7652" t="s">
        <v>1525</v>
      </c>
      <c r="C7652" t="s">
        <v>2001</v>
      </c>
      <c r="D7652">
        <v>4</v>
      </c>
      <c r="E7652" s="16">
        <v>1200.32</v>
      </c>
      <c r="F7652" s="1">
        <v>44568</v>
      </c>
      <c r="G7652" t="s">
        <v>2012</v>
      </c>
      <c r="H7652">
        <v>3</v>
      </c>
      <c r="I7652" s="12">
        <f>Table16[[#This Row],[price]]*Table16[[#This Row],[quantity]]</f>
        <v>4801.28</v>
      </c>
    </row>
    <row r="7653" spans="1:9" x14ac:dyDescent="0.3">
      <c r="A7653" t="s">
        <v>9667</v>
      </c>
      <c r="B7653" t="s">
        <v>1525</v>
      </c>
      <c r="C7653" t="s">
        <v>2001</v>
      </c>
      <c r="D7653">
        <v>5</v>
      </c>
      <c r="E7653" s="16">
        <v>1500.4</v>
      </c>
      <c r="F7653" s="1">
        <v>44778</v>
      </c>
      <c r="G7653" t="s">
        <v>2027</v>
      </c>
      <c r="H7653">
        <v>4</v>
      </c>
      <c r="I7653" s="12">
        <f>Table16[[#This Row],[price]]*Table16[[#This Row],[quantity]]</f>
        <v>7502</v>
      </c>
    </row>
    <row r="7654" spans="1:9" x14ac:dyDescent="0.3">
      <c r="A7654" t="s">
        <v>9665</v>
      </c>
      <c r="B7654" t="s">
        <v>1525</v>
      </c>
      <c r="C7654" t="s">
        <v>2001</v>
      </c>
      <c r="D7654">
        <v>2</v>
      </c>
      <c r="E7654" s="16">
        <v>600.16</v>
      </c>
      <c r="F7654" s="1">
        <v>44784</v>
      </c>
      <c r="G7654" t="s">
        <v>2027</v>
      </c>
      <c r="H7654">
        <v>3</v>
      </c>
      <c r="I7654" s="12">
        <f>Table16[[#This Row],[price]]*Table16[[#This Row],[quantity]]</f>
        <v>1200.32</v>
      </c>
    </row>
    <row r="7655" spans="1:9" x14ac:dyDescent="0.3">
      <c r="A7655" t="s">
        <v>9671</v>
      </c>
      <c r="B7655" t="s">
        <v>1526</v>
      </c>
      <c r="C7655" t="s">
        <v>2001</v>
      </c>
      <c r="D7655">
        <v>4</v>
      </c>
      <c r="E7655" s="16">
        <v>1200.32</v>
      </c>
      <c r="F7655" s="1">
        <v>44583</v>
      </c>
      <c r="G7655" t="s">
        <v>2058</v>
      </c>
      <c r="H7655">
        <v>1</v>
      </c>
      <c r="I7655" s="12">
        <f>Table16[[#This Row],[price]]*Table16[[#This Row],[quantity]]</f>
        <v>4801.28</v>
      </c>
    </row>
    <row r="7656" spans="1:9" x14ac:dyDescent="0.3">
      <c r="A7656" t="s">
        <v>9674</v>
      </c>
      <c r="B7656" t="s">
        <v>1526</v>
      </c>
      <c r="C7656" t="s">
        <v>2008</v>
      </c>
      <c r="D7656">
        <v>2</v>
      </c>
      <c r="E7656" s="16">
        <v>10.46</v>
      </c>
      <c r="F7656" s="1">
        <v>44589</v>
      </c>
      <c r="G7656" t="s">
        <v>2027</v>
      </c>
      <c r="H7656">
        <v>5</v>
      </c>
      <c r="I7656" s="12">
        <f>Table16[[#This Row],[price]]*Table16[[#This Row],[quantity]]</f>
        <v>20.92</v>
      </c>
    </row>
    <row r="7657" spans="1:9" x14ac:dyDescent="0.3">
      <c r="A7657" t="s">
        <v>9673</v>
      </c>
      <c r="B7657" t="s">
        <v>1526</v>
      </c>
      <c r="C7657" t="s">
        <v>2001</v>
      </c>
      <c r="D7657">
        <v>3</v>
      </c>
      <c r="E7657" s="16">
        <v>900.24</v>
      </c>
      <c r="F7657" s="1">
        <v>44660</v>
      </c>
      <c r="G7657" t="s">
        <v>2020</v>
      </c>
      <c r="H7657">
        <v>5</v>
      </c>
      <c r="I7657" s="12">
        <f>Table16[[#This Row],[price]]*Table16[[#This Row],[quantity]]</f>
        <v>2700.7200000000003</v>
      </c>
    </row>
    <row r="7658" spans="1:9" x14ac:dyDescent="0.3">
      <c r="A7658" t="s">
        <v>9672</v>
      </c>
      <c r="B7658" t="s">
        <v>1526</v>
      </c>
      <c r="C7658" t="s">
        <v>2024</v>
      </c>
      <c r="D7658">
        <v>2</v>
      </c>
      <c r="E7658" s="16">
        <v>71.680000000000007</v>
      </c>
      <c r="F7658" s="1">
        <v>44705</v>
      </c>
      <c r="G7658" t="s">
        <v>2027</v>
      </c>
      <c r="H7658">
        <v>4</v>
      </c>
      <c r="I7658" s="12">
        <f>Table16[[#This Row],[price]]*Table16[[#This Row],[quantity]]</f>
        <v>143.36000000000001</v>
      </c>
    </row>
    <row r="7659" spans="1:9" x14ac:dyDescent="0.3">
      <c r="A7659" t="s">
        <v>9675</v>
      </c>
      <c r="B7659" t="s">
        <v>1526</v>
      </c>
      <c r="C7659" t="s">
        <v>2001</v>
      </c>
      <c r="D7659">
        <v>2</v>
      </c>
      <c r="E7659" s="16">
        <v>600.16</v>
      </c>
      <c r="F7659" s="1">
        <v>44875</v>
      </c>
      <c r="G7659" t="s">
        <v>2004</v>
      </c>
      <c r="H7659">
        <v>2</v>
      </c>
      <c r="I7659" s="12">
        <f>Table16[[#This Row],[price]]*Table16[[#This Row],[quantity]]</f>
        <v>1200.32</v>
      </c>
    </row>
    <row r="7660" spans="1:9" x14ac:dyDescent="0.3">
      <c r="A7660" t="s">
        <v>9680</v>
      </c>
      <c r="B7660" t="s">
        <v>1527</v>
      </c>
      <c r="C7660" t="s">
        <v>2011</v>
      </c>
      <c r="D7660">
        <v>4</v>
      </c>
      <c r="E7660" s="16">
        <v>162.63999999999999</v>
      </c>
      <c r="F7660" s="1">
        <v>44316</v>
      </c>
      <c r="G7660" t="s">
        <v>2058</v>
      </c>
      <c r="H7660">
        <v>4</v>
      </c>
      <c r="I7660" s="12">
        <f>Table16[[#This Row],[price]]*Table16[[#This Row],[quantity]]</f>
        <v>650.55999999999995</v>
      </c>
    </row>
    <row r="7661" spans="1:9" x14ac:dyDescent="0.3">
      <c r="A7661" t="s">
        <v>9677</v>
      </c>
      <c r="B7661" t="s">
        <v>1527</v>
      </c>
      <c r="C7661" t="s">
        <v>2001</v>
      </c>
      <c r="D7661">
        <v>1</v>
      </c>
      <c r="E7661" s="16">
        <v>300.08</v>
      </c>
      <c r="F7661" s="1">
        <v>44457</v>
      </c>
      <c r="G7661" t="s">
        <v>2058</v>
      </c>
      <c r="H7661">
        <v>1</v>
      </c>
      <c r="I7661" s="12">
        <f>Table16[[#This Row],[price]]*Table16[[#This Row],[quantity]]</f>
        <v>300.08</v>
      </c>
    </row>
    <row r="7662" spans="1:9" x14ac:dyDescent="0.3">
      <c r="A7662" t="s">
        <v>9679</v>
      </c>
      <c r="B7662" t="s">
        <v>1527</v>
      </c>
      <c r="C7662" t="s">
        <v>2001</v>
      </c>
      <c r="D7662">
        <v>2</v>
      </c>
      <c r="E7662" s="16">
        <v>600.16</v>
      </c>
      <c r="F7662" s="1">
        <v>44592</v>
      </c>
      <c r="G7662" t="s">
        <v>2027</v>
      </c>
      <c r="H7662">
        <v>4</v>
      </c>
      <c r="I7662" s="12">
        <f>Table16[[#This Row],[price]]*Table16[[#This Row],[quantity]]</f>
        <v>1200.32</v>
      </c>
    </row>
    <row r="7663" spans="1:9" x14ac:dyDescent="0.3">
      <c r="A7663" t="s">
        <v>9678</v>
      </c>
      <c r="B7663" t="s">
        <v>1527</v>
      </c>
      <c r="C7663" t="s">
        <v>2001</v>
      </c>
      <c r="D7663">
        <v>2</v>
      </c>
      <c r="E7663" s="16">
        <v>600.16</v>
      </c>
      <c r="F7663" s="1">
        <v>44613</v>
      </c>
      <c r="G7663" t="s">
        <v>2064</v>
      </c>
      <c r="H7663">
        <v>4</v>
      </c>
      <c r="I7663" s="12">
        <f>Table16[[#This Row],[price]]*Table16[[#This Row],[quantity]]</f>
        <v>1200.32</v>
      </c>
    </row>
    <row r="7664" spans="1:9" x14ac:dyDescent="0.3">
      <c r="A7664" t="s">
        <v>9676</v>
      </c>
      <c r="B7664" t="s">
        <v>1527</v>
      </c>
      <c r="C7664" t="s">
        <v>2001</v>
      </c>
      <c r="D7664">
        <v>5</v>
      </c>
      <c r="E7664" s="16">
        <v>1500.4</v>
      </c>
      <c r="F7664" s="1">
        <v>44785</v>
      </c>
      <c r="G7664" t="s">
        <v>2027</v>
      </c>
      <c r="H7664">
        <v>2</v>
      </c>
      <c r="I7664" s="12">
        <f>Table16[[#This Row],[price]]*Table16[[#This Row],[quantity]]</f>
        <v>7502</v>
      </c>
    </row>
    <row r="7665" spans="1:9" x14ac:dyDescent="0.3">
      <c r="A7665" t="s">
        <v>9683</v>
      </c>
      <c r="B7665" t="s">
        <v>1528</v>
      </c>
      <c r="C7665" t="s">
        <v>2011</v>
      </c>
      <c r="D7665">
        <v>1</v>
      </c>
      <c r="E7665" s="16">
        <v>40.659999999999997</v>
      </c>
      <c r="F7665" s="1">
        <v>44282</v>
      </c>
      <c r="G7665" t="s">
        <v>2027</v>
      </c>
      <c r="H7665">
        <v>4</v>
      </c>
      <c r="I7665" s="12">
        <f>Table16[[#This Row],[price]]*Table16[[#This Row],[quantity]]</f>
        <v>40.659999999999997</v>
      </c>
    </row>
    <row r="7666" spans="1:9" x14ac:dyDescent="0.3">
      <c r="A7666" t="s">
        <v>9685</v>
      </c>
      <c r="B7666" t="s">
        <v>1528</v>
      </c>
      <c r="C7666" t="s">
        <v>2008</v>
      </c>
      <c r="D7666">
        <v>2</v>
      </c>
      <c r="E7666" s="16">
        <v>10.46</v>
      </c>
      <c r="F7666" s="1">
        <v>44344</v>
      </c>
      <c r="G7666" t="s">
        <v>2009</v>
      </c>
      <c r="H7666">
        <v>1</v>
      </c>
      <c r="I7666" s="12">
        <f>Table16[[#This Row],[price]]*Table16[[#This Row],[quantity]]</f>
        <v>20.92</v>
      </c>
    </row>
    <row r="7667" spans="1:9" x14ac:dyDescent="0.3">
      <c r="A7667" t="s">
        <v>9682</v>
      </c>
      <c r="B7667" t="s">
        <v>1528</v>
      </c>
      <c r="C7667" t="s">
        <v>2024</v>
      </c>
      <c r="D7667">
        <v>4</v>
      </c>
      <c r="E7667" s="16">
        <v>143.36000000000001</v>
      </c>
      <c r="F7667" s="1">
        <v>44485</v>
      </c>
      <c r="G7667" t="s">
        <v>2064</v>
      </c>
      <c r="H7667">
        <v>1</v>
      </c>
      <c r="I7667" s="12">
        <f>Table16[[#This Row],[price]]*Table16[[#This Row],[quantity]]</f>
        <v>573.44000000000005</v>
      </c>
    </row>
    <row r="7668" spans="1:9" x14ac:dyDescent="0.3">
      <c r="A7668" t="s">
        <v>9684</v>
      </c>
      <c r="B7668" t="s">
        <v>1528</v>
      </c>
      <c r="C7668" t="s">
        <v>2008</v>
      </c>
      <c r="D7668">
        <v>1</v>
      </c>
      <c r="E7668" s="16">
        <v>5.23</v>
      </c>
      <c r="F7668" s="1">
        <v>44780</v>
      </c>
      <c r="G7668" t="s">
        <v>2027</v>
      </c>
      <c r="H7668">
        <v>4</v>
      </c>
      <c r="I7668" s="12">
        <f>Table16[[#This Row],[price]]*Table16[[#This Row],[quantity]]</f>
        <v>5.23</v>
      </c>
    </row>
    <row r="7669" spans="1:9" x14ac:dyDescent="0.3">
      <c r="A7669" t="s">
        <v>9681</v>
      </c>
      <c r="B7669" t="s">
        <v>1528</v>
      </c>
      <c r="C7669" t="s">
        <v>2001</v>
      </c>
      <c r="D7669">
        <v>5</v>
      </c>
      <c r="E7669" s="16">
        <v>1500.4</v>
      </c>
      <c r="F7669" s="1">
        <v>44953</v>
      </c>
      <c r="G7669" t="s">
        <v>2004</v>
      </c>
      <c r="H7669">
        <v>5</v>
      </c>
      <c r="I7669" s="12">
        <f>Table16[[#This Row],[price]]*Table16[[#This Row],[quantity]]</f>
        <v>7502</v>
      </c>
    </row>
    <row r="7670" spans="1:9" x14ac:dyDescent="0.3">
      <c r="A7670" t="s">
        <v>9689</v>
      </c>
      <c r="B7670" t="s">
        <v>1529</v>
      </c>
      <c r="C7670" t="s">
        <v>2057</v>
      </c>
      <c r="D7670">
        <v>3</v>
      </c>
      <c r="E7670" s="16">
        <v>35.19</v>
      </c>
      <c r="F7670" s="1">
        <v>44388</v>
      </c>
      <c r="G7670" t="s">
        <v>2027</v>
      </c>
      <c r="H7670">
        <v>1</v>
      </c>
      <c r="I7670" s="12">
        <f>Table16[[#This Row],[price]]*Table16[[#This Row],[quantity]]</f>
        <v>105.57</v>
      </c>
    </row>
    <row r="7671" spans="1:9" x14ac:dyDescent="0.3">
      <c r="A7671" t="s">
        <v>9687</v>
      </c>
      <c r="B7671" t="s">
        <v>1529</v>
      </c>
      <c r="C7671" t="s">
        <v>2001</v>
      </c>
      <c r="D7671">
        <v>3</v>
      </c>
      <c r="E7671" s="16">
        <v>900.24</v>
      </c>
      <c r="F7671" s="1">
        <v>44402</v>
      </c>
      <c r="G7671" t="s">
        <v>2027</v>
      </c>
      <c r="H7671">
        <v>4</v>
      </c>
      <c r="I7671" s="12">
        <f>Table16[[#This Row],[price]]*Table16[[#This Row],[quantity]]</f>
        <v>2700.7200000000003</v>
      </c>
    </row>
    <row r="7672" spans="1:9" x14ac:dyDescent="0.3">
      <c r="A7672" t="s">
        <v>9691</v>
      </c>
      <c r="B7672" t="s">
        <v>1529</v>
      </c>
      <c r="C7672" t="s">
        <v>2001</v>
      </c>
      <c r="D7672">
        <v>2</v>
      </c>
      <c r="E7672" s="16">
        <v>600.16</v>
      </c>
      <c r="F7672" s="1">
        <v>44452</v>
      </c>
      <c r="G7672" t="s">
        <v>2027</v>
      </c>
      <c r="H7672">
        <v>3</v>
      </c>
      <c r="I7672" s="12">
        <f>Table16[[#This Row],[price]]*Table16[[#This Row],[quantity]]</f>
        <v>1200.32</v>
      </c>
    </row>
    <row r="7673" spans="1:9" x14ac:dyDescent="0.3">
      <c r="A7673" t="s">
        <v>9688</v>
      </c>
      <c r="B7673" t="s">
        <v>1529</v>
      </c>
      <c r="C7673" t="s">
        <v>2017</v>
      </c>
      <c r="D7673">
        <v>3</v>
      </c>
      <c r="E7673" s="16">
        <v>3150</v>
      </c>
      <c r="F7673" s="1">
        <v>44683</v>
      </c>
      <c r="G7673" t="s">
        <v>2009</v>
      </c>
      <c r="H7673">
        <v>3</v>
      </c>
      <c r="I7673" s="12">
        <f>Table16[[#This Row],[price]]*Table16[[#This Row],[quantity]]</f>
        <v>9450</v>
      </c>
    </row>
    <row r="7674" spans="1:9" x14ac:dyDescent="0.3">
      <c r="A7674" t="s">
        <v>9690</v>
      </c>
      <c r="B7674" t="s">
        <v>1529</v>
      </c>
      <c r="C7674" t="s">
        <v>2008</v>
      </c>
      <c r="D7674">
        <v>4</v>
      </c>
      <c r="E7674" s="16">
        <v>20.92</v>
      </c>
      <c r="F7674" s="1">
        <v>44877</v>
      </c>
      <c r="G7674" t="s">
        <v>2027</v>
      </c>
      <c r="H7674">
        <v>5</v>
      </c>
      <c r="I7674" s="12">
        <f>Table16[[#This Row],[price]]*Table16[[#This Row],[quantity]]</f>
        <v>83.68</v>
      </c>
    </row>
    <row r="7675" spans="1:9" x14ac:dyDescent="0.3">
      <c r="A7675" t="s">
        <v>9686</v>
      </c>
      <c r="B7675" t="s">
        <v>1529</v>
      </c>
      <c r="C7675" t="s">
        <v>2057</v>
      </c>
      <c r="D7675">
        <v>4</v>
      </c>
      <c r="E7675" s="16">
        <v>46.92</v>
      </c>
      <c r="F7675" s="1">
        <v>44982</v>
      </c>
      <c r="G7675" t="s">
        <v>2064</v>
      </c>
      <c r="H7675">
        <v>5</v>
      </c>
      <c r="I7675" s="12">
        <f>Table16[[#This Row],[price]]*Table16[[#This Row],[quantity]]</f>
        <v>187.68</v>
      </c>
    </row>
    <row r="7676" spans="1:9" x14ac:dyDescent="0.3">
      <c r="A7676" t="s">
        <v>9692</v>
      </c>
      <c r="B7676" t="s">
        <v>1530</v>
      </c>
      <c r="C7676" t="s">
        <v>2008</v>
      </c>
      <c r="D7676">
        <v>5</v>
      </c>
      <c r="E7676" s="16">
        <v>26.15</v>
      </c>
      <c r="F7676" s="1">
        <v>44773</v>
      </c>
      <c r="G7676" t="s">
        <v>2020</v>
      </c>
      <c r="H7676">
        <v>2</v>
      </c>
      <c r="I7676" s="12">
        <f>Table16[[#This Row],[price]]*Table16[[#This Row],[quantity]]</f>
        <v>130.75</v>
      </c>
    </row>
    <row r="7677" spans="1:9" x14ac:dyDescent="0.3">
      <c r="A7677" t="s">
        <v>9693</v>
      </c>
      <c r="B7677" t="s">
        <v>1530</v>
      </c>
      <c r="C7677" t="s">
        <v>2001</v>
      </c>
      <c r="D7677">
        <v>2</v>
      </c>
      <c r="E7677" s="16">
        <v>600.16</v>
      </c>
      <c r="F7677" s="1">
        <v>44793</v>
      </c>
      <c r="G7677" t="s">
        <v>2004</v>
      </c>
      <c r="H7677">
        <v>5</v>
      </c>
      <c r="I7677" s="12">
        <f>Table16[[#This Row],[price]]*Table16[[#This Row],[quantity]]</f>
        <v>1200.32</v>
      </c>
    </row>
    <row r="7678" spans="1:9" x14ac:dyDescent="0.3">
      <c r="A7678" t="s">
        <v>9696</v>
      </c>
      <c r="B7678" t="s">
        <v>1531</v>
      </c>
      <c r="C7678" t="s">
        <v>2015</v>
      </c>
      <c r="D7678">
        <v>3</v>
      </c>
      <c r="E7678" s="16">
        <v>1800.51</v>
      </c>
      <c r="F7678" s="1">
        <v>44204</v>
      </c>
      <c r="G7678" t="s">
        <v>2004</v>
      </c>
      <c r="H7678">
        <v>3</v>
      </c>
      <c r="I7678" s="12">
        <f>Table16[[#This Row],[price]]*Table16[[#This Row],[quantity]]</f>
        <v>5401.53</v>
      </c>
    </row>
    <row r="7679" spans="1:9" x14ac:dyDescent="0.3">
      <c r="A7679" t="s">
        <v>9695</v>
      </c>
      <c r="B7679" t="s">
        <v>1531</v>
      </c>
      <c r="C7679" t="s">
        <v>2015</v>
      </c>
      <c r="D7679">
        <v>5</v>
      </c>
      <c r="E7679" s="16">
        <v>3000.85</v>
      </c>
      <c r="F7679" s="1">
        <v>44355</v>
      </c>
      <c r="G7679" t="s">
        <v>2027</v>
      </c>
      <c r="H7679">
        <v>2</v>
      </c>
      <c r="I7679" s="12">
        <f>Table16[[#This Row],[price]]*Table16[[#This Row],[quantity]]</f>
        <v>15004.25</v>
      </c>
    </row>
    <row r="7680" spans="1:9" x14ac:dyDescent="0.3">
      <c r="A7680" t="s">
        <v>9694</v>
      </c>
      <c r="B7680" t="s">
        <v>1531</v>
      </c>
      <c r="C7680" t="s">
        <v>2001</v>
      </c>
      <c r="D7680">
        <v>3</v>
      </c>
      <c r="E7680" s="16">
        <v>900.24</v>
      </c>
      <c r="F7680" s="1">
        <v>44356</v>
      </c>
      <c r="G7680" t="s">
        <v>2009</v>
      </c>
      <c r="H7680">
        <v>3</v>
      </c>
      <c r="I7680" s="12">
        <f>Table16[[#This Row],[price]]*Table16[[#This Row],[quantity]]</f>
        <v>2700.7200000000003</v>
      </c>
    </row>
    <row r="7681" spans="1:9" x14ac:dyDescent="0.3">
      <c r="A7681" t="s">
        <v>9697</v>
      </c>
      <c r="B7681" t="s">
        <v>1531</v>
      </c>
      <c r="C7681" t="s">
        <v>2011</v>
      </c>
      <c r="D7681">
        <v>3</v>
      </c>
      <c r="E7681" s="16">
        <v>121.98</v>
      </c>
      <c r="F7681" s="1">
        <v>44508</v>
      </c>
      <c r="G7681" t="s">
        <v>2004</v>
      </c>
      <c r="H7681">
        <v>5</v>
      </c>
      <c r="I7681" s="12">
        <f>Table16[[#This Row],[price]]*Table16[[#This Row],[quantity]]</f>
        <v>365.94</v>
      </c>
    </row>
    <row r="7682" spans="1:9" x14ac:dyDescent="0.3">
      <c r="A7682" t="s">
        <v>9699</v>
      </c>
      <c r="B7682" t="s">
        <v>1531</v>
      </c>
      <c r="C7682" t="s">
        <v>2011</v>
      </c>
      <c r="D7682">
        <v>5</v>
      </c>
      <c r="E7682" s="16">
        <v>203.3</v>
      </c>
      <c r="F7682" s="1">
        <v>44579</v>
      </c>
      <c r="G7682" t="s">
        <v>2020</v>
      </c>
      <c r="H7682">
        <v>4</v>
      </c>
      <c r="I7682" s="12">
        <f>Table16[[#This Row],[price]]*Table16[[#This Row],[quantity]]</f>
        <v>1016.5</v>
      </c>
    </row>
    <row r="7683" spans="1:9" x14ac:dyDescent="0.3">
      <c r="A7683" t="s">
        <v>9698</v>
      </c>
      <c r="B7683" t="s">
        <v>1531</v>
      </c>
      <c r="C7683" t="s">
        <v>2011</v>
      </c>
      <c r="D7683">
        <v>1</v>
      </c>
      <c r="E7683" s="16">
        <v>40.659999999999997</v>
      </c>
      <c r="F7683" s="1">
        <v>44813</v>
      </c>
      <c r="G7683" t="s">
        <v>2064</v>
      </c>
      <c r="H7683">
        <v>2</v>
      </c>
      <c r="I7683" s="12">
        <f>Table16[[#This Row],[price]]*Table16[[#This Row],[quantity]]</f>
        <v>40.659999999999997</v>
      </c>
    </row>
    <row r="7684" spans="1:9" x14ac:dyDescent="0.3">
      <c r="A7684" t="s">
        <v>9702</v>
      </c>
      <c r="B7684" t="s">
        <v>1532</v>
      </c>
      <c r="C7684" t="s">
        <v>2008</v>
      </c>
      <c r="D7684">
        <v>1</v>
      </c>
      <c r="E7684" s="16">
        <v>5.23</v>
      </c>
      <c r="F7684" s="1">
        <v>44233</v>
      </c>
      <c r="G7684" t="s">
        <v>2027</v>
      </c>
      <c r="H7684">
        <v>2</v>
      </c>
      <c r="I7684" s="12">
        <f>Table16[[#This Row],[price]]*Table16[[#This Row],[quantity]]</f>
        <v>5.23</v>
      </c>
    </row>
    <row r="7685" spans="1:9" x14ac:dyDescent="0.3">
      <c r="A7685" t="s">
        <v>9700</v>
      </c>
      <c r="B7685" t="s">
        <v>1532</v>
      </c>
      <c r="C7685" t="s">
        <v>2015</v>
      </c>
      <c r="D7685">
        <v>5</v>
      </c>
      <c r="E7685" s="16">
        <v>3000.85</v>
      </c>
      <c r="F7685" s="1">
        <v>44268</v>
      </c>
      <c r="G7685" t="s">
        <v>2012</v>
      </c>
      <c r="H7685">
        <v>1</v>
      </c>
      <c r="I7685" s="12">
        <f>Table16[[#This Row],[price]]*Table16[[#This Row],[quantity]]</f>
        <v>15004.25</v>
      </c>
    </row>
    <row r="7686" spans="1:9" x14ac:dyDescent="0.3">
      <c r="A7686" t="s">
        <v>9701</v>
      </c>
      <c r="B7686" t="s">
        <v>1532</v>
      </c>
      <c r="C7686" t="s">
        <v>2057</v>
      </c>
      <c r="D7686">
        <v>1</v>
      </c>
      <c r="E7686" s="16">
        <v>11.73</v>
      </c>
      <c r="F7686" s="1">
        <v>44545</v>
      </c>
      <c r="G7686" t="s">
        <v>2027</v>
      </c>
      <c r="H7686">
        <v>2</v>
      </c>
      <c r="I7686" s="12">
        <f>Table16[[#This Row],[price]]*Table16[[#This Row],[quantity]]</f>
        <v>11.73</v>
      </c>
    </row>
    <row r="7687" spans="1:9" x14ac:dyDescent="0.3">
      <c r="A7687" t="s">
        <v>9704</v>
      </c>
      <c r="B7687" t="s">
        <v>1532</v>
      </c>
      <c r="C7687" t="s">
        <v>2001</v>
      </c>
      <c r="D7687">
        <v>4</v>
      </c>
      <c r="E7687" s="16">
        <v>1200.32</v>
      </c>
      <c r="F7687" s="1">
        <v>44681</v>
      </c>
      <c r="G7687" t="s">
        <v>2058</v>
      </c>
      <c r="H7687">
        <v>4</v>
      </c>
      <c r="I7687" s="12">
        <f>Table16[[#This Row],[price]]*Table16[[#This Row],[quantity]]</f>
        <v>4801.28</v>
      </c>
    </row>
    <row r="7688" spans="1:9" x14ac:dyDescent="0.3">
      <c r="A7688" t="s">
        <v>9705</v>
      </c>
      <c r="B7688" t="s">
        <v>1532</v>
      </c>
      <c r="C7688" t="s">
        <v>2006</v>
      </c>
      <c r="D7688">
        <v>1</v>
      </c>
      <c r="E7688" s="16">
        <v>15.15</v>
      </c>
      <c r="F7688" s="1">
        <v>44784</v>
      </c>
      <c r="G7688" t="s">
        <v>2004</v>
      </c>
      <c r="H7688">
        <v>4</v>
      </c>
      <c r="I7688" s="12">
        <f>Table16[[#This Row],[price]]*Table16[[#This Row],[quantity]]</f>
        <v>15.15</v>
      </c>
    </row>
    <row r="7689" spans="1:9" x14ac:dyDescent="0.3">
      <c r="A7689" t="s">
        <v>9703</v>
      </c>
      <c r="B7689" t="s">
        <v>1532</v>
      </c>
      <c r="C7689" t="s">
        <v>2001</v>
      </c>
      <c r="D7689">
        <v>1</v>
      </c>
      <c r="E7689" s="16">
        <v>300.08</v>
      </c>
      <c r="F7689" s="1">
        <v>44879</v>
      </c>
      <c r="G7689" t="s">
        <v>2027</v>
      </c>
      <c r="H7689">
        <v>5</v>
      </c>
      <c r="I7689" s="12">
        <f>Table16[[#This Row],[price]]*Table16[[#This Row],[quantity]]</f>
        <v>300.08</v>
      </c>
    </row>
    <row r="7690" spans="1:9" x14ac:dyDescent="0.3">
      <c r="A7690" t="s">
        <v>9706</v>
      </c>
      <c r="B7690" t="s">
        <v>1533</v>
      </c>
      <c r="C7690" t="s">
        <v>2024</v>
      </c>
      <c r="D7690">
        <v>5</v>
      </c>
      <c r="E7690" s="16">
        <v>179.2</v>
      </c>
      <c r="F7690" s="1">
        <v>44398</v>
      </c>
      <c r="G7690" t="s">
        <v>2027</v>
      </c>
      <c r="H7690">
        <v>5</v>
      </c>
      <c r="I7690" s="12">
        <f>Table16[[#This Row],[price]]*Table16[[#This Row],[quantity]]</f>
        <v>896</v>
      </c>
    </row>
    <row r="7691" spans="1:9" x14ac:dyDescent="0.3">
      <c r="A7691" t="s">
        <v>9710</v>
      </c>
      <c r="B7691" t="s">
        <v>1533</v>
      </c>
      <c r="C7691" t="s">
        <v>2001</v>
      </c>
      <c r="D7691">
        <v>5</v>
      </c>
      <c r="E7691" s="16">
        <v>1500.4</v>
      </c>
      <c r="F7691" s="1">
        <v>44627</v>
      </c>
      <c r="G7691" t="s">
        <v>2004</v>
      </c>
      <c r="H7691">
        <v>3</v>
      </c>
      <c r="I7691" s="12">
        <f>Table16[[#This Row],[price]]*Table16[[#This Row],[quantity]]</f>
        <v>7502</v>
      </c>
    </row>
    <row r="7692" spans="1:9" x14ac:dyDescent="0.3">
      <c r="A7692" t="s">
        <v>9709</v>
      </c>
      <c r="B7692" t="s">
        <v>1533</v>
      </c>
      <c r="C7692" t="s">
        <v>2024</v>
      </c>
      <c r="D7692">
        <v>1</v>
      </c>
      <c r="E7692" s="16">
        <v>35.840000000000003</v>
      </c>
      <c r="F7692" s="1">
        <v>44781</v>
      </c>
      <c r="G7692" t="s">
        <v>2002</v>
      </c>
      <c r="H7692">
        <v>4</v>
      </c>
      <c r="I7692" s="12">
        <f>Table16[[#This Row],[price]]*Table16[[#This Row],[quantity]]</f>
        <v>35.840000000000003</v>
      </c>
    </row>
    <row r="7693" spans="1:9" x14ac:dyDescent="0.3">
      <c r="A7693" t="s">
        <v>9707</v>
      </c>
      <c r="B7693" t="s">
        <v>1533</v>
      </c>
      <c r="C7693" t="s">
        <v>2011</v>
      </c>
      <c r="D7693">
        <v>4</v>
      </c>
      <c r="E7693" s="16">
        <v>162.63999999999999</v>
      </c>
      <c r="F7693" s="1">
        <v>44793</v>
      </c>
      <c r="G7693" t="s">
        <v>2027</v>
      </c>
      <c r="H7693">
        <v>3</v>
      </c>
      <c r="I7693" s="12">
        <f>Table16[[#This Row],[price]]*Table16[[#This Row],[quantity]]</f>
        <v>650.55999999999995</v>
      </c>
    </row>
    <row r="7694" spans="1:9" x14ac:dyDescent="0.3">
      <c r="A7694" t="s">
        <v>9708</v>
      </c>
      <c r="B7694" t="s">
        <v>1533</v>
      </c>
      <c r="C7694" t="s">
        <v>2008</v>
      </c>
      <c r="D7694">
        <v>5</v>
      </c>
      <c r="E7694" s="16">
        <v>26.15</v>
      </c>
      <c r="F7694" s="1">
        <v>44842</v>
      </c>
      <c r="G7694" t="s">
        <v>2041</v>
      </c>
      <c r="H7694">
        <v>5</v>
      </c>
      <c r="I7694" s="12">
        <f>Table16[[#This Row],[price]]*Table16[[#This Row],[quantity]]</f>
        <v>130.75</v>
      </c>
    </row>
    <row r="7695" spans="1:9" x14ac:dyDescent="0.3">
      <c r="A7695" t="s">
        <v>9712</v>
      </c>
      <c r="B7695" t="s">
        <v>1534</v>
      </c>
      <c r="C7695" t="s">
        <v>2006</v>
      </c>
      <c r="D7695">
        <v>1</v>
      </c>
      <c r="E7695" s="16">
        <v>15.15</v>
      </c>
      <c r="F7695" s="1">
        <v>44918</v>
      </c>
      <c r="G7695" t="s">
        <v>2004</v>
      </c>
      <c r="H7695">
        <v>5</v>
      </c>
      <c r="I7695" s="12">
        <f>Table16[[#This Row],[price]]*Table16[[#This Row],[quantity]]</f>
        <v>15.15</v>
      </c>
    </row>
    <row r="7696" spans="1:9" x14ac:dyDescent="0.3">
      <c r="A7696" t="s">
        <v>9711</v>
      </c>
      <c r="B7696" t="s">
        <v>1534</v>
      </c>
      <c r="C7696" t="s">
        <v>2008</v>
      </c>
      <c r="D7696">
        <v>5</v>
      </c>
      <c r="E7696" s="16">
        <v>26.15</v>
      </c>
      <c r="F7696" s="1">
        <v>44985</v>
      </c>
      <c r="G7696" t="s">
        <v>2020</v>
      </c>
      <c r="H7696">
        <v>3</v>
      </c>
      <c r="I7696" s="12">
        <f>Table16[[#This Row],[price]]*Table16[[#This Row],[quantity]]</f>
        <v>130.75</v>
      </c>
    </row>
    <row r="7697" spans="1:9" x14ac:dyDescent="0.3">
      <c r="A7697" t="s">
        <v>9716</v>
      </c>
      <c r="B7697" t="s">
        <v>1535</v>
      </c>
      <c r="C7697" t="s">
        <v>2011</v>
      </c>
      <c r="D7697">
        <v>4</v>
      </c>
      <c r="E7697" s="16">
        <v>162.63999999999999</v>
      </c>
      <c r="F7697" s="1">
        <v>44286</v>
      </c>
      <c r="G7697" t="s">
        <v>2064</v>
      </c>
      <c r="H7697">
        <v>2</v>
      </c>
      <c r="I7697" s="12">
        <f>Table16[[#This Row],[price]]*Table16[[#This Row],[quantity]]</f>
        <v>650.55999999999995</v>
      </c>
    </row>
    <row r="7698" spans="1:9" x14ac:dyDescent="0.3">
      <c r="A7698" t="s">
        <v>9713</v>
      </c>
      <c r="B7698" t="s">
        <v>1535</v>
      </c>
      <c r="C7698" t="s">
        <v>2008</v>
      </c>
      <c r="D7698">
        <v>3</v>
      </c>
      <c r="E7698" s="16">
        <v>15.69</v>
      </c>
      <c r="F7698" s="1">
        <v>44351</v>
      </c>
      <c r="G7698" t="s">
        <v>2041</v>
      </c>
      <c r="H7698">
        <v>4</v>
      </c>
      <c r="I7698" s="12">
        <f>Table16[[#This Row],[price]]*Table16[[#This Row],[quantity]]</f>
        <v>47.07</v>
      </c>
    </row>
    <row r="7699" spans="1:9" x14ac:dyDescent="0.3">
      <c r="A7699" t="s">
        <v>9714</v>
      </c>
      <c r="B7699" t="s">
        <v>1535</v>
      </c>
      <c r="C7699" t="s">
        <v>2001</v>
      </c>
      <c r="D7699">
        <v>5</v>
      </c>
      <c r="E7699" s="16">
        <v>1500.4</v>
      </c>
      <c r="F7699" s="1">
        <v>44359</v>
      </c>
      <c r="G7699" t="s">
        <v>2027</v>
      </c>
      <c r="H7699">
        <v>1</v>
      </c>
      <c r="I7699" s="12">
        <f>Table16[[#This Row],[price]]*Table16[[#This Row],[quantity]]</f>
        <v>7502</v>
      </c>
    </row>
    <row r="7700" spans="1:9" x14ac:dyDescent="0.3">
      <c r="A7700" t="s">
        <v>9715</v>
      </c>
      <c r="B7700" t="s">
        <v>1535</v>
      </c>
      <c r="C7700" t="s">
        <v>2001</v>
      </c>
      <c r="D7700">
        <v>5</v>
      </c>
      <c r="E7700" s="16">
        <v>1500.4</v>
      </c>
      <c r="F7700" s="1">
        <v>44636</v>
      </c>
      <c r="G7700" t="s">
        <v>2004</v>
      </c>
      <c r="H7700">
        <v>3</v>
      </c>
      <c r="I7700" s="12">
        <f>Table16[[#This Row],[price]]*Table16[[#This Row],[quantity]]</f>
        <v>7502</v>
      </c>
    </row>
    <row r="7701" spans="1:9" x14ac:dyDescent="0.3">
      <c r="A7701" t="s">
        <v>9717</v>
      </c>
      <c r="B7701" t="s">
        <v>1535</v>
      </c>
      <c r="C7701" t="s">
        <v>2001</v>
      </c>
      <c r="D7701">
        <v>4</v>
      </c>
      <c r="E7701" s="16">
        <v>1200.32</v>
      </c>
      <c r="F7701" s="1">
        <v>44940</v>
      </c>
      <c r="G7701" t="s">
        <v>2027</v>
      </c>
      <c r="H7701">
        <v>3</v>
      </c>
      <c r="I7701" s="12">
        <f>Table16[[#This Row],[price]]*Table16[[#This Row],[quantity]]</f>
        <v>4801.28</v>
      </c>
    </row>
    <row r="7702" spans="1:9" x14ac:dyDescent="0.3">
      <c r="A7702" t="s">
        <v>9718</v>
      </c>
      <c r="B7702" t="s">
        <v>1536</v>
      </c>
      <c r="C7702" t="s">
        <v>2001</v>
      </c>
      <c r="D7702">
        <v>4</v>
      </c>
      <c r="E7702" s="16">
        <v>1200.32</v>
      </c>
      <c r="F7702" s="1">
        <v>44478</v>
      </c>
      <c r="G7702" t="s">
        <v>2027</v>
      </c>
      <c r="H7702">
        <v>5</v>
      </c>
      <c r="I7702" s="12">
        <f>Table16[[#This Row],[price]]*Table16[[#This Row],[quantity]]</f>
        <v>4801.28</v>
      </c>
    </row>
    <row r="7703" spans="1:9" x14ac:dyDescent="0.3">
      <c r="A7703" t="s">
        <v>9720</v>
      </c>
      <c r="B7703" t="s">
        <v>1536</v>
      </c>
      <c r="C7703" t="s">
        <v>2001</v>
      </c>
      <c r="D7703">
        <v>5</v>
      </c>
      <c r="E7703" s="16">
        <v>1500.4</v>
      </c>
      <c r="F7703" s="1">
        <v>44519</v>
      </c>
      <c r="G7703" t="s">
        <v>2004</v>
      </c>
      <c r="H7703">
        <v>3</v>
      </c>
      <c r="I7703" s="12">
        <f>Table16[[#This Row],[price]]*Table16[[#This Row],[quantity]]</f>
        <v>7502</v>
      </c>
    </row>
    <row r="7704" spans="1:9" x14ac:dyDescent="0.3">
      <c r="A7704" t="s">
        <v>9719</v>
      </c>
      <c r="B7704" t="s">
        <v>1536</v>
      </c>
      <c r="C7704" t="s">
        <v>2015</v>
      </c>
      <c r="D7704">
        <v>5</v>
      </c>
      <c r="E7704" s="16">
        <v>3000.85</v>
      </c>
      <c r="F7704" s="1">
        <v>44740</v>
      </c>
      <c r="G7704" t="s">
        <v>2020</v>
      </c>
      <c r="H7704">
        <v>3</v>
      </c>
      <c r="I7704" s="12">
        <f>Table16[[#This Row],[price]]*Table16[[#This Row],[quantity]]</f>
        <v>15004.25</v>
      </c>
    </row>
    <row r="7705" spans="1:9" x14ac:dyDescent="0.3">
      <c r="A7705" t="s">
        <v>9724</v>
      </c>
      <c r="B7705" t="s">
        <v>1537</v>
      </c>
      <c r="C7705" t="s">
        <v>2011</v>
      </c>
      <c r="D7705">
        <v>3</v>
      </c>
      <c r="E7705" s="16">
        <v>121.98</v>
      </c>
      <c r="F7705" s="1">
        <v>44247</v>
      </c>
      <c r="G7705" t="s">
        <v>2012</v>
      </c>
      <c r="H7705">
        <v>4</v>
      </c>
      <c r="I7705" s="12">
        <f>Table16[[#This Row],[price]]*Table16[[#This Row],[quantity]]</f>
        <v>365.94</v>
      </c>
    </row>
    <row r="7706" spans="1:9" x14ac:dyDescent="0.3">
      <c r="A7706" t="s">
        <v>9728</v>
      </c>
      <c r="B7706" t="s">
        <v>1537</v>
      </c>
      <c r="C7706" t="s">
        <v>2001</v>
      </c>
      <c r="D7706">
        <v>4</v>
      </c>
      <c r="E7706" s="16">
        <v>1200.32</v>
      </c>
      <c r="F7706" s="1">
        <v>44513</v>
      </c>
      <c r="G7706" t="s">
        <v>2004</v>
      </c>
      <c r="H7706">
        <v>4</v>
      </c>
      <c r="I7706" s="12">
        <f>Table16[[#This Row],[price]]*Table16[[#This Row],[quantity]]</f>
        <v>4801.28</v>
      </c>
    </row>
    <row r="7707" spans="1:9" x14ac:dyDescent="0.3">
      <c r="A7707" t="s">
        <v>9726</v>
      </c>
      <c r="B7707" t="s">
        <v>1537</v>
      </c>
      <c r="C7707" t="s">
        <v>2015</v>
      </c>
      <c r="D7707">
        <v>1</v>
      </c>
      <c r="E7707" s="16">
        <v>600.16999999999996</v>
      </c>
      <c r="F7707" s="1">
        <v>44754</v>
      </c>
      <c r="G7707" t="s">
        <v>2064</v>
      </c>
      <c r="H7707">
        <v>3</v>
      </c>
      <c r="I7707" s="12">
        <f>Table16[[#This Row],[price]]*Table16[[#This Row],[quantity]]</f>
        <v>600.16999999999996</v>
      </c>
    </row>
    <row r="7708" spans="1:9" x14ac:dyDescent="0.3">
      <c r="A7708" t="s">
        <v>9722</v>
      </c>
      <c r="B7708" t="s">
        <v>1537</v>
      </c>
      <c r="C7708" t="s">
        <v>2008</v>
      </c>
      <c r="D7708">
        <v>3</v>
      </c>
      <c r="E7708" s="16">
        <v>15.69</v>
      </c>
      <c r="F7708" s="1">
        <v>44772</v>
      </c>
      <c r="G7708" t="s">
        <v>2027</v>
      </c>
      <c r="H7708">
        <v>2</v>
      </c>
      <c r="I7708" s="12">
        <f>Table16[[#This Row],[price]]*Table16[[#This Row],[quantity]]</f>
        <v>47.07</v>
      </c>
    </row>
    <row r="7709" spans="1:9" x14ac:dyDescent="0.3">
      <c r="A7709" t="s">
        <v>9727</v>
      </c>
      <c r="B7709" t="s">
        <v>1537</v>
      </c>
      <c r="C7709" t="s">
        <v>2011</v>
      </c>
      <c r="D7709">
        <v>5</v>
      </c>
      <c r="E7709" s="16">
        <v>203.3</v>
      </c>
      <c r="F7709" s="1">
        <v>44845</v>
      </c>
      <c r="G7709" t="s">
        <v>2012</v>
      </c>
      <c r="H7709">
        <v>5</v>
      </c>
      <c r="I7709" s="12">
        <f>Table16[[#This Row],[price]]*Table16[[#This Row],[quantity]]</f>
        <v>1016.5</v>
      </c>
    </row>
    <row r="7710" spans="1:9" x14ac:dyDescent="0.3">
      <c r="A7710" t="s">
        <v>9725</v>
      </c>
      <c r="B7710" t="s">
        <v>1537</v>
      </c>
      <c r="C7710" t="s">
        <v>2011</v>
      </c>
      <c r="D7710">
        <v>5</v>
      </c>
      <c r="E7710" s="16">
        <v>203.3</v>
      </c>
      <c r="F7710" s="1">
        <v>44851</v>
      </c>
      <c r="G7710" t="s">
        <v>2027</v>
      </c>
      <c r="H7710">
        <v>4</v>
      </c>
      <c r="I7710" s="12">
        <f>Table16[[#This Row],[price]]*Table16[[#This Row],[quantity]]</f>
        <v>1016.5</v>
      </c>
    </row>
    <row r="7711" spans="1:9" x14ac:dyDescent="0.3">
      <c r="A7711" t="s">
        <v>9729</v>
      </c>
      <c r="B7711" t="s">
        <v>1537</v>
      </c>
      <c r="C7711" t="s">
        <v>2001</v>
      </c>
      <c r="D7711">
        <v>5</v>
      </c>
      <c r="E7711" s="16">
        <v>1500.4</v>
      </c>
      <c r="F7711" s="1">
        <v>44864</v>
      </c>
      <c r="G7711" t="s">
        <v>2004</v>
      </c>
      <c r="H7711">
        <v>4</v>
      </c>
      <c r="I7711" s="12">
        <f>Table16[[#This Row],[price]]*Table16[[#This Row],[quantity]]</f>
        <v>7502</v>
      </c>
    </row>
    <row r="7712" spans="1:9" x14ac:dyDescent="0.3">
      <c r="A7712" t="s">
        <v>9723</v>
      </c>
      <c r="B7712" t="s">
        <v>1537</v>
      </c>
      <c r="C7712" t="s">
        <v>2001</v>
      </c>
      <c r="D7712">
        <v>3</v>
      </c>
      <c r="E7712" s="16">
        <v>900.24</v>
      </c>
      <c r="F7712" s="1">
        <v>44879</v>
      </c>
      <c r="G7712" t="s">
        <v>2004</v>
      </c>
      <c r="H7712">
        <v>2</v>
      </c>
      <c r="I7712" s="12">
        <f>Table16[[#This Row],[price]]*Table16[[#This Row],[quantity]]</f>
        <v>2700.7200000000003</v>
      </c>
    </row>
    <row r="7713" spans="1:9" x14ac:dyDescent="0.3">
      <c r="A7713" t="s">
        <v>9721</v>
      </c>
      <c r="B7713" t="s">
        <v>1537</v>
      </c>
      <c r="C7713" t="s">
        <v>2024</v>
      </c>
      <c r="D7713">
        <v>5</v>
      </c>
      <c r="E7713" s="16">
        <v>179.2</v>
      </c>
      <c r="F7713" s="1">
        <v>44947</v>
      </c>
      <c r="G7713" t="s">
        <v>2004</v>
      </c>
      <c r="H7713">
        <v>5</v>
      </c>
      <c r="I7713" s="12">
        <f>Table16[[#This Row],[price]]*Table16[[#This Row],[quantity]]</f>
        <v>896</v>
      </c>
    </row>
    <row r="7714" spans="1:9" x14ac:dyDescent="0.3">
      <c r="A7714" t="s">
        <v>9730</v>
      </c>
      <c r="B7714" t="s">
        <v>1538</v>
      </c>
      <c r="C7714" t="s">
        <v>2024</v>
      </c>
      <c r="D7714">
        <v>1</v>
      </c>
      <c r="E7714" s="16">
        <v>35.840000000000003</v>
      </c>
      <c r="F7714" s="1">
        <v>44209</v>
      </c>
      <c r="G7714" t="s">
        <v>2002</v>
      </c>
      <c r="H7714">
        <v>3</v>
      </c>
      <c r="I7714" s="12">
        <f>Table16[[#This Row],[price]]*Table16[[#This Row],[quantity]]</f>
        <v>35.840000000000003</v>
      </c>
    </row>
    <row r="7715" spans="1:9" x14ac:dyDescent="0.3">
      <c r="A7715" t="s">
        <v>9731</v>
      </c>
      <c r="B7715" t="s">
        <v>1538</v>
      </c>
      <c r="C7715" t="s">
        <v>2008</v>
      </c>
      <c r="D7715">
        <v>1</v>
      </c>
      <c r="E7715" s="16">
        <v>5.23</v>
      </c>
      <c r="F7715" s="1">
        <v>44462</v>
      </c>
      <c r="G7715" t="s">
        <v>2058</v>
      </c>
      <c r="H7715">
        <v>1</v>
      </c>
      <c r="I7715" s="12">
        <f>Table16[[#This Row],[price]]*Table16[[#This Row],[quantity]]</f>
        <v>5.23</v>
      </c>
    </row>
    <row r="7716" spans="1:9" x14ac:dyDescent="0.3">
      <c r="A7716" t="s">
        <v>9733</v>
      </c>
      <c r="B7716" t="s">
        <v>1538</v>
      </c>
      <c r="C7716" t="s">
        <v>2001</v>
      </c>
      <c r="D7716">
        <v>2</v>
      </c>
      <c r="E7716" s="16">
        <v>600.16</v>
      </c>
      <c r="F7716" s="1">
        <v>44605</v>
      </c>
      <c r="G7716" t="s">
        <v>2027</v>
      </c>
      <c r="H7716">
        <v>1</v>
      </c>
      <c r="I7716" s="12">
        <f>Table16[[#This Row],[price]]*Table16[[#This Row],[quantity]]</f>
        <v>1200.32</v>
      </c>
    </row>
    <row r="7717" spans="1:9" x14ac:dyDescent="0.3">
      <c r="A7717" t="s">
        <v>9732</v>
      </c>
      <c r="B7717" t="s">
        <v>1538</v>
      </c>
      <c r="C7717" t="s">
        <v>2001</v>
      </c>
      <c r="D7717">
        <v>2</v>
      </c>
      <c r="E7717" s="16">
        <v>600.16</v>
      </c>
      <c r="F7717" s="1">
        <v>44976</v>
      </c>
      <c r="G7717" t="s">
        <v>2058</v>
      </c>
      <c r="H7717">
        <v>1</v>
      </c>
      <c r="I7717" s="12">
        <f>Table16[[#This Row],[price]]*Table16[[#This Row],[quantity]]</f>
        <v>1200.32</v>
      </c>
    </row>
    <row r="7718" spans="1:9" x14ac:dyDescent="0.3">
      <c r="A7718" t="s">
        <v>9734</v>
      </c>
      <c r="B7718" t="s">
        <v>1539</v>
      </c>
      <c r="C7718" t="s">
        <v>2011</v>
      </c>
      <c r="D7718">
        <v>4</v>
      </c>
      <c r="E7718" s="16">
        <v>162.63999999999999</v>
      </c>
      <c r="F7718" s="1">
        <v>44281</v>
      </c>
      <c r="G7718" t="s">
        <v>2041</v>
      </c>
      <c r="H7718">
        <v>2</v>
      </c>
      <c r="I7718" s="12">
        <f>Table16[[#This Row],[price]]*Table16[[#This Row],[quantity]]</f>
        <v>650.55999999999995</v>
      </c>
    </row>
    <row r="7719" spans="1:9" x14ac:dyDescent="0.3">
      <c r="A7719" t="s">
        <v>9735</v>
      </c>
      <c r="B7719" t="s">
        <v>1539</v>
      </c>
      <c r="C7719" t="s">
        <v>2001</v>
      </c>
      <c r="D7719">
        <v>1</v>
      </c>
      <c r="E7719" s="16">
        <v>300.08</v>
      </c>
      <c r="F7719" s="1">
        <v>44751</v>
      </c>
      <c r="G7719" t="s">
        <v>2058</v>
      </c>
      <c r="H7719">
        <v>3</v>
      </c>
      <c r="I7719" s="12">
        <f>Table16[[#This Row],[price]]*Table16[[#This Row],[quantity]]</f>
        <v>300.08</v>
      </c>
    </row>
    <row r="7720" spans="1:9" x14ac:dyDescent="0.3">
      <c r="A7720" t="s">
        <v>9740</v>
      </c>
      <c r="B7720" t="s">
        <v>1540</v>
      </c>
      <c r="C7720" t="s">
        <v>2008</v>
      </c>
      <c r="D7720">
        <v>3</v>
      </c>
      <c r="E7720" s="16">
        <v>15.69</v>
      </c>
      <c r="F7720" s="1">
        <v>44304</v>
      </c>
      <c r="G7720" t="s">
        <v>2041</v>
      </c>
      <c r="H7720">
        <v>3</v>
      </c>
      <c r="I7720" s="12">
        <f>Table16[[#This Row],[price]]*Table16[[#This Row],[quantity]]</f>
        <v>47.07</v>
      </c>
    </row>
    <row r="7721" spans="1:9" x14ac:dyDescent="0.3">
      <c r="A7721" t="s">
        <v>9742</v>
      </c>
      <c r="B7721" t="s">
        <v>1540</v>
      </c>
      <c r="C7721" t="s">
        <v>2001</v>
      </c>
      <c r="D7721">
        <v>4</v>
      </c>
      <c r="E7721" s="16">
        <v>1200.32</v>
      </c>
      <c r="F7721" s="1">
        <v>44334</v>
      </c>
      <c r="G7721" t="s">
        <v>2004</v>
      </c>
      <c r="H7721">
        <v>1</v>
      </c>
      <c r="I7721" s="12">
        <f>Table16[[#This Row],[price]]*Table16[[#This Row],[quantity]]</f>
        <v>4801.28</v>
      </c>
    </row>
    <row r="7722" spans="1:9" x14ac:dyDescent="0.3">
      <c r="A7722" t="s">
        <v>9736</v>
      </c>
      <c r="B7722" t="s">
        <v>1540</v>
      </c>
      <c r="C7722" t="s">
        <v>2001</v>
      </c>
      <c r="D7722">
        <v>3</v>
      </c>
      <c r="E7722" s="16">
        <v>900.24</v>
      </c>
      <c r="F7722" s="1">
        <v>44397</v>
      </c>
      <c r="G7722" t="s">
        <v>2002</v>
      </c>
      <c r="H7722">
        <v>3</v>
      </c>
      <c r="I7722" s="12">
        <f>Table16[[#This Row],[price]]*Table16[[#This Row],[quantity]]</f>
        <v>2700.7200000000003</v>
      </c>
    </row>
    <row r="7723" spans="1:9" x14ac:dyDescent="0.3">
      <c r="A7723" t="s">
        <v>9738</v>
      </c>
      <c r="B7723" t="s">
        <v>1540</v>
      </c>
      <c r="C7723" t="s">
        <v>2011</v>
      </c>
      <c r="D7723">
        <v>2</v>
      </c>
      <c r="E7723" s="16">
        <v>81.319999999999993</v>
      </c>
      <c r="F7723" s="1">
        <v>44524</v>
      </c>
      <c r="G7723" t="s">
        <v>2002</v>
      </c>
      <c r="H7723">
        <v>5</v>
      </c>
      <c r="I7723" s="12">
        <f>Table16[[#This Row],[price]]*Table16[[#This Row],[quantity]]</f>
        <v>162.63999999999999</v>
      </c>
    </row>
    <row r="7724" spans="1:9" x14ac:dyDescent="0.3">
      <c r="A7724" t="s">
        <v>9737</v>
      </c>
      <c r="B7724" t="s">
        <v>1540</v>
      </c>
      <c r="C7724" t="s">
        <v>2015</v>
      </c>
      <c r="D7724">
        <v>4</v>
      </c>
      <c r="E7724" s="16">
        <v>2400.6799999999998</v>
      </c>
      <c r="F7724" s="1">
        <v>44632</v>
      </c>
      <c r="G7724" t="s">
        <v>2020</v>
      </c>
      <c r="H7724">
        <v>3</v>
      </c>
      <c r="I7724" s="12">
        <f>Table16[[#This Row],[price]]*Table16[[#This Row],[quantity]]</f>
        <v>9602.7199999999993</v>
      </c>
    </row>
    <row r="7725" spans="1:9" x14ac:dyDescent="0.3">
      <c r="A7725" t="s">
        <v>9741</v>
      </c>
      <c r="B7725" t="s">
        <v>1540</v>
      </c>
      <c r="C7725" t="s">
        <v>2001</v>
      </c>
      <c r="D7725">
        <v>3</v>
      </c>
      <c r="E7725" s="16">
        <v>900.24</v>
      </c>
      <c r="F7725" s="1">
        <v>44868</v>
      </c>
      <c r="G7725" t="s">
        <v>2064</v>
      </c>
      <c r="H7725">
        <v>2</v>
      </c>
      <c r="I7725" s="12">
        <f>Table16[[#This Row],[price]]*Table16[[#This Row],[quantity]]</f>
        <v>2700.7200000000003</v>
      </c>
    </row>
    <row r="7726" spans="1:9" x14ac:dyDescent="0.3">
      <c r="A7726" t="s">
        <v>9739</v>
      </c>
      <c r="B7726" t="s">
        <v>1540</v>
      </c>
      <c r="C7726" t="s">
        <v>2011</v>
      </c>
      <c r="D7726">
        <v>2</v>
      </c>
      <c r="E7726" s="16">
        <v>81.319999999999993</v>
      </c>
      <c r="F7726" s="1">
        <v>44990</v>
      </c>
      <c r="G7726" t="s">
        <v>2004</v>
      </c>
      <c r="H7726">
        <v>5</v>
      </c>
      <c r="I7726" s="12">
        <f>Table16[[#This Row],[price]]*Table16[[#This Row],[quantity]]</f>
        <v>162.63999999999999</v>
      </c>
    </row>
    <row r="7727" spans="1:9" x14ac:dyDescent="0.3">
      <c r="A7727" t="s">
        <v>9745</v>
      </c>
      <c r="B7727" t="s">
        <v>1541</v>
      </c>
      <c r="C7727" t="s">
        <v>2011</v>
      </c>
      <c r="D7727">
        <v>3</v>
      </c>
      <c r="E7727" s="16">
        <v>121.98</v>
      </c>
      <c r="F7727" s="1">
        <v>44229</v>
      </c>
      <c r="G7727" t="s">
        <v>2064</v>
      </c>
      <c r="H7727">
        <v>2</v>
      </c>
      <c r="I7727" s="12">
        <f>Table16[[#This Row],[price]]*Table16[[#This Row],[quantity]]</f>
        <v>365.94</v>
      </c>
    </row>
    <row r="7728" spans="1:9" x14ac:dyDescent="0.3">
      <c r="A7728" t="s">
        <v>9743</v>
      </c>
      <c r="B7728" t="s">
        <v>1541</v>
      </c>
      <c r="C7728" t="s">
        <v>2057</v>
      </c>
      <c r="D7728">
        <v>2</v>
      </c>
      <c r="E7728" s="16">
        <v>23.46</v>
      </c>
      <c r="F7728" s="1">
        <v>44286</v>
      </c>
      <c r="G7728" t="s">
        <v>2027</v>
      </c>
      <c r="H7728">
        <v>4</v>
      </c>
      <c r="I7728" s="12">
        <f>Table16[[#This Row],[price]]*Table16[[#This Row],[quantity]]</f>
        <v>46.92</v>
      </c>
    </row>
    <row r="7729" spans="1:9" x14ac:dyDescent="0.3">
      <c r="A7729" t="s">
        <v>9746</v>
      </c>
      <c r="B7729" t="s">
        <v>1541</v>
      </c>
      <c r="C7729" t="s">
        <v>2011</v>
      </c>
      <c r="D7729">
        <v>4</v>
      </c>
      <c r="E7729" s="16">
        <v>162.63999999999999</v>
      </c>
      <c r="F7729" s="1">
        <v>44337</v>
      </c>
      <c r="G7729" t="s">
        <v>2027</v>
      </c>
      <c r="H7729">
        <v>4</v>
      </c>
      <c r="I7729" s="12">
        <f>Table16[[#This Row],[price]]*Table16[[#This Row],[quantity]]</f>
        <v>650.55999999999995</v>
      </c>
    </row>
    <row r="7730" spans="1:9" x14ac:dyDescent="0.3">
      <c r="A7730" t="s">
        <v>9744</v>
      </c>
      <c r="B7730" t="s">
        <v>1541</v>
      </c>
      <c r="C7730" t="s">
        <v>2006</v>
      </c>
      <c r="D7730">
        <v>2</v>
      </c>
      <c r="E7730" s="16">
        <v>30.3</v>
      </c>
      <c r="F7730" s="1">
        <v>44832</v>
      </c>
      <c r="G7730" t="s">
        <v>2058</v>
      </c>
      <c r="H7730">
        <v>2</v>
      </c>
      <c r="I7730" s="12">
        <f>Table16[[#This Row],[price]]*Table16[[#This Row],[quantity]]</f>
        <v>60.6</v>
      </c>
    </row>
    <row r="7731" spans="1:9" x14ac:dyDescent="0.3">
      <c r="A7731" t="s">
        <v>9747</v>
      </c>
      <c r="B7731" t="s">
        <v>1542</v>
      </c>
      <c r="C7731" t="s">
        <v>2001</v>
      </c>
      <c r="D7731">
        <v>2</v>
      </c>
      <c r="E7731" s="16">
        <v>600.16</v>
      </c>
      <c r="F7731" s="1">
        <v>44351</v>
      </c>
      <c r="G7731" t="s">
        <v>2027</v>
      </c>
      <c r="H7731">
        <v>1</v>
      </c>
      <c r="I7731" s="12">
        <f>Table16[[#This Row],[price]]*Table16[[#This Row],[quantity]]</f>
        <v>1200.32</v>
      </c>
    </row>
    <row r="7732" spans="1:9" x14ac:dyDescent="0.3">
      <c r="A7732" t="s">
        <v>9749</v>
      </c>
      <c r="B7732" t="s">
        <v>1542</v>
      </c>
      <c r="C7732" t="s">
        <v>2001</v>
      </c>
      <c r="D7732">
        <v>5</v>
      </c>
      <c r="E7732" s="16">
        <v>1500.4</v>
      </c>
      <c r="F7732" s="1">
        <v>44468</v>
      </c>
      <c r="G7732" t="s">
        <v>2020</v>
      </c>
      <c r="H7732">
        <v>5</v>
      </c>
      <c r="I7732" s="12">
        <f>Table16[[#This Row],[price]]*Table16[[#This Row],[quantity]]</f>
        <v>7502</v>
      </c>
    </row>
    <row r="7733" spans="1:9" x14ac:dyDescent="0.3">
      <c r="A7733" t="s">
        <v>9755</v>
      </c>
      <c r="B7733" t="s">
        <v>1542</v>
      </c>
      <c r="C7733" t="s">
        <v>2015</v>
      </c>
      <c r="D7733">
        <v>3</v>
      </c>
      <c r="E7733" s="16">
        <v>1800.51</v>
      </c>
      <c r="F7733" s="1">
        <v>44538</v>
      </c>
      <c r="G7733" t="s">
        <v>2012</v>
      </c>
      <c r="H7733">
        <v>2</v>
      </c>
      <c r="I7733" s="12">
        <f>Table16[[#This Row],[price]]*Table16[[#This Row],[quantity]]</f>
        <v>5401.53</v>
      </c>
    </row>
    <row r="7734" spans="1:9" x14ac:dyDescent="0.3">
      <c r="A7734" t="s">
        <v>9748</v>
      </c>
      <c r="B7734" t="s">
        <v>1542</v>
      </c>
      <c r="C7734" t="s">
        <v>2008</v>
      </c>
      <c r="D7734">
        <v>1</v>
      </c>
      <c r="E7734" s="16">
        <v>5.23</v>
      </c>
      <c r="F7734" s="1">
        <v>44599</v>
      </c>
      <c r="G7734" t="s">
        <v>2002</v>
      </c>
      <c r="H7734">
        <v>5</v>
      </c>
      <c r="I7734" s="12">
        <f>Table16[[#This Row],[price]]*Table16[[#This Row],[quantity]]</f>
        <v>5.23</v>
      </c>
    </row>
    <row r="7735" spans="1:9" x14ac:dyDescent="0.3">
      <c r="A7735" t="s">
        <v>9753</v>
      </c>
      <c r="B7735" t="s">
        <v>1542</v>
      </c>
      <c r="C7735" t="s">
        <v>2001</v>
      </c>
      <c r="D7735">
        <v>1</v>
      </c>
      <c r="E7735" s="16">
        <v>300.08</v>
      </c>
      <c r="F7735" s="1">
        <v>44645</v>
      </c>
      <c r="G7735" t="s">
        <v>2027</v>
      </c>
      <c r="H7735">
        <v>4</v>
      </c>
      <c r="I7735" s="12">
        <f>Table16[[#This Row],[price]]*Table16[[#This Row],[quantity]]</f>
        <v>300.08</v>
      </c>
    </row>
    <row r="7736" spans="1:9" x14ac:dyDescent="0.3">
      <c r="A7736" t="s">
        <v>9751</v>
      </c>
      <c r="B7736" t="s">
        <v>1542</v>
      </c>
      <c r="C7736" t="s">
        <v>2024</v>
      </c>
      <c r="D7736">
        <v>3</v>
      </c>
      <c r="E7736" s="16">
        <v>107.52</v>
      </c>
      <c r="F7736" s="1">
        <v>44676</v>
      </c>
      <c r="G7736" t="s">
        <v>2020</v>
      </c>
      <c r="H7736">
        <v>4</v>
      </c>
      <c r="I7736" s="12">
        <f>Table16[[#This Row],[price]]*Table16[[#This Row],[quantity]]</f>
        <v>322.56</v>
      </c>
    </row>
    <row r="7737" spans="1:9" x14ac:dyDescent="0.3">
      <c r="A7737" t="s">
        <v>9757</v>
      </c>
      <c r="B7737" t="s">
        <v>1542</v>
      </c>
      <c r="C7737" t="s">
        <v>2001</v>
      </c>
      <c r="D7737">
        <v>4</v>
      </c>
      <c r="E7737" s="16">
        <v>1200.32</v>
      </c>
      <c r="F7737" s="1">
        <v>44707</v>
      </c>
      <c r="G7737" t="s">
        <v>2004</v>
      </c>
      <c r="H7737">
        <v>5</v>
      </c>
      <c r="I7737" s="12">
        <f>Table16[[#This Row],[price]]*Table16[[#This Row],[quantity]]</f>
        <v>4801.28</v>
      </c>
    </row>
    <row r="7738" spans="1:9" x14ac:dyDescent="0.3">
      <c r="A7738" t="s">
        <v>9750</v>
      </c>
      <c r="B7738" t="s">
        <v>1542</v>
      </c>
      <c r="C7738" t="s">
        <v>2024</v>
      </c>
      <c r="D7738">
        <v>3</v>
      </c>
      <c r="E7738" s="16">
        <v>107.52</v>
      </c>
      <c r="F7738" s="1">
        <v>44743</v>
      </c>
      <c r="G7738" t="s">
        <v>2027</v>
      </c>
      <c r="H7738">
        <v>1</v>
      </c>
      <c r="I7738" s="12">
        <f>Table16[[#This Row],[price]]*Table16[[#This Row],[quantity]]</f>
        <v>322.56</v>
      </c>
    </row>
    <row r="7739" spans="1:9" x14ac:dyDescent="0.3">
      <c r="A7739" t="s">
        <v>9756</v>
      </c>
      <c r="B7739" t="s">
        <v>1542</v>
      </c>
      <c r="C7739" t="s">
        <v>2017</v>
      </c>
      <c r="D7739">
        <v>5</v>
      </c>
      <c r="E7739" s="16">
        <v>5250</v>
      </c>
      <c r="F7739" s="1">
        <v>44759</v>
      </c>
      <c r="G7739" t="s">
        <v>2009</v>
      </c>
      <c r="H7739">
        <v>4</v>
      </c>
      <c r="I7739" s="12">
        <f>Table16[[#This Row],[price]]*Table16[[#This Row],[quantity]]</f>
        <v>26250</v>
      </c>
    </row>
    <row r="7740" spans="1:9" x14ac:dyDescent="0.3">
      <c r="A7740" t="s">
        <v>9752</v>
      </c>
      <c r="B7740" t="s">
        <v>1542</v>
      </c>
      <c r="C7740" t="s">
        <v>2001</v>
      </c>
      <c r="D7740">
        <v>2</v>
      </c>
      <c r="E7740" s="16">
        <v>600.16</v>
      </c>
      <c r="F7740" s="1">
        <v>44780</v>
      </c>
      <c r="G7740" t="s">
        <v>2009</v>
      </c>
      <c r="H7740">
        <v>1</v>
      </c>
      <c r="I7740" s="12">
        <f>Table16[[#This Row],[price]]*Table16[[#This Row],[quantity]]</f>
        <v>1200.32</v>
      </c>
    </row>
    <row r="7741" spans="1:9" x14ac:dyDescent="0.3">
      <c r="A7741" t="s">
        <v>9754</v>
      </c>
      <c r="B7741" t="s">
        <v>1542</v>
      </c>
      <c r="C7741" t="s">
        <v>2001</v>
      </c>
      <c r="D7741">
        <v>4</v>
      </c>
      <c r="E7741" s="16">
        <v>1200.32</v>
      </c>
      <c r="F7741" s="1">
        <v>44867</v>
      </c>
      <c r="G7741" t="s">
        <v>2027</v>
      </c>
      <c r="H7741">
        <v>3</v>
      </c>
      <c r="I7741" s="12">
        <f>Table16[[#This Row],[price]]*Table16[[#This Row],[quantity]]</f>
        <v>4801.28</v>
      </c>
    </row>
    <row r="7742" spans="1:9" x14ac:dyDescent="0.3">
      <c r="A7742" t="s">
        <v>9768</v>
      </c>
      <c r="B7742" t="s">
        <v>1543</v>
      </c>
      <c r="C7742" t="s">
        <v>2001</v>
      </c>
      <c r="D7742">
        <v>1</v>
      </c>
      <c r="E7742" s="16">
        <v>300.08</v>
      </c>
      <c r="F7742" s="1">
        <v>44295</v>
      </c>
      <c r="G7742" t="s">
        <v>2018</v>
      </c>
      <c r="H7742">
        <v>5</v>
      </c>
      <c r="I7742" s="12">
        <f>Table16[[#This Row],[price]]*Table16[[#This Row],[quantity]]</f>
        <v>300.08</v>
      </c>
    </row>
    <row r="7743" spans="1:9" x14ac:dyDescent="0.3">
      <c r="A7743" t="s">
        <v>9767</v>
      </c>
      <c r="B7743" t="s">
        <v>1543</v>
      </c>
      <c r="C7743" t="s">
        <v>2024</v>
      </c>
      <c r="D7743">
        <v>1</v>
      </c>
      <c r="E7743" s="16">
        <v>35.840000000000003</v>
      </c>
      <c r="F7743" s="1">
        <v>44341</v>
      </c>
      <c r="G7743" t="s">
        <v>2020</v>
      </c>
      <c r="H7743">
        <v>4</v>
      </c>
      <c r="I7743" s="12">
        <f>Table16[[#This Row],[price]]*Table16[[#This Row],[quantity]]</f>
        <v>35.840000000000003</v>
      </c>
    </row>
    <row r="7744" spans="1:9" x14ac:dyDescent="0.3">
      <c r="A7744" t="s">
        <v>9759</v>
      </c>
      <c r="B7744" t="s">
        <v>1543</v>
      </c>
      <c r="C7744" t="s">
        <v>2015</v>
      </c>
      <c r="D7744">
        <v>2</v>
      </c>
      <c r="E7744" s="16">
        <v>1200.3399999999999</v>
      </c>
      <c r="F7744" s="1">
        <v>44379</v>
      </c>
      <c r="G7744" t="s">
        <v>2058</v>
      </c>
      <c r="H7744">
        <v>4</v>
      </c>
      <c r="I7744" s="12">
        <f>Table16[[#This Row],[price]]*Table16[[#This Row],[quantity]]</f>
        <v>2400.6799999999998</v>
      </c>
    </row>
    <row r="7745" spans="1:9" x14ac:dyDescent="0.3">
      <c r="A7745" t="s">
        <v>9763</v>
      </c>
      <c r="B7745" t="s">
        <v>1543</v>
      </c>
      <c r="C7745" t="s">
        <v>2001</v>
      </c>
      <c r="D7745">
        <v>4</v>
      </c>
      <c r="E7745" s="16">
        <v>1200.32</v>
      </c>
      <c r="F7745" s="1">
        <v>44400</v>
      </c>
      <c r="G7745" t="s">
        <v>2027</v>
      </c>
      <c r="H7745">
        <v>5</v>
      </c>
      <c r="I7745" s="12">
        <f>Table16[[#This Row],[price]]*Table16[[#This Row],[quantity]]</f>
        <v>4801.28</v>
      </c>
    </row>
    <row r="7746" spans="1:9" x14ac:dyDescent="0.3">
      <c r="A7746" t="s">
        <v>9760</v>
      </c>
      <c r="B7746" t="s">
        <v>1543</v>
      </c>
      <c r="C7746" t="s">
        <v>2001</v>
      </c>
      <c r="D7746">
        <v>5</v>
      </c>
      <c r="E7746" s="16">
        <v>1500.4</v>
      </c>
      <c r="F7746" s="1">
        <v>44459</v>
      </c>
      <c r="G7746" t="s">
        <v>2041</v>
      </c>
      <c r="H7746">
        <v>1</v>
      </c>
      <c r="I7746" s="12">
        <f>Table16[[#This Row],[price]]*Table16[[#This Row],[quantity]]</f>
        <v>7502</v>
      </c>
    </row>
    <row r="7747" spans="1:9" x14ac:dyDescent="0.3">
      <c r="A7747" t="s">
        <v>9761</v>
      </c>
      <c r="B7747" t="s">
        <v>1543</v>
      </c>
      <c r="C7747" t="s">
        <v>2011</v>
      </c>
      <c r="D7747">
        <v>4</v>
      </c>
      <c r="E7747" s="16">
        <v>162.63999999999999</v>
      </c>
      <c r="F7747" s="1">
        <v>44504</v>
      </c>
      <c r="G7747" t="s">
        <v>2027</v>
      </c>
      <c r="H7747">
        <v>2</v>
      </c>
      <c r="I7747" s="12">
        <f>Table16[[#This Row],[price]]*Table16[[#This Row],[quantity]]</f>
        <v>650.55999999999995</v>
      </c>
    </row>
    <row r="7748" spans="1:9" x14ac:dyDescent="0.3">
      <c r="A7748" t="s">
        <v>9762</v>
      </c>
      <c r="B7748" t="s">
        <v>1543</v>
      </c>
      <c r="C7748" t="s">
        <v>2008</v>
      </c>
      <c r="D7748">
        <v>3</v>
      </c>
      <c r="E7748" s="16">
        <v>15.69</v>
      </c>
      <c r="F7748" s="1">
        <v>44534</v>
      </c>
      <c r="G7748" t="s">
        <v>2027</v>
      </c>
      <c r="H7748">
        <v>4</v>
      </c>
      <c r="I7748" s="12">
        <f>Table16[[#This Row],[price]]*Table16[[#This Row],[quantity]]</f>
        <v>47.07</v>
      </c>
    </row>
    <row r="7749" spans="1:9" x14ac:dyDescent="0.3">
      <c r="A7749" t="s">
        <v>9764</v>
      </c>
      <c r="B7749" t="s">
        <v>1543</v>
      </c>
      <c r="C7749" t="s">
        <v>2015</v>
      </c>
      <c r="D7749">
        <v>3</v>
      </c>
      <c r="E7749" s="16">
        <v>1800.51</v>
      </c>
      <c r="F7749" s="1">
        <v>44562</v>
      </c>
      <c r="G7749" t="s">
        <v>2064</v>
      </c>
      <c r="H7749">
        <v>3</v>
      </c>
      <c r="I7749" s="12">
        <f>Table16[[#This Row],[price]]*Table16[[#This Row],[quantity]]</f>
        <v>5401.53</v>
      </c>
    </row>
    <row r="7750" spans="1:9" x14ac:dyDescent="0.3">
      <c r="A7750" t="s">
        <v>9766</v>
      </c>
      <c r="B7750" t="s">
        <v>1543</v>
      </c>
      <c r="C7750" t="s">
        <v>2001</v>
      </c>
      <c r="D7750">
        <v>3</v>
      </c>
      <c r="E7750" s="16">
        <v>900.24</v>
      </c>
      <c r="F7750" s="1">
        <v>44649</v>
      </c>
      <c r="G7750" t="s">
        <v>2027</v>
      </c>
      <c r="H7750">
        <v>2</v>
      </c>
      <c r="I7750" s="12">
        <f>Table16[[#This Row],[price]]*Table16[[#This Row],[quantity]]</f>
        <v>2700.7200000000003</v>
      </c>
    </row>
    <row r="7751" spans="1:9" x14ac:dyDescent="0.3">
      <c r="A7751" t="s">
        <v>9758</v>
      </c>
      <c r="B7751" t="s">
        <v>1543</v>
      </c>
      <c r="C7751" t="s">
        <v>2024</v>
      </c>
      <c r="D7751">
        <v>3</v>
      </c>
      <c r="E7751" s="16">
        <v>107.52</v>
      </c>
      <c r="F7751" s="1">
        <v>44803</v>
      </c>
      <c r="G7751" t="s">
        <v>2064</v>
      </c>
      <c r="H7751">
        <v>2</v>
      </c>
      <c r="I7751" s="12">
        <f>Table16[[#This Row],[price]]*Table16[[#This Row],[quantity]]</f>
        <v>322.56</v>
      </c>
    </row>
    <row r="7752" spans="1:9" x14ac:dyDescent="0.3">
      <c r="A7752" t="s">
        <v>9765</v>
      </c>
      <c r="B7752" t="s">
        <v>1543</v>
      </c>
      <c r="C7752" t="s">
        <v>2057</v>
      </c>
      <c r="D7752">
        <v>2</v>
      </c>
      <c r="E7752" s="16">
        <v>23.46</v>
      </c>
      <c r="F7752" s="1">
        <v>44965</v>
      </c>
      <c r="G7752" t="s">
        <v>2009</v>
      </c>
      <c r="H7752">
        <v>2</v>
      </c>
      <c r="I7752" s="12">
        <f>Table16[[#This Row],[price]]*Table16[[#This Row],[quantity]]</f>
        <v>46.92</v>
      </c>
    </row>
    <row r="7753" spans="1:9" x14ac:dyDescent="0.3">
      <c r="A7753" t="s">
        <v>9770</v>
      </c>
      <c r="B7753" t="s">
        <v>1544</v>
      </c>
      <c r="C7753" t="s">
        <v>2024</v>
      </c>
      <c r="D7753">
        <v>3</v>
      </c>
      <c r="E7753" s="16">
        <v>107.52</v>
      </c>
      <c r="F7753" s="1">
        <v>44248</v>
      </c>
      <c r="G7753" t="s">
        <v>2027</v>
      </c>
      <c r="H7753">
        <v>2</v>
      </c>
      <c r="I7753" s="12">
        <f>Table16[[#This Row],[price]]*Table16[[#This Row],[quantity]]</f>
        <v>322.56</v>
      </c>
    </row>
    <row r="7754" spans="1:9" x14ac:dyDescent="0.3">
      <c r="A7754" t="s">
        <v>9769</v>
      </c>
      <c r="B7754" t="s">
        <v>1544</v>
      </c>
      <c r="C7754" t="s">
        <v>2001</v>
      </c>
      <c r="D7754">
        <v>5</v>
      </c>
      <c r="E7754" s="16">
        <v>1500.4</v>
      </c>
      <c r="F7754" s="1">
        <v>44735</v>
      </c>
      <c r="G7754" t="s">
        <v>2020</v>
      </c>
      <c r="H7754">
        <v>5</v>
      </c>
      <c r="I7754" s="12">
        <f>Table16[[#This Row],[price]]*Table16[[#This Row],[quantity]]</f>
        <v>7502</v>
      </c>
    </row>
    <row r="7755" spans="1:9" x14ac:dyDescent="0.3">
      <c r="A7755" t="s">
        <v>9771</v>
      </c>
      <c r="B7755" t="s">
        <v>1544</v>
      </c>
      <c r="C7755" t="s">
        <v>2001</v>
      </c>
      <c r="D7755">
        <v>3</v>
      </c>
      <c r="E7755" s="16">
        <v>900.24</v>
      </c>
      <c r="F7755" s="1">
        <v>44860</v>
      </c>
      <c r="G7755" t="s">
        <v>2012</v>
      </c>
      <c r="H7755">
        <v>1</v>
      </c>
      <c r="I7755" s="12">
        <f>Table16[[#This Row],[price]]*Table16[[#This Row],[quantity]]</f>
        <v>2700.7200000000003</v>
      </c>
    </row>
    <row r="7756" spans="1:9" x14ac:dyDescent="0.3">
      <c r="A7756" t="s">
        <v>9772</v>
      </c>
      <c r="B7756" t="s">
        <v>1544</v>
      </c>
      <c r="C7756" t="s">
        <v>2008</v>
      </c>
      <c r="D7756">
        <v>4</v>
      </c>
      <c r="E7756" s="16">
        <v>20.92</v>
      </c>
      <c r="F7756" s="1">
        <v>44897</v>
      </c>
      <c r="G7756" t="s">
        <v>2009</v>
      </c>
      <c r="H7756">
        <v>5</v>
      </c>
      <c r="I7756" s="12">
        <f>Table16[[#This Row],[price]]*Table16[[#This Row],[quantity]]</f>
        <v>83.68</v>
      </c>
    </row>
    <row r="7757" spans="1:9" x14ac:dyDescent="0.3">
      <c r="A7757" t="s">
        <v>9775</v>
      </c>
      <c r="B7757" t="s">
        <v>1545</v>
      </c>
      <c r="C7757" t="s">
        <v>2006</v>
      </c>
      <c r="D7757">
        <v>4</v>
      </c>
      <c r="E7757" s="16">
        <v>60.6</v>
      </c>
      <c r="F7757" s="1">
        <v>44489</v>
      </c>
      <c r="G7757" t="s">
        <v>2004</v>
      </c>
      <c r="H7757">
        <v>2</v>
      </c>
      <c r="I7757" s="12">
        <f>Table16[[#This Row],[price]]*Table16[[#This Row],[quantity]]</f>
        <v>242.4</v>
      </c>
    </row>
    <row r="7758" spans="1:9" x14ac:dyDescent="0.3">
      <c r="A7758" t="s">
        <v>9773</v>
      </c>
      <c r="B7758" t="s">
        <v>1545</v>
      </c>
      <c r="C7758" t="s">
        <v>2011</v>
      </c>
      <c r="D7758">
        <v>5</v>
      </c>
      <c r="E7758" s="16">
        <v>203.3</v>
      </c>
      <c r="F7758" s="1">
        <v>44550</v>
      </c>
      <c r="G7758" t="s">
        <v>2064</v>
      </c>
      <c r="H7758">
        <v>4</v>
      </c>
      <c r="I7758" s="12">
        <f>Table16[[#This Row],[price]]*Table16[[#This Row],[quantity]]</f>
        <v>1016.5</v>
      </c>
    </row>
    <row r="7759" spans="1:9" x14ac:dyDescent="0.3">
      <c r="A7759" t="s">
        <v>9776</v>
      </c>
      <c r="B7759" t="s">
        <v>1545</v>
      </c>
      <c r="C7759" t="s">
        <v>2015</v>
      </c>
      <c r="D7759">
        <v>3</v>
      </c>
      <c r="E7759" s="16">
        <v>1800.51</v>
      </c>
      <c r="F7759" s="1">
        <v>44803</v>
      </c>
      <c r="G7759" t="s">
        <v>2004</v>
      </c>
      <c r="H7759">
        <v>4</v>
      </c>
      <c r="I7759" s="12">
        <f>Table16[[#This Row],[price]]*Table16[[#This Row],[quantity]]</f>
        <v>5401.53</v>
      </c>
    </row>
    <row r="7760" spans="1:9" x14ac:dyDescent="0.3">
      <c r="A7760" t="s">
        <v>9774</v>
      </c>
      <c r="B7760" t="s">
        <v>1545</v>
      </c>
      <c r="C7760" t="s">
        <v>2001</v>
      </c>
      <c r="D7760">
        <v>4</v>
      </c>
      <c r="E7760" s="16">
        <v>1200.32</v>
      </c>
      <c r="F7760" s="1">
        <v>44882</v>
      </c>
      <c r="G7760" t="s">
        <v>2020</v>
      </c>
      <c r="H7760">
        <v>4</v>
      </c>
      <c r="I7760" s="12">
        <f>Table16[[#This Row],[price]]*Table16[[#This Row],[quantity]]</f>
        <v>4801.28</v>
      </c>
    </row>
    <row r="7761" spans="1:9" x14ac:dyDescent="0.3">
      <c r="A7761" t="s">
        <v>9779</v>
      </c>
      <c r="B7761" t="s">
        <v>1546</v>
      </c>
      <c r="C7761" t="s">
        <v>2001</v>
      </c>
      <c r="D7761">
        <v>1</v>
      </c>
      <c r="E7761" s="16">
        <v>300.08</v>
      </c>
      <c r="F7761" s="1">
        <v>44230</v>
      </c>
      <c r="G7761" t="s">
        <v>2012</v>
      </c>
      <c r="H7761">
        <v>5</v>
      </c>
      <c r="I7761" s="12">
        <f>Table16[[#This Row],[price]]*Table16[[#This Row],[quantity]]</f>
        <v>300.08</v>
      </c>
    </row>
    <row r="7762" spans="1:9" x14ac:dyDescent="0.3">
      <c r="A7762" t="s">
        <v>9778</v>
      </c>
      <c r="B7762" t="s">
        <v>1546</v>
      </c>
      <c r="C7762" t="s">
        <v>2024</v>
      </c>
      <c r="D7762">
        <v>2</v>
      </c>
      <c r="E7762" s="16">
        <v>71.680000000000007</v>
      </c>
      <c r="F7762" s="1">
        <v>44433</v>
      </c>
      <c r="G7762" t="s">
        <v>2027</v>
      </c>
      <c r="H7762">
        <v>4</v>
      </c>
      <c r="I7762" s="12">
        <f>Table16[[#This Row],[price]]*Table16[[#This Row],[quantity]]</f>
        <v>143.36000000000001</v>
      </c>
    </row>
    <row r="7763" spans="1:9" x14ac:dyDescent="0.3">
      <c r="A7763" t="s">
        <v>9777</v>
      </c>
      <c r="B7763" t="s">
        <v>1546</v>
      </c>
      <c r="C7763" t="s">
        <v>2015</v>
      </c>
      <c r="D7763">
        <v>4</v>
      </c>
      <c r="E7763" s="16">
        <v>2400.6799999999998</v>
      </c>
      <c r="F7763" s="1">
        <v>44435</v>
      </c>
      <c r="G7763" t="s">
        <v>2002</v>
      </c>
      <c r="H7763">
        <v>3</v>
      </c>
      <c r="I7763" s="12">
        <f>Table16[[#This Row],[price]]*Table16[[#This Row],[quantity]]</f>
        <v>9602.7199999999993</v>
      </c>
    </row>
    <row r="7764" spans="1:9" x14ac:dyDescent="0.3">
      <c r="A7764" t="s">
        <v>9780</v>
      </c>
      <c r="B7764" t="s">
        <v>1547</v>
      </c>
      <c r="C7764" t="s">
        <v>2015</v>
      </c>
      <c r="D7764">
        <v>4</v>
      </c>
      <c r="E7764" s="16">
        <v>2400.6799999999998</v>
      </c>
      <c r="F7764" s="1">
        <v>44416</v>
      </c>
      <c r="G7764" t="s">
        <v>2027</v>
      </c>
      <c r="H7764">
        <v>1</v>
      </c>
      <c r="I7764" s="12">
        <f>Table16[[#This Row],[price]]*Table16[[#This Row],[quantity]]</f>
        <v>9602.7199999999993</v>
      </c>
    </row>
    <row r="7765" spans="1:9" x14ac:dyDescent="0.3">
      <c r="A7765" t="s">
        <v>9781</v>
      </c>
      <c r="B7765" t="s">
        <v>1547</v>
      </c>
      <c r="C7765" t="s">
        <v>2011</v>
      </c>
      <c r="D7765">
        <v>1</v>
      </c>
      <c r="E7765" s="16">
        <v>40.659999999999997</v>
      </c>
      <c r="F7765" s="1">
        <v>44950</v>
      </c>
      <c r="G7765" t="s">
        <v>2027</v>
      </c>
      <c r="H7765">
        <v>3</v>
      </c>
      <c r="I7765" s="12">
        <f>Table16[[#This Row],[price]]*Table16[[#This Row],[quantity]]</f>
        <v>40.659999999999997</v>
      </c>
    </row>
    <row r="7766" spans="1:9" x14ac:dyDescent="0.3">
      <c r="A7766" t="s">
        <v>9782</v>
      </c>
      <c r="B7766" t="s">
        <v>1547</v>
      </c>
      <c r="C7766" t="s">
        <v>2006</v>
      </c>
      <c r="D7766">
        <v>2</v>
      </c>
      <c r="E7766" s="16">
        <v>30.3</v>
      </c>
      <c r="F7766" s="1">
        <v>44965</v>
      </c>
      <c r="G7766" t="s">
        <v>2002</v>
      </c>
      <c r="H7766">
        <v>2</v>
      </c>
      <c r="I7766" s="12">
        <f>Table16[[#This Row],[price]]*Table16[[#This Row],[quantity]]</f>
        <v>60.6</v>
      </c>
    </row>
    <row r="7767" spans="1:9" x14ac:dyDescent="0.3">
      <c r="A7767" t="s">
        <v>9783</v>
      </c>
      <c r="B7767" t="s">
        <v>1548</v>
      </c>
      <c r="C7767" t="s">
        <v>2001</v>
      </c>
      <c r="D7767">
        <v>2</v>
      </c>
      <c r="E7767" s="16">
        <v>600.16</v>
      </c>
      <c r="F7767" s="1">
        <v>44268</v>
      </c>
      <c r="G7767" t="s">
        <v>2064</v>
      </c>
      <c r="H7767">
        <v>4</v>
      </c>
      <c r="I7767" s="12">
        <f>Table16[[#This Row],[price]]*Table16[[#This Row],[quantity]]</f>
        <v>1200.32</v>
      </c>
    </row>
    <row r="7768" spans="1:9" x14ac:dyDescent="0.3">
      <c r="A7768" t="s">
        <v>9784</v>
      </c>
      <c r="B7768" t="s">
        <v>1548</v>
      </c>
      <c r="C7768" t="s">
        <v>2008</v>
      </c>
      <c r="D7768">
        <v>3</v>
      </c>
      <c r="E7768" s="16">
        <v>15.69</v>
      </c>
      <c r="F7768" s="1">
        <v>44389</v>
      </c>
      <c r="G7768" t="s">
        <v>2002</v>
      </c>
      <c r="H7768">
        <v>3</v>
      </c>
      <c r="I7768" s="12">
        <f>Table16[[#This Row],[price]]*Table16[[#This Row],[quantity]]</f>
        <v>47.07</v>
      </c>
    </row>
    <row r="7769" spans="1:9" x14ac:dyDescent="0.3">
      <c r="A7769" t="s">
        <v>9785</v>
      </c>
      <c r="B7769" t="s">
        <v>1548</v>
      </c>
      <c r="C7769" t="s">
        <v>2057</v>
      </c>
      <c r="D7769">
        <v>1</v>
      </c>
      <c r="E7769" s="16">
        <v>11.73</v>
      </c>
      <c r="F7769" s="1">
        <v>44547</v>
      </c>
      <c r="G7769" t="s">
        <v>2004</v>
      </c>
      <c r="H7769">
        <v>2</v>
      </c>
      <c r="I7769" s="12">
        <f>Table16[[#This Row],[price]]*Table16[[#This Row],[quantity]]</f>
        <v>11.73</v>
      </c>
    </row>
    <row r="7770" spans="1:9" x14ac:dyDescent="0.3">
      <c r="A7770" t="s">
        <v>9786</v>
      </c>
      <c r="B7770" t="s">
        <v>1548</v>
      </c>
      <c r="C7770" t="s">
        <v>2001</v>
      </c>
      <c r="D7770">
        <v>1</v>
      </c>
      <c r="E7770" s="16">
        <v>300.08</v>
      </c>
      <c r="F7770" s="1">
        <v>44877</v>
      </c>
      <c r="G7770" t="s">
        <v>2027</v>
      </c>
      <c r="H7770">
        <v>3</v>
      </c>
      <c r="I7770" s="12">
        <f>Table16[[#This Row],[price]]*Table16[[#This Row],[quantity]]</f>
        <v>300.08</v>
      </c>
    </row>
    <row r="7771" spans="1:9" x14ac:dyDescent="0.3">
      <c r="A7771" t="s">
        <v>9790</v>
      </c>
      <c r="B7771" t="s">
        <v>1549</v>
      </c>
      <c r="C7771" t="s">
        <v>2008</v>
      </c>
      <c r="D7771">
        <v>5</v>
      </c>
      <c r="E7771" s="16">
        <v>26.15</v>
      </c>
      <c r="F7771" s="1">
        <v>44306</v>
      </c>
      <c r="G7771" t="s">
        <v>2002</v>
      </c>
      <c r="H7771">
        <v>1</v>
      </c>
      <c r="I7771" s="12">
        <f>Table16[[#This Row],[price]]*Table16[[#This Row],[quantity]]</f>
        <v>130.75</v>
      </c>
    </row>
    <row r="7772" spans="1:9" x14ac:dyDescent="0.3">
      <c r="A7772" t="s">
        <v>9789</v>
      </c>
      <c r="B7772" t="s">
        <v>1549</v>
      </c>
      <c r="C7772" t="s">
        <v>2015</v>
      </c>
      <c r="D7772">
        <v>3</v>
      </c>
      <c r="E7772" s="16">
        <v>1800.51</v>
      </c>
      <c r="F7772" s="1">
        <v>44327</v>
      </c>
      <c r="G7772" t="s">
        <v>2041</v>
      </c>
      <c r="H7772">
        <v>3</v>
      </c>
      <c r="I7772" s="12">
        <f>Table16[[#This Row],[price]]*Table16[[#This Row],[quantity]]</f>
        <v>5401.53</v>
      </c>
    </row>
    <row r="7773" spans="1:9" x14ac:dyDescent="0.3">
      <c r="A7773" t="s">
        <v>9788</v>
      </c>
      <c r="B7773" t="s">
        <v>1549</v>
      </c>
      <c r="C7773" t="s">
        <v>2017</v>
      </c>
      <c r="D7773">
        <v>4</v>
      </c>
      <c r="E7773" s="16">
        <v>4200</v>
      </c>
      <c r="F7773" s="1">
        <v>44377</v>
      </c>
      <c r="G7773" t="s">
        <v>2004</v>
      </c>
      <c r="H7773">
        <v>5</v>
      </c>
      <c r="I7773" s="12">
        <f>Table16[[#This Row],[price]]*Table16[[#This Row],[quantity]]</f>
        <v>16800</v>
      </c>
    </row>
    <row r="7774" spans="1:9" x14ac:dyDescent="0.3">
      <c r="A7774" t="s">
        <v>9787</v>
      </c>
      <c r="B7774" t="s">
        <v>1549</v>
      </c>
      <c r="C7774" t="s">
        <v>2001</v>
      </c>
      <c r="D7774">
        <v>1</v>
      </c>
      <c r="E7774" s="16">
        <v>300.08</v>
      </c>
      <c r="F7774" s="1">
        <v>44775</v>
      </c>
      <c r="G7774" t="s">
        <v>2058</v>
      </c>
      <c r="H7774">
        <v>1</v>
      </c>
      <c r="I7774" s="12">
        <f>Table16[[#This Row],[price]]*Table16[[#This Row],[quantity]]</f>
        <v>300.08</v>
      </c>
    </row>
    <row r="7775" spans="1:9" x14ac:dyDescent="0.3">
      <c r="A7775" t="s">
        <v>9791</v>
      </c>
      <c r="B7775" t="s">
        <v>1549</v>
      </c>
      <c r="C7775" t="s">
        <v>2001</v>
      </c>
      <c r="D7775">
        <v>5</v>
      </c>
      <c r="E7775" s="16">
        <v>1500.4</v>
      </c>
      <c r="F7775" s="1">
        <v>44856</v>
      </c>
      <c r="G7775" t="s">
        <v>2004</v>
      </c>
      <c r="H7775">
        <v>3</v>
      </c>
      <c r="I7775" s="12">
        <f>Table16[[#This Row],[price]]*Table16[[#This Row],[quantity]]</f>
        <v>7502</v>
      </c>
    </row>
    <row r="7776" spans="1:9" x14ac:dyDescent="0.3">
      <c r="A7776" t="s">
        <v>9793</v>
      </c>
      <c r="B7776" t="s">
        <v>1550</v>
      </c>
      <c r="C7776" t="s">
        <v>2001</v>
      </c>
      <c r="D7776">
        <v>5</v>
      </c>
      <c r="E7776" s="16">
        <v>1500.4</v>
      </c>
      <c r="F7776" s="1">
        <v>44524</v>
      </c>
      <c r="G7776" t="s">
        <v>2020</v>
      </c>
      <c r="H7776">
        <v>3</v>
      </c>
      <c r="I7776" s="12">
        <f>Table16[[#This Row],[price]]*Table16[[#This Row],[quantity]]</f>
        <v>7502</v>
      </c>
    </row>
    <row r="7777" spans="1:9" x14ac:dyDescent="0.3">
      <c r="A7777" t="s">
        <v>9795</v>
      </c>
      <c r="B7777" t="s">
        <v>1550</v>
      </c>
      <c r="C7777" t="s">
        <v>2001</v>
      </c>
      <c r="D7777">
        <v>5</v>
      </c>
      <c r="E7777" s="16">
        <v>1500.4</v>
      </c>
      <c r="F7777" s="1">
        <v>44860</v>
      </c>
      <c r="G7777" t="s">
        <v>2027</v>
      </c>
      <c r="H7777">
        <v>4</v>
      </c>
      <c r="I7777" s="12">
        <f>Table16[[#This Row],[price]]*Table16[[#This Row],[quantity]]</f>
        <v>7502</v>
      </c>
    </row>
    <row r="7778" spans="1:9" x14ac:dyDescent="0.3">
      <c r="A7778" t="s">
        <v>9792</v>
      </c>
      <c r="B7778" t="s">
        <v>1550</v>
      </c>
      <c r="C7778" t="s">
        <v>2015</v>
      </c>
      <c r="D7778">
        <v>2</v>
      </c>
      <c r="E7778" s="16">
        <v>1200.3399999999999</v>
      </c>
      <c r="F7778" s="1">
        <v>44897</v>
      </c>
      <c r="G7778" t="s">
        <v>2018</v>
      </c>
      <c r="H7778">
        <v>4</v>
      </c>
      <c r="I7778" s="12">
        <f>Table16[[#This Row],[price]]*Table16[[#This Row],[quantity]]</f>
        <v>2400.6799999999998</v>
      </c>
    </row>
    <row r="7779" spans="1:9" x14ac:dyDescent="0.3">
      <c r="A7779" t="s">
        <v>9794</v>
      </c>
      <c r="B7779" t="s">
        <v>1550</v>
      </c>
      <c r="C7779" t="s">
        <v>2024</v>
      </c>
      <c r="D7779">
        <v>5</v>
      </c>
      <c r="E7779" s="16">
        <v>179.2</v>
      </c>
      <c r="F7779" s="1">
        <v>44902</v>
      </c>
      <c r="G7779" t="s">
        <v>2012</v>
      </c>
      <c r="H7779">
        <v>5</v>
      </c>
      <c r="I7779" s="12">
        <f>Table16[[#This Row],[price]]*Table16[[#This Row],[quantity]]</f>
        <v>896</v>
      </c>
    </row>
    <row r="7780" spans="1:9" x14ac:dyDescent="0.3">
      <c r="A7780" t="s">
        <v>9799</v>
      </c>
      <c r="B7780" t="s">
        <v>1551</v>
      </c>
      <c r="C7780" t="s">
        <v>2001</v>
      </c>
      <c r="D7780">
        <v>1</v>
      </c>
      <c r="E7780" s="16">
        <v>300.08</v>
      </c>
      <c r="F7780" s="1">
        <v>44208</v>
      </c>
      <c r="G7780" t="s">
        <v>2064</v>
      </c>
      <c r="H7780">
        <v>3</v>
      </c>
      <c r="I7780" s="12">
        <f>Table16[[#This Row],[price]]*Table16[[#This Row],[quantity]]</f>
        <v>300.08</v>
      </c>
    </row>
    <row r="7781" spans="1:9" x14ac:dyDescent="0.3">
      <c r="A7781" t="s">
        <v>9796</v>
      </c>
      <c r="B7781" t="s">
        <v>1551</v>
      </c>
      <c r="C7781" t="s">
        <v>2011</v>
      </c>
      <c r="D7781">
        <v>4</v>
      </c>
      <c r="E7781" s="16">
        <v>162.63999999999999</v>
      </c>
      <c r="F7781" s="1">
        <v>44341</v>
      </c>
      <c r="G7781" t="s">
        <v>2002</v>
      </c>
      <c r="H7781">
        <v>4</v>
      </c>
      <c r="I7781" s="12">
        <f>Table16[[#This Row],[price]]*Table16[[#This Row],[quantity]]</f>
        <v>650.55999999999995</v>
      </c>
    </row>
    <row r="7782" spans="1:9" x14ac:dyDescent="0.3">
      <c r="A7782" t="s">
        <v>9797</v>
      </c>
      <c r="B7782" t="s">
        <v>1551</v>
      </c>
      <c r="C7782" t="s">
        <v>2015</v>
      </c>
      <c r="D7782">
        <v>3</v>
      </c>
      <c r="E7782" s="16">
        <v>1800.51</v>
      </c>
      <c r="F7782" s="1">
        <v>44402</v>
      </c>
      <c r="G7782" t="s">
        <v>2020</v>
      </c>
      <c r="H7782">
        <v>4</v>
      </c>
      <c r="I7782" s="12">
        <f>Table16[[#This Row],[price]]*Table16[[#This Row],[quantity]]</f>
        <v>5401.53</v>
      </c>
    </row>
    <row r="7783" spans="1:9" x14ac:dyDescent="0.3">
      <c r="A7783" t="s">
        <v>9798</v>
      </c>
      <c r="B7783" t="s">
        <v>1551</v>
      </c>
      <c r="C7783" t="s">
        <v>2001</v>
      </c>
      <c r="D7783">
        <v>3</v>
      </c>
      <c r="E7783" s="16">
        <v>900.24</v>
      </c>
      <c r="F7783" s="1">
        <v>44760</v>
      </c>
      <c r="G7783" t="s">
        <v>2018</v>
      </c>
      <c r="H7783">
        <v>5</v>
      </c>
      <c r="I7783" s="12">
        <f>Table16[[#This Row],[price]]*Table16[[#This Row],[quantity]]</f>
        <v>2700.7200000000003</v>
      </c>
    </row>
    <row r="7784" spans="1:9" x14ac:dyDescent="0.3">
      <c r="A7784" t="s">
        <v>9801</v>
      </c>
      <c r="B7784" t="s">
        <v>1551</v>
      </c>
      <c r="C7784" t="s">
        <v>2024</v>
      </c>
      <c r="D7784">
        <v>4</v>
      </c>
      <c r="E7784" s="16">
        <v>143.36000000000001</v>
      </c>
      <c r="F7784" s="1">
        <v>44893</v>
      </c>
      <c r="G7784" t="s">
        <v>2004</v>
      </c>
      <c r="H7784">
        <v>1</v>
      </c>
      <c r="I7784" s="12">
        <f>Table16[[#This Row],[price]]*Table16[[#This Row],[quantity]]</f>
        <v>573.44000000000005</v>
      </c>
    </row>
    <row r="7785" spans="1:9" x14ac:dyDescent="0.3">
      <c r="A7785" t="s">
        <v>9800</v>
      </c>
      <c r="B7785" t="s">
        <v>1551</v>
      </c>
      <c r="C7785" t="s">
        <v>2008</v>
      </c>
      <c r="D7785">
        <v>5</v>
      </c>
      <c r="E7785" s="16">
        <v>26.15</v>
      </c>
      <c r="F7785" s="1">
        <v>44957</v>
      </c>
      <c r="G7785" t="s">
        <v>2027</v>
      </c>
      <c r="H7785">
        <v>5</v>
      </c>
      <c r="I7785" s="12">
        <f>Table16[[#This Row],[price]]*Table16[[#This Row],[quantity]]</f>
        <v>130.75</v>
      </c>
    </row>
    <row r="7786" spans="1:9" x14ac:dyDescent="0.3">
      <c r="A7786" t="s">
        <v>9803</v>
      </c>
      <c r="B7786" t="s">
        <v>1552</v>
      </c>
      <c r="C7786" t="s">
        <v>2001</v>
      </c>
      <c r="D7786">
        <v>3</v>
      </c>
      <c r="E7786" s="16">
        <v>900.24</v>
      </c>
      <c r="F7786" s="1">
        <v>44317</v>
      </c>
      <c r="G7786" t="s">
        <v>2064</v>
      </c>
      <c r="H7786">
        <v>1</v>
      </c>
      <c r="I7786" s="12">
        <f>Table16[[#This Row],[price]]*Table16[[#This Row],[quantity]]</f>
        <v>2700.7200000000003</v>
      </c>
    </row>
    <row r="7787" spans="1:9" x14ac:dyDescent="0.3">
      <c r="A7787" t="s">
        <v>9804</v>
      </c>
      <c r="B7787" t="s">
        <v>1552</v>
      </c>
      <c r="C7787" t="s">
        <v>2024</v>
      </c>
      <c r="D7787">
        <v>4</v>
      </c>
      <c r="E7787" s="16">
        <v>143.36000000000001</v>
      </c>
      <c r="F7787" s="1">
        <v>44382</v>
      </c>
      <c r="G7787" t="s">
        <v>2004</v>
      </c>
      <c r="H7787">
        <v>1</v>
      </c>
      <c r="I7787" s="12">
        <f>Table16[[#This Row],[price]]*Table16[[#This Row],[quantity]]</f>
        <v>573.44000000000005</v>
      </c>
    </row>
    <row r="7788" spans="1:9" x14ac:dyDescent="0.3">
      <c r="A7788" t="s">
        <v>9802</v>
      </c>
      <c r="B7788" t="s">
        <v>1552</v>
      </c>
      <c r="C7788" t="s">
        <v>2001</v>
      </c>
      <c r="D7788">
        <v>4</v>
      </c>
      <c r="E7788" s="16">
        <v>1200.32</v>
      </c>
      <c r="F7788" s="1">
        <v>44405</v>
      </c>
      <c r="G7788" t="s">
        <v>2064</v>
      </c>
      <c r="H7788">
        <v>3</v>
      </c>
      <c r="I7788" s="12">
        <f>Table16[[#This Row],[price]]*Table16[[#This Row],[quantity]]</f>
        <v>4801.28</v>
      </c>
    </row>
    <row r="7789" spans="1:9" x14ac:dyDescent="0.3">
      <c r="A7789" t="s">
        <v>9806</v>
      </c>
      <c r="B7789" t="s">
        <v>1553</v>
      </c>
      <c r="C7789" t="s">
        <v>2001</v>
      </c>
      <c r="D7789">
        <v>3</v>
      </c>
      <c r="E7789" s="16">
        <v>900.24</v>
      </c>
      <c r="F7789" s="1">
        <v>44197</v>
      </c>
      <c r="G7789" t="s">
        <v>2064</v>
      </c>
      <c r="H7789">
        <v>1</v>
      </c>
      <c r="I7789" s="12">
        <f>Table16[[#This Row],[price]]*Table16[[#This Row],[quantity]]</f>
        <v>2700.7200000000003</v>
      </c>
    </row>
    <row r="7790" spans="1:9" x14ac:dyDescent="0.3">
      <c r="A7790" t="s">
        <v>9810</v>
      </c>
      <c r="B7790" t="s">
        <v>1553</v>
      </c>
      <c r="C7790" t="s">
        <v>2008</v>
      </c>
      <c r="D7790">
        <v>2</v>
      </c>
      <c r="E7790" s="16">
        <v>10.46</v>
      </c>
      <c r="F7790" s="1">
        <v>44384</v>
      </c>
      <c r="G7790" t="s">
        <v>2020</v>
      </c>
      <c r="H7790">
        <v>3</v>
      </c>
      <c r="I7790" s="12">
        <f>Table16[[#This Row],[price]]*Table16[[#This Row],[quantity]]</f>
        <v>20.92</v>
      </c>
    </row>
    <row r="7791" spans="1:9" x14ac:dyDescent="0.3">
      <c r="A7791" t="s">
        <v>9809</v>
      </c>
      <c r="B7791" t="s">
        <v>1553</v>
      </c>
      <c r="C7791" t="s">
        <v>2001</v>
      </c>
      <c r="D7791">
        <v>5</v>
      </c>
      <c r="E7791" s="16">
        <v>1500.4</v>
      </c>
      <c r="F7791" s="1">
        <v>44516</v>
      </c>
      <c r="G7791" t="s">
        <v>2027</v>
      </c>
      <c r="H7791">
        <v>3</v>
      </c>
      <c r="I7791" s="12">
        <f>Table16[[#This Row],[price]]*Table16[[#This Row],[quantity]]</f>
        <v>7502</v>
      </c>
    </row>
    <row r="7792" spans="1:9" x14ac:dyDescent="0.3">
      <c r="A7792" t="s">
        <v>9805</v>
      </c>
      <c r="B7792" t="s">
        <v>1553</v>
      </c>
      <c r="C7792" t="s">
        <v>2024</v>
      </c>
      <c r="D7792">
        <v>3</v>
      </c>
      <c r="E7792" s="16">
        <v>107.52</v>
      </c>
      <c r="F7792" s="1">
        <v>44563</v>
      </c>
      <c r="G7792" t="s">
        <v>2002</v>
      </c>
      <c r="H7792">
        <v>4</v>
      </c>
      <c r="I7792" s="12">
        <f>Table16[[#This Row],[price]]*Table16[[#This Row],[quantity]]</f>
        <v>322.56</v>
      </c>
    </row>
    <row r="7793" spans="1:9" x14ac:dyDescent="0.3">
      <c r="A7793" t="s">
        <v>9807</v>
      </c>
      <c r="B7793" t="s">
        <v>1553</v>
      </c>
      <c r="C7793" t="s">
        <v>2057</v>
      </c>
      <c r="D7793">
        <v>4</v>
      </c>
      <c r="E7793" s="16">
        <v>46.92</v>
      </c>
      <c r="F7793" s="1">
        <v>44629</v>
      </c>
      <c r="G7793" t="s">
        <v>2020</v>
      </c>
      <c r="H7793">
        <v>2</v>
      </c>
      <c r="I7793" s="12">
        <f>Table16[[#This Row],[price]]*Table16[[#This Row],[quantity]]</f>
        <v>187.68</v>
      </c>
    </row>
    <row r="7794" spans="1:9" x14ac:dyDescent="0.3">
      <c r="A7794" t="s">
        <v>9811</v>
      </c>
      <c r="B7794" t="s">
        <v>1553</v>
      </c>
      <c r="C7794" t="s">
        <v>2024</v>
      </c>
      <c r="D7794">
        <v>3</v>
      </c>
      <c r="E7794" s="16">
        <v>107.52</v>
      </c>
      <c r="F7794" s="1">
        <v>44651</v>
      </c>
      <c r="G7794" t="s">
        <v>2020</v>
      </c>
      <c r="H7794">
        <v>1</v>
      </c>
      <c r="I7794" s="12">
        <f>Table16[[#This Row],[price]]*Table16[[#This Row],[quantity]]</f>
        <v>322.56</v>
      </c>
    </row>
    <row r="7795" spans="1:9" x14ac:dyDescent="0.3">
      <c r="A7795" t="s">
        <v>9808</v>
      </c>
      <c r="B7795" t="s">
        <v>1553</v>
      </c>
      <c r="C7795" t="s">
        <v>2006</v>
      </c>
      <c r="D7795">
        <v>3</v>
      </c>
      <c r="E7795" s="16">
        <v>45.45</v>
      </c>
      <c r="F7795" s="1">
        <v>44676</v>
      </c>
      <c r="G7795" t="s">
        <v>2020</v>
      </c>
      <c r="H7795">
        <v>5</v>
      </c>
      <c r="I7795" s="12">
        <f>Table16[[#This Row],[price]]*Table16[[#This Row],[quantity]]</f>
        <v>136.35000000000002</v>
      </c>
    </row>
    <row r="7796" spans="1:9" x14ac:dyDescent="0.3">
      <c r="A7796" t="s">
        <v>9812</v>
      </c>
      <c r="B7796" t="s">
        <v>1554</v>
      </c>
      <c r="C7796" t="s">
        <v>2008</v>
      </c>
      <c r="D7796">
        <v>2</v>
      </c>
      <c r="E7796" s="16">
        <v>10.46</v>
      </c>
      <c r="F7796" s="1">
        <v>44519</v>
      </c>
      <c r="G7796" t="s">
        <v>2027</v>
      </c>
      <c r="H7796">
        <v>1</v>
      </c>
      <c r="I7796" s="12">
        <f>Table16[[#This Row],[price]]*Table16[[#This Row],[quantity]]</f>
        <v>20.92</v>
      </c>
    </row>
    <row r="7797" spans="1:9" x14ac:dyDescent="0.3">
      <c r="A7797" t="s">
        <v>9814</v>
      </c>
      <c r="B7797" t="s">
        <v>1554</v>
      </c>
      <c r="C7797" t="s">
        <v>2011</v>
      </c>
      <c r="D7797">
        <v>2</v>
      </c>
      <c r="E7797" s="16">
        <v>81.319999999999993</v>
      </c>
      <c r="F7797" s="1">
        <v>44595</v>
      </c>
      <c r="G7797" t="s">
        <v>2002</v>
      </c>
      <c r="H7797">
        <v>2</v>
      </c>
      <c r="I7797" s="12">
        <f>Table16[[#This Row],[price]]*Table16[[#This Row],[quantity]]</f>
        <v>162.63999999999999</v>
      </c>
    </row>
    <row r="7798" spans="1:9" x14ac:dyDescent="0.3">
      <c r="A7798" t="s">
        <v>9813</v>
      </c>
      <c r="B7798" t="s">
        <v>1554</v>
      </c>
      <c r="C7798" t="s">
        <v>2011</v>
      </c>
      <c r="D7798">
        <v>3</v>
      </c>
      <c r="E7798" s="16">
        <v>121.98</v>
      </c>
      <c r="F7798" s="1">
        <v>44620</v>
      </c>
      <c r="G7798" t="s">
        <v>2002</v>
      </c>
      <c r="H7798">
        <v>4</v>
      </c>
      <c r="I7798" s="12">
        <f>Table16[[#This Row],[price]]*Table16[[#This Row],[quantity]]</f>
        <v>365.94</v>
      </c>
    </row>
    <row r="7799" spans="1:9" x14ac:dyDescent="0.3">
      <c r="A7799" t="s">
        <v>9820</v>
      </c>
      <c r="B7799" t="s">
        <v>1555</v>
      </c>
      <c r="C7799" t="s">
        <v>2001</v>
      </c>
      <c r="D7799">
        <v>3</v>
      </c>
      <c r="E7799" s="16">
        <v>900.24</v>
      </c>
      <c r="F7799" s="1">
        <v>44205</v>
      </c>
      <c r="G7799" t="s">
        <v>2018</v>
      </c>
      <c r="H7799">
        <v>4</v>
      </c>
      <c r="I7799" s="12">
        <f>Table16[[#This Row],[price]]*Table16[[#This Row],[quantity]]</f>
        <v>2700.7200000000003</v>
      </c>
    </row>
    <row r="7800" spans="1:9" x14ac:dyDescent="0.3">
      <c r="A7800" t="s">
        <v>9816</v>
      </c>
      <c r="B7800" t="s">
        <v>1555</v>
      </c>
      <c r="C7800" t="s">
        <v>2011</v>
      </c>
      <c r="D7800">
        <v>5</v>
      </c>
      <c r="E7800" s="16">
        <v>203.3</v>
      </c>
      <c r="F7800" s="1">
        <v>44334</v>
      </c>
      <c r="G7800" t="s">
        <v>2002</v>
      </c>
      <c r="H7800">
        <v>5</v>
      </c>
      <c r="I7800" s="12">
        <f>Table16[[#This Row],[price]]*Table16[[#This Row],[quantity]]</f>
        <v>1016.5</v>
      </c>
    </row>
    <row r="7801" spans="1:9" x14ac:dyDescent="0.3">
      <c r="A7801" t="s">
        <v>9817</v>
      </c>
      <c r="B7801" t="s">
        <v>1555</v>
      </c>
      <c r="C7801" t="s">
        <v>2011</v>
      </c>
      <c r="D7801">
        <v>4</v>
      </c>
      <c r="E7801" s="16">
        <v>162.63999999999999</v>
      </c>
      <c r="F7801" s="1">
        <v>44484</v>
      </c>
      <c r="G7801" t="s">
        <v>2002</v>
      </c>
      <c r="H7801">
        <v>2</v>
      </c>
      <c r="I7801" s="12">
        <f>Table16[[#This Row],[price]]*Table16[[#This Row],[quantity]]</f>
        <v>650.55999999999995</v>
      </c>
    </row>
    <row r="7802" spans="1:9" x14ac:dyDescent="0.3">
      <c r="A7802" t="s">
        <v>9821</v>
      </c>
      <c r="B7802" t="s">
        <v>1555</v>
      </c>
      <c r="C7802" t="s">
        <v>2015</v>
      </c>
      <c r="D7802">
        <v>5</v>
      </c>
      <c r="E7802" s="16">
        <v>3000.85</v>
      </c>
      <c r="F7802" s="1">
        <v>44507</v>
      </c>
      <c r="G7802" t="s">
        <v>2018</v>
      </c>
      <c r="H7802">
        <v>4</v>
      </c>
      <c r="I7802" s="12">
        <f>Table16[[#This Row],[price]]*Table16[[#This Row],[quantity]]</f>
        <v>15004.25</v>
      </c>
    </row>
    <row r="7803" spans="1:9" x14ac:dyDescent="0.3">
      <c r="A7803" t="s">
        <v>9819</v>
      </c>
      <c r="B7803" t="s">
        <v>1555</v>
      </c>
      <c r="C7803" t="s">
        <v>2001</v>
      </c>
      <c r="D7803">
        <v>1</v>
      </c>
      <c r="E7803" s="16">
        <v>300.08</v>
      </c>
      <c r="F7803" s="1">
        <v>44730</v>
      </c>
      <c r="G7803" t="s">
        <v>2004</v>
      </c>
      <c r="H7803">
        <v>4</v>
      </c>
      <c r="I7803" s="12">
        <f>Table16[[#This Row],[price]]*Table16[[#This Row],[quantity]]</f>
        <v>300.08</v>
      </c>
    </row>
    <row r="7804" spans="1:9" x14ac:dyDescent="0.3">
      <c r="A7804" t="s">
        <v>9818</v>
      </c>
      <c r="B7804" t="s">
        <v>1555</v>
      </c>
      <c r="C7804" t="s">
        <v>2015</v>
      </c>
      <c r="D7804">
        <v>2</v>
      </c>
      <c r="E7804" s="16">
        <v>1200.3399999999999</v>
      </c>
      <c r="F7804" s="1">
        <v>44755</v>
      </c>
      <c r="G7804" t="s">
        <v>2041</v>
      </c>
      <c r="H7804">
        <v>4</v>
      </c>
      <c r="I7804" s="12">
        <f>Table16[[#This Row],[price]]*Table16[[#This Row],[quantity]]</f>
        <v>2400.6799999999998</v>
      </c>
    </row>
    <row r="7805" spans="1:9" x14ac:dyDescent="0.3">
      <c r="A7805" t="s">
        <v>9815</v>
      </c>
      <c r="B7805" t="s">
        <v>1555</v>
      </c>
      <c r="C7805" t="s">
        <v>2011</v>
      </c>
      <c r="D7805">
        <v>2</v>
      </c>
      <c r="E7805" s="16">
        <v>81.319999999999993</v>
      </c>
      <c r="F7805" s="1">
        <v>44979</v>
      </c>
      <c r="G7805" t="s">
        <v>2027</v>
      </c>
      <c r="H7805">
        <v>4</v>
      </c>
      <c r="I7805" s="12">
        <f>Table16[[#This Row],[price]]*Table16[[#This Row],[quantity]]</f>
        <v>162.63999999999999</v>
      </c>
    </row>
    <row r="7806" spans="1:9" x14ac:dyDescent="0.3">
      <c r="A7806" t="s">
        <v>9824</v>
      </c>
      <c r="B7806" t="s">
        <v>1556</v>
      </c>
      <c r="C7806" t="s">
        <v>2001</v>
      </c>
      <c r="D7806">
        <v>1</v>
      </c>
      <c r="E7806" s="16">
        <v>300.08</v>
      </c>
      <c r="F7806" s="1">
        <v>44392</v>
      </c>
      <c r="G7806" t="s">
        <v>2012</v>
      </c>
      <c r="H7806">
        <v>1</v>
      </c>
      <c r="I7806" s="12">
        <f>Table16[[#This Row],[price]]*Table16[[#This Row],[quantity]]</f>
        <v>300.08</v>
      </c>
    </row>
    <row r="7807" spans="1:9" x14ac:dyDescent="0.3">
      <c r="A7807" t="s">
        <v>9823</v>
      </c>
      <c r="B7807" t="s">
        <v>1556</v>
      </c>
      <c r="C7807" t="s">
        <v>2011</v>
      </c>
      <c r="D7807">
        <v>1</v>
      </c>
      <c r="E7807" s="16">
        <v>40.659999999999997</v>
      </c>
      <c r="F7807" s="1">
        <v>44455</v>
      </c>
      <c r="G7807" t="s">
        <v>2020</v>
      </c>
      <c r="H7807">
        <v>4</v>
      </c>
      <c r="I7807" s="12">
        <f>Table16[[#This Row],[price]]*Table16[[#This Row],[quantity]]</f>
        <v>40.659999999999997</v>
      </c>
    </row>
    <row r="7808" spans="1:9" x14ac:dyDescent="0.3">
      <c r="A7808" t="s">
        <v>9825</v>
      </c>
      <c r="B7808" t="s">
        <v>1556</v>
      </c>
      <c r="C7808" t="s">
        <v>2001</v>
      </c>
      <c r="D7808">
        <v>5</v>
      </c>
      <c r="E7808" s="16">
        <v>1500.4</v>
      </c>
      <c r="F7808" s="1">
        <v>44525</v>
      </c>
      <c r="G7808" t="s">
        <v>2018</v>
      </c>
      <c r="H7808">
        <v>4</v>
      </c>
      <c r="I7808" s="12">
        <f>Table16[[#This Row],[price]]*Table16[[#This Row],[quantity]]</f>
        <v>7502</v>
      </c>
    </row>
    <row r="7809" spans="1:9" x14ac:dyDescent="0.3">
      <c r="A7809" t="s">
        <v>9822</v>
      </c>
      <c r="B7809" t="s">
        <v>1556</v>
      </c>
      <c r="C7809" t="s">
        <v>2001</v>
      </c>
      <c r="D7809">
        <v>1</v>
      </c>
      <c r="E7809" s="16">
        <v>300.08</v>
      </c>
      <c r="F7809" s="1">
        <v>44859</v>
      </c>
      <c r="G7809" t="s">
        <v>2009</v>
      </c>
      <c r="H7809">
        <v>4</v>
      </c>
      <c r="I7809" s="12">
        <f>Table16[[#This Row],[price]]*Table16[[#This Row],[quantity]]</f>
        <v>300.08</v>
      </c>
    </row>
    <row r="7810" spans="1:9" x14ac:dyDescent="0.3">
      <c r="A7810" t="s">
        <v>9826</v>
      </c>
      <c r="B7810" t="s">
        <v>1556</v>
      </c>
      <c r="C7810" t="s">
        <v>2001</v>
      </c>
      <c r="D7810">
        <v>2</v>
      </c>
      <c r="E7810" s="16">
        <v>600.16</v>
      </c>
      <c r="F7810" s="1">
        <v>44887</v>
      </c>
      <c r="G7810" t="s">
        <v>2002</v>
      </c>
      <c r="H7810">
        <v>1</v>
      </c>
      <c r="I7810" s="12">
        <f>Table16[[#This Row],[price]]*Table16[[#This Row],[quantity]]</f>
        <v>1200.32</v>
      </c>
    </row>
    <row r="7811" spans="1:9" x14ac:dyDescent="0.3">
      <c r="A7811" t="s">
        <v>9827</v>
      </c>
      <c r="B7811" t="s">
        <v>1557</v>
      </c>
      <c r="C7811" t="s">
        <v>2008</v>
      </c>
      <c r="D7811">
        <v>3</v>
      </c>
      <c r="E7811" s="16">
        <v>15.69</v>
      </c>
      <c r="F7811" s="1">
        <v>44518</v>
      </c>
      <c r="G7811" t="s">
        <v>2004</v>
      </c>
      <c r="H7811">
        <v>1</v>
      </c>
      <c r="I7811" s="12">
        <f>Table16[[#This Row],[price]]*Table16[[#This Row],[quantity]]</f>
        <v>47.07</v>
      </c>
    </row>
    <row r="7812" spans="1:9" x14ac:dyDescent="0.3">
      <c r="A7812" t="s">
        <v>9829</v>
      </c>
      <c r="B7812" t="s">
        <v>1557</v>
      </c>
      <c r="C7812" t="s">
        <v>2057</v>
      </c>
      <c r="D7812">
        <v>3</v>
      </c>
      <c r="E7812" s="16">
        <v>35.19</v>
      </c>
      <c r="F7812" s="1">
        <v>44524</v>
      </c>
      <c r="G7812" t="s">
        <v>2027</v>
      </c>
      <c r="H7812">
        <v>1</v>
      </c>
      <c r="I7812" s="12">
        <f>Table16[[#This Row],[price]]*Table16[[#This Row],[quantity]]</f>
        <v>105.57</v>
      </c>
    </row>
    <row r="7813" spans="1:9" x14ac:dyDescent="0.3">
      <c r="A7813" t="s">
        <v>9828</v>
      </c>
      <c r="B7813" t="s">
        <v>1557</v>
      </c>
      <c r="C7813" t="s">
        <v>2057</v>
      </c>
      <c r="D7813">
        <v>2</v>
      </c>
      <c r="E7813" s="16">
        <v>23.46</v>
      </c>
      <c r="F7813" s="1">
        <v>44681</v>
      </c>
      <c r="G7813" t="s">
        <v>2027</v>
      </c>
      <c r="H7813">
        <v>4</v>
      </c>
      <c r="I7813" s="12">
        <f>Table16[[#This Row],[price]]*Table16[[#This Row],[quantity]]</f>
        <v>46.92</v>
      </c>
    </row>
    <row r="7814" spans="1:9" x14ac:dyDescent="0.3">
      <c r="A7814" t="s">
        <v>9831</v>
      </c>
      <c r="B7814" t="s">
        <v>1558</v>
      </c>
      <c r="C7814" t="s">
        <v>2057</v>
      </c>
      <c r="D7814">
        <v>1</v>
      </c>
      <c r="E7814" s="16">
        <v>11.73</v>
      </c>
      <c r="F7814" s="1">
        <v>44211</v>
      </c>
      <c r="G7814" t="s">
        <v>2002</v>
      </c>
      <c r="H7814">
        <v>5</v>
      </c>
      <c r="I7814" s="12">
        <f>Table16[[#This Row],[price]]*Table16[[#This Row],[quantity]]</f>
        <v>11.73</v>
      </c>
    </row>
    <row r="7815" spans="1:9" x14ac:dyDescent="0.3">
      <c r="A7815" t="s">
        <v>9830</v>
      </c>
      <c r="B7815" t="s">
        <v>1558</v>
      </c>
      <c r="C7815" t="s">
        <v>2017</v>
      </c>
      <c r="D7815">
        <v>3</v>
      </c>
      <c r="E7815" s="16">
        <v>3150</v>
      </c>
      <c r="F7815" s="1">
        <v>44718</v>
      </c>
      <c r="G7815" t="s">
        <v>2027</v>
      </c>
      <c r="H7815">
        <v>4</v>
      </c>
      <c r="I7815" s="12">
        <f>Table16[[#This Row],[price]]*Table16[[#This Row],[quantity]]</f>
        <v>9450</v>
      </c>
    </row>
    <row r="7816" spans="1:9" x14ac:dyDescent="0.3">
      <c r="A7816" t="s">
        <v>9834</v>
      </c>
      <c r="B7816" t="s">
        <v>1559</v>
      </c>
      <c r="C7816" t="s">
        <v>2015</v>
      </c>
      <c r="D7816">
        <v>1</v>
      </c>
      <c r="E7816" s="16">
        <v>600.16999999999996</v>
      </c>
      <c r="F7816" s="1">
        <v>44365</v>
      </c>
      <c r="G7816" t="s">
        <v>2018</v>
      </c>
      <c r="H7816">
        <v>4</v>
      </c>
      <c r="I7816" s="12">
        <f>Table16[[#This Row],[price]]*Table16[[#This Row],[quantity]]</f>
        <v>600.16999999999996</v>
      </c>
    </row>
    <row r="7817" spans="1:9" x14ac:dyDescent="0.3">
      <c r="A7817" t="s">
        <v>9832</v>
      </c>
      <c r="B7817" t="s">
        <v>1559</v>
      </c>
      <c r="C7817" t="s">
        <v>2001</v>
      </c>
      <c r="D7817">
        <v>1</v>
      </c>
      <c r="E7817" s="16">
        <v>300.08</v>
      </c>
      <c r="F7817" s="1">
        <v>44498</v>
      </c>
      <c r="G7817" t="s">
        <v>2004</v>
      </c>
      <c r="H7817">
        <v>3</v>
      </c>
      <c r="I7817" s="12">
        <f>Table16[[#This Row],[price]]*Table16[[#This Row],[quantity]]</f>
        <v>300.08</v>
      </c>
    </row>
    <row r="7818" spans="1:9" x14ac:dyDescent="0.3">
      <c r="A7818" t="s">
        <v>9837</v>
      </c>
      <c r="B7818" t="s">
        <v>1559</v>
      </c>
      <c r="C7818" t="s">
        <v>2011</v>
      </c>
      <c r="D7818">
        <v>5</v>
      </c>
      <c r="E7818" s="16">
        <v>203.3</v>
      </c>
      <c r="F7818" s="1">
        <v>44530</v>
      </c>
      <c r="G7818" t="s">
        <v>2027</v>
      </c>
      <c r="H7818">
        <v>1</v>
      </c>
      <c r="I7818" s="12">
        <f>Table16[[#This Row],[price]]*Table16[[#This Row],[quantity]]</f>
        <v>1016.5</v>
      </c>
    </row>
    <row r="7819" spans="1:9" x14ac:dyDescent="0.3">
      <c r="A7819" t="s">
        <v>9836</v>
      </c>
      <c r="B7819" t="s">
        <v>1559</v>
      </c>
      <c r="C7819" t="s">
        <v>2017</v>
      </c>
      <c r="D7819">
        <v>1</v>
      </c>
      <c r="E7819" s="16">
        <v>1050</v>
      </c>
      <c r="F7819" s="1">
        <v>44591</v>
      </c>
      <c r="G7819" t="s">
        <v>2004</v>
      </c>
      <c r="H7819">
        <v>4</v>
      </c>
      <c r="I7819" s="12">
        <f>Table16[[#This Row],[price]]*Table16[[#This Row],[quantity]]</f>
        <v>1050</v>
      </c>
    </row>
    <row r="7820" spans="1:9" x14ac:dyDescent="0.3">
      <c r="A7820" t="s">
        <v>9835</v>
      </c>
      <c r="B7820" t="s">
        <v>1559</v>
      </c>
      <c r="C7820" t="s">
        <v>2008</v>
      </c>
      <c r="D7820">
        <v>2</v>
      </c>
      <c r="E7820" s="16">
        <v>10.46</v>
      </c>
      <c r="F7820" s="1">
        <v>44707</v>
      </c>
      <c r="G7820" t="s">
        <v>2002</v>
      </c>
      <c r="H7820">
        <v>4</v>
      </c>
      <c r="I7820" s="12">
        <f>Table16[[#This Row],[price]]*Table16[[#This Row],[quantity]]</f>
        <v>20.92</v>
      </c>
    </row>
    <row r="7821" spans="1:9" x14ac:dyDescent="0.3">
      <c r="A7821" t="s">
        <v>9833</v>
      </c>
      <c r="B7821" t="s">
        <v>1559</v>
      </c>
      <c r="C7821" t="s">
        <v>2011</v>
      </c>
      <c r="D7821">
        <v>1</v>
      </c>
      <c r="E7821" s="16">
        <v>40.659999999999997</v>
      </c>
      <c r="F7821" s="1">
        <v>44888</v>
      </c>
      <c r="G7821" t="s">
        <v>2027</v>
      </c>
      <c r="H7821">
        <v>5</v>
      </c>
      <c r="I7821" s="12">
        <f>Table16[[#This Row],[price]]*Table16[[#This Row],[quantity]]</f>
        <v>40.659999999999997</v>
      </c>
    </row>
    <row r="7822" spans="1:9" x14ac:dyDescent="0.3">
      <c r="A7822" t="s">
        <v>9838</v>
      </c>
      <c r="B7822" t="s">
        <v>1559</v>
      </c>
      <c r="C7822" t="s">
        <v>2008</v>
      </c>
      <c r="D7822">
        <v>2</v>
      </c>
      <c r="E7822" s="16">
        <v>10.46</v>
      </c>
      <c r="F7822" s="1">
        <v>44980</v>
      </c>
      <c r="G7822" t="s">
        <v>2064</v>
      </c>
      <c r="H7822">
        <v>1</v>
      </c>
      <c r="I7822" s="12">
        <f>Table16[[#This Row],[price]]*Table16[[#This Row],[quantity]]</f>
        <v>20.92</v>
      </c>
    </row>
    <row r="7823" spans="1:9" x14ac:dyDescent="0.3">
      <c r="A7823" t="s">
        <v>9841</v>
      </c>
      <c r="B7823" t="s">
        <v>1560</v>
      </c>
      <c r="C7823" t="s">
        <v>2011</v>
      </c>
      <c r="D7823">
        <v>3</v>
      </c>
      <c r="E7823" s="16">
        <v>121.98</v>
      </c>
      <c r="F7823" s="1">
        <v>44279</v>
      </c>
      <c r="G7823" t="s">
        <v>2020</v>
      </c>
      <c r="H7823">
        <v>5</v>
      </c>
      <c r="I7823" s="12">
        <f>Table16[[#This Row],[price]]*Table16[[#This Row],[quantity]]</f>
        <v>365.94</v>
      </c>
    </row>
    <row r="7824" spans="1:9" x14ac:dyDescent="0.3">
      <c r="A7824" t="s">
        <v>9843</v>
      </c>
      <c r="B7824" t="s">
        <v>1560</v>
      </c>
      <c r="C7824" t="s">
        <v>2011</v>
      </c>
      <c r="D7824">
        <v>4</v>
      </c>
      <c r="E7824" s="16">
        <v>162.63999999999999</v>
      </c>
      <c r="F7824" s="1">
        <v>44322</v>
      </c>
      <c r="G7824" t="s">
        <v>2004</v>
      </c>
      <c r="H7824">
        <v>2</v>
      </c>
      <c r="I7824" s="12">
        <f>Table16[[#This Row],[price]]*Table16[[#This Row],[quantity]]</f>
        <v>650.55999999999995</v>
      </c>
    </row>
    <row r="7825" spans="1:9" x14ac:dyDescent="0.3">
      <c r="A7825" t="s">
        <v>9842</v>
      </c>
      <c r="B7825" t="s">
        <v>1560</v>
      </c>
      <c r="C7825" t="s">
        <v>2017</v>
      </c>
      <c r="D7825">
        <v>2</v>
      </c>
      <c r="E7825" s="16">
        <v>2100</v>
      </c>
      <c r="F7825" s="1">
        <v>44333</v>
      </c>
      <c r="G7825" t="s">
        <v>2027</v>
      </c>
      <c r="H7825">
        <v>1</v>
      </c>
      <c r="I7825" s="12">
        <f>Table16[[#This Row],[price]]*Table16[[#This Row],[quantity]]</f>
        <v>4200</v>
      </c>
    </row>
    <row r="7826" spans="1:9" x14ac:dyDescent="0.3">
      <c r="A7826" t="s">
        <v>9844</v>
      </c>
      <c r="B7826" t="s">
        <v>1560</v>
      </c>
      <c r="C7826" t="s">
        <v>2008</v>
      </c>
      <c r="D7826">
        <v>2</v>
      </c>
      <c r="E7826" s="16">
        <v>10.46</v>
      </c>
      <c r="F7826" s="1">
        <v>44407</v>
      </c>
      <c r="G7826" t="s">
        <v>2004</v>
      </c>
      <c r="H7826">
        <v>1</v>
      </c>
      <c r="I7826" s="12">
        <f>Table16[[#This Row],[price]]*Table16[[#This Row],[quantity]]</f>
        <v>20.92</v>
      </c>
    </row>
    <row r="7827" spans="1:9" x14ac:dyDescent="0.3">
      <c r="A7827" t="s">
        <v>9845</v>
      </c>
      <c r="B7827" t="s">
        <v>1560</v>
      </c>
      <c r="C7827" t="s">
        <v>2024</v>
      </c>
      <c r="D7827">
        <v>1</v>
      </c>
      <c r="E7827" s="16">
        <v>35.840000000000003</v>
      </c>
      <c r="F7827" s="1">
        <v>44450</v>
      </c>
      <c r="G7827" t="s">
        <v>2058</v>
      </c>
      <c r="H7827">
        <v>4</v>
      </c>
      <c r="I7827" s="12">
        <f>Table16[[#This Row],[price]]*Table16[[#This Row],[quantity]]</f>
        <v>35.840000000000003</v>
      </c>
    </row>
    <row r="7828" spans="1:9" x14ac:dyDescent="0.3">
      <c r="A7828" t="s">
        <v>9839</v>
      </c>
      <c r="B7828" t="s">
        <v>1560</v>
      </c>
      <c r="C7828" t="s">
        <v>2001</v>
      </c>
      <c r="D7828">
        <v>2</v>
      </c>
      <c r="E7828" s="16">
        <v>600.16</v>
      </c>
      <c r="F7828" s="1">
        <v>44553</v>
      </c>
      <c r="G7828" t="s">
        <v>2004</v>
      </c>
      <c r="H7828">
        <v>4</v>
      </c>
      <c r="I7828" s="12">
        <f>Table16[[#This Row],[price]]*Table16[[#This Row],[quantity]]</f>
        <v>1200.32</v>
      </c>
    </row>
    <row r="7829" spans="1:9" x14ac:dyDescent="0.3">
      <c r="A7829" t="s">
        <v>9840</v>
      </c>
      <c r="B7829" t="s">
        <v>1560</v>
      </c>
      <c r="C7829" t="s">
        <v>2001</v>
      </c>
      <c r="D7829">
        <v>2</v>
      </c>
      <c r="E7829" s="16">
        <v>600.16</v>
      </c>
      <c r="F7829" s="1">
        <v>44564</v>
      </c>
      <c r="G7829" t="s">
        <v>2002</v>
      </c>
      <c r="H7829">
        <v>4</v>
      </c>
      <c r="I7829" s="12">
        <f>Table16[[#This Row],[price]]*Table16[[#This Row],[quantity]]</f>
        <v>1200.32</v>
      </c>
    </row>
    <row r="7830" spans="1:9" x14ac:dyDescent="0.3">
      <c r="A7830" t="s">
        <v>9847</v>
      </c>
      <c r="B7830" t="s">
        <v>1561</v>
      </c>
      <c r="C7830" t="s">
        <v>2001</v>
      </c>
      <c r="D7830">
        <v>5</v>
      </c>
      <c r="E7830" s="16">
        <v>1500.4</v>
      </c>
      <c r="F7830" s="1">
        <v>44273</v>
      </c>
      <c r="G7830" t="s">
        <v>2002</v>
      </c>
      <c r="H7830">
        <v>5</v>
      </c>
      <c r="I7830" s="12">
        <f>Table16[[#This Row],[price]]*Table16[[#This Row],[quantity]]</f>
        <v>7502</v>
      </c>
    </row>
    <row r="7831" spans="1:9" x14ac:dyDescent="0.3">
      <c r="A7831" t="s">
        <v>9846</v>
      </c>
      <c r="B7831" t="s">
        <v>1561</v>
      </c>
      <c r="C7831" t="s">
        <v>2057</v>
      </c>
      <c r="D7831">
        <v>5</v>
      </c>
      <c r="E7831" s="16">
        <v>58.65</v>
      </c>
      <c r="F7831" s="1">
        <v>44277</v>
      </c>
      <c r="G7831" t="s">
        <v>2027</v>
      </c>
      <c r="H7831">
        <v>1</v>
      </c>
      <c r="I7831" s="12">
        <f>Table16[[#This Row],[price]]*Table16[[#This Row],[quantity]]</f>
        <v>293.25</v>
      </c>
    </row>
    <row r="7832" spans="1:9" x14ac:dyDescent="0.3">
      <c r="A7832" t="s">
        <v>9848</v>
      </c>
      <c r="B7832" t="s">
        <v>1561</v>
      </c>
      <c r="C7832" t="s">
        <v>2008</v>
      </c>
      <c r="D7832">
        <v>3</v>
      </c>
      <c r="E7832" s="16">
        <v>15.69</v>
      </c>
      <c r="F7832" s="1">
        <v>44693</v>
      </c>
      <c r="G7832" t="s">
        <v>2018</v>
      </c>
      <c r="H7832">
        <v>1</v>
      </c>
      <c r="I7832" s="12">
        <f>Table16[[#This Row],[price]]*Table16[[#This Row],[quantity]]</f>
        <v>47.07</v>
      </c>
    </row>
    <row r="7833" spans="1:9" x14ac:dyDescent="0.3">
      <c r="A7833" t="s">
        <v>9852</v>
      </c>
      <c r="B7833" t="s">
        <v>1562</v>
      </c>
      <c r="C7833" t="s">
        <v>2001</v>
      </c>
      <c r="D7833">
        <v>1</v>
      </c>
      <c r="E7833" s="16">
        <v>300.08</v>
      </c>
      <c r="F7833" s="1">
        <v>44457</v>
      </c>
      <c r="G7833" t="s">
        <v>2002</v>
      </c>
      <c r="H7833">
        <v>5</v>
      </c>
      <c r="I7833" s="12">
        <f>Table16[[#This Row],[price]]*Table16[[#This Row],[quantity]]</f>
        <v>300.08</v>
      </c>
    </row>
    <row r="7834" spans="1:9" x14ac:dyDescent="0.3">
      <c r="A7834" t="s">
        <v>9851</v>
      </c>
      <c r="B7834" t="s">
        <v>1562</v>
      </c>
      <c r="C7834" t="s">
        <v>2001</v>
      </c>
      <c r="D7834">
        <v>4</v>
      </c>
      <c r="E7834" s="16">
        <v>1200.32</v>
      </c>
      <c r="F7834" s="1">
        <v>44522</v>
      </c>
      <c r="G7834" t="s">
        <v>2020</v>
      </c>
      <c r="H7834">
        <v>1</v>
      </c>
      <c r="I7834" s="12">
        <f>Table16[[#This Row],[price]]*Table16[[#This Row],[quantity]]</f>
        <v>4801.28</v>
      </c>
    </row>
    <row r="7835" spans="1:9" x14ac:dyDescent="0.3">
      <c r="A7835" t="s">
        <v>9850</v>
      </c>
      <c r="B7835" t="s">
        <v>1562</v>
      </c>
      <c r="C7835" t="s">
        <v>2024</v>
      </c>
      <c r="D7835">
        <v>4</v>
      </c>
      <c r="E7835" s="16">
        <v>143.36000000000001</v>
      </c>
      <c r="F7835" s="1">
        <v>44810</v>
      </c>
      <c r="G7835" t="s">
        <v>2012</v>
      </c>
      <c r="H7835">
        <v>4</v>
      </c>
      <c r="I7835" s="12">
        <f>Table16[[#This Row],[price]]*Table16[[#This Row],[quantity]]</f>
        <v>573.44000000000005</v>
      </c>
    </row>
    <row r="7836" spans="1:9" x14ac:dyDescent="0.3">
      <c r="A7836" t="s">
        <v>9849</v>
      </c>
      <c r="B7836" t="s">
        <v>1562</v>
      </c>
      <c r="C7836" t="s">
        <v>2011</v>
      </c>
      <c r="D7836">
        <v>1</v>
      </c>
      <c r="E7836" s="16">
        <v>40.659999999999997</v>
      </c>
      <c r="F7836" s="1">
        <v>44831</v>
      </c>
      <c r="G7836" t="s">
        <v>2064</v>
      </c>
      <c r="H7836">
        <v>1</v>
      </c>
      <c r="I7836" s="12">
        <f>Table16[[#This Row],[price]]*Table16[[#This Row],[quantity]]</f>
        <v>40.659999999999997</v>
      </c>
    </row>
    <row r="7837" spans="1:9" x14ac:dyDescent="0.3">
      <c r="A7837" t="s">
        <v>9854</v>
      </c>
      <c r="B7837" t="s">
        <v>1563</v>
      </c>
      <c r="C7837" t="s">
        <v>2011</v>
      </c>
      <c r="D7837">
        <v>4</v>
      </c>
      <c r="E7837" s="16">
        <v>162.63999999999999</v>
      </c>
      <c r="F7837" s="1">
        <v>44471</v>
      </c>
      <c r="G7837" t="s">
        <v>2018</v>
      </c>
      <c r="H7837">
        <v>1</v>
      </c>
      <c r="I7837" s="12">
        <f>Table16[[#This Row],[price]]*Table16[[#This Row],[quantity]]</f>
        <v>650.55999999999995</v>
      </c>
    </row>
    <row r="7838" spans="1:9" x14ac:dyDescent="0.3">
      <c r="A7838" t="s">
        <v>9853</v>
      </c>
      <c r="B7838" t="s">
        <v>1563</v>
      </c>
      <c r="C7838" t="s">
        <v>2001</v>
      </c>
      <c r="D7838">
        <v>5</v>
      </c>
      <c r="E7838" s="16">
        <v>1500.4</v>
      </c>
      <c r="F7838" s="1">
        <v>44624</v>
      </c>
      <c r="G7838" t="s">
        <v>2004</v>
      </c>
      <c r="H7838">
        <v>4</v>
      </c>
      <c r="I7838" s="12">
        <f>Table16[[#This Row],[price]]*Table16[[#This Row],[quantity]]</f>
        <v>7502</v>
      </c>
    </row>
    <row r="7839" spans="1:9" x14ac:dyDescent="0.3">
      <c r="A7839" t="s">
        <v>9855</v>
      </c>
      <c r="B7839" t="s">
        <v>1563</v>
      </c>
      <c r="C7839" t="s">
        <v>2015</v>
      </c>
      <c r="D7839">
        <v>5</v>
      </c>
      <c r="E7839" s="16">
        <v>3000.85</v>
      </c>
      <c r="F7839" s="1">
        <v>44860</v>
      </c>
      <c r="G7839" t="s">
        <v>2041</v>
      </c>
      <c r="H7839">
        <v>2</v>
      </c>
      <c r="I7839" s="12">
        <f>Table16[[#This Row],[price]]*Table16[[#This Row],[quantity]]</f>
        <v>15004.25</v>
      </c>
    </row>
    <row r="7840" spans="1:9" x14ac:dyDescent="0.3">
      <c r="A7840" t="s">
        <v>9857</v>
      </c>
      <c r="B7840" t="s">
        <v>1564</v>
      </c>
      <c r="C7840" t="s">
        <v>2001</v>
      </c>
      <c r="D7840">
        <v>2</v>
      </c>
      <c r="E7840" s="16">
        <v>600.16</v>
      </c>
      <c r="F7840" s="1">
        <v>44234</v>
      </c>
      <c r="G7840" t="s">
        <v>2004</v>
      </c>
      <c r="H7840">
        <v>1</v>
      </c>
      <c r="I7840" s="12">
        <f>Table16[[#This Row],[price]]*Table16[[#This Row],[quantity]]</f>
        <v>1200.32</v>
      </c>
    </row>
    <row r="7841" spans="1:9" x14ac:dyDescent="0.3">
      <c r="A7841" t="s">
        <v>9856</v>
      </c>
      <c r="B7841" t="s">
        <v>1564</v>
      </c>
      <c r="C7841" t="s">
        <v>2001</v>
      </c>
      <c r="D7841">
        <v>2</v>
      </c>
      <c r="E7841" s="16">
        <v>600.16</v>
      </c>
      <c r="F7841" s="1">
        <v>44320</v>
      </c>
      <c r="G7841" t="s">
        <v>2002</v>
      </c>
      <c r="H7841">
        <v>3</v>
      </c>
      <c r="I7841" s="12">
        <f>Table16[[#This Row],[price]]*Table16[[#This Row],[quantity]]</f>
        <v>1200.32</v>
      </c>
    </row>
    <row r="7842" spans="1:9" x14ac:dyDescent="0.3">
      <c r="A7842" t="s">
        <v>9858</v>
      </c>
      <c r="B7842" t="s">
        <v>1564</v>
      </c>
      <c r="C7842" t="s">
        <v>2017</v>
      </c>
      <c r="D7842">
        <v>1</v>
      </c>
      <c r="E7842" s="16">
        <v>1050</v>
      </c>
      <c r="F7842" s="1">
        <v>44841</v>
      </c>
      <c r="G7842" t="s">
        <v>2002</v>
      </c>
      <c r="H7842">
        <v>2</v>
      </c>
      <c r="I7842" s="12">
        <f>Table16[[#This Row],[price]]*Table16[[#This Row],[quantity]]</f>
        <v>1050</v>
      </c>
    </row>
    <row r="7843" spans="1:9" x14ac:dyDescent="0.3">
      <c r="A7843" t="s">
        <v>9859</v>
      </c>
      <c r="B7843" t="s">
        <v>1564</v>
      </c>
      <c r="C7843" t="s">
        <v>2057</v>
      </c>
      <c r="D7843">
        <v>1</v>
      </c>
      <c r="E7843" s="16">
        <v>11.73</v>
      </c>
      <c r="F7843" s="1">
        <v>44953</v>
      </c>
      <c r="G7843" t="s">
        <v>2004</v>
      </c>
      <c r="H7843">
        <v>5</v>
      </c>
      <c r="I7843" s="12">
        <f>Table16[[#This Row],[price]]*Table16[[#This Row],[quantity]]</f>
        <v>11.73</v>
      </c>
    </row>
    <row r="7844" spans="1:9" x14ac:dyDescent="0.3">
      <c r="A7844" t="s">
        <v>9862</v>
      </c>
      <c r="B7844" t="s">
        <v>1565</v>
      </c>
      <c r="C7844" t="s">
        <v>2008</v>
      </c>
      <c r="D7844">
        <v>3</v>
      </c>
      <c r="E7844" s="16">
        <v>15.69</v>
      </c>
      <c r="F7844" s="1">
        <v>44341</v>
      </c>
      <c r="G7844" t="s">
        <v>2058</v>
      </c>
      <c r="H7844">
        <v>3</v>
      </c>
      <c r="I7844" s="12">
        <f>Table16[[#This Row],[price]]*Table16[[#This Row],[quantity]]</f>
        <v>47.07</v>
      </c>
    </row>
    <row r="7845" spans="1:9" x14ac:dyDescent="0.3">
      <c r="A7845" t="s">
        <v>9861</v>
      </c>
      <c r="B7845" t="s">
        <v>1565</v>
      </c>
      <c r="C7845" t="s">
        <v>2015</v>
      </c>
      <c r="D7845">
        <v>1</v>
      </c>
      <c r="E7845" s="16">
        <v>600.16999999999996</v>
      </c>
      <c r="F7845" s="1">
        <v>44426</v>
      </c>
      <c r="G7845" t="s">
        <v>2004</v>
      </c>
      <c r="H7845">
        <v>5</v>
      </c>
      <c r="I7845" s="12">
        <f>Table16[[#This Row],[price]]*Table16[[#This Row],[quantity]]</f>
        <v>600.16999999999996</v>
      </c>
    </row>
    <row r="7846" spans="1:9" x14ac:dyDescent="0.3">
      <c r="A7846" t="s">
        <v>9860</v>
      </c>
      <c r="B7846" t="s">
        <v>1565</v>
      </c>
      <c r="C7846" t="s">
        <v>2001</v>
      </c>
      <c r="D7846">
        <v>1</v>
      </c>
      <c r="E7846" s="16">
        <v>300.08</v>
      </c>
      <c r="F7846" s="1">
        <v>44772</v>
      </c>
      <c r="G7846" t="s">
        <v>2002</v>
      </c>
      <c r="H7846">
        <v>3</v>
      </c>
      <c r="I7846" s="12">
        <f>Table16[[#This Row],[price]]*Table16[[#This Row],[quantity]]</f>
        <v>300.08</v>
      </c>
    </row>
    <row r="7847" spans="1:9" x14ac:dyDescent="0.3">
      <c r="A7847" t="s">
        <v>9863</v>
      </c>
      <c r="B7847" t="s">
        <v>1565</v>
      </c>
      <c r="C7847" t="s">
        <v>2001</v>
      </c>
      <c r="D7847">
        <v>5</v>
      </c>
      <c r="E7847" s="16">
        <v>1500.4</v>
      </c>
      <c r="F7847" s="1">
        <v>44910</v>
      </c>
      <c r="G7847" t="s">
        <v>2002</v>
      </c>
      <c r="H7847">
        <v>4</v>
      </c>
      <c r="I7847" s="12">
        <f>Table16[[#This Row],[price]]*Table16[[#This Row],[quantity]]</f>
        <v>7502</v>
      </c>
    </row>
    <row r="7848" spans="1:9" x14ac:dyDescent="0.3">
      <c r="A7848" t="s">
        <v>9866</v>
      </c>
      <c r="B7848" t="s">
        <v>1566</v>
      </c>
      <c r="C7848" t="s">
        <v>2011</v>
      </c>
      <c r="D7848">
        <v>4</v>
      </c>
      <c r="E7848" s="16">
        <v>162.63999999999999</v>
      </c>
      <c r="F7848" s="1">
        <v>44219</v>
      </c>
      <c r="G7848" t="s">
        <v>2027</v>
      </c>
      <c r="H7848">
        <v>3</v>
      </c>
      <c r="I7848" s="12">
        <f>Table16[[#This Row],[price]]*Table16[[#This Row],[quantity]]</f>
        <v>650.55999999999995</v>
      </c>
    </row>
    <row r="7849" spans="1:9" x14ac:dyDescent="0.3">
      <c r="A7849" t="s">
        <v>9864</v>
      </c>
      <c r="B7849" t="s">
        <v>1566</v>
      </c>
      <c r="C7849" t="s">
        <v>2015</v>
      </c>
      <c r="D7849">
        <v>5</v>
      </c>
      <c r="E7849" s="16">
        <v>3000.85</v>
      </c>
      <c r="F7849" s="1">
        <v>44277</v>
      </c>
      <c r="G7849" t="s">
        <v>2012</v>
      </c>
      <c r="H7849">
        <v>2</v>
      </c>
      <c r="I7849" s="12">
        <f>Table16[[#This Row],[price]]*Table16[[#This Row],[quantity]]</f>
        <v>15004.25</v>
      </c>
    </row>
    <row r="7850" spans="1:9" x14ac:dyDescent="0.3">
      <c r="A7850" t="s">
        <v>9865</v>
      </c>
      <c r="B7850" t="s">
        <v>1566</v>
      </c>
      <c r="C7850" t="s">
        <v>2017</v>
      </c>
      <c r="D7850">
        <v>2</v>
      </c>
      <c r="E7850" s="16">
        <v>2100</v>
      </c>
      <c r="F7850" s="1">
        <v>44580</v>
      </c>
      <c r="G7850" t="s">
        <v>2058</v>
      </c>
      <c r="H7850">
        <v>4</v>
      </c>
      <c r="I7850" s="12">
        <f>Table16[[#This Row],[price]]*Table16[[#This Row],[quantity]]</f>
        <v>4200</v>
      </c>
    </row>
    <row r="7851" spans="1:9" x14ac:dyDescent="0.3">
      <c r="A7851" t="s">
        <v>9867</v>
      </c>
      <c r="B7851" t="s">
        <v>1566</v>
      </c>
      <c r="C7851" t="s">
        <v>2057</v>
      </c>
      <c r="D7851">
        <v>2</v>
      </c>
      <c r="E7851" s="16">
        <v>23.46</v>
      </c>
      <c r="F7851" s="1">
        <v>44954</v>
      </c>
      <c r="G7851" t="s">
        <v>2064</v>
      </c>
      <c r="H7851">
        <v>3</v>
      </c>
      <c r="I7851" s="12">
        <f>Table16[[#This Row],[price]]*Table16[[#This Row],[quantity]]</f>
        <v>46.92</v>
      </c>
    </row>
    <row r="7852" spans="1:9" x14ac:dyDescent="0.3">
      <c r="A7852" t="s">
        <v>9873</v>
      </c>
      <c r="B7852" t="s">
        <v>1567</v>
      </c>
      <c r="C7852" t="s">
        <v>2057</v>
      </c>
      <c r="D7852">
        <v>3</v>
      </c>
      <c r="E7852" s="16">
        <v>35.19</v>
      </c>
      <c r="F7852" s="1">
        <v>44288</v>
      </c>
      <c r="G7852" t="s">
        <v>2018</v>
      </c>
      <c r="H7852">
        <v>3</v>
      </c>
      <c r="I7852" s="12">
        <f>Table16[[#This Row],[price]]*Table16[[#This Row],[quantity]]</f>
        <v>105.57</v>
      </c>
    </row>
    <row r="7853" spans="1:9" x14ac:dyDescent="0.3">
      <c r="A7853" t="s">
        <v>9870</v>
      </c>
      <c r="B7853" t="s">
        <v>1567</v>
      </c>
      <c r="C7853" t="s">
        <v>2008</v>
      </c>
      <c r="D7853">
        <v>4</v>
      </c>
      <c r="E7853" s="16">
        <v>20.92</v>
      </c>
      <c r="F7853" s="1">
        <v>44363</v>
      </c>
      <c r="G7853" t="s">
        <v>2027</v>
      </c>
      <c r="H7853">
        <v>1</v>
      </c>
      <c r="I7853" s="12">
        <f>Table16[[#This Row],[price]]*Table16[[#This Row],[quantity]]</f>
        <v>83.68</v>
      </c>
    </row>
    <row r="7854" spans="1:9" x14ac:dyDescent="0.3">
      <c r="A7854" t="s">
        <v>9869</v>
      </c>
      <c r="B7854" t="s">
        <v>1567</v>
      </c>
      <c r="C7854" t="s">
        <v>2001</v>
      </c>
      <c r="D7854">
        <v>5</v>
      </c>
      <c r="E7854" s="16">
        <v>1500.4</v>
      </c>
      <c r="F7854" s="1">
        <v>44583</v>
      </c>
      <c r="G7854" t="s">
        <v>2004</v>
      </c>
      <c r="H7854">
        <v>2</v>
      </c>
      <c r="I7854" s="12">
        <f>Table16[[#This Row],[price]]*Table16[[#This Row],[quantity]]</f>
        <v>7502</v>
      </c>
    </row>
    <row r="7855" spans="1:9" x14ac:dyDescent="0.3">
      <c r="A7855" t="s">
        <v>9868</v>
      </c>
      <c r="B7855" t="s">
        <v>1567</v>
      </c>
      <c r="C7855" t="s">
        <v>2001</v>
      </c>
      <c r="D7855">
        <v>2</v>
      </c>
      <c r="E7855" s="16">
        <v>600.16</v>
      </c>
      <c r="F7855" s="1">
        <v>44611</v>
      </c>
      <c r="G7855" t="s">
        <v>2041</v>
      </c>
      <c r="H7855">
        <v>4</v>
      </c>
      <c r="I7855" s="12">
        <f>Table16[[#This Row],[price]]*Table16[[#This Row],[quantity]]</f>
        <v>1200.32</v>
      </c>
    </row>
    <row r="7856" spans="1:9" x14ac:dyDescent="0.3">
      <c r="A7856" t="s">
        <v>9871</v>
      </c>
      <c r="B7856" t="s">
        <v>1567</v>
      </c>
      <c r="C7856" t="s">
        <v>2001</v>
      </c>
      <c r="D7856">
        <v>1</v>
      </c>
      <c r="E7856" s="16">
        <v>300.08</v>
      </c>
      <c r="F7856" s="1">
        <v>44648</v>
      </c>
      <c r="G7856" t="s">
        <v>2027</v>
      </c>
      <c r="H7856">
        <v>2</v>
      </c>
      <c r="I7856" s="12">
        <f>Table16[[#This Row],[price]]*Table16[[#This Row],[quantity]]</f>
        <v>300.08</v>
      </c>
    </row>
    <row r="7857" spans="1:9" x14ac:dyDescent="0.3">
      <c r="A7857" t="s">
        <v>9872</v>
      </c>
      <c r="B7857" t="s">
        <v>1567</v>
      </c>
      <c r="C7857" t="s">
        <v>2017</v>
      </c>
      <c r="D7857">
        <v>3</v>
      </c>
      <c r="E7857" s="16">
        <v>3150</v>
      </c>
      <c r="F7857" s="1">
        <v>44925</v>
      </c>
      <c r="G7857" t="s">
        <v>2004</v>
      </c>
      <c r="H7857">
        <v>1</v>
      </c>
      <c r="I7857" s="12">
        <f>Table16[[#This Row],[price]]*Table16[[#This Row],[quantity]]</f>
        <v>9450</v>
      </c>
    </row>
    <row r="7858" spans="1:9" x14ac:dyDescent="0.3">
      <c r="A7858" t="s">
        <v>9874</v>
      </c>
      <c r="B7858" t="s">
        <v>1567</v>
      </c>
      <c r="C7858" t="s">
        <v>2017</v>
      </c>
      <c r="D7858">
        <v>4</v>
      </c>
      <c r="E7858" s="16">
        <v>4200</v>
      </c>
      <c r="F7858" s="1">
        <v>44959</v>
      </c>
      <c r="G7858" t="s">
        <v>2004</v>
      </c>
      <c r="H7858">
        <v>5</v>
      </c>
      <c r="I7858" s="12">
        <f>Table16[[#This Row],[price]]*Table16[[#This Row],[quantity]]</f>
        <v>16800</v>
      </c>
    </row>
    <row r="7859" spans="1:9" x14ac:dyDescent="0.3">
      <c r="A7859" t="s">
        <v>9878</v>
      </c>
      <c r="B7859" t="s">
        <v>1568</v>
      </c>
      <c r="C7859" t="s">
        <v>2015</v>
      </c>
      <c r="D7859">
        <v>4</v>
      </c>
      <c r="E7859" s="16">
        <v>2400.6799999999998</v>
      </c>
      <c r="F7859" s="1">
        <v>44209</v>
      </c>
      <c r="G7859" t="s">
        <v>2064</v>
      </c>
      <c r="H7859">
        <v>3</v>
      </c>
      <c r="I7859" s="12">
        <f>Table16[[#This Row],[price]]*Table16[[#This Row],[quantity]]</f>
        <v>9602.7199999999993</v>
      </c>
    </row>
    <row r="7860" spans="1:9" x14ac:dyDescent="0.3">
      <c r="A7860" t="s">
        <v>9881</v>
      </c>
      <c r="B7860" t="s">
        <v>1568</v>
      </c>
      <c r="C7860" t="s">
        <v>2001</v>
      </c>
      <c r="D7860">
        <v>3</v>
      </c>
      <c r="E7860" s="16">
        <v>900.24</v>
      </c>
      <c r="F7860" s="1">
        <v>44248</v>
      </c>
      <c r="G7860" t="s">
        <v>2004</v>
      </c>
      <c r="H7860">
        <v>3</v>
      </c>
      <c r="I7860" s="12">
        <f>Table16[[#This Row],[price]]*Table16[[#This Row],[quantity]]</f>
        <v>2700.7200000000003</v>
      </c>
    </row>
    <row r="7861" spans="1:9" x14ac:dyDescent="0.3">
      <c r="A7861" t="s">
        <v>9875</v>
      </c>
      <c r="B7861" t="s">
        <v>1568</v>
      </c>
      <c r="C7861" t="s">
        <v>2008</v>
      </c>
      <c r="D7861">
        <v>1</v>
      </c>
      <c r="E7861" s="16">
        <v>5.23</v>
      </c>
      <c r="F7861" s="1">
        <v>44294</v>
      </c>
      <c r="G7861" t="s">
        <v>2018</v>
      </c>
      <c r="H7861">
        <v>4</v>
      </c>
      <c r="I7861" s="12">
        <f>Table16[[#This Row],[price]]*Table16[[#This Row],[quantity]]</f>
        <v>5.23</v>
      </c>
    </row>
    <row r="7862" spans="1:9" x14ac:dyDescent="0.3">
      <c r="A7862" t="s">
        <v>9876</v>
      </c>
      <c r="B7862" t="s">
        <v>1568</v>
      </c>
      <c r="C7862" t="s">
        <v>2015</v>
      </c>
      <c r="D7862">
        <v>1</v>
      </c>
      <c r="E7862" s="16">
        <v>600.16999999999996</v>
      </c>
      <c r="F7862" s="1">
        <v>44357</v>
      </c>
      <c r="G7862" t="s">
        <v>2041</v>
      </c>
      <c r="H7862">
        <v>4</v>
      </c>
      <c r="I7862" s="12">
        <f>Table16[[#This Row],[price]]*Table16[[#This Row],[quantity]]</f>
        <v>600.16999999999996</v>
      </c>
    </row>
    <row r="7863" spans="1:9" x14ac:dyDescent="0.3">
      <c r="A7863" t="s">
        <v>9880</v>
      </c>
      <c r="B7863" t="s">
        <v>1568</v>
      </c>
      <c r="C7863" t="s">
        <v>2057</v>
      </c>
      <c r="D7863">
        <v>1</v>
      </c>
      <c r="E7863" s="16">
        <v>11.73</v>
      </c>
      <c r="F7863" s="1">
        <v>44514</v>
      </c>
      <c r="G7863" t="s">
        <v>2027</v>
      </c>
      <c r="H7863">
        <v>1</v>
      </c>
      <c r="I7863" s="12">
        <f>Table16[[#This Row],[price]]*Table16[[#This Row],[quantity]]</f>
        <v>11.73</v>
      </c>
    </row>
    <row r="7864" spans="1:9" x14ac:dyDescent="0.3">
      <c r="A7864" t="s">
        <v>9879</v>
      </c>
      <c r="B7864" t="s">
        <v>1568</v>
      </c>
      <c r="C7864" t="s">
        <v>2001</v>
      </c>
      <c r="D7864">
        <v>4</v>
      </c>
      <c r="E7864" s="16">
        <v>1200.32</v>
      </c>
      <c r="F7864" s="1">
        <v>44811</v>
      </c>
      <c r="G7864" t="s">
        <v>2064</v>
      </c>
      <c r="H7864">
        <v>2</v>
      </c>
      <c r="I7864" s="12">
        <f>Table16[[#This Row],[price]]*Table16[[#This Row],[quantity]]</f>
        <v>4801.28</v>
      </c>
    </row>
    <row r="7865" spans="1:9" x14ac:dyDescent="0.3">
      <c r="A7865" t="s">
        <v>9877</v>
      </c>
      <c r="B7865" t="s">
        <v>1568</v>
      </c>
      <c r="C7865" t="s">
        <v>2001</v>
      </c>
      <c r="D7865">
        <v>4</v>
      </c>
      <c r="E7865" s="16">
        <v>1200.32</v>
      </c>
      <c r="F7865" s="1">
        <v>44903</v>
      </c>
      <c r="G7865" t="s">
        <v>2009</v>
      </c>
      <c r="H7865">
        <v>4</v>
      </c>
      <c r="I7865" s="12">
        <f>Table16[[#This Row],[price]]*Table16[[#This Row],[quantity]]</f>
        <v>4801.28</v>
      </c>
    </row>
    <row r="7866" spans="1:9" x14ac:dyDescent="0.3">
      <c r="A7866" t="s">
        <v>9883</v>
      </c>
      <c r="B7866" t="s">
        <v>1569</v>
      </c>
      <c r="C7866" t="s">
        <v>2008</v>
      </c>
      <c r="D7866">
        <v>5</v>
      </c>
      <c r="E7866" s="16">
        <v>26.15</v>
      </c>
      <c r="F7866" s="1">
        <v>44561</v>
      </c>
      <c r="G7866" t="s">
        <v>2027</v>
      </c>
      <c r="H7866">
        <v>1</v>
      </c>
      <c r="I7866" s="12">
        <f>Table16[[#This Row],[price]]*Table16[[#This Row],[quantity]]</f>
        <v>130.75</v>
      </c>
    </row>
    <row r="7867" spans="1:9" x14ac:dyDescent="0.3">
      <c r="A7867" t="s">
        <v>9884</v>
      </c>
      <c r="B7867" t="s">
        <v>1569</v>
      </c>
      <c r="C7867" t="s">
        <v>2001</v>
      </c>
      <c r="D7867">
        <v>3</v>
      </c>
      <c r="E7867" s="16">
        <v>900.24</v>
      </c>
      <c r="F7867" s="1">
        <v>44568</v>
      </c>
      <c r="G7867" t="s">
        <v>2002</v>
      </c>
      <c r="H7867">
        <v>1</v>
      </c>
      <c r="I7867" s="12">
        <f>Table16[[#This Row],[price]]*Table16[[#This Row],[quantity]]</f>
        <v>2700.7200000000003</v>
      </c>
    </row>
    <row r="7868" spans="1:9" x14ac:dyDescent="0.3">
      <c r="A7868" t="s">
        <v>9886</v>
      </c>
      <c r="B7868" t="s">
        <v>1569</v>
      </c>
      <c r="C7868" t="s">
        <v>2006</v>
      </c>
      <c r="D7868">
        <v>2</v>
      </c>
      <c r="E7868" s="16">
        <v>30.3</v>
      </c>
      <c r="F7868" s="1">
        <v>44627</v>
      </c>
      <c r="G7868" t="s">
        <v>2009</v>
      </c>
      <c r="H7868">
        <v>1</v>
      </c>
      <c r="I7868" s="12">
        <f>Table16[[#This Row],[price]]*Table16[[#This Row],[quantity]]</f>
        <v>60.6</v>
      </c>
    </row>
    <row r="7869" spans="1:9" x14ac:dyDescent="0.3">
      <c r="A7869" t="s">
        <v>9882</v>
      </c>
      <c r="B7869" t="s">
        <v>1569</v>
      </c>
      <c r="C7869" t="s">
        <v>2001</v>
      </c>
      <c r="D7869">
        <v>2</v>
      </c>
      <c r="E7869" s="16">
        <v>600.16</v>
      </c>
      <c r="F7869" s="1">
        <v>44782</v>
      </c>
      <c r="G7869" t="s">
        <v>2018</v>
      </c>
      <c r="H7869">
        <v>3</v>
      </c>
      <c r="I7869" s="12">
        <f>Table16[[#This Row],[price]]*Table16[[#This Row],[quantity]]</f>
        <v>1200.32</v>
      </c>
    </row>
    <row r="7870" spans="1:9" x14ac:dyDescent="0.3">
      <c r="A7870" t="s">
        <v>9885</v>
      </c>
      <c r="B7870" t="s">
        <v>1569</v>
      </c>
      <c r="C7870" t="s">
        <v>2001</v>
      </c>
      <c r="D7870">
        <v>3</v>
      </c>
      <c r="E7870" s="16">
        <v>900.24</v>
      </c>
      <c r="F7870" s="1">
        <v>44799</v>
      </c>
      <c r="G7870" t="s">
        <v>2004</v>
      </c>
      <c r="H7870">
        <v>5</v>
      </c>
      <c r="I7870" s="12">
        <f>Table16[[#This Row],[price]]*Table16[[#This Row],[quantity]]</f>
        <v>2700.7200000000003</v>
      </c>
    </row>
    <row r="7871" spans="1:9" x14ac:dyDescent="0.3">
      <c r="A7871" t="s">
        <v>9891</v>
      </c>
      <c r="B7871" t="s">
        <v>1570</v>
      </c>
      <c r="C7871" t="s">
        <v>2024</v>
      </c>
      <c r="D7871">
        <v>4</v>
      </c>
      <c r="E7871" s="16">
        <v>143.36000000000001</v>
      </c>
      <c r="F7871" s="1">
        <v>44210</v>
      </c>
      <c r="G7871" t="s">
        <v>2009</v>
      </c>
      <c r="H7871">
        <v>3</v>
      </c>
      <c r="I7871" s="12">
        <f>Table16[[#This Row],[price]]*Table16[[#This Row],[quantity]]</f>
        <v>573.44000000000005</v>
      </c>
    </row>
    <row r="7872" spans="1:9" x14ac:dyDescent="0.3">
      <c r="A7872" t="s">
        <v>9890</v>
      </c>
      <c r="B7872" t="s">
        <v>1570</v>
      </c>
      <c r="C7872" t="s">
        <v>2015</v>
      </c>
      <c r="D7872">
        <v>4</v>
      </c>
      <c r="E7872" s="16">
        <v>2400.6799999999998</v>
      </c>
      <c r="F7872" s="1">
        <v>44260</v>
      </c>
      <c r="G7872" t="s">
        <v>2004</v>
      </c>
      <c r="H7872">
        <v>5</v>
      </c>
      <c r="I7872" s="12">
        <f>Table16[[#This Row],[price]]*Table16[[#This Row],[quantity]]</f>
        <v>9602.7199999999993</v>
      </c>
    </row>
    <row r="7873" spans="1:9" x14ac:dyDescent="0.3">
      <c r="A7873" t="s">
        <v>9887</v>
      </c>
      <c r="B7873" t="s">
        <v>1570</v>
      </c>
      <c r="C7873" t="s">
        <v>2008</v>
      </c>
      <c r="D7873">
        <v>4</v>
      </c>
      <c r="E7873" s="16">
        <v>20.92</v>
      </c>
      <c r="F7873" s="1">
        <v>44290</v>
      </c>
      <c r="G7873" t="s">
        <v>2002</v>
      </c>
      <c r="H7873">
        <v>2</v>
      </c>
      <c r="I7873" s="12">
        <f>Table16[[#This Row],[price]]*Table16[[#This Row],[quantity]]</f>
        <v>83.68</v>
      </c>
    </row>
    <row r="7874" spans="1:9" x14ac:dyDescent="0.3">
      <c r="A7874" t="s">
        <v>9892</v>
      </c>
      <c r="B7874" t="s">
        <v>1570</v>
      </c>
      <c r="C7874" t="s">
        <v>2001</v>
      </c>
      <c r="D7874">
        <v>1</v>
      </c>
      <c r="E7874" s="16">
        <v>300.08</v>
      </c>
      <c r="F7874" s="1">
        <v>44295</v>
      </c>
      <c r="G7874" t="s">
        <v>2004</v>
      </c>
      <c r="H7874">
        <v>1</v>
      </c>
      <c r="I7874" s="12">
        <f>Table16[[#This Row],[price]]*Table16[[#This Row],[quantity]]</f>
        <v>300.08</v>
      </c>
    </row>
    <row r="7875" spans="1:9" x14ac:dyDescent="0.3">
      <c r="A7875" t="s">
        <v>9888</v>
      </c>
      <c r="B7875" t="s">
        <v>1570</v>
      </c>
      <c r="C7875" t="s">
        <v>2001</v>
      </c>
      <c r="D7875">
        <v>4</v>
      </c>
      <c r="E7875" s="16">
        <v>1200.32</v>
      </c>
      <c r="F7875" s="1">
        <v>44431</v>
      </c>
      <c r="G7875" t="s">
        <v>2058</v>
      </c>
      <c r="H7875">
        <v>1</v>
      </c>
      <c r="I7875" s="12">
        <f>Table16[[#This Row],[price]]*Table16[[#This Row],[quantity]]</f>
        <v>4801.28</v>
      </c>
    </row>
    <row r="7876" spans="1:9" x14ac:dyDescent="0.3">
      <c r="A7876" t="s">
        <v>9889</v>
      </c>
      <c r="B7876" t="s">
        <v>1570</v>
      </c>
      <c r="C7876" t="s">
        <v>2006</v>
      </c>
      <c r="D7876">
        <v>3</v>
      </c>
      <c r="E7876" s="16">
        <v>45.45</v>
      </c>
      <c r="F7876" s="1">
        <v>44730</v>
      </c>
      <c r="G7876" t="s">
        <v>2018</v>
      </c>
      <c r="H7876">
        <v>5</v>
      </c>
      <c r="I7876" s="12">
        <f>Table16[[#This Row],[price]]*Table16[[#This Row],[quantity]]</f>
        <v>136.35000000000002</v>
      </c>
    </row>
    <row r="7877" spans="1:9" x14ac:dyDescent="0.3">
      <c r="A7877" t="s">
        <v>9896</v>
      </c>
      <c r="B7877" t="s">
        <v>1571</v>
      </c>
      <c r="C7877" t="s">
        <v>2011</v>
      </c>
      <c r="D7877">
        <v>5</v>
      </c>
      <c r="E7877" s="16">
        <v>203.3</v>
      </c>
      <c r="F7877" s="1">
        <v>44383</v>
      </c>
      <c r="G7877" t="s">
        <v>2027</v>
      </c>
      <c r="H7877">
        <v>4</v>
      </c>
      <c r="I7877" s="12">
        <f>Table16[[#This Row],[price]]*Table16[[#This Row],[quantity]]</f>
        <v>1016.5</v>
      </c>
    </row>
    <row r="7878" spans="1:9" x14ac:dyDescent="0.3">
      <c r="A7878" t="s">
        <v>9895</v>
      </c>
      <c r="B7878" t="s">
        <v>1571</v>
      </c>
      <c r="C7878" t="s">
        <v>2001</v>
      </c>
      <c r="D7878">
        <v>1</v>
      </c>
      <c r="E7878" s="16">
        <v>300.08</v>
      </c>
      <c r="F7878" s="1">
        <v>44700</v>
      </c>
      <c r="G7878" t="s">
        <v>2002</v>
      </c>
      <c r="H7878">
        <v>3</v>
      </c>
      <c r="I7878" s="12">
        <f>Table16[[#This Row],[price]]*Table16[[#This Row],[quantity]]</f>
        <v>300.08</v>
      </c>
    </row>
    <row r="7879" spans="1:9" x14ac:dyDescent="0.3">
      <c r="A7879" t="s">
        <v>9894</v>
      </c>
      <c r="B7879" t="s">
        <v>1571</v>
      </c>
      <c r="C7879" t="s">
        <v>2001</v>
      </c>
      <c r="D7879">
        <v>1</v>
      </c>
      <c r="E7879" s="16">
        <v>300.08</v>
      </c>
      <c r="F7879" s="1">
        <v>44892</v>
      </c>
      <c r="G7879" t="s">
        <v>2009</v>
      </c>
      <c r="H7879">
        <v>4</v>
      </c>
      <c r="I7879" s="12">
        <f>Table16[[#This Row],[price]]*Table16[[#This Row],[quantity]]</f>
        <v>300.08</v>
      </c>
    </row>
    <row r="7880" spans="1:9" x14ac:dyDescent="0.3">
      <c r="A7880" t="s">
        <v>9893</v>
      </c>
      <c r="B7880" t="s">
        <v>1571</v>
      </c>
      <c r="C7880" t="s">
        <v>2024</v>
      </c>
      <c r="D7880">
        <v>1</v>
      </c>
      <c r="E7880" s="16">
        <v>35.840000000000003</v>
      </c>
      <c r="F7880" s="1">
        <v>44909</v>
      </c>
      <c r="G7880" t="s">
        <v>2041</v>
      </c>
      <c r="H7880">
        <v>2</v>
      </c>
      <c r="I7880" s="12">
        <f>Table16[[#This Row],[price]]*Table16[[#This Row],[quantity]]</f>
        <v>35.840000000000003</v>
      </c>
    </row>
    <row r="7881" spans="1:9" x14ac:dyDescent="0.3">
      <c r="A7881" t="s">
        <v>9898</v>
      </c>
      <c r="B7881" t="s">
        <v>1572</v>
      </c>
      <c r="C7881" t="s">
        <v>2024</v>
      </c>
      <c r="D7881">
        <v>5</v>
      </c>
      <c r="E7881" s="16">
        <v>179.2</v>
      </c>
      <c r="F7881" s="1">
        <v>44280</v>
      </c>
      <c r="G7881" t="s">
        <v>2004</v>
      </c>
      <c r="H7881">
        <v>3</v>
      </c>
      <c r="I7881" s="12">
        <f>Table16[[#This Row],[price]]*Table16[[#This Row],[quantity]]</f>
        <v>896</v>
      </c>
    </row>
    <row r="7882" spans="1:9" x14ac:dyDescent="0.3">
      <c r="A7882" t="s">
        <v>9897</v>
      </c>
      <c r="B7882" t="s">
        <v>1572</v>
      </c>
      <c r="C7882" t="s">
        <v>2057</v>
      </c>
      <c r="D7882">
        <v>2</v>
      </c>
      <c r="E7882" s="16">
        <v>23.46</v>
      </c>
      <c r="F7882" s="1">
        <v>44291</v>
      </c>
      <c r="G7882" t="s">
        <v>2002</v>
      </c>
      <c r="H7882">
        <v>5</v>
      </c>
      <c r="I7882" s="12">
        <f>Table16[[#This Row],[price]]*Table16[[#This Row],[quantity]]</f>
        <v>46.92</v>
      </c>
    </row>
    <row r="7883" spans="1:9" x14ac:dyDescent="0.3">
      <c r="A7883" t="s">
        <v>9900</v>
      </c>
      <c r="B7883" t="s">
        <v>1572</v>
      </c>
      <c r="C7883" t="s">
        <v>2057</v>
      </c>
      <c r="D7883">
        <v>3</v>
      </c>
      <c r="E7883" s="16">
        <v>35.19</v>
      </c>
      <c r="F7883" s="1">
        <v>44576</v>
      </c>
      <c r="G7883" t="s">
        <v>2002</v>
      </c>
      <c r="H7883">
        <v>3</v>
      </c>
      <c r="I7883" s="12">
        <f>Table16[[#This Row],[price]]*Table16[[#This Row],[quantity]]</f>
        <v>105.57</v>
      </c>
    </row>
    <row r="7884" spans="1:9" x14ac:dyDescent="0.3">
      <c r="A7884" t="s">
        <v>9899</v>
      </c>
      <c r="B7884" t="s">
        <v>1572</v>
      </c>
      <c r="C7884" t="s">
        <v>2011</v>
      </c>
      <c r="D7884">
        <v>4</v>
      </c>
      <c r="E7884" s="16">
        <v>162.63999999999999</v>
      </c>
      <c r="F7884" s="1">
        <v>44740</v>
      </c>
      <c r="G7884" t="s">
        <v>2027</v>
      </c>
      <c r="H7884">
        <v>3</v>
      </c>
      <c r="I7884" s="12">
        <f>Table16[[#This Row],[price]]*Table16[[#This Row],[quantity]]</f>
        <v>650.55999999999995</v>
      </c>
    </row>
    <row r="7885" spans="1:9" x14ac:dyDescent="0.3">
      <c r="A7885" t="s">
        <v>9901</v>
      </c>
      <c r="B7885" t="s">
        <v>1573</v>
      </c>
      <c r="C7885" t="s">
        <v>2011</v>
      </c>
      <c r="D7885">
        <v>3</v>
      </c>
      <c r="E7885" s="16">
        <v>121.98</v>
      </c>
      <c r="F7885" s="1">
        <v>44222</v>
      </c>
      <c r="G7885" t="s">
        <v>2009</v>
      </c>
      <c r="H7885">
        <v>2</v>
      </c>
      <c r="I7885" s="12">
        <f>Table16[[#This Row],[price]]*Table16[[#This Row],[quantity]]</f>
        <v>365.94</v>
      </c>
    </row>
    <row r="7886" spans="1:9" x14ac:dyDescent="0.3">
      <c r="A7886" t="s">
        <v>9902</v>
      </c>
      <c r="B7886" t="s">
        <v>1573</v>
      </c>
      <c r="C7886" t="s">
        <v>2001</v>
      </c>
      <c r="D7886">
        <v>3</v>
      </c>
      <c r="E7886" s="16">
        <v>900.24</v>
      </c>
      <c r="F7886" s="1">
        <v>44600</v>
      </c>
      <c r="G7886" t="s">
        <v>2027</v>
      </c>
      <c r="H7886">
        <v>5</v>
      </c>
      <c r="I7886" s="12">
        <f>Table16[[#This Row],[price]]*Table16[[#This Row],[quantity]]</f>
        <v>2700.7200000000003</v>
      </c>
    </row>
    <row r="7887" spans="1:9" x14ac:dyDescent="0.3">
      <c r="A7887" t="s">
        <v>9903</v>
      </c>
      <c r="B7887" t="s">
        <v>1573</v>
      </c>
      <c r="C7887" t="s">
        <v>2011</v>
      </c>
      <c r="D7887">
        <v>1</v>
      </c>
      <c r="E7887" s="16">
        <v>40.659999999999997</v>
      </c>
      <c r="F7887" s="1">
        <v>44660</v>
      </c>
      <c r="G7887" t="s">
        <v>2004</v>
      </c>
      <c r="H7887">
        <v>5</v>
      </c>
      <c r="I7887" s="12">
        <f>Table16[[#This Row],[price]]*Table16[[#This Row],[quantity]]</f>
        <v>40.659999999999997</v>
      </c>
    </row>
    <row r="7888" spans="1:9" x14ac:dyDescent="0.3">
      <c r="A7888" t="s">
        <v>9904</v>
      </c>
      <c r="B7888" t="s">
        <v>1573</v>
      </c>
      <c r="C7888" t="s">
        <v>2008</v>
      </c>
      <c r="D7888">
        <v>3</v>
      </c>
      <c r="E7888" s="16">
        <v>15.69</v>
      </c>
      <c r="F7888" s="1">
        <v>44717</v>
      </c>
      <c r="G7888" t="s">
        <v>2004</v>
      </c>
      <c r="H7888">
        <v>4</v>
      </c>
      <c r="I7888" s="12">
        <f>Table16[[#This Row],[price]]*Table16[[#This Row],[quantity]]</f>
        <v>47.07</v>
      </c>
    </row>
    <row r="7889" spans="1:9" x14ac:dyDescent="0.3">
      <c r="A7889" t="s">
        <v>9905</v>
      </c>
      <c r="B7889" t="s">
        <v>1574</v>
      </c>
      <c r="C7889" t="s">
        <v>2011</v>
      </c>
      <c r="D7889">
        <v>1</v>
      </c>
      <c r="E7889" s="16">
        <v>40.659999999999997</v>
      </c>
      <c r="F7889" s="1">
        <v>44242</v>
      </c>
      <c r="G7889" t="s">
        <v>2027</v>
      </c>
      <c r="H7889">
        <v>2</v>
      </c>
      <c r="I7889" s="12">
        <f>Table16[[#This Row],[price]]*Table16[[#This Row],[quantity]]</f>
        <v>40.659999999999997</v>
      </c>
    </row>
    <row r="7890" spans="1:9" x14ac:dyDescent="0.3">
      <c r="A7890" t="s">
        <v>9907</v>
      </c>
      <c r="B7890" t="s">
        <v>1574</v>
      </c>
      <c r="C7890" t="s">
        <v>2001</v>
      </c>
      <c r="D7890">
        <v>2</v>
      </c>
      <c r="E7890" s="16">
        <v>600.16</v>
      </c>
      <c r="F7890" s="1">
        <v>44523</v>
      </c>
      <c r="G7890" t="s">
        <v>2004</v>
      </c>
      <c r="H7890">
        <v>4</v>
      </c>
      <c r="I7890" s="12">
        <f>Table16[[#This Row],[price]]*Table16[[#This Row],[quantity]]</f>
        <v>1200.32</v>
      </c>
    </row>
    <row r="7891" spans="1:9" x14ac:dyDescent="0.3">
      <c r="A7891" t="s">
        <v>9906</v>
      </c>
      <c r="B7891" t="s">
        <v>1574</v>
      </c>
      <c r="C7891" t="s">
        <v>2001</v>
      </c>
      <c r="D7891">
        <v>4</v>
      </c>
      <c r="E7891" s="16">
        <v>1200.32</v>
      </c>
      <c r="F7891" s="1">
        <v>44785</v>
      </c>
      <c r="G7891" t="s">
        <v>2020</v>
      </c>
      <c r="H7891">
        <v>4</v>
      </c>
      <c r="I7891" s="12">
        <f>Table16[[#This Row],[price]]*Table16[[#This Row],[quantity]]</f>
        <v>4801.28</v>
      </c>
    </row>
    <row r="7892" spans="1:9" x14ac:dyDescent="0.3">
      <c r="A7892" t="s">
        <v>9908</v>
      </c>
      <c r="B7892" t="s">
        <v>1575</v>
      </c>
      <c r="C7892" t="s">
        <v>2017</v>
      </c>
      <c r="D7892">
        <v>4</v>
      </c>
      <c r="E7892" s="16">
        <v>4200</v>
      </c>
      <c r="F7892" s="1">
        <v>44690</v>
      </c>
      <c r="G7892" t="s">
        <v>2027</v>
      </c>
      <c r="H7892">
        <v>4</v>
      </c>
      <c r="I7892" s="12">
        <f>Table16[[#This Row],[price]]*Table16[[#This Row],[quantity]]</f>
        <v>16800</v>
      </c>
    </row>
    <row r="7893" spans="1:9" x14ac:dyDescent="0.3">
      <c r="A7893" t="s">
        <v>9909</v>
      </c>
      <c r="B7893" t="s">
        <v>1575</v>
      </c>
      <c r="C7893" t="s">
        <v>2001</v>
      </c>
      <c r="D7893">
        <v>2</v>
      </c>
      <c r="E7893" s="16">
        <v>600.16</v>
      </c>
      <c r="F7893" s="1">
        <v>44749</v>
      </c>
      <c r="G7893" t="s">
        <v>2020</v>
      </c>
      <c r="H7893">
        <v>5</v>
      </c>
      <c r="I7893" s="12">
        <f>Table16[[#This Row],[price]]*Table16[[#This Row],[quantity]]</f>
        <v>1200.32</v>
      </c>
    </row>
    <row r="7894" spans="1:9" x14ac:dyDescent="0.3">
      <c r="A7894" t="s">
        <v>9910</v>
      </c>
      <c r="B7894" t="s">
        <v>1575</v>
      </c>
      <c r="C7894" t="s">
        <v>2011</v>
      </c>
      <c r="D7894">
        <v>2</v>
      </c>
      <c r="E7894" s="16">
        <v>81.319999999999993</v>
      </c>
      <c r="F7894" s="1">
        <v>44841</v>
      </c>
      <c r="G7894" t="s">
        <v>2020</v>
      </c>
      <c r="H7894">
        <v>5</v>
      </c>
      <c r="I7894" s="12">
        <f>Table16[[#This Row],[price]]*Table16[[#This Row],[quantity]]</f>
        <v>162.63999999999999</v>
      </c>
    </row>
    <row r="7895" spans="1:9" x14ac:dyDescent="0.3">
      <c r="A7895" t="s">
        <v>9911</v>
      </c>
      <c r="B7895" t="s">
        <v>1576</v>
      </c>
      <c r="C7895" t="s">
        <v>2015</v>
      </c>
      <c r="D7895">
        <v>2</v>
      </c>
      <c r="E7895" s="16">
        <v>1200.3399999999999</v>
      </c>
      <c r="F7895" s="1">
        <v>44198</v>
      </c>
      <c r="G7895" t="s">
        <v>2002</v>
      </c>
      <c r="H7895">
        <v>2</v>
      </c>
      <c r="I7895" s="12">
        <f>Table16[[#This Row],[price]]*Table16[[#This Row],[quantity]]</f>
        <v>2400.6799999999998</v>
      </c>
    </row>
    <row r="7896" spans="1:9" x14ac:dyDescent="0.3">
      <c r="A7896" t="s">
        <v>9917</v>
      </c>
      <c r="B7896" t="s">
        <v>1576</v>
      </c>
      <c r="C7896" t="s">
        <v>2001</v>
      </c>
      <c r="D7896">
        <v>5</v>
      </c>
      <c r="E7896" s="16">
        <v>1500.4</v>
      </c>
      <c r="F7896" s="1">
        <v>44333</v>
      </c>
      <c r="G7896" t="s">
        <v>2064</v>
      </c>
      <c r="H7896">
        <v>1</v>
      </c>
      <c r="I7896" s="12">
        <f>Table16[[#This Row],[price]]*Table16[[#This Row],[quantity]]</f>
        <v>7502</v>
      </c>
    </row>
    <row r="7897" spans="1:9" x14ac:dyDescent="0.3">
      <c r="A7897" t="s">
        <v>9913</v>
      </c>
      <c r="B7897" t="s">
        <v>1576</v>
      </c>
      <c r="C7897" t="s">
        <v>2008</v>
      </c>
      <c r="D7897">
        <v>4</v>
      </c>
      <c r="E7897" s="16">
        <v>20.92</v>
      </c>
      <c r="F7897" s="1">
        <v>44435</v>
      </c>
      <c r="G7897" t="s">
        <v>2041</v>
      </c>
      <c r="H7897">
        <v>4</v>
      </c>
      <c r="I7897" s="12">
        <f>Table16[[#This Row],[price]]*Table16[[#This Row],[quantity]]</f>
        <v>83.68</v>
      </c>
    </row>
    <row r="7898" spans="1:9" x14ac:dyDescent="0.3">
      <c r="A7898" t="s">
        <v>9914</v>
      </c>
      <c r="B7898" t="s">
        <v>1576</v>
      </c>
      <c r="C7898" t="s">
        <v>2008</v>
      </c>
      <c r="D7898">
        <v>3</v>
      </c>
      <c r="E7898" s="16">
        <v>15.69</v>
      </c>
      <c r="F7898" s="1">
        <v>44461</v>
      </c>
      <c r="G7898" t="s">
        <v>2058</v>
      </c>
      <c r="H7898">
        <v>3</v>
      </c>
      <c r="I7898" s="12">
        <f>Table16[[#This Row],[price]]*Table16[[#This Row],[quantity]]</f>
        <v>47.07</v>
      </c>
    </row>
    <row r="7899" spans="1:9" x14ac:dyDescent="0.3">
      <c r="A7899" t="s">
        <v>9912</v>
      </c>
      <c r="B7899" t="s">
        <v>1576</v>
      </c>
      <c r="C7899" t="s">
        <v>2001</v>
      </c>
      <c r="D7899">
        <v>2</v>
      </c>
      <c r="E7899" s="16">
        <v>600.16</v>
      </c>
      <c r="F7899" s="1">
        <v>44493</v>
      </c>
      <c r="G7899" t="s">
        <v>2004</v>
      </c>
      <c r="H7899">
        <v>4</v>
      </c>
      <c r="I7899" s="12">
        <f>Table16[[#This Row],[price]]*Table16[[#This Row],[quantity]]</f>
        <v>1200.32</v>
      </c>
    </row>
    <row r="7900" spans="1:9" x14ac:dyDescent="0.3">
      <c r="A7900" t="s">
        <v>9916</v>
      </c>
      <c r="B7900" t="s">
        <v>1576</v>
      </c>
      <c r="C7900" t="s">
        <v>2001</v>
      </c>
      <c r="D7900">
        <v>2</v>
      </c>
      <c r="E7900" s="16">
        <v>600.16</v>
      </c>
      <c r="F7900" s="1">
        <v>44553</v>
      </c>
      <c r="G7900" t="s">
        <v>2027</v>
      </c>
      <c r="H7900">
        <v>4</v>
      </c>
      <c r="I7900" s="12">
        <f>Table16[[#This Row],[price]]*Table16[[#This Row],[quantity]]</f>
        <v>1200.32</v>
      </c>
    </row>
    <row r="7901" spans="1:9" x14ac:dyDescent="0.3">
      <c r="A7901" t="s">
        <v>9915</v>
      </c>
      <c r="B7901" t="s">
        <v>1576</v>
      </c>
      <c r="C7901" t="s">
        <v>2017</v>
      </c>
      <c r="D7901">
        <v>1</v>
      </c>
      <c r="E7901" s="16">
        <v>1050</v>
      </c>
      <c r="F7901" s="1">
        <v>44632</v>
      </c>
      <c r="G7901" t="s">
        <v>2004</v>
      </c>
      <c r="H7901">
        <v>2</v>
      </c>
      <c r="I7901" s="12">
        <f>Table16[[#This Row],[price]]*Table16[[#This Row],[quantity]]</f>
        <v>1050</v>
      </c>
    </row>
    <row r="7902" spans="1:9" x14ac:dyDescent="0.3">
      <c r="A7902" t="s">
        <v>9918</v>
      </c>
      <c r="B7902" t="s">
        <v>1577</v>
      </c>
      <c r="C7902" t="s">
        <v>2001</v>
      </c>
      <c r="D7902">
        <v>5</v>
      </c>
      <c r="E7902" s="16">
        <v>1500.4</v>
      </c>
      <c r="F7902" s="1">
        <v>44541</v>
      </c>
      <c r="G7902" t="s">
        <v>2058</v>
      </c>
      <c r="H7902">
        <v>3</v>
      </c>
      <c r="I7902" s="12">
        <f>Table16[[#This Row],[price]]*Table16[[#This Row],[quantity]]</f>
        <v>7502</v>
      </c>
    </row>
    <row r="7903" spans="1:9" x14ac:dyDescent="0.3">
      <c r="A7903" t="s">
        <v>9919</v>
      </c>
      <c r="B7903" t="s">
        <v>1577</v>
      </c>
      <c r="C7903" t="s">
        <v>2024</v>
      </c>
      <c r="D7903">
        <v>3</v>
      </c>
      <c r="E7903" s="16">
        <v>107.52</v>
      </c>
      <c r="F7903" s="1">
        <v>44541</v>
      </c>
      <c r="G7903" t="s">
        <v>2004</v>
      </c>
      <c r="H7903">
        <v>1</v>
      </c>
      <c r="I7903" s="12">
        <f>Table16[[#This Row],[price]]*Table16[[#This Row],[quantity]]</f>
        <v>322.56</v>
      </c>
    </row>
    <row r="7904" spans="1:9" x14ac:dyDescent="0.3">
      <c r="A7904" t="s">
        <v>9920</v>
      </c>
      <c r="B7904" t="s">
        <v>1577</v>
      </c>
      <c r="C7904" t="s">
        <v>2006</v>
      </c>
      <c r="D7904">
        <v>2</v>
      </c>
      <c r="E7904" s="16">
        <v>30.3</v>
      </c>
      <c r="F7904" s="1">
        <v>44905</v>
      </c>
      <c r="G7904" t="s">
        <v>2004</v>
      </c>
      <c r="H7904">
        <v>4</v>
      </c>
      <c r="I7904" s="12">
        <f>Table16[[#This Row],[price]]*Table16[[#This Row],[quantity]]</f>
        <v>60.6</v>
      </c>
    </row>
    <row r="7905" spans="1:9" x14ac:dyDescent="0.3">
      <c r="A7905" t="s">
        <v>9921</v>
      </c>
      <c r="B7905" t="s">
        <v>1577</v>
      </c>
      <c r="C7905" t="s">
        <v>2015</v>
      </c>
      <c r="D7905">
        <v>3</v>
      </c>
      <c r="E7905" s="16">
        <v>1800.51</v>
      </c>
      <c r="F7905" s="1">
        <v>44908</v>
      </c>
      <c r="G7905" t="s">
        <v>2064</v>
      </c>
      <c r="H7905">
        <v>1</v>
      </c>
      <c r="I7905" s="12">
        <f>Table16[[#This Row],[price]]*Table16[[#This Row],[quantity]]</f>
        <v>5401.53</v>
      </c>
    </row>
    <row r="7906" spans="1:9" x14ac:dyDescent="0.3">
      <c r="A7906" t="s">
        <v>9924</v>
      </c>
      <c r="B7906" t="s">
        <v>1578</v>
      </c>
      <c r="C7906" t="s">
        <v>2008</v>
      </c>
      <c r="D7906">
        <v>1</v>
      </c>
      <c r="E7906" s="16">
        <v>5.23</v>
      </c>
      <c r="F7906" s="1">
        <v>44217</v>
      </c>
      <c r="G7906" t="s">
        <v>2027</v>
      </c>
      <c r="H7906">
        <v>5</v>
      </c>
      <c r="I7906" s="12">
        <f>Table16[[#This Row],[price]]*Table16[[#This Row],[quantity]]</f>
        <v>5.23</v>
      </c>
    </row>
    <row r="7907" spans="1:9" x14ac:dyDescent="0.3">
      <c r="A7907" t="s">
        <v>9923</v>
      </c>
      <c r="B7907" t="s">
        <v>1578</v>
      </c>
      <c r="C7907" t="s">
        <v>2001</v>
      </c>
      <c r="D7907">
        <v>5</v>
      </c>
      <c r="E7907" s="16">
        <v>1500.4</v>
      </c>
      <c r="F7907" s="1">
        <v>44350</v>
      </c>
      <c r="G7907" t="s">
        <v>2004</v>
      </c>
      <c r="H7907">
        <v>5</v>
      </c>
      <c r="I7907" s="12">
        <f>Table16[[#This Row],[price]]*Table16[[#This Row],[quantity]]</f>
        <v>7502</v>
      </c>
    </row>
    <row r="7908" spans="1:9" x14ac:dyDescent="0.3">
      <c r="A7908" t="s">
        <v>9925</v>
      </c>
      <c r="B7908" t="s">
        <v>1578</v>
      </c>
      <c r="C7908" t="s">
        <v>2001</v>
      </c>
      <c r="D7908">
        <v>4</v>
      </c>
      <c r="E7908" s="16">
        <v>1200.32</v>
      </c>
      <c r="F7908" s="1">
        <v>44637</v>
      </c>
      <c r="G7908" t="s">
        <v>2020</v>
      </c>
      <c r="H7908">
        <v>2</v>
      </c>
      <c r="I7908" s="12">
        <f>Table16[[#This Row],[price]]*Table16[[#This Row],[quantity]]</f>
        <v>4801.28</v>
      </c>
    </row>
    <row r="7909" spans="1:9" x14ac:dyDescent="0.3">
      <c r="A7909" t="s">
        <v>9922</v>
      </c>
      <c r="B7909" t="s">
        <v>1578</v>
      </c>
      <c r="C7909" t="s">
        <v>2017</v>
      </c>
      <c r="D7909">
        <v>1</v>
      </c>
      <c r="E7909" s="16">
        <v>1050</v>
      </c>
      <c r="F7909" s="1">
        <v>44788</v>
      </c>
      <c r="G7909" t="s">
        <v>2012</v>
      </c>
      <c r="H7909">
        <v>4</v>
      </c>
      <c r="I7909" s="12">
        <f>Table16[[#This Row],[price]]*Table16[[#This Row],[quantity]]</f>
        <v>1050</v>
      </c>
    </row>
    <row r="7910" spans="1:9" x14ac:dyDescent="0.3">
      <c r="A7910" t="s">
        <v>9926</v>
      </c>
      <c r="B7910" t="s">
        <v>1579</v>
      </c>
      <c r="C7910" t="s">
        <v>2057</v>
      </c>
      <c r="D7910">
        <v>2</v>
      </c>
      <c r="E7910" s="16">
        <v>23.46</v>
      </c>
      <c r="F7910" s="1">
        <v>44282</v>
      </c>
      <c r="G7910" t="s">
        <v>2002</v>
      </c>
      <c r="H7910">
        <v>2</v>
      </c>
      <c r="I7910" s="12">
        <f>Table16[[#This Row],[price]]*Table16[[#This Row],[quantity]]</f>
        <v>46.92</v>
      </c>
    </row>
    <row r="7911" spans="1:9" x14ac:dyDescent="0.3">
      <c r="A7911" t="s">
        <v>9929</v>
      </c>
      <c r="B7911" t="s">
        <v>1579</v>
      </c>
      <c r="C7911" t="s">
        <v>2001</v>
      </c>
      <c r="D7911">
        <v>1</v>
      </c>
      <c r="E7911" s="16">
        <v>300.08</v>
      </c>
      <c r="F7911" s="1">
        <v>44286</v>
      </c>
      <c r="G7911" t="s">
        <v>2009</v>
      </c>
      <c r="H7911">
        <v>3</v>
      </c>
      <c r="I7911" s="12">
        <f>Table16[[#This Row],[price]]*Table16[[#This Row],[quantity]]</f>
        <v>300.08</v>
      </c>
    </row>
    <row r="7912" spans="1:9" x14ac:dyDescent="0.3">
      <c r="A7912" t="s">
        <v>9927</v>
      </c>
      <c r="B7912" t="s">
        <v>1579</v>
      </c>
      <c r="C7912" t="s">
        <v>2008</v>
      </c>
      <c r="D7912">
        <v>4</v>
      </c>
      <c r="E7912" s="16">
        <v>20.92</v>
      </c>
      <c r="F7912" s="1">
        <v>44377</v>
      </c>
      <c r="G7912" t="s">
        <v>2004</v>
      </c>
      <c r="H7912">
        <v>4</v>
      </c>
      <c r="I7912" s="12">
        <f>Table16[[#This Row],[price]]*Table16[[#This Row],[quantity]]</f>
        <v>83.68</v>
      </c>
    </row>
    <row r="7913" spans="1:9" x14ac:dyDescent="0.3">
      <c r="A7913" t="s">
        <v>9928</v>
      </c>
      <c r="B7913" t="s">
        <v>1579</v>
      </c>
      <c r="C7913" t="s">
        <v>2011</v>
      </c>
      <c r="D7913">
        <v>5</v>
      </c>
      <c r="E7913" s="16">
        <v>203.3</v>
      </c>
      <c r="F7913" s="1">
        <v>44523</v>
      </c>
      <c r="G7913" t="s">
        <v>2027</v>
      </c>
      <c r="H7913">
        <v>4</v>
      </c>
      <c r="I7913" s="12">
        <f>Table16[[#This Row],[price]]*Table16[[#This Row],[quantity]]</f>
        <v>1016.5</v>
      </c>
    </row>
    <row r="7914" spans="1:9" x14ac:dyDescent="0.3">
      <c r="A7914" t="s">
        <v>9930</v>
      </c>
      <c r="B7914" t="s">
        <v>1579</v>
      </c>
      <c r="C7914" t="s">
        <v>2001</v>
      </c>
      <c r="D7914">
        <v>1</v>
      </c>
      <c r="E7914" s="16">
        <v>300.08</v>
      </c>
      <c r="F7914" s="1">
        <v>44556</v>
      </c>
      <c r="G7914" t="s">
        <v>2004</v>
      </c>
      <c r="H7914">
        <v>3</v>
      </c>
      <c r="I7914" s="12">
        <f>Table16[[#This Row],[price]]*Table16[[#This Row],[quantity]]</f>
        <v>300.08</v>
      </c>
    </row>
    <row r="7915" spans="1:9" x14ac:dyDescent="0.3">
      <c r="A7915" t="s">
        <v>9934</v>
      </c>
      <c r="B7915" t="s">
        <v>1580</v>
      </c>
      <c r="C7915" t="s">
        <v>2057</v>
      </c>
      <c r="D7915">
        <v>2</v>
      </c>
      <c r="E7915" s="16">
        <v>23.46</v>
      </c>
      <c r="F7915" s="1">
        <v>44230</v>
      </c>
      <c r="G7915" t="s">
        <v>2002</v>
      </c>
      <c r="H7915">
        <v>2</v>
      </c>
      <c r="I7915" s="12">
        <f>Table16[[#This Row],[price]]*Table16[[#This Row],[quantity]]</f>
        <v>46.92</v>
      </c>
    </row>
    <row r="7916" spans="1:9" x14ac:dyDescent="0.3">
      <c r="A7916" t="s">
        <v>9931</v>
      </c>
      <c r="B7916" t="s">
        <v>1580</v>
      </c>
      <c r="C7916" t="s">
        <v>2008</v>
      </c>
      <c r="D7916">
        <v>3</v>
      </c>
      <c r="E7916" s="16">
        <v>15.69</v>
      </c>
      <c r="F7916" s="1">
        <v>44323</v>
      </c>
      <c r="G7916" t="s">
        <v>2004</v>
      </c>
      <c r="H7916">
        <v>5</v>
      </c>
      <c r="I7916" s="12">
        <f>Table16[[#This Row],[price]]*Table16[[#This Row],[quantity]]</f>
        <v>47.07</v>
      </c>
    </row>
    <row r="7917" spans="1:9" x14ac:dyDescent="0.3">
      <c r="A7917" t="s">
        <v>9932</v>
      </c>
      <c r="B7917" t="s">
        <v>1580</v>
      </c>
      <c r="C7917" t="s">
        <v>2011</v>
      </c>
      <c r="D7917">
        <v>4</v>
      </c>
      <c r="E7917" s="16">
        <v>162.63999999999999</v>
      </c>
      <c r="F7917" s="1">
        <v>44550</v>
      </c>
      <c r="G7917" t="s">
        <v>2004</v>
      </c>
      <c r="H7917">
        <v>3</v>
      </c>
      <c r="I7917" s="12">
        <f>Table16[[#This Row],[price]]*Table16[[#This Row],[quantity]]</f>
        <v>650.55999999999995</v>
      </c>
    </row>
    <row r="7918" spans="1:9" x14ac:dyDescent="0.3">
      <c r="A7918" t="s">
        <v>9933</v>
      </c>
      <c r="B7918" t="s">
        <v>1580</v>
      </c>
      <c r="C7918" t="s">
        <v>2001</v>
      </c>
      <c r="D7918">
        <v>3</v>
      </c>
      <c r="E7918" s="16">
        <v>900.24</v>
      </c>
      <c r="F7918" s="1">
        <v>44585</v>
      </c>
      <c r="G7918" t="s">
        <v>2058</v>
      </c>
      <c r="H7918">
        <v>3</v>
      </c>
      <c r="I7918" s="12">
        <f>Table16[[#This Row],[price]]*Table16[[#This Row],[quantity]]</f>
        <v>2700.7200000000003</v>
      </c>
    </row>
    <row r="7919" spans="1:9" x14ac:dyDescent="0.3">
      <c r="A7919" t="s">
        <v>9935</v>
      </c>
      <c r="B7919" t="s">
        <v>1580</v>
      </c>
      <c r="C7919" t="s">
        <v>2015</v>
      </c>
      <c r="D7919">
        <v>1</v>
      </c>
      <c r="E7919" s="16">
        <v>600.16999999999996</v>
      </c>
      <c r="F7919" s="1">
        <v>44762</v>
      </c>
      <c r="G7919" t="s">
        <v>2027</v>
      </c>
      <c r="H7919">
        <v>2</v>
      </c>
      <c r="I7919" s="12">
        <f>Table16[[#This Row],[price]]*Table16[[#This Row],[quantity]]</f>
        <v>600.16999999999996</v>
      </c>
    </row>
    <row r="7920" spans="1:9" x14ac:dyDescent="0.3">
      <c r="A7920" t="s">
        <v>9941</v>
      </c>
      <c r="B7920" t="s">
        <v>1581</v>
      </c>
      <c r="C7920" t="s">
        <v>2017</v>
      </c>
      <c r="D7920">
        <v>5</v>
      </c>
      <c r="E7920" s="16">
        <v>5250</v>
      </c>
      <c r="F7920" s="1">
        <v>44244</v>
      </c>
      <c r="G7920" t="s">
        <v>2058</v>
      </c>
      <c r="H7920">
        <v>2</v>
      </c>
      <c r="I7920" s="12">
        <f>Table16[[#This Row],[price]]*Table16[[#This Row],[quantity]]</f>
        <v>26250</v>
      </c>
    </row>
    <row r="7921" spans="1:9" x14ac:dyDescent="0.3">
      <c r="A7921" t="s">
        <v>9937</v>
      </c>
      <c r="B7921" t="s">
        <v>1581</v>
      </c>
      <c r="C7921" t="s">
        <v>2008</v>
      </c>
      <c r="D7921">
        <v>2</v>
      </c>
      <c r="E7921" s="16">
        <v>10.46</v>
      </c>
      <c r="F7921" s="1">
        <v>44304</v>
      </c>
      <c r="G7921" t="s">
        <v>2004</v>
      </c>
      <c r="H7921">
        <v>3</v>
      </c>
      <c r="I7921" s="12">
        <f>Table16[[#This Row],[price]]*Table16[[#This Row],[quantity]]</f>
        <v>20.92</v>
      </c>
    </row>
    <row r="7922" spans="1:9" x14ac:dyDescent="0.3">
      <c r="A7922" t="s">
        <v>9936</v>
      </c>
      <c r="B7922" t="s">
        <v>1581</v>
      </c>
      <c r="C7922" t="s">
        <v>2011</v>
      </c>
      <c r="D7922">
        <v>4</v>
      </c>
      <c r="E7922" s="16">
        <v>162.63999999999999</v>
      </c>
      <c r="F7922" s="1">
        <v>44354</v>
      </c>
      <c r="G7922" t="s">
        <v>2041</v>
      </c>
      <c r="H7922">
        <v>2</v>
      </c>
      <c r="I7922" s="12">
        <f>Table16[[#This Row],[price]]*Table16[[#This Row],[quantity]]</f>
        <v>650.55999999999995</v>
      </c>
    </row>
    <row r="7923" spans="1:9" x14ac:dyDescent="0.3">
      <c r="A7923" t="s">
        <v>9939</v>
      </c>
      <c r="B7923" t="s">
        <v>1581</v>
      </c>
      <c r="C7923" t="s">
        <v>2006</v>
      </c>
      <c r="D7923">
        <v>3</v>
      </c>
      <c r="E7923" s="16">
        <v>45.45</v>
      </c>
      <c r="F7923" s="1">
        <v>44500</v>
      </c>
      <c r="G7923" t="s">
        <v>2041</v>
      </c>
      <c r="H7923">
        <v>5</v>
      </c>
      <c r="I7923" s="12">
        <f>Table16[[#This Row],[price]]*Table16[[#This Row],[quantity]]</f>
        <v>136.35000000000002</v>
      </c>
    </row>
    <row r="7924" spans="1:9" x14ac:dyDescent="0.3">
      <c r="A7924" t="s">
        <v>9938</v>
      </c>
      <c r="B7924" t="s">
        <v>1581</v>
      </c>
      <c r="C7924" t="s">
        <v>2008</v>
      </c>
      <c r="D7924">
        <v>3</v>
      </c>
      <c r="E7924" s="16">
        <v>15.69</v>
      </c>
      <c r="F7924" s="1">
        <v>44535</v>
      </c>
      <c r="G7924" t="s">
        <v>2004</v>
      </c>
      <c r="H7924">
        <v>2</v>
      </c>
      <c r="I7924" s="12">
        <f>Table16[[#This Row],[price]]*Table16[[#This Row],[quantity]]</f>
        <v>47.07</v>
      </c>
    </row>
    <row r="7925" spans="1:9" x14ac:dyDescent="0.3">
      <c r="A7925" t="s">
        <v>9940</v>
      </c>
      <c r="B7925" t="s">
        <v>1581</v>
      </c>
      <c r="C7925" t="s">
        <v>2001</v>
      </c>
      <c r="D7925">
        <v>5</v>
      </c>
      <c r="E7925" s="16">
        <v>1500.4</v>
      </c>
      <c r="F7925" s="1">
        <v>44966</v>
      </c>
      <c r="G7925" t="s">
        <v>2002</v>
      </c>
      <c r="H7925">
        <v>4</v>
      </c>
      <c r="I7925" s="12">
        <f>Table16[[#This Row],[price]]*Table16[[#This Row],[quantity]]</f>
        <v>7502</v>
      </c>
    </row>
    <row r="7926" spans="1:9" x14ac:dyDescent="0.3">
      <c r="A7926" t="s">
        <v>9946</v>
      </c>
      <c r="B7926" t="s">
        <v>1582</v>
      </c>
      <c r="C7926" t="s">
        <v>2017</v>
      </c>
      <c r="D7926">
        <v>5</v>
      </c>
      <c r="E7926" s="16">
        <v>5250</v>
      </c>
      <c r="F7926" s="1">
        <v>44202</v>
      </c>
      <c r="G7926" t="s">
        <v>2064</v>
      </c>
      <c r="H7926">
        <v>1</v>
      </c>
      <c r="I7926" s="12">
        <f>Table16[[#This Row],[price]]*Table16[[#This Row],[quantity]]</f>
        <v>26250</v>
      </c>
    </row>
    <row r="7927" spans="1:9" x14ac:dyDescent="0.3">
      <c r="A7927" t="s">
        <v>9943</v>
      </c>
      <c r="B7927" t="s">
        <v>1582</v>
      </c>
      <c r="C7927" t="s">
        <v>2017</v>
      </c>
      <c r="D7927">
        <v>1</v>
      </c>
      <c r="E7927" s="16">
        <v>1050</v>
      </c>
      <c r="F7927" s="1">
        <v>44240</v>
      </c>
      <c r="G7927" t="s">
        <v>2018</v>
      </c>
      <c r="H7927">
        <v>2</v>
      </c>
      <c r="I7927" s="12">
        <f>Table16[[#This Row],[price]]*Table16[[#This Row],[quantity]]</f>
        <v>1050</v>
      </c>
    </row>
    <row r="7928" spans="1:9" x14ac:dyDescent="0.3">
      <c r="A7928" t="s">
        <v>9948</v>
      </c>
      <c r="B7928" t="s">
        <v>1582</v>
      </c>
      <c r="C7928" t="s">
        <v>2001</v>
      </c>
      <c r="D7928">
        <v>4</v>
      </c>
      <c r="E7928" s="16">
        <v>1200.32</v>
      </c>
      <c r="F7928" s="1">
        <v>44277</v>
      </c>
      <c r="G7928" t="s">
        <v>2009</v>
      </c>
      <c r="H7928">
        <v>2</v>
      </c>
      <c r="I7928" s="12">
        <f>Table16[[#This Row],[price]]*Table16[[#This Row],[quantity]]</f>
        <v>4801.28</v>
      </c>
    </row>
    <row r="7929" spans="1:9" x14ac:dyDescent="0.3">
      <c r="A7929" t="s">
        <v>9945</v>
      </c>
      <c r="B7929" t="s">
        <v>1582</v>
      </c>
      <c r="C7929" t="s">
        <v>2008</v>
      </c>
      <c r="D7929">
        <v>5</v>
      </c>
      <c r="E7929" s="16">
        <v>26.15</v>
      </c>
      <c r="F7929" s="1">
        <v>44332</v>
      </c>
      <c r="G7929" t="s">
        <v>2002</v>
      </c>
      <c r="H7929">
        <v>5</v>
      </c>
      <c r="I7929" s="12">
        <f>Table16[[#This Row],[price]]*Table16[[#This Row],[quantity]]</f>
        <v>130.75</v>
      </c>
    </row>
    <row r="7930" spans="1:9" x14ac:dyDescent="0.3">
      <c r="A7930" t="s">
        <v>9949</v>
      </c>
      <c r="B7930" t="s">
        <v>1582</v>
      </c>
      <c r="C7930" t="s">
        <v>2001</v>
      </c>
      <c r="D7930">
        <v>1</v>
      </c>
      <c r="E7930" s="16">
        <v>300.08</v>
      </c>
      <c r="F7930" s="1">
        <v>44490</v>
      </c>
      <c r="G7930" t="s">
        <v>2027</v>
      </c>
      <c r="H7930">
        <v>2</v>
      </c>
      <c r="I7930" s="12">
        <f>Table16[[#This Row],[price]]*Table16[[#This Row],[quantity]]</f>
        <v>300.08</v>
      </c>
    </row>
    <row r="7931" spans="1:9" x14ac:dyDescent="0.3">
      <c r="A7931" t="s">
        <v>9947</v>
      </c>
      <c r="B7931" t="s">
        <v>1582</v>
      </c>
      <c r="C7931" t="s">
        <v>2015</v>
      </c>
      <c r="D7931">
        <v>5</v>
      </c>
      <c r="E7931" s="16">
        <v>3000.85</v>
      </c>
      <c r="F7931" s="1">
        <v>44748</v>
      </c>
      <c r="G7931" t="s">
        <v>2027</v>
      </c>
      <c r="H7931">
        <v>1</v>
      </c>
      <c r="I7931" s="12">
        <f>Table16[[#This Row],[price]]*Table16[[#This Row],[quantity]]</f>
        <v>15004.25</v>
      </c>
    </row>
    <row r="7932" spans="1:9" x14ac:dyDescent="0.3">
      <c r="A7932" t="s">
        <v>9944</v>
      </c>
      <c r="B7932" t="s">
        <v>1582</v>
      </c>
      <c r="C7932" t="s">
        <v>2008</v>
      </c>
      <c r="D7932">
        <v>1</v>
      </c>
      <c r="E7932" s="16">
        <v>5.23</v>
      </c>
      <c r="F7932" s="1">
        <v>44817</v>
      </c>
      <c r="G7932" t="s">
        <v>2002</v>
      </c>
      <c r="H7932">
        <v>3</v>
      </c>
      <c r="I7932" s="12">
        <f>Table16[[#This Row],[price]]*Table16[[#This Row],[quantity]]</f>
        <v>5.23</v>
      </c>
    </row>
    <row r="7933" spans="1:9" x14ac:dyDescent="0.3">
      <c r="A7933" t="s">
        <v>9942</v>
      </c>
      <c r="B7933" t="s">
        <v>1582</v>
      </c>
      <c r="C7933" t="s">
        <v>2015</v>
      </c>
      <c r="D7933">
        <v>1</v>
      </c>
      <c r="E7933" s="16">
        <v>600.16999999999996</v>
      </c>
      <c r="F7933" s="1">
        <v>44865</v>
      </c>
      <c r="G7933" t="s">
        <v>2002</v>
      </c>
      <c r="H7933">
        <v>3</v>
      </c>
      <c r="I7933" s="12">
        <f>Table16[[#This Row],[price]]*Table16[[#This Row],[quantity]]</f>
        <v>600.16999999999996</v>
      </c>
    </row>
    <row r="7934" spans="1:9" x14ac:dyDescent="0.3">
      <c r="A7934" t="s">
        <v>9954</v>
      </c>
      <c r="B7934" t="s">
        <v>1583</v>
      </c>
      <c r="C7934" t="s">
        <v>2015</v>
      </c>
      <c r="D7934">
        <v>5</v>
      </c>
      <c r="E7934" s="16">
        <v>3000.85</v>
      </c>
      <c r="F7934" s="1">
        <v>44394</v>
      </c>
      <c r="G7934" t="s">
        <v>2027</v>
      </c>
      <c r="H7934">
        <v>1</v>
      </c>
      <c r="I7934" s="12">
        <f>Table16[[#This Row],[price]]*Table16[[#This Row],[quantity]]</f>
        <v>15004.25</v>
      </c>
    </row>
    <row r="7935" spans="1:9" x14ac:dyDescent="0.3">
      <c r="A7935" t="s">
        <v>9953</v>
      </c>
      <c r="B7935" t="s">
        <v>1583</v>
      </c>
      <c r="C7935" t="s">
        <v>2015</v>
      </c>
      <c r="D7935">
        <v>1</v>
      </c>
      <c r="E7935" s="16">
        <v>600.16999999999996</v>
      </c>
      <c r="F7935" s="1">
        <v>44574</v>
      </c>
      <c r="G7935" t="s">
        <v>2004</v>
      </c>
      <c r="H7935">
        <v>2</v>
      </c>
      <c r="I7935" s="12">
        <f>Table16[[#This Row],[price]]*Table16[[#This Row],[quantity]]</f>
        <v>600.16999999999996</v>
      </c>
    </row>
    <row r="7936" spans="1:9" x14ac:dyDescent="0.3">
      <c r="A7936" t="s">
        <v>9951</v>
      </c>
      <c r="B7936" t="s">
        <v>1583</v>
      </c>
      <c r="C7936" t="s">
        <v>2001</v>
      </c>
      <c r="D7936">
        <v>5</v>
      </c>
      <c r="E7936" s="16">
        <v>1500.4</v>
      </c>
      <c r="F7936" s="1">
        <v>44574</v>
      </c>
      <c r="G7936" t="s">
        <v>2002</v>
      </c>
      <c r="H7936">
        <v>2</v>
      </c>
      <c r="I7936" s="12">
        <f>Table16[[#This Row],[price]]*Table16[[#This Row],[quantity]]</f>
        <v>7502</v>
      </c>
    </row>
    <row r="7937" spans="1:9" x14ac:dyDescent="0.3">
      <c r="A7937" t="s">
        <v>9950</v>
      </c>
      <c r="B7937" t="s">
        <v>1583</v>
      </c>
      <c r="C7937" t="s">
        <v>2008</v>
      </c>
      <c r="D7937">
        <v>2</v>
      </c>
      <c r="E7937" s="16">
        <v>10.46</v>
      </c>
      <c r="F7937" s="1">
        <v>44626</v>
      </c>
      <c r="G7937" t="s">
        <v>2064</v>
      </c>
      <c r="H7937">
        <v>2</v>
      </c>
      <c r="I7937" s="12">
        <f>Table16[[#This Row],[price]]*Table16[[#This Row],[quantity]]</f>
        <v>20.92</v>
      </c>
    </row>
    <row r="7938" spans="1:9" x14ac:dyDescent="0.3">
      <c r="A7938" t="s">
        <v>9952</v>
      </c>
      <c r="B7938" t="s">
        <v>1583</v>
      </c>
      <c r="C7938" t="s">
        <v>2015</v>
      </c>
      <c r="D7938">
        <v>5</v>
      </c>
      <c r="E7938" s="16">
        <v>3000.85</v>
      </c>
      <c r="F7938" s="1">
        <v>44776</v>
      </c>
      <c r="G7938" t="s">
        <v>2004</v>
      </c>
      <c r="H7938">
        <v>4</v>
      </c>
      <c r="I7938" s="12">
        <f>Table16[[#This Row],[price]]*Table16[[#This Row],[quantity]]</f>
        <v>15004.25</v>
      </c>
    </row>
    <row r="7939" spans="1:9" x14ac:dyDescent="0.3">
      <c r="A7939" t="s">
        <v>9955</v>
      </c>
      <c r="B7939" t="s">
        <v>1584</v>
      </c>
      <c r="C7939" t="s">
        <v>2001</v>
      </c>
      <c r="D7939">
        <v>4</v>
      </c>
      <c r="E7939" s="16">
        <v>1200.32</v>
      </c>
      <c r="F7939" s="1">
        <v>44565</v>
      </c>
      <c r="G7939" t="s">
        <v>2004</v>
      </c>
      <c r="H7939">
        <v>1</v>
      </c>
      <c r="I7939" s="12">
        <f>Table16[[#This Row],[price]]*Table16[[#This Row],[quantity]]</f>
        <v>4801.28</v>
      </c>
    </row>
    <row r="7940" spans="1:9" x14ac:dyDescent="0.3">
      <c r="A7940" t="s">
        <v>9958</v>
      </c>
      <c r="B7940" t="s">
        <v>1584</v>
      </c>
      <c r="C7940" t="s">
        <v>2001</v>
      </c>
      <c r="D7940">
        <v>3</v>
      </c>
      <c r="E7940" s="16">
        <v>900.24</v>
      </c>
      <c r="F7940" s="1">
        <v>44613</v>
      </c>
      <c r="G7940" t="s">
        <v>2004</v>
      </c>
      <c r="H7940">
        <v>2</v>
      </c>
      <c r="I7940" s="12">
        <f>Table16[[#This Row],[price]]*Table16[[#This Row],[quantity]]</f>
        <v>2700.7200000000003</v>
      </c>
    </row>
    <row r="7941" spans="1:9" x14ac:dyDescent="0.3">
      <c r="A7941" t="s">
        <v>9957</v>
      </c>
      <c r="B7941" t="s">
        <v>1584</v>
      </c>
      <c r="C7941" t="s">
        <v>2001</v>
      </c>
      <c r="D7941">
        <v>2</v>
      </c>
      <c r="E7941" s="16">
        <v>600.16</v>
      </c>
      <c r="F7941" s="1">
        <v>44694</v>
      </c>
      <c r="G7941" t="s">
        <v>2041</v>
      </c>
      <c r="H7941">
        <v>1</v>
      </c>
      <c r="I7941" s="12">
        <f>Table16[[#This Row],[price]]*Table16[[#This Row],[quantity]]</f>
        <v>1200.32</v>
      </c>
    </row>
    <row r="7942" spans="1:9" x14ac:dyDescent="0.3">
      <c r="A7942" t="s">
        <v>9956</v>
      </c>
      <c r="B7942" t="s">
        <v>1584</v>
      </c>
      <c r="C7942" t="s">
        <v>2001</v>
      </c>
      <c r="D7942">
        <v>4</v>
      </c>
      <c r="E7942" s="16">
        <v>1200.32</v>
      </c>
      <c r="F7942" s="1">
        <v>44820</v>
      </c>
      <c r="G7942" t="s">
        <v>2009</v>
      </c>
      <c r="H7942">
        <v>5</v>
      </c>
      <c r="I7942" s="12">
        <f>Table16[[#This Row],[price]]*Table16[[#This Row],[quantity]]</f>
        <v>4801.28</v>
      </c>
    </row>
    <row r="7943" spans="1:9" x14ac:dyDescent="0.3">
      <c r="A7943" t="s">
        <v>9959</v>
      </c>
      <c r="B7943" t="s">
        <v>1584</v>
      </c>
      <c r="C7943" t="s">
        <v>2015</v>
      </c>
      <c r="D7943">
        <v>1</v>
      </c>
      <c r="E7943" s="16">
        <v>600.16999999999996</v>
      </c>
      <c r="F7943" s="1">
        <v>44916</v>
      </c>
      <c r="G7943" t="s">
        <v>2058</v>
      </c>
      <c r="H7943">
        <v>5</v>
      </c>
      <c r="I7943" s="12">
        <f>Table16[[#This Row],[price]]*Table16[[#This Row],[quantity]]</f>
        <v>600.16999999999996</v>
      </c>
    </row>
    <row r="7944" spans="1:9" x14ac:dyDescent="0.3">
      <c r="A7944" t="s">
        <v>9960</v>
      </c>
      <c r="B7944" t="s">
        <v>1585</v>
      </c>
      <c r="C7944" t="s">
        <v>2011</v>
      </c>
      <c r="D7944">
        <v>3</v>
      </c>
      <c r="E7944" s="16">
        <v>121.98</v>
      </c>
      <c r="F7944" s="1">
        <v>44261</v>
      </c>
      <c r="G7944" t="s">
        <v>2020</v>
      </c>
      <c r="H7944">
        <v>5</v>
      </c>
      <c r="I7944" s="12">
        <f>Table16[[#This Row],[price]]*Table16[[#This Row],[quantity]]</f>
        <v>365.94</v>
      </c>
    </row>
    <row r="7945" spans="1:9" x14ac:dyDescent="0.3">
      <c r="A7945" t="s">
        <v>9962</v>
      </c>
      <c r="B7945" t="s">
        <v>1585</v>
      </c>
      <c r="C7945" t="s">
        <v>2011</v>
      </c>
      <c r="D7945">
        <v>5</v>
      </c>
      <c r="E7945" s="16">
        <v>203.3</v>
      </c>
      <c r="F7945" s="1">
        <v>44377</v>
      </c>
      <c r="G7945" t="s">
        <v>2064</v>
      </c>
      <c r="H7945">
        <v>5</v>
      </c>
      <c r="I7945" s="12">
        <f>Table16[[#This Row],[price]]*Table16[[#This Row],[quantity]]</f>
        <v>1016.5</v>
      </c>
    </row>
    <row r="7946" spans="1:9" x14ac:dyDescent="0.3">
      <c r="A7946" t="s">
        <v>9964</v>
      </c>
      <c r="B7946" t="s">
        <v>1585</v>
      </c>
      <c r="C7946" t="s">
        <v>2017</v>
      </c>
      <c r="D7946">
        <v>5</v>
      </c>
      <c r="E7946" s="16">
        <v>5250</v>
      </c>
      <c r="F7946" s="1">
        <v>44436</v>
      </c>
      <c r="G7946" t="s">
        <v>2020</v>
      </c>
      <c r="H7946">
        <v>3</v>
      </c>
      <c r="I7946" s="12">
        <f>Table16[[#This Row],[price]]*Table16[[#This Row],[quantity]]</f>
        <v>26250</v>
      </c>
    </row>
    <row r="7947" spans="1:9" x14ac:dyDescent="0.3">
      <c r="A7947" t="s">
        <v>9963</v>
      </c>
      <c r="B7947" t="s">
        <v>1585</v>
      </c>
      <c r="C7947" t="s">
        <v>2057</v>
      </c>
      <c r="D7947">
        <v>5</v>
      </c>
      <c r="E7947" s="16">
        <v>58.65</v>
      </c>
      <c r="F7947" s="1">
        <v>44492</v>
      </c>
      <c r="G7947" t="s">
        <v>2027</v>
      </c>
      <c r="H7947">
        <v>3</v>
      </c>
      <c r="I7947" s="12">
        <f>Table16[[#This Row],[price]]*Table16[[#This Row],[quantity]]</f>
        <v>293.25</v>
      </c>
    </row>
    <row r="7948" spans="1:9" x14ac:dyDescent="0.3">
      <c r="A7948" t="s">
        <v>9965</v>
      </c>
      <c r="B7948" t="s">
        <v>1585</v>
      </c>
      <c r="C7948" t="s">
        <v>2008</v>
      </c>
      <c r="D7948">
        <v>2</v>
      </c>
      <c r="E7948" s="16">
        <v>10.46</v>
      </c>
      <c r="F7948" s="1">
        <v>44709</v>
      </c>
      <c r="G7948" t="s">
        <v>2041</v>
      </c>
      <c r="H7948">
        <v>1</v>
      </c>
      <c r="I7948" s="12">
        <f>Table16[[#This Row],[price]]*Table16[[#This Row],[quantity]]</f>
        <v>20.92</v>
      </c>
    </row>
    <row r="7949" spans="1:9" x14ac:dyDescent="0.3">
      <c r="A7949" t="s">
        <v>9966</v>
      </c>
      <c r="B7949" t="s">
        <v>1585</v>
      </c>
      <c r="C7949" t="s">
        <v>2001</v>
      </c>
      <c r="D7949">
        <v>5</v>
      </c>
      <c r="E7949" s="16">
        <v>1500.4</v>
      </c>
      <c r="F7949" s="1">
        <v>44803</v>
      </c>
      <c r="G7949" t="s">
        <v>2020</v>
      </c>
      <c r="H7949">
        <v>3</v>
      </c>
      <c r="I7949" s="12">
        <f>Table16[[#This Row],[price]]*Table16[[#This Row],[quantity]]</f>
        <v>7502</v>
      </c>
    </row>
    <row r="7950" spans="1:9" x14ac:dyDescent="0.3">
      <c r="A7950" t="s">
        <v>9967</v>
      </c>
      <c r="B7950" t="s">
        <v>1585</v>
      </c>
      <c r="C7950" t="s">
        <v>2017</v>
      </c>
      <c r="D7950">
        <v>2</v>
      </c>
      <c r="E7950" s="16">
        <v>2100</v>
      </c>
      <c r="F7950" s="1">
        <v>44862</v>
      </c>
      <c r="G7950" t="s">
        <v>2004</v>
      </c>
      <c r="H7950">
        <v>5</v>
      </c>
      <c r="I7950" s="12">
        <f>Table16[[#This Row],[price]]*Table16[[#This Row],[quantity]]</f>
        <v>4200</v>
      </c>
    </row>
    <row r="7951" spans="1:9" x14ac:dyDescent="0.3">
      <c r="A7951" t="s">
        <v>9961</v>
      </c>
      <c r="B7951" t="s">
        <v>1585</v>
      </c>
      <c r="C7951" t="s">
        <v>2006</v>
      </c>
      <c r="D7951">
        <v>2</v>
      </c>
      <c r="E7951" s="16">
        <v>30.3</v>
      </c>
      <c r="F7951" s="1">
        <v>44990</v>
      </c>
      <c r="G7951" t="s">
        <v>2002</v>
      </c>
      <c r="H7951">
        <v>5</v>
      </c>
      <c r="I7951" s="12">
        <f>Table16[[#This Row],[price]]*Table16[[#This Row],[quantity]]</f>
        <v>60.6</v>
      </c>
    </row>
    <row r="7952" spans="1:9" x14ac:dyDescent="0.3">
      <c r="A7952" t="s">
        <v>9972</v>
      </c>
      <c r="B7952" t="s">
        <v>1586</v>
      </c>
      <c r="C7952" t="s">
        <v>2024</v>
      </c>
      <c r="D7952">
        <v>3</v>
      </c>
      <c r="E7952" s="16">
        <v>107.52</v>
      </c>
      <c r="F7952" s="1">
        <v>44223</v>
      </c>
      <c r="G7952" t="s">
        <v>2027</v>
      </c>
      <c r="H7952">
        <v>4</v>
      </c>
      <c r="I7952" s="12">
        <f>Table16[[#This Row],[price]]*Table16[[#This Row],[quantity]]</f>
        <v>322.56</v>
      </c>
    </row>
    <row r="7953" spans="1:9" x14ac:dyDescent="0.3">
      <c r="A7953" t="s">
        <v>9971</v>
      </c>
      <c r="B7953" t="s">
        <v>1586</v>
      </c>
      <c r="C7953" t="s">
        <v>2001</v>
      </c>
      <c r="D7953">
        <v>5</v>
      </c>
      <c r="E7953" s="16">
        <v>1500.4</v>
      </c>
      <c r="F7953" s="1">
        <v>44330</v>
      </c>
      <c r="G7953" t="s">
        <v>2004</v>
      </c>
      <c r="H7953">
        <v>4</v>
      </c>
      <c r="I7953" s="12">
        <f>Table16[[#This Row],[price]]*Table16[[#This Row],[quantity]]</f>
        <v>7502</v>
      </c>
    </row>
    <row r="7954" spans="1:9" x14ac:dyDescent="0.3">
      <c r="A7954" t="s">
        <v>9970</v>
      </c>
      <c r="B7954" t="s">
        <v>1586</v>
      </c>
      <c r="C7954" t="s">
        <v>2057</v>
      </c>
      <c r="D7954">
        <v>1</v>
      </c>
      <c r="E7954" s="16">
        <v>11.73</v>
      </c>
      <c r="F7954" s="1">
        <v>44665</v>
      </c>
      <c r="G7954" t="s">
        <v>2020</v>
      </c>
      <c r="H7954">
        <v>4</v>
      </c>
      <c r="I7954" s="12">
        <f>Table16[[#This Row],[price]]*Table16[[#This Row],[quantity]]</f>
        <v>11.73</v>
      </c>
    </row>
    <row r="7955" spans="1:9" x14ac:dyDescent="0.3">
      <c r="A7955" t="s">
        <v>9969</v>
      </c>
      <c r="B7955" t="s">
        <v>1586</v>
      </c>
      <c r="C7955" t="s">
        <v>2008</v>
      </c>
      <c r="D7955">
        <v>3</v>
      </c>
      <c r="E7955" s="16">
        <v>15.69</v>
      </c>
      <c r="F7955" s="1">
        <v>44756</v>
      </c>
      <c r="G7955" t="s">
        <v>2027</v>
      </c>
      <c r="H7955">
        <v>4</v>
      </c>
      <c r="I7955" s="12">
        <f>Table16[[#This Row],[price]]*Table16[[#This Row],[quantity]]</f>
        <v>47.07</v>
      </c>
    </row>
    <row r="7956" spans="1:9" x14ac:dyDescent="0.3">
      <c r="A7956" t="s">
        <v>9968</v>
      </c>
      <c r="B7956" t="s">
        <v>1586</v>
      </c>
      <c r="C7956" t="s">
        <v>2024</v>
      </c>
      <c r="D7956">
        <v>3</v>
      </c>
      <c r="E7956" s="16">
        <v>107.52</v>
      </c>
      <c r="F7956" s="1">
        <v>44845</v>
      </c>
      <c r="G7956" t="s">
        <v>2002</v>
      </c>
      <c r="H7956">
        <v>5</v>
      </c>
      <c r="I7956" s="12">
        <f>Table16[[#This Row],[price]]*Table16[[#This Row],[quantity]]</f>
        <v>322.56</v>
      </c>
    </row>
    <row r="7957" spans="1:9" x14ac:dyDescent="0.3">
      <c r="A7957" t="s">
        <v>9975</v>
      </c>
      <c r="B7957" t="s">
        <v>1587</v>
      </c>
      <c r="C7957" t="s">
        <v>2017</v>
      </c>
      <c r="D7957">
        <v>2</v>
      </c>
      <c r="E7957" s="16">
        <v>2100</v>
      </c>
      <c r="F7957" s="1">
        <v>44254</v>
      </c>
      <c r="G7957" t="s">
        <v>2002</v>
      </c>
      <c r="H7957">
        <v>5</v>
      </c>
      <c r="I7957" s="12">
        <f>Table16[[#This Row],[price]]*Table16[[#This Row],[quantity]]</f>
        <v>4200</v>
      </c>
    </row>
    <row r="7958" spans="1:9" x14ac:dyDescent="0.3">
      <c r="A7958" t="s">
        <v>9974</v>
      </c>
      <c r="B7958" t="s">
        <v>1587</v>
      </c>
      <c r="C7958" t="s">
        <v>2057</v>
      </c>
      <c r="D7958">
        <v>3</v>
      </c>
      <c r="E7958" s="16">
        <v>35.19</v>
      </c>
      <c r="F7958" s="1">
        <v>44260</v>
      </c>
      <c r="G7958" t="s">
        <v>2058</v>
      </c>
      <c r="H7958">
        <v>4</v>
      </c>
      <c r="I7958" s="12">
        <f>Table16[[#This Row],[price]]*Table16[[#This Row],[quantity]]</f>
        <v>105.57</v>
      </c>
    </row>
    <row r="7959" spans="1:9" x14ac:dyDescent="0.3">
      <c r="A7959" t="s">
        <v>9976</v>
      </c>
      <c r="B7959" t="s">
        <v>1587</v>
      </c>
      <c r="C7959" t="s">
        <v>2015</v>
      </c>
      <c r="D7959">
        <v>4</v>
      </c>
      <c r="E7959" s="16">
        <v>2400.6799999999998</v>
      </c>
      <c r="F7959" s="1">
        <v>44272</v>
      </c>
      <c r="G7959" t="s">
        <v>2004</v>
      </c>
      <c r="H7959">
        <v>4</v>
      </c>
      <c r="I7959" s="12">
        <f>Table16[[#This Row],[price]]*Table16[[#This Row],[quantity]]</f>
        <v>9602.7199999999993</v>
      </c>
    </row>
    <row r="7960" spans="1:9" x14ac:dyDescent="0.3">
      <c r="A7960" t="s">
        <v>9973</v>
      </c>
      <c r="B7960" t="s">
        <v>1587</v>
      </c>
      <c r="C7960" t="s">
        <v>2011</v>
      </c>
      <c r="D7960">
        <v>2</v>
      </c>
      <c r="E7960" s="16">
        <v>81.319999999999993</v>
      </c>
      <c r="F7960" s="1">
        <v>44573</v>
      </c>
      <c r="G7960" t="s">
        <v>2027</v>
      </c>
      <c r="H7960">
        <v>5</v>
      </c>
      <c r="I7960" s="12">
        <f>Table16[[#This Row],[price]]*Table16[[#This Row],[quantity]]</f>
        <v>162.63999999999999</v>
      </c>
    </row>
    <row r="7961" spans="1:9" x14ac:dyDescent="0.3">
      <c r="A7961" t="s">
        <v>9981</v>
      </c>
      <c r="B7961" t="s">
        <v>1588</v>
      </c>
      <c r="C7961" t="s">
        <v>2015</v>
      </c>
      <c r="D7961">
        <v>2</v>
      </c>
      <c r="E7961" s="16">
        <v>1200.3399999999999</v>
      </c>
      <c r="F7961" s="1">
        <v>44476</v>
      </c>
      <c r="G7961" t="s">
        <v>2004</v>
      </c>
      <c r="H7961">
        <v>5</v>
      </c>
      <c r="I7961" s="12">
        <f>Table16[[#This Row],[price]]*Table16[[#This Row],[quantity]]</f>
        <v>2400.6799999999998</v>
      </c>
    </row>
    <row r="7962" spans="1:9" x14ac:dyDescent="0.3">
      <c r="A7962" t="s">
        <v>9979</v>
      </c>
      <c r="B7962" t="s">
        <v>1588</v>
      </c>
      <c r="C7962" t="s">
        <v>2001</v>
      </c>
      <c r="D7962">
        <v>1</v>
      </c>
      <c r="E7962" s="16">
        <v>300.08</v>
      </c>
      <c r="F7962" s="1">
        <v>44624</v>
      </c>
      <c r="G7962" t="s">
        <v>2027</v>
      </c>
      <c r="H7962">
        <v>2</v>
      </c>
      <c r="I7962" s="12">
        <f>Table16[[#This Row],[price]]*Table16[[#This Row],[quantity]]</f>
        <v>300.08</v>
      </c>
    </row>
    <row r="7963" spans="1:9" x14ac:dyDescent="0.3">
      <c r="A7963" t="s">
        <v>9980</v>
      </c>
      <c r="B7963" t="s">
        <v>1588</v>
      </c>
      <c r="C7963" t="s">
        <v>2001</v>
      </c>
      <c r="D7963">
        <v>5</v>
      </c>
      <c r="E7963" s="16">
        <v>1500.4</v>
      </c>
      <c r="F7963" s="1">
        <v>44684</v>
      </c>
      <c r="G7963" t="s">
        <v>2012</v>
      </c>
      <c r="H7963">
        <v>2</v>
      </c>
      <c r="I7963" s="12">
        <f>Table16[[#This Row],[price]]*Table16[[#This Row],[quantity]]</f>
        <v>7502</v>
      </c>
    </row>
    <row r="7964" spans="1:9" x14ac:dyDescent="0.3">
      <c r="A7964" t="s">
        <v>9977</v>
      </c>
      <c r="B7964" t="s">
        <v>1588</v>
      </c>
      <c r="C7964" t="s">
        <v>2001</v>
      </c>
      <c r="D7964">
        <v>4</v>
      </c>
      <c r="E7964" s="16">
        <v>1200.32</v>
      </c>
      <c r="F7964" s="1">
        <v>44776</v>
      </c>
      <c r="G7964" t="s">
        <v>2004</v>
      </c>
      <c r="H7964">
        <v>4</v>
      </c>
      <c r="I7964" s="12">
        <f>Table16[[#This Row],[price]]*Table16[[#This Row],[quantity]]</f>
        <v>4801.28</v>
      </c>
    </row>
    <row r="7965" spans="1:9" x14ac:dyDescent="0.3">
      <c r="A7965" t="s">
        <v>9982</v>
      </c>
      <c r="B7965" t="s">
        <v>1588</v>
      </c>
      <c r="C7965" t="s">
        <v>2011</v>
      </c>
      <c r="D7965">
        <v>4</v>
      </c>
      <c r="E7965" s="16">
        <v>162.63999999999999</v>
      </c>
      <c r="F7965" s="1">
        <v>44799</v>
      </c>
      <c r="G7965" t="s">
        <v>2009</v>
      </c>
      <c r="H7965">
        <v>4</v>
      </c>
      <c r="I7965" s="12">
        <f>Table16[[#This Row],[price]]*Table16[[#This Row],[quantity]]</f>
        <v>650.55999999999995</v>
      </c>
    </row>
    <row r="7966" spans="1:9" x14ac:dyDescent="0.3">
      <c r="A7966" t="s">
        <v>9983</v>
      </c>
      <c r="B7966" t="s">
        <v>1588</v>
      </c>
      <c r="C7966" t="s">
        <v>2001</v>
      </c>
      <c r="D7966">
        <v>1</v>
      </c>
      <c r="E7966" s="16">
        <v>300.08</v>
      </c>
      <c r="F7966" s="1">
        <v>44838</v>
      </c>
      <c r="G7966" t="s">
        <v>2002</v>
      </c>
      <c r="H7966">
        <v>2</v>
      </c>
      <c r="I7966" s="12">
        <f>Table16[[#This Row],[price]]*Table16[[#This Row],[quantity]]</f>
        <v>300.08</v>
      </c>
    </row>
    <row r="7967" spans="1:9" x14ac:dyDescent="0.3">
      <c r="A7967" t="s">
        <v>9978</v>
      </c>
      <c r="B7967" t="s">
        <v>1588</v>
      </c>
      <c r="C7967" t="s">
        <v>2001</v>
      </c>
      <c r="D7967">
        <v>3</v>
      </c>
      <c r="E7967" s="16">
        <v>900.24</v>
      </c>
      <c r="F7967" s="1">
        <v>44916</v>
      </c>
      <c r="G7967" t="s">
        <v>2004</v>
      </c>
      <c r="H7967">
        <v>3</v>
      </c>
      <c r="I7967" s="12">
        <f>Table16[[#This Row],[price]]*Table16[[#This Row],[quantity]]</f>
        <v>2700.7200000000003</v>
      </c>
    </row>
    <row r="7968" spans="1:9" x14ac:dyDescent="0.3">
      <c r="A7968" t="s">
        <v>9984</v>
      </c>
      <c r="B7968" t="s">
        <v>1588</v>
      </c>
      <c r="C7968" t="s">
        <v>2017</v>
      </c>
      <c r="D7968">
        <v>5</v>
      </c>
      <c r="E7968" s="16">
        <v>5250</v>
      </c>
      <c r="F7968" s="1">
        <v>44940</v>
      </c>
      <c r="G7968" t="s">
        <v>2058</v>
      </c>
      <c r="H7968">
        <v>3</v>
      </c>
      <c r="I7968" s="12">
        <f>Table16[[#This Row],[price]]*Table16[[#This Row],[quantity]]</f>
        <v>26250</v>
      </c>
    </row>
    <row r="7969" spans="1:9" x14ac:dyDescent="0.3">
      <c r="A7969" t="s">
        <v>9986</v>
      </c>
      <c r="B7969" t="s">
        <v>1589</v>
      </c>
      <c r="C7969" t="s">
        <v>2015</v>
      </c>
      <c r="D7969">
        <v>3</v>
      </c>
      <c r="E7969" s="16">
        <v>1800.51</v>
      </c>
      <c r="F7969" s="1">
        <v>44315</v>
      </c>
      <c r="G7969" t="s">
        <v>2027</v>
      </c>
      <c r="H7969">
        <v>5</v>
      </c>
      <c r="I7969" s="12">
        <f>Table16[[#This Row],[price]]*Table16[[#This Row],[quantity]]</f>
        <v>5401.53</v>
      </c>
    </row>
    <row r="7970" spans="1:9" x14ac:dyDescent="0.3">
      <c r="A7970" t="s">
        <v>9990</v>
      </c>
      <c r="B7970" t="s">
        <v>1589</v>
      </c>
      <c r="C7970" t="s">
        <v>2008</v>
      </c>
      <c r="D7970">
        <v>3</v>
      </c>
      <c r="E7970" s="16">
        <v>15.69</v>
      </c>
      <c r="F7970" s="1">
        <v>44319</v>
      </c>
      <c r="G7970" t="s">
        <v>2012</v>
      </c>
      <c r="H7970">
        <v>5</v>
      </c>
      <c r="I7970" s="12">
        <f>Table16[[#This Row],[price]]*Table16[[#This Row],[quantity]]</f>
        <v>47.07</v>
      </c>
    </row>
    <row r="7971" spans="1:9" x14ac:dyDescent="0.3">
      <c r="A7971" t="s">
        <v>9987</v>
      </c>
      <c r="B7971" t="s">
        <v>1589</v>
      </c>
      <c r="C7971" t="s">
        <v>2024</v>
      </c>
      <c r="D7971">
        <v>2</v>
      </c>
      <c r="E7971" s="16">
        <v>71.680000000000007</v>
      </c>
      <c r="F7971" s="1">
        <v>44445</v>
      </c>
      <c r="G7971" t="s">
        <v>2064</v>
      </c>
      <c r="H7971">
        <v>4</v>
      </c>
      <c r="I7971" s="12">
        <f>Table16[[#This Row],[price]]*Table16[[#This Row],[quantity]]</f>
        <v>143.36000000000001</v>
      </c>
    </row>
    <row r="7972" spans="1:9" x14ac:dyDescent="0.3">
      <c r="A7972" t="s">
        <v>9988</v>
      </c>
      <c r="B7972" t="s">
        <v>1589</v>
      </c>
      <c r="C7972" t="s">
        <v>2001</v>
      </c>
      <c r="D7972">
        <v>2</v>
      </c>
      <c r="E7972" s="16">
        <v>600.16</v>
      </c>
      <c r="F7972" s="1">
        <v>44451</v>
      </c>
      <c r="G7972" t="s">
        <v>2027</v>
      </c>
      <c r="H7972">
        <v>3</v>
      </c>
      <c r="I7972" s="12">
        <f>Table16[[#This Row],[price]]*Table16[[#This Row],[quantity]]</f>
        <v>1200.32</v>
      </c>
    </row>
    <row r="7973" spans="1:9" x14ac:dyDescent="0.3">
      <c r="A7973" t="s">
        <v>9992</v>
      </c>
      <c r="B7973" t="s">
        <v>1589</v>
      </c>
      <c r="C7973" t="s">
        <v>2057</v>
      </c>
      <c r="D7973">
        <v>3</v>
      </c>
      <c r="E7973" s="16">
        <v>35.19</v>
      </c>
      <c r="F7973" s="1">
        <v>44613</v>
      </c>
      <c r="G7973" t="s">
        <v>2027</v>
      </c>
      <c r="H7973">
        <v>1</v>
      </c>
      <c r="I7973" s="12">
        <f>Table16[[#This Row],[price]]*Table16[[#This Row],[quantity]]</f>
        <v>105.57</v>
      </c>
    </row>
    <row r="7974" spans="1:9" x14ac:dyDescent="0.3">
      <c r="A7974" t="s">
        <v>9989</v>
      </c>
      <c r="B7974" t="s">
        <v>1589</v>
      </c>
      <c r="C7974" t="s">
        <v>2017</v>
      </c>
      <c r="D7974">
        <v>4</v>
      </c>
      <c r="E7974" s="16">
        <v>4200</v>
      </c>
      <c r="F7974" s="1">
        <v>44754</v>
      </c>
      <c r="G7974" t="s">
        <v>2004</v>
      </c>
      <c r="H7974">
        <v>5</v>
      </c>
      <c r="I7974" s="12">
        <f>Table16[[#This Row],[price]]*Table16[[#This Row],[quantity]]</f>
        <v>16800</v>
      </c>
    </row>
    <row r="7975" spans="1:9" x14ac:dyDescent="0.3">
      <c r="A7975" t="s">
        <v>9985</v>
      </c>
      <c r="B7975" t="s">
        <v>1589</v>
      </c>
      <c r="C7975" t="s">
        <v>2024</v>
      </c>
      <c r="D7975">
        <v>1</v>
      </c>
      <c r="E7975" s="16">
        <v>35.840000000000003</v>
      </c>
      <c r="F7975" s="1">
        <v>44789</v>
      </c>
      <c r="G7975" t="s">
        <v>2004</v>
      </c>
      <c r="H7975">
        <v>5</v>
      </c>
      <c r="I7975" s="12">
        <f>Table16[[#This Row],[price]]*Table16[[#This Row],[quantity]]</f>
        <v>35.840000000000003</v>
      </c>
    </row>
    <row r="7976" spans="1:9" x14ac:dyDescent="0.3">
      <c r="A7976" t="s">
        <v>9991</v>
      </c>
      <c r="B7976" t="s">
        <v>1589</v>
      </c>
      <c r="C7976" t="s">
        <v>2001</v>
      </c>
      <c r="D7976">
        <v>3</v>
      </c>
      <c r="E7976" s="16">
        <v>900.24</v>
      </c>
      <c r="F7976" s="1">
        <v>44969</v>
      </c>
      <c r="G7976" t="s">
        <v>2002</v>
      </c>
      <c r="H7976">
        <v>5</v>
      </c>
      <c r="I7976" s="12">
        <f>Table16[[#This Row],[price]]*Table16[[#This Row],[quantity]]</f>
        <v>2700.7200000000003</v>
      </c>
    </row>
    <row r="7977" spans="1:9" x14ac:dyDescent="0.3">
      <c r="A7977" t="s">
        <v>9993</v>
      </c>
      <c r="B7977" t="s">
        <v>1590</v>
      </c>
      <c r="C7977" t="s">
        <v>2011</v>
      </c>
      <c r="D7977">
        <v>3</v>
      </c>
      <c r="E7977" s="16">
        <v>121.98</v>
      </c>
      <c r="F7977" s="1">
        <v>44505</v>
      </c>
      <c r="G7977" t="s">
        <v>2020</v>
      </c>
      <c r="H7977">
        <v>5</v>
      </c>
      <c r="I7977" s="12">
        <f>Table16[[#This Row],[price]]*Table16[[#This Row],[quantity]]</f>
        <v>365.94</v>
      </c>
    </row>
    <row r="7978" spans="1:9" x14ac:dyDescent="0.3">
      <c r="A7978" t="s">
        <v>9998</v>
      </c>
      <c r="B7978" t="s">
        <v>1591</v>
      </c>
      <c r="C7978" t="s">
        <v>2011</v>
      </c>
      <c r="D7978">
        <v>3</v>
      </c>
      <c r="E7978" s="16">
        <v>121.98</v>
      </c>
      <c r="F7978" s="1">
        <v>44268</v>
      </c>
      <c r="G7978" t="s">
        <v>2004</v>
      </c>
      <c r="H7978">
        <v>5</v>
      </c>
      <c r="I7978" s="12">
        <f>Table16[[#This Row],[price]]*Table16[[#This Row],[quantity]]</f>
        <v>365.94</v>
      </c>
    </row>
    <row r="7979" spans="1:9" x14ac:dyDescent="0.3">
      <c r="A7979" t="s">
        <v>9994</v>
      </c>
      <c r="B7979" t="s">
        <v>1591</v>
      </c>
      <c r="C7979" t="s">
        <v>2017</v>
      </c>
      <c r="D7979">
        <v>2</v>
      </c>
      <c r="E7979" s="16">
        <v>2100</v>
      </c>
      <c r="F7979" s="1">
        <v>44433</v>
      </c>
      <c r="G7979" t="s">
        <v>2041</v>
      </c>
      <c r="H7979">
        <v>3</v>
      </c>
      <c r="I7979" s="12">
        <f>Table16[[#This Row],[price]]*Table16[[#This Row],[quantity]]</f>
        <v>4200</v>
      </c>
    </row>
    <row r="7980" spans="1:9" x14ac:dyDescent="0.3">
      <c r="A7980" t="s">
        <v>9996</v>
      </c>
      <c r="B7980" t="s">
        <v>1591</v>
      </c>
      <c r="C7980" t="s">
        <v>2011</v>
      </c>
      <c r="D7980">
        <v>5</v>
      </c>
      <c r="E7980" s="16">
        <v>203.3</v>
      </c>
      <c r="F7980" s="1">
        <v>44715</v>
      </c>
      <c r="G7980" t="s">
        <v>2012</v>
      </c>
      <c r="H7980">
        <v>4</v>
      </c>
      <c r="I7980" s="12">
        <f>Table16[[#This Row],[price]]*Table16[[#This Row],[quantity]]</f>
        <v>1016.5</v>
      </c>
    </row>
    <row r="7981" spans="1:9" x14ac:dyDescent="0.3">
      <c r="A7981" t="s">
        <v>9995</v>
      </c>
      <c r="B7981" t="s">
        <v>1591</v>
      </c>
      <c r="C7981" t="s">
        <v>2006</v>
      </c>
      <c r="D7981">
        <v>4</v>
      </c>
      <c r="E7981" s="16">
        <v>60.6</v>
      </c>
      <c r="F7981" s="1">
        <v>44824</v>
      </c>
      <c r="G7981" t="s">
        <v>2004</v>
      </c>
      <c r="H7981">
        <v>2</v>
      </c>
      <c r="I7981" s="12">
        <f>Table16[[#This Row],[price]]*Table16[[#This Row],[quantity]]</f>
        <v>242.4</v>
      </c>
    </row>
    <row r="7982" spans="1:9" x14ac:dyDescent="0.3">
      <c r="A7982" t="s">
        <v>9997</v>
      </c>
      <c r="B7982" t="s">
        <v>1591</v>
      </c>
      <c r="C7982" t="s">
        <v>2011</v>
      </c>
      <c r="D7982">
        <v>3</v>
      </c>
      <c r="E7982" s="16">
        <v>121.98</v>
      </c>
      <c r="F7982" s="1">
        <v>44837</v>
      </c>
      <c r="G7982" t="s">
        <v>2004</v>
      </c>
      <c r="H7982">
        <v>1</v>
      </c>
      <c r="I7982" s="12">
        <f>Table16[[#This Row],[price]]*Table16[[#This Row],[quantity]]</f>
        <v>365.94</v>
      </c>
    </row>
    <row r="7983" spans="1:9" x14ac:dyDescent="0.3">
      <c r="A7983" t="s">
        <v>9999</v>
      </c>
      <c r="B7983" t="s">
        <v>1592</v>
      </c>
      <c r="C7983" t="s">
        <v>2015</v>
      </c>
      <c r="D7983">
        <v>2</v>
      </c>
      <c r="E7983" s="16">
        <v>1200.3399999999999</v>
      </c>
      <c r="F7983" s="1">
        <v>44309</v>
      </c>
      <c r="G7983" t="s">
        <v>2027</v>
      </c>
      <c r="H7983">
        <v>4</v>
      </c>
      <c r="I7983" s="12">
        <f>Table16[[#This Row],[price]]*Table16[[#This Row],[quantity]]</f>
        <v>2400.6799999999998</v>
      </c>
    </row>
    <row r="7984" spans="1:9" x14ac:dyDescent="0.3">
      <c r="A7984" t="s">
        <v>10001</v>
      </c>
      <c r="B7984" t="s">
        <v>1592</v>
      </c>
      <c r="C7984" t="s">
        <v>2001</v>
      </c>
      <c r="D7984">
        <v>1</v>
      </c>
      <c r="E7984" s="16">
        <v>300.08</v>
      </c>
      <c r="F7984" s="1">
        <v>44341</v>
      </c>
      <c r="G7984" t="s">
        <v>2004</v>
      </c>
      <c r="H7984">
        <v>4</v>
      </c>
      <c r="I7984" s="12">
        <f>Table16[[#This Row],[price]]*Table16[[#This Row],[quantity]]</f>
        <v>300.08</v>
      </c>
    </row>
    <row r="7985" spans="1:9" x14ac:dyDescent="0.3">
      <c r="A7985" t="s">
        <v>10003</v>
      </c>
      <c r="B7985" t="s">
        <v>1592</v>
      </c>
      <c r="C7985" t="s">
        <v>2001</v>
      </c>
      <c r="D7985">
        <v>3</v>
      </c>
      <c r="E7985" s="16">
        <v>900.24</v>
      </c>
      <c r="F7985" s="1">
        <v>44464</v>
      </c>
      <c r="G7985" t="s">
        <v>2004</v>
      </c>
      <c r="H7985">
        <v>1</v>
      </c>
      <c r="I7985" s="12">
        <f>Table16[[#This Row],[price]]*Table16[[#This Row],[quantity]]</f>
        <v>2700.7200000000003</v>
      </c>
    </row>
    <row r="7986" spans="1:9" x14ac:dyDescent="0.3">
      <c r="A7986" t="s">
        <v>10002</v>
      </c>
      <c r="B7986" t="s">
        <v>1592</v>
      </c>
      <c r="C7986" t="s">
        <v>2008</v>
      </c>
      <c r="D7986">
        <v>1</v>
      </c>
      <c r="E7986" s="16">
        <v>5.23</v>
      </c>
      <c r="F7986" s="1">
        <v>44607</v>
      </c>
      <c r="G7986" t="s">
        <v>2012</v>
      </c>
      <c r="H7986">
        <v>5</v>
      </c>
      <c r="I7986" s="12">
        <f>Table16[[#This Row],[price]]*Table16[[#This Row],[quantity]]</f>
        <v>5.23</v>
      </c>
    </row>
    <row r="7987" spans="1:9" x14ac:dyDescent="0.3">
      <c r="A7987" t="s">
        <v>10000</v>
      </c>
      <c r="B7987" t="s">
        <v>1592</v>
      </c>
      <c r="C7987" t="s">
        <v>2011</v>
      </c>
      <c r="D7987">
        <v>4</v>
      </c>
      <c r="E7987" s="16">
        <v>162.63999999999999</v>
      </c>
      <c r="F7987" s="1">
        <v>44836</v>
      </c>
      <c r="G7987" t="s">
        <v>2027</v>
      </c>
      <c r="H7987">
        <v>5</v>
      </c>
      <c r="I7987" s="12">
        <f>Table16[[#This Row],[price]]*Table16[[#This Row],[quantity]]</f>
        <v>650.55999999999995</v>
      </c>
    </row>
    <row r="7988" spans="1:9" x14ac:dyDescent="0.3">
      <c r="A7988" t="s">
        <v>10005</v>
      </c>
      <c r="B7988" t="s">
        <v>1593</v>
      </c>
      <c r="C7988" t="s">
        <v>2015</v>
      </c>
      <c r="D7988">
        <v>1</v>
      </c>
      <c r="E7988" s="16">
        <v>600.16999999999996</v>
      </c>
      <c r="F7988" s="1">
        <v>44201</v>
      </c>
      <c r="G7988" t="s">
        <v>2064</v>
      </c>
      <c r="H7988">
        <v>4</v>
      </c>
      <c r="I7988" s="12">
        <f>Table16[[#This Row],[price]]*Table16[[#This Row],[quantity]]</f>
        <v>600.16999999999996</v>
      </c>
    </row>
    <row r="7989" spans="1:9" x14ac:dyDescent="0.3">
      <c r="A7989" t="s">
        <v>10006</v>
      </c>
      <c r="B7989" t="s">
        <v>1593</v>
      </c>
      <c r="C7989" t="s">
        <v>2024</v>
      </c>
      <c r="D7989">
        <v>4</v>
      </c>
      <c r="E7989" s="16">
        <v>143.36000000000001</v>
      </c>
      <c r="F7989" s="1">
        <v>44271</v>
      </c>
      <c r="G7989" t="s">
        <v>2004</v>
      </c>
      <c r="H7989">
        <v>4</v>
      </c>
      <c r="I7989" s="12">
        <f>Table16[[#This Row],[price]]*Table16[[#This Row],[quantity]]</f>
        <v>573.44000000000005</v>
      </c>
    </row>
    <row r="7990" spans="1:9" x14ac:dyDescent="0.3">
      <c r="A7990" t="s">
        <v>10004</v>
      </c>
      <c r="B7990" t="s">
        <v>1593</v>
      </c>
      <c r="C7990" t="s">
        <v>2011</v>
      </c>
      <c r="D7990">
        <v>2</v>
      </c>
      <c r="E7990" s="16">
        <v>81.319999999999993</v>
      </c>
      <c r="F7990" s="1">
        <v>44694</v>
      </c>
      <c r="G7990" t="s">
        <v>2027</v>
      </c>
      <c r="H7990">
        <v>5</v>
      </c>
      <c r="I7990" s="12">
        <f>Table16[[#This Row],[price]]*Table16[[#This Row],[quantity]]</f>
        <v>162.63999999999999</v>
      </c>
    </row>
    <row r="7991" spans="1:9" x14ac:dyDescent="0.3">
      <c r="A7991" t="s">
        <v>10007</v>
      </c>
      <c r="B7991" t="s">
        <v>1593</v>
      </c>
      <c r="C7991" t="s">
        <v>2001</v>
      </c>
      <c r="D7991">
        <v>5</v>
      </c>
      <c r="E7991" s="16">
        <v>1500.4</v>
      </c>
      <c r="F7991" s="1">
        <v>44778</v>
      </c>
      <c r="G7991" t="s">
        <v>2002</v>
      </c>
      <c r="H7991">
        <v>1</v>
      </c>
      <c r="I7991" s="12">
        <f>Table16[[#This Row],[price]]*Table16[[#This Row],[quantity]]</f>
        <v>7502</v>
      </c>
    </row>
    <row r="7992" spans="1:9" x14ac:dyDescent="0.3">
      <c r="A7992" t="s">
        <v>10009</v>
      </c>
      <c r="B7992" t="s">
        <v>1594</v>
      </c>
      <c r="C7992" t="s">
        <v>2011</v>
      </c>
      <c r="D7992">
        <v>2</v>
      </c>
      <c r="E7992" s="16">
        <v>81.319999999999993</v>
      </c>
      <c r="F7992" s="1">
        <v>44238</v>
      </c>
      <c r="G7992" t="s">
        <v>2027</v>
      </c>
      <c r="H7992">
        <v>5</v>
      </c>
      <c r="I7992" s="12">
        <f>Table16[[#This Row],[price]]*Table16[[#This Row],[quantity]]</f>
        <v>162.63999999999999</v>
      </c>
    </row>
    <row r="7993" spans="1:9" x14ac:dyDescent="0.3">
      <c r="A7993" t="s">
        <v>10013</v>
      </c>
      <c r="B7993" t="s">
        <v>1594</v>
      </c>
      <c r="C7993" t="s">
        <v>2024</v>
      </c>
      <c r="D7993">
        <v>2</v>
      </c>
      <c r="E7993" s="16">
        <v>71.680000000000007</v>
      </c>
      <c r="F7993" s="1">
        <v>44403</v>
      </c>
      <c r="G7993" t="s">
        <v>2004</v>
      </c>
      <c r="H7993">
        <v>4</v>
      </c>
      <c r="I7993" s="12">
        <f>Table16[[#This Row],[price]]*Table16[[#This Row],[quantity]]</f>
        <v>143.36000000000001</v>
      </c>
    </row>
    <row r="7994" spans="1:9" x14ac:dyDescent="0.3">
      <c r="A7994" t="s">
        <v>10012</v>
      </c>
      <c r="B7994" t="s">
        <v>1594</v>
      </c>
      <c r="C7994" t="s">
        <v>2008</v>
      </c>
      <c r="D7994">
        <v>2</v>
      </c>
      <c r="E7994" s="16">
        <v>10.46</v>
      </c>
      <c r="F7994" s="1">
        <v>44618</v>
      </c>
      <c r="G7994" t="s">
        <v>2027</v>
      </c>
      <c r="H7994">
        <v>2</v>
      </c>
      <c r="I7994" s="12">
        <f>Table16[[#This Row],[price]]*Table16[[#This Row],[quantity]]</f>
        <v>20.92</v>
      </c>
    </row>
    <row r="7995" spans="1:9" x14ac:dyDescent="0.3">
      <c r="A7995" t="s">
        <v>10011</v>
      </c>
      <c r="B7995" t="s">
        <v>1594</v>
      </c>
      <c r="C7995" t="s">
        <v>2024</v>
      </c>
      <c r="D7995">
        <v>4</v>
      </c>
      <c r="E7995" s="16">
        <v>143.36000000000001</v>
      </c>
      <c r="F7995" s="1">
        <v>44821</v>
      </c>
      <c r="G7995" t="s">
        <v>2002</v>
      </c>
      <c r="H7995">
        <v>1</v>
      </c>
      <c r="I7995" s="12">
        <f>Table16[[#This Row],[price]]*Table16[[#This Row],[quantity]]</f>
        <v>573.44000000000005</v>
      </c>
    </row>
    <row r="7996" spans="1:9" x14ac:dyDescent="0.3">
      <c r="A7996" t="s">
        <v>10008</v>
      </c>
      <c r="B7996" t="s">
        <v>1594</v>
      </c>
      <c r="C7996" t="s">
        <v>2001</v>
      </c>
      <c r="D7996">
        <v>3</v>
      </c>
      <c r="E7996" s="16">
        <v>900.24</v>
      </c>
      <c r="F7996" s="1">
        <v>44838</v>
      </c>
      <c r="G7996" t="s">
        <v>2041</v>
      </c>
      <c r="H7996">
        <v>2</v>
      </c>
      <c r="I7996" s="12">
        <f>Table16[[#This Row],[price]]*Table16[[#This Row],[quantity]]</f>
        <v>2700.7200000000003</v>
      </c>
    </row>
    <row r="7997" spans="1:9" x14ac:dyDescent="0.3">
      <c r="A7997" t="s">
        <v>10010</v>
      </c>
      <c r="B7997" t="s">
        <v>1594</v>
      </c>
      <c r="C7997" t="s">
        <v>2001</v>
      </c>
      <c r="D7997">
        <v>5</v>
      </c>
      <c r="E7997" s="16">
        <v>1500.4</v>
      </c>
      <c r="F7997" s="1">
        <v>44931</v>
      </c>
      <c r="G7997" t="s">
        <v>2027</v>
      </c>
      <c r="H7997">
        <v>3</v>
      </c>
      <c r="I7997" s="12">
        <f>Table16[[#This Row],[price]]*Table16[[#This Row],[quantity]]</f>
        <v>7502</v>
      </c>
    </row>
    <row r="7998" spans="1:9" x14ac:dyDescent="0.3">
      <c r="A7998" t="s">
        <v>10014</v>
      </c>
      <c r="B7998" t="s">
        <v>1594</v>
      </c>
      <c r="C7998" t="s">
        <v>2001</v>
      </c>
      <c r="D7998">
        <v>4</v>
      </c>
      <c r="E7998" s="16">
        <v>1200.32</v>
      </c>
      <c r="F7998" s="1">
        <v>44940</v>
      </c>
      <c r="G7998" t="s">
        <v>2027</v>
      </c>
      <c r="H7998">
        <v>5</v>
      </c>
      <c r="I7998" s="12">
        <f>Table16[[#This Row],[price]]*Table16[[#This Row],[quantity]]</f>
        <v>4801.28</v>
      </c>
    </row>
    <row r="7999" spans="1:9" x14ac:dyDescent="0.3">
      <c r="A7999" t="s">
        <v>10016</v>
      </c>
      <c r="B7999" t="s">
        <v>1595</v>
      </c>
      <c r="C7999" t="s">
        <v>2001</v>
      </c>
      <c r="D7999">
        <v>4</v>
      </c>
      <c r="E7999" s="16">
        <v>1200.32</v>
      </c>
      <c r="F7999" s="1">
        <v>44333</v>
      </c>
      <c r="G7999" t="s">
        <v>2064</v>
      </c>
      <c r="H7999">
        <v>1</v>
      </c>
      <c r="I7999" s="12">
        <f>Table16[[#This Row],[price]]*Table16[[#This Row],[quantity]]</f>
        <v>4801.28</v>
      </c>
    </row>
    <row r="8000" spans="1:9" x14ac:dyDescent="0.3">
      <c r="A8000" t="s">
        <v>10015</v>
      </c>
      <c r="B8000" t="s">
        <v>1595</v>
      </c>
      <c r="C8000" t="s">
        <v>2011</v>
      </c>
      <c r="D8000">
        <v>3</v>
      </c>
      <c r="E8000" s="16">
        <v>121.98</v>
      </c>
      <c r="F8000" s="1">
        <v>44348</v>
      </c>
      <c r="G8000" t="s">
        <v>2020</v>
      </c>
      <c r="H8000">
        <v>2</v>
      </c>
      <c r="I8000" s="12">
        <f>Table16[[#This Row],[price]]*Table16[[#This Row],[quantity]]</f>
        <v>365.94</v>
      </c>
    </row>
    <row r="8001" spans="1:9" x14ac:dyDescent="0.3">
      <c r="A8001" t="s">
        <v>10017</v>
      </c>
      <c r="B8001" t="s">
        <v>1595</v>
      </c>
      <c r="C8001" t="s">
        <v>2001</v>
      </c>
      <c r="D8001">
        <v>1</v>
      </c>
      <c r="E8001" s="16">
        <v>300.08</v>
      </c>
      <c r="F8001" s="1">
        <v>44524</v>
      </c>
      <c r="G8001" t="s">
        <v>2064</v>
      </c>
      <c r="H8001">
        <v>4</v>
      </c>
      <c r="I8001" s="12">
        <f>Table16[[#This Row],[price]]*Table16[[#This Row],[quantity]]</f>
        <v>300.08</v>
      </c>
    </row>
    <row r="8002" spans="1:9" x14ac:dyDescent="0.3">
      <c r="A8002" t="s">
        <v>10018</v>
      </c>
      <c r="B8002" t="s">
        <v>1595</v>
      </c>
      <c r="C8002" t="s">
        <v>2011</v>
      </c>
      <c r="D8002">
        <v>1</v>
      </c>
      <c r="E8002" s="16">
        <v>40.659999999999997</v>
      </c>
      <c r="F8002" s="1">
        <v>44555</v>
      </c>
      <c r="G8002" t="s">
        <v>2064</v>
      </c>
      <c r="H8002">
        <v>3</v>
      </c>
      <c r="I8002" s="12">
        <f>Table16[[#This Row],[price]]*Table16[[#This Row],[quantity]]</f>
        <v>40.659999999999997</v>
      </c>
    </row>
    <row r="8003" spans="1:9" x14ac:dyDescent="0.3">
      <c r="A8003" t="s">
        <v>10019</v>
      </c>
      <c r="B8003" t="s">
        <v>1595</v>
      </c>
      <c r="C8003" t="s">
        <v>2001</v>
      </c>
      <c r="D8003">
        <v>2</v>
      </c>
      <c r="E8003" s="16">
        <v>600.16</v>
      </c>
      <c r="F8003" s="1">
        <v>44738</v>
      </c>
      <c r="G8003" t="s">
        <v>2020</v>
      </c>
      <c r="H8003">
        <v>3</v>
      </c>
      <c r="I8003" s="12">
        <f>Table16[[#This Row],[price]]*Table16[[#This Row],[quantity]]</f>
        <v>1200.32</v>
      </c>
    </row>
    <row r="8004" spans="1:9" x14ac:dyDescent="0.3">
      <c r="A8004" t="s">
        <v>10022</v>
      </c>
      <c r="B8004" t="s">
        <v>1596</v>
      </c>
      <c r="C8004" t="s">
        <v>2011</v>
      </c>
      <c r="D8004">
        <v>1</v>
      </c>
      <c r="E8004" s="16">
        <v>40.659999999999997</v>
      </c>
      <c r="F8004" s="1">
        <v>44703</v>
      </c>
      <c r="G8004" t="s">
        <v>2002</v>
      </c>
      <c r="H8004">
        <v>5</v>
      </c>
      <c r="I8004" s="12">
        <f>Table16[[#This Row],[price]]*Table16[[#This Row],[quantity]]</f>
        <v>40.659999999999997</v>
      </c>
    </row>
    <row r="8005" spans="1:9" x14ac:dyDescent="0.3">
      <c r="A8005" t="s">
        <v>10020</v>
      </c>
      <c r="B8005" t="s">
        <v>1596</v>
      </c>
      <c r="C8005" t="s">
        <v>2001</v>
      </c>
      <c r="D8005">
        <v>5</v>
      </c>
      <c r="E8005" s="16">
        <v>1500.4</v>
      </c>
      <c r="F8005" s="1">
        <v>44800</v>
      </c>
      <c r="G8005" t="s">
        <v>2064</v>
      </c>
      <c r="H8005">
        <v>3</v>
      </c>
      <c r="I8005" s="12">
        <f>Table16[[#This Row],[price]]*Table16[[#This Row],[quantity]]</f>
        <v>7502</v>
      </c>
    </row>
    <row r="8006" spans="1:9" x14ac:dyDescent="0.3">
      <c r="A8006" t="s">
        <v>10021</v>
      </c>
      <c r="B8006" t="s">
        <v>1596</v>
      </c>
      <c r="C8006" t="s">
        <v>2017</v>
      </c>
      <c r="D8006">
        <v>4</v>
      </c>
      <c r="E8006" s="16">
        <v>4200</v>
      </c>
      <c r="F8006" s="1">
        <v>44835</v>
      </c>
      <c r="G8006" t="s">
        <v>2027</v>
      </c>
      <c r="H8006">
        <v>1</v>
      </c>
      <c r="I8006" s="12">
        <f>Table16[[#This Row],[price]]*Table16[[#This Row],[quantity]]</f>
        <v>16800</v>
      </c>
    </row>
    <row r="8007" spans="1:9" x14ac:dyDescent="0.3">
      <c r="A8007" t="s">
        <v>10026</v>
      </c>
      <c r="B8007" t="s">
        <v>1597</v>
      </c>
      <c r="C8007" t="s">
        <v>2008</v>
      </c>
      <c r="D8007">
        <v>3</v>
      </c>
      <c r="E8007" s="16">
        <v>15.69</v>
      </c>
      <c r="F8007" s="1">
        <v>44296</v>
      </c>
      <c r="G8007" t="s">
        <v>2009</v>
      </c>
      <c r="H8007">
        <v>1</v>
      </c>
      <c r="I8007" s="12">
        <f>Table16[[#This Row],[price]]*Table16[[#This Row],[quantity]]</f>
        <v>47.07</v>
      </c>
    </row>
    <row r="8008" spans="1:9" x14ac:dyDescent="0.3">
      <c r="A8008" t="s">
        <v>10028</v>
      </c>
      <c r="B8008" t="s">
        <v>1597</v>
      </c>
      <c r="C8008" t="s">
        <v>2001</v>
      </c>
      <c r="D8008">
        <v>5</v>
      </c>
      <c r="E8008" s="16">
        <v>1500.4</v>
      </c>
      <c r="F8008" s="1">
        <v>44394</v>
      </c>
      <c r="G8008" t="s">
        <v>2027</v>
      </c>
      <c r="H8008">
        <v>1</v>
      </c>
      <c r="I8008" s="12">
        <f>Table16[[#This Row],[price]]*Table16[[#This Row],[quantity]]</f>
        <v>7502</v>
      </c>
    </row>
    <row r="8009" spans="1:9" x14ac:dyDescent="0.3">
      <c r="A8009" t="s">
        <v>10025</v>
      </c>
      <c r="B8009" t="s">
        <v>1597</v>
      </c>
      <c r="C8009" t="s">
        <v>2011</v>
      </c>
      <c r="D8009">
        <v>5</v>
      </c>
      <c r="E8009" s="16">
        <v>203.3</v>
      </c>
      <c r="F8009" s="1">
        <v>44470</v>
      </c>
      <c r="G8009" t="s">
        <v>2002</v>
      </c>
      <c r="H8009">
        <v>2</v>
      </c>
      <c r="I8009" s="12">
        <f>Table16[[#This Row],[price]]*Table16[[#This Row],[quantity]]</f>
        <v>1016.5</v>
      </c>
    </row>
    <row r="8010" spans="1:9" x14ac:dyDescent="0.3">
      <c r="A8010" t="s">
        <v>10027</v>
      </c>
      <c r="B8010" t="s">
        <v>1597</v>
      </c>
      <c r="C8010" t="s">
        <v>2011</v>
      </c>
      <c r="D8010">
        <v>4</v>
      </c>
      <c r="E8010" s="16">
        <v>162.63999999999999</v>
      </c>
      <c r="F8010" s="1">
        <v>44646</v>
      </c>
      <c r="G8010" t="s">
        <v>2018</v>
      </c>
      <c r="H8010">
        <v>2</v>
      </c>
      <c r="I8010" s="12">
        <f>Table16[[#This Row],[price]]*Table16[[#This Row],[quantity]]</f>
        <v>650.55999999999995</v>
      </c>
    </row>
    <row r="8011" spans="1:9" x14ac:dyDescent="0.3">
      <c r="A8011" t="s">
        <v>10023</v>
      </c>
      <c r="B8011" t="s">
        <v>1597</v>
      </c>
      <c r="C8011" t="s">
        <v>2001</v>
      </c>
      <c r="D8011">
        <v>5</v>
      </c>
      <c r="E8011" s="16">
        <v>1500.4</v>
      </c>
      <c r="F8011" s="1">
        <v>44774</v>
      </c>
      <c r="G8011" t="s">
        <v>2064</v>
      </c>
      <c r="H8011">
        <v>2</v>
      </c>
      <c r="I8011" s="12">
        <f>Table16[[#This Row],[price]]*Table16[[#This Row],[quantity]]</f>
        <v>7502</v>
      </c>
    </row>
    <row r="8012" spans="1:9" x14ac:dyDescent="0.3">
      <c r="A8012" t="s">
        <v>10024</v>
      </c>
      <c r="B8012" t="s">
        <v>1597</v>
      </c>
      <c r="C8012" t="s">
        <v>2024</v>
      </c>
      <c r="D8012">
        <v>5</v>
      </c>
      <c r="E8012" s="16">
        <v>179.2</v>
      </c>
      <c r="F8012" s="1">
        <v>44797</v>
      </c>
      <c r="G8012" t="s">
        <v>2064</v>
      </c>
      <c r="H8012">
        <v>2</v>
      </c>
      <c r="I8012" s="12">
        <f>Table16[[#This Row],[price]]*Table16[[#This Row],[quantity]]</f>
        <v>896</v>
      </c>
    </row>
    <row r="8013" spans="1:9" x14ac:dyDescent="0.3">
      <c r="A8013" t="s">
        <v>10029</v>
      </c>
      <c r="B8013" t="s">
        <v>1597</v>
      </c>
      <c r="C8013" t="s">
        <v>2006</v>
      </c>
      <c r="D8013">
        <v>4</v>
      </c>
      <c r="E8013" s="16">
        <v>60.6</v>
      </c>
      <c r="F8013" s="1">
        <v>44951</v>
      </c>
      <c r="G8013" t="s">
        <v>2018</v>
      </c>
      <c r="H8013">
        <v>4</v>
      </c>
      <c r="I8013" s="12">
        <f>Table16[[#This Row],[price]]*Table16[[#This Row],[quantity]]</f>
        <v>242.4</v>
      </c>
    </row>
    <row r="8014" spans="1:9" x14ac:dyDescent="0.3">
      <c r="A8014" t="s">
        <v>10032</v>
      </c>
      <c r="B8014" t="s">
        <v>1598</v>
      </c>
      <c r="C8014" t="s">
        <v>2011</v>
      </c>
      <c r="D8014">
        <v>5</v>
      </c>
      <c r="E8014" s="16">
        <v>203.3</v>
      </c>
      <c r="F8014" s="1">
        <v>44657</v>
      </c>
      <c r="G8014" t="s">
        <v>2009</v>
      </c>
      <c r="H8014">
        <v>4</v>
      </c>
      <c r="I8014" s="12">
        <f>Table16[[#This Row],[price]]*Table16[[#This Row],[quantity]]</f>
        <v>1016.5</v>
      </c>
    </row>
    <row r="8015" spans="1:9" x14ac:dyDescent="0.3">
      <c r="A8015" t="s">
        <v>10030</v>
      </c>
      <c r="B8015" t="s">
        <v>1598</v>
      </c>
      <c r="C8015" t="s">
        <v>2008</v>
      </c>
      <c r="D8015">
        <v>5</v>
      </c>
      <c r="E8015" s="16">
        <v>26.15</v>
      </c>
      <c r="F8015" s="1">
        <v>44892</v>
      </c>
      <c r="G8015" t="s">
        <v>2064</v>
      </c>
      <c r="H8015">
        <v>1</v>
      </c>
      <c r="I8015" s="12">
        <f>Table16[[#This Row],[price]]*Table16[[#This Row],[quantity]]</f>
        <v>130.75</v>
      </c>
    </row>
    <row r="8016" spans="1:9" x14ac:dyDescent="0.3">
      <c r="A8016" t="s">
        <v>10031</v>
      </c>
      <c r="B8016" t="s">
        <v>1598</v>
      </c>
      <c r="C8016" t="s">
        <v>2011</v>
      </c>
      <c r="D8016">
        <v>3</v>
      </c>
      <c r="E8016" s="16">
        <v>121.98</v>
      </c>
      <c r="F8016" s="1">
        <v>44949</v>
      </c>
      <c r="G8016" t="s">
        <v>2027</v>
      </c>
      <c r="H8016">
        <v>5</v>
      </c>
      <c r="I8016" s="12">
        <f>Table16[[#This Row],[price]]*Table16[[#This Row],[quantity]]</f>
        <v>365.94</v>
      </c>
    </row>
    <row r="8017" spans="1:9" x14ac:dyDescent="0.3">
      <c r="A8017" t="s">
        <v>10033</v>
      </c>
      <c r="B8017" t="s">
        <v>1599</v>
      </c>
      <c r="C8017" t="s">
        <v>2015</v>
      </c>
      <c r="D8017">
        <v>3</v>
      </c>
      <c r="E8017" s="16">
        <v>1800.51</v>
      </c>
      <c r="F8017" s="1">
        <v>44408</v>
      </c>
      <c r="G8017" t="s">
        <v>2041</v>
      </c>
      <c r="H8017">
        <v>1</v>
      </c>
      <c r="I8017" s="12">
        <f>Table16[[#This Row],[price]]*Table16[[#This Row],[quantity]]</f>
        <v>5401.53</v>
      </c>
    </row>
    <row r="8018" spans="1:9" x14ac:dyDescent="0.3">
      <c r="A8018" t="s">
        <v>10037</v>
      </c>
      <c r="B8018" t="s">
        <v>1599</v>
      </c>
      <c r="C8018" t="s">
        <v>2001</v>
      </c>
      <c r="D8018">
        <v>3</v>
      </c>
      <c r="E8018" s="16">
        <v>900.24</v>
      </c>
      <c r="F8018" s="1">
        <v>44488</v>
      </c>
      <c r="G8018" t="s">
        <v>2027</v>
      </c>
      <c r="H8018">
        <v>5</v>
      </c>
      <c r="I8018" s="12">
        <f>Table16[[#This Row],[price]]*Table16[[#This Row],[quantity]]</f>
        <v>2700.7200000000003</v>
      </c>
    </row>
    <row r="8019" spans="1:9" x14ac:dyDescent="0.3">
      <c r="A8019" t="s">
        <v>10034</v>
      </c>
      <c r="B8019" t="s">
        <v>1599</v>
      </c>
      <c r="C8019" t="s">
        <v>2015</v>
      </c>
      <c r="D8019">
        <v>1</v>
      </c>
      <c r="E8019" s="16">
        <v>600.16999999999996</v>
      </c>
      <c r="F8019" s="1">
        <v>44502</v>
      </c>
      <c r="G8019" t="s">
        <v>2027</v>
      </c>
      <c r="H8019">
        <v>5</v>
      </c>
      <c r="I8019" s="12">
        <f>Table16[[#This Row],[price]]*Table16[[#This Row],[quantity]]</f>
        <v>600.16999999999996</v>
      </c>
    </row>
    <row r="8020" spans="1:9" x14ac:dyDescent="0.3">
      <c r="A8020" t="s">
        <v>10038</v>
      </c>
      <c r="B8020" t="s">
        <v>1599</v>
      </c>
      <c r="C8020" t="s">
        <v>2001</v>
      </c>
      <c r="D8020">
        <v>2</v>
      </c>
      <c r="E8020" s="16">
        <v>600.16</v>
      </c>
      <c r="F8020" s="1">
        <v>44564</v>
      </c>
      <c r="G8020" t="s">
        <v>2004</v>
      </c>
      <c r="H8020">
        <v>4</v>
      </c>
      <c r="I8020" s="12">
        <f>Table16[[#This Row],[price]]*Table16[[#This Row],[quantity]]</f>
        <v>1200.32</v>
      </c>
    </row>
    <row r="8021" spans="1:9" x14ac:dyDescent="0.3">
      <c r="A8021" t="s">
        <v>10035</v>
      </c>
      <c r="B8021" t="s">
        <v>1599</v>
      </c>
      <c r="C8021" t="s">
        <v>2001</v>
      </c>
      <c r="D8021">
        <v>5</v>
      </c>
      <c r="E8021" s="16">
        <v>1500.4</v>
      </c>
      <c r="F8021" s="1">
        <v>44689</v>
      </c>
      <c r="G8021" t="s">
        <v>2041</v>
      </c>
      <c r="H8021">
        <v>4</v>
      </c>
      <c r="I8021" s="12">
        <f>Table16[[#This Row],[price]]*Table16[[#This Row],[quantity]]</f>
        <v>7502</v>
      </c>
    </row>
    <row r="8022" spans="1:9" x14ac:dyDescent="0.3">
      <c r="A8022" t="s">
        <v>10036</v>
      </c>
      <c r="B8022" t="s">
        <v>1599</v>
      </c>
      <c r="C8022" t="s">
        <v>2001</v>
      </c>
      <c r="D8022">
        <v>2</v>
      </c>
      <c r="E8022" s="16">
        <v>600.16</v>
      </c>
      <c r="F8022" s="1">
        <v>44693</v>
      </c>
      <c r="G8022" t="s">
        <v>2041</v>
      </c>
      <c r="H8022">
        <v>2</v>
      </c>
      <c r="I8022" s="12">
        <f>Table16[[#This Row],[price]]*Table16[[#This Row],[quantity]]</f>
        <v>1200.32</v>
      </c>
    </row>
    <row r="8023" spans="1:9" x14ac:dyDescent="0.3">
      <c r="A8023" t="s">
        <v>10040</v>
      </c>
      <c r="B8023" t="s">
        <v>1600</v>
      </c>
      <c r="C8023" t="s">
        <v>2001</v>
      </c>
      <c r="D8023">
        <v>4</v>
      </c>
      <c r="E8023" s="16">
        <v>1200.32</v>
      </c>
      <c r="F8023" s="1">
        <v>44440</v>
      </c>
      <c r="G8023" t="s">
        <v>2027</v>
      </c>
      <c r="H8023">
        <v>3</v>
      </c>
      <c r="I8023" s="12">
        <f>Table16[[#This Row],[price]]*Table16[[#This Row],[quantity]]</f>
        <v>4801.28</v>
      </c>
    </row>
    <row r="8024" spans="1:9" x14ac:dyDescent="0.3">
      <c r="A8024" t="s">
        <v>10039</v>
      </c>
      <c r="B8024" t="s">
        <v>1600</v>
      </c>
      <c r="C8024" t="s">
        <v>2001</v>
      </c>
      <c r="D8024">
        <v>2</v>
      </c>
      <c r="E8024" s="16">
        <v>600.16</v>
      </c>
      <c r="F8024" s="1">
        <v>44863</v>
      </c>
      <c r="G8024" t="s">
        <v>2002</v>
      </c>
      <c r="H8024">
        <v>5</v>
      </c>
      <c r="I8024" s="12">
        <f>Table16[[#This Row],[price]]*Table16[[#This Row],[quantity]]</f>
        <v>1200.32</v>
      </c>
    </row>
    <row r="8025" spans="1:9" x14ac:dyDescent="0.3">
      <c r="A8025" t="s">
        <v>10042</v>
      </c>
      <c r="B8025" t="s">
        <v>1601</v>
      </c>
      <c r="C8025" t="s">
        <v>2001</v>
      </c>
      <c r="D8025">
        <v>4</v>
      </c>
      <c r="E8025" s="16">
        <v>1200.32</v>
      </c>
      <c r="F8025" s="1">
        <v>44232</v>
      </c>
      <c r="G8025" t="s">
        <v>2004</v>
      </c>
      <c r="H8025">
        <v>1</v>
      </c>
      <c r="I8025" s="12">
        <f>Table16[[#This Row],[price]]*Table16[[#This Row],[quantity]]</f>
        <v>4801.28</v>
      </c>
    </row>
    <row r="8026" spans="1:9" x14ac:dyDescent="0.3">
      <c r="A8026" t="s">
        <v>10041</v>
      </c>
      <c r="B8026" t="s">
        <v>1601</v>
      </c>
      <c r="C8026" t="s">
        <v>2008</v>
      </c>
      <c r="D8026">
        <v>5</v>
      </c>
      <c r="E8026" s="16">
        <v>26.15</v>
      </c>
      <c r="F8026" s="1">
        <v>44256</v>
      </c>
      <c r="G8026" t="s">
        <v>2009</v>
      </c>
      <c r="H8026">
        <v>4</v>
      </c>
      <c r="I8026" s="12">
        <f>Table16[[#This Row],[price]]*Table16[[#This Row],[quantity]]</f>
        <v>130.75</v>
      </c>
    </row>
    <row r="8027" spans="1:9" x14ac:dyDescent="0.3">
      <c r="A8027" t="s">
        <v>10043</v>
      </c>
      <c r="B8027" t="s">
        <v>1601</v>
      </c>
      <c r="C8027" t="s">
        <v>2015</v>
      </c>
      <c r="D8027">
        <v>5</v>
      </c>
      <c r="E8027" s="16">
        <v>3000.85</v>
      </c>
      <c r="F8027" s="1">
        <v>44733</v>
      </c>
      <c r="G8027" t="s">
        <v>2002</v>
      </c>
      <c r="H8027">
        <v>3</v>
      </c>
      <c r="I8027" s="12">
        <f>Table16[[#This Row],[price]]*Table16[[#This Row],[quantity]]</f>
        <v>15004.25</v>
      </c>
    </row>
    <row r="8028" spans="1:9" x14ac:dyDescent="0.3">
      <c r="A8028" t="s">
        <v>10044</v>
      </c>
      <c r="B8028" t="s">
        <v>1601</v>
      </c>
      <c r="C8028" t="s">
        <v>2024</v>
      </c>
      <c r="D8028">
        <v>3</v>
      </c>
      <c r="E8028" s="16">
        <v>107.52</v>
      </c>
      <c r="F8028" s="1">
        <v>44970</v>
      </c>
      <c r="G8028" t="s">
        <v>2064</v>
      </c>
      <c r="H8028">
        <v>4</v>
      </c>
      <c r="I8028" s="12">
        <f>Table16[[#This Row],[price]]*Table16[[#This Row],[quantity]]</f>
        <v>322.56</v>
      </c>
    </row>
    <row r="8029" spans="1:9" x14ac:dyDescent="0.3">
      <c r="A8029" t="s">
        <v>10046</v>
      </c>
      <c r="B8029" t="s">
        <v>1602</v>
      </c>
      <c r="C8029" t="s">
        <v>2015</v>
      </c>
      <c r="D8029">
        <v>1</v>
      </c>
      <c r="E8029" s="16">
        <v>600.16999999999996</v>
      </c>
      <c r="F8029" s="1">
        <v>44343</v>
      </c>
      <c r="G8029" t="s">
        <v>2064</v>
      </c>
      <c r="H8029">
        <v>3</v>
      </c>
      <c r="I8029" s="12">
        <f>Table16[[#This Row],[price]]*Table16[[#This Row],[quantity]]</f>
        <v>600.16999999999996</v>
      </c>
    </row>
    <row r="8030" spans="1:9" x14ac:dyDescent="0.3">
      <c r="A8030" t="s">
        <v>10050</v>
      </c>
      <c r="B8030" t="s">
        <v>1602</v>
      </c>
      <c r="C8030" t="s">
        <v>2011</v>
      </c>
      <c r="D8030">
        <v>1</v>
      </c>
      <c r="E8030" s="16">
        <v>40.659999999999997</v>
      </c>
      <c r="F8030" s="1">
        <v>44581</v>
      </c>
      <c r="G8030" t="s">
        <v>2004</v>
      </c>
      <c r="H8030">
        <v>5</v>
      </c>
      <c r="I8030" s="12">
        <f>Table16[[#This Row],[price]]*Table16[[#This Row],[quantity]]</f>
        <v>40.659999999999997</v>
      </c>
    </row>
    <row r="8031" spans="1:9" x14ac:dyDescent="0.3">
      <c r="A8031" t="s">
        <v>10048</v>
      </c>
      <c r="B8031" t="s">
        <v>1602</v>
      </c>
      <c r="C8031" t="s">
        <v>2006</v>
      </c>
      <c r="D8031">
        <v>5</v>
      </c>
      <c r="E8031" s="16">
        <v>75.75</v>
      </c>
      <c r="F8031" s="1">
        <v>44670</v>
      </c>
      <c r="G8031" t="s">
        <v>2064</v>
      </c>
      <c r="H8031">
        <v>1</v>
      </c>
      <c r="I8031" s="12">
        <f>Table16[[#This Row],[price]]*Table16[[#This Row],[quantity]]</f>
        <v>378.75</v>
      </c>
    </row>
    <row r="8032" spans="1:9" x14ac:dyDescent="0.3">
      <c r="A8032" t="s">
        <v>10045</v>
      </c>
      <c r="B8032" t="s">
        <v>1602</v>
      </c>
      <c r="C8032" t="s">
        <v>2001</v>
      </c>
      <c r="D8032">
        <v>5</v>
      </c>
      <c r="E8032" s="16">
        <v>1500.4</v>
      </c>
      <c r="F8032" s="1">
        <v>44773</v>
      </c>
      <c r="G8032" t="s">
        <v>2020</v>
      </c>
      <c r="H8032">
        <v>5</v>
      </c>
      <c r="I8032" s="12">
        <f>Table16[[#This Row],[price]]*Table16[[#This Row],[quantity]]</f>
        <v>7502</v>
      </c>
    </row>
    <row r="8033" spans="1:9" x14ac:dyDescent="0.3">
      <c r="A8033" t="s">
        <v>10047</v>
      </c>
      <c r="B8033" t="s">
        <v>1602</v>
      </c>
      <c r="C8033" t="s">
        <v>2015</v>
      </c>
      <c r="D8033">
        <v>5</v>
      </c>
      <c r="E8033" s="16">
        <v>3000.85</v>
      </c>
      <c r="F8033" s="1">
        <v>44873</v>
      </c>
      <c r="G8033" t="s">
        <v>2041</v>
      </c>
      <c r="H8033">
        <v>4</v>
      </c>
      <c r="I8033" s="12">
        <f>Table16[[#This Row],[price]]*Table16[[#This Row],[quantity]]</f>
        <v>15004.25</v>
      </c>
    </row>
    <row r="8034" spans="1:9" x14ac:dyDescent="0.3">
      <c r="A8034" t="s">
        <v>10049</v>
      </c>
      <c r="B8034" t="s">
        <v>1602</v>
      </c>
      <c r="C8034" t="s">
        <v>2024</v>
      </c>
      <c r="D8034">
        <v>3</v>
      </c>
      <c r="E8034" s="16">
        <v>107.52</v>
      </c>
      <c r="F8034" s="1">
        <v>44986</v>
      </c>
      <c r="G8034" t="s">
        <v>2020</v>
      </c>
      <c r="H8034">
        <v>1</v>
      </c>
      <c r="I8034" s="12">
        <f>Table16[[#This Row],[price]]*Table16[[#This Row],[quantity]]</f>
        <v>322.56</v>
      </c>
    </row>
    <row r="8035" spans="1:9" x14ac:dyDescent="0.3">
      <c r="A8035" t="s">
        <v>10055</v>
      </c>
      <c r="B8035" t="s">
        <v>1603</v>
      </c>
      <c r="C8035" t="s">
        <v>2015</v>
      </c>
      <c r="D8035">
        <v>2</v>
      </c>
      <c r="E8035" s="16">
        <v>1200.3399999999999</v>
      </c>
      <c r="F8035" s="1">
        <v>44377</v>
      </c>
      <c r="G8035" t="s">
        <v>2002</v>
      </c>
      <c r="H8035">
        <v>1</v>
      </c>
      <c r="I8035" s="12">
        <f>Table16[[#This Row],[price]]*Table16[[#This Row],[quantity]]</f>
        <v>2400.6799999999998</v>
      </c>
    </row>
    <row r="8036" spans="1:9" x14ac:dyDescent="0.3">
      <c r="A8036" t="s">
        <v>10053</v>
      </c>
      <c r="B8036" t="s">
        <v>1603</v>
      </c>
      <c r="C8036" t="s">
        <v>2001</v>
      </c>
      <c r="D8036">
        <v>1</v>
      </c>
      <c r="E8036" s="16">
        <v>300.08</v>
      </c>
      <c r="F8036" s="1">
        <v>44393</v>
      </c>
      <c r="G8036" t="s">
        <v>2027</v>
      </c>
      <c r="H8036">
        <v>1</v>
      </c>
      <c r="I8036" s="12">
        <f>Table16[[#This Row],[price]]*Table16[[#This Row],[quantity]]</f>
        <v>300.08</v>
      </c>
    </row>
    <row r="8037" spans="1:9" x14ac:dyDescent="0.3">
      <c r="A8037" t="s">
        <v>10052</v>
      </c>
      <c r="B8037" t="s">
        <v>1603</v>
      </c>
      <c r="C8037" t="s">
        <v>2015</v>
      </c>
      <c r="D8037">
        <v>5</v>
      </c>
      <c r="E8037" s="16">
        <v>3000.85</v>
      </c>
      <c r="F8037" s="1">
        <v>44441</v>
      </c>
      <c r="G8037" t="s">
        <v>2018</v>
      </c>
      <c r="H8037">
        <v>4</v>
      </c>
      <c r="I8037" s="12">
        <f>Table16[[#This Row],[price]]*Table16[[#This Row],[quantity]]</f>
        <v>15004.25</v>
      </c>
    </row>
    <row r="8038" spans="1:9" x14ac:dyDescent="0.3">
      <c r="A8038" t="s">
        <v>10054</v>
      </c>
      <c r="B8038" t="s">
        <v>1603</v>
      </c>
      <c r="C8038" t="s">
        <v>2001</v>
      </c>
      <c r="D8038">
        <v>4</v>
      </c>
      <c r="E8038" s="16">
        <v>1200.32</v>
      </c>
      <c r="F8038" s="1">
        <v>44769</v>
      </c>
      <c r="G8038" t="s">
        <v>2020</v>
      </c>
      <c r="H8038">
        <v>4</v>
      </c>
      <c r="I8038" s="12">
        <f>Table16[[#This Row],[price]]*Table16[[#This Row],[quantity]]</f>
        <v>4801.28</v>
      </c>
    </row>
    <row r="8039" spans="1:9" x14ac:dyDescent="0.3">
      <c r="A8039" t="s">
        <v>10051</v>
      </c>
      <c r="B8039" t="s">
        <v>1603</v>
      </c>
      <c r="C8039" t="s">
        <v>2001</v>
      </c>
      <c r="D8039">
        <v>3</v>
      </c>
      <c r="E8039" s="16">
        <v>900.24</v>
      </c>
      <c r="F8039" s="1">
        <v>44942</v>
      </c>
      <c r="G8039" t="s">
        <v>2002</v>
      </c>
      <c r="H8039">
        <v>3</v>
      </c>
      <c r="I8039" s="12">
        <f>Table16[[#This Row],[price]]*Table16[[#This Row],[quantity]]</f>
        <v>2700.7200000000003</v>
      </c>
    </row>
    <row r="8040" spans="1:9" x14ac:dyDescent="0.3">
      <c r="A8040" t="s">
        <v>10056</v>
      </c>
      <c r="B8040" t="s">
        <v>1604</v>
      </c>
      <c r="C8040" t="s">
        <v>2001</v>
      </c>
      <c r="D8040">
        <v>4</v>
      </c>
      <c r="E8040" s="16">
        <v>1200.32</v>
      </c>
      <c r="F8040" s="1">
        <v>44326</v>
      </c>
      <c r="G8040" t="s">
        <v>2012</v>
      </c>
      <c r="H8040">
        <v>1</v>
      </c>
      <c r="I8040" s="12">
        <f>Table16[[#This Row],[price]]*Table16[[#This Row],[quantity]]</f>
        <v>4801.28</v>
      </c>
    </row>
    <row r="8041" spans="1:9" x14ac:dyDescent="0.3">
      <c r="A8041" t="s">
        <v>10057</v>
      </c>
      <c r="B8041" t="s">
        <v>1604</v>
      </c>
      <c r="C8041" t="s">
        <v>2001</v>
      </c>
      <c r="D8041">
        <v>3</v>
      </c>
      <c r="E8041" s="16">
        <v>900.24</v>
      </c>
      <c r="F8041" s="1">
        <v>44482</v>
      </c>
      <c r="G8041" t="s">
        <v>2027</v>
      </c>
      <c r="H8041">
        <v>1</v>
      </c>
      <c r="I8041" s="12">
        <f>Table16[[#This Row],[price]]*Table16[[#This Row],[quantity]]</f>
        <v>2700.7200000000003</v>
      </c>
    </row>
    <row r="8042" spans="1:9" x14ac:dyDescent="0.3">
      <c r="A8042" t="s">
        <v>10059</v>
      </c>
      <c r="B8042" t="s">
        <v>1605</v>
      </c>
      <c r="C8042" t="s">
        <v>2001</v>
      </c>
      <c r="D8042">
        <v>1</v>
      </c>
      <c r="E8042" s="16">
        <v>300.08</v>
      </c>
      <c r="F8042" s="1">
        <v>44206</v>
      </c>
      <c r="G8042" t="s">
        <v>2002</v>
      </c>
      <c r="H8042">
        <v>5</v>
      </c>
      <c r="I8042" s="12">
        <f>Table16[[#This Row],[price]]*Table16[[#This Row],[quantity]]</f>
        <v>300.08</v>
      </c>
    </row>
    <row r="8043" spans="1:9" x14ac:dyDescent="0.3">
      <c r="A8043" t="s">
        <v>10058</v>
      </c>
      <c r="B8043" t="s">
        <v>1605</v>
      </c>
      <c r="C8043" t="s">
        <v>2001</v>
      </c>
      <c r="D8043">
        <v>4</v>
      </c>
      <c r="E8043" s="16">
        <v>1200.32</v>
      </c>
      <c r="F8043" s="1">
        <v>44356</v>
      </c>
      <c r="G8043" t="s">
        <v>2018</v>
      </c>
      <c r="H8043">
        <v>1</v>
      </c>
      <c r="I8043" s="12">
        <f>Table16[[#This Row],[price]]*Table16[[#This Row],[quantity]]</f>
        <v>4801.28</v>
      </c>
    </row>
    <row r="8044" spans="1:9" x14ac:dyDescent="0.3">
      <c r="A8044" t="s">
        <v>10061</v>
      </c>
      <c r="B8044" t="s">
        <v>1605</v>
      </c>
      <c r="C8044" t="s">
        <v>2015</v>
      </c>
      <c r="D8044">
        <v>3</v>
      </c>
      <c r="E8044" s="16">
        <v>1800.51</v>
      </c>
      <c r="F8044" s="1">
        <v>44796</v>
      </c>
      <c r="G8044" t="s">
        <v>2009</v>
      </c>
      <c r="H8044">
        <v>4</v>
      </c>
      <c r="I8044" s="12">
        <f>Table16[[#This Row],[price]]*Table16[[#This Row],[quantity]]</f>
        <v>5401.53</v>
      </c>
    </row>
    <row r="8045" spans="1:9" x14ac:dyDescent="0.3">
      <c r="A8045" t="s">
        <v>10060</v>
      </c>
      <c r="B8045" t="s">
        <v>1605</v>
      </c>
      <c r="C8045" t="s">
        <v>2008</v>
      </c>
      <c r="D8045">
        <v>4</v>
      </c>
      <c r="E8045" s="16">
        <v>20.92</v>
      </c>
      <c r="F8045" s="1">
        <v>44969</v>
      </c>
      <c r="G8045" t="s">
        <v>2012</v>
      </c>
      <c r="H8045">
        <v>5</v>
      </c>
      <c r="I8045" s="12">
        <f>Table16[[#This Row],[price]]*Table16[[#This Row],[quantity]]</f>
        <v>83.68</v>
      </c>
    </row>
    <row r="8046" spans="1:9" x14ac:dyDescent="0.3">
      <c r="A8046" t="s">
        <v>10063</v>
      </c>
      <c r="B8046" t="s">
        <v>1606</v>
      </c>
      <c r="C8046" t="s">
        <v>2001</v>
      </c>
      <c r="D8046">
        <v>2</v>
      </c>
      <c r="E8046" s="16">
        <v>600.16</v>
      </c>
      <c r="F8046" s="1">
        <v>44443</v>
      </c>
      <c r="G8046" t="s">
        <v>2027</v>
      </c>
      <c r="H8046">
        <v>1</v>
      </c>
      <c r="I8046" s="12">
        <f>Table16[[#This Row],[price]]*Table16[[#This Row],[quantity]]</f>
        <v>1200.32</v>
      </c>
    </row>
    <row r="8047" spans="1:9" x14ac:dyDescent="0.3">
      <c r="A8047" t="s">
        <v>10062</v>
      </c>
      <c r="B8047" t="s">
        <v>1606</v>
      </c>
      <c r="C8047" t="s">
        <v>2008</v>
      </c>
      <c r="D8047">
        <v>3</v>
      </c>
      <c r="E8047" s="16">
        <v>15.69</v>
      </c>
      <c r="F8047" s="1">
        <v>44452</v>
      </c>
      <c r="G8047" t="s">
        <v>2020</v>
      </c>
      <c r="H8047">
        <v>5</v>
      </c>
      <c r="I8047" s="12">
        <f>Table16[[#This Row],[price]]*Table16[[#This Row],[quantity]]</f>
        <v>47.07</v>
      </c>
    </row>
    <row r="8048" spans="1:9" x14ac:dyDescent="0.3">
      <c r="A8048" t="s">
        <v>10064</v>
      </c>
      <c r="B8048" t="s">
        <v>1606</v>
      </c>
      <c r="C8048" t="s">
        <v>2024</v>
      </c>
      <c r="D8048">
        <v>2</v>
      </c>
      <c r="E8048" s="16">
        <v>71.680000000000007</v>
      </c>
      <c r="F8048" s="1">
        <v>44519</v>
      </c>
      <c r="G8048" t="s">
        <v>2002</v>
      </c>
      <c r="H8048">
        <v>1</v>
      </c>
      <c r="I8048" s="12">
        <f>Table16[[#This Row],[price]]*Table16[[#This Row],[quantity]]</f>
        <v>143.36000000000001</v>
      </c>
    </row>
    <row r="8049" spans="1:9" x14ac:dyDescent="0.3">
      <c r="A8049" t="s">
        <v>10067</v>
      </c>
      <c r="B8049" t="s">
        <v>1607</v>
      </c>
      <c r="C8049" t="s">
        <v>2001</v>
      </c>
      <c r="D8049">
        <v>5</v>
      </c>
      <c r="E8049" s="16">
        <v>1500.4</v>
      </c>
      <c r="F8049" s="1">
        <v>44250</v>
      </c>
      <c r="G8049" t="s">
        <v>2027</v>
      </c>
      <c r="H8049">
        <v>3</v>
      </c>
      <c r="I8049" s="12">
        <f>Table16[[#This Row],[price]]*Table16[[#This Row],[quantity]]</f>
        <v>7502</v>
      </c>
    </row>
    <row r="8050" spans="1:9" x14ac:dyDescent="0.3">
      <c r="A8050" t="s">
        <v>10068</v>
      </c>
      <c r="B8050" t="s">
        <v>1607</v>
      </c>
      <c r="C8050" t="s">
        <v>2024</v>
      </c>
      <c r="D8050">
        <v>5</v>
      </c>
      <c r="E8050" s="16">
        <v>179.2</v>
      </c>
      <c r="F8050" s="1">
        <v>44256</v>
      </c>
      <c r="G8050" t="s">
        <v>2041</v>
      </c>
      <c r="H8050">
        <v>3</v>
      </c>
      <c r="I8050" s="12">
        <f>Table16[[#This Row],[price]]*Table16[[#This Row],[quantity]]</f>
        <v>896</v>
      </c>
    </row>
    <row r="8051" spans="1:9" x14ac:dyDescent="0.3">
      <c r="A8051" t="s">
        <v>10065</v>
      </c>
      <c r="B8051" t="s">
        <v>1607</v>
      </c>
      <c r="C8051" t="s">
        <v>2008</v>
      </c>
      <c r="D8051">
        <v>2</v>
      </c>
      <c r="E8051" s="16">
        <v>10.46</v>
      </c>
      <c r="F8051" s="1">
        <v>44349</v>
      </c>
      <c r="G8051" t="s">
        <v>2064</v>
      </c>
      <c r="H8051">
        <v>4</v>
      </c>
      <c r="I8051" s="12">
        <f>Table16[[#This Row],[price]]*Table16[[#This Row],[quantity]]</f>
        <v>20.92</v>
      </c>
    </row>
    <row r="8052" spans="1:9" x14ac:dyDescent="0.3">
      <c r="A8052" t="s">
        <v>10066</v>
      </c>
      <c r="B8052" t="s">
        <v>1607</v>
      </c>
      <c r="C8052" t="s">
        <v>2017</v>
      </c>
      <c r="D8052">
        <v>2</v>
      </c>
      <c r="E8052" s="16">
        <v>2100</v>
      </c>
      <c r="F8052" s="1">
        <v>44510</v>
      </c>
      <c r="G8052" t="s">
        <v>2041</v>
      </c>
      <c r="H8052">
        <v>1</v>
      </c>
      <c r="I8052" s="12">
        <f>Table16[[#This Row],[price]]*Table16[[#This Row],[quantity]]</f>
        <v>4200</v>
      </c>
    </row>
    <row r="8053" spans="1:9" x14ac:dyDescent="0.3">
      <c r="A8053" t="s">
        <v>10069</v>
      </c>
      <c r="B8053" t="s">
        <v>1607</v>
      </c>
      <c r="C8053" t="s">
        <v>2001</v>
      </c>
      <c r="D8053">
        <v>2</v>
      </c>
      <c r="E8053" s="16">
        <v>600.16</v>
      </c>
      <c r="F8053" s="1">
        <v>44750</v>
      </c>
      <c r="G8053" t="s">
        <v>2002</v>
      </c>
      <c r="H8053">
        <v>2</v>
      </c>
      <c r="I8053" s="12">
        <f>Table16[[#This Row],[price]]*Table16[[#This Row],[quantity]]</f>
        <v>1200.32</v>
      </c>
    </row>
    <row r="8054" spans="1:9" x14ac:dyDescent="0.3">
      <c r="A8054" t="s">
        <v>10070</v>
      </c>
      <c r="B8054" t="s">
        <v>1608</v>
      </c>
      <c r="C8054" t="s">
        <v>2011</v>
      </c>
      <c r="D8054">
        <v>2</v>
      </c>
      <c r="E8054" s="16">
        <v>81.319999999999993</v>
      </c>
      <c r="F8054" s="1">
        <v>44242</v>
      </c>
      <c r="G8054" t="s">
        <v>2012</v>
      </c>
      <c r="H8054">
        <v>2</v>
      </c>
      <c r="I8054" s="12">
        <f>Table16[[#This Row],[price]]*Table16[[#This Row],[quantity]]</f>
        <v>162.63999999999999</v>
      </c>
    </row>
    <row r="8055" spans="1:9" x14ac:dyDescent="0.3">
      <c r="A8055" t="s">
        <v>10071</v>
      </c>
      <c r="B8055" t="s">
        <v>1608</v>
      </c>
      <c r="C8055" t="s">
        <v>2011</v>
      </c>
      <c r="D8055">
        <v>3</v>
      </c>
      <c r="E8055" s="16">
        <v>121.98</v>
      </c>
      <c r="F8055" s="1">
        <v>44812</v>
      </c>
      <c r="G8055" t="s">
        <v>2064</v>
      </c>
      <c r="H8055">
        <v>1</v>
      </c>
      <c r="I8055" s="12">
        <f>Table16[[#This Row],[price]]*Table16[[#This Row],[quantity]]</f>
        <v>365.94</v>
      </c>
    </row>
    <row r="8056" spans="1:9" x14ac:dyDescent="0.3">
      <c r="A8056" t="s">
        <v>10072</v>
      </c>
      <c r="B8056" t="s">
        <v>1608</v>
      </c>
      <c r="C8056" t="s">
        <v>2001</v>
      </c>
      <c r="D8056">
        <v>1</v>
      </c>
      <c r="E8056" s="16">
        <v>300.08</v>
      </c>
      <c r="F8056" s="1">
        <v>44914</v>
      </c>
      <c r="G8056" t="s">
        <v>2020</v>
      </c>
      <c r="H8056">
        <v>5</v>
      </c>
      <c r="I8056" s="12">
        <f>Table16[[#This Row],[price]]*Table16[[#This Row],[quantity]]</f>
        <v>300.08</v>
      </c>
    </row>
    <row r="8057" spans="1:9" x14ac:dyDescent="0.3">
      <c r="A8057" t="s">
        <v>10076</v>
      </c>
      <c r="B8057" t="s">
        <v>1609</v>
      </c>
      <c r="C8057" t="s">
        <v>2015</v>
      </c>
      <c r="D8057">
        <v>5</v>
      </c>
      <c r="E8057" s="16">
        <v>3000.85</v>
      </c>
      <c r="F8057" s="1">
        <v>44287</v>
      </c>
      <c r="G8057" t="s">
        <v>2058</v>
      </c>
      <c r="H8057">
        <v>2</v>
      </c>
      <c r="I8057" s="12">
        <f>Table16[[#This Row],[price]]*Table16[[#This Row],[quantity]]</f>
        <v>15004.25</v>
      </c>
    </row>
    <row r="8058" spans="1:9" x14ac:dyDescent="0.3">
      <c r="A8058" t="s">
        <v>10073</v>
      </c>
      <c r="B8058" t="s">
        <v>1609</v>
      </c>
      <c r="C8058" t="s">
        <v>2001</v>
      </c>
      <c r="D8058">
        <v>4</v>
      </c>
      <c r="E8058" s="16">
        <v>1200.32</v>
      </c>
      <c r="F8058" s="1">
        <v>44342</v>
      </c>
      <c r="G8058" t="s">
        <v>2002</v>
      </c>
      <c r="H8058">
        <v>5</v>
      </c>
      <c r="I8058" s="12">
        <f>Table16[[#This Row],[price]]*Table16[[#This Row],[quantity]]</f>
        <v>4801.28</v>
      </c>
    </row>
    <row r="8059" spans="1:9" x14ac:dyDescent="0.3">
      <c r="A8059" t="s">
        <v>10079</v>
      </c>
      <c r="B8059" t="s">
        <v>1609</v>
      </c>
      <c r="C8059" t="s">
        <v>2001</v>
      </c>
      <c r="D8059">
        <v>1</v>
      </c>
      <c r="E8059" s="16">
        <v>300.08</v>
      </c>
      <c r="F8059" s="1">
        <v>44535</v>
      </c>
      <c r="G8059" t="s">
        <v>2002</v>
      </c>
      <c r="H8059">
        <v>5</v>
      </c>
      <c r="I8059" s="12">
        <f>Table16[[#This Row],[price]]*Table16[[#This Row],[quantity]]</f>
        <v>300.08</v>
      </c>
    </row>
    <row r="8060" spans="1:9" x14ac:dyDescent="0.3">
      <c r="A8060" t="s">
        <v>10078</v>
      </c>
      <c r="B8060" t="s">
        <v>1609</v>
      </c>
      <c r="C8060" t="s">
        <v>2015</v>
      </c>
      <c r="D8060">
        <v>1</v>
      </c>
      <c r="E8060" s="16">
        <v>600.16999999999996</v>
      </c>
      <c r="F8060" s="1">
        <v>44626</v>
      </c>
      <c r="G8060" t="s">
        <v>2002</v>
      </c>
      <c r="H8060">
        <v>3</v>
      </c>
      <c r="I8060" s="12">
        <f>Table16[[#This Row],[price]]*Table16[[#This Row],[quantity]]</f>
        <v>600.16999999999996</v>
      </c>
    </row>
    <row r="8061" spans="1:9" x14ac:dyDescent="0.3">
      <c r="A8061" t="s">
        <v>10075</v>
      </c>
      <c r="B8061" t="s">
        <v>1609</v>
      </c>
      <c r="C8061" t="s">
        <v>2024</v>
      </c>
      <c r="D8061">
        <v>2</v>
      </c>
      <c r="E8061" s="16">
        <v>71.680000000000007</v>
      </c>
      <c r="F8061" s="1">
        <v>44732</v>
      </c>
      <c r="G8061" t="s">
        <v>2009</v>
      </c>
      <c r="H8061">
        <v>3</v>
      </c>
      <c r="I8061" s="12">
        <f>Table16[[#This Row],[price]]*Table16[[#This Row],[quantity]]</f>
        <v>143.36000000000001</v>
      </c>
    </row>
    <row r="8062" spans="1:9" x14ac:dyDescent="0.3">
      <c r="A8062" t="s">
        <v>10077</v>
      </c>
      <c r="B8062" t="s">
        <v>1609</v>
      </c>
      <c r="C8062" t="s">
        <v>2011</v>
      </c>
      <c r="D8062">
        <v>3</v>
      </c>
      <c r="E8062" s="16">
        <v>121.98</v>
      </c>
      <c r="F8062" s="1">
        <v>44940</v>
      </c>
      <c r="G8062" t="s">
        <v>2027</v>
      </c>
      <c r="H8062">
        <v>2</v>
      </c>
      <c r="I8062" s="12">
        <f>Table16[[#This Row],[price]]*Table16[[#This Row],[quantity]]</f>
        <v>365.94</v>
      </c>
    </row>
    <row r="8063" spans="1:9" x14ac:dyDescent="0.3">
      <c r="A8063" t="s">
        <v>10074</v>
      </c>
      <c r="B8063" t="s">
        <v>1609</v>
      </c>
      <c r="C8063" t="s">
        <v>2001</v>
      </c>
      <c r="D8063">
        <v>5</v>
      </c>
      <c r="E8063" s="16">
        <v>1500.4</v>
      </c>
      <c r="F8063" s="1">
        <v>44989</v>
      </c>
      <c r="G8063" t="s">
        <v>2020</v>
      </c>
      <c r="H8063">
        <v>2</v>
      </c>
      <c r="I8063" s="12">
        <f>Table16[[#This Row],[price]]*Table16[[#This Row],[quantity]]</f>
        <v>7502</v>
      </c>
    </row>
    <row r="8064" spans="1:9" x14ac:dyDescent="0.3">
      <c r="A8064" t="s">
        <v>10082</v>
      </c>
      <c r="B8064" t="s">
        <v>1610</v>
      </c>
      <c r="C8064" t="s">
        <v>2001</v>
      </c>
      <c r="D8064">
        <v>5</v>
      </c>
      <c r="E8064" s="16">
        <v>1500.4</v>
      </c>
      <c r="F8064" s="1">
        <v>44396</v>
      </c>
      <c r="G8064" t="s">
        <v>2020</v>
      </c>
      <c r="H8064">
        <v>3</v>
      </c>
      <c r="I8064" s="12">
        <f>Table16[[#This Row],[price]]*Table16[[#This Row],[quantity]]</f>
        <v>7502</v>
      </c>
    </row>
    <row r="8065" spans="1:9" x14ac:dyDescent="0.3">
      <c r="A8065" t="s">
        <v>10080</v>
      </c>
      <c r="B8065" t="s">
        <v>1610</v>
      </c>
      <c r="C8065" t="s">
        <v>2001</v>
      </c>
      <c r="D8065">
        <v>1</v>
      </c>
      <c r="E8065" s="16">
        <v>300.08</v>
      </c>
      <c r="F8065" s="1">
        <v>44424</v>
      </c>
      <c r="G8065" t="s">
        <v>2027</v>
      </c>
      <c r="H8065">
        <v>3</v>
      </c>
      <c r="I8065" s="12">
        <f>Table16[[#This Row],[price]]*Table16[[#This Row],[quantity]]</f>
        <v>300.08</v>
      </c>
    </row>
    <row r="8066" spans="1:9" x14ac:dyDescent="0.3">
      <c r="A8066" t="s">
        <v>10081</v>
      </c>
      <c r="B8066" t="s">
        <v>1610</v>
      </c>
      <c r="C8066" t="s">
        <v>2057</v>
      </c>
      <c r="D8066">
        <v>2</v>
      </c>
      <c r="E8066" s="16">
        <v>23.46</v>
      </c>
      <c r="F8066" s="1">
        <v>44540</v>
      </c>
      <c r="G8066" t="s">
        <v>2020</v>
      </c>
      <c r="H8066">
        <v>5</v>
      </c>
      <c r="I8066" s="12">
        <f>Table16[[#This Row],[price]]*Table16[[#This Row],[quantity]]</f>
        <v>46.92</v>
      </c>
    </row>
    <row r="8067" spans="1:9" x14ac:dyDescent="0.3">
      <c r="A8067" t="s">
        <v>10083</v>
      </c>
      <c r="B8067" t="s">
        <v>1610</v>
      </c>
      <c r="C8067" t="s">
        <v>2001</v>
      </c>
      <c r="D8067">
        <v>5</v>
      </c>
      <c r="E8067" s="16">
        <v>1500.4</v>
      </c>
      <c r="F8067" s="1">
        <v>44743</v>
      </c>
      <c r="G8067" t="s">
        <v>2027</v>
      </c>
      <c r="H8067">
        <v>2</v>
      </c>
      <c r="I8067" s="12">
        <f>Table16[[#This Row],[price]]*Table16[[#This Row],[quantity]]</f>
        <v>7502</v>
      </c>
    </row>
    <row r="8068" spans="1:9" x14ac:dyDescent="0.3">
      <c r="A8068" t="s">
        <v>10084</v>
      </c>
      <c r="B8068" t="s">
        <v>1610</v>
      </c>
      <c r="C8068" t="s">
        <v>2001</v>
      </c>
      <c r="D8068">
        <v>5</v>
      </c>
      <c r="E8068" s="16">
        <v>1500.4</v>
      </c>
      <c r="F8068" s="1">
        <v>44916</v>
      </c>
      <c r="G8068" t="s">
        <v>2004</v>
      </c>
      <c r="H8068">
        <v>1</v>
      </c>
      <c r="I8068" s="12">
        <f>Table16[[#This Row],[price]]*Table16[[#This Row],[quantity]]</f>
        <v>7502</v>
      </c>
    </row>
    <row r="8069" spans="1:9" x14ac:dyDescent="0.3">
      <c r="A8069" t="s">
        <v>10087</v>
      </c>
      <c r="B8069" t="s">
        <v>1611</v>
      </c>
      <c r="C8069" t="s">
        <v>2006</v>
      </c>
      <c r="D8069">
        <v>1</v>
      </c>
      <c r="E8069" s="16">
        <v>15.15</v>
      </c>
      <c r="F8069" s="1">
        <v>44215</v>
      </c>
      <c r="G8069" t="s">
        <v>2027</v>
      </c>
      <c r="H8069">
        <v>3</v>
      </c>
      <c r="I8069" s="12">
        <f>Table16[[#This Row],[price]]*Table16[[#This Row],[quantity]]</f>
        <v>15.15</v>
      </c>
    </row>
    <row r="8070" spans="1:9" x14ac:dyDescent="0.3">
      <c r="A8070" t="s">
        <v>10089</v>
      </c>
      <c r="B8070" t="s">
        <v>1611</v>
      </c>
      <c r="C8070" t="s">
        <v>2001</v>
      </c>
      <c r="D8070">
        <v>4</v>
      </c>
      <c r="E8070" s="16">
        <v>1200.32</v>
      </c>
      <c r="F8070" s="1">
        <v>44332</v>
      </c>
      <c r="G8070" t="s">
        <v>2041</v>
      </c>
      <c r="H8070">
        <v>4</v>
      </c>
      <c r="I8070" s="12">
        <f>Table16[[#This Row],[price]]*Table16[[#This Row],[quantity]]</f>
        <v>4801.28</v>
      </c>
    </row>
    <row r="8071" spans="1:9" x14ac:dyDescent="0.3">
      <c r="A8071" t="s">
        <v>10088</v>
      </c>
      <c r="B8071" t="s">
        <v>1611</v>
      </c>
      <c r="C8071" t="s">
        <v>2015</v>
      </c>
      <c r="D8071">
        <v>1</v>
      </c>
      <c r="E8071" s="16">
        <v>600.16999999999996</v>
      </c>
      <c r="F8071" s="1">
        <v>44344</v>
      </c>
      <c r="G8071" t="s">
        <v>2041</v>
      </c>
      <c r="H8071">
        <v>1</v>
      </c>
      <c r="I8071" s="12">
        <f>Table16[[#This Row],[price]]*Table16[[#This Row],[quantity]]</f>
        <v>600.16999999999996</v>
      </c>
    </row>
    <row r="8072" spans="1:9" x14ac:dyDescent="0.3">
      <c r="A8072" t="s">
        <v>10085</v>
      </c>
      <c r="B8072" t="s">
        <v>1611</v>
      </c>
      <c r="C8072" t="s">
        <v>2008</v>
      </c>
      <c r="D8072">
        <v>5</v>
      </c>
      <c r="E8072" s="16">
        <v>26.15</v>
      </c>
      <c r="F8072" s="1">
        <v>44475</v>
      </c>
      <c r="G8072" t="s">
        <v>2004</v>
      </c>
      <c r="H8072">
        <v>3</v>
      </c>
      <c r="I8072" s="12">
        <f>Table16[[#This Row],[price]]*Table16[[#This Row],[quantity]]</f>
        <v>130.75</v>
      </c>
    </row>
    <row r="8073" spans="1:9" x14ac:dyDescent="0.3">
      <c r="A8073" t="s">
        <v>10086</v>
      </c>
      <c r="B8073" t="s">
        <v>1611</v>
      </c>
      <c r="C8073" t="s">
        <v>2011</v>
      </c>
      <c r="D8073">
        <v>5</v>
      </c>
      <c r="E8073" s="16">
        <v>203.3</v>
      </c>
      <c r="F8073" s="1">
        <v>44803</v>
      </c>
      <c r="G8073" t="s">
        <v>2027</v>
      </c>
      <c r="H8073">
        <v>2</v>
      </c>
      <c r="I8073" s="12">
        <f>Table16[[#This Row],[price]]*Table16[[#This Row],[quantity]]</f>
        <v>1016.5</v>
      </c>
    </row>
    <row r="8074" spans="1:9" x14ac:dyDescent="0.3">
      <c r="A8074" t="s">
        <v>10093</v>
      </c>
      <c r="B8074" t="s">
        <v>1612</v>
      </c>
      <c r="C8074" t="s">
        <v>2001</v>
      </c>
      <c r="D8074">
        <v>4</v>
      </c>
      <c r="E8074" s="16">
        <v>1200.32</v>
      </c>
      <c r="F8074" s="1">
        <v>44231</v>
      </c>
      <c r="G8074" t="s">
        <v>2004</v>
      </c>
      <c r="H8074">
        <v>5</v>
      </c>
      <c r="I8074" s="12">
        <f>Table16[[#This Row],[price]]*Table16[[#This Row],[quantity]]</f>
        <v>4801.28</v>
      </c>
    </row>
    <row r="8075" spans="1:9" x14ac:dyDescent="0.3">
      <c r="A8075" t="s">
        <v>10094</v>
      </c>
      <c r="B8075" t="s">
        <v>1612</v>
      </c>
      <c r="C8075" t="s">
        <v>2024</v>
      </c>
      <c r="D8075">
        <v>4</v>
      </c>
      <c r="E8075" s="16">
        <v>143.36000000000001</v>
      </c>
      <c r="F8075" s="1">
        <v>44312</v>
      </c>
      <c r="G8075" t="s">
        <v>2004</v>
      </c>
      <c r="H8075">
        <v>4</v>
      </c>
      <c r="I8075" s="12">
        <f>Table16[[#This Row],[price]]*Table16[[#This Row],[quantity]]</f>
        <v>573.44000000000005</v>
      </c>
    </row>
    <row r="8076" spans="1:9" x14ac:dyDescent="0.3">
      <c r="A8076" t="s">
        <v>10095</v>
      </c>
      <c r="B8076" t="s">
        <v>1612</v>
      </c>
      <c r="C8076" t="s">
        <v>2008</v>
      </c>
      <c r="D8076">
        <v>4</v>
      </c>
      <c r="E8076" s="16">
        <v>20.92</v>
      </c>
      <c r="F8076" s="1">
        <v>44375</v>
      </c>
      <c r="G8076" t="s">
        <v>2004</v>
      </c>
      <c r="H8076">
        <v>2</v>
      </c>
      <c r="I8076" s="12">
        <f>Table16[[#This Row],[price]]*Table16[[#This Row],[quantity]]</f>
        <v>83.68</v>
      </c>
    </row>
    <row r="8077" spans="1:9" x14ac:dyDescent="0.3">
      <c r="A8077" t="s">
        <v>10090</v>
      </c>
      <c r="B8077" t="s">
        <v>1612</v>
      </c>
      <c r="C8077" t="s">
        <v>2015</v>
      </c>
      <c r="D8077">
        <v>3</v>
      </c>
      <c r="E8077" s="16">
        <v>1800.51</v>
      </c>
      <c r="F8077" s="1">
        <v>44625</v>
      </c>
      <c r="G8077" t="s">
        <v>2020</v>
      </c>
      <c r="H8077">
        <v>2</v>
      </c>
      <c r="I8077" s="12">
        <f>Table16[[#This Row],[price]]*Table16[[#This Row],[quantity]]</f>
        <v>5401.53</v>
      </c>
    </row>
    <row r="8078" spans="1:9" x14ac:dyDescent="0.3">
      <c r="A8078" t="s">
        <v>10092</v>
      </c>
      <c r="B8078" t="s">
        <v>1612</v>
      </c>
      <c r="C8078" t="s">
        <v>2024</v>
      </c>
      <c r="D8078">
        <v>5</v>
      </c>
      <c r="E8078" s="16">
        <v>179.2</v>
      </c>
      <c r="F8078" s="1">
        <v>44927</v>
      </c>
      <c r="G8078" t="s">
        <v>2064</v>
      </c>
      <c r="H8078">
        <v>5</v>
      </c>
      <c r="I8078" s="12">
        <f>Table16[[#This Row],[price]]*Table16[[#This Row],[quantity]]</f>
        <v>896</v>
      </c>
    </row>
    <row r="8079" spans="1:9" x14ac:dyDescent="0.3">
      <c r="A8079" t="s">
        <v>10091</v>
      </c>
      <c r="B8079" t="s">
        <v>1612</v>
      </c>
      <c r="C8079" t="s">
        <v>2011</v>
      </c>
      <c r="D8079">
        <v>3</v>
      </c>
      <c r="E8079" s="16">
        <v>121.98</v>
      </c>
      <c r="F8079" s="1">
        <v>44936</v>
      </c>
      <c r="G8079" t="s">
        <v>2004</v>
      </c>
      <c r="H8079">
        <v>2</v>
      </c>
      <c r="I8079" s="12">
        <f>Table16[[#This Row],[price]]*Table16[[#This Row],[quantity]]</f>
        <v>365.94</v>
      </c>
    </row>
    <row r="8080" spans="1:9" x14ac:dyDescent="0.3">
      <c r="A8080" t="s">
        <v>10096</v>
      </c>
      <c r="B8080" t="s">
        <v>1612</v>
      </c>
      <c r="C8080" t="s">
        <v>2006</v>
      </c>
      <c r="D8080">
        <v>5</v>
      </c>
      <c r="E8080" s="16">
        <v>75.75</v>
      </c>
      <c r="F8080" s="1">
        <v>44956</v>
      </c>
      <c r="G8080" t="s">
        <v>2064</v>
      </c>
      <c r="H8080">
        <v>2</v>
      </c>
      <c r="I8080" s="12">
        <f>Table16[[#This Row],[price]]*Table16[[#This Row],[quantity]]</f>
        <v>378.75</v>
      </c>
    </row>
    <row r="8081" spans="1:9" x14ac:dyDescent="0.3">
      <c r="A8081" t="s">
        <v>10099</v>
      </c>
      <c r="B8081" t="s">
        <v>1613</v>
      </c>
      <c r="C8081" t="s">
        <v>2017</v>
      </c>
      <c r="D8081">
        <v>5</v>
      </c>
      <c r="E8081" s="16">
        <v>5250</v>
      </c>
      <c r="F8081" s="1">
        <v>44564</v>
      </c>
      <c r="G8081" t="s">
        <v>2004</v>
      </c>
      <c r="H8081">
        <v>1</v>
      </c>
      <c r="I8081" s="12">
        <f>Table16[[#This Row],[price]]*Table16[[#This Row],[quantity]]</f>
        <v>26250</v>
      </c>
    </row>
    <row r="8082" spans="1:9" x14ac:dyDescent="0.3">
      <c r="A8082" t="s">
        <v>10098</v>
      </c>
      <c r="B8082" t="s">
        <v>1613</v>
      </c>
      <c r="C8082" t="s">
        <v>2001</v>
      </c>
      <c r="D8082">
        <v>1</v>
      </c>
      <c r="E8082" s="16">
        <v>300.08</v>
      </c>
      <c r="F8082" s="1">
        <v>44623</v>
      </c>
      <c r="G8082" t="s">
        <v>2041</v>
      </c>
      <c r="H8082">
        <v>1</v>
      </c>
      <c r="I8082" s="12">
        <f>Table16[[#This Row],[price]]*Table16[[#This Row],[quantity]]</f>
        <v>300.08</v>
      </c>
    </row>
    <row r="8083" spans="1:9" x14ac:dyDescent="0.3">
      <c r="A8083" t="s">
        <v>10097</v>
      </c>
      <c r="B8083" t="s">
        <v>1613</v>
      </c>
      <c r="C8083" t="s">
        <v>2015</v>
      </c>
      <c r="D8083">
        <v>2</v>
      </c>
      <c r="E8083" s="16">
        <v>1200.3399999999999</v>
      </c>
      <c r="F8083" s="1">
        <v>44800</v>
      </c>
      <c r="G8083" t="s">
        <v>2020</v>
      </c>
      <c r="H8083">
        <v>1</v>
      </c>
      <c r="I8083" s="12">
        <f>Table16[[#This Row],[price]]*Table16[[#This Row],[quantity]]</f>
        <v>2400.6799999999998</v>
      </c>
    </row>
    <row r="8084" spans="1:9" x14ac:dyDescent="0.3">
      <c r="A8084" t="s">
        <v>10104</v>
      </c>
      <c r="B8084" t="s">
        <v>1614</v>
      </c>
      <c r="C8084" t="s">
        <v>2011</v>
      </c>
      <c r="D8084">
        <v>2</v>
      </c>
      <c r="E8084" s="16">
        <v>81.319999999999993</v>
      </c>
      <c r="F8084" s="1">
        <v>44210</v>
      </c>
      <c r="G8084" t="s">
        <v>2020</v>
      </c>
      <c r="H8084">
        <v>5</v>
      </c>
      <c r="I8084" s="12">
        <f>Table16[[#This Row],[price]]*Table16[[#This Row],[quantity]]</f>
        <v>162.63999999999999</v>
      </c>
    </row>
    <row r="8085" spans="1:9" x14ac:dyDescent="0.3">
      <c r="A8085" t="s">
        <v>10105</v>
      </c>
      <c r="B8085" t="s">
        <v>1614</v>
      </c>
      <c r="C8085" t="s">
        <v>2001</v>
      </c>
      <c r="D8085">
        <v>3</v>
      </c>
      <c r="E8085" s="16">
        <v>900.24</v>
      </c>
      <c r="F8085" s="1">
        <v>44268</v>
      </c>
      <c r="G8085" t="s">
        <v>2064</v>
      </c>
      <c r="H8085">
        <v>3</v>
      </c>
      <c r="I8085" s="12">
        <f>Table16[[#This Row],[price]]*Table16[[#This Row],[quantity]]</f>
        <v>2700.7200000000003</v>
      </c>
    </row>
    <row r="8086" spans="1:9" x14ac:dyDescent="0.3">
      <c r="A8086" t="s">
        <v>10102</v>
      </c>
      <c r="B8086" t="s">
        <v>1614</v>
      </c>
      <c r="C8086" t="s">
        <v>2057</v>
      </c>
      <c r="D8086">
        <v>2</v>
      </c>
      <c r="E8086" s="16">
        <v>23.46</v>
      </c>
      <c r="F8086" s="1">
        <v>44759</v>
      </c>
      <c r="G8086" t="s">
        <v>2027</v>
      </c>
      <c r="H8086">
        <v>4</v>
      </c>
      <c r="I8086" s="12">
        <f>Table16[[#This Row],[price]]*Table16[[#This Row],[quantity]]</f>
        <v>46.92</v>
      </c>
    </row>
    <row r="8087" spans="1:9" x14ac:dyDescent="0.3">
      <c r="A8087" t="s">
        <v>10103</v>
      </c>
      <c r="B8087" t="s">
        <v>1614</v>
      </c>
      <c r="C8087" t="s">
        <v>2001</v>
      </c>
      <c r="D8087">
        <v>5</v>
      </c>
      <c r="E8087" s="16">
        <v>1500.4</v>
      </c>
      <c r="F8087" s="1">
        <v>44804</v>
      </c>
      <c r="G8087" t="s">
        <v>2027</v>
      </c>
      <c r="H8087">
        <v>2</v>
      </c>
      <c r="I8087" s="12">
        <f>Table16[[#This Row],[price]]*Table16[[#This Row],[quantity]]</f>
        <v>7502</v>
      </c>
    </row>
    <row r="8088" spans="1:9" x14ac:dyDescent="0.3">
      <c r="A8088" t="s">
        <v>10101</v>
      </c>
      <c r="B8088" t="s">
        <v>1614</v>
      </c>
      <c r="C8088" t="s">
        <v>2015</v>
      </c>
      <c r="D8088">
        <v>1</v>
      </c>
      <c r="E8088" s="16">
        <v>600.16999999999996</v>
      </c>
      <c r="F8088" s="1">
        <v>44890</v>
      </c>
      <c r="G8088" t="s">
        <v>2012</v>
      </c>
      <c r="H8088">
        <v>4</v>
      </c>
      <c r="I8088" s="12">
        <f>Table16[[#This Row],[price]]*Table16[[#This Row],[quantity]]</f>
        <v>600.16999999999996</v>
      </c>
    </row>
    <row r="8089" spans="1:9" x14ac:dyDescent="0.3">
      <c r="A8089" t="s">
        <v>10100</v>
      </c>
      <c r="B8089" t="s">
        <v>1614</v>
      </c>
      <c r="C8089" t="s">
        <v>2001</v>
      </c>
      <c r="D8089">
        <v>2</v>
      </c>
      <c r="E8089" s="16">
        <v>600.16</v>
      </c>
      <c r="F8089" s="1">
        <v>44970</v>
      </c>
      <c r="G8089" t="s">
        <v>2002</v>
      </c>
      <c r="H8089">
        <v>2</v>
      </c>
      <c r="I8089" s="12">
        <f>Table16[[#This Row],[price]]*Table16[[#This Row],[quantity]]</f>
        <v>1200.32</v>
      </c>
    </row>
    <row r="8090" spans="1:9" x14ac:dyDescent="0.3">
      <c r="A8090" t="s">
        <v>10110</v>
      </c>
      <c r="B8090" t="s">
        <v>1615</v>
      </c>
      <c r="C8090" t="s">
        <v>2001</v>
      </c>
      <c r="D8090">
        <v>5</v>
      </c>
      <c r="E8090" s="16">
        <v>1500.4</v>
      </c>
      <c r="F8090" s="1">
        <v>44336</v>
      </c>
      <c r="G8090" t="s">
        <v>2064</v>
      </c>
      <c r="H8090">
        <v>2</v>
      </c>
      <c r="I8090" s="12">
        <f>Table16[[#This Row],[price]]*Table16[[#This Row],[quantity]]</f>
        <v>7502</v>
      </c>
    </row>
    <row r="8091" spans="1:9" x14ac:dyDescent="0.3">
      <c r="A8091" t="s">
        <v>10107</v>
      </c>
      <c r="B8091" t="s">
        <v>1615</v>
      </c>
      <c r="C8091" t="s">
        <v>2015</v>
      </c>
      <c r="D8091">
        <v>4</v>
      </c>
      <c r="E8091" s="16">
        <v>2400.6799999999998</v>
      </c>
      <c r="F8091" s="1">
        <v>44437</v>
      </c>
      <c r="G8091" t="s">
        <v>2002</v>
      </c>
      <c r="H8091">
        <v>4</v>
      </c>
      <c r="I8091" s="12">
        <f>Table16[[#This Row],[price]]*Table16[[#This Row],[quantity]]</f>
        <v>9602.7199999999993</v>
      </c>
    </row>
    <row r="8092" spans="1:9" x14ac:dyDescent="0.3">
      <c r="A8092" t="s">
        <v>10111</v>
      </c>
      <c r="B8092" t="s">
        <v>1615</v>
      </c>
      <c r="C8092" t="s">
        <v>2001</v>
      </c>
      <c r="D8092">
        <v>3</v>
      </c>
      <c r="E8092" s="16">
        <v>900.24</v>
      </c>
      <c r="F8092" s="1">
        <v>44473</v>
      </c>
      <c r="G8092" t="s">
        <v>2027</v>
      </c>
      <c r="H8092">
        <v>1</v>
      </c>
      <c r="I8092" s="12">
        <f>Table16[[#This Row],[price]]*Table16[[#This Row],[quantity]]</f>
        <v>2700.7200000000003</v>
      </c>
    </row>
    <row r="8093" spans="1:9" x14ac:dyDescent="0.3">
      <c r="A8093" t="s">
        <v>10106</v>
      </c>
      <c r="B8093" t="s">
        <v>1615</v>
      </c>
      <c r="C8093" t="s">
        <v>2024</v>
      </c>
      <c r="D8093">
        <v>2</v>
      </c>
      <c r="E8093" s="16">
        <v>71.680000000000007</v>
      </c>
      <c r="F8093" s="1">
        <v>44635</v>
      </c>
      <c r="G8093" t="s">
        <v>2002</v>
      </c>
      <c r="H8093">
        <v>1</v>
      </c>
      <c r="I8093" s="12">
        <f>Table16[[#This Row],[price]]*Table16[[#This Row],[quantity]]</f>
        <v>143.36000000000001</v>
      </c>
    </row>
    <row r="8094" spans="1:9" x14ac:dyDescent="0.3">
      <c r="A8094" t="s">
        <v>10109</v>
      </c>
      <c r="B8094" t="s">
        <v>1615</v>
      </c>
      <c r="C8094" t="s">
        <v>2001</v>
      </c>
      <c r="D8094">
        <v>2</v>
      </c>
      <c r="E8094" s="16">
        <v>600.16</v>
      </c>
      <c r="F8094" s="1">
        <v>44718</v>
      </c>
      <c r="G8094" t="s">
        <v>2002</v>
      </c>
      <c r="H8094">
        <v>2</v>
      </c>
      <c r="I8094" s="12">
        <f>Table16[[#This Row],[price]]*Table16[[#This Row],[quantity]]</f>
        <v>1200.32</v>
      </c>
    </row>
    <row r="8095" spans="1:9" x14ac:dyDescent="0.3">
      <c r="A8095" t="s">
        <v>10108</v>
      </c>
      <c r="B8095" t="s">
        <v>1615</v>
      </c>
      <c r="C8095" t="s">
        <v>2015</v>
      </c>
      <c r="D8095">
        <v>5</v>
      </c>
      <c r="E8095" s="16">
        <v>3000.85</v>
      </c>
      <c r="F8095" s="1">
        <v>44724</v>
      </c>
      <c r="G8095" t="s">
        <v>2012</v>
      </c>
      <c r="H8095">
        <v>3</v>
      </c>
      <c r="I8095" s="12">
        <f>Table16[[#This Row],[price]]*Table16[[#This Row],[quantity]]</f>
        <v>15004.25</v>
      </c>
    </row>
    <row r="8096" spans="1:9" x14ac:dyDescent="0.3">
      <c r="A8096" t="s">
        <v>10115</v>
      </c>
      <c r="B8096" t="s">
        <v>1616</v>
      </c>
      <c r="C8096" t="s">
        <v>2001</v>
      </c>
      <c r="D8096">
        <v>3</v>
      </c>
      <c r="E8096" s="16">
        <v>900.24</v>
      </c>
      <c r="F8096" s="1">
        <v>44241</v>
      </c>
      <c r="G8096" t="s">
        <v>2027</v>
      </c>
      <c r="H8096">
        <v>3</v>
      </c>
      <c r="I8096" s="12">
        <f>Table16[[#This Row],[price]]*Table16[[#This Row],[quantity]]</f>
        <v>2700.7200000000003</v>
      </c>
    </row>
    <row r="8097" spans="1:9" x14ac:dyDescent="0.3">
      <c r="A8097" t="s">
        <v>10114</v>
      </c>
      <c r="B8097" t="s">
        <v>1616</v>
      </c>
      <c r="C8097" t="s">
        <v>2001</v>
      </c>
      <c r="D8097">
        <v>4</v>
      </c>
      <c r="E8097" s="16">
        <v>1200.32</v>
      </c>
      <c r="F8097" s="1">
        <v>44440</v>
      </c>
      <c r="G8097" t="s">
        <v>2027</v>
      </c>
      <c r="H8097">
        <v>5</v>
      </c>
      <c r="I8097" s="12">
        <f>Table16[[#This Row],[price]]*Table16[[#This Row],[quantity]]</f>
        <v>4801.28</v>
      </c>
    </row>
    <row r="8098" spans="1:9" x14ac:dyDescent="0.3">
      <c r="A8098" t="s">
        <v>10113</v>
      </c>
      <c r="B8098" t="s">
        <v>1616</v>
      </c>
      <c r="C8098" t="s">
        <v>2011</v>
      </c>
      <c r="D8098">
        <v>4</v>
      </c>
      <c r="E8098" s="16">
        <v>162.63999999999999</v>
      </c>
      <c r="F8098" s="1">
        <v>44491</v>
      </c>
      <c r="G8098" t="s">
        <v>2027</v>
      </c>
      <c r="H8098">
        <v>3</v>
      </c>
      <c r="I8098" s="12">
        <f>Table16[[#This Row],[price]]*Table16[[#This Row],[quantity]]</f>
        <v>650.55999999999995</v>
      </c>
    </row>
    <row r="8099" spans="1:9" x14ac:dyDescent="0.3">
      <c r="A8099" t="s">
        <v>10116</v>
      </c>
      <c r="B8099" t="s">
        <v>1616</v>
      </c>
      <c r="C8099" t="s">
        <v>2001</v>
      </c>
      <c r="D8099">
        <v>4</v>
      </c>
      <c r="E8099" s="16">
        <v>1200.32</v>
      </c>
      <c r="F8099" s="1">
        <v>44711</v>
      </c>
      <c r="G8099" t="s">
        <v>2002</v>
      </c>
      <c r="H8099">
        <v>5</v>
      </c>
      <c r="I8099" s="12">
        <f>Table16[[#This Row],[price]]*Table16[[#This Row],[quantity]]</f>
        <v>4801.28</v>
      </c>
    </row>
    <row r="8100" spans="1:9" x14ac:dyDescent="0.3">
      <c r="A8100" t="s">
        <v>10112</v>
      </c>
      <c r="B8100" t="s">
        <v>1616</v>
      </c>
      <c r="C8100" t="s">
        <v>2001</v>
      </c>
      <c r="D8100">
        <v>3</v>
      </c>
      <c r="E8100" s="16">
        <v>900.24</v>
      </c>
      <c r="F8100" s="1">
        <v>44764</v>
      </c>
      <c r="G8100" t="s">
        <v>2027</v>
      </c>
      <c r="H8100">
        <v>1</v>
      </c>
      <c r="I8100" s="12">
        <f>Table16[[#This Row],[price]]*Table16[[#This Row],[quantity]]</f>
        <v>2700.7200000000003</v>
      </c>
    </row>
    <row r="8101" spans="1:9" x14ac:dyDescent="0.3">
      <c r="A8101" t="s">
        <v>10120</v>
      </c>
      <c r="B8101" t="s">
        <v>1617</v>
      </c>
      <c r="C8101" t="s">
        <v>2024</v>
      </c>
      <c r="D8101">
        <v>5</v>
      </c>
      <c r="E8101" s="16">
        <v>179.2</v>
      </c>
      <c r="F8101" s="1">
        <v>44306</v>
      </c>
      <c r="G8101" t="s">
        <v>2002</v>
      </c>
      <c r="H8101">
        <v>2</v>
      </c>
      <c r="I8101" s="12">
        <f>Table16[[#This Row],[price]]*Table16[[#This Row],[quantity]]</f>
        <v>896</v>
      </c>
    </row>
    <row r="8102" spans="1:9" x14ac:dyDescent="0.3">
      <c r="A8102" t="s">
        <v>10121</v>
      </c>
      <c r="B8102" t="s">
        <v>1617</v>
      </c>
      <c r="C8102" t="s">
        <v>2057</v>
      </c>
      <c r="D8102">
        <v>3</v>
      </c>
      <c r="E8102" s="16">
        <v>35.19</v>
      </c>
      <c r="F8102" s="1">
        <v>44434</v>
      </c>
      <c r="G8102" t="s">
        <v>2064</v>
      </c>
      <c r="H8102">
        <v>2</v>
      </c>
      <c r="I8102" s="12">
        <f>Table16[[#This Row],[price]]*Table16[[#This Row],[quantity]]</f>
        <v>105.57</v>
      </c>
    </row>
    <row r="8103" spans="1:9" x14ac:dyDescent="0.3">
      <c r="A8103" t="s">
        <v>10119</v>
      </c>
      <c r="B8103" t="s">
        <v>1617</v>
      </c>
      <c r="C8103" t="s">
        <v>2015</v>
      </c>
      <c r="D8103">
        <v>4</v>
      </c>
      <c r="E8103" s="16">
        <v>2400.6799999999998</v>
      </c>
      <c r="F8103" s="1">
        <v>44455</v>
      </c>
      <c r="G8103" t="s">
        <v>2002</v>
      </c>
      <c r="H8103">
        <v>3</v>
      </c>
      <c r="I8103" s="12">
        <f>Table16[[#This Row],[price]]*Table16[[#This Row],[quantity]]</f>
        <v>9602.7199999999993</v>
      </c>
    </row>
    <row r="8104" spans="1:9" x14ac:dyDescent="0.3">
      <c r="A8104" t="s">
        <v>10118</v>
      </c>
      <c r="B8104" t="s">
        <v>1617</v>
      </c>
      <c r="C8104" t="s">
        <v>2017</v>
      </c>
      <c r="D8104">
        <v>5</v>
      </c>
      <c r="E8104" s="16">
        <v>5250</v>
      </c>
      <c r="F8104" s="1">
        <v>44466</v>
      </c>
      <c r="G8104" t="s">
        <v>2058</v>
      </c>
      <c r="H8104">
        <v>3</v>
      </c>
      <c r="I8104" s="12">
        <f>Table16[[#This Row],[price]]*Table16[[#This Row],[quantity]]</f>
        <v>26250</v>
      </c>
    </row>
    <row r="8105" spans="1:9" x14ac:dyDescent="0.3">
      <c r="A8105" t="s">
        <v>10117</v>
      </c>
      <c r="B8105" t="s">
        <v>1617</v>
      </c>
      <c r="C8105" t="s">
        <v>2024</v>
      </c>
      <c r="D8105">
        <v>2</v>
      </c>
      <c r="E8105" s="16">
        <v>71.680000000000007</v>
      </c>
      <c r="F8105" s="1">
        <v>44471</v>
      </c>
      <c r="G8105" t="s">
        <v>2004</v>
      </c>
      <c r="H8105">
        <v>4</v>
      </c>
      <c r="I8105" s="12">
        <f>Table16[[#This Row],[price]]*Table16[[#This Row],[quantity]]</f>
        <v>143.36000000000001</v>
      </c>
    </row>
    <row r="8106" spans="1:9" x14ac:dyDescent="0.3">
      <c r="A8106" t="s">
        <v>10123</v>
      </c>
      <c r="B8106" t="s">
        <v>1618</v>
      </c>
      <c r="C8106" t="s">
        <v>2008</v>
      </c>
      <c r="D8106">
        <v>2</v>
      </c>
      <c r="E8106" s="16">
        <v>10.46</v>
      </c>
      <c r="F8106" s="1">
        <v>44282</v>
      </c>
      <c r="G8106" t="s">
        <v>2027</v>
      </c>
      <c r="H8106">
        <v>1</v>
      </c>
      <c r="I8106" s="12">
        <f>Table16[[#This Row],[price]]*Table16[[#This Row],[quantity]]</f>
        <v>20.92</v>
      </c>
    </row>
    <row r="8107" spans="1:9" x14ac:dyDescent="0.3">
      <c r="A8107" t="s">
        <v>10125</v>
      </c>
      <c r="B8107" t="s">
        <v>1618</v>
      </c>
      <c r="C8107" t="s">
        <v>2015</v>
      </c>
      <c r="D8107">
        <v>3</v>
      </c>
      <c r="E8107" s="16">
        <v>1800.51</v>
      </c>
      <c r="F8107" s="1">
        <v>44546</v>
      </c>
      <c r="G8107" t="s">
        <v>2009</v>
      </c>
      <c r="H8107">
        <v>1</v>
      </c>
      <c r="I8107" s="12">
        <f>Table16[[#This Row],[price]]*Table16[[#This Row],[quantity]]</f>
        <v>5401.53</v>
      </c>
    </row>
    <row r="8108" spans="1:9" x14ac:dyDescent="0.3">
      <c r="A8108" t="s">
        <v>10122</v>
      </c>
      <c r="B8108" t="s">
        <v>1618</v>
      </c>
      <c r="C8108" t="s">
        <v>2024</v>
      </c>
      <c r="D8108">
        <v>1</v>
      </c>
      <c r="E8108" s="16">
        <v>35.840000000000003</v>
      </c>
      <c r="F8108" s="1">
        <v>44581</v>
      </c>
      <c r="G8108" t="s">
        <v>2004</v>
      </c>
      <c r="H8108">
        <v>3</v>
      </c>
      <c r="I8108" s="12">
        <f>Table16[[#This Row],[price]]*Table16[[#This Row],[quantity]]</f>
        <v>35.840000000000003</v>
      </c>
    </row>
    <row r="8109" spans="1:9" x14ac:dyDescent="0.3">
      <c r="A8109" t="s">
        <v>10124</v>
      </c>
      <c r="B8109" t="s">
        <v>1618</v>
      </c>
      <c r="C8109" t="s">
        <v>2001</v>
      </c>
      <c r="D8109">
        <v>1</v>
      </c>
      <c r="E8109" s="16">
        <v>300.08</v>
      </c>
      <c r="F8109" s="1">
        <v>44788</v>
      </c>
      <c r="G8109" t="s">
        <v>2064</v>
      </c>
      <c r="H8109">
        <v>3</v>
      </c>
      <c r="I8109" s="12">
        <f>Table16[[#This Row],[price]]*Table16[[#This Row],[quantity]]</f>
        <v>300.08</v>
      </c>
    </row>
    <row r="8110" spans="1:9" x14ac:dyDescent="0.3">
      <c r="A8110" t="s">
        <v>10126</v>
      </c>
      <c r="B8110" t="s">
        <v>1619</v>
      </c>
      <c r="C8110" t="s">
        <v>2024</v>
      </c>
      <c r="D8110">
        <v>4</v>
      </c>
      <c r="E8110" s="16">
        <v>143.36000000000001</v>
      </c>
      <c r="F8110" s="1">
        <v>44642</v>
      </c>
      <c r="G8110" t="s">
        <v>2002</v>
      </c>
      <c r="H8110">
        <v>1</v>
      </c>
      <c r="I8110" s="12">
        <f>Table16[[#This Row],[price]]*Table16[[#This Row],[quantity]]</f>
        <v>573.44000000000005</v>
      </c>
    </row>
    <row r="8111" spans="1:9" x14ac:dyDescent="0.3">
      <c r="A8111" t="s">
        <v>10130</v>
      </c>
      <c r="B8111" t="s">
        <v>1620</v>
      </c>
      <c r="C8111" t="s">
        <v>2001</v>
      </c>
      <c r="D8111">
        <v>2</v>
      </c>
      <c r="E8111" s="16">
        <v>600.16</v>
      </c>
      <c r="F8111" s="1">
        <v>44339</v>
      </c>
      <c r="G8111" t="s">
        <v>2002</v>
      </c>
      <c r="H8111">
        <v>2</v>
      </c>
      <c r="I8111" s="12">
        <f>Table16[[#This Row],[price]]*Table16[[#This Row],[quantity]]</f>
        <v>1200.32</v>
      </c>
    </row>
    <row r="8112" spans="1:9" x14ac:dyDescent="0.3">
      <c r="A8112" t="s">
        <v>10127</v>
      </c>
      <c r="B8112" t="s">
        <v>1620</v>
      </c>
      <c r="C8112" t="s">
        <v>2011</v>
      </c>
      <c r="D8112">
        <v>4</v>
      </c>
      <c r="E8112" s="16">
        <v>162.63999999999999</v>
      </c>
      <c r="F8112" s="1">
        <v>44387</v>
      </c>
      <c r="G8112" t="s">
        <v>2027</v>
      </c>
      <c r="H8112">
        <v>1</v>
      </c>
      <c r="I8112" s="12">
        <f>Table16[[#This Row],[price]]*Table16[[#This Row],[quantity]]</f>
        <v>650.55999999999995</v>
      </c>
    </row>
    <row r="8113" spans="1:9" x14ac:dyDescent="0.3">
      <c r="A8113" t="s">
        <v>10131</v>
      </c>
      <c r="B8113" t="s">
        <v>1620</v>
      </c>
      <c r="C8113" t="s">
        <v>2008</v>
      </c>
      <c r="D8113">
        <v>3</v>
      </c>
      <c r="E8113" s="16">
        <v>15.69</v>
      </c>
      <c r="F8113" s="1">
        <v>44471</v>
      </c>
      <c r="G8113" t="s">
        <v>2041</v>
      </c>
      <c r="H8113">
        <v>1</v>
      </c>
      <c r="I8113" s="12">
        <f>Table16[[#This Row],[price]]*Table16[[#This Row],[quantity]]</f>
        <v>47.07</v>
      </c>
    </row>
    <row r="8114" spans="1:9" x14ac:dyDescent="0.3">
      <c r="A8114" t="s">
        <v>10132</v>
      </c>
      <c r="B8114" t="s">
        <v>1620</v>
      </c>
      <c r="C8114" t="s">
        <v>2057</v>
      </c>
      <c r="D8114">
        <v>4</v>
      </c>
      <c r="E8114" s="16">
        <v>46.92</v>
      </c>
      <c r="F8114" s="1">
        <v>44741</v>
      </c>
      <c r="G8114" t="s">
        <v>2004</v>
      </c>
      <c r="H8114">
        <v>2</v>
      </c>
      <c r="I8114" s="12">
        <f>Table16[[#This Row],[price]]*Table16[[#This Row],[quantity]]</f>
        <v>187.68</v>
      </c>
    </row>
    <row r="8115" spans="1:9" x14ac:dyDescent="0.3">
      <c r="A8115" t="s">
        <v>10129</v>
      </c>
      <c r="B8115" t="s">
        <v>1620</v>
      </c>
      <c r="C8115" t="s">
        <v>2001</v>
      </c>
      <c r="D8115">
        <v>1</v>
      </c>
      <c r="E8115" s="16">
        <v>300.08</v>
      </c>
      <c r="F8115" s="1">
        <v>44848</v>
      </c>
      <c r="G8115" t="s">
        <v>2041</v>
      </c>
      <c r="H8115">
        <v>5</v>
      </c>
      <c r="I8115" s="12">
        <f>Table16[[#This Row],[price]]*Table16[[#This Row],[quantity]]</f>
        <v>300.08</v>
      </c>
    </row>
    <row r="8116" spans="1:9" x14ac:dyDescent="0.3">
      <c r="A8116" t="s">
        <v>10128</v>
      </c>
      <c r="B8116" t="s">
        <v>1620</v>
      </c>
      <c r="C8116" t="s">
        <v>2008</v>
      </c>
      <c r="D8116">
        <v>4</v>
      </c>
      <c r="E8116" s="16">
        <v>20.92</v>
      </c>
      <c r="F8116" s="1">
        <v>44952</v>
      </c>
      <c r="G8116" t="s">
        <v>2004</v>
      </c>
      <c r="H8116">
        <v>3</v>
      </c>
      <c r="I8116" s="12">
        <f>Table16[[#This Row],[price]]*Table16[[#This Row],[quantity]]</f>
        <v>83.68</v>
      </c>
    </row>
    <row r="8117" spans="1:9" x14ac:dyDescent="0.3">
      <c r="A8117" t="s">
        <v>10134</v>
      </c>
      <c r="B8117" t="s">
        <v>1621</v>
      </c>
      <c r="C8117" t="s">
        <v>2001</v>
      </c>
      <c r="D8117">
        <v>2</v>
      </c>
      <c r="E8117" s="16">
        <v>600.16</v>
      </c>
      <c r="F8117" s="1">
        <v>44663</v>
      </c>
      <c r="G8117" t="s">
        <v>2004</v>
      </c>
      <c r="H8117">
        <v>3</v>
      </c>
      <c r="I8117" s="12">
        <f>Table16[[#This Row],[price]]*Table16[[#This Row],[quantity]]</f>
        <v>1200.32</v>
      </c>
    </row>
    <row r="8118" spans="1:9" x14ac:dyDescent="0.3">
      <c r="A8118" t="s">
        <v>10133</v>
      </c>
      <c r="B8118" t="s">
        <v>1621</v>
      </c>
      <c r="C8118" t="s">
        <v>2017</v>
      </c>
      <c r="D8118">
        <v>1</v>
      </c>
      <c r="E8118" s="16">
        <v>1050</v>
      </c>
      <c r="F8118" s="1">
        <v>44799</v>
      </c>
      <c r="G8118" t="s">
        <v>2027</v>
      </c>
      <c r="H8118">
        <v>5</v>
      </c>
      <c r="I8118" s="12">
        <f>Table16[[#This Row],[price]]*Table16[[#This Row],[quantity]]</f>
        <v>1050</v>
      </c>
    </row>
    <row r="8119" spans="1:9" x14ac:dyDescent="0.3">
      <c r="A8119" t="s">
        <v>10135</v>
      </c>
      <c r="B8119" t="s">
        <v>1621</v>
      </c>
      <c r="C8119" t="s">
        <v>2057</v>
      </c>
      <c r="D8119">
        <v>5</v>
      </c>
      <c r="E8119" s="16">
        <v>58.65</v>
      </c>
      <c r="F8119" s="1">
        <v>44900</v>
      </c>
      <c r="G8119" t="s">
        <v>2027</v>
      </c>
      <c r="H8119">
        <v>5</v>
      </c>
      <c r="I8119" s="12">
        <f>Table16[[#This Row],[price]]*Table16[[#This Row],[quantity]]</f>
        <v>293.25</v>
      </c>
    </row>
    <row r="8120" spans="1:9" x14ac:dyDescent="0.3">
      <c r="A8120" t="s">
        <v>10139</v>
      </c>
      <c r="B8120" t="s">
        <v>1622</v>
      </c>
      <c r="C8120" t="s">
        <v>2001</v>
      </c>
      <c r="D8120">
        <v>2</v>
      </c>
      <c r="E8120" s="16">
        <v>600.16</v>
      </c>
      <c r="F8120" s="1">
        <v>44337</v>
      </c>
      <c r="G8120" t="s">
        <v>2027</v>
      </c>
      <c r="H8120">
        <v>3</v>
      </c>
      <c r="I8120" s="12">
        <f>Table16[[#This Row],[price]]*Table16[[#This Row],[quantity]]</f>
        <v>1200.32</v>
      </c>
    </row>
    <row r="8121" spans="1:9" x14ac:dyDescent="0.3">
      <c r="A8121" t="s">
        <v>10138</v>
      </c>
      <c r="B8121" t="s">
        <v>1622</v>
      </c>
      <c r="C8121" t="s">
        <v>2011</v>
      </c>
      <c r="D8121">
        <v>3</v>
      </c>
      <c r="E8121" s="16">
        <v>121.98</v>
      </c>
      <c r="F8121" s="1">
        <v>44488</v>
      </c>
      <c r="G8121" t="s">
        <v>2012</v>
      </c>
      <c r="H8121">
        <v>4</v>
      </c>
      <c r="I8121" s="12">
        <f>Table16[[#This Row],[price]]*Table16[[#This Row],[quantity]]</f>
        <v>365.94</v>
      </c>
    </row>
    <row r="8122" spans="1:9" x14ac:dyDescent="0.3">
      <c r="A8122" t="s">
        <v>10136</v>
      </c>
      <c r="B8122" t="s">
        <v>1622</v>
      </c>
      <c r="C8122" t="s">
        <v>2017</v>
      </c>
      <c r="D8122">
        <v>4</v>
      </c>
      <c r="E8122" s="16">
        <v>4200</v>
      </c>
      <c r="F8122" s="1">
        <v>44517</v>
      </c>
      <c r="G8122" t="s">
        <v>2020</v>
      </c>
      <c r="H8122">
        <v>1</v>
      </c>
      <c r="I8122" s="12">
        <f>Table16[[#This Row],[price]]*Table16[[#This Row],[quantity]]</f>
        <v>16800</v>
      </c>
    </row>
    <row r="8123" spans="1:9" x14ac:dyDescent="0.3">
      <c r="A8123" t="s">
        <v>10140</v>
      </c>
      <c r="B8123" t="s">
        <v>1622</v>
      </c>
      <c r="C8123" t="s">
        <v>2006</v>
      </c>
      <c r="D8123">
        <v>4</v>
      </c>
      <c r="E8123" s="16">
        <v>60.6</v>
      </c>
      <c r="F8123" s="1">
        <v>44650</v>
      </c>
      <c r="G8123" t="s">
        <v>2004</v>
      </c>
      <c r="H8123">
        <v>5</v>
      </c>
      <c r="I8123" s="12">
        <f>Table16[[#This Row],[price]]*Table16[[#This Row],[quantity]]</f>
        <v>242.4</v>
      </c>
    </row>
    <row r="8124" spans="1:9" x14ac:dyDescent="0.3">
      <c r="A8124" t="s">
        <v>10137</v>
      </c>
      <c r="B8124" t="s">
        <v>1622</v>
      </c>
      <c r="C8124" t="s">
        <v>2008</v>
      </c>
      <c r="D8124">
        <v>4</v>
      </c>
      <c r="E8124" s="16">
        <v>20.92</v>
      </c>
      <c r="F8124" s="1">
        <v>44930</v>
      </c>
      <c r="G8124" t="s">
        <v>2041</v>
      </c>
      <c r="H8124">
        <v>5</v>
      </c>
      <c r="I8124" s="12">
        <f>Table16[[#This Row],[price]]*Table16[[#This Row],[quantity]]</f>
        <v>83.68</v>
      </c>
    </row>
    <row r="8125" spans="1:9" x14ac:dyDescent="0.3">
      <c r="A8125" t="s">
        <v>10141</v>
      </c>
      <c r="B8125" t="s">
        <v>1623</v>
      </c>
      <c r="C8125" t="s">
        <v>2001</v>
      </c>
      <c r="D8125">
        <v>3</v>
      </c>
      <c r="E8125" s="16">
        <v>900.24</v>
      </c>
      <c r="F8125" s="1">
        <v>44253</v>
      </c>
      <c r="G8125" t="s">
        <v>2004</v>
      </c>
      <c r="H8125">
        <v>5</v>
      </c>
      <c r="I8125" s="12">
        <f>Table16[[#This Row],[price]]*Table16[[#This Row],[quantity]]</f>
        <v>2700.7200000000003</v>
      </c>
    </row>
    <row r="8126" spans="1:9" x14ac:dyDescent="0.3">
      <c r="A8126" t="s">
        <v>10142</v>
      </c>
      <c r="B8126" t="s">
        <v>1623</v>
      </c>
      <c r="C8126" t="s">
        <v>2008</v>
      </c>
      <c r="D8126">
        <v>4</v>
      </c>
      <c r="E8126" s="16">
        <v>20.92</v>
      </c>
      <c r="F8126" s="1">
        <v>44511</v>
      </c>
      <c r="G8126" t="s">
        <v>2027</v>
      </c>
      <c r="H8126">
        <v>1</v>
      </c>
      <c r="I8126" s="12">
        <f>Table16[[#This Row],[price]]*Table16[[#This Row],[quantity]]</f>
        <v>83.68</v>
      </c>
    </row>
    <row r="8127" spans="1:9" x14ac:dyDescent="0.3">
      <c r="A8127" t="s">
        <v>10145</v>
      </c>
      <c r="B8127" t="s">
        <v>1623</v>
      </c>
      <c r="C8127" t="s">
        <v>2024</v>
      </c>
      <c r="D8127">
        <v>3</v>
      </c>
      <c r="E8127" s="16">
        <v>107.52</v>
      </c>
      <c r="F8127" s="1">
        <v>44553</v>
      </c>
      <c r="G8127" t="s">
        <v>2027</v>
      </c>
      <c r="H8127">
        <v>5</v>
      </c>
      <c r="I8127" s="12">
        <f>Table16[[#This Row],[price]]*Table16[[#This Row],[quantity]]</f>
        <v>322.56</v>
      </c>
    </row>
    <row r="8128" spans="1:9" x14ac:dyDescent="0.3">
      <c r="A8128" t="s">
        <v>10144</v>
      </c>
      <c r="B8128" t="s">
        <v>1623</v>
      </c>
      <c r="C8128" t="s">
        <v>2024</v>
      </c>
      <c r="D8128">
        <v>4</v>
      </c>
      <c r="E8128" s="16">
        <v>143.36000000000001</v>
      </c>
      <c r="F8128" s="1">
        <v>44577</v>
      </c>
      <c r="G8128" t="s">
        <v>2020</v>
      </c>
      <c r="H8128">
        <v>2</v>
      </c>
      <c r="I8128" s="12">
        <f>Table16[[#This Row],[price]]*Table16[[#This Row],[quantity]]</f>
        <v>573.44000000000005</v>
      </c>
    </row>
    <row r="8129" spans="1:9" x14ac:dyDescent="0.3">
      <c r="A8129" t="s">
        <v>10143</v>
      </c>
      <c r="B8129" t="s">
        <v>1623</v>
      </c>
      <c r="C8129" t="s">
        <v>2011</v>
      </c>
      <c r="D8129">
        <v>2</v>
      </c>
      <c r="E8129" s="16">
        <v>81.319999999999993</v>
      </c>
      <c r="F8129" s="1">
        <v>44830</v>
      </c>
      <c r="G8129" t="s">
        <v>2004</v>
      </c>
      <c r="H8129">
        <v>5</v>
      </c>
      <c r="I8129" s="12">
        <f>Table16[[#This Row],[price]]*Table16[[#This Row],[quantity]]</f>
        <v>162.63999999999999</v>
      </c>
    </row>
    <row r="8130" spans="1:9" x14ac:dyDescent="0.3">
      <c r="A8130" t="s">
        <v>10146</v>
      </c>
      <c r="B8130" t="s">
        <v>1624</v>
      </c>
      <c r="C8130" t="s">
        <v>2001</v>
      </c>
      <c r="D8130">
        <v>2</v>
      </c>
      <c r="E8130" s="16">
        <v>600.16</v>
      </c>
      <c r="F8130" s="1">
        <v>44507</v>
      </c>
      <c r="G8130" t="s">
        <v>2020</v>
      </c>
      <c r="H8130">
        <v>3</v>
      </c>
      <c r="I8130" s="12">
        <f>Table16[[#This Row],[price]]*Table16[[#This Row],[quantity]]</f>
        <v>1200.32</v>
      </c>
    </row>
    <row r="8131" spans="1:9" x14ac:dyDescent="0.3">
      <c r="A8131" t="s">
        <v>10148</v>
      </c>
      <c r="B8131" t="s">
        <v>1624</v>
      </c>
      <c r="C8131" t="s">
        <v>2001</v>
      </c>
      <c r="D8131">
        <v>2</v>
      </c>
      <c r="E8131" s="16">
        <v>600.16</v>
      </c>
      <c r="F8131" s="1">
        <v>44593</v>
      </c>
      <c r="G8131" t="s">
        <v>2020</v>
      </c>
      <c r="H8131">
        <v>4</v>
      </c>
      <c r="I8131" s="12">
        <f>Table16[[#This Row],[price]]*Table16[[#This Row],[quantity]]</f>
        <v>1200.32</v>
      </c>
    </row>
    <row r="8132" spans="1:9" x14ac:dyDescent="0.3">
      <c r="A8132" t="s">
        <v>10149</v>
      </c>
      <c r="B8132" t="s">
        <v>1624</v>
      </c>
      <c r="C8132" t="s">
        <v>2057</v>
      </c>
      <c r="D8132">
        <v>4</v>
      </c>
      <c r="E8132" s="16">
        <v>46.92</v>
      </c>
      <c r="F8132" s="1">
        <v>44608</v>
      </c>
      <c r="G8132" t="s">
        <v>2027</v>
      </c>
      <c r="H8132">
        <v>4</v>
      </c>
      <c r="I8132" s="12">
        <f>Table16[[#This Row],[price]]*Table16[[#This Row],[quantity]]</f>
        <v>187.68</v>
      </c>
    </row>
    <row r="8133" spans="1:9" x14ac:dyDescent="0.3">
      <c r="A8133" t="s">
        <v>10147</v>
      </c>
      <c r="B8133" t="s">
        <v>1624</v>
      </c>
      <c r="C8133" t="s">
        <v>2011</v>
      </c>
      <c r="D8133">
        <v>2</v>
      </c>
      <c r="E8133" s="16">
        <v>81.319999999999993</v>
      </c>
      <c r="F8133" s="1">
        <v>44835</v>
      </c>
      <c r="G8133" t="s">
        <v>2002</v>
      </c>
      <c r="H8133">
        <v>3</v>
      </c>
      <c r="I8133" s="12">
        <f>Table16[[#This Row],[price]]*Table16[[#This Row],[quantity]]</f>
        <v>162.63999999999999</v>
      </c>
    </row>
    <row r="8134" spans="1:9" x14ac:dyDescent="0.3">
      <c r="A8134" t="s">
        <v>10153</v>
      </c>
      <c r="B8134" t="s">
        <v>1625</v>
      </c>
      <c r="C8134" t="s">
        <v>2008</v>
      </c>
      <c r="D8134">
        <v>2</v>
      </c>
      <c r="E8134" s="16">
        <v>10.46</v>
      </c>
      <c r="F8134" s="1">
        <v>44364</v>
      </c>
      <c r="G8134" t="s">
        <v>2020</v>
      </c>
      <c r="H8134">
        <v>3</v>
      </c>
      <c r="I8134" s="12">
        <f>Table16[[#This Row],[price]]*Table16[[#This Row],[quantity]]</f>
        <v>20.92</v>
      </c>
    </row>
    <row r="8135" spans="1:9" x14ac:dyDescent="0.3">
      <c r="A8135" t="s">
        <v>10151</v>
      </c>
      <c r="B8135" t="s">
        <v>1625</v>
      </c>
      <c r="C8135" t="s">
        <v>2001</v>
      </c>
      <c r="D8135">
        <v>1</v>
      </c>
      <c r="E8135" s="16">
        <v>300.08</v>
      </c>
      <c r="F8135" s="1">
        <v>44394</v>
      </c>
      <c r="G8135" t="s">
        <v>2002</v>
      </c>
      <c r="H8135">
        <v>4</v>
      </c>
      <c r="I8135" s="12">
        <f>Table16[[#This Row],[price]]*Table16[[#This Row],[quantity]]</f>
        <v>300.08</v>
      </c>
    </row>
    <row r="8136" spans="1:9" x14ac:dyDescent="0.3">
      <c r="A8136" t="s">
        <v>10152</v>
      </c>
      <c r="B8136" t="s">
        <v>1625</v>
      </c>
      <c r="C8136" t="s">
        <v>2001</v>
      </c>
      <c r="D8136">
        <v>1</v>
      </c>
      <c r="E8136" s="16">
        <v>300.08</v>
      </c>
      <c r="F8136" s="1">
        <v>44426</v>
      </c>
      <c r="G8136" t="s">
        <v>2004</v>
      </c>
      <c r="H8136">
        <v>3</v>
      </c>
      <c r="I8136" s="12">
        <f>Table16[[#This Row],[price]]*Table16[[#This Row],[quantity]]</f>
        <v>300.08</v>
      </c>
    </row>
    <row r="8137" spans="1:9" x14ac:dyDescent="0.3">
      <c r="A8137" t="s">
        <v>10150</v>
      </c>
      <c r="B8137" t="s">
        <v>1625</v>
      </c>
      <c r="C8137" t="s">
        <v>2001</v>
      </c>
      <c r="D8137">
        <v>1</v>
      </c>
      <c r="E8137" s="16">
        <v>300.08</v>
      </c>
      <c r="F8137" s="1">
        <v>44606</v>
      </c>
      <c r="G8137" t="s">
        <v>2002</v>
      </c>
      <c r="H8137">
        <v>3</v>
      </c>
      <c r="I8137" s="12">
        <f>Table16[[#This Row],[price]]*Table16[[#This Row],[quantity]]</f>
        <v>300.08</v>
      </c>
    </row>
    <row r="8138" spans="1:9" x14ac:dyDescent="0.3">
      <c r="A8138" t="s">
        <v>10154</v>
      </c>
      <c r="B8138" t="s">
        <v>1626</v>
      </c>
      <c r="C8138" t="s">
        <v>2001</v>
      </c>
      <c r="D8138">
        <v>2</v>
      </c>
      <c r="E8138" s="16">
        <v>600.16</v>
      </c>
      <c r="F8138" s="1">
        <v>44229</v>
      </c>
      <c r="G8138" t="s">
        <v>2020</v>
      </c>
      <c r="H8138">
        <v>3</v>
      </c>
      <c r="I8138" s="12">
        <f>Table16[[#This Row],[price]]*Table16[[#This Row],[quantity]]</f>
        <v>1200.32</v>
      </c>
    </row>
    <row r="8139" spans="1:9" x14ac:dyDescent="0.3">
      <c r="A8139" t="s">
        <v>10155</v>
      </c>
      <c r="B8139" t="s">
        <v>1626</v>
      </c>
      <c r="C8139" t="s">
        <v>2001</v>
      </c>
      <c r="D8139">
        <v>5</v>
      </c>
      <c r="E8139" s="16">
        <v>1500.4</v>
      </c>
      <c r="F8139" s="1">
        <v>44458</v>
      </c>
      <c r="G8139" t="s">
        <v>2041</v>
      </c>
      <c r="H8139">
        <v>3</v>
      </c>
      <c r="I8139" s="12">
        <f>Table16[[#This Row],[price]]*Table16[[#This Row],[quantity]]</f>
        <v>7502</v>
      </c>
    </row>
    <row r="8140" spans="1:9" x14ac:dyDescent="0.3">
      <c r="A8140" t="s">
        <v>10159</v>
      </c>
      <c r="B8140" t="s">
        <v>1626</v>
      </c>
      <c r="C8140" t="s">
        <v>2001</v>
      </c>
      <c r="D8140">
        <v>1</v>
      </c>
      <c r="E8140" s="16">
        <v>300.08</v>
      </c>
      <c r="F8140" s="1">
        <v>44478</v>
      </c>
      <c r="G8140" t="s">
        <v>2064</v>
      </c>
      <c r="H8140">
        <v>4</v>
      </c>
      <c r="I8140" s="12">
        <f>Table16[[#This Row],[price]]*Table16[[#This Row],[quantity]]</f>
        <v>300.08</v>
      </c>
    </row>
    <row r="8141" spans="1:9" x14ac:dyDescent="0.3">
      <c r="A8141" t="s">
        <v>10156</v>
      </c>
      <c r="B8141" t="s">
        <v>1626</v>
      </c>
      <c r="C8141" t="s">
        <v>2001</v>
      </c>
      <c r="D8141">
        <v>4</v>
      </c>
      <c r="E8141" s="16">
        <v>1200.32</v>
      </c>
      <c r="F8141" s="1">
        <v>44489</v>
      </c>
      <c r="G8141" t="s">
        <v>2002</v>
      </c>
      <c r="H8141">
        <v>2</v>
      </c>
      <c r="I8141" s="12">
        <f>Table16[[#This Row],[price]]*Table16[[#This Row],[quantity]]</f>
        <v>4801.28</v>
      </c>
    </row>
    <row r="8142" spans="1:9" x14ac:dyDescent="0.3">
      <c r="A8142" t="s">
        <v>10157</v>
      </c>
      <c r="B8142" t="s">
        <v>1626</v>
      </c>
      <c r="C8142" t="s">
        <v>2008</v>
      </c>
      <c r="D8142">
        <v>5</v>
      </c>
      <c r="E8142" s="16">
        <v>26.15</v>
      </c>
      <c r="F8142" s="1">
        <v>44575</v>
      </c>
      <c r="G8142" t="s">
        <v>2004</v>
      </c>
      <c r="H8142">
        <v>4</v>
      </c>
      <c r="I8142" s="12">
        <f>Table16[[#This Row],[price]]*Table16[[#This Row],[quantity]]</f>
        <v>130.75</v>
      </c>
    </row>
    <row r="8143" spans="1:9" x14ac:dyDescent="0.3">
      <c r="A8143" t="s">
        <v>10160</v>
      </c>
      <c r="B8143" t="s">
        <v>1626</v>
      </c>
      <c r="C8143" t="s">
        <v>2024</v>
      </c>
      <c r="D8143">
        <v>3</v>
      </c>
      <c r="E8143" s="16">
        <v>107.52</v>
      </c>
      <c r="F8143" s="1">
        <v>44658</v>
      </c>
      <c r="G8143" t="s">
        <v>2009</v>
      </c>
      <c r="H8143">
        <v>5</v>
      </c>
      <c r="I8143" s="12">
        <f>Table16[[#This Row],[price]]*Table16[[#This Row],[quantity]]</f>
        <v>322.56</v>
      </c>
    </row>
    <row r="8144" spans="1:9" x14ac:dyDescent="0.3">
      <c r="A8144" t="s">
        <v>10161</v>
      </c>
      <c r="B8144" t="s">
        <v>1626</v>
      </c>
      <c r="C8144" t="s">
        <v>2001</v>
      </c>
      <c r="D8144">
        <v>3</v>
      </c>
      <c r="E8144" s="16">
        <v>900.24</v>
      </c>
      <c r="F8144" s="1">
        <v>44734</v>
      </c>
      <c r="G8144" t="s">
        <v>2012</v>
      </c>
      <c r="H8144">
        <v>4</v>
      </c>
      <c r="I8144" s="12">
        <f>Table16[[#This Row],[price]]*Table16[[#This Row],[quantity]]</f>
        <v>2700.7200000000003</v>
      </c>
    </row>
    <row r="8145" spans="1:9" x14ac:dyDescent="0.3">
      <c r="A8145" t="s">
        <v>10158</v>
      </c>
      <c r="B8145" t="s">
        <v>1626</v>
      </c>
      <c r="C8145" t="s">
        <v>2015</v>
      </c>
      <c r="D8145">
        <v>3</v>
      </c>
      <c r="E8145" s="16">
        <v>1800.51</v>
      </c>
      <c r="F8145" s="1">
        <v>44929</v>
      </c>
      <c r="G8145" t="s">
        <v>2018</v>
      </c>
      <c r="H8145">
        <v>4</v>
      </c>
      <c r="I8145" s="12">
        <f>Table16[[#This Row],[price]]*Table16[[#This Row],[quantity]]</f>
        <v>5401.53</v>
      </c>
    </row>
    <row r="8146" spans="1:9" x14ac:dyDescent="0.3">
      <c r="A8146" t="s">
        <v>10167</v>
      </c>
      <c r="B8146" t="s">
        <v>1627</v>
      </c>
      <c r="C8146" t="s">
        <v>2008</v>
      </c>
      <c r="D8146">
        <v>3</v>
      </c>
      <c r="E8146" s="16">
        <v>15.69</v>
      </c>
      <c r="F8146" s="1">
        <v>44203</v>
      </c>
      <c r="G8146" t="s">
        <v>2041</v>
      </c>
      <c r="H8146">
        <v>2</v>
      </c>
      <c r="I8146" s="12">
        <f>Table16[[#This Row],[price]]*Table16[[#This Row],[quantity]]</f>
        <v>47.07</v>
      </c>
    </row>
    <row r="8147" spans="1:9" x14ac:dyDescent="0.3">
      <c r="A8147" t="s">
        <v>10168</v>
      </c>
      <c r="B8147" t="s">
        <v>1627</v>
      </c>
      <c r="C8147" t="s">
        <v>2011</v>
      </c>
      <c r="D8147">
        <v>4</v>
      </c>
      <c r="E8147" s="16">
        <v>162.63999999999999</v>
      </c>
      <c r="F8147" s="1">
        <v>44254</v>
      </c>
      <c r="G8147" t="s">
        <v>2002</v>
      </c>
      <c r="H8147">
        <v>3</v>
      </c>
      <c r="I8147" s="12">
        <f>Table16[[#This Row],[price]]*Table16[[#This Row],[quantity]]</f>
        <v>650.55999999999995</v>
      </c>
    </row>
    <row r="8148" spans="1:9" x14ac:dyDescent="0.3">
      <c r="A8148" t="s">
        <v>10171</v>
      </c>
      <c r="B8148" t="s">
        <v>1627</v>
      </c>
      <c r="C8148" t="s">
        <v>2008</v>
      </c>
      <c r="D8148">
        <v>4</v>
      </c>
      <c r="E8148" s="16">
        <v>20.92</v>
      </c>
      <c r="F8148" s="1">
        <v>44270</v>
      </c>
      <c r="G8148" t="s">
        <v>2018</v>
      </c>
      <c r="H8148">
        <v>3</v>
      </c>
      <c r="I8148" s="12">
        <f>Table16[[#This Row],[price]]*Table16[[#This Row],[quantity]]</f>
        <v>83.68</v>
      </c>
    </row>
    <row r="8149" spans="1:9" x14ac:dyDescent="0.3">
      <c r="A8149" t="s">
        <v>10174</v>
      </c>
      <c r="B8149" t="s">
        <v>1627</v>
      </c>
      <c r="C8149" t="s">
        <v>2024</v>
      </c>
      <c r="D8149">
        <v>1</v>
      </c>
      <c r="E8149" s="16">
        <v>35.840000000000003</v>
      </c>
      <c r="F8149" s="1">
        <v>44430</v>
      </c>
      <c r="G8149" t="s">
        <v>2020</v>
      </c>
      <c r="H8149">
        <v>2</v>
      </c>
      <c r="I8149" s="12">
        <f>Table16[[#This Row],[price]]*Table16[[#This Row],[quantity]]</f>
        <v>35.840000000000003</v>
      </c>
    </row>
    <row r="8150" spans="1:9" x14ac:dyDescent="0.3">
      <c r="A8150" t="s">
        <v>10169</v>
      </c>
      <c r="B8150" t="s">
        <v>1627</v>
      </c>
      <c r="C8150" t="s">
        <v>2001</v>
      </c>
      <c r="D8150">
        <v>1</v>
      </c>
      <c r="E8150" s="16">
        <v>300.08</v>
      </c>
      <c r="F8150" s="1">
        <v>44511</v>
      </c>
      <c r="G8150" t="s">
        <v>2027</v>
      </c>
      <c r="H8150">
        <v>5</v>
      </c>
      <c r="I8150" s="12">
        <f>Table16[[#This Row],[price]]*Table16[[#This Row],[quantity]]</f>
        <v>300.08</v>
      </c>
    </row>
    <row r="8151" spans="1:9" x14ac:dyDescent="0.3">
      <c r="A8151" t="s">
        <v>10173</v>
      </c>
      <c r="B8151" t="s">
        <v>1627</v>
      </c>
      <c r="C8151" t="s">
        <v>2001</v>
      </c>
      <c r="D8151">
        <v>1</v>
      </c>
      <c r="E8151" s="16">
        <v>300.08</v>
      </c>
      <c r="F8151" s="1">
        <v>44578</v>
      </c>
      <c r="G8151" t="s">
        <v>2027</v>
      </c>
      <c r="H8151">
        <v>1</v>
      </c>
      <c r="I8151" s="12">
        <f>Table16[[#This Row],[price]]*Table16[[#This Row],[quantity]]</f>
        <v>300.08</v>
      </c>
    </row>
    <row r="8152" spans="1:9" x14ac:dyDescent="0.3">
      <c r="A8152" t="s">
        <v>10162</v>
      </c>
      <c r="B8152" t="s">
        <v>1627</v>
      </c>
      <c r="C8152" t="s">
        <v>2015</v>
      </c>
      <c r="D8152">
        <v>2</v>
      </c>
      <c r="E8152" s="16">
        <v>1200.3399999999999</v>
      </c>
      <c r="F8152" s="1">
        <v>44580</v>
      </c>
      <c r="G8152" t="s">
        <v>2027</v>
      </c>
      <c r="H8152">
        <v>1</v>
      </c>
      <c r="I8152" s="12">
        <f>Table16[[#This Row],[price]]*Table16[[#This Row],[quantity]]</f>
        <v>2400.6799999999998</v>
      </c>
    </row>
    <row r="8153" spans="1:9" x14ac:dyDescent="0.3">
      <c r="A8153" t="s">
        <v>10163</v>
      </c>
      <c r="B8153" t="s">
        <v>1627</v>
      </c>
      <c r="C8153" t="s">
        <v>2006</v>
      </c>
      <c r="D8153">
        <v>3</v>
      </c>
      <c r="E8153" s="16">
        <v>45.45</v>
      </c>
      <c r="F8153" s="1">
        <v>44643</v>
      </c>
      <c r="G8153" t="s">
        <v>2004</v>
      </c>
      <c r="H8153">
        <v>3</v>
      </c>
      <c r="I8153" s="12">
        <f>Table16[[#This Row],[price]]*Table16[[#This Row],[quantity]]</f>
        <v>136.35000000000002</v>
      </c>
    </row>
    <row r="8154" spans="1:9" x14ac:dyDescent="0.3">
      <c r="A8154" t="s">
        <v>10164</v>
      </c>
      <c r="B8154" t="s">
        <v>1627</v>
      </c>
      <c r="C8154" t="s">
        <v>2001</v>
      </c>
      <c r="D8154">
        <v>1</v>
      </c>
      <c r="E8154" s="16">
        <v>300.08</v>
      </c>
      <c r="F8154" s="1">
        <v>44665</v>
      </c>
      <c r="G8154" t="s">
        <v>2027</v>
      </c>
      <c r="H8154">
        <v>4</v>
      </c>
      <c r="I8154" s="12">
        <f>Table16[[#This Row],[price]]*Table16[[#This Row],[quantity]]</f>
        <v>300.08</v>
      </c>
    </row>
    <row r="8155" spans="1:9" x14ac:dyDescent="0.3">
      <c r="A8155" t="s">
        <v>10165</v>
      </c>
      <c r="B8155" t="s">
        <v>1627</v>
      </c>
      <c r="C8155" t="s">
        <v>2011</v>
      </c>
      <c r="D8155">
        <v>5</v>
      </c>
      <c r="E8155" s="16">
        <v>203.3</v>
      </c>
      <c r="F8155" s="1">
        <v>44686</v>
      </c>
      <c r="G8155" t="s">
        <v>2009</v>
      </c>
      <c r="H8155">
        <v>2</v>
      </c>
      <c r="I8155" s="12">
        <f>Table16[[#This Row],[price]]*Table16[[#This Row],[quantity]]</f>
        <v>1016.5</v>
      </c>
    </row>
    <row r="8156" spans="1:9" x14ac:dyDescent="0.3">
      <c r="A8156" t="s">
        <v>10166</v>
      </c>
      <c r="B8156" t="s">
        <v>1627</v>
      </c>
      <c r="C8156" t="s">
        <v>2011</v>
      </c>
      <c r="D8156">
        <v>1</v>
      </c>
      <c r="E8156" s="16">
        <v>40.659999999999997</v>
      </c>
      <c r="F8156" s="1">
        <v>44707</v>
      </c>
      <c r="G8156" t="s">
        <v>2004</v>
      </c>
      <c r="H8156">
        <v>5</v>
      </c>
      <c r="I8156" s="12">
        <f>Table16[[#This Row],[price]]*Table16[[#This Row],[quantity]]</f>
        <v>40.659999999999997</v>
      </c>
    </row>
    <row r="8157" spans="1:9" x14ac:dyDescent="0.3">
      <c r="A8157" t="s">
        <v>10172</v>
      </c>
      <c r="B8157" t="s">
        <v>1627</v>
      </c>
      <c r="C8157" t="s">
        <v>2024</v>
      </c>
      <c r="D8157">
        <v>1</v>
      </c>
      <c r="E8157" s="16">
        <v>35.840000000000003</v>
      </c>
      <c r="F8157" s="1">
        <v>44739</v>
      </c>
      <c r="G8157" t="s">
        <v>2058</v>
      </c>
      <c r="H8157">
        <v>4</v>
      </c>
      <c r="I8157" s="12">
        <f>Table16[[#This Row],[price]]*Table16[[#This Row],[quantity]]</f>
        <v>35.840000000000003</v>
      </c>
    </row>
    <row r="8158" spans="1:9" x14ac:dyDescent="0.3">
      <c r="A8158" t="s">
        <v>10170</v>
      </c>
      <c r="B8158" t="s">
        <v>1627</v>
      </c>
      <c r="C8158" t="s">
        <v>2006</v>
      </c>
      <c r="D8158">
        <v>5</v>
      </c>
      <c r="E8158" s="16">
        <v>75.75</v>
      </c>
      <c r="F8158" s="1">
        <v>44895</v>
      </c>
      <c r="G8158" t="s">
        <v>2002</v>
      </c>
      <c r="H8158">
        <v>1</v>
      </c>
      <c r="I8158" s="12">
        <f>Table16[[#This Row],[price]]*Table16[[#This Row],[quantity]]</f>
        <v>378.75</v>
      </c>
    </row>
    <row r="8159" spans="1:9" x14ac:dyDescent="0.3">
      <c r="A8159" t="s">
        <v>10177</v>
      </c>
      <c r="B8159" t="s">
        <v>1628</v>
      </c>
      <c r="C8159" t="s">
        <v>2001</v>
      </c>
      <c r="D8159">
        <v>3</v>
      </c>
      <c r="E8159" s="16">
        <v>900.24</v>
      </c>
      <c r="F8159" s="1">
        <v>44352</v>
      </c>
      <c r="G8159" t="s">
        <v>2064</v>
      </c>
      <c r="H8159">
        <v>4</v>
      </c>
      <c r="I8159" s="12">
        <f>Table16[[#This Row],[price]]*Table16[[#This Row],[quantity]]</f>
        <v>2700.7200000000003</v>
      </c>
    </row>
    <row r="8160" spans="1:9" x14ac:dyDescent="0.3">
      <c r="A8160" t="s">
        <v>10176</v>
      </c>
      <c r="B8160" t="s">
        <v>1628</v>
      </c>
      <c r="C8160" t="s">
        <v>2001</v>
      </c>
      <c r="D8160">
        <v>5</v>
      </c>
      <c r="E8160" s="16">
        <v>1500.4</v>
      </c>
      <c r="F8160" s="1">
        <v>44482</v>
      </c>
      <c r="G8160" t="s">
        <v>2002</v>
      </c>
      <c r="H8160">
        <v>2</v>
      </c>
      <c r="I8160" s="12">
        <f>Table16[[#This Row],[price]]*Table16[[#This Row],[quantity]]</f>
        <v>7502</v>
      </c>
    </row>
    <row r="8161" spans="1:9" x14ac:dyDescent="0.3">
      <c r="A8161" t="s">
        <v>10175</v>
      </c>
      <c r="B8161" t="s">
        <v>1628</v>
      </c>
      <c r="C8161" t="s">
        <v>2015</v>
      </c>
      <c r="D8161">
        <v>4</v>
      </c>
      <c r="E8161" s="16">
        <v>2400.6799999999998</v>
      </c>
      <c r="F8161" s="1">
        <v>44653</v>
      </c>
      <c r="G8161" t="s">
        <v>2041</v>
      </c>
      <c r="H8161">
        <v>5</v>
      </c>
      <c r="I8161" s="12">
        <f>Table16[[#This Row],[price]]*Table16[[#This Row],[quantity]]</f>
        <v>9602.7199999999993</v>
      </c>
    </row>
    <row r="8162" spans="1:9" x14ac:dyDescent="0.3">
      <c r="A8162" t="s">
        <v>10178</v>
      </c>
      <c r="B8162" t="s">
        <v>1628</v>
      </c>
      <c r="C8162" t="s">
        <v>2001</v>
      </c>
      <c r="D8162">
        <v>3</v>
      </c>
      <c r="E8162" s="16">
        <v>900.24</v>
      </c>
      <c r="F8162" s="1">
        <v>44664</v>
      </c>
      <c r="G8162" t="s">
        <v>2027</v>
      </c>
      <c r="H8162">
        <v>1</v>
      </c>
      <c r="I8162" s="12">
        <f>Table16[[#This Row],[price]]*Table16[[#This Row],[quantity]]</f>
        <v>2700.7200000000003</v>
      </c>
    </row>
    <row r="8163" spans="1:9" x14ac:dyDescent="0.3">
      <c r="A8163" t="s">
        <v>10180</v>
      </c>
      <c r="B8163" t="s">
        <v>1629</v>
      </c>
      <c r="C8163" t="s">
        <v>2011</v>
      </c>
      <c r="D8163">
        <v>2</v>
      </c>
      <c r="E8163" s="16">
        <v>81.319999999999993</v>
      </c>
      <c r="F8163" s="1">
        <v>44238</v>
      </c>
      <c r="G8163" t="s">
        <v>2064</v>
      </c>
      <c r="H8163">
        <v>2</v>
      </c>
      <c r="I8163" s="12">
        <f>Table16[[#This Row],[price]]*Table16[[#This Row],[quantity]]</f>
        <v>162.63999999999999</v>
      </c>
    </row>
    <row r="8164" spans="1:9" x14ac:dyDescent="0.3">
      <c r="A8164" t="s">
        <v>10179</v>
      </c>
      <c r="B8164" t="s">
        <v>1629</v>
      </c>
      <c r="C8164" t="s">
        <v>2008</v>
      </c>
      <c r="D8164">
        <v>2</v>
      </c>
      <c r="E8164" s="16">
        <v>10.46</v>
      </c>
      <c r="F8164" s="1">
        <v>44402</v>
      </c>
      <c r="G8164" t="s">
        <v>2004</v>
      </c>
      <c r="H8164">
        <v>2</v>
      </c>
      <c r="I8164" s="12">
        <f>Table16[[#This Row],[price]]*Table16[[#This Row],[quantity]]</f>
        <v>20.92</v>
      </c>
    </row>
    <row r="8165" spans="1:9" x14ac:dyDescent="0.3">
      <c r="A8165" t="s">
        <v>10183</v>
      </c>
      <c r="B8165" t="s">
        <v>1629</v>
      </c>
      <c r="C8165" t="s">
        <v>2008</v>
      </c>
      <c r="D8165">
        <v>5</v>
      </c>
      <c r="E8165" s="16">
        <v>26.15</v>
      </c>
      <c r="F8165" s="1">
        <v>44640</v>
      </c>
      <c r="G8165" t="s">
        <v>2064</v>
      </c>
      <c r="H8165">
        <v>2</v>
      </c>
      <c r="I8165" s="12">
        <f>Table16[[#This Row],[price]]*Table16[[#This Row],[quantity]]</f>
        <v>130.75</v>
      </c>
    </row>
    <row r="8166" spans="1:9" x14ac:dyDescent="0.3">
      <c r="A8166" t="s">
        <v>10181</v>
      </c>
      <c r="B8166" t="s">
        <v>1629</v>
      </c>
      <c r="C8166" t="s">
        <v>2024</v>
      </c>
      <c r="D8166">
        <v>4</v>
      </c>
      <c r="E8166" s="16">
        <v>143.36000000000001</v>
      </c>
      <c r="F8166" s="1">
        <v>44819</v>
      </c>
      <c r="G8166" t="s">
        <v>2018</v>
      </c>
      <c r="H8166">
        <v>4</v>
      </c>
      <c r="I8166" s="12">
        <f>Table16[[#This Row],[price]]*Table16[[#This Row],[quantity]]</f>
        <v>573.44000000000005</v>
      </c>
    </row>
    <row r="8167" spans="1:9" x14ac:dyDescent="0.3">
      <c r="A8167" t="s">
        <v>10182</v>
      </c>
      <c r="B8167" t="s">
        <v>1629</v>
      </c>
      <c r="C8167" t="s">
        <v>2008</v>
      </c>
      <c r="D8167">
        <v>4</v>
      </c>
      <c r="E8167" s="16">
        <v>20.92</v>
      </c>
      <c r="F8167" s="1">
        <v>44975</v>
      </c>
      <c r="G8167" t="s">
        <v>2020</v>
      </c>
      <c r="H8167">
        <v>4</v>
      </c>
      <c r="I8167" s="12">
        <f>Table16[[#This Row],[price]]*Table16[[#This Row],[quantity]]</f>
        <v>83.68</v>
      </c>
    </row>
    <row r="8168" spans="1:9" x14ac:dyDescent="0.3">
      <c r="A8168" t="s">
        <v>10185</v>
      </c>
      <c r="B8168" t="s">
        <v>1630</v>
      </c>
      <c r="C8168" t="s">
        <v>2001</v>
      </c>
      <c r="D8168">
        <v>5</v>
      </c>
      <c r="E8168" s="16">
        <v>1500.4</v>
      </c>
      <c r="F8168" s="1">
        <v>44655</v>
      </c>
      <c r="G8168" t="s">
        <v>2027</v>
      </c>
      <c r="H8168">
        <v>4</v>
      </c>
      <c r="I8168" s="12">
        <f>Table16[[#This Row],[price]]*Table16[[#This Row],[quantity]]</f>
        <v>7502</v>
      </c>
    </row>
    <row r="8169" spans="1:9" x14ac:dyDescent="0.3">
      <c r="A8169" t="s">
        <v>10184</v>
      </c>
      <c r="B8169" t="s">
        <v>1630</v>
      </c>
      <c r="C8169" t="s">
        <v>2001</v>
      </c>
      <c r="D8169">
        <v>5</v>
      </c>
      <c r="E8169" s="16">
        <v>1500.4</v>
      </c>
      <c r="F8169" s="1">
        <v>44990</v>
      </c>
      <c r="G8169" t="s">
        <v>2058</v>
      </c>
      <c r="H8169">
        <v>5</v>
      </c>
      <c r="I8169" s="12">
        <f>Table16[[#This Row],[price]]*Table16[[#This Row],[quantity]]</f>
        <v>7502</v>
      </c>
    </row>
    <row r="8170" spans="1:9" x14ac:dyDescent="0.3">
      <c r="A8170" t="s">
        <v>10189</v>
      </c>
      <c r="B8170" t="s">
        <v>1631</v>
      </c>
      <c r="C8170" t="s">
        <v>2001</v>
      </c>
      <c r="D8170">
        <v>5</v>
      </c>
      <c r="E8170" s="16">
        <v>1500.4</v>
      </c>
      <c r="F8170" s="1">
        <v>44355</v>
      </c>
      <c r="G8170" t="s">
        <v>2041</v>
      </c>
      <c r="H8170">
        <v>4</v>
      </c>
      <c r="I8170" s="12">
        <f>Table16[[#This Row],[price]]*Table16[[#This Row],[quantity]]</f>
        <v>7502</v>
      </c>
    </row>
    <row r="8171" spans="1:9" x14ac:dyDescent="0.3">
      <c r="A8171" t="s">
        <v>10188</v>
      </c>
      <c r="B8171" t="s">
        <v>1631</v>
      </c>
      <c r="C8171" t="s">
        <v>2015</v>
      </c>
      <c r="D8171">
        <v>2</v>
      </c>
      <c r="E8171" s="16">
        <v>1200.3399999999999</v>
      </c>
      <c r="F8171" s="1">
        <v>44467</v>
      </c>
      <c r="G8171" t="s">
        <v>2027</v>
      </c>
      <c r="H8171">
        <v>5</v>
      </c>
      <c r="I8171" s="12">
        <f>Table16[[#This Row],[price]]*Table16[[#This Row],[quantity]]</f>
        <v>2400.6799999999998</v>
      </c>
    </row>
    <row r="8172" spans="1:9" x14ac:dyDescent="0.3">
      <c r="A8172" t="s">
        <v>10186</v>
      </c>
      <c r="B8172" t="s">
        <v>1631</v>
      </c>
      <c r="C8172" t="s">
        <v>2017</v>
      </c>
      <c r="D8172">
        <v>4</v>
      </c>
      <c r="E8172" s="16">
        <v>4200</v>
      </c>
      <c r="F8172" s="1">
        <v>44506</v>
      </c>
      <c r="G8172" t="s">
        <v>2027</v>
      </c>
      <c r="H8172">
        <v>2</v>
      </c>
      <c r="I8172" s="12">
        <f>Table16[[#This Row],[price]]*Table16[[#This Row],[quantity]]</f>
        <v>16800</v>
      </c>
    </row>
    <row r="8173" spans="1:9" x14ac:dyDescent="0.3">
      <c r="A8173" t="s">
        <v>10187</v>
      </c>
      <c r="B8173" t="s">
        <v>1631</v>
      </c>
      <c r="C8173" t="s">
        <v>2024</v>
      </c>
      <c r="D8173">
        <v>2</v>
      </c>
      <c r="E8173" s="16">
        <v>71.680000000000007</v>
      </c>
      <c r="F8173" s="1">
        <v>44673</v>
      </c>
      <c r="G8173" t="s">
        <v>2064</v>
      </c>
      <c r="H8173">
        <v>5</v>
      </c>
      <c r="I8173" s="12">
        <f>Table16[[#This Row],[price]]*Table16[[#This Row],[quantity]]</f>
        <v>143.36000000000001</v>
      </c>
    </row>
    <row r="8174" spans="1:9" x14ac:dyDescent="0.3">
      <c r="A8174" t="s">
        <v>10190</v>
      </c>
      <c r="B8174" t="s">
        <v>1631</v>
      </c>
      <c r="C8174" t="s">
        <v>2015</v>
      </c>
      <c r="D8174">
        <v>3</v>
      </c>
      <c r="E8174" s="16">
        <v>1800.51</v>
      </c>
      <c r="F8174" s="1">
        <v>44719</v>
      </c>
      <c r="G8174" t="s">
        <v>2004</v>
      </c>
      <c r="H8174">
        <v>5</v>
      </c>
      <c r="I8174" s="12">
        <f>Table16[[#This Row],[price]]*Table16[[#This Row],[quantity]]</f>
        <v>5401.53</v>
      </c>
    </row>
    <row r="8175" spans="1:9" x14ac:dyDescent="0.3">
      <c r="A8175" t="s">
        <v>10192</v>
      </c>
      <c r="B8175" t="s">
        <v>1632</v>
      </c>
      <c r="C8175" t="s">
        <v>2001</v>
      </c>
      <c r="D8175">
        <v>1</v>
      </c>
      <c r="E8175" s="16">
        <v>300.08</v>
      </c>
      <c r="F8175" s="1">
        <v>44480</v>
      </c>
      <c r="G8175" t="s">
        <v>2020</v>
      </c>
      <c r="H8175">
        <v>2</v>
      </c>
      <c r="I8175" s="12">
        <f>Table16[[#This Row],[price]]*Table16[[#This Row],[quantity]]</f>
        <v>300.08</v>
      </c>
    </row>
    <row r="8176" spans="1:9" x14ac:dyDescent="0.3">
      <c r="A8176" t="s">
        <v>10194</v>
      </c>
      <c r="B8176" t="s">
        <v>1632</v>
      </c>
      <c r="C8176" t="s">
        <v>2011</v>
      </c>
      <c r="D8176">
        <v>5</v>
      </c>
      <c r="E8176" s="16">
        <v>203.3</v>
      </c>
      <c r="F8176" s="1">
        <v>44739</v>
      </c>
      <c r="G8176" t="s">
        <v>2027</v>
      </c>
      <c r="H8176">
        <v>2</v>
      </c>
      <c r="I8176" s="12">
        <f>Table16[[#This Row],[price]]*Table16[[#This Row],[quantity]]</f>
        <v>1016.5</v>
      </c>
    </row>
    <row r="8177" spans="1:9" x14ac:dyDescent="0.3">
      <c r="A8177" t="s">
        <v>10195</v>
      </c>
      <c r="B8177" t="s">
        <v>1632</v>
      </c>
      <c r="C8177" t="s">
        <v>2011</v>
      </c>
      <c r="D8177">
        <v>5</v>
      </c>
      <c r="E8177" s="16">
        <v>203.3</v>
      </c>
      <c r="F8177" s="1">
        <v>44784</v>
      </c>
      <c r="G8177" t="s">
        <v>2012</v>
      </c>
      <c r="H8177">
        <v>3</v>
      </c>
      <c r="I8177" s="12">
        <f>Table16[[#This Row],[price]]*Table16[[#This Row],[quantity]]</f>
        <v>1016.5</v>
      </c>
    </row>
    <row r="8178" spans="1:9" x14ac:dyDescent="0.3">
      <c r="A8178" t="s">
        <v>10193</v>
      </c>
      <c r="B8178" t="s">
        <v>1632</v>
      </c>
      <c r="C8178" t="s">
        <v>2008</v>
      </c>
      <c r="D8178">
        <v>5</v>
      </c>
      <c r="E8178" s="16">
        <v>26.15</v>
      </c>
      <c r="F8178" s="1">
        <v>44820</v>
      </c>
      <c r="G8178" t="s">
        <v>2004</v>
      </c>
      <c r="H8178">
        <v>1</v>
      </c>
      <c r="I8178" s="12">
        <f>Table16[[#This Row],[price]]*Table16[[#This Row],[quantity]]</f>
        <v>130.75</v>
      </c>
    </row>
    <row r="8179" spans="1:9" x14ac:dyDescent="0.3">
      <c r="A8179" t="s">
        <v>10191</v>
      </c>
      <c r="B8179" t="s">
        <v>1632</v>
      </c>
      <c r="C8179" t="s">
        <v>2001</v>
      </c>
      <c r="D8179">
        <v>1</v>
      </c>
      <c r="E8179" s="16">
        <v>300.08</v>
      </c>
      <c r="F8179" s="1">
        <v>44915</v>
      </c>
      <c r="G8179" t="s">
        <v>2004</v>
      </c>
      <c r="H8179">
        <v>2</v>
      </c>
      <c r="I8179" s="12">
        <f>Table16[[#This Row],[price]]*Table16[[#This Row],[quantity]]</f>
        <v>300.08</v>
      </c>
    </row>
    <row r="8180" spans="1:9" x14ac:dyDescent="0.3">
      <c r="A8180" t="s">
        <v>10197</v>
      </c>
      <c r="B8180" t="s">
        <v>1633</v>
      </c>
      <c r="C8180" t="s">
        <v>2001</v>
      </c>
      <c r="D8180">
        <v>4</v>
      </c>
      <c r="E8180" s="16">
        <v>1200.32</v>
      </c>
      <c r="F8180" s="1">
        <v>44197</v>
      </c>
      <c r="G8180" t="s">
        <v>2012</v>
      </c>
      <c r="H8180">
        <v>1</v>
      </c>
      <c r="I8180" s="12">
        <f>Table16[[#This Row],[price]]*Table16[[#This Row],[quantity]]</f>
        <v>4801.28</v>
      </c>
    </row>
    <row r="8181" spans="1:9" x14ac:dyDescent="0.3">
      <c r="A8181" t="s">
        <v>10196</v>
      </c>
      <c r="B8181" t="s">
        <v>1633</v>
      </c>
      <c r="C8181" t="s">
        <v>2001</v>
      </c>
      <c r="D8181">
        <v>4</v>
      </c>
      <c r="E8181" s="16">
        <v>1200.32</v>
      </c>
      <c r="F8181" s="1">
        <v>44351</v>
      </c>
      <c r="G8181" t="s">
        <v>2002</v>
      </c>
      <c r="H8181">
        <v>1</v>
      </c>
      <c r="I8181" s="12">
        <f>Table16[[#This Row],[price]]*Table16[[#This Row],[quantity]]</f>
        <v>4801.28</v>
      </c>
    </row>
    <row r="8182" spans="1:9" x14ac:dyDescent="0.3">
      <c r="A8182" t="s">
        <v>10198</v>
      </c>
      <c r="B8182" t="s">
        <v>1633</v>
      </c>
      <c r="C8182" t="s">
        <v>2001</v>
      </c>
      <c r="D8182">
        <v>4</v>
      </c>
      <c r="E8182" s="16">
        <v>1200.32</v>
      </c>
      <c r="F8182" s="1">
        <v>44706</v>
      </c>
      <c r="G8182" t="s">
        <v>2002</v>
      </c>
      <c r="H8182">
        <v>4</v>
      </c>
      <c r="I8182" s="12">
        <f>Table16[[#This Row],[price]]*Table16[[#This Row],[quantity]]</f>
        <v>4801.28</v>
      </c>
    </row>
    <row r="8183" spans="1:9" x14ac:dyDescent="0.3">
      <c r="A8183" t="s">
        <v>10199</v>
      </c>
      <c r="B8183" t="s">
        <v>1633</v>
      </c>
      <c r="C8183" t="s">
        <v>2015</v>
      </c>
      <c r="D8183">
        <v>5</v>
      </c>
      <c r="E8183" s="16">
        <v>3000.85</v>
      </c>
      <c r="F8183" s="1">
        <v>44982</v>
      </c>
      <c r="G8183" t="s">
        <v>2018</v>
      </c>
      <c r="H8183">
        <v>5</v>
      </c>
      <c r="I8183" s="12">
        <f>Table16[[#This Row],[price]]*Table16[[#This Row],[quantity]]</f>
        <v>15004.25</v>
      </c>
    </row>
    <row r="8184" spans="1:9" x14ac:dyDescent="0.3">
      <c r="A8184" t="s">
        <v>10204</v>
      </c>
      <c r="B8184" t="s">
        <v>1634</v>
      </c>
      <c r="C8184" t="s">
        <v>2024</v>
      </c>
      <c r="D8184">
        <v>3</v>
      </c>
      <c r="E8184" s="16">
        <v>107.52</v>
      </c>
      <c r="F8184" s="1">
        <v>44298</v>
      </c>
      <c r="G8184" t="s">
        <v>2058</v>
      </c>
      <c r="H8184">
        <v>1</v>
      </c>
      <c r="I8184" s="12">
        <f>Table16[[#This Row],[price]]*Table16[[#This Row],[quantity]]</f>
        <v>322.56</v>
      </c>
    </row>
    <row r="8185" spans="1:9" x14ac:dyDescent="0.3">
      <c r="A8185" t="s">
        <v>10206</v>
      </c>
      <c r="B8185" t="s">
        <v>1634</v>
      </c>
      <c r="C8185" t="s">
        <v>2001</v>
      </c>
      <c r="D8185">
        <v>2</v>
      </c>
      <c r="E8185" s="16">
        <v>600.16</v>
      </c>
      <c r="F8185" s="1">
        <v>44334</v>
      </c>
      <c r="G8185" t="s">
        <v>2004</v>
      </c>
      <c r="H8185">
        <v>4</v>
      </c>
      <c r="I8185" s="12">
        <f>Table16[[#This Row],[price]]*Table16[[#This Row],[quantity]]</f>
        <v>1200.32</v>
      </c>
    </row>
    <row r="8186" spans="1:9" x14ac:dyDescent="0.3">
      <c r="A8186" t="s">
        <v>10203</v>
      </c>
      <c r="B8186" t="s">
        <v>1634</v>
      </c>
      <c r="C8186" t="s">
        <v>2008</v>
      </c>
      <c r="D8186">
        <v>1</v>
      </c>
      <c r="E8186" s="16">
        <v>5.23</v>
      </c>
      <c r="F8186" s="1">
        <v>44334</v>
      </c>
      <c r="G8186" t="s">
        <v>2002</v>
      </c>
      <c r="H8186">
        <v>1</v>
      </c>
      <c r="I8186" s="12">
        <f>Table16[[#This Row],[price]]*Table16[[#This Row],[quantity]]</f>
        <v>5.23</v>
      </c>
    </row>
    <row r="8187" spans="1:9" x14ac:dyDescent="0.3">
      <c r="A8187" t="s">
        <v>10201</v>
      </c>
      <c r="B8187" t="s">
        <v>1634</v>
      </c>
      <c r="C8187" t="s">
        <v>2024</v>
      </c>
      <c r="D8187">
        <v>3</v>
      </c>
      <c r="E8187" s="16">
        <v>107.52</v>
      </c>
      <c r="F8187" s="1">
        <v>44434</v>
      </c>
      <c r="G8187" t="s">
        <v>2004</v>
      </c>
      <c r="H8187">
        <v>5</v>
      </c>
      <c r="I8187" s="12">
        <f>Table16[[#This Row],[price]]*Table16[[#This Row],[quantity]]</f>
        <v>322.56</v>
      </c>
    </row>
    <row r="8188" spans="1:9" x14ac:dyDescent="0.3">
      <c r="A8188" t="s">
        <v>10207</v>
      </c>
      <c r="B8188" t="s">
        <v>1634</v>
      </c>
      <c r="C8188" t="s">
        <v>2001</v>
      </c>
      <c r="D8188">
        <v>1</v>
      </c>
      <c r="E8188" s="16">
        <v>300.08</v>
      </c>
      <c r="F8188" s="1">
        <v>44700</v>
      </c>
      <c r="G8188" t="s">
        <v>2009</v>
      </c>
      <c r="H8188">
        <v>5</v>
      </c>
      <c r="I8188" s="12">
        <f>Table16[[#This Row],[price]]*Table16[[#This Row],[quantity]]</f>
        <v>300.08</v>
      </c>
    </row>
    <row r="8189" spans="1:9" x14ac:dyDescent="0.3">
      <c r="A8189" t="s">
        <v>10202</v>
      </c>
      <c r="B8189" t="s">
        <v>1634</v>
      </c>
      <c r="C8189" t="s">
        <v>2001</v>
      </c>
      <c r="D8189">
        <v>3</v>
      </c>
      <c r="E8189" s="16">
        <v>900.24</v>
      </c>
      <c r="F8189" s="1">
        <v>44844</v>
      </c>
      <c r="G8189" t="s">
        <v>2002</v>
      </c>
      <c r="H8189">
        <v>3</v>
      </c>
      <c r="I8189" s="12">
        <f>Table16[[#This Row],[price]]*Table16[[#This Row],[quantity]]</f>
        <v>2700.7200000000003</v>
      </c>
    </row>
    <row r="8190" spans="1:9" x14ac:dyDescent="0.3">
      <c r="A8190" t="s">
        <v>10205</v>
      </c>
      <c r="B8190" t="s">
        <v>1634</v>
      </c>
      <c r="C8190" t="s">
        <v>2008</v>
      </c>
      <c r="D8190">
        <v>2</v>
      </c>
      <c r="E8190" s="16">
        <v>10.46</v>
      </c>
      <c r="F8190" s="1">
        <v>44877</v>
      </c>
      <c r="G8190" t="s">
        <v>2012</v>
      </c>
      <c r="H8190">
        <v>4</v>
      </c>
      <c r="I8190" s="12">
        <f>Table16[[#This Row],[price]]*Table16[[#This Row],[quantity]]</f>
        <v>20.92</v>
      </c>
    </row>
    <row r="8191" spans="1:9" x14ac:dyDescent="0.3">
      <c r="A8191" t="s">
        <v>10200</v>
      </c>
      <c r="B8191" t="s">
        <v>1634</v>
      </c>
      <c r="C8191" t="s">
        <v>2001</v>
      </c>
      <c r="D8191">
        <v>4</v>
      </c>
      <c r="E8191" s="16">
        <v>1200.32</v>
      </c>
      <c r="F8191" s="1">
        <v>44942</v>
      </c>
      <c r="G8191" t="s">
        <v>2004</v>
      </c>
      <c r="H8191">
        <v>3</v>
      </c>
      <c r="I8191" s="12">
        <f>Table16[[#This Row],[price]]*Table16[[#This Row],[quantity]]</f>
        <v>4801.28</v>
      </c>
    </row>
    <row r="8192" spans="1:9" x14ac:dyDescent="0.3">
      <c r="A8192" t="s">
        <v>10210</v>
      </c>
      <c r="B8192" t="s">
        <v>1635</v>
      </c>
      <c r="C8192" t="s">
        <v>2015</v>
      </c>
      <c r="D8192">
        <v>3</v>
      </c>
      <c r="E8192" s="16">
        <v>1800.51</v>
      </c>
      <c r="F8192" s="1">
        <v>44258</v>
      </c>
      <c r="G8192" t="s">
        <v>2058</v>
      </c>
      <c r="H8192">
        <v>1</v>
      </c>
      <c r="I8192" s="12">
        <f>Table16[[#This Row],[price]]*Table16[[#This Row],[quantity]]</f>
        <v>5401.53</v>
      </c>
    </row>
    <row r="8193" spans="1:9" x14ac:dyDescent="0.3">
      <c r="A8193" t="s">
        <v>10208</v>
      </c>
      <c r="B8193" t="s">
        <v>1635</v>
      </c>
      <c r="C8193" t="s">
        <v>2024</v>
      </c>
      <c r="D8193">
        <v>1</v>
      </c>
      <c r="E8193" s="16">
        <v>35.840000000000003</v>
      </c>
      <c r="F8193" s="1">
        <v>44459</v>
      </c>
      <c r="G8193" t="s">
        <v>2027</v>
      </c>
      <c r="H8193">
        <v>4</v>
      </c>
      <c r="I8193" s="12">
        <f>Table16[[#This Row],[price]]*Table16[[#This Row],[quantity]]</f>
        <v>35.840000000000003</v>
      </c>
    </row>
    <row r="8194" spans="1:9" x14ac:dyDescent="0.3">
      <c r="A8194" t="s">
        <v>10209</v>
      </c>
      <c r="B8194" t="s">
        <v>1635</v>
      </c>
      <c r="C8194" t="s">
        <v>2011</v>
      </c>
      <c r="D8194">
        <v>2</v>
      </c>
      <c r="E8194" s="16">
        <v>81.319999999999993</v>
      </c>
      <c r="F8194" s="1">
        <v>44481</v>
      </c>
      <c r="G8194" t="s">
        <v>2020</v>
      </c>
      <c r="H8194">
        <v>4</v>
      </c>
      <c r="I8194" s="12">
        <f>Table16[[#This Row],[price]]*Table16[[#This Row],[quantity]]</f>
        <v>162.63999999999999</v>
      </c>
    </row>
    <row r="8195" spans="1:9" x14ac:dyDescent="0.3">
      <c r="A8195" t="s">
        <v>10211</v>
      </c>
      <c r="B8195" t="s">
        <v>1635</v>
      </c>
      <c r="C8195" t="s">
        <v>2057</v>
      </c>
      <c r="D8195">
        <v>3</v>
      </c>
      <c r="E8195" s="16">
        <v>35.19</v>
      </c>
      <c r="F8195" s="1">
        <v>44561</v>
      </c>
      <c r="G8195" t="s">
        <v>2058</v>
      </c>
      <c r="H8195">
        <v>4</v>
      </c>
      <c r="I8195" s="12">
        <f>Table16[[#This Row],[price]]*Table16[[#This Row],[quantity]]</f>
        <v>105.57</v>
      </c>
    </row>
    <row r="8196" spans="1:9" x14ac:dyDescent="0.3">
      <c r="A8196" t="s">
        <v>10212</v>
      </c>
      <c r="B8196" t="s">
        <v>1635</v>
      </c>
      <c r="C8196" t="s">
        <v>2001</v>
      </c>
      <c r="D8196">
        <v>3</v>
      </c>
      <c r="E8196" s="16">
        <v>900.24</v>
      </c>
      <c r="F8196" s="1">
        <v>44694</v>
      </c>
      <c r="G8196" t="s">
        <v>2004</v>
      </c>
      <c r="H8196">
        <v>3</v>
      </c>
      <c r="I8196" s="12">
        <f>Table16[[#This Row],[price]]*Table16[[#This Row],[quantity]]</f>
        <v>2700.7200000000003</v>
      </c>
    </row>
    <row r="8197" spans="1:9" x14ac:dyDescent="0.3">
      <c r="A8197" t="s">
        <v>10213</v>
      </c>
      <c r="B8197" t="s">
        <v>1636</v>
      </c>
      <c r="C8197" t="s">
        <v>2024</v>
      </c>
      <c r="D8197">
        <v>1</v>
      </c>
      <c r="E8197" s="16">
        <v>35.840000000000003</v>
      </c>
      <c r="F8197" s="1">
        <v>44467</v>
      </c>
      <c r="G8197" t="s">
        <v>2020</v>
      </c>
      <c r="H8197">
        <v>3</v>
      </c>
      <c r="I8197" s="12">
        <f>Table16[[#This Row],[price]]*Table16[[#This Row],[quantity]]</f>
        <v>35.840000000000003</v>
      </c>
    </row>
    <row r="8198" spans="1:9" x14ac:dyDescent="0.3">
      <c r="A8198" t="s">
        <v>10214</v>
      </c>
      <c r="B8198" t="s">
        <v>1636</v>
      </c>
      <c r="C8198" t="s">
        <v>2015</v>
      </c>
      <c r="D8198">
        <v>5</v>
      </c>
      <c r="E8198" s="16">
        <v>3000.85</v>
      </c>
      <c r="F8198" s="1">
        <v>44815</v>
      </c>
      <c r="G8198" t="s">
        <v>2027</v>
      </c>
      <c r="H8198">
        <v>1</v>
      </c>
      <c r="I8198" s="12">
        <f>Table16[[#This Row],[price]]*Table16[[#This Row],[quantity]]</f>
        <v>15004.25</v>
      </c>
    </row>
    <row r="8199" spans="1:9" x14ac:dyDescent="0.3">
      <c r="A8199" t="s">
        <v>10217</v>
      </c>
      <c r="B8199" t="s">
        <v>1637</v>
      </c>
      <c r="C8199" t="s">
        <v>2024</v>
      </c>
      <c r="D8199">
        <v>4</v>
      </c>
      <c r="E8199" s="16">
        <v>143.36000000000001</v>
      </c>
      <c r="F8199" s="1">
        <v>44429</v>
      </c>
      <c r="G8199" t="s">
        <v>2004</v>
      </c>
      <c r="H8199">
        <v>4</v>
      </c>
      <c r="I8199" s="12">
        <f>Table16[[#This Row],[price]]*Table16[[#This Row],[quantity]]</f>
        <v>573.44000000000005</v>
      </c>
    </row>
    <row r="8200" spans="1:9" x14ac:dyDescent="0.3">
      <c r="A8200" t="s">
        <v>10216</v>
      </c>
      <c r="B8200" t="s">
        <v>1637</v>
      </c>
      <c r="C8200" t="s">
        <v>2001</v>
      </c>
      <c r="D8200">
        <v>5</v>
      </c>
      <c r="E8200" s="16">
        <v>1500.4</v>
      </c>
      <c r="F8200" s="1">
        <v>44469</v>
      </c>
      <c r="G8200" t="s">
        <v>2004</v>
      </c>
      <c r="H8200">
        <v>1</v>
      </c>
      <c r="I8200" s="12">
        <f>Table16[[#This Row],[price]]*Table16[[#This Row],[quantity]]</f>
        <v>7502</v>
      </c>
    </row>
    <row r="8201" spans="1:9" x14ac:dyDescent="0.3">
      <c r="A8201" t="s">
        <v>10215</v>
      </c>
      <c r="B8201" t="s">
        <v>1637</v>
      </c>
      <c r="C8201" t="s">
        <v>2001</v>
      </c>
      <c r="D8201">
        <v>5</v>
      </c>
      <c r="E8201" s="16">
        <v>1500.4</v>
      </c>
      <c r="F8201" s="1">
        <v>44736</v>
      </c>
      <c r="G8201" t="s">
        <v>2027</v>
      </c>
      <c r="H8201">
        <v>5</v>
      </c>
      <c r="I8201" s="12">
        <f>Table16[[#This Row],[price]]*Table16[[#This Row],[quantity]]</f>
        <v>7502</v>
      </c>
    </row>
    <row r="8202" spans="1:9" x14ac:dyDescent="0.3">
      <c r="A8202" t="s">
        <v>10218</v>
      </c>
      <c r="B8202" t="s">
        <v>1637</v>
      </c>
      <c r="C8202" t="s">
        <v>2011</v>
      </c>
      <c r="D8202">
        <v>4</v>
      </c>
      <c r="E8202" s="16">
        <v>162.63999999999999</v>
      </c>
      <c r="F8202" s="1">
        <v>44983</v>
      </c>
      <c r="G8202" t="s">
        <v>2064</v>
      </c>
      <c r="H8202">
        <v>2</v>
      </c>
      <c r="I8202" s="12">
        <f>Table16[[#This Row],[price]]*Table16[[#This Row],[quantity]]</f>
        <v>650.55999999999995</v>
      </c>
    </row>
    <row r="8203" spans="1:9" x14ac:dyDescent="0.3">
      <c r="A8203" t="s">
        <v>10222</v>
      </c>
      <c r="B8203" t="s">
        <v>1638</v>
      </c>
      <c r="C8203" t="s">
        <v>2006</v>
      </c>
      <c r="D8203">
        <v>5</v>
      </c>
      <c r="E8203" s="16">
        <v>75.75</v>
      </c>
      <c r="F8203" s="1">
        <v>44381</v>
      </c>
      <c r="G8203" t="s">
        <v>2027</v>
      </c>
      <c r="H8203">
        <v>2</v>
      </c>
      <c r="I8203" s="12">
        <f>Table16[[#This Row],[price]]*Table16[[#This Row],[quantity]]</f>
        <v>378.75</v>
      </c>
    </row>
    <row r="8204" spans="1:9" x14ac:dyDescent="0.3">
      <c r="A8204" t="s">
        <v>10220</v>
      </c>
      <c r="B8204" t="s">
        <v>1638</v>
      </c>
      <c r="C8204" t="s">
        <v>2011</v>
      </c>
      <c r="D8204">
        <v>5</v>
      </c>
      <c r="E8204" s="16">
        <v>203.3</v>
      </c>
      <c r="F8204" s="1">
        <v>44442</v>
      </c>
      <c r="G8204" t="s">
        <v>2064</v>
      </c>
      <c r="H8204">
        <v>3</v>
      </c>
      <c r="I8204" s="12">
        <f>Table16[[#This Row],[price]]*Table16[[#This Row],[quantity]]</f>
        <v>1016.5</v>
      </c>
    </row>
    <row r="8205" spans="1:9" x14ac:dyDescent="0.3">
      <c r="A8205" t="s">
        <v>10221</v>
      </c>
      <c r="B8205" t="s">
        <v>1638</v>
      </c>
      <c r="C8205" t="s">
        <v>2011</v>
      </c>
      <c r="D8205">
        <v>2</v>
      </c>
      <c r="E8205" s="16">
        <v>81.319999999999993</v>
      </c>
      <c r="F8205" s="1">
        <v>44621</v>
      </c>
      <c r="G8205" t="s">
        <v>2064</v>
      </c>
      <c r="H8205">
        <v>3</v>
      </c>
      <c r="I8205" s="12">
        <f>Table16[[#This Row],[price]]*Table16[[#This Row],[quantity]]</f>
        <v>162.63999999999999</v>
      </c>
    </row>
    <row r="8206" spans="1:9" x14ac:dyDescent="0.3">
      <c r="A8206" t="s">
        <v>10219</v>
      </c>
      <c r="B8206" t="s">
        <v>1638</v>
      </c>
      <c r="C8206" t="s">
        <v>2001</v>
      </c>
      <c r="D8206">
        <v>1</v>
      </c>
      <c r="E8206" s="16">
        <v>300.08</v>
      </c>
      <c r="F8206" s="1">
        <v>44955</v>
      </c>
      <c r="G8206" t="s">
        <v>2002</v>
      </c>
      <c r="H8206">
        <v>4</v>
      </c>
      <c r="I8206" s="12">
        <f>Table16[[#This Row],[price]]*Table16[[#This Row],[quantity]]</f>
        <v>300.08</v>
      </c>
    </row>
    <row r="8207" spans="1:9" x14ac:dyDescent="0.3">
      <c r="A8207" t="s">
        <v>10224</v>
      </c>
      <c r="B8207" t="s">
        <v>1639</v>
      </c>
      <c r="C8207" t="s">
        <v>2011</v>
      </c>
      <c r="D8207">
        <v>4</v>
      </c>
      <c r="E8207" s="16">
        <v>162.63999999999999</v>
      </c>
      <c r="F8207" s="1">
        <v>44615</v>
      </c>
      <c r="G8207" t="s">
        <v>2002</v>
      </c>
      <c r="H8207">
        <v>5</v>
      </c>
      <c r="I8207" s="12">
        <f>Table16[[#This Row],[price]]*Table16[[#This Row],[quantity]]</f>
        <v>650.55999999999995</v>
      </c>
    </row>
    <row r="8208" spans="1:9" x14ac:dyDescent="0.3">
      <c r="A8208" t="s">
        <v>10223</v>
      </c>
      <c r="B8208" t="s">
        <v>1639</v>
      </c>
      <c r="C8208" t="s">
        <v>2011</v>
      </c>
      <c r="D8208">
        <v>1</v>
      </c>
      <c r="E8208" s="16">
        <v>40.659999999999997</v>
      </c>
      <c r="F8208" s="1">
        <v>44668</v>
      </c>
      <c r="G8208" t="s">
        <v>2004</v>
      </c>
      <c r="H8208">
        <v>4</v>
      </c>
      <c r="I8208" s="12">
        <f>Table16[[#This Row],[price]]*Table16[[#This Row],[quantity]]</f>
        <v>40.659999999999997</v>
      </c>
    </row>
    <row r="8209" spans="1:9" x14ac:dyDescent="0.3">
      <c r="A8209" t="s">
        <v>10225</v>
      </c>
      <c r="B8209" t="s">
        <v>1639</v>
      </c>
      <c r="C8209" t="s">
        <v>2001</v>
      </c>
      <c r="D8209">
        <v>4</v>
      </c>
      <c r="E8209" s="16">
        <v>1200.32</v>
      </c>
      <c r="F8209" s="1">
        <v>44956</v>
      </c>
      <c r="G8209" t="s">
        <v>2027</v>
      </c>
      <c r="H8209">
        <v>3</v>
      </c>
      <c r="I8209" s="12">
        <f>Table16[[#This Row],[price]]*Table16[[#This Row],[quantity]]</f>
        <v>4801.28</v>
      </c>
    </row>
    <row r="8210" spans="1:9" x14ac:dyDescent="0.3">
      <c r="A8210" t="s">
        <v>10227</v>
      </c>
      <c r="B8210" t="s">
        <v>1640</v>
      </c>
      <c r="C8210" t="s">
        <v>2015</v>
      </c>
      <c r="D8210">
        <v>3</v>
      </c>
      <c r="E8210" s="16">
        <v>1800.51</v>
      </c>
      <c r="F8210" s="1">
        <v>44385</v>
      </c>
      <c r="G8210" t="s">
        <v>2012</v>
      </c>
      <c r="H8210">
        <v>3</v>
      </c>
      <c r="I8210" s="12">
        <f>Table16[[#This Row],[price]]*Table16[[#This Row],[quantity]]</f>
        <v>5401.53</v>
      </c>
    </row>
    <row r="8211" spans="1:9" x14ac:dyDescent="0.3">
      <c r="A8211" t="s">
        <v>10228</v>
      </c>
      <c r="B8211" t="s">
        <v>1640</v>
      </c>
      <c r="C8211" t="s">
        <v>2011</v>
      </c>
      <c r="D8211">
        <v>3</v>
      </c>
      <c r="E8211" s="16">
        <v>121.98</v>
      </c>
      <c r="F8211" s="1">
        <v>44559</v>
      </c>
      <c r="G8211" t="s">
        <v>2004</v>
      </c>
      <c r="H8211">
        <v>5</v>
      </c>
      <c r="I8211" s="12">
        <f>Table16[[#This Row],[price]]*Table16[[#This Row],[quantity]]</f>
        <v>365.94</v>
      </c>
    </row>
    <row r="8212" spans="1:9" x14ac:dyDescent="0.3">
      <c r="A8212" t="s">
        <v>10226</v>
      </c>
      <c r="B8212" t="s">
        <v>1640</v>
      </c>
      <c r="C8212" t="s">
        <v>2057</v>
      </c>
      <c r="D8212">
        <v>3</v>
      </c>
      <c r="E8212" s="16">
        <v>35.19</v>
      </c>
      <c r="F8212" s="1">
        <v>44701</v>
      </c>
      <c r="G8212" t="s">
        <v>2004</v>
      </c>
      <c r="H8212">
        <v>4</v>
      </c>
      <c r="I8212" s="12">
        <f>Table16[[#This Row],[price]]*Table16[[#This Row],[quantity]]</f>
        <v>105.57</v>
      </c>
    </row>
    <row r="8213" spans="1:9" x14ac:dyDescent="0.3">
      <c r="A8213" t="s">
        <v>10230</v>
      </c>
      <c r="B8213" t="s">
        <v>1641</v>
      </c>
      <c r="C8213" t="s">
        <v>2001</v>
      </c>
      <c r="D8213">
        <v>4</v>
      </c>
      <c r="E8213" s="16">
        <v>1200.32</v>
      </c>
      <c r="F8213" s="1">
        <v>44358</v>
      </c>
      <c r="G8213" t="s">
        <v>2012</v>
      </c>
      <c r="H8213">
        <v>5</v>
      </c>
      <c r="I8213" s="12">
        <f>Table16[[#This Row],[price]]*Table16[[#This Row],[quantity]]</f>
        <v>4801.28</v>
      </c>
    </row>
    <row r="8214" spans="1:9" x14ac:dyDescent="0.3">
      <c r="A8214" t="s">
        <v>10229</v>
      </c>
      <c r="B8214" t="s">
        <v>1641</v>
      </c>
      <c r="C8214" t="s">
        <v>2011</v>
      </c>
      <c r="D8214">
        <v>4</v>
      </c>
      <c r="E8214" s="16">
        <v>162.63999999999999</v>
      </c>
      <c r="F8214" s="1">
        <v>44443</v>
      </c>
      <c r="G8214" t="s">
        <v>2004</v>
      </c>
      <c r="H8214">
        <v>1</v>
      </c>
      <c r="I8214" s="12">
        <f>Table16[[#This Row],[price]]*Table16[[#This Row],[quantity]]</f>
        <v>650.55999999999995</v>
      </c>
    </row>
    <row r="8215" spans="1:9" x14ac:dyDescent="0.3">
      <c r="A8215" t="s">
        <v>10231</v>
      </c>
      <c r="B8215" t="s">
        <v>1641</v>
      </c>
      <c r="C8215" t="s">
        <v>2001</v>
      </c>
      <c r="D8215">
        <v>2</v>
      </c>
      <c r="E8215" s="16">
        <v>600.16</v>
      </c>
      <c r="F8215" s="1">
        <v>44537</v>
      </c>
      <c r="G8215" t="s">
        <v>2002</v>
      </c>
      <c r="H8215">
        <v>4</v>
      </c>
      <c r="I8215" s="12">
        <f>Table16[[#This Row],[price]]*Table16[[#This Row],[quantity]]</f>
        <v>1200.32</v>
      </c>
    </row>
    <row r="8216" spans="1:9" x14ac:dyDescent="0.3">
      <c r="A8216" t="s">
        <v>10235</v>
      </c>
      <c r="B8216" t="s">
        <v>1642</v>
      </c>
      <c r="C8216" t="s">
        <v>2015</v>
      </c>
      <c r="D8216">
        <v>3</v>
      </c>
      <c r="E8216" s="16">
        <v>1800.51</v>
      </c>
      <c r="F8216" s="1">
        <v>44377</v>
      </c>
      <c r="G8216" t="s">
        <v>2058</v>
      </c>
      <c r="H8216">
        <v>1</v>
      </c>
      <c r="I8216" s="12">
        <f>Table16[[#This Row],[price]]*Table16[[#This Row],[quantity]]</f>
        <v>5401.53</v>
      </c>
    </row>
    <row r="8217" spans="1:9" x14ac:dyDescent="0.3">
      <c r="A8217" t="s">
        <v>10232</v>
      </c>
      <c r="B8217" t="s">
        <v>1642</v>
      </c>
      <c r="C8217" t="s">
        <v>2008</v>
      </c>
      <c r="D8217">
        <v>2</v>
      </c>
      <c r="E8217" s="16">
        <v>10.46</v>
      </c>
      <c r="F8217" s="1">
        <v>44712</v>
      </c>
      <c r="G8217" t="s">
        <v>2012</v>
      </c>
      <c r="H8217">
        <v>1</v>
      </c>
      <c r="I8217" s="12">
        <f>Table16[[#This Row],[price]]*Table16[[#This Row],[quantity]]</f>
        <v>20.92</v>
      </c>
    </row>
    <row r="8218" spans="1:9" x14ac:dyDescent="0.3">
      <c r="A8218" t="s">
        <v>10234</v>
      </c>
      <c r="B8218" t="s">
        <v>1642</v>
      </c>
      <c r="C8218" t="s">
        <v>2015</v>
      </c>
      <c r="D8218">
        <v>4</v>
      </c>
      <c r="E8218" s="16">
        <v>2400.6799999999998</v>
      </c>
      <c r="F8218" s="1">
        <v>44774</v>
      </c>
      <c r="G8218" t="s">
        <v>2002</v>
      </c>
      <c r="H8218">
        <v>2</v>
      </c>
      <c r="I8218" s="12">
        <f>Table16[[#This Row],[price]]*Table16[[#This Row],[quantity]]</f>
        <v>9602.7199999999993</v>
      </c>
    </row>
    <row r="8219" spans="1:9" x14ac:dyDescent="0.3">
      <c r="A8219" t="s">
        <v>10233</v>
      </c>
      <c r="B8219" t="s">
        <v>1642</v>
      </c>
      <c r="C8219" t="s">
        <v>2011</v>
      </c>
      <c r="D8219">
        <v>3</v>
      </c>
      <c r="E8219" s="16">
        <v>121.98</v>
      </c>
      <c r="F8219" s="1">
        <v>44958</v>
      </c>
      <c r="G8219" t="s">
        <v>2004</v>
      </c>
      <c r="H8219">
        <v>3</v>
      </c>
      <c r="I8219" s="12">
        <f>Table16[[#This Row],[price]]*Table16[[#This Row],[quantity]]</f>
        <v>365.94</v>
      </c>
    </row>
    <row r="8220" spans="1:9" x14ac:dyDescent="0.3">
      <c r="A8220" t="s">
        <v>10242</v>
      </c>
      <c r="B8220" t="s">
        <v>1643</v>
      </c>
      <c r="C8220" t="s">
        <v>2008</v>
      </c>
      <c r="D8220">
        <v>2</v>
      </c>
      <c r="E8220" s="16">
        <v>10.46</v>
      </c>
      <c r="F8220" s="1">
        <v>44198</v>
      </c>
      <c r="G8220" t="s">
        <v>2027</v>
      </c>
      <c r="H8220">
        <v>3</v>
      </c>
      <c r="I8220" s="12">
        <f>Table16[[#This Row],[price]]*Table16[[#This Row],[quantity]]</f>
        <v>20.92</v>
      </c>
    </row>
    <row r="8221" spans="1:9" x14ac:dyDescent="0.3">
      <c r="A8221" t="s">
        <v>10243</v>
      </c>
      <c r="B8221" t="s">
        <v>1643</v>
      </c>
      <c r="C8221" t="s">
        <v>2024</v>
      </c>
      <c r="D8221">
        <v>4</v>
      </c>
      <c r="E8221" s="16">
        <v>143.36000000000001</v>
      </c>
      <c r="F8221" s="1">
        <v>44221</v>
      </c>
      <c r="G8221" t="s">
        <v>2002</v>
      </c>
      <c r="H8221">
        <v>4</v>
      </c>
      <c r="I8221" s="12">
        <f>Table16[[#This Row],[price]]*Table16[[#This Row],[quantity]]</f>
        <v>573.44000000000005</v>
      </c>
    </row>
    <row r="8222" spans="1:9" x14ac:dyDescent="0.3">
      <c r="A8222" t="s">
        <v>10240</v>
      </c>
      <c r="B8222" t="s">
        <v>1643</v>
      </c>
      <c r="C8222" t="s">
        <v>2001</v>
      </c>
      <c r="D8222">
        <v>5</v>
      </c>
      <c r="E8222" s="16">
        <v>1500.4</v>
      </c>
      <c r="F8222" s="1">
        <v>44242</v>
      </c>
      <c r="G8222" t="s">
        <v>2058</v>
      </c>
      <c r="H8222">
        <v>3</v>
      </c>
      <c r="I8222" s="12">
        <f>Table16[[#This Row],[price]]*Table16[[#This Row],[quantity]]</f>
        <v>7502</v>
      </c>
    </row>
    <row r="8223" spans="1:9" x14ac:dyDescent="0.3">
      <c r="A8223" t="s">
        <v>10236</v>
      </c>
      <c r="B8223" t="s">
        <v>1643</v>
      </c>
      <c r="C8223" t="s">
        <v>2001</v>
      </c>
      <c r="D8223">
        <v>5</v>
      </c>
      <c r="E8223" s="16">
        <v>1500.4</v>
      </c>
      <c r="F8223" s="1">
        <v>44383</v>
      </c>
      <c r="G8223" t="s">
        <v>2041</v>
      </c>
      <c r="H8223">
        <v>4</v>
      </c>
      <c r="I8223" s="12">
        <f>Table16[[#This Row],[price]]*Table16[[#This Row],[quantity]]</f>
        <v>7502</v>
      </c>
    </row>
    <row r="8224" spans="1:9" x14ac:dyDescent="0.3">
      <c r="A8224" t="s">
        <v>10237</v>
      </c>
      <c r="B8224" t="s">
        <v>1643</v>
      </c>
      <c r="C8224" t="s">
        <v>2008</v>
      </c>
      <c r="D8224">
        <v>3</v>
      </c>
      <c r="E8224" s="16">
        <v>15.69</v>
      </c>
      <c r="F8224" s="1">
        <v>44410</v>
      </c>
      <c r="G8224" t="s">
        <v>2002</v>
      </c>
      <c r="H8224">
        <v>3</v>
      </c>
      <c r="I8224" s="12">
        <f>Table16[[#This Row],[price]]*Table16[[#This Row],[quantity]]</f>
        <v>47.07</v>
      </c>
    </row>
    <row r="8225" spans="1:9" x14ac:dyDescent="0.3">
      <c r="A8225" t="s">
        <v>10238</v>
      </c>
      <c r="B8225" t="s">
        <v>1643</v>
      </c>
      <c r="C8225" t="s">
        <v>2006</v>
      </c>
      <c r="D8225">
        <v>2</v>
      </c>
      <c r="E8225" s="16">
        <v>30.3</v>
      </c>
      <c r="F8225" s="1">
        <v>44514</v>
      </c>
      <c r="G8225" t="s">
        <v>2018</v>
      </c>
      <c r="H8225">
        <v>5</v>
      </c>
      <c r="I8225" s="12">
        <f>Table16[[#This Row],[price]]*Table16[[#This Row],[quantity]]</f>
        <v>60.6</v>
      </c>
    </row>
    <row r="8226" spans="1:9" x14ac:dyDescent="0.3">
      <c r="A8226" t="s">
        <v>10244</v>
      </c>
      <c r="B8226" t="s">
        <v>1643</v>
      </c>
      <c r="C8226" t="s">
        <v>2001</v>
      </c>
      <c r="D8226">
        <v>2</v>
      </c>
      <c r="E8226" s="16">
        <v>600.16</v>
      </c>
      <c r="F8226" s="1">
        <v>44598</v>
      </c>
      <c r="G8226" t="s">
        <v>2009</v>
      </c>
      <c r="H8226">
        <v>4</v>
      </c>
      <c r="I8226" s="12">
        <f>Table16[[#This Row],[price]]*Table16[[#This Row],[quantity]]</f>
        <v>1200.32</v>
      </c>
    </row>
    <row r="8227" spans="1:9" x14ac:dyDescent="0.3">
      <c r="A8227" t="s">
        <v>10246</v>
      </c>
      <c r="B8227" t="s">
        <v>1643</v>
      </c>
      <c r="C8227" t="s">
        <v>2008</v>
      </c>
      <c r="D8227">
        <v>1</v>
      </c>
      <c r="E8227" s="16">
        <v>5.23</v>
      </c>
      <c r="F8227" s="1">
        <v>44775</v>
      </c>
      <c r="G8227" t="s">
        <v>2058</v>
      </c>
      <c r="H8227">
        <v>5</v>
      </c>
      <c r="I8227" s="12">
        <f>Table16[[#This Row],[price]]*Table16[[#This Row],[quantity]]</f>
        <v>5.23</v>
      </c>
    </row>
    <row r="8228" spans="1:9" x14ac:dyDescent="0.3">
      <c r="A8228" t="s">
        <v>10239</v>
      </c>
      <c r="B8228" t="s">
        <v>1643</v>
      </c>
      <c r="C8228" t="s">
        <v>2011</v>
      </c>
      <c r="D8228">
        <v>1</v>
      </c>
      <c r="E8228" s="16">
        <v>40.659999999999997</v>
      </c>
      <c r="F8228" s="1">
        <v>44858</v>
      </c>
      <c r="G8228" t="s">
        <v>2027</v>
      </c>
      <c r="H8228">
        <v>5</v>
      </c>
      <c r="I8228" s="12">
        <f>Table16[[#This Row],[price]]*Table16[[#This Row],[quantity]]</f>
        <v>40.659999999999997</v>
      </c>
    </row>
    <row r="8229" spans="1:9" x14ac:dyDescent="0.3">
      <c r="A8229" t="s">
        <v>10245</v>
      </c>
      <c r="B8229" t="s">
        <v>1643</v>
      </c>
      <c r="C8229" t="s">
        <v>2001</v>
      </c>
      <c r="D8229">
        <v>4</v>
      </c>
      <c r="E8229" s="16">
        <v>1200.32</v>
      </c>
      <c r="F8229" s="1">
        <v>44908</v>
      </c>
      <c r="G8229" t="s">
        <v>2002</v>
      </c>
      <c r="H8229">
        <v>4</v>
      </c>
      <c r="I8229" s="12">
        <f>Table16[[#This Row],[price]]*Table16[[#This Row],[quantity]]</f>
        <v>4801.28</v>
      </c>
    </row>
    <row r="8230" spans="1:9" x14ac:dyDescent="0.3">
      <c r="A8230" t="s">
        <v>10241</v>
      </c>
      <c r="B8230" t="s">
        <v>1643</v>
      </c>
      <c r="C8230" t="s">
        <v>2008</v>
      </c>
      <c r="D8230">
        <v>5</v>
      </c>
      <c r="E8230" s="16">
        <v>26.15</v>
      </c>
      <c r="F8230" s="1">
        <v>44978</v>
      </c>
      <c r="G8230" t="s">
        <v>2064</v>
      </c>
      <c r="H8230">
        <v>3</v>
      </c>
      <c r="I8230" s="12">
        <f>Table16[[#This Row],[price]]*Table16[[#This Row],[quantity]]</f>
        <v>130.75</v>
      </c>
    </row>
    <row r="8231" spans="1:9" x14ac:dyDescent="0.3">
      <c r="A8231" t="s">
        <v>10249</v>
      </c>
      <c r="B8231" t="s">
        <v>1644</v>
      </c>
      <c r="C8231" t="s">
        <v>2015</v>
      </c>
      <c r="D8231">
        <v>4</v>
      </c>
      <c r="E8231" s="16">
        <v>2400.6799999999998</v>
      </c>
      <c r="F8231" s="1">
        <v>44250</v>
      </c>
      <c r="G8231" t="s">
        <v>2027</v>
      </c>
      <c r="H8231">
        <v>1</v>
      </c>
      <c r="I8231" s="12">
        <f>Table16[[#This Row],[price]]*Table16[[#This Row],[quantity]]</f>
        <v>9602.7199999999993</v>
      </c>
    </row>
    <row r="8232" spans="1:9" x14ac:dyDescent="0.3">
      <c r="A8232" t="s">
        <v>10252</v>
      </c>
      <c r="B8232" t="s">
        <v>1644</v>
      </c>
      <c r="C8232" t="s">
        <v>2024</v>
      </c>
      <c r="D8232">
        <v>2</v>
      </c>
      <c r="E8232" s="16">
        <v>71.680000000000007</v>
      </c>
      <c r="F8232" s="1">
        <v>44391</v>
      </c>
      <c r="G8232" t="s">
        <v>2012</v>
      </c>
      <c r="H8232">
        <v>5</v>
      </c>
      <c r="I8232" s="12">
        <f>Table16[[#This Row],[price]]*Table16[[#This Row],[quantity]]</f>
        <v>143.36000000000001</v>
      </c>
    </row>
    <row r="8233" spans="1:9" x14ac:dyDescent="0.3">
      <c r="A8233" t="s">
        <v>10254</v>
      </c>
      <c r="B8233" t="s">
        <v>1644</v>
      </c>
      <c r="C8233" t="s">
        <v>2008</v>
      </c>
      <c r="D8233">
        <v>5</v>
      </c>
      <c r="E8233" s="16">
        <v>26.15</v>
      </c>
      <c r="F8233" s="1">
        <v>44431</v>
      </c>
      <c r="G8233" t="s">
        <v>2064</v>
      </c>
      <c r="H8233">
        <v>3</v>
      </c>
      <c r="I8233" s="12">
        <f>Table16[[#This Row],[price]]*Table16[[#This Row],[quantity]]</f>
        <v>130.75</v>
      </c>
    </row>
    <row r="8234" spans="1:9" x14ac:dyDescent="0.3">
      <c r="A8234" t="s">
        <v>10247</v>
      </c>
      <c r="B8234" t="s">
        <v>1644</v>
      </c>
      <c r="C8234" t="s">
        <v>2017</v>
      </c>
      <c r="D8234">
        <v>1</v>
      </c>
      <c r="E8234" s="16">
        <v>1050</v>
      </c>
      <c r="F8234" s="1">
        <v>44503</v>
      </c>
      <c r="G8234" t="s">
        <v>2004</v>
      </c>
      <c r="H8234">
        <v>1</v>
      </c>
      <c r="I8234" s="12">
        <f>Table16[[#This Row],[price]]*Table16[[#This Row],[quantity]]</f>
        <v>1050</v>
      </c>
    </row>
    <row r="8235" spans="1:9" x14ac:dyDescent="0.3">
      <c r="A8235" t="s">
        <v>10251</v>
      </c>
      <c r="B8235" t="s">
        <v>1644</v>
      </c>
      <c r="C8235" t="s">
        <v>2008</v>
      </c>
      <c r="D8235">
        <v>1</v>
      </c>
      <c r="E8235" s="16">
        <v>5.23</v>
      </c>
      <c r="F8235" s="1">
        <v>44615</v>
      </c>
      <c r="G8235" t="s">
        <v>2020</v>
      </c>
      <c r="H8235">
        <v>3</v>
      </c>
      <c r="I8235" s="12">
        <f>Table16[[#This Row],[price]]*Table16[[#This Row],[quantity]]</f>
        <v>5.23</v>
      </c>
    </row>
    <row r="8236" spans="1:9" x14ac:dyDescent="0.3">
      <c r="A8236" t="s">
        <v>10248</v>
      </c>
      <c r="B8236" t="s">
        <v>1644</v>
      </c>
      <c r="C8236" t="s">
        <v>2024</v>
      </c>
      <c r="D8236">
        <v>1</v>
      </c>
      <c r="E8236" s="16">
        <v>35.840000000000003</v>
      </c>
      <c r="F8236" s="1">
        <v>44631</v>
      </c>
      <c r="G8236" t="s">
        <v>2004</v>
      </c>
      <c r="H8236">
        <v>5</v>
      </c>
      <c r="I8236" s="12">
        <f>Table16[[#This Row],[price]]*Table16[[#This Row],[quantity]]</f>
        <v>35.840000000000003</v>
      </c>
    </row>
    <row r="8237" spans="1:9" x14ac:dyDescent="0.3">
      <c r="A8237" t="s">
        <v>10250</v>
      </c>
      <c r="B8237" t="s">
        <v>1644</v>
      </c>
      <c r="C8237" t="s">
        <v>2015</v>
      </c>
      <c r="D8237">
        <v>4</v>
      </c>
      <c r="E8237" s="16">
        <v>2400.6799999999998</v>
      </c>
      <c r="F8237" s="1">
        <v>44845</v>
      </c>
      <c r="G8237" t="s">
        <v>2064</v>
      </c>
      <c r="H8237">
        <v>5</v>
      </c>
      <c r="I8237" s="12">
        <f>Table16[[#This Row],[price]]*Table16[[#This Row],[quantity]]</f>
        <v>9602.7199999999993</v>
      </c>
    </row>
    <row r="8238" spans="1:9" x14ac:dyDescent="0.3">
      <c r="A8238" t="s">
        <v>10253</v>
      </c>
      <c r="B8238" t="s">
        <v>1644</v>
      </c>
      <c r="C8238" t="s">
        <v>2001</v>
      </c>
      <c r="D8238">
        <v>5</v>
      </c>
      <c r="E8238" s="16">
        <v>1500.4</v>
      </c>
      <c r="F8238" s="1">
        <v>44899</v>
      </c>
      <c r="G8238" t="s">
        <v>2002</v>
      </c>
      <c r="H8238">
        <v>5</v>
      </c>
      <c r="I8238" s="12">
        <f>Table16[[#This Row],[price]]*Table16[[#This Row],[quantity]]</f>
        <v>7502</v>
      </c>
    </row>
    <row r="8239" spans="1:9" x14ac:dyDescent="0.3">
      <c r="A8239" t="s">
        <v>10255</v>
      </c>
      <c r="B8239" t="s">
        <v>1645</v>
      </c>
      <c r="C8239" t="s">
        <v>2024</v>
      </c>
      <c r="D8239">
        <v>4</v>
      </c>
      <c r="E8239" s="16">
        <v>143.36000000000001</v>
      </c>
      <c r="F8239" s="1">
        <v>44291</v>
      </c>
      <c r="G8239" t="s">
        <v>2012</v>
      </c>
      <c r="H8239">
        <v>1</v>
      </c>
      <c r="I8239" s="12">
        <f>Table16[[#This Row],[price]]*Table16[[#This Row],[quantity]]</f>
        <v>573.44000000000005</v>
      </c>
    </row>
    <row r="8240" spans="1:9" x14ac:dyDescent="0.3">
      <c r="A8240" t="s">
        <v>10256</v>
      </c>
      <c r="B8240" t="s">
        <v>1645</v>
      </c>
      <c r="C8240" t="s">
        <v>2008</v>
      </c>
      <c r="D8240">
        <v>5</v>
      </c>
      <c r="E8240" s="16">
        <v>26.15</v>
      </c>
      <c r="F8240" s="1">
        <v>44441</v>
      </c>
      <c r="G8240" t="s">
        <v>2002</v>
      </c>
      <c r="H8240">
        <v>5</v>
      </c>
      <c r="I8240" s="12">
        <f>Table16[[#This Row],[price]]*Table16[[#This Row],[quantity]]</f>
        <v>130.75</v>
      </c>
    </row>
    <row r="8241" spans="1:9" x14ac:dyDescent="0.3">
      <c r="A8241" t="s">
        <v>10261</v>
      </c>
      <c r="B8241" t="s">
        <v>1646</v>
      </c>
      <c r="C8241" t="s">
        <v>2057</v>
      </c>
      <c r="D8241">
        <v>2</v>
      </c>
      <c r="E8241" s="16">
        <v>23.46</v>
      </c>
      <c r="F8241" s="1">
        <v>44247</v>
      </c>
      <c r="G8241" t="s">
        <v>2027</v>
      </c>
      <c r="H8241">
        <v>1</v>
      </c>
      <c r="I8241" s="12">
        <f>Table16[[#This Row],[price]]*Table16[[#This Row],[quantity]]</f>
        <v>46.92</v>
      </c>
    </row>
    <row r="8242" spans="1:9" x14ac:dyDescent="0.3">
      <c r="A8242" t="s">
        <v>10259</v>
      </c>
      <c r="B8242" t="s">
        <v>1646</v>
      </c>
      <c r="C8242" t="s">
        <v>2015</v>
      </c>
      <c r="D8242">
        <v>3</v>
      </c>
      <c r="E8242" s="16">
        <v>1800.51</v>
      </c>
      <c r="F8242" s="1">
        <v>44758</v>
      </c>
      <c r="G8242" t="s">
        <v>2002</v>
      </c>
      <c r="H8242">
        <v>1</v>
      </c>
      <c r="I8242" s="12">
        <f>Table16[[#This Row],[price]]*Table16[[#This Row],[quantity]]</f>
        <v>5401.53</v>
      </c>
    </row>
    <row r="8243" spans="1:9" x14ac:dyDescent="0.3">
      <c r="A8243" t="s">
        <v>10258</v>
      </c>
      <c r="B8243" t="s">
        <v>1646</v>
      </c>
      <c r="C8243" t="s">
        <v>2001</v>
      </c>
      <c r="D8243">
        <v>1</v>
      </c>
      <c r="E8243" s="16">
        <v>300.08</v>
      </c>
      <c r="F8243" s="1">
        <v>44800</v>
      </c>
      <c r="G8243" t="s">
        <v>2020</v>
      </c>
      <c r="H8243">
        <v>3</v>
      </c>
      <c r="I8243" s="12">
        <f>Table16[[#This Row],[price]]*Table16[[#This Row],[quantity]]</f>
        <v>300.08</v>
      </c>
    </row>
    <row r="8244" spans="1:9" x14ac:dyDescent="0.3">
      <c r="A8244" t="s">
        <v>10257</v>
      </c>
      <c r="B8244" t="s">
        <v>1646</v>
      </c>
      <c r="C8244" t="s">
        <v>2008</v>
      </c>
      <c r="D8244">
        <v>1</v>
      </c>
      <c r="E8244" s="16">
        <v>5.23</v>
      </c>
      <c r="F8244" s="1">
        <v>44901</v>
      </c>
      <c r="G8244" t="s">
        <v>2064</v>
      </c>
      <c r="H8244">
        <v>3</v>
      </c>
      <c r="I8244" s="12">
        <f>Table16[[#This Row],[price]]*Table16[[#This Row],[quantity]]</f>
        <v>5.23</v>
      </c>
    </row>
    <row r="8245" spans="1:9" x14ac:dyDescent="0.3">
      <c r="A8245" t="s">
        <v>10260</v>
      </c>
      <c r="B8245" t="s">
        <v>1646</v>
      </c>
      <c r="C8245" t="s">
        <v>2011</v>
      </c>
      <c r="D8245">
        <v>5</v>
      </c>
      <c r="E8245" s="16">
        <v>203.3</v>
      </c>
      <c r="F8245" s="1">
        <v>44943</v>
      </c>
      <c r="G8245" t="s">
        <v>2004</v>
      </c>
      <c r="H8245">
        <v>1</v>
      </c>
      <c r="I8245" s="12">
        <f>Table16[[#This Row],[price]]*Table16[[#This Row],[quantity]]</f>
        <v>1016.5</v>
      </c>
    </row>
    <row r="8246" spans="1:9" x14ac:dyDescent="0.3">
      <c r="A8246" t="s">
        <v>10267</v>
      </c>
      <c r="B8246" t="s">
        <v>1647</v>
      </c>
      <c r="C8246" t="s">
        <v>2024</v>
      </c>
      <c r="D8246">
        <v>2</v>
      </c>
      <c r="E8246" s="16">
        <v>71.680000000000007</v>
      </c>
      <c r="F8246" s="1">
        <v>44204</v>
      </c>
      <c r="G8246" t="s">
        <v>2004</v>
      </c>
      <c r="H8246">
        <v>2</v>
      </c>
      <c r="I8246" s="12">
        <f>Table16[[#This Row],[price]]*Table16[[#This Row],[quantity]]</f>
        <v>143.36000000000001</v>
      </c>
    </row>
    <row r="8247" spans="1:9" x14ac:dyDescent="0.3">
      <c r="A8247" t="s">
        <v>10264</v>
      </c>
      <c r="B8247" t="s">
        <v>1647</v>
      </c>
      <c r="C8247" t="s">
        <v>2008</v>
      </c>
      <c r="D8247">
        <v>3</v>
      </c>
      <c r="E8247" s="16">
        <v>15.69</v>
      </c>
      <c r="F8247" s="1">
        <v>44347</v>
      </c>
      <c r="G8247" t="s">
        <v>2004</v>
      </c>
      <c r="H8247">
        <v>5</v>
      </c>
      <c r="I8247" s="12">
        <f>Table16[[#This Row],[price]]*Table16[[#This Row],[quantity]]</f>
        <v>47.07</v>
      </c>
    </row>
    <row r="8248" spans="1:9" x14ac:dyDescent="0.3">
      <c r="A8248" t="s">
        <v>10262</v>
      </c>
      <c r="B8248" t="s">
        <v>1647</v>
      </c>
      <c r="C8248" t="s">
        <v>2001</v>
      </c>
      <c r="D8248">
        <v>3</v>
      </c>
      <c r="E8248" s="16">
        <v>900.24</v>
      </c>
      <c r="F8248" s="1">
        <v>44422</v>
      </c>
      <c r="G8248" t="s">
        <v>2027</v>
      </c>
      <c r="H8248">
        <v>3</v>
      </c>
      <c r="I8248" s="12">
        <f>Table16[[#This Row],[price]]*Table16[[#This Row],[quantity]]</f>
        <v>2700.7200000000003</v>
      </c>
    </row>
    <row r="8249" spans="1:9" x14ac:dyDescent="0.3">
      <c r="A8249" t="s">
        <v>10266</v>
      </c>
      <c r="B8249" t="s">
        <v>1647</v>
      </c>
      <c r="C8249" t="s">
        <v>2011</v>
      </c>
      <c r="D8249">
        <v>4</v>
      </c>
      <c r="E8249" s="16">
        <v>162.63999999999999</v>
      </c>
      <c r="F8249" s="1">
        <v>44581</v>
      </c>
      <c r="G8249" t="s">
        <v>2027</v>
      </c>
      <c r="H8249">
        <v>5</v>
      </c>
      <c r="I8249" s="12">
        <f>Table16[[#This Row],[price]]*Table16[[#This Row],[quantity]]</f>
        <v>650.55999999999995</v>
      </c>
    </row>
    <row r="8250" spans="1:9" x14ac:dyDescent="0.3">
      <c r="A8250" t="s">
        <v>10265</v>
      </c>
      <c r="B8250" t="s">
        <v>1647</v>
      </c>
      <c r="C8250" t="s">
        <v>2017</v>
      </c>
      <c r="D8250">
        <v>4</v>
      </c>
      <c r="E8250" s="16">
        <v>4200</v>
      </c>
      <c r="F8250" s="1">
        <v>44680</v>
      </c>
      <c r="G8250" t="s">
        <v>2064</v>
      </c>
      <c r="H8250">
        <v>4</v>
      </c>
      <c r="I8250" s="12">
        <f>Table16[[#This Row],[price]]*Table16[[#This Row],[quantity]]</f>
        <v>16800</v>
      </c>
    </row>
    <row r="8251" spans="1:9" x14ac:dyDescent="0.3">
      <c r="A8251" t="s">
        <v>10263</v>
      </c>
      <c r="B8251" t="s">
        <v>1647</v>
      </c>
      <c r="C8251" t="s">
        <v>2011</v>
      </c>
      <c r="D8251">
        <v>2</v>
      </c>
      <c r="E8251" s="16">
        <v>81.319999999999993</v>
      </c>
      <c r="F8251" s="1">
        <v>44796</v>
      </c>
      <c r="G8251" t="s">
        <v>2002</v>
      </c>
      <c r="H8251">
        <v>2</v>
      </c>
      <c r="I8251" s="12">
        <f>Table16[[#This Row],[price]]*Table16[[#This Row],[quantity]]</f>
        <v>162.63999999999999</v>
      </c>
    </row>
    <row r="8252" spans="1:9" x14ac:dyDescent="0.3">
      <c r="A8252" t="s">
        <v>10268</v>
      </c>
      <c r="B8252" t="s">
        <v>1647</v>
      </c>
      <c r="C8252" t="s">
        <v>2001</v>
      </c>
      <c r="D8252">
        <v>3</v>
      </c>
      <c r="E8252" s="16">
        <v>900.24</v>
      </c>
      <c r="F8252" s="1">
        <v>44806</v>
      </c>
      <c r="G8252" t="s">
        <v>2064</v>
      </c>
      <c r="H8252">
        <v>2</v>
      </c>
      <c r="I8252" s="12">
        <f>Table16[[#This Row],[price]]*Table16[[#This Row],[quantity]]</f>
        <v>2700.7200000000003</v>
      </c>
    </row>
    <row r="8253" spans="1:9" x14ac:dyDescent="0.3">
      <c r="A8253" t="s">
        <v>10271</v>
      </c>
      <c r="B8253" t="s">
        <v>1648</v>
      </c>
      <c r="C8253" t="s">
        <v>2006</v>
      </c>
      <c r="D8253">
        <v>3</v>
      </c>
      <c r="E8253" s="16">
        <v>45.45</v>
      </c>
      <c r="F8253" s="1">
        <v>44417</v>
      </c>
      <c r="G8253" t="s">
        <v>2027</v>
      </c>
      <c r="H8253">
        <v>2</v>
      </c>
      <c r="I8253" s="12">
        <f>Table16[[#This Row],[price]]*Table16[[#This Row],[quantity]]</f>
        <v>136.35000000000002</v>
      </c>
    </row>
    <row r="8254" spans="1:9" x14ac:dyDescent="0.3">
      <c r="A8254" t="s">
        <v>10270</v>
      </c>
      <c r="B8254" t="s">
        <v>1648</v>
      </c>
      <c r="C8254" t="s">
        <v>2001</v>
      </c>
      <c r="D8254">
        <v>1</v>
      </c>
      <c r="E8254" s="16">
        <v>300.08</v>
      </c>
      <c r="F8254" s="1">
        <v>44521</v>
      </c>
      <c r="G8254" t="s">
        <v>2058</v>
      </c>
      <c r="H8254">
        <v>4</v>
      </c>
      <c r="I8254" s="12">
        <f>Table16[[#This Row],[price]]*Table16[[#This Row],[quantity]]</f>
        <v>300.08</v>
      </c>
    </row>
    <row r="8255" spans="1:9" x14ac:dyDescent="0.3">
      <c r="A8255" t="s">
        <v>10269</v>
      </c>
      <c r="B8255" t="s">
        <v>1648</v>
      </c>
      <c r="C8255" t="s">
        <v>2024</v>
      </c>
      <c r="D8255">
        <v>2</v>
      </c>
      <c r="E8255" s="16">
        <v>71.680000000000007</v>
      </c>
      <c r="F8255" s="1">
        <v>44918</v>
      </c>
      <c r="G8255" t="s">
        <v>2027</v>
      </c>
      <c r="H8255">
        <v>4</v>
      </c>
      <c r="I8255" s="12">
        <f>Table16[[#This Row],[price]]*Table16[[#This Row],[quantity]]</f>
        <v>143.36000000000001</v>
      </c>
    </row>
    <row r="8256" spans="1:9" x14ac:dyDescent="0.3">
      <c r="A8256" t="s">
        <v>10272</v>
      </c>
      <c r="B8256" t="s">
        <v>1649</v>
      </c>
      <c r="C8256" t="s">
        <v>2001</v>
      </c>
      <c r="D8256">
        <v>3</v>
      </c>
      <c r="E8256" s="16">
        <v>900.24</v>
      </c>
      <c r="F8256" s="1">
        <v>44546</v>
      </c>
      <c r="G8256" t="s">
        <v>2027</v>
      </c>
      <c r="H8256">
        <v>3</v>
      </c>
      <c r="I8256" s="12">
        <f>Table16[[#This Row],[price]]*Table16[[#This Row],[quantity]]</f>
        <v>2700.7200000000003</v>
      </c>
    </row>
    <row r="8257" spans="1:9" x14ac:dyDescent="0.3">
      <c r="A8257" t="s">
        <v>10273</v>
      </c>
      <c r="B8257" t="s">
        <v>1649</v>
      </c>
      <c r="C8257" t="s">
        <v>2015</v>
      </c>
      <c r="D8257">
        <v>3</v>
      </c>
      <c r="E8257" s="16">
        <v>1800.51</v>
      </c>
      <c r="F8257" s="1">
        <v>44564</v>
      </c>
      <c r="G8257" t="s">
        <v>2002</v>
      </c>
      <c r="H8257">
        <v>1</v>
      </c>
      <c r="I8257" s="12">
        <f>Table16[[#This Row],[price]]*Table16[[#This Row],[quantity]]</f>
        <v>5401.53</v>
      </c>
    </row>
    <row r="8258" spans="1:9" x14ac:dyDescent="0.3">
      <c r="A8258" t="s">
        <v>10274</v>
      </c>
      <c r="B8258" t="s">
        <v>1649</v>
      </c>
      <c r="C8258" t="s">
        <v>2001</v>
      </c>
      <c r="D8258">
        <v>5</v>
      </c>
      <c r="E8258" s="16">
        <v>1500.4</v>
      </c>
      <c r="F8258" s="1">
        <v>44601</v>
      </c>
      <c r="G8258" t="s">
        <v>2027</v>
      </c>
      <c r="H8258">
        <v>2</v>
      </c>
      <c r="I8258" s="12">
        <f>Table16[[#This Row],[price]]*Table16[[#This Row],[quantity]]</f>
        <v>7502</v>
      </c>
    </row>
    <row r="8259" spans="1:9" x14ac:dyDescent="0.3">
      <c r="A8259" t="s">
        <v>10276</v>
      </c>
      <c r="B8259" t="s">
        <v>1649</v>
      </c>
      <c r="C8259" t="s">
        <v>2001</v>
      </c>
      <c r="D8259">
        <v>3</v>
      </c>
      <c r="E8259" s="16">
        <v>900.24</v>
      </c>
      <c r="F8259" s="1">
        <v>44740</v>
      </c>
      <c r="G8259" t="s">
        <v>2027</v>
      </c>
      <c r="H8259">
        <v>2</v>
      </c>
      <c r="I8259" s="12">
        <f>Table16[[#This Row],[price]]*Table16[[#This Row],[quantity]]</f>
        <v>2700.7200000000003</v>
      </c>
    </row>
    <row r="8260" spans="1:9" x14ac:dyDescent="0.3">
      <c r="A8260" t="s">
        <v>10275</v>
      </c>
      <c r="B8260" t="s">
        <v>1649</v>
      </c>
      <c r="C8260" t="s">
        <v>2001</v>
      </c>
      <c r="D8260">
        <v>5</v>
      </c>
      <c r="E8260" s="16">
        <v>1500.4</v>
      </c>
      <c r="F8260" s="1">
        <v>44934</v>
      </c>
      <c r="G8260" t="s">
        <v>2041</v>
      </c>
      <c r="H8260">
        <v>2</v>
      </c>
      <c r="I8260" s="12">
        <f>Table16[[#This Row],[price]]*Table16[[#This Row],[quantity]]</f>
        <v>7502</v>
      </c>
    </row>
    <row r="8261" spans="1:9" x14ac:dyDescent="0.3">
      <c r="A8261" t="s">
        <v>10279</v>
      </c>
      <c r="B8261" t="s">
        <v>1650</v>
      </c>
      <c r="C8261" t="s">
        <v>2011</v>
      </c>
      <c r="D8261">
        <v>2</v>
      </c>
      <c r="E8261" s="16">
        <v>81.319999999999993</v>
      </c>
      <c r="F8261" s="1">
        <v>44309</v>
      </c>
      <c r="G8261" t="s">
        <v>2002</v>
      </c>
      <c r="H8261">
        <v>4</v>
      </c>
      <c r="I8261" s="12">
        <f>Table16[[#This Row],[price]]*Table16[[#This Row],[quantity]]</f>
        <v>162.63999999999999</v>
      </c>
    </row>
    <row r="8262" spans="1:9" x14ac:dyDescent="0.3">
      <c r="A8262" t="s">
        <v>10277</v>
      </c>
      <c r="B8262" t="s">
        <v>1650</v>
      </c>
      <c r="C8262" t="s">
        <v>2015</v>
      </c>
      <c r="D8262">
        <v>2</v>
      </c>
      <c r="E8262" s="16">
        <v>1200.3399999999999</v>
      </c>
      <c r="F8262" s="1">
        <v>44820</v>
      </c>
      <c r="G8262" t="s">
        <v>2012</v>
      </c>
      <c r="H8262">
        <v>4</v>
      </c>
      <c r="I8262" s="12">
        <f>Table16[[#This Row],[price]]*Table16[[#This Row],[quantity]]</f>
        <v>2400.6799999999998</v>
      </c>
    </row>
    <row r="8263" spans="1:9" x14ac:dyDescent="0.3">
      <c r="A8263" t="s">
        <v>10278</v>
      </c>
      <c r="B8263" t="s">
        <v>1650</v>
      </c>
      <c r="C8263" t="s">
        <v>2015</v>
      </c>
      <c r="D8263">
        <v>3</v>
      </c>
      <c r="E8263" s="16">
        <v>1800.51</v>
      </c>
      <c r="F8263" s="1">
        <v>44915</v>
      </c>
      <c r="G8263" t="s">
        <v>2002</v>
      </c>
      <c r="H8263">
        <v>5</v>
      </c>
      <c r="I8263" s="12">
        <f>Table16[[#This Row],[price]]*Table16[[#This Row],[quantity]]</f>
        <v>5401.53</v>
      </c>
    </row>
    <row r="8264" spans="1:9" x14ac:dyDescent="0.3">
      <c r="A8264" t="s">
        <v>10281</v>
      </c>
      <c r="B8264" t="s">
        <v>1651</v>
      </c>
      <c r="C8264" t="s">
        <v>2008</v>
      </c>
      <c r="D8264">
        <v>5</v>
      </c>
      <c r="E8264" s="16">
        <v>26.15</v>
      </c>
      <c r="F8264" s="1">
        <v>44534</v>
      </c>
      <c r="G8264" t="s">
        <v>2004</v>
      </c>
      <c r="H8264">
        <v>5</v>
      </c>
      <c r="I8264" s="12">
        <f>Table16[[#This Row],[price]]*Table16[[#This Row],[quantity]]</f>
        <v>130.75</v>
      </c>
    </row>
    <row r="8265" spans="1:9" x14ac:dyDescent="0.3">
      <c r="A8265" t="s">
        <v>10282</v>
      </c>
      <c r="B8265" t="s">
        <v>1651</v>
      </c>
      <c r="C8265" t="s">
        <v>2011</v>
      </c>
      <c r="D8265">
        <v>3</v>
      </c>
      <c r="E8265" s="16">
        <v>121.98</v>
      </c>
      <c r="F8265" s="1">
        <v>44668</v>
      </c>
      <c r="G8265" t="s">
        <v>2004</v>
      </c>
      <c r="H8265">
        <v>1</v>
      </c>
      <c r="I8265" s="12">
        <f>Table16[[#This Row],[price]]*Table16[[#This Row],[quantity]]</f>
        <v>365.94</v>
      </c>
    </row>
    <row r="8266" spans="1:9" x14ac:dyDescent="0.3">
      <c r="A8266" t="s">
        <v>10280</v>
      </c>
      <c r="B8266" t="s">
        <v>1651</v>
      </c>
      <c r="C8266" t="s">
        <v>2001</v>
      </c>
      <c r="D8266">
        <v>2</v>
      </c>
      <c r="E8266" s="16">
        <v>600.16</v>
      </c>
      <c r="F8266" s="1">
        <v>44949</v>
      </c>
      <c r="G8266" t="s">
        <v>2027</v>
      </c>
      <c r="H8266">
        <v>5</v>
      </c>
      <c r="I8266" s="12">
        <f>Table16[[#This Row],[price]]*Table16[[#This Row],[quantity]]</f>
        <v>1200.32</v>
      </c>
    </row>
    <row r="8267" spans="1:9" x14ac:dyDescent="0.3">
      <c r="A8267" t="s">
        <v>10283</v>
      </c>
      <c r="B8267" t="s">
        <v>1651</v>
      </c>
      <c r="C8267" t="s">
        <v>2001</v>
      </c>
      <c r="D8267">
        <v>4</v>
      </c>
      <c r="E8267" s="16">
        <v>1200.32</v>
      </c>
      <c r="F8267" s="1">
        <v>44988</v>
      </c>
      <c r="G8267" t="s">
        <v>2012</v>
      </c>
      <c r="H8267">
        <v>3</v>
      </c>
      <c r="I8267" s="12">
        <f>Table16[[#This Row],[price]]*Table16[[#This Row],[quantity]]</f>
        <v>4801.28</v>
      </c>
    </row>
    <row r="8268" spans="1:9" x14ac:dyDescent="0.3">
      <c r="A8268" t="s">
        <v>10285</v>
      </c>
      <c r="B8268" t="s">
        <v>1652</v>
      </c>
      <c r="C8268" t="s">
        <v>2017</v>
      </c>
      <c r="D8268">
        <v>4</v>
      </c>
      <c r="E8268" s="16">
        <v>4200</v>
      </c>
      <c r="F8268" s="1">
        <v>44259</v>
      </c>
      <c r="G8268" t="s">
        <v>2058</v>
      </c>
      <c r="H8268">
        <v>5</v>
      </c>
      <c r="I8268" s="12">
        <f>Table16[[#This Row],[price]]*Table16[[#This Row],[quantity]]</f>
        <v>16800</v>
      </c>
    </row>
    <row r="8269" spans="1:9" x14ac:dyDescent="0.3">
      <c r="A8269" t="s">
        <v>10288</v>
      </c>
      <c r="B8269" t="s">
        <v>1652</v>
      </c>
      <c r="C8269" t="s">
        <v>2008</v>
      </c>
      <c r="D8269">
        <v>4</v>
      </c>
      <c r="E8269" s="16">
        <v>20.92</v>
      </c>
      <c r="F8269" s="1">
        <v>44259</v>
      </c>
      <c r="G8269" t="s">
        <v>2064</v>
      </c>
      <c r="H8269">
        <v>4</v>
      </c>
      <c r="I8269" s="12">
        <f>Table16[[#This Row],[price]]*Table16[[#This Row],[quantity]]</f>
        <v>83.68</v>
      </c>
    </row>
    <row r="8270" spans="1:9" x14ac:dyDescent="0.3">
      <c r="A8270" t="s">
        <v>10284</v>
      </c>
      <c r="B8270" t="s">
        <v>1652</v>
      </c>
      <c r="C8270" t="s">
        <v>2001</v>
      </c>
      <c r="D8270">
        <v>5</v>
      </c>
      <c r="E8270" s="16">
        <v>1500.4</v>
      </c>
      <c r="F8270" s="1">
        <v>44659</v>
      </c>
      <c r="G8270" t="s">
        <v>2020</v>
      </c>
      <c r="H8270">
        <v>3</v>
      </c>
      <c r="I8270" s="12">
        <f>Table16[[#This Row],[price]]*Table16[[#This Row],[quantity]]</f>
        <v>7502</v>
      </c>
    </row>
    <row r="8271" spans="1:9" x14ac:dyDescent="0.3">
      <c r="A8271" t="s">
        <v>10287</v>
      </c>
      <c r="B8271" t="s">
        <v>1652</v>
      </c>
      <c r="C8271" t="s">
        <v>2057</v>
      </c>
      <c r="D8271">
        <v>1</v>
      </c>
      <c r="E8271" s="16">
        <v>11.73</v>
      </c>
      <c r="F8271" s="1">
        <v>44816</v>
      </c>
      <c r="G8271" t="s">
        <v>2058</v>
      </c>
      <c r="H8271">
        <v>1</v>
      </c>
      <c r="I8271" s="12">
        <f>Table16[[#This Row],[price]]*Table16[[#This Row],[quantity]]</f>
        <v>11.73</v>
      </c>
    </row>
    <row r="8272" spans="1:9" x14ac:dyDescent="0.3">
      <c r="A8272" t="s">
        <v>10286</v>
      </c>
      <c r="B8272" t="s">
        <v>1652</v>
      </c>
      <c r="C8272" t="s">
        <v>2024</v>
      </c>
      <c r="D8272">
        <v>3</v>
      </c>
      <c r="E8272" s="16">
        <v>107.52</v>
      </c>
      <c r="F8272" s="1">
        <v>44941</v>
      </c>
      <c r="G8272" t="s">
        <v>2041</v>
      </c>
      <c r="H8272">
        <v>5</v>
      </c>
      <c r="I8272" s="12">
        <f>Table16[[#This Row],[price]]*Table16[[#This Row],[quantity]]</f>
        <v>322.56</v>
      </c>
    </row>
    <row r="8273" spans="1:9" x14ac:dyDescent="0.3">
      <c r="A8273" t="s">
        <v>10293</v>
      </c>
      <c r="B8273" t="s">
        <v>1653</v>
      </c>
      <c r="C8273" t="s">
        <v>2011</v>
      </c>
      <c r="D8273">
        <v>3</v>
      </c>
      <c r="E8273" s="16">
        <v>121.98</v>
      </c>
      <c r="F8273" s="1">
        <v>44414</v>
      </c>
      <c r="G8273" t="s">
        <v>2004</v>
      </c>
      <c r="H8273">
        <v>2</v>
      </c>
      <c r="I8273" s="12">
        <f>Table16[[#This Row],[price]]*Table16[[#This Row],[quantity]]</f>
        <v>365.94</v>
      </c>
    </row>
    <row r="8274" spans="1:9" x14ac:dyDescent="0.3">
      <c r="A8274" t="s">
        <v>10292</v>
      </c>
      <c r="B8274" t="s">
        <v>1653</v>
      </c>
      <c r="C8274" t="s">
        <v>2001</v>
      </c>
      <c r="D8274">
        <v>2</v>
      </c>
      <c r="E8274" s="16">
        <v>600.16</v>
      </c>
      <c r="F8274" s="1">
        <v>44519</v>
      </c>
      <c r="G8274" t="s">
        <v>2027</v>
      </c>
      <c r="H8274">
        <v>1</v>
      </c>
      <c r="I8274" s="12">
        <f>Table16[[#This Row],[price]]*Table16[[#This Row],[quantity]]</f>
        <v>1200.32</v>
      </c>
    </row>
    <row r="8275" spans="1:9" x14ac:dyDescent="0.3">
      <c r="A8275" t="s">
        <v>10291</v>
      </c>
      <c r="B8275" t="s">
        <v>1653</v>
      </c>
      <c r="C8275" t="s">
        <v>2015</v>
      </c>
      <c r="D8275">
        <v>4</v>
      </c>
      <c r="E8275" s="16">
        <v>2400.6799999999998</v>
      </c>
      <c r="F8275" s="1">
        <v>44530</v>
      </c>
      <c r="G8275" t="s">
        <v>2027</v>
      </c>
      <c r="H8275">
        <v>1</v>
      </c>
      <c r="I8275" s="12">
        <f>Table16[[#This Row],[price]]*Table16[[#This Row],[quantity]]</f>
        <v>9602.7199999999993</v>
      </c>
    </row>
    <row r="8276" spans="1:9" x14ac:dyDescent="0.3">
      <c r="A8276" t="s">
        <v>10290</v>
      </c>
      <c r="B8276" t="s">
        <v>1653</v>
      </c>
      <c r="C8276" t="s">
        <v>2001</v>
      </c>
      <c r="D8276">
        <v>3</v>
      </c>
      <c r="E8276" s="16">
        <v>900.24</v>
      </c>
      <c r="F8276" s="1">
        <v>44813</v>
      </c>
      <c r="G8276" t="s">
        <v>2027</v>
      </c>
      <c r="H8276">
        <v>1</v>
      </c>
      <c r="I8276" s="12">
        <f>Table16[[#This Row],[price]]*Table16[[#This Row],[quantity]]</f>
        <v>2700.7200000000003</v>
      </c>
    </row>
    <row r="8277" spans="1:9" x14ac:dyDescent="0.3">
      <c r="A8277" t="s">
        <v>10289</v>
      </c>
      <c r="B8277" t="s">
        <v>1653</v>
      </c>
      <c r="C8277" t="s">
        <v>2008</v>
      </c>
      <c r="D8277">
        <v>2</v>
      </c>
      <c r="E8277" s="16">
        <v>10.46</v>
      </c>
      <c r="F8277" s="1">
        <v>44863</v>
      </c>
      <c r="G8277" t="s">
        <v>2058</v>
      </c>
      <c r="H8277">
        <v>2</v>
      </c>
      <c r="I8277" s="12">
        <f>Table16[[#This Row],[price]]*Table16[[#This Row],[quantity]]</f>
        <v>20.92</v>
      </c>
    </row>
    <row r="8278" spans="1:9" x14ac:dyDescent="0.3">
      <c r="A8278" t="s">
        <v>10294</v>
      </c>
      <c r="B8278" t="s">
        <v>1653</v>
      </c>
      <c r="C8278" t="s">
        <v>2017</v>
      </c>
      <c r="D8278">
        <v>4</v>
      </c>
      <c r="E8278" s="16">
        <v>4200</v>
      </c>
      <c r="F8278" s="1">
        <v>44926</v>
      </c>
      <c r="G8278" t="s">
        <v>2020</v>
      </c>
      <c r="H8278">
        <v>4</v>
      </c>
      <c r="I8278" s="12">
        <f>Table16[[#This Row],[price]]*Table16[[#This Row],[quantity]]</f>
        <v>16800</v>
      </c>
    </row>
    <row r="8279" spans="1:9" x14ac:dyDescent="0.3">
      <c r="A8279" t="s">
        <v>10300</v>
      </c>
      <c r="B8279" t="s">
        <v>1654</v>
      </c>
      <c r="C8279" t="s">
        <v>2008</v>
      </c>
      <c r="D8279">
        <v>2</v>
      </c>
      <c r="E8279" s="16">
        <v>10.46</v>
      </c>
      <c r="F8279" s="1">
        <v>44209</v>
      </c>
      <c r="G8279" t="s">
        <v>2064</v>
      </c>
      <c r="H8279">
        <v>3</v>
      </c>
      <c r="I8279" s="12">
        <f>Table16[[#This Row],[price]]*Table16[[#This Row],[quantity]]</f>
        <v>20.92</v>
      </c>
    </row>
    <row r="8280" spans="1:9" x14ac:dyDescent="0.3">
      <c r="A8280" t="s">
        <v>10295</v>
      </c>
      <c r="B8280" t="s">
        <v>1654</v>
      </c>
      <c r="C8280" t="s">
        <v>2015</v>
      </c>
      <c r="D8280">
        <v>5</v>
      </c>
      <c r="E8280" s="16">
        <v>3000.85</v>
      </c>
      <c r="F8280" s="1">
        <v>44396</v>
      </c>
      <c r="G8280" t="s">
        <v>2027</v>
      </c>
      <c r="H8280">
        <v>5</v>
      </c>
      <c r="I8280" s="12">
        <f>Table16[[#This Row],[price]]*Table16[[#This Row],[quantity]]</f>
        <v>15004.25</v>
      </c>
    </row>
    <row r="8281" spans="1:9" x14ac:dyDescent="0.3">
      <c r="A8281" t="s">
        <v>10299</v>
      </c>
      <c r="B8281" t="s">
        <v>1654</v>
      </c>
      <c r="C8281" t="s">
        <v>2008</v>
      </c>
      <c r="D8281">
        <v>5</v>
      </c>
      <c r="E8281" s="16">
        <v>26.15</v>
      </c>
      <c r="F8281" s="1">
        <v>44414</v>
      </c>
      <c r="G8281" t="s">
        <v>2004</v>
      </c>
      <c r="H8281">
        <v>1</v>
      </c>
      <c r="I8281" s="12">
        <f>Table16[[#This Row],[price]]*Table16[[#This Row],[quantity]]</f>
        <v>130.75</v>
      </c>
    </row>
    <row r="8282" spans="1:9" x14ac:dyDescent="0.3">
      <c r="A8282" t="s">
        <v>10296</v>
      </c>
      <c r="B8282" t="s">
        <v>1654</v>
      </c>
      <c r="C8282" t="s">
        <v>2008</v>
      </c>
      <c r="D8282">
        <v>3</v>
      </c>
      <c r="E8282" s="16">
        <v>15.69</v>
      </c>
      <c r="F8282" s="1">
        <v>44420</v>
      </c>
      <c r="G8282" t="s">
        <v>2058</v>
      </c>
      <c r="H8282">
        <v>4</v>
      </c>
      <c r="I8282" s="12">
        <f>Table16[[#This Row],[price]]*Table16[[#This Row],[quantity]]</f>
        <v>47.07</v>
      </c>
    </row>
    <row r="8283" spans="1:9" x14ac:dyDescent="0.3">
      <c r="A8283" t="s">
        <v>10298</v>
      </c>
      <c r="B8283" t="s">
        <v>1654</v>
      </c>
      <c r="C8283" t="s">
        <v>2006</v>
      </c>
      <c r="D8283">
        <v>4</v>
      </c>
      <c r="E8283" s="16">
        <v>60.6</v>
      </c>
      <c r="F8283" s="1">
        <v>44917</v>
      </c>
      <c r="G8283" t="s">
        <v>2002</v>
      </c>
      <c r="H8283">
        <v>4</v>
      </c>
      <c r="I8283" s="12">
        <f>Table16[[#This Row],[price]]*Table16[[#This Row],[quantity]]</f>
        <v>242.4</v>
      </c>
    </row>
    <row r="8284" spans="1:9" x14ac:dyDescent="0.3">
      <c r="A8284" t="s">
        <v>10297</v>
      </c>
      <c r="B8284" t="s">
        <v>1654</v>
      </c>
      <c r="C8284" t="s">
        <v>2024</v>
      </c>
      <c r="D8284">
        <v>2</v>
      </c>
      <c r="E8284" s="16">
        <v>71.680000000000007</v>
      </c>
      <c r="F8284" s="1">
        <v>44927</v>
      </c>
      <c r="G8284" t="s">
        <v>2004</v>
      </c>
      <c r="H8284">
        <v>1</v>
      </c>
      <c r="I8284" s="12">
        <f>Table16[[#This Row],[price]]*Table16[[#This Row],[quantity]]</f>
        <v>143.36000000000001</v>
      </c>
    </row>
    <row r="8285" spans="1:9" x14ac:dyDescent="0.3">
      <c r="A8285" t="s">
        <v>10302</v>
      </c>
      <c r="B8285" t="s">
        <v>1655</v>
      </c>
      <c r="C8285" t="s">
        <v>2017</v>
      </c>
      <c r="D8285">
        <v>3</v>
      </c>
      <c r="E8285" s="16">
        <v>3150</v>
      </c>
      <c r="F8285" s="1">
        <v>44482</v>
      </c>
      <c r="G8285" t="s">
        <v>2002</v>
      </c>
      <c r="H8285">
        <v>3</v>
      </c>
      <c r="I8285" s="12">
        <f>Table16[[#This Row],[price]]*Table16[[#This Row],[quantity]]</f>
        <v>9450</v>
      </c>
    </row>
    <row r="8286" spans="1:9" x14ac:dyDescent="0.3">
      <c r="A8286" t="s">
        <v>10301</v>
      </c>
      <c r="B8286" t="s">
        <v>1655</v>
      </c>
      <c r="C8286" t="s">
        <v>2008</v>
      </c>
      <c r="D8286">
        <v>3</v>
      </c>
      <c r="E8286" s="16">
        <v>15.69</v>
      </c>
      <c r="F8286" s="1">
        <v>44818</v>
      </c>
      <c r="G8286" t="s">
        <v>2041</v>
      </c>
      <c r="H8286">
        <v>3</v>
      </c>
      <c r="I8286" s="12">
        <f>Table16[[#This Row],[price]]*Table16[[#This Row],[quantity]]</f>
        <v>47.07</v>
      </c>
    </row>
    <row r="8287" spans="1:9" x14ac:dyDescent="0.3">
      <c r="A8287" t="s">
        <v>10303</v>
      </c>
      <c r="B8287" t="s">
        <v>1655</v>
      </c>
      <c r="C8287" t="s">
        <v>2011</v>
      </c>
      <c r="D8287">
        <v>1</v>
      </c>
      <c r="E8287" s="16">
        <v>40.659999999999997</v>
      </c>
      <c r="F8287" s="1">
        <v>44888</v>
      </c>
      <c r="G8287" t="s">
        <v>2004</v>
      </c>
      <c r="H8287">
        <v>4</v>
      </c>
      <c r="I8287" s="12">
        <f>Table16[[#This Row],[price]]*Table16[[#This Row],[quantity]]</f>
        <v>40.659999999999997</v>
      </c>
    </row>
    <row r="8288" spans="1:9" x14ac:dyDescent="0.3">
      <c r="A8288" t="s">
        <v>10304</v>
      </c>
      <c r="B8288" t="s">
        <v>1655</v>
      </c>
      <c r="C8288" t="s">
        <v>2001</v>
      </c>
      <c r="D8288">
        <v>5</v>
      </c>
      <c r="E8288" s="16">
        <v>1500.4</v>
      </c>
      <c r="F8288" s="1">
        <v>44911</v>
      </c>
      <c r="G8288" t="s">
        <v>2020</v>
      </c>
      <c r="H8288">
        <v>1</v>
      </c>
      <c r="I8288" s="12">
        <f>Table16[[#This Row],[price]]*Table16[[#This Row],[quantity]]</f>
        <v>7502</v>
      </c>
    </row>
    <row r="8289" spans="1:9" x14ac:dyDescent="0.3">
      <c r="A8289" t="s">
        <v>10305</v>
      </c>
      <c r="B8289" t="s">
        <v>1656</v>
      </c>
      <c r="C8289" t="s">
        <v>2001</v>
      </c>
      <c r="D8289">
        <v>3</v>
      </c>
      <c r="E8289" s="16">
        <v>900.24</v>
      </c>
      <c r="F8289" s="1">
        <v>44336</v>
      </c>
      <c r="G8289" t="s">
        <v>2041</v>
      </c>
      <c r="H8289">
        <v>2</v>
      </c>
      <c r="I8289" s="12">
        <f>Table16[[#This Row],[price]]*Table16[[#This Row],[quantity]]</f>
        <v>2700.7200000000003</v>
      </c>
    </row>
    <row r="8290" spans="1:9" x14ac:dyDescent="0.3">
      <c r="A8290" t="s">
        <v>10307</v>
      </c>
      <c r="B8290" t="s">
        <v>1657</v>
      </c>
      <c r="C8290" t="s">
        <v>2017</v>
      </c>
      <c r="D8290">
        <v>3</v>
      </c>
      <c r="E8290" s="16">
        <v>3150</v>
      </c>
      <c r="F8290" s="1">
        <v>44236</v>
      </c>
      <c r="G8290" t="s">
        <v>2027</v>
      </c>
      <c r="H8290">
        <v>2</v>
      </c>
      <c r="I8290" s="12">
        <f>Table16[[#This Row],[price]]*Table16[[#This Row],[quantity]]</f>
        <v>9450</v>
      </c>
    </row>
    <row r="8291" spans="1:9" x14ac:dyDescent="0.3">
      <c r="A8291" t="s">
        <v>10309</v>
      </c>
      <c r="B8291" t="s">
        <v>1657</v>
      </c>
      <c r="C8291" t="s">
        <v>2011</v>
      </c>
      <c r="D8291">
        <v>3</v>
      </c>
      <c r="E8291" s="16">
        <v>121.98</v>
      </c>
      <c r="F8291" s="1">
        <v>44272</v>
      </c>
      <c r="G8291" t="s">
        <v>2020</v>
      </c>
      <c r="H8291">
        <v>5</v>
      </c>
      <c r="I8291" s="12">
        <f>Table16[[#This Row],[price]]*Table16[[#This Row],[quantity]]</f>
        <v>365.94</v>
      </c>
    </row>
    <row r="8292" spans="1:9" x14ac:dyDescent="0.3">
      <c r="A8292" t="s">
        <v>10308</v>
      </c>
      <c r="B8292" t="s">
        <v>1657</v>
      </c>
      <c r="C8292" t="s">
        <v>2011</v>
      </c>
      <c r="D8292">
        <v>1</v>
      </c>
      <c r="E8292" s="16">
        <v>40.659999999999997</v>
      </c>
      <c r="F8292" s="1">
        <v>44345</v>
      </c>
      <c r="G8292" t="s">
        <v>2020</v>
      </c>
      <c r="H8292">
        <v>2</v>
      </c>
      <c r="I8292" s="12">
        <f>Table16[[#This Row],[price]]*Table16[[#This Row],[quantity]]</f>
        <v>40.659999999999997</v>
      </c>
    </row>
    <row r="8293" spans="1:9" x14ac:dyDescent="0.3">
      <c r="A8293" t="s">
        <v>10306</v>
      </c>
      <c r="B8293" t="s">
        <v>1657</v>
      </c>
      <c r="C8293" t="s">
        <v>2006</v>
      </c>
      <c r="D8293">
        <v>2</v>
      </c>
      <c r="E8293" s="16">
        <v>30.3</v>
      </c>
      <c r="F8293" s="1">
        <v>44367</v>
      </c>
      <c r="G8293" t="s">
        <v>2002</v>
      </c>
      <c r="H8293">
        <v>4</v>
      </c>
      <c r="I8293" s="12">
        <f>Table16[[#This Row],[price]]*Table16[[#This Row],[quantity]]</f>
        <v>60.6</v>
      </c>
    </row>
    <row r="8294" spans="1:9" x14ac:dyDescent="0.3">
      <c r="A8294" t="s">
        <v>10310</v>
      </c>
      <c r="B8294" t="s">
        <v>1657</v>
      </c>
      <c r="C8294" t="s">
        <v>2017</v>
      </c>
      <c r="D8294">
        <v>2</v>
      </c>
      <c r="E8294" s="16">
        <v>2100</v>
      </c>
      <c r="F8294" s="1">
        <v>44772</v>
      </c>
      <c r="G8294" t="s">
        <v>2058</v>
      </c>
      <c r="H8294">
        <v>4</v>
      </c>
      <c r="I8294" s="12">
        <f>Table16[[#This Row],[price]]*Table16[[#This Row],[quantity]]</f>
        <v>4200</v>
      </c>
    </row>
    <row r="8295" spans="1:9" x14ac:dyDescent="0.3">
      <c r="A8295" t="s">
        <v>10311</v>
      </c>
      <c r="B8295" t="s">
        <v>1658</v>
      </c>
      <c r="C8295" t="s">
        <v>2015</v>
      </c>
      <c r="D8295">
        <v>3</v>
      </c>
      <c r="E8295" s="16">
        <v>1800.51</v>
      </c>
      <c r="F8295" s="1">
        <v>44638</v>
      </c>
      <c r="G8295" t="s">
        <v>2004</v>
      </c>
      <c r="H8295">
        <v>1</v>
      </c>
      <c r="I8295" s="12">
        <f>Table16[[#This Row],[price]]*Table16[[#This Row],[quantity]]</f>
        <v>5401.53</v>
      </c>
    </row>
    <row r="8296" spans="1:9" x14ac:dyDescent="0.3">
      <c r="A8296" t="s">
        <v>10312</v>
      </c>
      <c r="B8296" t="s">
        <v>1658</v>
      </c>
      <c r="C8296" t="s">
        <v>2001</v>
      </c>
      <c r="D8296">
        <v>4</v>
      </c>
      <c r="E8296" s="16">
        <v>1200.32</v>
      </c>
      <c r="F8296" s="1">
        <v>44690</v>
      </c>
      <c r="G8296" t="s">
        <v>2041</v>
      </c>
      <c r="H8296">
        <v>2</v>
      </c>
      <c r="I8296" s="12">
        <f>Table16[[#This Row],[price]]*Table16[[#This Row],[quantity]]</f>
        <v>4801.28</v>
      </c>
    </row>
    <row r="8297" spans="1:9" x14ac:dyDescent="0.3">
      <c r="A8297" t="s">
        <v>10317</v>
      </c>
      <c r="B8297" t="s">
        <v>1659</v>
      </c>
      <c r="C8297" t="s">
        <v>2024</v>
      </c>
      <c r="D8297">
        <v>2</v>
      </c>
      <c r="E8297" s="16">
        <v>71.680000000000007</v>
      </c>
      <c r="F8297" s="1">
        <v>44236</v>
      </c>
      <c r="G8297" t="s">
        <v>2027</v>
      </c>
      <c r="H8297">
        <v>2</v>
      </c>
      <c r="I8297" s="12">
        <f>Table16[[#This Row],[price]]*Table16[[#This Row],[quantity]]</f>
        <v>143.36000000000001</v>
      </c>
    </row>
    <row r="8298" spans="1:9" x14ac:dyDescent="0.3">
      <c r="A8298" t="s">
        <v>10315</v>
      </c>
      <c r="B8298" t="s">
        <v>1659</v>
      </c>
      <c r="C8298" t="s">
        <v>2024</v>
      </c>
      <c r="D8298">
        <v>2</v>
      </c>
      <c r="E8298" s="16">
        <v>71.680000000000007</v>
      </c>
      <c r="F8298" s="1">
        <v>44255</v>
      </c>
      <c r="G8298" t="s">
        <v>2027</v>
      </c>
      <c r="H8298">
        <v>4</v>
      </c>
      <c r="I8298" s="12">
        <f>Table16[[#This Row],[price]]*Table16[[#This Row],[quantity]]</f>
        <v>143.36000000000001</v>
      </c>
    </row>
    <row r="8299" spans="1:9" x14ac:dyDescent="0.3">
      <c r="A8299" t="s">
        <v>10319</v>
      </c>
      <c r="B8299" t="s">
        <v>1659</v>
      </c>
      <c r="C8299" t="s">
        <v>2008</v>
      </c>
      <c r="D8299">
        <v>3</v>
      </c>
      <c r="E8299" s="16">
        <v>15.69</v>
      </c>
      <c r="F8299" s="1">
        <v>44257</v>
      </c>
      <c r="G8299" t="s">
        <v>2018</v>
      </c>
      <c r="H8299">
        <v>2</v>
      </c>
      <c r="I8299" s="12">
        <f>Table16[[#This Row],[price]]*Table16[[#This Row],[quantity]]</f>
        <v>47.07</v>
      </c>
    </row>
    <row r="8300" spans="1:9" x14ac:dyDescent="0.3">
      <c r="A8300" t="s">
        <v>10313</v>
      </c>
      <c r="B8300" t="s">
        <v>1659</v>
      </c>
      <c r="C8300" t="s">
        <v>2001</v>
      </c>
      <c r="D8300">
        <v>1</v>
      </c>
      <c r="E8300" s="16">
        <v>300.08</v>
      </c>
      <c r="F8300" s="1">
        <v>44472</v>
      </c>
      <c r="G8300" t="s">
        <v>2027</v>
      </c>
      <c r="H8300">
        <v>5</v>
      </c>
      <c r="I8300" s="12">
        <f>Table16[[#This Row],[price]]*Table16[[#This Row],[quantity]]</f>
        <v>300.08</v>
      </c>
    </row>
    <row r="8301" spans="1:9" x14ac:dyDescent="0.3">
      <c r="A8301" t="s">
        <v>10318</v>
      </c>
      <c r="B8301" t="s">
        <v>1659</v>
      </c>
      <c r="C8301" t="s">
        <v>2008</v>
      </c>
      <c r="D8301">
        <v>1</v>
      </c>
      <c r="E8301" s="16">
        <v>5.23</v>
      </c>
      <c r="F8301" s="1">
        <v>44674</v>
      </c>
      <c r="G8301" t="s">
        <v>2027</v>
      </c>
      <c r="H8301">
        <v>4</v>
      </c>
      <c r="I8301" s="12">
        <f>Table16[[#This Row],[price]]*Table16[[#This Row],[quantity]]</f>
        <v>5.23</v>
      </c>
    </row>
    <row r="8302" spans="1:9" x14ac:dyDescent="0.3">
      <c r="A8302" t="s">
        <v>10314</v>
      </c>
      <c r="B8302" t="s">
        <v>1659</v>
      </c>
      <c r="C8302" t="s">
        <v>2008</v>
      </c>
      <c r="D8302">
        <v>1</v>
      </c>
      <c r="E8302" s="16">
        <v>5.23</v>
      </c>
      <c r="F8302" s="1">
        <v>44895</v>
      </c>
      <c r="G8302" t="s">
        <v>2002</v>
      </c>
      <c r="H8302">
        <v>2</v>
      </c>
      <c r="I8302" s="12">
        <f>Table16[[#This Row],[price]]*Table16[[#This Row],[quantity]]</f>
        <v>5.23</v>
      </c>
    </row>
    <row r="8303" spans="1:9" x14ac:dyDescent="0.3">
      <c r="A8303" t="s">
        <v>10316</v>
      </c>
      <c r="B8303" t="s">
        <v>1659</v>
      </c>
      <c r="C8303" t="s">
        <v>2008</v>
      </c>
      <c r="D8303">
        <v>3</v>
      </c>
      <c r="E8303" s="16">
        <v>15.69</v>
      </c>
      <c r="F8303" s="1">
        <v>44941</v>
      </c>
      <c r="G8303" t="s">
        <v>2004</v>
      </c>
      <c r="H8303">
        <v>5</v>
      </c>
      <c r="I8303" s="12">
        <f>Table16[[#This Row],[price]]*Table16[[#This Row],[quantity]]</f>
        <v>47.07</v>
      </c>
    </row>
    <row r="8304" spans="1:9" x14ac:dyDescent="0.3">
      <c r="A8304" t="s">
        <v>10325</v>
      </c>
      <c r="B8304" t="s">
        <v>1660</v>
      </c>
      <c r="C8304" t="s">
        <v>2057</v>
      </c>
      <c r="D8304">
        <v>4</v>
      </c>
      <c r="E8304" s="16">
        <v>46.92</v>
      </c>
      <c r="F8304" s="1">
        <v>44247</v>
      </c>
      <c r="G8304" t="s">
        <v>2009</v>
      </c>
      <c r="H8304">
        <v>1</v>
      </c>
      <c r="I8304" s="12">
        <f>Table16[[#This Row],[price]]*Table16[[#This Row],[quantity]]</f>
        <v>187.68</v>
      </c>
    </row>
    <row r="8305" spans="1:9" x14ac:dyDescent="0.3">
      <c r="A8305" t="s">
        <v>10324</v>
      </c>
      <c r="B8305" t="s">
        <v>1660</v>
      </c>
      <c r="C8305" t="s">
        <v>2024</v>
      </c>
      <c r="D8305">
        <v>4</v>
      </c>
      <c r="E8305" s="16">
        <v>143.36000000000001</v>
      </c>
      <c r="F8305" s="1">
        <v>44278</v>
      </c>
      <c r="G8305" t="s">
        <v>2020</v>
      </c>
      <c r="H8305">
        <v>2</v>
      </c>
      <c r="I8305" s="12">
        <f>Table16[[#This Row],[price]]*Table16[[#This Row],[quantity]]</f>
        <v>573.44000000000005</v>
      </c>
    </row>
    <row r="8306" spans="1:9" x14ac:dyDescent="0.3">
      <c r="A8306" t="s">
        <v>10323</v>
      </c>
      <c r="B8306" t="s">
        <v>1660</v>
      </c>
      <c r="C8306" t="s">
        <v>2008</v>
      </c>
      <c r="D8306">
        <v>2</v>
      </c>
      <c r="E8306" s="16">
        <v>10.46</v>
      </c>
      <c r="F8306" s="1">
        <v>44343</v>
      </c>
      <c r="G8306" t="s">
        <v>2004</v>
      </c>
      <c r="H8306">
        <v>2</v>
      </c>
      <c r="I8306" s="12">
        <f>Table16[[#This Row],[price]]*Table16[[#This Row],[quantity]]</f>
        <v>20.92</v>
      </c>
    </row>
    <row r="8307" spans="1:9" x14ac:dyDescent="0.3">
      <c r="A8307" t="s">
        <v>10327</v>
      </c>
      <c r="B8307" t="s">
        <v>1660</v>
      </c>
      <c r="C8307" t="s">
        <v>2008</v>
      </c>
      <c r="D8307">
        <v>5</v>
      </c>
      <c r="E8307" s="16">
        <v>26.15</v>
      </c>
      <c r="F8307" s="1">
        <v>44545</v>
      </c>
      <c r="G8307" t="s">
        <v>2002</v>
      </c>
      <c r="H8307">
        <v>2</v>
      </c>
      <c r="I8307" s="12">
        <f>Table16[[#This Row],[price]]*Table16[[#This Row],[quantity]]</f>
        <v>130.75</v>
      </c>
    </row>
    <row r="8308" spans="1:9" x14ac:dyDescent="0.3">
      <c r="A8308" t="s">
        <v>10320</v>
      </c>
      <c r="B8308" t="s">
        <v>1660</v>
      </c>
      <c r="C8308" t="s">
        <v>2001</v>
      </c>
      <c r="D8308">
        <v>1</v>
      </c>
      <c r="E8308" s="16">
        <v>300.08</v>
      </c>
      <c r="F8308" s="1">
        <v>44566</v>
      </c>
      <c r="G8308" t="s">
        <v>2027</v>
      </c>
      <c r="H8308">
        <v>4</v>
      </c>
      <c r="I8308" s="12">
        <f>Table16[[#This Row],[price]]*Table16[[#This Row],[quantity]]</f>
        <v>300.08</v>
      </c>
    </row>
    <row r="8309" spans="1:9" x14ac:dyDescent="0.3">
      <c r="A8309" t="s">
        <v>10322</v>
      </c>
      <c r="B8309" t="s">
        <v>1660</v>
      </c>
      <c r="C8309" t="s">
        <v>2008</v>
      </c>
      <c r="D8309">
        <v>3</v>
      </c>
      <c r="E8309" s="16">
        <v>15.69</v>
      </c>
      <c r="F8309" s="1">
        <v>44875</v>
      </c>
      <c r="G8309" t="s">
        <v>2002</v>
      </c>
      <c r="H8309">
        <v>4</v>
      </c>
      <c r="I8309" s="12">
        <f>Table16[[#This Row],[price]]*Table16[[#This Row],[quantity]]</f>
        <v>47.07</v>
      </c>
    </row>
    <row r="8310" spans="1:9" x14ac:dyDescent="0.3">
      <c r="A8310" t="s">
        <v>10321</v>
      </c>
      <c r="B8310" t="s">
        <v>1660</v>
      </c>
      <c r="C8310" t="s">
        <v>2011</v>
      </c>
      <c r="D8310">
        <v>1</v>
      </c>
      <c r="E8310" s="16">
        <v>40.659999999999997</v>
      </c>
      <c r="F8310" s="1">
        <v>44880</v>
      </c>
      <c r="G8310" t="s">
        <v>2027</v>
      </c>
      <c r="H8310">
        <v>1</v>
      </c>
      <c r="I8310" s="12">
        <f>Table16[[#This Row],[price]]*Table16[[#This Row],[quantity]]</f>
        <v>40.659999999999997</v>
      </c>
    </row>
    <row r="8311" spans="1:9" x14ac:dyDescent="0.3">
      <c r="A8311" t="s">
        <v>10326</v>
      </c>
      <c r="B8311" t="s">
        <v>1660</v>
      </c>
      <c r="C8311" t="s">
        <v>2017</v>
      </c>
      <c r="D8311">
        <v>2</v>
      </c>
      <c r="E8311" s="16">
        <v>2100</v>
      </c>
      <c r="F8311" s="1">
        <v>44882</v>
      </c>
      <c r="G8311" t="s">
        <v>2012</v>
      </c>
      <c r="H8311">
        <v>3</v>
      </c>
      <c r="I8311" s="12">
        <f>Table16[[#This Row],[price]]*Table16[[#This Row],[quantity]]</f>
        <v>4200</v>
      </c>
    </row>
    <row r="8312" spans="1:9" x14ac:dyDescent="0.3">
      <c r="A8312" t="s">
        <v>10328</v>
      </c>
      <c r="B8312" t="s">
        <v>1661</v>
      </c>
      <c r="C8312" t="s">
        <v>2001</v>
      </c>
      <c r="D8312">
        <v>2</v>
      </c>
      <c r="E8312" s="16">
        <v>600.16</v>
      </c>
      <c r="F8312" s="1">
        <v>44565</v>
      </c>
      <c r="G8312" t="s">
        <v>2018</v>
      </c>
      <c r="H8312">
        <v>3</v>
      </c>
      <c r="I8312" s="12">
        <f>Table16[[#This Row],[price]]*Table16[[#This Row],[quantity]]</f>
        <v>1200.32</v>
      </c>
    </row>
    <row r="8313" spans="1:9" x14ac:dyDescent="0.3">
      <c r="A8313" t="s">
        <v>10329</v>
      </c>
      <c r="B8313" t="s">
        <v>1661</v>
      </c>
      <c r="C8313" t="s">
        <v>2001</v>
      </c>
      <c r="D8313">
        <v>5</v>
      </c>
      <c r="E8313" s="16">
        <v>1500.4</v>
      </c>
      <c r="F8313" s="1">
        <v>44683</v>
      </c>
      <c r="G8313" t="s">
        <v>2018</v>
      </c>
      <c r="H8313">
        <v>1</v>
      </c>
      <c r="I8313" s="12">
        <f>Table16[[#This Row],[price]]*Table16[[#This Row],[quantity]]</f>
        <v>7502</v>
      </c>
    </row>
    <row r="8314" spans="1:9" x14ac:dyDescent="0.3">
      <c r="A8314" t="s">
        <v>10330</v>
      </c>
      <c r="B8314" t="s">
        <v>1661</v>
      </c>
      <c r="C8314" t="s">
        <v>2024</v>
      </c>
      <c r="D8314">
        <v>3</v>
      </c>
      <c r="E8314" s="16">
        <v>107.52</v>
      </c>
      <c r="F8314" s="1">
        <v>44831</v>
      </c>
      <c r="G8314" t="s">
        <v>2002</v>
      </c>
      <c r="H8314">
        <v>2</v>
      </c>
      <c r="I8314" s="12">
        <f>Table16[[#This Row],[price]]*Table16[[#This Row],[quantity]]</f>
        <v>322.56</v>
      </c>
    </row>
    <row r="8315" spans="1:9" x14ac:dyDescent="0.3">
      <c r="A8315" t="s">
        <v>10332</v>
      </c>
      <c r="B8315" t="s">
        <v>1662</v>
      </c>
      <c r="C8315" t="s">
        <v>2001</v>
      </c>
      <c r="D8315">
        <v>1</v>
      </c>
      <c r="E8315" s="16">
        <v>300.08</v>
      </c>
      <c r="F8315" s="1">
        <v>44311</v>
      </c>
      <c r="G8315" t="s">
        <v>2018</v>
      </c>
      <c r="H8315">
        <v>2</v>
      </c>
      <c r="I8315" s="12">
        <f>Table16[[#This Row],[price]]*Table16[[#This Row],[quantity]]</f>
        <v>300.08</v>
      </c>
    </row>
    <row r="8316" spans="1:9" x14ac:dyDescent="0.3">
      <c r="A8316" t="s">
        <v>10338</v>
      </c>
      <c r="B8316" t="s">
        <v>1662</v>
      </c>
      <c r="C8316" t="s">
        <v>2057</v>
      </c>
      <c r="D8316">
        <v>2</v>
      </c>
      <c r="E8316" s="16">
        <v>23.46</v>
      </c>
      <c r="F8316" s="1">
        <v>44320</v>
      </c>
      <c r="G8316" t="s">
        <v>2058</v>
      </c>
      <c r="H8316">
        <v>5</v>
      </c>
      <c r="I8316" s="12">
        <f>Table16[[#This Row],[price]]*Table16[[#This Row],[quantity]]</f>
        <v>46.92</v>
      </c>
    </row>
    <row r="8317" spans="1:9" x14ac:dyDescent="0.3">
      <c r="A8317" t="s">
        <v>10333</v>
      </c>
      <c r="B8317" t="s">
        <v>1662</v>
      </c>
      <c r="C8317" t="s">
        <v>2024</v>
      </c>
      <c r="D8317">
        <v>4</v>
      </c>
      <c r="E8317" s="16">
        <v>143.36000000000001</v>
      </c>
      <c r="F8317" s="1">
        <v>44398</v>
      </c>
      <c r="G8317" t="s">
        <v>2004</v>
      </c>
      <c r="H8317">
        <v>3</v>
      </c>
      <c r="I8317" s="12">
        <f>Table16[[#This Row],[price]]*Table16[[#This Row],[quantity]]</f>
        <v>573.44000000000005</v>
      </c>
    </row>
    <row r="8318" spans="1:9" x14ac:dyDescent="0.3">
      <c r="A8318" t="s">
        <v>10334</v>
      </c>
      <c r="B8318" t="s">
        <v>1662</v>
      </c>
      <c r="C8318" t="s">
        <v>2011</v>
      </c>
      <c r="D8318">
        <v>5</v>
      </c>
      <c r="E8318" s="16">
        <v>203.3</v>
      </c>
      <c r="F8318" s="1">
        <v>44647</v>
      </c>
      <c r="G8318" t="s">
        <v>2004</v>
      </c>
      <c r="H8318">
        <v>3</v>
      </c>
      <c r="I8318" s="12">
        <f>Table16[[#This Row],[price]]*Table16[[#This Row],[quantity]]</f>
        <v>1016.5</v>
      </c>
    </row>
    <row r="8319" spans="1:9" x14ac:dyDescent="0.3">
      <c r="A8319" t="s">
        <v>10331</v>
      </c>
      <c r="B8319" t="s">
        <v>1662</v>
      </c>
      <c r="C8319" t="s">
        <v>2015</v>
      </c>
      <c r="D8319">
        <v>4</v>
      </c>
      <c r="E8319" s="16">
        <v>2400.6799999999998</v>
      </c>
      <c r="F8319" s="1">
        <v>44673</v>
      </c>
      <c r="G8319" t="s">
        <v>2004</v>
      </c>
      <c r="H8319">
        <v>1</v>
      </c>
      <c r="I8319" s="12">
        <f>Table16[[#This Row],[price]]*Table16[[#This Row],[quantity]]</f>
        <v>9602.7199999999993</v>
      </c>
    </row>
    <row r="8320" spans="1:9" x14ac:dyDescent="0.3">
      <c r="A8320" t="s">
        <v>10336</v>
      </c>
      <c r="B8320" t="s">
        <v>1662</v>
      </c>
      <c r="C8320" t="s">
        <v>2015</v>
      </c>
      <c r="D8320">
        <v>4</v>
      </c>
      <c r="E8320" s="16">
        <v>2400.6799999999998</v>
      </c>
      <c r="F8320" s="1">
        <v>44686</v>
      </c>
      <c r="G8320" t="s">
        <v>2002</v>
      </c>
      <c r="H8320">
        <v>1</v>
      </c>
      <c r="I8320" s="12">
        <f>Table16[[#This Row],[price]]*Table16[[#This Row],[quantity]]</f>
        <v>9602.7199999999993</v>
      </c>
    </row>
    <row r="8321" spans="1:9" x14ac:dyDescent="0.3">
      <c r="A8321" t="s">
        <v>10337</v>
      </c>
      <c r="B8321" t="s">
        <v>1662</v>
      </c>
      <c r="C8321" t="s">
        <v>2011</v>
      </c>
      <c r="D8321">
        <v>5</v>
      </c>
      <c r="E8321" s="16">
        <v>203.3</v>
      </c>
      <c r="F8321" s="1">
        <v>44695</v>
      </c>
      <c r="G8321" t="s">
        <v>2020</v>
      </c>
      <c r="H8321">
        <v>2</v>
      </c>
      <c r="I8321" s="12">
        <f>Table16[[#This Row],[price]]*Table16[[#This Row],[quantity]]</f>
        <v>1016.5</v>
      </c>
    </row>
    <row r="8322" spans="1:9" x14ac:dyDescent="0.3">
      <c r="A8322" t="s">
        <v>10335</v>
      </c>
      <c r="B8322" t="s">
        <v>1662</v>
      </c>
      <c r="C8322" t="s">
        <v>2017</v>
      </c>
      <c r="D8322">
        <v>1</v>
      </c>
      <c r="E8322" s="16">
        <v>1050</v>
      </c>
      <c r="F8322" s="1">
        <v>44981</v>
      </c>
      <c r="G8322" t="s">
        <v>2002</v>
      </c>
      <c r="H8322">
        <v>2</v>
      </c>
      <c r="I8322" s="12">
        <f>Table16[[#This Row],[price]]*Table16[[#This Row],[quantity]]</f>
        <v>1050</v>
      </c>
    </row>
    <row r="8323" spans="1:9" x14ac:dyDescent="0.3">
      <c r="A8323" t="s">
        <v>10340</v>
      </c>
      <c r="B8323" t="s">
        <v>1663</v>
      </c>
      <c r="C8323" t="s">
        <v>2001</v>
      </c>
      <c r="D8323">
        <v>5</v>
      </c>
      <c r="E8323" s="16">
        <v>1500.4</v>
      </c>
      <c r="F8323" s="1">
        <v>44202</v>
      </c>
      <c r="G8323" t="s">
        <v>2027</v>
      </c>
      <c r="H8323">
        <v>3</v>
      </c>
      <c r="I8323" s="12">
        <f>Table16[[#This Row],[price]]*Table16[[#This Row],[quantity]]</f>
        <v>7502</v>
      </c>
    </row>
    <row r="8324" spans="1:9" x14ac:dyDescent="0.3">
      <c r="A8324" t="s">
        <v>10339</v>
      </c>
      <c r="B8324" t="s">
        <v>1663</v>
      </c>
      <c r="C8324" t="s">
        <v>2001</v>
      </c>
      <c r="D8324">
        <v>1</v>
      </c>
      <c r="E8324" s="16">
        <v>300.08</v>
      </c>
      <c r="F8324" s="1">
        <v>44798</v>
      </c>
      <c r="G8324" t="s">
        <v>2002</v>
      </c>
      <c r="H8324">
        <v>2</v>
      </c>
      <c r="I8324" s="12">
        <f>Table16[[#This Row],[price]]*Table16[[#This Row],[quantity]]</f>
        <v>300.08</v>
      </c>
    </row>
    <row r="8325" spans="1:9" x14ac:dyDescent="0.3">
      <c r="A8325" t="s">
        <v>10342</v>
      </c>
      <c r="B8325" t="s">
        <v>1664</v>
      </c>
      <c r="C8325" t="s">
        <v>2008</v>
      </c>
      <c r="D8325">
        <v>3</v>
      </c>
      <c r="E8325" s="16">
        <v>15.69</v>
      </c>
      <c r="F8325" s="1">
        <v>44589</v>
      </c>
      <c r="G8325" t="s">
        <v>2002</v>
      </c>
      <c r="H8325">
        <v>5</v>
      </c>
      <c r="I8325" s="12">
        <f>Table16[[#This Row],[price]]*Table16[[#This Row],[quantity]]</f>
        <v>47.07</v>
      </c>
    </row>
    <row r="8326" spans="1:9" x14ac:dyDescent="0.3">
      <c r="A8326" t="s">
        <v>10341</v>
      </c>
      <c r="B8326" t="s">
        <v>1664</v>
      </c>
      <c r="C8326" t="s">
        <v>2015</v>
      </c>
      <c r="D8326">
        <v>2</v>
      </c>
      <c r="E8326" s="16">
        <v>1200.3399999999999</v>
      </c>
      <c r="F8326" s="1">
        <v>44636</v>
      </c>
      <c r="G8326" t="s">
        <v>2012</v>
      </c>
      <c r="H8326">
        <v>5</v>
      </c>
      <c r="I8326" s="12">
        <f>Table16[[#This Row],[price]]*Table16[[#This Row],[quantity]]</f>
        <v>2400.6799999999998</v>
      </c>
    </row>
    <row r="8327" spans="1:9" x14ac:dyDescent="0.3">
      <c r="A8327" t="s">
        <v>10344</v>
      </c>
      <c r="B8327" t="s">
        <v>1665</v>
      </c>
      <c r="C8327" t="s">
        <v>2001</v>
      </c>
      <c r="D8327">
        <v>1</v>
      </c>
      <c r="E8327" s="16">
        <v>300.08</v>
      </c>
      <c r="F8327" s="1">
        <v>44324</v>
      </c>
      <c r="G8327" t="s">
        <v>2012</v>
      </c>
      <c r="H8327">
        <v>2</v>
      </c>
      <c r="I8327" s="12">
        <f>Table16[[#This Row],[price]]*Table16[[#This Row],[quantity]]</f>
        <v>300.08</v>
      </c>
    </row>
    <row r="8328" spans="1:9" x14ac:dyDescent="0.3">
      <c r="A8328" t="s">
        <v>10343</v>
      </c>
      <c r="B8328" t="s">
        <v>1665</v>
      </c>
      <c r="C8328" t="s">
        <v>2017</v>
      </c>
      <c r="D8328">
        <v>5</v>
      </c>
      <c r="E8328" s="16">
        <v>5250</v>
      </c>
      <c r="F8328" s="1">
        <v>44859</v>
      </c>
      <c r="G8328" t="s">
        <v>2018</v>
      </c>
      <c r="H8328">
        <v>5</v>
      </c>
      <c r="I8328" s="12">
        <f>Table16[[#This Row],[price]]*Table16[[#This Row],[quantity]]</f>
        <v>26250</v>
      </c>
    </row>
    <row r="8329" spans="1:9" x14ac:dyDescent="0.3">
      <c r="A8329" t="s">
        <v>10345</v>
      </c>
      <c r="B8329" t="s">
        <v>1665</v>
      </c>
      <c r="C8329" t="s">
        <v>2015</v>
      </c>
      <c r="D8329">
        <v>3</v>
      </c>
      <c r="E8329" s="16">
        <v>1800.51</v>
      </c>
      <c r="F8329" s="1">
        <v>44955</v>
      </c>
      <c r="G8329" t="s">
        <v>2041</v>
      </c>
      <c r="H8329">
        <v>1</v>
      </c>
      <c r="I8329" s="12">
        <f>Table16[[#This Row],[price]]*Table16[[#This Row],[quantity]]</f>
        <v>5401.53</v>
      </c>
    </row>
    <row r="8330" spans="1:9" x14ac:dyDescent="0.3">
      <c r="A8330" t="s">
        <v>10352</v>
      </c>
      <c r="B8330" t="s">
        <v>1666</v>
      </c>
      <c r="C8330" t="s">
        <v>2017</v>
      </c>
      <c r="D8330">
        <v>3</v>
      </c>
      <c r="E8330" s="16">
        <v>3150</v>
      </c>
      <c r="F8330" s="1">
        <v>44214</v>
      </c>
      <c r="G8330" t="s">
        <v>2004</v>
      </c>
      <c r="H8330">
        <v>1</v>
      </c>
      <c r="I8330" s="12">
        <f>Table16[[#This Row],[price]]*Table16[[#This Row],[quantity]]</f>
        <v>9450</v>
      </c>
    </row>
    <row r="8331" spans="1:9" x14ac:dyDescent="0.3">
      <c r="A8331" t="s">
        <v>10355</v>
      </c>
      <c r="B8331" t="s">
        <v>1666</v>
      </c>
      <c r="C8331" t="s">
        <v>2024</v>
      </c>
      <c r="D8331">
        <v>2</v>
      </c>
      <c r="E8331" s="16">
        <v>71.680000000000007</v>
      </c>
      <c r="F8331" s="1">
        <v>44248</v>
      </c>
      <c r="G8331" t="s">
        <v>2041</v>
      </c>
      <c r="H8331">
        <v>3</v>
      </c>
      <c r="I8331" s="12">
        <f>Table16[[#This Row],[price]]*Table16[[#This Row],[quantity]]</f>
        <v>143.36000000000001</v>
      </c>
    </row>
    <row r="8332" spans="1:9" x14ac:dyDescent="0.3">
      <c r="A8332" t="s">
        <v>10354</v>
      </c>
      <c r="B8332" t="s">
        <v>1666</v>
      </c>
      <c r="C8332" t="s">
        <v>2001</v>
      </c>
      <c r="D8332">
        <v>2</v>
      </c>
      <c r="E8332" s="16">
        <v>600.16</v>
      </c>
      <c r="F8332" s="1">
        <v>44308</v>
      </c>
      <c r="G8332" t="s">
        <v>2002</v>
      </c>
      <c r="H8332">
        <v>1</v>
      </c>
      <c r="I8332" s="12">
        <f>Table16[[#This Row],[price]]*Table16[[#This Row],[quantity]]</f>
        <v>1200.32</v>
      </c>
    </row>
    <row r="8333" spans="1:9" x14ac:dyDescent="0.3">
      <c r="A8333" t="s">
        <v>10353</v>
      </c>
      <c r="B8333" t="s">
        <v>1666</v>
      </c>
      <c r="C8333" t="s">
        <v>2001</v>
      </c>
      <c r="D8333">
        <v>5</v>
      </c>
      <c r="E8333" s="16">
        <v>1500.4</v>
      </c>
      <c r="F8333" s="1">
        <v>44317</v>
      </c>
      <c r="G8333" t="s">
        <v>2012</v>
      </c>
      <c r="H8333">
        <v>2</v>
      </c>
      <c r="I8333" s="12">
        <f>Table16[[#This Row],[price]]*Table16[[#This Row],[quantity]]</f>
        <v>7502</v>
      </c>
    </row>
    <row r="8334" spans="1:9" x14ac:dyDescent="0.3">
      <c r="A8334" t="s">
        <v>10356</v>
      </c>
      <c r="B8334" t="s">
        <v>1666</v>
      </c>
      <c r="C8334" t="s">
        <v>2001</v>
      </c>
      <c r="D8334">
        <v>5</v>
      </c>
      <c r="E8334" s="16">
        <v>1500.4</v>
      </c>
      <c r="F8334" s="1">
        <v>44363</v>
      </c>
      <c r="G8334" t="s">
        <v>2018</v>
      </c>
      <c r="H8334">
        <v>5</v>
      </c>
      <c r="I8334" s="12">
        <f>Table16[[#This Row],[price]]*Table16[[#This Row],[quantity]]</f>
        <v>7502</v>
      </c>
    </row>
    <row r="8335" spans="1:9" x14ac:dyDescent="0.3">
      <c r="A8335" t="s">
        <v>10348</v>
      </c>
      <c r="B8335" t="s">
        <v>1666</v>
      </c>
      <c r="C8335" t="s">
        <v>2001</v>
      </c>
      <c r="D8335">
        <v>3</v>
      </c>
      <c r="E8335" s="16">
        <v>900.24</v>
      </c>
      <c r="F8335" s="1">
        <v>44369</v>
      </c>
      <c r="G8335" t="s">
        <v>2002</v>
      </c>
      <c r="H8335">
        <v>3</v>
      </c>
      <c r="I8335" s="12">
        <f>Table16[[#This Row],[price]]*Table16[[#This Row],[quantity]]</f>
        <v>2700.7200000000003</v>
      </c>
    </row>
    <row r="8336" spans="1:9" x14ac:dyDescent="0.3">
      <c r="A8336" t="s">
        <v>10349</v>
      </c>
      <c r="B8336" t="s">
        <v>1666</v>
      </c>
      <c r="C8336" t="s">
        <v>2001</v>
      </c>
      <c r="D8336">
        <v>3</v>
      </c>
      <c r="E8336" s="16">
        <v>900.24</v>
      </c>
      <c r="F8336" s="1">
        <v>44495</v>
      </c>
      <c r="G8336" t="s">
        <v>2064</v>
      </c>
      <c r="H8336">
        <v>4</v>
      </c>
      <c r="I8336" s="12">
        <f>Table16[[#This Row],[price]]*Table16[[#This Row],[quantity]]</f>
        <v>2700.7200000000003</v>
      </c>
    </row>
    <row r="8337" spans="1:9" x14ac:dyDescent="0.3">
      <c r="A8337" t="s">
        <v>10350</v>
      </c>
      <c r="B8337" t="s">
        <v>1666</v>
      </c>
      <c r="C8337" t="s">
        <v>2024</v>
      </c>
      <c r="D8337">
        <v>5</v>
      </c>
      <c r="E8337" s="16">
        <v>179.2</v>
      </c>
      <c r="F8337" s="1">
        <v>44520</v>
      </c>
      <c r="G8337" t="s">
        <v>2002</v>
      </c>
      <c r="H8337">
        <v>2</v>
      </c>
      <c r="I8337" s="12">
        <f>Table16[[#This Row],[price]]*Table16[[#This Row],[quantity]]</f>
        <v>896</v>
      </c>
    </row>
    <row r="8338" spans="1:9" x14ac:dyDescent="0.3">
      <c r="A8338" t="s">
        <v>10346</v>
      </c>
      <c r="B8338" t="s">
        <v>1666</v>
      </c>
      <c r="C8338" t="s">
        <v>2011</v>
      </c>
      <c r="D8338">
        <v>3</v>
      </c>
      <c r="E8338" s="16">
        <v>121.98</v>
      </c>
      <c r="F8338" s="1">
        <v>44679</v>
      </c>
      <c r="G8338" t="s">
        <v>2004</v>
      </c>
      <c r="H8338">
        <v>4</v>
      </c>
      <c r="I8338" s="12">
        <f>Table16[[#This Row],[price]]*Table16[[#This Row],[quantity]]</f>
        <v>365.94</v>
      </c>
    </row>
    <row r="8339" spans="1:9" x14ac:dyDescent="0.3">
      <c r="A8339" t="s">
        <v>10347</v>
      </c>
      <c r="B8339" t="s">
        <v>1666</v>
      </c>
      <c r="C8339" t="s">
        <v>2001</v>
      </c>
      <c r="D8339">
        <v>5</v>
      </c>
      <c r="E8339" s="16">
        <v>1500.4</v>
      </c>
      <c r="F8339" s="1">
        <v>44869</v>
      </c>
      <c r="G8339" t="s">
        <v>2020</v>
      </c>
      <c r="H8339">
        <v>5</v>
      </c>
      <c r="I8339" s="12">
        <f>Table16[[#This Row],[price]]*Table16[[#This Row],[quantity]]</f>
        <v>7502</v>
      </c>
    </row>
    <row r="8340" spans="1:9" x14ac:dyDescent="0.3">
      <c r="A8340" t="s">
        <v>10351</v>
      </c>
      <c r="B8340" t="s">
        <v>1666</v>
      </c>
      <c r="C8340" t="s">
        <v>2015</v>
      </c>
      <c r="D8340">
        <v>2</v>
      </c>
      <c r="E8340" s="16">
        <v>1200.3399999999999</v>
      </c>
      <c r="F8340" s="1">
        <v>44948</v>
      </c>
      <c r="G8340" t="s">
        <v>2012</v>
      </c>
      <c r="H8340">
        <v>5</v>
      </c>
      <c r="I8340" s="12">
        <f>Table16[[#This Row],[price]]*Table16[[#This Row],[quantity]]</f>
        <v>2400.6799999999998</v>
      </c>
    </row>
    <row r="8341" spans="1:9" x14ac:dyDescent="0.3">
      <c r="A8341" t="s">
        <v>10357</v>
      </c>
      <c r="B8341" t="s">
        <v>1667</v>
      </c>
      <c r="C8341" t="s">
        <v>2024</v>
      </c>
      <c r="D8341">
        <v>3</v>
      </c>
      <c r="E8341" s="16">
        <v>107.52</v>
      </c>
      <c r="F8341" s="1">
        <v>44254</v>
      </c>
      <c r="G8341" t="s">
        <v>2027</v>
      </c>
      <c r="H8341">
        <v>4</v>
      </c>
      <c r="I8341" s="12">
        <f>Table16[[#This Row],[price]]*Table16[[#This Row],[quantity]]</f>
        <v>322.56</v>
      </c>
    </row>
    <row r="8342" spans="1:9" x14ac:dyDescent="0.3">
      <c r="A8342" t="s">
        <v>10358</v>
      </c>
      <c r="B8342" t="s">
        <v>1667</v>
      </c>
      <c r="C8342" t="s">
        <v>2001</v>
      </c>
      <c r="D8342">
        <v>4</v>
      </c>
      <c r="E8342" s="16">
        <v>1200.32</v>
      </c>
      <c r="F8342" s="1">
        <v>44308</v>
      </c>
      <c r="G8342" t="s">
        <v>2018</v>
      </c>
      <c r="H8342">
        <v>3</v>
      </c>
      <c r="I8342" s="12">
        <f>Table16[[#This Row],[price]]*Table16[[#This Row],[quantity]]</f>
        <v>4801.28</v>
      </c>
    </row>
    <row r="8343" spans="1:9" x14ac:dyDescent="0.3">
      <c r="A8343" t="s">
        <v>10359</v>
      </c>
      <c r="B8343" t="s">
        <v>1667</v>
      </c>
      <c r="C8343" t="s">
        <v>2024</v>
      </c>
      <c r="D8343">
        <v>4</v>
      </c>
      <c r="E8343" s="16">
        <v>143.36000000000001</v>
      </c>
      <c r="F8343" s="1">
        <v>44713</v>
      </c>
      <c r="G8343" t="s">
        <v>2002</v>
      </c>
      <c r="H8343">
        <v>2</v>
      </c>
      <c r="I8343" s="12">
        <f>Table16[[#This Row],[price]]*Table16[[#This Row],[quantity]]</f>
        <v>573.44000000000005</v>
      </c>
    </row>
    <row r="8344" spans="1:9" x14ac:dyDescent="0.3">
      <c r="A8344" t="s">
        <v>10360</v>
      </c>
      <c r="B8344" t="s">
        <v>1667</v>
      </c>
      <c r="C8344" t="s">
        <v>2015</v>
      </c>
      <c r="D8344">
        <v>3</v>
      </c>
      <c r="E8344" s="16">
        <v>1800.51</v>
      </c>
      <c r="F8344" s="1">
        <v>44791</v>
      </c>
      <c r="G8344" t="s">
        <v>2027</v>
      </c>
      <c r="H8344">
        <v>1</v>
      </c>
      <c r="I8344" s="12">
        <f>Table16[[#This Row],[price]]*Table16[[#This Row],[quantity]]</f>
        <v>5401.53</v>
      </c>
    </row>
    <row r="8345" spans="1:9" x14ac:dyDescent="0.3">
      <c r="A8345" t="s">
        <v>10364</v>
      </c>
      <c r="B8345" t="s">
        <v>1668</v>
      </c>
      <c r="C8345" t="s">
        <v>2001</v>
      </c>
      <c r="D8345">
        <v>5</v>
      </c>
      <c r="E8345" s="16">
        <v>1500.4</v>
      </c>
      <c r="F8345" s="1">
        <v>44270</v>
      </c>
      <c r="G8345" t="s">
        <v>2020</v>
      </c>
      <c r="H8345">
        <v>5</v>
      </c>
      <c r="I8345" s="12">
        <f>Table16[[#This Row],[price]]*Table16[[#This Row],[quantity]]</f>
        <v>7502</v>
      </c>
    </row>
    <row r="8346" spans="1:9" x14ac:dyDescent="0.3">
      <c r="A8346" t="s">
        <v>10361</v>
      </c>
      <c r="B8346" t="s">
        <v>1668</v>
      </c>
      <c r="C8346" t="s">
        <v>2008</v>
      </c>
      <c r="D8346">
        <v>3</v>
      </c>
      <c r="E8346" s="16">
        <v>15.69</v>
      </c>
      <c r="F8346" s="1">
        <v>44478</v>
      </c>
      <c r="G8346" t="s">
        <v>2004</v>
      </c>
      <c r="H8346">
        <v>5</v>
      </c>
      <c r="I8346" s="12">
        <f>Table16[[#This Row],[price]]*Table16[[#This Row],[quantity]]</f>
        <v>47.07</v>
      </c>
    </row>
    <row r="8347" spans="1:9" x14ac:dyDescent="0.3">
      <c r="A8347" t="s">
        <v>10362</v>
      </c>
      <c r="B8347" t="s">
        <v>1668</v>
      </c>
      <c r="C8347" t="s">
        <v>2008</v>
      </c>
      <c r="D8347">
        <v>3</v>
      </c>
      <c r="E8347" s="16">
        <v>15.69</v>
      </c>
      <c r="F8347" s="1">
        <v>44579</v>
      </c>
      <c r="G8347" t="s">
        <v>2018</v>
      </c>
      <c r="H8347">
        <v>1</v>
      </c>
      <c r="I8347" s="12">
        <f>Table16[[#This Row],[price]]*Table16[[#This Row],[quantity]]</f>
        <v>47.07</v>
      </c>
    </row>
    <row r="8348" spans="1:9" x14ac:dyDescent="0.3">
      <c r="A8348" t="s">
        <v>10363</v>
      </c>
      <c r="B8348" t="s">
        <v>1668</v>
      </c>
      <c r="C8348" t="s">
        <v>2008</v>
      </c>
      <c r="D8348">
        <v>3</v>
      </c>
      <c r="E8348" s="16">
        <v>15.69</v>
      </c>
      <c r="F8348" s="1">
        <v>44743</v>
      </c>
      <c r="G8348" t="s">
        <v>2018</v>
      </c>
      <c r="H8348">
        <v>3</v>
      </c>
      <c r="I8348" s="12">
        <f>Table16[[#This Row],[price]]*Table16[[#This Row],[quantity]]</f>
        <v>47.07</v>
      </c>
    </row>
    <row r="8349" spans="1:9" x14ac:dyDescent="0.3">
      <c r="A8349" t="s">
        <v>10367</v>
      </c>
      <c r="B8349" t="s">
        <v>1669</v>
      </c>
      <c r="C8349" t="s">
        <v>2001</v>
      </c>
      <c r="D8349">
        <v>2</v>
      </c>
      <c r="E8349" s="16">
        <v>600.16</v>
      </c>
      <c r="F8349" s="1">
        <v>44454</v>
      </c>
      <c r="G8349" t="s">
        <v>2064</v>
      </c>
      <c r="H8349">
        <v>3</v>
      </c>
      <c r="I8349" s="12">
        <f>Table16[[#This Row],[price]]*Table16[[#This Row],[quantity]]</f>
        <v>1200.32</v>
      </c>
    </row>
    <row r="8350" spans="1:9" x14ac:dyDescent="0.3">
      <c r="A8350" t="s">
        <v>10366</v>
      </c>
      <c r="B8350" t="s">
        <v>1669</v>
      </c>
      <c r="C8350" t="s">
        <v>2011</v>
      </c>
      <c r="D8350">
        <v>3</v>
      </c>
      <c r="E8350" s="16">
        <v>121.98</v>
      </c>
      <c r="F8350" s="1">
        <v>44667</v>
      </c>
      <c r="G8350" t="s">
        <v>2064</v>
      </c>
      <c r="H8350">
        <v>5</v>
      </c>
      <c r="I8350" s="12">
        <f>Table16[[#This Row],[price]]*Table16[[#This Row],[quantity]]</f>
        <v>365.94</v>
      </c>
    </row>
    <row r="8351" spans="1:9" x14ac:dyDescent="0.3">
      <c r="A8351" t="s">
        <v>10369</v>
      </c>
      <c r="B8351" t="s">
        <v>1669</v>
      </c>
      <c r="C8351" t="s">
        <v>2017</v>
      </c>
      <c r="D8351">
        <v>2</v>
      </c>
      <c r="E8351" s="16">
        <v>2100</v>
      </c>
      <c r="F8351" s="1">
        <v>44829</v>
      </c>
      <c r="G8351" t="s">
        <v>2012</v>
      </c>
      <c r="H8351">
        <v>1</v>
      </c>
      <c r="I8351" s="12">
        <f>Table16[[#This Row],[price]]*Table16[[#This Row],[quantity]]</f>
        <v>4200</v>
      </c>
    </row>
    <row r="8352" spans="1:9" x14ac:dyDescent="0.3">
      <c r="A8352" t="s">
        <v>10368</v>
      </c>
      <c r="B8352" t="s">
        <v>1669</v>
      </c>
      <c r="C8352" t="s">
        <v>2017</v>
      </c>
      <c r="D8352">
        <v>4</v>
      </c>
      <c r="E8352" s="16">
        <v>4200</v>
      </c>
      <c r="F8352" s="1">
        <v>44934</v>
      </c>
      <c r="G8352" t="s">
        <v>2004</v>
      </c>
      <c r="H8352">
        <v>2</v>
      </c>
      <c r="I8352" s="12">
        <f>Table16[[#This Row],[price]]*Table16[[#This Row],[quantity]]</f>
        <v>16800</v>
      </c>
    </row>
    <row r="8353" spans="1:9" x14ac:dyDescent="0.3">
      <c r="A8353" t="s">
        <v>10365</v>
      </c>
      <c r="B8353" t="s">
        <v>1669</v>
      </c>
      <c r="C8353" t="s">
        <v>2024</v>
      </c>
      <c r="D8353">
        <v>4</v>
      </c>
      <c r="E8353" s="16">
        <v>143.36000000000001</v>
      </c>
      <c r="F8353" s="1">
        <v>44948</v>
      </c>
      <c r="G8353" t="s">
        <v>2002</v>
      </c>
      <c r="H8353">
        <v>2</v>
      </c>
      <c r="I8353" s="12">
        <f>Table16[[#This Row],[price]]*Table16[[#This Row],[quantity]]</f>
        <v>573.44000000000005</v>
      </c>
    </row>
    <row r="8354" spans="1:9" x14ac:dyDescent="0.3">
      <c r="A8354" t="s">
        <v>10370</v>
      </c>
      <c r="B8354" t="s">
        <v>1670</v>
      </c>
      <c r="C8354" t="s">
        <v>2001</v>
      </c>
      <c r="D8354">
        <v>4</v>
      </c>
      <c r="E8354" s="16">
        <v>1200.32</v>
      </c>
      <c r="F8354" s="1">
        <v>44239</v>
      </c>
      <c r="G8354" t="s">
        <v>2004</v>
      </c>
      <c r="H8354">
        <v>1</v>
      </c>
      <c r="I8354" s="12">
        <f>Table16[[#This Row],[price]]*Table16[[#This Row],[quantity]]</f>
        <v>4801.28</v>
      </c>
    </row>
    <row r="8355" spans="1:9" x14ac:dyDescent="0.3">
      <c r="A8355" t="s">
        <v>10372</v>
      </c>
      <c r="B8355" t="s">
        <v>1670</v>
      </c>
      <c r="C8355" t="s">
        <v>2008</v>
      </c>
      <c r="D8355">
        <v>2</v>
      </c>
      <c r="E8355" s="16">
        <v>10.46</v>
      </c>
      <c r="F8355" s="1">
        <v>44245</v>
      </c>
      <c r="G8355" t="s">
        <v>2004</v>
      </c>
      <c r="H8355">
        <v>5</v>
      </c>
      <c r="I8355" s="12">
        <f>Table16[[#This Row],[price]]*Table16[[#This Row],[quantity]]</f>
        <v>20.92</v>
      </c>
    </row>
    <row r="8356" spans="1:9" x14ac:dyDescent="0.3">
      <c r="A8356" t="s">
        <v>10375</v>
      </c>
      <c r="B8356" t="s">
        <v>1670</v>
      </c>
      <c r="C8356" t="s">
        <v>2011</v>
      </c>
      <c r="D8356">
        <v>3</v>
      </c>
      <c r="E8356" s="16">
        <v>121.98</v>
      </c>
      <c r="F8356" s="1">
        <v>44726</v>
      </c>
      <c r="G8356" t="s">
        <v>2058</v>
      </c>
      <c r="H8356">
        <v>4</v>
      </c>
      <c r="I8356" s="12">
        <f>Table16[[#This Row],[price]]*Table16[[#This Row],[quantity]]</f>
        <v>365.94</v>
      </c>
    </row>
    <row r="8357" spans="1:9" x14ac:dyDescent="0.3">
      <c r="A8357" t="s">
        <v>10373</v>
      </c>
      <c r="B8357" t="s">
        <v>1670</v>
      </c>
      <c r="C8357" t="s">
        <v>2001</v>
      </c>
      <c r="D8357">
        <v>2</v>
      </c>
      <c r="E8357" s="16">
        <v>600.16</v>
      </c>
      <c r="F8357" s="1">
        <v>44747</v>
      </c>
      <c r="G8357" t="s">
        <v>2020</v>
      </c>
      <c r="H8357">
        <v>5</v>
      </c>
      <c r="I8357" s="12">
        <f>Table16[[#This Row],[price]]*Table16[[#This Row],[quantity]]</f>
        <v>1200.32</v>
      </c>
    </row>
    <row r="8358" spans="1:9" x14ac:dyDescent="0.3">
      <c r="A8358" t="s">
        <v>10374</v>
      </c>
      <c r="B8358" t="s">
        <v>1670</v>
      </c>
      <c r="C8358" t="s">
        <v>2024</v>
      </c>
      <c r="D8358">
        <v>1</v>
      </c>
      <c r="E8358" s="16">
        <v>35.840000000000003</v>
      </c>
      <c r="F8358" s="1">
        <v>44800</v>
      </c>
      <c r="G8358" t="s">
        <v>2004</v>
      </c>
      <c r="H8358">
        <v>2</v>
      </c>
      <c r="I8358" s="12">
        <f>Table16[[#This Row],[price]]*Table16[[#This Row],[quantity]]</f>
        <v>35.840000000000003</v>
      </c>
    </row>
    <row r="8359" spans="1:9" x14ac:dyDescent="0.3">
      <c r="A8359" t="s">
        <v>10371</v>
      </c>
      <c r="B8359" t="s">
        <v>1670</v>
      </c>
      <c r="C8359" t="s">
        <v>2008</v>
      </c>
      <c r="D8359">
        <v>1</v>
      </c>
      <c r="E8359" s="16">
        <v>5.23</v>
      </c>
      <c r="F8359" s="1">
        <v>44801</v>
      </c>
      <c r="G8359" t="s">
        <v>2064</v>
      </c>
      <c r="H8359">
        <v>4</v>
      </c>
      <c r="I8359" s="12">
        <f>Table16[[#This Row],[price]]*Table16[[#This Row],[quantity]]</f>
        <v>5.23</v>
      </c>
    </row>
    <row r="8360" spans="1:9" x14ac:dyDescent="0.3">
      <c r="A8360" t="s">
        <v>10376</v>
      </c>
      <c r="B8360" t="s">
        <v>1670</v>
      </c>
      <c r="C8360" t="s">
        <v>2057</v>
      </c>
      <c r="D8360">
        <v>1</v>
      </c>
      <c r="E8360" s="16">
        <v>11.73</v>
      </c>
      <c r="F8360" s="1">
        <v>44851</v>
      </c>
      <c r="G8360" t="s">
        <v>2002</v>
      </c>
      <c r="H8360">
        <v>4</v>
      </c>
      <c r="I8360" s="12">
        <f>Table16[[#This Row],[price]]*Table16[[#This Row],[quantity]]</f>
        <v>11.73</v>
      </c>
    </row>
    <row r="8361" spans="1:9" x14ac:dyDescent="0.3">
      <c r="A8361" t="s">
        <v>10382</v>
      </c>
      <c r="B8361" t="s">
        <v>1671</v>
      </c>
      <c r="C8361" t="s">
        <v>2024</v>
      </c>
      <c r="D8361">
        <v>1</v>
      </c>
      <c r="E8361" s="16">
        <v>35.840000000000003</v>
      </c>
      <c r="F8361" s="1">
        <v>44222</v>
      </c>
      <c r="G8361" t="s">
        <v>2058</v>
      </c>
      <c r="H8361">
        <v>2</v>
      </c>
      <c r="I8361" s="12">
        <f>Table16[[#This Row],[price]]*Table16[[#This Row],[quantity]]</f>
        <v>35.840000000000003</v>
      </c>
    </row>
    <row r="8362" spans="1:9" x14ac:dyDescent="0.3">
      <c r="A8362" t="s">
        <v>10378</v>
      </c>
      <c r="B8362" t="s">
        <v>1671</v>
      </c>
      <c r="C8362" t="s">
        <v>2015</v>
      </c>
      <c r="D8362">
        <v>4</v>
      </c>
      <c r="E8362" s="16">
        <v>2400.6799999999998</v>
      </c>
      <c r="F8362" s="1">
        <v>44263</v>
      </c>
      <c r="G8362" t="s">
        <v>2009</v>
      </c>
      <c r="H8362">
        <v>3</v>
      </c>
      <c r="I8362" s="12">
        <f>Table16[[#This Row],[price]]*Table16[[#This Row],[quantity]]</f>
        <v>9602.7199999999993</v>
      </c>
    </row>
    <row r="8363" spans="1:9" x14ac:dyDescent="0.3">
      <c r="A8363" t="s">
        <v>10377</v>
      </c>
      <c r="B8363" t="s">
        <v>1671</v>
      </c>
      <c r="C8363" t="s">
        <v>2015</v>
      </c>
      <c r="D8363">
        <v>2</v>
      </c>
      <c r="E8363" s="16">
        <v>1200.3399999999999</v>
      </c>
      <c r="F8363" s="1">
        <v>44282</v>
      </c>
      <c r="G8363" t="s">
        <v>2064</v>
      </c>
      <c r="H8363">
        <v>1</v>
      </c>
      <c r="I8363" s="12">
        <f>Table16[[#This Row],[price]]*Table16[[#This Row],[quantity]]</f>
        <v>2400.6799999999998</v>
      </c>
    </row>
    <row r="8364" spans="1:9" x14ac:dyDescent="0.3">
      <c r="A8364" t="s">
        <v>10381</v>
      </c>
      <c r="B8364" t="s">
        <v>1671</v>
      </c>
      <c r="C8364" t="s">
        <v>2017</v>
      </c>
      <c r="D8364">
        <v>5</v>
      </c>
      <c r="E8364" s="16">
        <v>5250</v>
      </c>
      <c r="F8364" s="1">
        <v>44398</v>
      </c>
      <c r="G8364" t="s">
        <v>2064</v>
      </c>
      <c r="H8364">
        <v>3</v>
      </c>
      <c r="I8364" s="12">
        <f>Table16[[#This Row],[price]]*Table16[[#This Row],[quantity]]</f>
        <v>26250</v>
      </c>
    </row>
    <row r="8365" spans="1:9" x14ac:dyDescent="0.3">
      <c r="A8365" t="s">
        <v>10379</v>
      </c>
      <c r="B8365" t="s">
        <v>1671</v>
      </c>
      <c r="C8365" t="s">
        <v>2008</v>
      </c>
      <c r="D8365">
        <v>2</v>
      </c>
      <c r="E8365" s="16">
        <v>10.46</v>
      </c>
      <c r="F8365" s="1">
        <v>44465</v>
      </c>
      <c r="G8365" t="s">
        <v>2002</v>
      </c>
      <c r="H8365">
        <v>4</v>
      </c>
      <c r="I8365" s="12">
        <f>Table16[[#This Row],[price]]*Table16[[#This Row],[quantity]]</f>
        <v>20.92</v>
      </c>
    </row>
    <row r="8366" spans="1:9" x14ac:dyDescent="0.3">
      <c r="A8366" t="s">
        <v>10383</v>
      </c>
      <c r="B8366" t="s">
        <v>1671</v>
      </c>
      <c r="C8366" t="s">
        <v>2024</v>
      </c>
      <c r="D8366">
        <v>3</v>
      </c>
      <c r="E8366" s="16">
        <v>107.52</v>
      </c>
      <c r="F8366" s="1">
        <v>44742</v>
      </c>
      <c r="G8366" t="s">
        <v>2004</v>
      </c>
      <c r="H8366">
        <v>3</v>
      </c>
      <c r="I8366" s="12">
        <f>Table16[[#This Row],[price]]*Table16[[#This Row],[quantity]]</f>
        <v>322.56</v>
      </c>
    </row>
    <row r="8367" spans="1:9" x14ac:dyDescent="0.3">
      <c r="A8367" t="s">
        <v>10380</v>
      </c>
      <c r="B8367" t="s">
        <v>1671</v>
      </c>
      <c r="C8367" t="s">
        <v>2024</v>
      </c>
      <c r="D8367">
        <v>4</v>
      </c>
      <c r="E8367" s="16">
        <v>143.36000000000001</v>
      </c>
      <c r="F8367" s="1">
        <v>44960</v>
      </c>
      <c r="G8367" t="s">
        <v>2002</v>
      </c>
      <c r="H8367">
        <v>1</v>
      </c>
      <c r="I8367" s="12">
        <f>Table16[[#This Row],[price]]*Table16[[#This Row],[quantity]]</f>
        <v>573.44000000000005</v>
      </c>
    </row>
    <row r="8368" spans="1:9" x14ac:dyDescent="0.3">
      <c r="A8368" t="s">
        <v>10386</v>
      </c>
      <c r="B8368" t="s">
        <v>1672</v>
      </c>
      <c r="C8368" t="s">
        <v>2017</v>
      </c>
      <c r="D8368">
        <v>4</v>
      </c>
      <c r="E8368" s="16">
        <v>4200</v>
      </c>
      <c r="F8368" s="1">
        <v>44235</v>
      </c>
      <c r="G8368" t="s">
        <v>2012</v>
      </c>
      <c r="H8368">
        <v>5</v>
      </c>
      <c r="I8368" s="12">
        <f>Table16[[#This Row],[price]]*Table16[[#This Row],[quantity]]</f>
        <v>16800</v>
      </c>
    </row>
    <row r="8369" spans="1:9" x14ac:dyDescent="0.3">
      <c r="A8369" t="s">
        <v>10384</v>
      </c>
      <c r="B8369" t="s">
        <v>1672</v>
      </c>
      <c r="C8369" t="s">
        <v>2006</v>
      </c>
      <c r="D8369">
        <v>1</v>
      </c>
      <c r="E8369" s="16">
        <v>15.15</v>
      </c>
      <c r="F8369" s="1">
        <v>44456</v>
      </c>
      <c r="G8369" t="s">
        <v>2064</v>
      </c>
      <c r="H8369">
        <v>2</v>
      </c>
      <c r="I8369" s="12">
        <f>Table16[[#This Row],[price]]*Table16[[#This Row],[quantity]]</f>
        <v>15.15</v>
      </c>
    </row>
    <row r="8370" spans="1:9" x14ac:dyDescent="0.3">
      <c r="A8370" t="s">
        <v>10387</v>
      </c>
      <c r="B8370" t="s">
        <v>1672</v>
      </c>
      <c r="C8370" t="s">
        <v>2001</v>
      </c>
      <c r="D8370">
        <v>3</v>
      </c>
      <c r="E8370" s="16">
        <v>900.24</v>
      </c>
      <c r="F8370" s="1">
        <v>44615</v>
      </c>
      <c r="G8370" t="s">
        <v>2002</v>
      </c>
      <c r="H8370">
        <v>5</v>
      </c>
      <c r="I8370" s="12">
        <f>Table16[[#This Row],[price]]*Table16[[#This Row],[quantity]]</f>
        <v>2700.7200000000003</v>
      </c>
    </row>
    <row r="8371" spans="1:9" x14ac:dyDescent="0.3">
      <c r="A8371" t="s">
        <v>10385</v>
      </c>
      <c r="B8371" t="s">
        <v>1672</v>
      </c>
      <c r="C8371" t="s">
        <v>2001</v>
      </c>
      <c r="D8371">
        <v>1</v>
      </c>
      <c r="E8371" s="16">
        <v>300.08</v>
      </c>
      <c r="F8371" s="1">
        <v>44777</v>
      </c>
      <c r="G8371" t="s">
        <v>2064</v>
      </c>
      <c r="H8371">
        <v>1</v>
      </c>
      <c r="I8371" s="12">
        <f>Table16[[#This Row],[price]]*Table16[[#This Row],[quantity]]</f>
        <v>300.08</v>
      </c>
    </row>
    <row r="8372" spans="1:9" x14ac:dyDescent="0.3">
      <c r="A8372" t="s">
        <v>10388</v>
      </c>
      <c r="B8372" t="s">
        <v>1673</v>
      </c>
      <c r="C8372" t="s">
        <v>2015</v>
      </c>
      <c r="D8372">
        <v>3</v>
      </c>
      <c r="E8372" s="16">
        <v>1800.51</v>
      </c>
      <c r="F8372" s="1">
        <v>44459</v>
      </c>
      <c r="G8372" t="s">
        <v>2058</v>
      </c>
      <c r="H8372">
        <v>2</v>
      </c>
      <c r="I8372" s="12">
        <f>Table16[[#This Row],[price]]*Table16[[#This Row],[quantity]]</f>
        <v>5401.53</v>
      </c>
    </row>
    <row r="8373" spans="1:9" x14ac:dyDescent="0.3">
      <c r="A8373" t="s">
        <v>10389</v>
      </c>
      <c r="B8373" t="s">
        <v>1673</v>
      </c>
      <c r="C8373" t="s">
        <v>2015</v>
      </c>
      <c r="D8373">
        <v>5</v>
      </c>
      <c r="E8373" s="16">
        <v>3000.85</v>
      </c>
      <c r="F8373" s="1">
        <v>44507</v>
      </c>
      <c r="G8373" t="s">
        <v>2004</v>
      </c>
      <c r="H8373">
        <v>4</v>
      </c>
      <c r="I8373" s="12">
        <f>Table16[[#This Row],[price]]*Table16[[#This Row],[quantity]]</f>
        <v>15004.25</v>
      </c>
    </row>
    <row r="8374" spans="1:9" x14ac:dyDescent="0.3">
      <c r="A8374" t="s">
        <v>10391</v>
      </c>
      <c r="B8374" t="s">
        <v>1673</v>
      </c>
      <c r="C8374" t="s">
        <v>2001</v>
      </c>
      <c r="D8374">
        <v>5</v>
      </c>
      <c r="E8374" s="16">
        <v>1500.4</v>
      </c>
      <c r="F8374" s="1">
        <v>44734</v>
      </c>
      <c r="G8374" t="s">
        <v>2002</v>
      </c>
      <c r="H8374">
        <v>1</v>
      </c>
      <c r="I8374" s="12">
        <f>Table16[[#This Row],[price]]*Table16[[#This Row],[quantity]]</f>
        <v>7502</v>
      </c>
    </row>
    <row r="8375" spans="1:9" x14ac:dyDescent="0.3">
      <c r="A8375" t="s">
        <v>10390</v>
      </c>
      <c r="B8375" t="s">
        <v>1673</v>
      </c>
      <c r="C8375" t="s">
        <v>2024</v>
      </c>
      <c r="D8375">
        <v>5</v>
      </c>
      <c r="E8375" s="16">
        <v>179.2</v>
      </c>
      <c r="F8375" s="1">
        <v>44858</v>
      </c>
      <c r="G8375" t="s">
        <v>2012</v>
      </c>
      <c r="H8375">
        <v>3</v>
      </c>
      <c r="I8375" s="12">
        <f>Table16[[#This Row],[price]]*Table16[[#This Row],[quantity]]</f>
        <v>896</v>
      </c>
    </row>
    <row r="8376" spans="1:9" x14ac:dyDescent="0.3">
      <c r="A8376" t="s">
        <v>10396</v>
      </c>
      <c r="B8376" t="s">
        <v>1674</v>
      </c>
      <c r="C8376" t="s">
        <v>2001</v>
      </c>
      <c r="D8376">
        <v>1</v>
      </c>
      <c r="E8376" s="16">
        <v>300.08</v>
      </c>
      <c r="F8376" s="1">
        <v>44231</v>
      </c>
      <c r="G8376" t="s">
        <v>2027</v>
      </c>
      <c r="H8376">
        <v>2</v>
      </c>
      <c r="I8376" s="12">
        <f>Table16[[#This Row],[price]]*Table16[[#This Row],[quantity]]</f>
        <v>300.08</v>
      </c>
    </row>
    <row r="8377" spans="1:9" x14ac:dyDescent="0.3">
      <c r="A8377" t="s">
        <v>10394</v>
      </c>
      <c r="B8377" t="s">
        <v>1674</v>
      </c>
      <c r="C8377" t="s">
        <v>2001</v>
      </c>
      <c r="D8377">
        <v>3</v>
      </c>
      <c r="E8377" s="16">
        <v>900.24</v>
      </c>
      <c r="F8377" s="1">
        <v>44257</v>
      </c>
      <c r="G8377" t="s">
        <v>2027</v>
      </c>
      <c r="H8377">
        <v>3</v>
      </c>
      <c r="I8377" s="12">
        <f>Table16[[#This Row],[price]]*Table16[[#This Row],[quantity]]</f>
        <v>2700.7200000000003</v>
      </c>
    </row>
    <row r="8378" spans="1:9" x14ac:dyDescent="0.3">
      <c r="A8378" t="s">
        <v>10393</v>
      </c>
      <c r="B8378" t="s">
        <v>1674</v>
      </c>
      <c r="C8378" t="s">
        <v>2017</v>
      </c>
      <c r="D8378">
        <v>4</v>
      </c>
      <c r="E8378" s="16">
        <v>4200</v>
      </c>
      <c r="F8378" s="1">
        <v>44385</v>
      </c>
      <c r="G8378" t="s">
        <v>2027</v>
      </c>
      <c r="H8378">
        <v>2</v>
      </c>
      <c r="I8378" s="12">
        <f>Table16[[#This Row],[price]]*Table16[[#This Row],[quantity]]</f>
        <v>16800</v>
      </c>
    </row>
    <row r="8379" spans="1:9" x14ac:dyDescent="0.3">
      <c r="A8379" t="s">
        <v>10395</v>
      </c>
      <c r="B8379" t="s">
        <v>1674</v>
      </c>
      <c r="C8379" t="s">
        <v>2006</v>
      </c>
      <c r="D8379">
        <v>4</v>
      </c>
      <c r="E8379" s="16">
        <v>60.6</v>
      </c>
      <c r="F8379" s="1">
        <v>44578</v>
      </c>
      <c r="G8379" t="s">
        <v>2004</v>
      </c>
      <c r="H8379">
        <v>3</v>
      </c>
      <c r="I8379" s="12">
        <f>Table16[[#This Row],[price]]*Table16[[#This Row],[quantity]]</f>
        <v>242.4</v>
      </c>
    </row>
    <row r="8380" spans="1:9" x14ac:dyDescent="0.3">
      <c r="A8380" t="s">
        <v>10392</v>
      </c>
      <c r="B8380" t="s">
        <v>1674</v>
      </c>
      <c r="C8380" t="s">
        <v>2001</v>
      </c>
      <c r="D8380">
        <v>1</v>
      </c>
      <c r="E8380" s="16">
        <v>300.08</v>
      </c>
      <c r="F8380" s="1">
        <v>44787</v>
      </c>
      <c r="G8380" t="s">
        <v>2064</v>
      </c>
      <c r="H8380">
        <v>4</v>
      </c>
      <c r="I8380" s="12">
        <f>Table16[[#This Row],[price]]*Table16[[#This Row],[quantity]]</f>
        <v>300.08</v>
      </c>
    </row>
    <row r="8381" spans="1:9" x14ac:dyDescent="0.3">
      <c r="A8381" t="s">
        <v>10398</v>
      </c>
      <c r="B8381" t="s">
        <v>1675</v>
      </c>
      <c r="C8381" t="s">
        <v>2001</v>
      </c>
      <c r="D8381">
        <v>3</v>
      </c>
      <c r="E8381" s="16">
        <v>900.24</v>
      </c>
      <c r="F8381" s="1">
        <v>44333</v>
      </c>
      <c r="G8381" t="s">
        <v>2041</v>
      </c>
      <c r="H8381">
        <v>1</v>
      </c>
      <c r="I8381" s="12">
        <f>Table16[[#This Row],[price]]*Table16[[#This Row],[quantity]]</f>
        <v>2700.7200000000003</v>
      </c>
    </row>
    <row r="8382" spans="1:9" x14ac:dyDescent="0.3">
      <c r="A8382" t="s">
        <v>10397</v>
      </c>
      <c r="B8382" t="s">
        <v>1675</v>
      </c>
      <c r="C8382" t="s">
        <v>2015</v>
      </c>
      <c r="D8382">
        <v>1</v>
      </c>
      <c r="E8382" s="16">
        <v>600.16999999999996</v>
      </c>
      <c r="F8382" s="1">
        <v>44369</v>
      </c>
      <c r="G8382" t="s">
        <v>2012</v>
      </c>
      <c r="H8382">
        <v>4</v>
      </c>
      <c r="I8382" s="12">
        <f>Table16[[#This Row],[price]]*Table16[[#This Row],[quantity]]</f>
        <v>600.16999999999996</v>
      </c>
    </row>
    <row r="8383" spans="1:9" x14ac:dyDescent="0.3">
      <c r="A8383" t="s">
        <v>10399</v>
      </c>
      <c r="B8383" t="s">
        <v>1675</v>
      </c>
      <c r="C8383" t="s">
        <v>2011</v>
      </c>
      <c r="D8383">
        <v>3</v>
      </c>
      <c r="E8383" s="16">
        <v>121.98</v>
      </c>
      <c r="F8383" s="1">
        <v>44392</v>
      </c>
      <c r="G8383" t="s">
        <v>2004</v>
      </c>
      <c r="H8383">
        <v>1</v>
      </c>
      <c r="I8383" s="12">
        <f>Table16[[#This Row],[price]]*Table16[[#This Row],[quantity]]</f>
        <v>365.94</v>
      </c>
    </row>
    <row r="8384" spans="1:9" x14ac:dyDescent="0.3">
      <c r="A8384" t="s">
        <v>10400</v>
      </c>
      <c r="B8384" t="s">
        <v>1675</v>
      </c>
      <c r="C8384" t="s">
        <v>2008</v>
      </c>
      <c r="D8384">
        <v>4</v>
      </c>
      <c r="E8384" s="16">
        <v>20.92</v>
      </c>
      <c r="F8384" s="1">
        <v>44982</v>
      </c>
      <c r="G8384" t="s">
        <v>2058</v>
      </c>
      <c r="H8384">
        <v>3</v>
      </c>
      <c r="I8384" s="12">
        <f>Table16[[#This Row],[price]]*Table16[[#This Row],[quantity]]</f>
        <v>83.68</v>
      </c>
    </row>
    <row r="8385" spans="1:9" x14ac:dyDescent="0.3">
      <c r="A8385" t="s">
        <v>10401</v>
      </c>
      <c r="B8385" t="s">
        <v>1676</v>
      </c>
      <c r="C8385" t="s">
        <v>2008</v>
      </c>
      <c r="D8385">
        <v>1</v>
      </c>
      <c r="E8385" s="16">
        <v>5.23</v>
      </c>
      <c r="F8385" s="1">
        <v>44425</v>
      </c>
      <c r="G8385" t="s">
        <v>2002</v>
      </c>
      <c r="H8385">
        <v>1</v>
      </c>
      <c r="I8385" s="12">
        <f>Table16[[#This Row],[price]]*Table16[[#This Row],[quantity]]</f>
        <v>5.23</v>
      </c>
    </row>
    <row r="8386" spans="1:9" x14ac:dyDescent="0.3">
      <c r="A8386" t="s">
        <v>10402</v>
      </c>
      <c r="B8386" t="s">
        <v>1676</v>
      </c>
      <c r="C8386" t="s">
        <v>2001</v>
      </c>
      <c r="D8386">
        <v>5</v>
      </c>
      <c r="E8386" s="16">
        <v>1500.4</v>
      </c>
      <c r="F8386" s="1">
        <v>44504</v>
      </c>
      <c r="G8386" t="s">
        <v>2020</v>
      </c>
      <c r="H8386">
        <v>3</v>
      </c>
      <c r="I8386" s="12">
        <f>Table16[[#This Row],[price]]*Table16[[#This Row],[quantity]]</f>
        <v>7502</v>
      </c>
    </row>
    <row r="8387" spans="1:9" x14ac:dyDescent="0.3">
      <c r="A8387" t="s">
        <v>10403</v>
      </c>
      <c r="B8387" t="s">
        <v>1676</v>
      </c>
      <c r="C8387" t="s">
        <v>2024</v>
      </c>
      <c r="D8387">
        <v>2</v>
      </c>
      <c r="E8387" s="16">
        <v>71.680000000000007</v>
      </c>
      <c r="F8387" s="1">
        <v>44529</v>
      </c>
      <c r="G8387" t="s">
        <v>2041</v>
      </c>
      <c r="H8387">
        <v>2</v>
      </c>
      <c r="I8387" s="12">
        <f>Table16[[#This Row],[price]]*Table16[[#This Row],[quantity]]</f>
        <v>143.36000000000001</v>
      </c>
    </row>
    <row r="8388" spans="1:9" x14ac:dyDescent="0.3">
      <c r="A8388" t="s">
        <v>10404</v>
      </c>
      <c r="B8388" t="s">
        <v>1676</v>
      </c>
      <c r="C8388" t="s">
        <v>2001</v>
      </c>
      <c r="D8388">
        <v>2</v>
      </c>
      <c r="E8388" s="16">
        <v>600.16</v>
      </c>
      <c r="F8388" s="1">
        <v>44533</v>
      </c>
      <c r="G8388" t="s">
        <v>2064</v>
      </c>
      <c r="H8388">
        <v>2</v>
      </c>
      <c r="I8388" s="12">
        <f>Table16[[#This Row],[price]]*Table16[[#This Row],[quantity]]</f>
        <v>1200.32</v>
      </c>
    </row>
    <row r="8389" spans="1:9" x14ac:dyDescent="0.3">
      <c r="A8389" t="s">
        <v>10405</v>
      </c>
      <c r="B8389" t="s">
        <v>1676</v>
      </c>
      <c r="C8389" t="s">
        <v>2017</v>
      </c>
      <c r="D8389">
        <v>5</v>
      </c>
      <c r="E8389" s="16">
        <v>5250</v>
      </c>
      <c r="F8389" s="1">
        <v>44543</v>
      </c>
      <c r="G8389" t="s">
        <v>2058</v>
      </c>
      <c r="H8389">
        <v>2</v>
      </c>
      <c r="I8389" s="12">
        <f>Table16[[#This Row],[price]]*Table16[[#This Row],[quantity]]</f>
        <v>26250</v>
      </c>
    </row>
    <row r="8390" spans="1:9" x14ac:dyDescent="0.3">
      <c r="A8390" t="s">
        <v>10407</v>
      </c>
      <c r="B8390" t="s">
        <v>1676</v>
      </c>
      <c r="C8390" t="s">
        <v>2001</v>
      </c>
      <c r="D8390">
        <v>5</v>
      </c>
      <c r="E8390" s="16">
        <v>1500.4</v>
      </c>
      <c r="F8390" s="1">
        <v>44563</v>
      </c>
      <c r="G8390" t="s">
        <v>2004</v>
      </c>
      <c r="H8390">
        <v>4</v>
      </c>
      <c r="I8390" s="12">
        <f>Table16[[#This Row],[price]]*Table16[[#This Row],[quantity]]</f>
        <v>7502</v>
      </c>
    </row>
    <row r="8391" spans="1:9" x14ac:dyDescent="0.3">
      <c r="A8391" t="s">
        <v>10406</v>
      </c>
      <c r="B8391" t="s">
        <v>1676</v>
      </c>
      <c r="C8391" t="s">
        <v>2057</v>
      </c>
      <c r="D8391">
        <v>4</v>
      </c>
      <c r="E8391" s="16">
        <v>46.92</v>
      </c>
      <c r="F8391" s="1">
        <v>44690</v>
      </c>
      <c r="G8391" t="s">
        <v>2064</v>
      </c>
      <c r="H8391">
        <v>5</v>
      </c>
      <c r="I8391" s="12">
        <f>Table16[[#This Row],[price]]*Table16[[#This Row],[quantity]]</f>
        <v>187.68</v>
      </c>
    </row>
    <row r="8392" spans="1:9" x14ac:dyDescent="0.3">
      <c r="A8392" t="s">
        <v>10409</v>
      </c>
      <c r="B8392" t="s">
        <v>1677</v>
      </c>
      <c r="C8392" t="s">
        <v>2001</v>
      </c>
      <c r="D8392">
        <v>4</v>
      </c>
      <c r="E8392" s="16">
        <v>1200.32</v>
      </c>
      <c r="F8392" s="1">
        <v>44296</v>
      </c>
      <c r="G8392" t="s">
        <v>2041</v>
      </c>
      <c r="H8392">
        <v>5</v>
      </c>
      <c r="I8392" s="12">
        <f>Table16[[#This Row],[price]]*Table16[[#This Row],[quantity]]</f>
        <v>4801.28</v>
      </c>
    </row>
    <row r="8393" spans="1:9" x14ac:dyDescent="0.3">
      <c r="A8393" t="s">
        <v>10408</v>
      </c>
      <c r="B8393" t="s">
        <v>1677</v>
      </c>
      <c r="C8393" t="s">
        <v>2057</v>
      </c>
      <c r="D8393">
        <v>3</v>
      </c>
      <c r="E8393" s="16">
        <v>35.19</v>
      </c>
      <c r="F8393" s="1">
        <v>44302</v>
      </c>
      <c r="G8393" t="s">
        <v>2004</v>
      </c>
      <c r="H8393">
        <v>3</v>
      </c>
      <c r="I8393" s="12">
        <f>Table16[[#This Row],[price]]*Table16[[#This Row],[quantity]]</f>
        <v>105.57</v>
      </c>
    </row>
    <row r="8394" spans="1:9" x14ac:dyDescent="0.3">
      <c r="A8394" t="s">
        <v>10411</v>
      </c>
      <c r="B8394" t="s">
        <v>1677</v>
      </c>
      <c r="C8394" t="s">
        <v>2011</v>
      </c>
      <c r="D8394">
        <v>3</v>
      </c>
      <c r="E8394" s="16">
        <v>121.98</v>
      </c>
      <c r="F8394" s="1">
        <v>44827</v>
      </c>
      <c r="G8394" t="s">
        <v>2004</v>
      </c>
      <c r="H8394">
        <v>2</v>
      </c>
      <c r="I8394" s="12">
        <f>Table16[[#This Row],[price]]*Table16[[#This Row],[quantity]]</f>
        <v>365.94</v>
      </c>
    </row>
    <row r="8395" spans="1:9" x14ac:dyDescent="0.3">
      <c r="A8395" t="s">
        <v>10410</v>
      </c>
      <c r="B8395" t="s">
        <v>1677</v>
      </c>
      <c r="C8395" t="s">
        <v>2001</v>
      </c>
      <c r="D8395">
        <v>3</v>
      </c>
      <c r="E8395" s="16">
        <v>900.24</v>
      </c>
      <c r="F8395" s="1">
        <v>44915</v>
      </c>
      <c r="G8395" t="s">
        <v>2004</v>
      </c>
      <c r="H8395">
        <v>4</v>
      </c>
      <c r="I8395" s="12">
        <f>Table16[[#This Row],[price]]*Table16[[#This Row],[quantity]]</f>
        <v>2700.7200000000003</v>
      </c>
    </row>
    <row r="8396" spans="1:9" x14ac:dyDescent="0.3">
      <c r="A8396" t="s">
        <v>10414</v>
      </c>
      <c r="B8396" t="s">
        <v>1678</v>
      </c>
      <c r="C8396" t="s">
        <v>2015</v>
      </c>
      <c r="D8396">
        <v>2</v>
      </c>
      <c r="E8396" s="16">
        <v>1200.3399999999999</v>
      </c>
      <c r="F8396" s="1">
        <v>44561</v>
      </c>
      <c r="G8396" t="s">
        <v>2064</v>
      </c>
      <c r="H8396">
        <v>2</v>
      </c>
      <c r="I8396" s="12">
        <f>Table16[[#This Row],[price]]*Table16[[#This Row],[quantity]]</f>
        <v>2400.6799999999998</v>
      </c>
    </row>
    <row r="8397" spans="1:9" x14ac:dyDescent="0.3">
      <c r="A8397" t="s">
        <v>10415</v>
      </c>
      <c r="B8397" t="s">
        <v>1678</v>
      </c>
      <c r="C8397" t="s">
        <v>2001</v>
      </c>
      <c r="D8397">
        <v>5</v>
      </c>
      <c r="E8397" s="16">
        <v>1500.4</v>
      </c>
      <c r="F8397" s="1">
        <v>44654</v>
      </c>
      <c r="G8397" t="s">
        <v>2002</v>
      </c>
      <c r="H8397">
        <v>2</v>
      </c>
      <c r="I8397" s="12">
        <f>Table16[[#This Row],[price]]*Table16[[#This Row],[quantity]]</f>
        <v>7502</v>
      </c>
    </row>
    <row r="8398" spans="1:9" x14ac:dyDescent="0.3">
      <c r="A8398" t="s">
        <v>10413</v>
      </c>
      <c r="B8398" t="s">
        <v>1678</v>
      </c>
      <c r="C8398" t="s">
        <v>2001</v>
      </c>
      <c r="D8398">
        <v>3</v>
      </c>
      <c r="E8398" s="16">
        <v>900.24</v>
      </c>
      <c r="F8398" s="1">
        <v>44834</v>
      </c>
      <c r="G8398" t="s">
        <v>2020</v>
      </c>
      <c r="H8398">
        <v>1</v>
      </c>
      <c r="I8398" s="12">
        <f>Table16[[#This Row],[price]]*Table16[[#This Row],[quantity]]</f>
        <v>2700.7200000000003</v>
      </c>
    </row>
    <row r="8399" spans="1:9" x14ac:dyDescent="0.3">
      <c r="A8399" t="s">
        <v>10416</v>
      </c>
      <c r="B8399" t="s">
        <v>1678</v>
      </c>
      <c r="C8399" t="s">
        <v>2008</v>
      </c>
      <c r="D8399">
        <v>5</v>
      </c>
      <c r="E8399" s="16">
        <v>26.15</v>
      </c>
      <c r="F8399" s="1">
        <v>44854</v>
      </c>
      <c r="G8399" t="s">
        <v>2058</v>
      </c>
      <c r="H8399">
        <v>5</v>
      </c>
      <c r="I8399" s="12">
        <f>Table16[[#This Row],[price]]*Table16[[#This Row],[quantity]]</f>
        <v>130.75</v>
      </c>
    </row>
    <row r="8400" spans="1:9" x14ac:dyDescent="0.3">
      <c r="A8400" t="s">
        <v>10412</v>
      </c>
      <c r="B8400" t="s">
        <v>1678</v>
      </c>
      <c r="C8400" t="s">
        <v>2001</v>
      </c>
      <c r="D8400">
        <v>2</v>
      </c>
      <c r="E8400" s="16">
        <v>600.16</v>
      </c>
      <c r="F8400" s="1">
        <v>44892</v>
      </c>
      <c r="G8400" t="s">
        <v>2009</v>
      </c>
      <c r="H8400">
        <v>2</v>
      </c>
      <c r="I8400" s="12">
        <f>Table16[[#This Row],[price]]*Table16[[#This Row],[quantity]]</f>
        <v>1200.32</v>
      </c>
    </row>
    <row r="8401" spans="1:9" x14ac:dyDescent="0.3">
      <c r="A8401" t="s">
        <v>10421</v>
      </c>
      <c r="B8401" t="s">
        <v>1679</v>
      </c>
      <c r="C8401" t="s">
        <v>2017</v>
      </c>
      <c r="D8401">
        <v>1</v>
      </c>
      <c r="E8401" s="16">
        <v>1050</v>
      </c>
      <c r="F8401" s="1">
        <v>44327</v>
      </c>
      <c r="G8401" t="s">
        <v>2020</v>
      </c>
      <c r="H8401">
        <v>4</v>
      </c>
      <c r="I8401" s="12">
        <f>Table16[[#This Row],[price]]*Table16[[#This Row],[quantity]]</f>
        <v>1050</v>
      </c>
    </row>
    <row r="8402" spans="1:9" x14ac:dyDescent="0.3">
      <c r="A8402" t="s">
        <v>10418</v>
      </c>
      <c r="B8402" t="s">
        <v>1679</v>
      </c>
      <c r="C8402" t="s">
        <v>2024</v>
      </c>
      <c r="D8402">
        <v>3</v>
      </c>
      <c r="E8402" s="16">
        <v>107.52</v>
      </c>
      <c r="F8402" s="1">
        <v>44560</v>
      </c>
      <c r="G8402" t="s">
        <v>2002</v>
      </c>
      <c r="H8402">
        <v>5</v>
      </c>
      <c r="I8402" s="12">
        <f>Table16[[#This Row],[price]]*Table16[[#This Row],[quantity]]</f>
        <v>322.56</v>
      </c>
    </row>
    <row r="8403" spans="1:9" x14ac:dyDescent="0.3">
      <c r="A8403" t="s">
        <v>10419</v>
      </c>
      <c r="B8403" t="s">
        <v>1679</v>
      </c>
      <c r="C8403" t="s">
        <v>2008</v>
      </c>
      <c r="D8403">
        <v>4</v>
      </c>
      <c r="E8403" s="16">
        <v>20.92</v>
      </c>
      <c r="F8403" s="1">
        <v>44857</v>
      </c>
      <c r="G8403" t="s">
        <v>2027</v>
      </c>
      <c r="H8403">
        <v>1</v>
      </c>
      <c r="I8403" s="12">
        <f>Table16[[#This Row],[price]]*Table16[[#This Row],[quantity]]</f>
        <v>83.68</v>
      </c>
    </row>
    <row r="8404" spans="1:9" x14ac:dyDescent="0.3">
      <c r="A8404" t="s">
        <v>10420</v>
      </c>
      <c r="B8404" t="s">
        <v>1679</v>
      </c>
      <c r="C8404" t="s">
        <v>2011</v>
      </c>
      <c r="D8404">
        <v>4</v>
      </c>
      <c r="E8404" s="16">
        <v>162.63999999999999</v>
      </c>
      <c r="F8404" s="1">
        <v>44932</v>
      </c>
      <c r="G8404" t="s">
        <v>2002</v>
      </c>
      <c r="H8404">
        <v>5</v>
      </c>
      <c r="I8404" s="12">
        <f>Table16[[#This Row],[price]]*Table16[[#This Row],[quantity]]</f>
        <v>650.55999999999995</v>
      </c>
    </row>
    <row r="8405" spans="1:9" x14ac:dyDescent="0.3">
      <c r="A8405" t="s">
        <v>10417</v>
      </c>
      <c r="B8405" t="s">
        <v>1679</v>
      </c>
      <c r="C8405" t="s">
        <v>2001</v>
      </c>
      <c r="D8405">
        <v>5</v>
      </c>
      <c r="E8405" s="16">
        <v>1500.4</v>
      </c>
      <c r="F8405" s="1">
        <v>44979</v>
      </c>
      <c r="G8405" t="s">
        <v>2064</v>
      </c>
      <c r="H8405">
        <v>1</v>
      </c>
      <c r="I8405" s="12">
        <f>Table16[[#This Row],[price]]*Table16[[#This Row],[quantity]]</f>
        <v>7502</v>
      </c>
    </row>
    <row r="8406" spans="1:9" x14ac:dyDescent="0.3">
      <c r="A8406" t="s">
        <v>10425</v>
      </c>
      <c r="B8406" t="s">
        <v>1680</v>
      </c>
      <c r="C8406" t="s">
        <v>2006</v>
      </c>
      <c r="D8406">
        <v>5</v>
      </c>
      <c r="E8406" s="16">
        <v>75.75</v>
      </c>
      <c r="F8406" s="1">
        <v>44463</v>
      </c>
      <c r="G8406" t="s">
        <v>2002</v>
      </c>
      <c r="H8406">
        <v>1</v>
      </c>
      <c r="I8406" s="12">
        <f>Table16[[#This Row],[price]]*Table16[[#This Row],[quantity]]</f>
        <v>378.75</v>
      </c>
    </row>
    <row r="8407" spans="1:9" x14ac:dyDescent="0.3">
      <c r="A8407" t="s">
        <v>10424</v>
      </c>
      <c r="B8407" t="s">
        <v>1680</v>
      </c>
      <c r="C8407" t="s">
        <v>2024</v>
      </c>
      <c r="D8407">
        <v>1</v>
      </c>
      <c r="E8407" s="16">
        <v>35.840000000000003</v>
      </c>
      <c r="F8407" s="1">
        <v>44619</v>
      </c>
      <c r="G8407" t="s">
        <v>2004</v>
      </c>
      <c r="H8407">
        <v>3</v>
      </c>
      <c r="I8407" s="12">
        <f>Table16[[#This Row],[price]]*Table16[[#This Row],[quantity]]</f>
        <v>35.840000000000003</v>
      </c>
    </row>
    <row r="8408" spans="1:9" x14ac:dyDescent="0.3">
      <c r="A8408" t="s">
        <v>10427</v>
      </c>
      <c r="B8408" t="s">
        <v>1680</v>
      </c>
      <c r="C8408" t="s">
        <v>2017</v>
      </c>
      <c r="D8408">
        <v>4</v>
      </c>
      <c r="E8408" s="16">
        <v>4200</v>
      </c>
      <c r="F8408" s="1">
        <v>44636</v>
      </c>
      <c r="G8408" t="s">
        <v>2002</v>
      </c>
      <c r="H8408">
        <v>4</v>
      </c>
      <c r="I8408" s="12">
        <f>Table16[[#This Row],[price]]*Table16[[#This Row],[quantity]]</f>
        <v>16800</v>
      </c>
    </row>
    <row r="8409" spans="1:9" x14ac:dyDescent="0.3">
      <c r="A8409" t="s">
        <v>10429</v>
      </c>
      <c r="B8409" t="s">
        <v>1680</v>
      </c>
      <c r="C8409" t="s">
        <v>2001</v>
      </c>
      <c r="D8409">
        <v>5</v>
      </c>
      <c r="E8409" s="16">
        <v>1500.4</v>
      </c>
      <c r="F8409" s="1">
        <v>44686</v>
      </c>
      <c r="G8409" t="s">
        <v>2020</v>
      </c>
      <c r="H8409">
        <v>5</v>
      </c>
      <c r="I8409" s="12">
        <f>Table16[[#This Row],[price]]*Table16[[#This Row],[quantity]]</f>
        <v>7502</v>
      </c>
    </row>
    <row r="8410" spans="1:9" x14ac:dyDescent="0.3">
      <c r="A8410" t="s">
        <v>10428</v>
      </c>
      <c r="B8410" t="s">
        <v>1680</v>
      </c>
      <c r="C8410" t="s">
        <v>2015</v>
      </c>
      <c r="D8410">
        <v>4</v>
      </c>
      <c r="E8410" s="16">
        <v>2400.6799999999998</v>
      </c>
      <c r="F8410" s="1">
        <v>44770</v>
      </c>
      <c r="G8410" t="s">
        <v>2020</v>
      </c>
      <c r="H8410">
        <v>1</v>
      </c>
      <c r="I8410" s="12">
        <f>Table16[[#This Row],[price]]*Table16[[#This Row],[quantity]]</f>
        <v>9602.7199999999993</v>
      </c>
    </row>
    <row r="8411" spans="1:9" x14ac:dyDescent="0.3">
      <c r="A8411" t="s">
        <v>10422</v>
      </c>
      <c r="B8411" t="s">
        <v>1680</v>
      </c>
      <c r="C8411" t="s">
        <v>2011</v>
      </c>
      <c r="D8411">
        <v>2</v>
      </c>
      <c r="E8411" s="16">
        <v>81.319999999999993</v>
      </c>
      <c r="F8411" s="1">
        <v>44784</v>
      </c>
      <c r="G8411" t="s">
        <v>2004</v>
      </c>
      <c r="H8411">
        <v>1</v>
      </c>
      <c r="I8411" s="12">
        <f>Table16[[#This Row],[price]]*Table16[[#This Row],[quantity]]</f>
        <v>162.63999999999999</v>
      </c>
    </row>
    <row r="8412" spans="1:9" x14ac:dyDescent="0.3">
      <c r="A8412" t="s">
        <v>10426</v>
      </c>
      <c r="B8412" t="s">
        <v>1680</v>
      </c>
      <c r="C8412" t="s">
        <v>2001</v>
      </c>
      <c r="D8412">
        <v>4</v>
      </c>
      <c r="E8412" s="16">
        <v>1200.32</v>
      </c>
      <c r="F8412" s="1">
        <v>44826</v>
      </c>
      <c r="G8412" t="s">
        <v>2020</v>
      </c>
      <c r="H8412">
        <v>5</v>
      </c>
      <c r="I8412" s="12">
        <f>Table16[[#This Row],[price]]*Table16[[#This Row],[quantity]]</f>
        <v>4801.28</v>
      </c>
    </row>
    <row r="8413" spans="1:9" x14ac:dyDescent="0.3">
      <c r="A8413" t="s">
        <v>10423</v>
      </c>
      <c r="B8413" t="s">
        <v>1680</v>
      </c>
      <c r="C8413" t="s">
        <v>2057</v>
      </c>
      <c r="D8413">
        <v>3</v>
      </c>
      <c r="E8413" s="16">
        <v>35.19</v>
      </c>
      <c r="F8413" s="1">
        <v>44884</v>
      </c>
      <c r="G8413" t="s">
        <v>2027</v>
      </c>
      <c r="H8413">
        <v>2</v>
      </c>
      <c r="I8413" s="12">
        <f>Table16[[#This Row],[price]]*Table16[[#This Row],[quantity]]</f>
        <v>105.57</v>
      </c>
    </row>
    <row r="8414" spans="1:9" x14ac:dyDescent="0.3">
      <c r="A8414" t="s">
        <v>10430</v>
      </c>
      <c r="B8414" t="s">
        <v>1680</v>
      </c>
      <c r="C8414" t="s">
        <v>2011</v>
      </c>
      <c r="D8414">
        <v>5</v>
      </c>
      <c r="E8414" s="16">
        <v>203.3</v>
      </c>
      <c r="F8414" s="1">
        <v>44938</v>
      </c>
      <c r="G8414" t="s">
        <v>2020</v>
      </c>
      <c r="H8414">
        <v>3</v>
      </c>
      <c r="I8414" s="12">
        <f>Table16[[#This Row],[price]]*Table16[[#This Row],[quantity]]</f>
        <v>1016.5</v>
      </c>
    </row>
    <row r="8415" spans="1:9" x14ac:dyDescent="0.3">
      <c r="A8415" t="s">
        <v>10434</v>
      </c>
      <c r="B8415" t="s">
        <v>1681</v>
      </c>
      <c r="C8415" t="s">
        <v>2001</v>
      </c>
      <c r="D8415">
        <v>4</v>
      </c>
      <c r="E8415" s="16">
        <v>1200.32</v>
      </c>
      <c r="F8415" s="1">
        <v>44366</v>
      </c>
      <c r="G8415" t="s">
        <v>2012</v>
      </c>
      <c r="H8415">
        <v>3</v>
      </c>
      <c r="I8415" s="12">
        <f>Table16[[#This Row],[price]]*Table16[[#This Row],[quantity]]</f>
        <v>4801.28</v>
      </c>
    </row>
    <row r="8416" spans="1:9" x14ac:dyDescent="0.3">
      <c r="A8416" t="s">
        <v>10433</v>
      </c>
      <c r="B8416" t="s">
        <v>1681</v>
      </c>
      <c r="C8416" t="s">
        <v>2057</v>
      </c>
      <c r="D8416">
        <v>5</v>
      </c>
      <c r="E8416" s="16">
        <v>58.65</v>
      </c>
      <c r="F8416" s="1">
        <v>44519</v>
      </c>
      <c r="G8416" t="s">
        <v>2009</v>
      </c>
      <c r="H8416">
        <v>2</v>
      </c>
      <c r="I8416" s="12">
        <f>Table16[[#This Row],[price]]*Table16[[#This Row],[quantity]]</f>
        <v>293.25</v>
      </c>
    </row>
    <row r="8417" spans="1:9" x14ac:dyDescent="0.3">
      <c r="A8417" t="s">
        <v>10437</v>
      </c>
      <c r="B8417" t="s">
        <v>1681</v>
      </c>
      <c r="C8417" t="s">
        <v>2001</v>
      </c>
      <c r="D8417">
        <v>3</v>
      </c>
      <c r="E8417" s="16">
        <v>900.24</v>
      </c>
      <c r="F8417" s="1">
        <v>44539</v>
      </c>
      <c r="G8417" t="s">
        <v>2058</v>
      </c>
      <c r="H8417">
        <v>3</v>
      </c>
      <c r="I8417" s="12">
        <f>Table16[[#This Row],[price]]*Table16[[#This Row],[quantity]]</f>
        <v>2700.7200000000003</v>
      </c>
    </row>
    <row r="8418" spans="1:9" x14ac:dyDescent="0.3">
      <c r="A8418" t="s">
        <v>10431</v>
      </c>
      <c r="B8418" t="s">
        <v>1681</v>
      </c>
      <c r="C8418" t="s">
        <v>2024</v>
      </c>
      <c r="D8418">
        <v>1</v>
      </c>
      <c r="E8418" s="16">
        <v>35.840000000000003</v>
      </c>
      <c r="F8418" s="1">
        <v>44559</v>
      </c>
      <c r="G8418" t="s">
        <v>2064</v>
      </c>
      <c r="H8418">
        <v>4</v>
      </c>
      <c r="I8418" s="12">
        <f>Table16[[#This Row],[price]]*Table16[[#This Row],[quantity]]</f>
        <v>35.840000000000003</v>
      </c>
    </row>
    <row r="8419" spans="1:9" x14ac:dyDescent="0.3">
      <c r="A8419" t="s">
        <v>10435</v>
      </c>
      <c r="B8419" t="s">
        <v>1681</v>
      </c>
      <c r="C8419" t="s">
        <v>2011</v>
      </c>
      <c r="D8419">
        <v>5</v>
      </c>
      <c r="E8419" s="16">
        <v>203.3</v>
      </c>
      <c r="F8419" s="1">
        <v>44629</v>
      </c>
      <c r="G8419" t="s">
        <v>2020</v>
      </c>
      <c r="H8419">
        <v>3</v>
      </c>
      <c r="I8419" s="12">
        <f>Table16[[#This Row],[price]]*Table16[[#This Row],[quantity]]</f>
        <v>1016.5</v>
      </c>
    </row>
    <row r="8420" spans="1:9" x14ac:dyDescent="0.3">
      <c r="A8420" t="s">
        <v>10432</v>
      </c>
      <c r="B8420" t="s">
        <v>1681</v>
      </c>
      <c r="C8420" t="s">
        <v>2017</v>
      </c>
      <c r="D8420">
        <v>2</v>
      </c>
      <c r="E8420" s="16">
        <v>2100</v>
      </c>
      <c r="F8420" s="1">
        <v>44738</v>
      </c>
      <c r="G8420" t="s">
        <v>2027</v>
      </c>
      <c r="H8420">
        <v>2</v>
      </c>
      <c r="I8420" s="12">
        <f>Table16[[#This Row],[price]]*Table16[[#This Row],[quantity]]</f>
        <v>4200</v>
      </c>
    </row>
    <row r="8421" spans="1:9" x14ac:dyDescent="0.3">
      <c r="A8421" t="s">
        <v>10436</v>
      </c>
      <c r="B8421" t="s">
        <v>1681</v>
      </c>
      <c r="C8421" t="s">
        <v>2011</v>
      </c>
      <c r="D8421">
        <v>4</v>
      </c>
      <c r="E8421" s="16">
        <v>162.63999999999999</v>
      </c>
      <c r="F8421" s="1">
        <v>44920</v>
      </c>
      <c r="G8421" t="s">
        <v>2004</v>
      </c>
      <c r="H8421">
        <v>2</v>
      </c>
      <c r="I8421" s="12">
        <f>Table16[[#This Row],[price]]*Table16[[#This Row],[quantity]]</f>
        <v>650.55999999999995</v>
      </c>
    </row>
    <row r="8422" spans="1:9" x14ac:dyDescent="0.3">
      <c r="A8422" t="s">
        <v>10438</v>
      </c>
      <c r="B8422" t="s">
        <v>1682</v>
      </c>
      <c r="C8422" t="s">
        <v>2015</v>
      </c>
      <c r="D8422">
        <v>5</v>
      </c>
      <c r="E8422" s="16">
        <v>3000.85</v>
      </c>
      <c r="F8422" s="1">
        <v>44471</v>
      </c>
      <c r="G8422" t="s">
        <v>2002</v>
      </c>
      <c r="H8422">
        <v>5</v>
      </c>
      <c r="I8422" s="12">
        <f>Table16[[#This Row],[price]]*Table16[[#This Row],[quantity]]</f>
        <v>15004.25</v>
      </c>
    </row>
    <row r="8423" spans="1:9" x14ac:dyDescent="0.3">
      <c r="A8423" t="s">
        <v>10442</v>
      </c>
      <c r="B8423" t="s">
        <v>1682</v>
      </c>
      <c r="C8423" t="s">
        <v>2015</v>
      </c>
      <c r="D8423">
        <v>1</v>
      </c>
      <c r="E8423" s="16">
        <v>600.16999999999996</v>
      </c>
      <c r="F8423" s="1">
        <v>44562</v>
      </c>
      <c r="G8423" t="s">
        <v>2002</v>
      </c>
      <c r="H8423">
        <v>1</v>
      </c>
      <c r="I8423" s="12">
        <f>Table16[[#This Row],[price]]*Table16[[#This Row],[quantity]]</f>
        <v>600.16999999999996</v>
      </c>
    </row>
    <row r="8424" spans="1:9" x14ac:dyDescent="0.3">
      <c r="A8424" t="s">
        <v>10439</v>
      </c>
      <c r="B8424" t="s">
        <v>1682</v>
      </c>
      <c r="C8424" t="s">
        <v>2011</v>
      </c>
      <c r="D8424">
        <v>5</v>
      </c>
      <c r="E8424" s="16">
        <v>203.3</v>
      </c>
      <c r="F8424" s="1">
        <v>44694</v>
      </c>
      <c r="G8424" t="s">
        <v>2064</v>
      </c>
      <c r="H8424">
        <v>5</v>
      </c>
      <c r="I8424" s="12">
        <f>Table16[[#This Row],[price]]*Table16[[#This Row],[quantity]]</f>
        <v>1016.5</v>
      </c>
    </row>
    <row r="8425" spans="1:9" x14ac:dyDescent="0.3">
      <c r="A8425" t="s">
        <v>10440</v>
      </c>
      <c r="B8425" t="s">
        <v>1682</v>
      </c>
      <c r="C8425" t="s">
        <v>2001</v>
      </c>
      <c r="D8425">
        <v>4</v>
      </c>
      <c r="E8425" s="16">
        <v>1200.32</v>
      </c>
      <c r="F8425" s="1">
        <v>44844</v>
      </c>
      <c r="G8425" t="s">
        <v>2002</v>
      </c>
      <c r="H8425">
        <v>1</v>
      </c>
      <c r="I8425" s="12">
        <f>Table16[[#This Row],[price]]*Table16[[#This Row],[quantity]]</f>
        <v>4801.28</v>
      </c>
    </row>
    <row r="8426" spans="1:9" x14ac:dyDescent="0.3">
      <c r="A8426" t="s">
        <v>10441</v>
      </c>
      <c r="B8426" t="s">
        <v>1682</v>
      </c>
      <c r="C8426" t="s">
        <v>2001</v>
      </c>
      <c r="D8426">
        <v>3</v>
      </c>
      <c r="E8426" s="16">
        <v>900.24</v>
      </c>
      <c r="F8426" s="1">
        <v>44938</v>
      </c>
      <c r="G8426" t="s">
        <v>2002</v>
      </c>
      <c r="H8426">
        <v>3</v>
      </c>
      <c r="I8426" s="12">
        <f>Table16[[#This Row],[price]]*Table16[[#This Row],[quantity]]</f>
        <v>2700.7200000000003</v>
      </c>
    </row>
    <row r="8427" spans="1:9" x14ac:dyDescent="0.3">
      <c r="A8427" t="s">
        <v>10449</v>
      </c>
      <c r="B8427" t="s">
        <v>1683</v>
      </c>
      <c r="C8427" t="s">
        <v>2017</v>
      </c>
      <c r="D8427">
        <v>2</v>
      </c>
      <c r="E8427" s="16">
        <v>2100</v>
      </c>
      <c r="F8427" s="1">
        <v>44259</v>
      </c>
      <c r="G8427" t="s">
        <v>2027</v>
      </c>
      <c r="H8427">
        <v>1</v>
      </c>
      <c r="I8427" s="12">
        <f>Table16[[#This Row],[price]]*Table16[[#This Row],[quantity]]</f>
        <v>4200</v>
      </c>
    </row>
    <row r="8428" spans="1:9" x14ac:dyDescent="0.3">
      <c r="A8428" t="s">
        <v>10447</v>
      </c>
      <c r="B8428" t="s">
        <v>1683</v>
      </c>
      <c r="C8428" t="s">
        <v>2001</v>
      </c>
      <c r="D8428">
        <v>3</v>
      </c>
      <c r="E8428" s="16">
        <v>900.24</v>
      </c>
      <c r="F8428" s="1">
        <v>44301</v>
      </c>
      <c r="G8428" t="s">
        <v>2027</v>
      </c>
      <c r="H8428">
        <v>2</v>
      </c>
      <c r="I8428" s="12">
        <f>Table16[[#This Row],[price]]*Table16[[#This Row],[quantity]]</f>
        <v>2700.7200000000003</v>
      </c>
    </row>
    <row r="8429" spans="1:9" x14ac:dyDescent="0.3">
      <c r="A8429" t="s">
        <v>10445</v>
      </c>
      <c r="B8429" t="s">
        <v>1683</v>
      </c>
      <c r="C8429" t="s">
        <v>2001</v>
      </c>
      <c r="D8429">
        <v>3</v>
      </c>
      <c r="E8429" s="16">
        <v>900.24</v>
      </c>
      <c r="F8429" s="1">
        <v>44318</v>
      </c>
      <c r="G8429" t="s">
        <v>2041</v>
      </c>
      <c r="H8429">
        <v>5</v>
      </c>
      <c r="I8429" s="12">
        <f>Table16[[#This Row],[price]]*Table16[[#This Row],[quantity]]</f>
        <v>2700.7200000000003</v>
      </c>
    </row>
    <row r="8430" spans="1:9" x14ac:dyDescent="0.3">
      <c r="A8430" t="s">
        <v>10448</v>
      </c>
      <c r="B8430" t="s">
        <v>1683</v>
      </c>
      <c r="C8430" t="s">
        <v>2017</v>
      </c>
      <c r="D8430">
        <v>3</v>
      </c>
      <c r="E8430" s="16">
        <v>3150</v>
      </c>
      <c r="F8430" s="1">
        <v>44396</v>
      </c>
      <c r="G8430" t="s">
        <v>2004</v>
      </c>
      <c r="H8430">
        <v>3</v>
      </c>
      <c r="I8430" s="12">
        <f>Table16[[#This Row],[price]]*Table16[[#This Row],[quantity]]</f>
        <v>9450</v>
      </c>
    </row>
    <row r="8431" spans="1:9" x14ac:dyDescent="0.3">
      <c r="A8431" t="s">
        <v>10443</v>
      </c>
      <c r="B8431" t="s">
        <v>1683</v>
      </c>
      <c r="C8431" t="s">
        <v>2001</v>
      </c>
      <c r="D8431">
        <v>3</v>
      </c>
      <c r="E8431" s="16">
        <v>900.24</v>
      </c>
      <c r="F8431" s="1">
        <v>44628</v>
      </c>
      <c r="G8431" t="s">
        <v>2027</v>
      </c>
      <c r="H8431">
        <v>3</v>
      </c>
      <c r="I8431" s="12">
        <f>Table16[[#This Row],[price]]*Table16[[#This Row],[quantity]]</f>
        <v>2700.7200000000003</v>
      </c>
    </row>
    <row r="8432" spans="1:9" x14ac:dyDescent="0.3">
      <c r="A8432" t="s">
        <v>10446</v>
      </c>
      <c r="B8432" t="s">
        <v>1683</v>
      </c>
      <c r="C8432" t="s">
        <v>2001</v>
      </c>
      <c r="D8432">
        <v>2</v>
      </c>
      <c r="E8432" s="16">
        <v>600.16</v>
      </c>
      <c r="F8432" s="1">
        <v>44786</v>
      </c>
      <c r="G8432" t="s">
        <v>2027</v>
      </c>
      <c r="H8432">
        <v>2</v>
      </c>
      <c r="I8432" s="12">
        <f>Table16[[#This Row],[price]]*Table16[[#This Row],[quantity]]</f>
        <v>1200.32</v>
      </c>
    </row>
    <row r="8433" spans="1:9" x14ac:dyDescent="0.3">
      <c r="A8433" t="s">
        <v>10444</v>
      </c>
      <c r="B8433" t="s">
        <v>1683</v>
      </c>
      <c r="C8433" t="s">
        <v>2008</v>
      </c>
      <c r="D8433">
        <v>3</v>
      </c>
      <c r="E8433" s="16">
        <v>15.69</v>
      </c>
      <c r="F8433" s="1">
        <v>44835</v>
      </c>
      <c r="G8433" t="s">
        <v>2027</v>
      </c>
      <c r="H8433">
        <v>3</v>
      </c>
      <c r="I8433" s="12">
        <f>Table16[[#This Row],[price]]*Table16[[#This Row],[quantity]]</f>
        <v>47.07</v>
      </c>
    </row>
    <row r="8434" spans="1:9" x14ac:dyDescent="0.3">
      <c r="A8434" t="s">
        <v>10452</v>
      </c>
      <c r="B8434" t="s">
        <v>1684</v>
      </c>
      <c r="C8434" t="s">
        <v>2015</v>
      </c>
      <c r="D8434">
        <v>3</v>
      </c>
      <c r="E8434" s="16">
        <v>1800.51</v>
      </c>
      <c r="F8434" s="1">
        <v>44415</v>
      </c>
      <c r="G8434" t="s">
        <v>2064</v>
      </c>
      <c r="H8434">
        <v>2</v>
      </c>
      <c r="I8434" s="12">
        <f>Table16[[#This Row],[price]]*Table16[[#This Row],[quantity]]</f>
        <v>5401.53</v>
      </c>
    </row>
    <row r="8435" spans="1:9" x14ac:dyDescent="0.3">
      <c r="A8435" t="s">
        <v>10453</v>
      </c>
      <c r="B8435" t="s">
        <v>1684</v>
      </c>
      <c r="C8435" t="s">
        <v>2001</v>
      </c>
      <c r="D8435">
        <v>3</v>
      </c>
      <c r="E8435" s="16">
        <v>900.24</v>
      </c>
      <c r="F8435" s="1">
        <v>44714</v>
      </c>
      <c r="G8435" t="s">
        <v>2004</v>
      </c>
      <c r="H8435">
        <v>1</v>
      </c>
      <c r="I8435" s="12">
        <f>Table16[[#This Row],[price]]*Table16[[#This Row],[quantity]]</f>
        <v>2700.7200000000003</v>
      </c>
    </row>
    <row r="8436" spans="1:9" x14ac:dyDescent="0.3">
      <c r="A8436" t="s">
        <v>10451</v>
      </c>
      <c r="B8436" t="s">
        <v>1684</v>
      </c>
      <c r="C8436" t="s">
        <v>2015</v>
      </c>
      <c r="D8436">
        <v>5</v>
      </c>
      <c r="E8436" s="16">
        <v>3000.85</v>
      </c>
      <c r="F8436" s="1">
        <v>44859</v>
      </c>
      <c r="G8436" t="s">
        <v>2002</v>
      </c>
      <c r="H8436">
        <v>5</v>
      </c>
      <c r="I8436" s="12">
        <f>Table16[[#This Row],[price]]*Table16[[#This Row],[quantity]]</f>
        <v>15004.25</v>
      </c>
    </row>
    <row r="8437" spans="1:9" x14ac:dyDescent="0.3">
      <c r="A8437" t="s">
        <v>10450</v>
      </c>
      <c r="B8437" t="s">
        <v>1684</v>
      </c>
      <c r="C8437" t="s">
        <v>2024</v>
      </c>
      <c r="D8437">
        <v>2</v>
      </c>
      <c r="E8437" s="16">
        <v>71.680000000000007</v>
      </c>
      <c r="F8437" s="1">
        <v>44922</v>
      </c>
      <c r="G8437" t="s">
        <v>2004</v>
      </c>
      <c r="H8437">
        <v>4</v>
      </c>
      <c r="I8437" s="12">
        <f>Table16[[#This Row],[price]]*Table16[[#This Row],[quantity]]</f>
        <v>143.36000000000001</v>
      </c>
    </row>
    <row r="8438" spans="1:9" x14ac:dyDescent="0.3">
      <c r="A8438" t="s">
        <v>10460</v>
      </c>
      <c r="B8438" t="s">
        <v>1685</v>
      </c>
      <c r="C8438" t="s">
        <v>2008</v>
      </c>
      <c r="D8438">
        <v>3</v>
      </c>
      <c r="E8438" s="16">
        <v>15.69</v>
      </c>
      <c r="F8438" s="1">
        <v>44267</v>
      </c>
      <c r="G8438" t="s">
        <v>2004</v>
      </c>
      <c r="H8438">
        <v>3</v>
      </c>
      <c r="I8438" s="12">
        <f>Table16[[#This Row],[price]]*Table16[[#This Row],[quantity]]</f>
        <v>47.07</v>
      </c>
    </row>
    <row r="8439" spans="1:9" x14ac:dyDescent="0.3">
      <c r="A8439" t="s">
        <v>10457</v>
      </c>
      <c r="B8439" t="s">
        <v>1685</v>
      </c>
      <c r="C8439" t="s">
        <v>2015</v>
      </c>
      <c r="D8439">
        <v>3</v>
      </c>
      <c r="E8439" s="16">
        <v>1800.51</v>
      </c>
      <c r="F8439" s="1">
        <v>44277</v>
      </c>
      <c r="G8439" t="s">
        <v>2004</v>
      </c>
      <c r="H8439">
        <v>5</v>
      </c>
      <c r="I8439" s="12">
        <f>Table16[[#This Row],[price]]*Table16[[#This Row],[quantity]]</f>
        <v>5401.53</v>
      </c>
    </row>
    <row r="8440" spans="1:9" x14ac:dyDescent="0.3">
      <c r="A8440" t="s">
        <v>10458</v>
      </c>
      <c r="B8440" t="s">
        <v>1685</v>
      </c>
      <c r="C8440" t="s">
        <v>2024</v>
      </c>
      <c r="D8440">
        <v>4</v>
      </c>
      <c r="E8440" s="16">
        <v>143.36000000000001</v>
      </c>
      <c r="F8440" s="1">
        <v>44291</v>
      </c>
      <c r="G8440" t="s">
        <v>2004</v>
      </c>
      <c r="H8440">
        <v>5</v>
      </c>
      <c r="I8440" s="12">
        <f>Table16[[#This Row],[price]]*Table16[[#This Row],[quantity]]</f>
        <v>573.44000000000005</v>
      </c>
    </row>
    <row r="8441" spans="1:9" x14ac:dyDescent="0.3">
      <c r="A8441" t="s">
        <v>10454</v>
      </c>
      <c r="B8441" t="s">
        <v>1685</v>
      </c>
      <c r="C8441" t="s">
        <v>2001</v>
      </c>
      <c r="D8441">
        <v>2</v>
      </c>
      <c r="E8441" s="16">
        <v>600.16</v>
      </c>
      <c r="F8441" s="1">
        <v>44317</v>
      </c>
      <c r="G8441" t="s">
        <v>2027</v>
      </c>
      <c r="H8441">
        <v>1</v>
      </c>
      <c r="I8441" s="12">
        <f>Table16[[#This Row],[price]]*Table16[[#This Row],[quantity]]</f>
        <v>1200.32</v>
      </c>
    </row>
    <row r="8442" spans="1:9" x14ac:dyDescent="0.3">
      <c r="A8442" t="s">
        <v>10455</v>
      </c>
      <c r="B8442" t="s">
        <v>1685</v>
      </c>
      <c r="C8442" t="s">
        <v>2008</v>
      </c>
      <c r="D8442">
        <v>1</v>
      </c>
      <c r="E8442" s="16">
        <v>5.23</v>
      </c>
      <c r="F8442" s="1">
        <v>44496</v>
      </c>
      <c r="G8442" t="s">
        <v>2027</v>
      </c>
      <c r="H8442">
        <v>2</v>
      </c>
      <c r="I8442" s="12">
        <f>Table16[[#This Row],[price]]*Table16[[#This Row],[quantity]]</f>
        <v>5.23</v>
      </c>
    </row>
    <row r="8443" spans="1:9" x14ac:dyDescent="0.3">
      <c r="A8443" t="s">
        <v>10456</v>
      </c>
      <c r="B8443" t="s">
        <v>1685</v>
      </c>
      <c r="C8443" t="s">
        <v>2001</v>
      </c>
      <c r="D8443">
        <v>3</v>
      </c>
      <c r="E8443" s="16">
        <v>900.24</v>
      </c>
      <c r="F8443" s="1">
        <v>44591</v>
      </c>
      <c r="G8443" t="s">
        <v>2002</v>
      </c>
      <c r="H8443">
        <v>3</v>
      </c>
      <c r="I8443" s="12">
        <f>Table16[[#This Row],[price]]*Table16[[#This Row],[quantity]]</f>
        <v>2700.7200000000003</v>
      </c>
    </row>
    <row r="8444" spans="1:9" x14ac:dyDescent="0.3">
      <c r="A8444" t="s">
        <v>10459</v>
      </c>
      <c r="B8444" t="s">
        <v>1685</v>
      </c>
      <c r="C8444" t="s">
        <v>2011</v>
      </c>
      <c r="D8444">
        <v>2</v>
      </c>
      <c r="E8444" s="16">
        <v>81.319999999999993</v>
      </c>
      <c r="F8444" s="1">
        <v>44815</v>
      </c>
      <c r="G8444" t="s">
        <v>2002</v>
      </c>
      <c r="H8444">
        <v>3</v>
      </c>
      <c r="I8444" s="12">
        <f>Table16[[#This Row],[price]]*Table16[[#This Row],[quantity]]</f>
        <v>162.63999999999999</v>
      </c>
    </row>
    <row r="8445" spans="1:9" x14ac:dyDescent="0.3">
      <c r="A8445" t="s">
        <v>10461</v>
      </c>
      <c r="B8445" t="s">
        <v>1686</v>
      </c>
      <c r="C8445" t="s">
        <v>2001</v>
      </c>
      <c r="D8445">
        <v>1</v>
      </c>
      <c r="E8445" s="16">
        <v>300.08</v>
      </c>
      <c r="F8445" s="1">
        <v>44248</v>
      </c>
      <c r="G8445" t="s">
        <v>2004</v>
      </c>
      <c r="H8445">
        <v>5</v>
      </c>
      <c r="I8445" s="12">
        <f>Table16[[#This Row],[price]]*Table16[[#This Row],[quantity]]</f>
        <v>300.08</v>
      </c>
    </row>
    <row r="8446" spans="1:9" x14ac:dyDescent="0.3">
      <c r="A8446" t="s">
        <v>10462</v>
      </c>
      <c r="B8446" t="s">
        <v>1686</v>
      </c>
      <c r="C8446" t="s">
        <v>2015</v>
      </c>
      <c r="D8446">
        <v>3</v>
      </c>
      <c r="E8446" s="16">
        <v>1800.51</v>
      </c>
      <c r="F8446" s="1">
        <v>44370</v>
      </c>
      <c r="G8446" t="s">
        <v>2004</v>
      </c>
      <c r="H8446">
        <v>1</v>
      </c>
      <c r="I8446" s="12">
        <f>Table16[[#This Row],[price]]*Table16[[#This Row],[quantity]]</f>
        <v>5401.53</v>
      </c>
    </row>
    <row r="8447" spans="1:9" x14ac:dyDescent="0.3">
      <c r="A8447" t="s">
        <v>10464</v>
      </c>
      <c r="B8447" t="s">
        <v>1686</v>
      </c>
      <c r="C8447" t="s">
        <v>2024</v>
      </c>
      <c r="D8447">
        <v>2</v>
      </c>
      <c r="E8447" s="16">
        <v>71.680000000000007</v>
      </c>
      <c r="F8447" s="1">
        <v>44484</v>
      </c>
      <c r="G8447" t="s">
        <v>2064</v>
      </c>
      <c r="H8447">
        <v>5</v>
      </c>
      <c r="I8447" s="12">
        <f>Table16[[#This Row],[price]]*Table16[[#This Row],[quantity]]</f>
        <v>143.36000000000001</v>
      </c>
    </row>
    <row r="8448" spans="1:9" x14ac:dyDescent="0.3">
      <c r="A8448" t="s">
        <v>10466</v>
      </c>
      <c r="B8448" t="s">
        <v>1686</v>
      </c>
      <c r="C8448" t="s">
        <v>2057</v>
      </c>
      <c r="D8448">
        <v>3</v>
      </c>
      <c r="E8448" s="16">
        <v>35.19</v>
      </c>
      <c r="F8448" s="1">
        <v>44604</v>
      </c>
      <c r="G8448" t="s">
        <v>2064</v>
      </c>
      <c r="H8448">
        <v>5</v>
      </c>
      <c r="I8448" s="12">
        <f>Table16[[#This Row],[price]]*Table16[[#This Row],[quantity]]</f>
        <v>105.57</v>
      </c>
    </row>
    <row r="8449" spans="1:9" x14ac:dyDescent="0.3">
      <c r="A8449" t="s">
        <v>10463</v>
      </c>
      <c r="B8449" t="s">
        <v>1686</v>
      </c>
      <c r="C8449" t="s">
        <v>2011</v>
      </c>
      <c r="D8449">
        <v>3</v>
      </c>
      <c r="E8449" s="16">
        <v>121.98</v>
      </c>
      <c r="F8449" s="1">
        <v>44642</v>
      </c>
      <c r="G8449" t="s">
        <v>2009</v>
      </c>
      <c r="H8449">
        <v>4</v>
      </c>
      <c r="I8449" s="12">
        <f>Table16[[#This Row],[price]]*Table16[[#This Row],[quantity]]</f>
        <v>365.94</v>
      </c>
    </row>
    <row r="8450" spans="1:9" x14ac:dyDescent="0.3">
      <c r="A8450" t="s">
        <v>10465</v>
      </c>
      <c r="B8450" t="s">
        <v>1686</v>
      </c>
      <c r="C8450" t="s">
        <v>2017</v>
      </c>
      <c r="D8450">
        <v>5</v>
      </c>
      <c r="E8450" s="16">
        <v>5250</v>
      </c>
      <c r="F8450" s="1">
        <v>44820</v>
      </c>
      <c r="G8450" t="s">
        <v>2004</v>
      </c>
      <c r="H8450">
        <v>3</v>
      </c>
      <c r="I8450" s="12">
        <f>Table16[[#This Row],[price]]*Table16[[#This Row],[quantity]]</f>
        <v>26250</v>
      </c>
    </row>
    <row r="8451" spans="1:9" x14ac:dyDescent="0.3">
      <c r="A8451" t="s">
        <v>10467</v>
      </c>
      <c r="B8451" t="s">
        <v>1687</v>
      </c>
      <c r="C8451" t="s">
        <v>2008</v>
      </c>
      <c r="D8451">
        <v>2</v>
      </c>
      <c r="E8451" s="16">
        <v>10.46</v>
      </c>
      <c r="F8451" s="1">
        <v>44308</v>
      </c>
      <c r="G8451" t="s">
        <v>2004</v>
      </c>
      <c r="H8451">
        <v>1</v>
      </c>
      <c r="I8451" s="12">
        <f>Table16[[#This Row],[price]]*Table16[[#This Row],[quantity]]</f>
        <v>20.92</v>
      </c>
    </row>
    <row r="8452" spans="1:9" x14ac:dyDescent="0.3">
      <c r="A8452" t="s">
        <v>10468</v>
      </c>
      <c r="B8452" t="s">
        <v>1687</v>
      </c>
      <c r="C8452" t="s">
        <v>2011</v>
      </c>
      <c r="D8452">
        <v>1</v>
      </c>
      <c r="E8452" s="16">
        <v>40.659999999999997</v>
      </c>
      <c r="F8452" s="1">
        <v>44413</v>
      </c>
      <c r="G8452" t="s">
        <v>2027</v>
      </c>
      <c r="H8452">
        <v>5</v>
      </c>
      <c r="I8452" s="12">
        <f>Table16[[#This Row],[price]]*Table16[[#This Row],[quantity]]</f>
        <v>40.659999999999997</v>
      </c>
    </row>
    <row r="8453" spans="1:9" x14ac:dyDescent="0.3">
      <c r="A8453" t="s">
        <v>10469</v>
      </c>
      <c r="B8453" t="s">
        <v>1687</v>
      </c>
      <c r="C8453" t="s">
        <v>2015</v>
      </c>
      <c r="D8453">
        <v>2</v>
      </c>
      <c r="E8453" s="16">
        <v>1200.3399999999999</v>
      </c>
      <c r="F8453" s="1">
        <v>44724</v>
      </c>
      <c r="G8453" t="s">
        <v>2041</v>
      </c>
      <c r="H8453">
        <v>4</v>
      </c>
      <c r="I8453" s="12">
        <f>Table16[[#This Row],[price]]*Table16[[#This Row],[quantity]]</f>
        <v>2400.6799999999998</v>
      </c>
    </row>
    <row r="8454" spans="1:9" x14ac:dyDescent="0.3">
      <c r="A8454" t="s">
        <v>10472</v>
      </c>
      <c r="B8454" t="s">
        <v>1688</v>
      </c>
      <c r="C8454" t="s">
        <v>2001</v>
      </c>
      <c r="D8454">
        <v>2</v>
      </c>
      <c r="E8454" s="16">
        <v>600.16</v>
      </c>
      <c r="F8454" s="1">
        <v>44378</v>
      </c>
      <c r="G8454" t="s">
        <v>2020</v>
      </c>
      <c r="H8454">
        <v>3</v>
      </c>
      <c r="I8454" s="12">
        <f>Table16[[#This Row],[price]]*Table16[[#This Row],[quantity]]</f>
        <v>1200.32</v>
      </c>
    </row>
    <row r="8455" spans="1:9" x14ac:dyDescent="0.3">
      <c r="A8455" t="s">
        <v>10474</v>
      </c>
      <c r="B8455" t="s">
        <v>1688</v>
      </c>
      <c r="C8455" t="s">
        <v>2001</v>
      </c>
      <c r="D8455">
        <v>4</v>
      </c>
      <c r="E8455" s="16">
        <v>1200.32</v>
      </c>
      <c r="F8455" s="1">
        <v>44490</v>
      </c>
      <c r="G8455" t="s">
        <v>2004</v>
      </c>
      <c r="H8455">
        <v>1</v>
      </c>
      <c r="I8455" s="12">
        <f>Table16[[#This Row],[price]]*Table16[[#This Row],[quantity]]</f>
        <v>4801.28</v>
      </c>
    </row>
    <row r="8456" spans="1:9" x14ac:dyDescent="0.3">
      <c r="A8456" t="s">
        <v>10470</v>
      </c>
      <c r="B8456" t="s">
        <v>1688</v>
      </c>
      <c r="C8456" t="s">
        <v>2057</v>
      </c>
      <c r="D8456">
        <v>1</v>
      </c>
      <c r="E8456" s="16">
        <v>11.73</v>
      </c>
      <c r="F8456" s="1">
        <v>44506</v>
      </c>
      <c r="G8456" t="s">
        <v>2009</v>
      </c>
      <c r="H8456">
        <v>2</v>
      </c>
      <c r="I8456" s="12">
        <f>Table16[[#This Row],[price]]*Table16[[#This Row],[quantity]]</f>
        <v>11.73</v>
      </c>
    </row>
    <row r="8457" spans="1:9" x14ac:dyDescent="0.3">
      <c r="A8457" t="s">
        <v>10473</v>
      </c>
      <c r="B8457" t="s">
        <v>1688</v>
      </c>
      <c r="C8457" t="s">
        <v>2006</v>
      </c>
      <c r="D8457">
        <v>2</v>
      </c>
      <c r="E8457" s="16">
        <v>30.3</v>
      </c>
      <c r="F8457" s="1">
        <v>44519</v>
      </c>
      <c r="G8457" t="s">
        <v>2064</v>
      </c>
      <c r="H8457">
        <v>1</v>
      </c>
      <c r="I8457" s="12">
        <f>Table16[[#This Row],[price]]*Table16[[#This Row],[quantity]]</f>
        <v>60.6</v>
      </c>
    </row>
    <row r="8458" spans="1:9" x14ac:dyDescent="0.3">
      <c r="A8458" t="s">
        <v>10471</v>
      </c>
      <c r="B8458" t="s">
        <v>1688</v>
      </c>
      <c r="C8458" t="s">
        <v>2001</v>
      </c>
      <c r="D8458">
        <v>5</v>
      </c>
      <c r="E8458" s="16">
        <v>1500.4</v>
      </c>
      <c r="F8458" s="1">
        <v>44947</v>
      </c>
      <c r="G8458" t="s">
        <v>2027</v>
      </c>
      <c r="H8458">
        <v>2</v>
      </c>
      <c r="I8458" s="12">
        <f>Table16[[#This Row],[price]]*Table16[[#This Row],[quantity]]</f>
        <v>7502</v>
      </c>
    </row>
    <row r="8459" spans="1:9" x14ac:dyDescent="0.3">
      <c r="A8459" t="s">
        <v>10477</v>
      </c>
      <c r="B8459" t="s">
        <v>1689</v>
      </c>
      <c r="C8459" t="s">
        <v>2001</v>
      </c>
      <c r="D8459">
        <v>3</v>
      </c>
      <c r="E8459" s="16">
        <v>900.24</v>
      </c>
      <c r="F8459" s="1">
        <v>44201</v>
      </c>
      <c r="G8459" t="s">
        <v>2020</v>
      </c>
      <c r="H8459">
        <v>4</v>
      </c>
      <c r="I8459" s="12">
        <f>Table16[[#This Row],[price]]*Table16[[#This Row],[quantity]]</f>
        <v>2700.7200000000003</v>
      </c>
    </row>
    <row r="8460" spans="1:9" x14ac:dyDescent="0.3">
      <c r="A8460" t="s">
        <v>10476</v>
      </c>
      <c r="B8460" t="s">
        <v>1689</v>
      </c>
      <c r="C8460" t="s">
        <v>2024</v>
      </c>
      <c r="D8460">
        <v>4</v>
      </c>
      <c r="E8460" s="16">
        <v>143.36000000000001</v>
      </c>
      <c r="F8460" s="1">
        <v>44312</v>
      </c>
      <c r="G8460" t="s">
        <v>2020</v>
      </c>
      <c r="H8460">
        <v>1</v>
      </c>
      <c r="I8460" s="12">
        <f>Table16[[#This Row],[price]]*Table16[[#This Row],[quantity]]</f>
        <v>573.44000000000005</v>
      </c>
    </row>
    <row r="8461" spans="1:9" x14ac:dyDescent="0.3">
      <c r="A8461" t="s">
        <v>10475</v>
      </c>
      <c r="B8461" t="s">
        <v>1689</v>
      </c>
      <c r="C8461" t="s">
        <v>2017</v>
      </c>
      <c r="D8461">
        <v>3</v>
      </c>
      <c r="E8461" s="16">
        <v>3150</v>
      </c>
      <c r="F8461" s="1">
        <v>44375</v>
      </c>
      <c r="G8461" t="s">
        <v>2018</v>
      </c>
      <c r="H8461">
        <v>5</v>
      </c>
      <c r="I8461" s="12">
        <f>Table16[[#This Row],[price]]*Table16[[#This Row],[quantity]]</f>
        <v>9450</v>
      </c>
    </row>
    <row r="8462" spans="1:9" x14ac:dyDescent="0.3">
      <c r="A8462" t="s">
        <v>10478</v>
      </c>
      <c r="B8462" t="s">
        <v>1689</v>
      </c>
      <c r="C8462" t="s">
        <v>2011</v>
      </c>
      <c r="D8462">
        <v>4</v>
      </c>
      <c r="E8462" s="16">
        <v>162.63999999999999</v>
      </c>
      <c r="F8462" s="1">
        <v>44682</v>
      </c>
      <c r="G8462" t="s">
        <v>2027</v>
      </c>
      <c r="H8462">
        <v>1</v>
      </c>
      <c r="I8462" s="12">
        <f>Table16[[#This Row],[price]]*Table16[[#This Row],[quantity]]</f>
        <v>650.55999999999995</v>
      </c>
    </row>
    <row r="8463" spans="1:9" x14ac:dyDescent="0.3">
      <c r="A8463" t="s">
        <v>10481</v>
      </c>
      <c r="B8463" t="s">
        <v>1690</v>
      </c>
      <c r="C8463" t="s">
        <v>2008</v>
      </c>
      <c r="D8463">
        <v>5</v>
      </c>
      <c r="E8463" s="16">
        <v>26.15</v>
      </c>
      <c r="F8463" s="1">
        <v>44311</v>
      </c>
      <c r="G8463" t="s">
        <v>2004</v>
      </c>
      <c r="H8463">
        <v>4</v>
      </c>
      <c r="I8463" s="12">
        <f>Table16[[#This Row],[price]]*Table16[[#This Row],[quantity]]</f>
        <v>130.75</v>
      </c>
    </row>
    <row r="8464" spans="1:9" x14ac:dyDescent="0.3">
      <c r="A8464" t="s">
        <v>10480</v>
      </c>
      <c r="B8464" t="s">
        <v>1690</v>
      </c>
      <c r="C8464" t="s">
        <v>2011</v>
      </c>
      <c r="D8464">
        <v>5</v>
      </c>
      <c r="E8464" s="16">
        <v>203.3</v>
      </c>
      <c r="F8464" s="1">
        <v>44404</v>
      </c>
      <c r="G8464" t="s">
        <v>2009</v>
      </c>
      <c r="H8464">
        <v>4</v>
      </c>
      <c r="I8464" s="12">
        <f>Table16[[#This Row],[price]]*Table16[[#This Row],[quantity]]</f>
        <v>1016.5</v>
      </c>
    </row>
    <row r="8465" spans="1:9" x14ac:dyDescent="0.3">
      <c r="A8465" t="s">
        <v>10482</v>
      </c>
      <c r="B8465" t="s">
        <v>1690</v>
      </c>
      <c r="C8465" t="s">
        <v>2001</v>
      </c>
      <c r="D8465">
        <v>2</v>
      </c>
      <c r="E8465" s="16">
        <v>600.16</v>
      </c>
      <c r="F8465" s="1">
        <v>44715</v>
      </c>
      <c r="G8465" t="s">
        <v>2004</v>
      </c>
      <c r="H8465">
        <v>5</v>
      </c>
      <c r="I8465" s="12">
        <f>Table16[[#This Row],[price]]*Table16[[#This Row],[quantity]]</f>
        <v>1200.32</v>
      </c>
    </row>
    <row r="8466" spans="1:9" x14ac:dyDescent="0.3">
      <c r="A8466" t="s">
        <v>10479</v>
      </c>
      <c r="B8466" t="s">
        <v>1690</v>
      </c>
      <c r="C8466" t="s">
        <v>2006</v>
      </c>
      <c r="D8466">
        <v>4</v>
      </c>
      <c r="E8466" s="16">
        <v>60.6</v>
      </c>
      <c r="F8466" s="1">
        <v>44835</v>
      </c>
      <c r="G8466" t="s">
        <v>2064</v>
      </c>
      <c r="H8466">
        <v>5</v>
      </c>
      <c r="I8466" s="12">
        <f>Table16[[#This Row],[price]]*Table16[[#This Row],[quantity]]</f>
        <v>242.4</v>
      </c>
    </row>
    <row r="8467" spans="1:9" x14ac:dyDescent="0.3">
      <c r="A8467" t="s">
        <v>10483</v>
      </c>
      <c r="B8467" t="s">
        <v>1691</v>
      </c>
      <c r="C8467" t="s">
        <v>2001</v>
      </c>
      <c r="D8467">
        <v>1</v>
      </c>
      <c r="E8467" s="16">
        <v>300.08</v>
      </c>
      <c r="F8467" s="1">
        <v>44302</v>
      </c>
      <c r="G8467" t="s">
        <v>2027</v>
      </c>
      <c r="H8467">
        <v>5</v>
      </c>
      <c r="I8467" s="12">
        <f>Table16[[#This Row],[price]]*Table16[[#This Row],[quantity]]</f>
        <v>300.08</v>
      </c>
    </row>
    <row r="8468" spans="1:9" x14ac:dyDescent="0.3">
      <c r="A8468" t="s">
        <v>10486</v>
      </c>
      <c r="B8468" t="s">
        <v>1691</v>
      </c>
      <c r="C8468" t="s">
        <v>2024</v>
      </c>
      <c r="D8468">
        <v>1</v>
      </c>
      <c r="E8468" s="16">
        <v>35.840000000000003</v>
      </c>
      <c r="F8468" s="1">
        <v>44312</v>
      </c>
      <c r="G8468" t="s">
        <v>2004</v>
      </c>
      <c r="H8468">
        <v>4</v>
      </c>
      <c r="I8468" s="12">
        <f>Table16[[#This Row],[price]]*Table16[[#This Row],[quantity]]</f>
        <v>35.840000000000003</v>
      </c>
    </row>
    <row r="8469" spans="1:9" x14ac:dyDescent="0.3">
      <c r="A8469" t="s">
        <v>10484</v>
      </c>
      <c r="B8469" t="s">
        <v>1691</v>
      </c>
      <c r="C8469" t="s">
        <v>2011</v>
      </c>
      <c r="D8469">
        <v>5</v>
      </c>
      <c r="E8469" s="16">
        <v>203.3</v>
      </c>
      <c r="F8469" s="1">
        <v>44568</v>
      </c>
      <c r="G8469" t="s">
        <v>2027</v>
      </c>
      <c r="H8469">
        <v>2</v>
      </c>
      <c r="I8469" s="12">
        <f>Table16[[#This Row],[price]]*Table16[[#This Row],[quantity]]</f>
        <v>1016.5</v>
      </c>
    </row>
    <row r="8470" spans="1:9" x14ac:dyDescent="0.3">
      <c r="A8470" t="s">
        <v>10485</v>
      </c>
      <c r="B8470" t="s">
        <v>1691</v>
      </c>
      <c r="C8470" t="s">
        <v>2024</v>
      </c>
      <c r="D8470">
        <v>5</v>
      </c>
      <c r="E8470" s="16">
        <v>179.2</v>
      </c>
      <c r="F8470" s="1">
        <v>44632</v>
      </c>
      <c r="G8470" t="s">
        <v>2012</v>
      </c>
      <c r="H8470">
        <v>2</v>
      </c>
      <c r="I8470" s="12">
        <f>Table16[[#This Row],[price]]*Table16[[#This Row],[quantity]]</f>
        <v>896</v>
      </c>
    </row>
    <row r="8471" spans="1:9" x14ac:dyDescent="0.3">
      <c r="A8471" t="s">
        <v>10487</v>
      </c>
      <c r="B8471" t="s">
        <v>1691</v>
      </c>
      <c r="C8471" t="s">
        <v>2015</v>
      </c>
      <c r="D8471">
        <v>1</v>
      </c>
      <c r="E8471" s="16">
        <v>600.16999999999996</v>
      </c>
      <c r="F8471" s="1">
        <v>44819</v>
      </c>
      <c r="G8471" t="s">
        <v>2041</v>
      </c>
      <c r="H8471">
        <v>4</v>
      </c>
      <c r="I8471" s="12">
        <f>Table16[[#This Row],[price]]*Table16[[#This Row],[quantity]]</f>
        <v>600.16999999999996</v>
      </c>
    </row>
    <row r="8472" spans="1:9" x14ac:dyDescent="0.3">
      <c r="A8472" t="s">
        <v>10492</v>
      </c>
      <c r="B8472" t="s">
        <v>1692</v>
      </c>
      <c r="C8472" t="s">
        <v>2006</v>
      </c>
      <c r="D8472">
        <v>4</v>
      </c>
      <c r="E8472" s="16">
        <v>60.6</v>
      </c>
      <c r="F8472" s="1">
        <v>44430</v>
      </c>
      <c r="G8472" t="s">
        <v>2027</v>
      </c>
      <c r="H8472">
        <v>3</v>
      </c>
      <c r="I8472" s="12">
        <f>Table16[[#This Row],[price]]*Table16[[#This Row],[quantity]]</f>
        <v>242.4</v>
      </c>
    </row>
    <row r="8473" spans="1:9" x14ac:dyDescent="0.3">
      <c r="A8473" t="s">
        <v>10493</v>
      </c>
      <c r="B8473" t="s">
        <v>1692</v>
      </c>
      <c r="C8473" t="s">
        <v>2001</v>
      </c>
      <c r="D8473">
        <v>4</v>
      </c>
      <c r="E8473" s="16">
        <v>1200.32</v>
      </c>
      <c r="F8473" s="1">
        <v>44520</v>
      </c>
      <c r="G8473" t="s">
        <v>2009</v>
      </c>
      <c r="H8473">
        <v>3</v>
      </c>
      <c r="I8473" s="12">
        <f>Table16[[#This Row],[price]]*Table16[[#This Row],[quantity]]</f>
        <v>4801.28</v>
      </c>
    </row>
    <row r="8474" spans="1:9" x14ac:dyDescent="0.3">
      <c r="A8474" t="s">
        <v>10491</v>
      </c>
      <c r="B8474" t="s">
        <v>1692</v>
      </c>
      <c r="C8474" t="s">
        <v>2024</v>
      </c>
      <c r="D8474">
        <v>5</v>
      </c>
      <c r="E8474" s="16">
        <v>179.2</v>
      </c>
      <c r="F8474" s="1">
        <v>44549</v>
      </c>
      <c r="G8474" t="s">
        <v>2002</v>
      </c>
      <c r="H8474">
        <v>4</v>
      </c>
      <c r="I8474" s="12">
        <f>Table16[[#This Row],[price]]*Table16[[#This Row],[quantity]]</f>
        <v>896</v>
      </c>
    </row>
    <row r="8475" spans="1:9" x14ac:dyDescent="0.3">
      <c r="A8475" t="s">
        <v>10488</v>
      </c>
      <c r="B8475" t="s">
        <v>1692</v>
      </c>
      <c r="C8475" t="s">
        <v>2001</v>
      </c>
      <c r="D8475">
        <v>2</v>
      </c>
      <c r="E8475" s="16">
        <v>600.16</v>
      </c>
      <c r="F8475" s="1">
        <v>44583</v>
      </c>
      <c r="G8475" t="s">
        <v>2004</v>
      </c>
      <c r="H8475">
        <v>5</v>
      </c>
      <c r="I8475" s="12">
        <f>Table16[[#This Row],[price]]*Table16[[#This Row],[quantity]]</f>
        <v>1200.32</v>
      </c>
    </row>
    <row r="8476" spans="1:9" x14ac:dyDescent="0.3">
      <c r="A8476" t="s">
        <v>10489</v>
      </c>
      <c r="B8476" t="s">
        <v>1692</v>
      </c>
      <c r="C8476" t="s">
        <v>2001</v>
      </c>
      <c r="D8476">
        <v>1</v>
      </c>
      <c r="E8476" s="16">
        <v>300.08</v>
      </c>
      <c r="F8476" s="1">
        <v>44691</v>
      </c>
      <c r="G8476" t="s">
        <v>2002</v>
      </c>
      <c r="H8476">
        <v>4</v>
      </c>
      <c r="I8476" s="12">
        <f>Table16[[#This Row],[price]]*Table16[[#This Row],[quantity]]</f>
        <v>300.08</v>
      </c>
    </row>
    <row r="8477" spans="1:9" x14ac:dyDescent="0.3">
      <c r="A8477" t="s">
        <v>10490</v>
      </c>
      <c r="B8477" t="s">
        <v>1692</v>
      </c>
      <c r="C8477" t="s">
        <v>2001</v>
      </c>
      <c r="D8477">
        <v>2</v>
      </c>
      <c r="E8477" s="16">
        <v>600.16</v>
      </c>
      <c r="F8477" s="1">
        <v>44985</v>
      </c>
      <c r="G8477" t="s">
        <v>2004</v>
      </c>
      <c r="H8477">
        <v>5</v>
      </c>
      <c r="I8477" s="12">
        <f>Table16[[#This Row],[price]]*Table16[[#This Row],[quantity]]</f>
        <v>1200.32</v>
      </c>
    </row>
    <row r="8478" spans="1:9" x14ac:dyDescent="0.3">
      <c r="A8478" t="s">
        <v>10494</v>
      </c>
      <c r="B8478" t="s">
        <v>1693</v>
      </c>
      <c r="C8478" t="s">
        <v>2011</v>
      </c>
      <c r="D8478">
        <v>2</v>
      </c>
      <c r="E8478" s="16">
        <v>81.319999999999993</v>
      </c>
      <c r="F8478" s="1">
        <v>44291</v>
      </c>
      <c r="G8478" t="s">
        <v>2002</v>
      </c>
      <c r="H8478">
        <v>5</v>
      </c>
      <c r="I8478" s="12">
        <f>Table16[[#This Row],[price]]*Table16[[#This Row],[quantity]]</f>
        <v>162.63999999999999</v>
      </c>
    </row>
    <row r="8479" spans="1:9" x14ac:dyDescent="0.3">
      <c r="A8479" t="s">
        <v>10499</v>
      </c>
      <c r="B8479" t="s">
        <v>1693</v>
      </c>
      <c r="C8479" t="s">
        <v>2024</v>
      </c>
      <c r="D8479">
        <v>5</v>
      </c>
      <c r="E8479" s="16">
        <v>179.2</v>
      </c>
      <c r="F8479" s="1">
        <v>44571</v>
      </c>
      <c r="G8479" t="s">
        <v>2020</v>
      </c>
      <c r="H8479">
        <v>5</v>
      </c>
      <c r="I8479" s="12">
        <f>Table16[[#This Row],[price]]*Table16[[#This Row],[quantity]]</f>
        <v>896</v>
      </c>
    </row>
    <row r="8480" spans="1:9" x14ac:dyDescent="0.3">
      <c r="A8480" t="s">
        <v>10496</v>
      </c>
      <c r="B8480" t="s">
        <v>1693</v>
      </c>
      <c r="C8480" t="s">
        <v>2008</v>
      </c>
      <c r="D8480">
        <v>1</v>
      </c>
      <c r="E8480" s="16">
        <v>5.23</v>
      </c>
      <c r="F8480" s="1">
        <v>44759</v>
      </c>
      <c r="G8480" t="s">
        <v>2004</v>
      </c>
      <c r="H8480">
        <v>2</v>
      </c>
      <c r="I8480" s="12">
        <f>Table16[[#This Row],[price]]*Table16[[#This Row],[quantity]]</f>
        <v>5.23</v>
      </c>
    </row>
    <row r="8481" spans="1:9" x14ac:dyDescent="0.3">
      <c r="A8481" t="s">
        <v>10495</v>
      </c>
      <c r="B8481" t="s">
        <v>1693</v>
      </c>
      <c r="C8481" t="s">
        <v>2001</v>
      </c>
      <c r="D8481">
        <v>2</v>
      </c>
      <c r="E8481" s="16">
        <v>600.16</v>
      </c>
      <c r="F8481" s="1">
        <v>44785</v>
      </c>
      <c r="G8481" t="s">
        <v>2027</v>
      </c>
      <c r="H8481">
        <v>4</v>
      </c>
      <c r="I8481" s="12">
        <f>Table16[[#This Row],[price]]*Table16[[#This Row],[quantity]]</f>
        <v>1200.32</v>
      </c>
    </row>
    <row r="8482" spans="1:9" x14ac:dyDescent="0.3">
      <c r="A8482" t="s">
        <v>10498</v>
      </c>
      <c r="B8482" t="s">
        <v>1693</v>
      </c>
      <c r="C8482" t="s">
        <v>2011</v>
      </c>
      <c r="D8482">
        <v>5</v>
      </c>
      <c r="E8482" s="16">
        <v>203.3</v>
      </c>
      <c r="F8482" s="1">
        <v>44787</v>
      </c>
      <c r="G8482" t="s">
        <v>2020</v>
      </c>
      <c r="H8482">
        <v>1</v>
      </c>
      <c r="I8482" s="12">
        <f>Table16[[#This Row],[price]]*Table16[[#This Row],[quantity]]</f>
        <v>1016.5</v>
      </c>
    </row>
    <row r="8483" spans="1:9" x14ac:dyDescent="0.3">
      <c r="A8483" t="s">
        <v>10497</v>
      </c>
      <c r="B8483" t="s">
        <v>1693</v>
      </c>
      <c r="C8483" t="s">
        <v>2001</v>
      </c>
      <c r="D8483">
        <v>4</v>
      </c>
      <c r="E8483" s="16">
        <v>1200.32</v>
      </c>
      <c r="F8483" s="1">
        <v>44869</v>
      </c>
      <c r="G8483" t="s">
        <v>2027</v>
      </c>
      <c r="H8483">
        <v>4</v>
      </c>
      <c r="I8483" s="12">
        <f>Table16[[#This Row],[price]]*Table16[[#This Row],[quantity]]</f>
        <v>4801.28</v>
      </c>
    </row>
    <row r="8484" spans="1:9" x14ac:dyDescent="0.3">
      <c r="A8484" t="s">
        <v>10502</v>
      </c>
      <c r="B8484" t="s">
        <v>1694</v>
      </c>
      <c r="C8484" t="s">
        <v>2006</v>
      </c>
      <c r="D8484">
        <v>4</v>
      </c>
      <c r="E8484" s="16">
        <v>60.6</v>
      </c>
      <c r="F8484" s="1">
        <v>44266</v>
      </c>
      <c r="G8484" t="s">
        <v>2027</v>
      </c>
      <c r="H8484">
        <v>2</v>
      </c>
      <c r="I8484" s="12">
        <f>Table16[[#This Row],[price]]*Table16[[#This Row],[quantity]]</f>
        <v>242.4</v>
      </c>
    </row>
    <row r="8485" spans="1:9" x14ac:dyDescent="0.3">
      <c r="A8485" t="s">
        <v>10504</v>
      </c>
      <c r="B8485" t="s">
        <v>1694</v>
      </c>
      <c r="C8485" t="s">
        <v>2008</v>
      </c>
      <c r="D8485">
        <v>3</v>
      </c>
      <c r="E8485" s="16">
        <v>15.69</v>
      </c>
      <c r="F8485" s="1">
        <v>44316</v>
      </c>
      <c r="G8485" t="s">
        <v>2018</v>
      </c>
      <c r="H8485">
        <v>1</v>
      </c>
      <c r="I8485" s="12">
        <f>Table16[[#This Row],[price]]*Table16[[#This Row],[quantity]]</f>
        <v>47.07</v>
      </c>
    </row>
    <row r="8486" spans="1:9" x14ac:dyDescent="0.3">
      <c r="A8486" t="s">
        <v>10501</v>
      </c>
      <c r="B8486" t="s">
        <v>1694</v>
      </c>
      <c r="C8486" t="s">
        <v>2011</v>
      </c>
      <c r="D8486">
        <v>5</v>
      </c>
      <c r="E8486" s="16">
        <v>203.3</v>
      </c>
      <c r="F8486" s="1">
        <v>44323</v>
      </c>
      <c r="G8486" t="s">
        <v>2064</v>
      </c>
      <c r="H8486">
        <v>5</v>
      </c>
      <c r="I8486" s="12">
        <f>Table16[[#This Row],[price]]*Table16[[#This Row],[quantity]]</f>
        <v>1016.5</v>
      </c>
    </row>
    <row r="8487" spans="1:9" x14ac:dyDescent="0.3">
      <c r="A8487" t="s">
        <v>10505</v>
      </c>
      <c r="B8487" t="s">
        <v>1694</v>
      </c>
      <c r="C8487" t="s">
        <v>2008</v>
      </c>
      <c r="D8487">
        <v>2</v>
      </c>
      <c r="E8487" s="16">
        <v>10.46</v>
      </c>
      <c r="F8487" s="1">
        <v>44433</v>
      </c>
      <c r="G8487" t="s">
        <v>2018</v>
      </c>
      <c r="H8487">
        <v>1</v>
      </c>
      <c r="I8487" s="12">
        <f>Table16[[#This Row],[price]]*Table16[[#This Row],[quantity]]</f>
        <v>20.92</v>
      </c>
    </row>
    <row r="8488" spans="1:9" x14ac:dyDescent="0.3">
      <c r="A8488" t="s">
        <v>10503</v>
      </c>
      <c r="B8488" t="s">
        <v>1694</v>
      </c>
      <c r="C8488" t="s">
        <v>2008</v>
      </c>
      <c r="D8488">
        <v>3</v>
      </c>
      <c r="E8488" s="16">
        <v>15.69</v>
      </c>
      <c r="F8488" s="1">
        <v>44488</v>
      </c>
      <c r="G8488" t="s">
        <v>2064</v>
      </c>
      <c r="H8488">
        <v>5</v>
      </c>
      <c r="I8488" s="12">
        <f>Table16[[#This Row],[price]]*Table16[[#This Row],[quantity]]</f>
        <v>47.07</v>
      </c>
    </row>
    <row r="8489" spans="1:9" x14ac:dyDescent="0.3">
      <c r="A8489" t="s">
        <v>10510</v>
      </c>
      <c r="B8489" t="s">
        <v>1694</v>
      </c>
      <c r="C8489" t="s">
        <v>2008</v>
      </c>
      <c r="D8489">
        <v>2</v>
      </c>
      <c r="E8489" s="16">
        <v>10.46</v>
      </c>
      <c r="F8489" s="1">
        <v>44521</v>
      </c>
      <c r="G8489" t="s">
        <v>2004</v>
      </c>
      <c r="H8489">
        <v>2</v>
      </c>
      <c r="I8489" s="12">
        <f>Table16[[#This Row],[price]]*Table16[[#This Row],[quantity]]</f>
        <v>20.92</v>
      </c>
    </row>
    <row r="8490" spans="1:9" x14ac:dyDescent="0.3">
      <c r="A8490" t="s">
        <v>10500</v>
      </c>
      <c r="B8490" t="s">
        <v>1694</v>
      </c>
      <c r="C8490" t="s">
        <v>2008</v>
      </c>
      <c r="D8490">
        <v>5</v>
      </c>
      <c r="E8490" s="16">
        <v>26.15</v>
      </c>
      <c r="F8490" s="1">
        <v>44546</v>
      </c>
      <c r="G8490" t="s">
        <v>2027</v>
      </c>
      <c r="H8490">
        <v>5</v>
      </c>
      <c r="I8490" s="12">
        <f>Table16[[#This Row],[price]]*Table16[[#This Row],[quantity]]</f>
        <v>130.75</v>
      </c>
    </row>
    <row r="8491" spans="1:9" x14ac:dyDescent="0.3">
      <c r="A8491" t="s">
        <v>10507</v>
      </c>
      <c r="B8491" t="s">
        <v>1694</v>
      </c>
      <c r="C8491" t="s">
        <v>2015</v>
      </c>
      <c r="D8491">
        <v>5</v>
      </c>
      <c r="E8491" s="16">
        <v>3000.85</v>
      </c>
      <c r="F8491" s="1">
        <v>44587</v>
      </c>
      <c r="G8491" t="s">
        <v>2002</v>
      </c>
      <c r="H8491">
        <v>4</v>
      </c>
      <c r="I8491" s="12">
        <f>Table16[[#This Row],[price]]*Table16[[#This Row],[quantity]]</f>
        <v>15004.25</v>
      </c>
    </row>
    <row r="8492" spans="1:9" x14ac:dyDescent="0.3">
      <c r="A8492" t="s">
        <v>10511</v>
      </c>
      <c r="B8492" t="s">
        <v>1694</v>
      </c>
      <c r="C8492" t="s">
        <v>2008</v>
      </c>
      <c r="D8492">
        <v>1</v>
      </c>
      <c r="E8492" s="16">
        <v>5.23</v>
      </c>
      <c r="F8492" s="1">
        <v>44639</v>
      </c>
      <c r="G8492" t="s">
        <v>2002</v>
      </c>
      <c r="H8492">
        <v>4</v>
      </c>
      <c r="I8492" s="12">
        <f>Table16[[#This Row],[price]]*Table16[[#This Row],[quantity]]</f>
        <v>5.23</v>
      </c>
    </row>
    <row r="8493" spans="1:9" x14ac:dyDescent="0.3">
      <c r="A8493" t="s">
        <v>10509</v>
      </c>
      <c r="B8493" t="s">
        <v>1694</v>
      </c>
      <c r="C8493" t="s">
        <v>2001</v>
      </c>
      <c r="D8493">
        <v>4</v>
      </c>
      <c r="E8493" s="16">
        <v>1200.32</v>
      </c>
      <c r="F8493" s="1">
        <v>44792</v>
      </c>
      <c r="G8493" t="s">
        <v>2002</v>
      </c>
      <c r="H8493">
        <v>5</v>
      </c>
      <c r="I8493" s="12">
        <f>Table16[[#This Row],[price]]*Table16[[#This Row],[quantity]]</f>
        <v>4801.28</v>
      </c>
    </row>
    <row r="8494" spans="1:9" x14ac:dyDescent="0.3">
      <c r="A8494" t="s">
        <v>10506</v>
      </c>
      <c r="B8494" t="s">
        <v>1694</v>
      </c>
      <c r="C8494" t="s">
        <v>2011</v>
      </c>
      <c r="D8494">
        <v>5</v>
      </c>
      <c r="E8494" s="16">
        <v>203.3</v>
      </c>
      <c r="F8494" s="1">
        <v>44822</v>
      </c>
      <c r="G8494" t="s">
        <v>2004</v>
      </c>
      <c r="H8494">
        <v>2</v>
      </c>
      <c r="I8494" s="12">
        <f>Table16[[#This Row],[price]]*Table16[[#This Row],[quantity]]</f>
        <v>1016.5</v>
      </c>
    </row>
    <row r="8495" spans="1:9" x14ac:dyDescent="0.3">
      <c r="A8495" t="s">
        <v>10508</v>
      </c>
      <c r="B8495" t="s">
        <v>1694</v>
      </c>
      <c r="C8495" t="s">
        <v>2001</v>
      </c>
      <c r="D8495">
        <v>4</v>
      </c>
      <c r="E8495" s="16">
        <v>1200.32</v>
      </c>
      <c r="F8495" s="1">
        <v>44878</v>
      </c>
      <c r="G8495" t="s">
        <v>2027</v>
      </c>
      <c r="H8495">
        <v>1</v>
      </c>
      <c r="I8495" s="12">
        <f>Table16[[#This Row],[price]]*Table16[[#This Row],[quantity]]</f>
        <v>4801.28</v>
      </c>
    </row>
    <row r="8496" spans="1:9" x14ac:dyDescent="0.3">
      <c r="A8496" t="s">
        <v>10512</v>
      </c>
      <c r="B8496" t="s">
        <v>1694</v>
      </c>
      <c r="C8496" t="s">
        <v>2011</v>
      </c>
      <c r="D8496">
        <v>1</v>
      </c>
      <c r="E8496" s="16">
        <v>40.659999999999997</v>
      </c>
      <c r="F8496" s="1">
        <v>44980</v>
      </c>
      <c r="G8496" t="s">
        <v>2004</v>
      </c>
      <c r="H8496">
        <v>2</v>
      </c>
      <c r="I8496" s="12">
        <f>Table16[[#This Row],[price]]*Table16[[#This Row],[quantity]]</f>
        <v>40.659999999999997</v>
      </c>
    </row>
    <row r="8497" spans="1:9" x14ac:dyDescent="0.3">
      <c r="A8497" t="s">
        <v>10515</v>
      </c>
      <c r="B8497" t="s">
        <v>1695</v>
      </c>
      <c r="C8497" t="s">
        <v>2008</v>
      </c>
      <c r="D8497">
        <v>2</v>
      </c>
      <c r="E8497" s="16">
        <v>10.46</v>
      </c>
      <c r="F8497" s="1">
        <v>44303</v>
      </c>
      <c r="G8497" t="s">
        <v>2012</v>
      </c>
      <c r="H8497">
        <v>5</v>
      </c>
      <c r="I8497" s="12">
        <f>Table16[[#This Row],[price]]*Table16[[#This Row],[quantity]]</f>
        <v>20.92</v>
      </c>
    </row>
    <row r="8498" spans="1:9" x14ac:dyDescent="0.3">
      <c r="A8498" t="s">
        <v>10513</v>
      </c>
      <c r="B8498" t="s">
        <v>1695</v>
      </c>
      <c r="C8498" t="s">
        <v>2011</v>
      </c>
      <c r="D8498">
        <v>2</v>
      </c>
      <c r="E8498" s="16">
        <v>81.319999999999993</v>
      </c>
      <c r="F8498" s="1">
        <v>44365</v>
      </c>
      <c r="G8498" t="s">
        <v>2004</v>
      </c>
      <c r="H8498">
        <v>2</v>
      </c>
      <c r="I8498" s="12">
        <f>Table16[[#This Row],[price]]*Table16[[#This Row],[quantity]]</f>
        <v>162.63999999999999</v>
      </c>
    </row>
    <row r="8499" spans="1:9" x14ac:dyDescent="0.3">
      <c r="A8499" t="s">
        <v>10514</v>
      </c>
      <c r="B8499" t="s">
        <v>1695</v>
      </c>
      <c r="C8499" t="s">
        <v>2017</v>
      </c>
      <c r="D8499">
        <v>3</v>
      </c>
      <c r="E8499" s="16">
        <v>3150</v>
      </c>
      <c r="F8499" s="1">
        <v>44419</v>
      </c>
      <c r="G8499" t="s">
        <v>2027</v>
      </c>
      <c r="H8499">
        <v>2</v>
      </c>
      <c r="I8499" s="12">
        <f>Table16[[#This Row],[price]]*Table16[[#This Row],[quantity]]</f>
        <v>9450</v>
      </c>
    </row>
    <row r="8500" spans="1:9" x14ac:dyDescent="0.3">
      <c r="A8500" t="s">
        <v>10518</v>
      </c>
      <c r="B8500" t="s">
        <v>1695</v>
      </c>
      <c r="C8500" t="s">
        <v>2008</v>
      </c>
      <c r="D8500">
        <v>5</v>
      </c>
      <c r="E8500" s="16">
        <v>26.15</v>
      </c>
      <c r="F8500" s="1">
        <v>44435</v>
      </c>
      <c r="G8500" t="s">
        <v>2027</v>
      </c>
      <c r="H8500">
        <v>2</v>
      </c>
      <c r="I8500" s="12">
        <f>Table16[[#This Row],[price]]*Table16[[#This Row],[quantity]]</f>
        <v>130.75</v>
      </c>
    </row>
    <row r="8501" spans="1:9" x14ac:dyDescent="0.3">
      <c r="A8501" t="s">
        <v>10516</v>
      </c>
      <c r="B8501" t="s">
        <v>1695</v>
      </c>
      <c r="C8501" t="s">
        <v>2001</v>
      </c>
      <c r="D8501">
        <v>5</v>
      </c>
      <c r="E8501" s="16">
        <v>1500.4</v>
      </c>
      <c r="F8501" s="1">
        <v>44802</v>
      </c>
      <c r="G8501" t="s">
        <v>2020</v>
      </c>
      <c r="H8501">
        <v>4</v>
      </c>
      <c r="I8501" s="12">
        <f>Table16[[#This Row],[price]]*Table16[[#This Row],[quantity]]</f>
        <v>7502</v>
      </c>
    </row>
    <row r="8502" spans="1:9" x14ac:dyDescent="0.3">
      <c r="A8502" t="s">
        <v>10517</v>
      </c>
      <c r="B8502" t="s">
        <v>1695</v>
      </c>
      <c r="C8502" t="s">
        <v>2001</v>
      </c>
      <c r="D8502">
        <v>2</v>
      </c>
      <c r="E8502" s="16">
        <v>600.16</v>
      </c>
      <c r="F8502" s="1">
        <v>44837</v>
      </c>
      <c r="G8502" t="s">
        <v>2004</v>
      </c>
      <c r="H8502">
        <v>5</v>
      </c>
      <c r="I8502" s="12">
        <f>Table16[[#This Row],[price]]*Table16[[#This Row],[quantity]]</f>
        <v>1200.32</v>
      </c>
    </row>
    <row r="8503" spans="1:9" x14ac:dyDescent="0.3">
      <c r="A8503" t="s">
        <v>10519</v>
      </c>
      <c r="B8503" t="s">
        <v>1695</v>
      </c>
      <c r="C8503" t="s">
        <v>2001</v>
      </c>
      <c r="D8503">
        <v>3</v>
      </c>
      <c r="E8503" s="16">
        <v>900.24</v>
      </c>
      <c r="F8503" s="1">
        <v>44992</v>
      </c>
      <c r="G8503" t="s">
        <v>2058</v>
      </c>
      <c r="H8503">
        <v>1</v>
      </c>
      <c r="I8503" s="12">
        <f>Table16[[#This Row],[price]]*Table16[[#This Row],[quantity]]</f>
        <v>2700.7200000000003</v>
      </c>
    </row>
    <row r="8504" spans="1:9" x14ac:dyDescent="0.3">
      <c r="A8504" t="s">
        <v>10522</v>
      </c>
      <c r="B8504" t="s">
        <v>1696</v>
      </c>
      <c r="C8504" t="s">
        <v>2001</v>
      </c>
      <c r="D8504">
        <v>4</v>
      </c>
      <c r="E8504" s="16">
        <v>1200.32</v>
      </c>
      <c r="F8504" s="1">
        <v>44387</v>
      </c>
      <c r="G8504" t="s">
        <v>2027</v>
      </c>
      <c r="H8504">
        <v>4</v>
      </c>
      <c r="I8504" s="12">
        <f>Table16[[#This Row],[price]]*Table16[[#This Row],[quantity]]</f>
        <v>4801.28</v>
      </c>
    </row>
    <row r="8505" spans="1:9" x14ac:dyDescent="0.3">
      <c r="A8505" t="s">
        <v>10521</v>
      </c>
      <c r="B8505" t="s">
        <v>1696</v>
      </c>
      <c r="C8505" t="s">
        <v>2011</v>
      </c>
      <c r="D8505">
        <v>1</v>
      </c>
      <c r="E8505" s="16">
        <v>40.659999999999997</v>
      </c>
      <c r="F8505" s="1">
        <v>44796</v>
      </c>
      <c r="G8505" t="s">
        <v>2027</v>
      </c>
      <c r="H8505">
        <v>5</v>
      </c>
      <c r="I8505" s="12">
        <f>Table16[[#This Row],[price]]*Table16[[#This Row],[quantity]]</f>
        <v>40.659999999999997</v>
      </c>
    </row>
    <row r="8506" spans="1:9" x14ac:dyDescent="0.3">
      <c r="A8506" t="s">
        <v>10520</v>
      </c>
      <c r="B8506" t="s">
        <v>1696</v>
      </c>
      <c r="C8506" t="s">
        <v>2001</v>
      </c>
      <c r="D8506">
        <v>3</v>
      </c>
      <c r="E8506" s="16">
        <v>900.24</v>
      </c>
      <c r="F8506" s="1">
        <v>44903</v>
      </c>
      <c r="G8506" t="s">
        <v>2004</v>
      </c>
      <c r="H8506">
        <v>3</v>
      </c>
      <c r="I8506" s="12">
        <f>Table16[[#This Row],[price]]*Table16[[#This Row],[quantity]]</f>
        <v>2700.7200000000003</v>
      </c>
    </row>
    <row r="8507" spans="1:9" x14ac:dyDescent="0.3">
      <c r="A8507" t="s">
        <v>10524</v>
      </c>
      <c r="B8507" t="s">
        <v>1697</v>
      </c>
      <c r="C8507" t="s">
        <v>2001</v>
      </c>
      <c r="D8507">
        <v>2</v>
      </c>
      <c r="E8507" s="16">
        <v>600.16</v>
      </c>
      <c r="F8507" s="1">
        <v>44248</v>
      </c>
      <c r="G8507" t="s">
        <v>2004</v>
      </c>
      <c r="H8507">
        <v>3</v>
      </c>
      <c r="I8507" s="12">
        <f>Table16[[#This Row],[price]]*Table16[[#This Row],[quantity]]</f>
        <v>1200.32</v>
      </c>
    </row>
    <row r="8508" spans="1:9" x14ac:dyDescent="0.3">
      <c r="A8508" t="s">
        <v>10523</v>
      </c>
      <c r="B8508" t="s">
        <v>1697</v>
      </c>
      <c r="C8508" t="s">
        <v>2015</v>
      </c>
      <c r="D8508">
        <v>1</v>
      </c>
      <c r="E8508" s="16">
        <v>600.16999999999996</v>
      </c>
      <c r="F8508" s="1">
        <v>44467</v>
      </c>
      <c r="G8508" t="s">
        <v>2012</v>
      </c>
      <c r="H8508">
        <v>4</v>
      </c>
      <c r="I8508" s="12">
        <f>Table16[[#This Row],[price]]*Table16[[#This Row],[quantity]]</f>
        <v>600.16999999999996</v>
      </c>
    </row>
    <row r="8509" spans="1:9" x14ac:dyDescent="0.3">
      <c r="A8509" t="s">
        <v>10527</v>
      </c>
      <c r="B8509" t="s">
        <v>1697</v>
      </c>
      <c r="C8509" t="s">
        <v>2057</v>
      </c>
      <c r="D8509">
        <v>4</v>
      </c>
      <c r="E8509" s="16">
        <v>46.92</v>
      </c>
      <c r="F8509" s="1">
        <v>44861</v>
      </c>
      <c r="G8509" t="s">
        <v>2041</v>
      </c>
      <c r="H8509">
        <v>3</v>
      </c>
      <c r="I8509" s="12">
        <f>Table16[[#This Row],[price]]*Table16[[#This Row],[quantity]]</f>
        <v>187.68</v>
      </c>
    </row>
    <row r="8510" spans="1:9" x14ac:dyDescent="0.3">
      <c r="A8510" t="s">
        <v>10525</v>
      </c>
      <c r="B8510" t="s">
        <v>1697</v>
      </c>
      <c r="C8510" t="s">
        <v>2001</v>
      </c>
      <c r="D8510">
        <v>1</v>
      </c>
      <c r="E8510" s="16">
        <v>300.08</v>
      </c>
      <c r="F8510" s="1">
        <v>44879</v>
      </c>
      <c r="G8510" t="s">
        <v>2002</v>
      </c>
      <c r="H8510">
        <v>3</v>
      </c>
      <c r="I8510" s="12">
        <f>Table16[[#This Row],[price]]*Table16[[#This Row],[quantity]]</f>
        <v>300.08</v>
      </c>
    </row>
    <row r="8511" spans="1:9" x14ac:dyDescent="0.3">
      <c r="A8511" t="s">
        <v>10526</v>
      </c>
      <c r="B8511" t="s">
        <v>1697</v>
      </c>
      <c r="C8511" t="s">
        <v>2017</v>
      </c>
      <c r="D8511">
        <v>2</v>
      </c>
      <c r="E8511" s="16">
        <v>2100</v>
      </c>
      <c r="F8511" s="1">
        <v>44943</v>
      </c>
      <c r="G8511" t="s">
        <v>2027</v>
      </c>
      <c r="H8511">
        <v>5</v>
      </c>
      <c r="I8511" s="12">
        <f>Table16[[#This Row],[price]]*Table16[[#This Row],[quantity]]</f>
        <v>4200</v>
      </c>
    </row>
    <row r="8512" spans="1:9" x14ac:dyDescent="0.3">
      <c r="A8512" t="s">
        <v>10532</v>
      </c>
      <c r="B8512" t="s">
        <v>1698</v>
      </c>
      <c r="C8512" t="s">
        <v>2011</v>
      </c>
      <c r="D8512">
        <v>1</v>
      </c>
      <c r="E8512" s="16">
        <v>40.659999999999997</v>
      </c>
      <c r="F8512" s="1">
        <v>44338</v>
      </c>
      <c r="G8512" t="s">
        <v>2058</v>
      </c>
      <c r="H8512">
        <v>4</v>
      </c>
      <c r="I8512" s="12">
        <f>Table16[[#This Row],[price]]*Table16[[#This Row],[quantity]]</f>
        <v>40.659999999999997</v>
      </c>
    </row>
    <row r="8513" spans="1:9" x14ac:dyDescent="0.3">
      <c r="A8513" t="s">
        <v>10528</v>
      </c>
      <c r="B8513" t="s">
        <v>1698</v>
      </c>
      <c r="C8513" t="s">
        <v>2001</v>
      </c>
      <c r="D8513">
        <v>1</v>
      </c>
      <c r="E8513" s="16">
        <v>300.08</v>
      </c>
      <c r="F8513" s="1">
        <v>44442</v>
      </c>
      <c r="G8513" t="s">
        <v>2027</v>
      </c>
      <c r="H8513">
        <v>3</v>
      </c>
      <c r="I8513" s="12">
        <f>Table16[[#This Row],[price]]*Table16[[#This Row],[quantity]]</f>
        <v>300.08</v>
      </c>
    </row>
    <row r="8514" spans="1:9" x14ac:dyDescent="0.3">
      <c r="A8514" t="s">
        <v>10529</v>
      </c>
      <c r="B8514" t="s">
        <v>1698</v>
      </c>
      <c r="C8514" t="s">
        <v>2024</v>
      </c>
      <c r="D8514">
        <v>3</v>
      </c>
      <c r="E8514" s="16">
        <v>107.52</v>
      </c>
      <c r="F8514" s="1">
        <v>44504</v>
      </c>
      <c r="G8514" t="s">
        <v>2020</v>
      </c>
      <c r="H8514">
        <v>3</v>
      </c>
      <c r="I8514" s="12">
        <f>Table16[[#This Row],[price]]*Table16[[#This Row],[quantity]]</f>
        <v>322.56</v>
      </c>
    </row>
    <row r="8515" spans="1:9" x14ac:dyDescent="0.3">
      <c r="A8515" t="s">
        <v>10533</v>
      </c>
      <c r="B8515" t="s">
        <v>1698</v>
      </c>
      <c r="C8515" t="s">
        <v>2006</v>
      </c>
      <c r="D8515">
        <v>1</v>
      </c>
      <c r="E8515" s="16">
        <v>15.15</v>
      </c>
      <c r="F8515" s="1">
        <v>44686</v>
      </c>
      <c r="G8515" t="s">
        <v>2009</v>
      </c>
      <c r="H8515">
        <v>5</v>
      </c>
      <c r="I8515" s="12">
        <f>Table16[[#This Row],[price]]*Table16[[#This Row],[quantity]]</f>
        <v>15.15</v>
      </c>
    </row>
    <row r="8516" spans="1:9" x14ac:dyDescent="0.3">
      <c r="A8516" t="s">
        <v>10530</v>
      </c>
      <c r="B8516" t="s">
        <v>1698</v>
      </c>
      <c r="C8516" t="s">
        <v>2008</v>
      </c>
      <c r="D8516">
        <v>4</v>
      </c>
      <c r="E8516" s="16">
        <v>20.92</v>
      </c>
      <c r="F8516" s="1">
        <v>44763</v>
      </c>
      <c r="G8516" t="s">
        <v>2009</v>
      </c>
      <c r="H8516">
        <v>4</v>
      </c>
      <c r="I8516" s="12">
        <f>Table16[[#This Row],[price]]*Table16[[#This Row],[quantity]]</f>
        <v>83.68</v>
      </c>
    </row>
    <row r="8517" spans="1:9" x14ac:dyDescent="0.3">
      <c r="A8517" t="s">
        <v>10531</v>
      </c>
      <c r="B8517" t="s">
        <v>1698</v>
      </c>
      <c r="C8517" t="s">
        <v>2017</v>
      </c>
      <c r="D8517">
        <v>1</v>
      </c>
      <c r="E8517" s="16">
        <v>1050</v>
      </c>
      <c r="F8517" s="1">
        <v>44966</v>
      </c>
      <c r="G8517" t="s">
        <v>2012</v>
      </c>
      <c r="H8517">
        <v>3</v>
      </c>
      <c r="I8517" s="12">
        <f>Table16[[#This Row],[price]]*Table16[[#This Row],[quantity]]</f>
        <v>1050</v>
      </c>
    </row>
    <row r="8518" spans="1:9" x14ac:dyDescent="0.3">
      <c r="A8518" t="s">
        <v>10537</v>
      </c>
      <c r="B8518" t="s">
        <v>1699</v>
      </c>
      <c r="C8518" t="s">
        <v>2008</v>
      </c>
      <c r="D8518">
        <v>4</v>
      </c>
      <c r="E8518" s="16">
        <v>20.92</v>
      </c>
      <c r="F8518" s="1">
        <v>44479</v>
      </c>
      <c r="G8518" t="s">
        <v>2020</v>
      </c>
      <c r="H8518">
        <v>4</v>
      </c>
      <c r="I8518" s="12">
        <f>Table16[[#This Row],[price]]*Table16[[#This Row],[quantity]]</f>
        <v>83.68</v>
      </c>
    </row>
    <row r="8519" spans="1:9" x14ac:dyDescent="0.3">
      <c r="A8519" t="s">
        <v>10538</v>
      </c>
      <c r="B8519" t="s">
        <v>1699</v>
      </c>
      <c r="C8519" t="s">
        <v>2017</v>
      </c>
      <c r="D8519">
        <v>5</v>
      </c>
      <c r="E8519" s="16">
        <v>5250</v>
      </c>
      <c r="F8519" s="1">
        <v>44488</v>
      </c>
      <c r="G8519" t="s">
        <v>2012</v>
      </c>
      <c r="H8519">
        <v>4</v>
      </c>
      <c r="I8519" s="12">
        <f>Table16[[#This Row],[price]]*Table16[[#This Row],[quantity]]</f>
        <v>26250</v>
      </c>
    </row>
    <row r="8520" spans="1:9" x14ac:dyDescent="0.3">
      <c r="A8520" t="s">
        <v>10536</v>
      </c>
      <c r="B8520" t="s">
        <v>1699</v>
      </c>
      <c r="C8520" t="s">
        <v>2017</v>
      </c>
      <c r="D8520">
        <v>4</v>
      </c>
      <c r="E8520" s="16">
        <v>4200</v>
      </c>
      <c r="F8520" s="1">
        <v>44651</v>
      </c>
      <c r="G8520" t="s">
        <v>2009</v>
      </c>
      <c r="H8520">
        <v>5</v>
      </c>
      <c r="I8520" s="12">
        <f>Table16[[#This Row],[price]]*Table16[[#This Row],[quantity]]</f>
        <v>16800</v>
      </c>
    </row>
    <row r="8521" spans="1:9" x14ac:dyDescent="0.3">
      <c r="A8521" t="s">
        <v>10535</v>
      </c>
      <c r="B8521" t="s">
        <v>1699</v>
      </c>
      <c r="C8521" t="s">
        <v>2001</v>
      </c>
      <c r="D8521">
        <v>2</v>
      </c>
      <c r="E8521" s="16">
        <v>600.16</v>
      </c>
      <c r="F8521" s="1">
        <v>44696</v>
      </c>
      <c r="G8521" t="s">
        <v>2002</v>
      </c>
      <c r="H8521">
        <v>2</v>
      </c>
      <c r="I8521" s="12">
        <f>Table16[[#This Row],[price]]*Table16[[#This Row],[quantity]]</f>
        <v>1200.32</v>
      </c>
    </row>
    <row r="8522" spans="1:9" x14ac:dyDescent="0.3">
      <c r="A8522" t="s">
        <v>10534</v>
      </c>
      <c r="B8522" t="s">
        <v>1699</v>
      </c>
      <c r="C8522" t="s">
        <v>2008</v>
      </c>
      <c r="D8522">
        <v>3</v>
      </c>
      <c r="E8522" s="16">
        <v>15.69</v>
      </c>
      <c r="F8522" s="1">
        <v>44782</v>
      </c>
      <c r="G8522" t="s">
        <v>2041</v>
      </c>
      <c r="H8522">
        <v>3</v>
      </c>
      <c r="I8522" s="12">
        <f>Table16[[#This Row],[price]]*Table16[[#This Row],[quantity]]</f>
        <v>47.07</v>
      </c>
    </row>
    <row r="8523" spans="1:9" x14ac:dyDescent="0.3">
      <c r="A8523" t="s">
        <v>10542</v>
      </c>
      <c r="B8523" t="s">
        <v>1700</v>
      </c>
      <c r="C8523" t="s">
        <v>2011</v>
      </c>
      <c r="D8523">
        <v>5</v>
      </c>
      <c r="E8523" s="16">
        <v>203.3</v>
      </c>
      <c r="F8523" s="1">
        <v>44493</v>
      </c>
      <c r="G8523" t="s">
        <v>2004</v>
      </c>
      <c r="H8523">
        <v>4</v>
      </c>
      <c r="I8523" s="12">
        <f>Table16[[#This Row],[price]]*Table16[[#This Row],[quantity]]</f>
        <v>1016.5</v>
      </c>
    </row>
    <row r="8524" spans="1:9" x14ac:dyDescent="0.3">
      <c r="A8524" t="s">
        <v>10543</v>
      </c>
      <c r="B8524" t="s">
        <v>1700</v>
      </c>
      <c r="C8524" t="s">
        <v>2011</v>
      </c>
      <c r="D8524">
        <v>2</v>
      </c>
      <c r="E8524" s="16">
        <v>81.319999999999993</v>
      </c>
      <c r="F8524" s="1">
        <v>44587</v>
      </c>
      <c r="G8524" t="s">
        <v>2064</v>
      </c>
      <c r="H8524">
        <v>3</v>
      </c>
      <c r="I8524" s="12">
        <f>Table16[[#This Row],[price]]*Table16[[#This Row],[quantity]]</f>
        <v>162.63999999999999</v>
      </c>
    </row>
    <row r="8525" spans="1:9" x14ac:dyDescent="0.3">
      <c r="A8525" t="s">
        <v>10541</v>
      </c>
      <c r="B8525" t="s">
        <v>1700</v>
      </c>
      <c r="C8525" t="s">
        <v>2017</v>
      </c>
      <c r="D8525">
        <v>3</v>
      </c>
      <c r="E8525" s="16">
        <v>3150</v>
      </c>
      <c r="F8525" s="1">
        <v>44703</v>
      </c>
      <c r="G8525" t="s">
        <v>2041</v>
      </c>
      <c r="H8525">
        <v>3</v>
      </c>
      <c r="I8525" s="12">
        <f>Table16[[#This Row],[price]]*Table16[[#This Row],[quantity]]</f>
        <v>9450</v>
      </c>
    </row>
    <row r="8526" spans="1:9" x14ac:dyDescent="0.3">
      <c r="A8526" t="s">
        <v>10539</v>
      </c>
      <c r="B8526" t="s">
        <v>1700</v>
      </c>
      <c r="C8526" t="s">
        <v>2001</v>
      </c>
      <c r="D8526">
        <v>1</v>
      </c>
      <c r="E8526" s="16">
        <v>300.08</v>
      </c>
      <c r="F8526" s="1">
        <v>44798</v>
      </c>
      <c r="G8526" t="s">
        <v>2027</v>
      </c>
      <c r="H8526">
        <v>3</v>
      </c>
      <c r="I8526" s="12">
        <f>Table16[[#This Row],[price]]*Table16[[#This Row],[quantity]]</f>
        <v>300.08</v>
      </c>
    </row>
    <row r="8527" spans="1:9" x14ac:dyDescent="0.3">
      <c r="A8527" t="s">
        <v>10540</v>
      </c>
      <c r="B8527" t="s">
        <v>1700</v>
      </c>
      <c r="C8527" t="s">
        <v>2008</v>
      </c>
      <c r="D8527">
        <v>2</v>
      </c>
      <c r="E8527" s="16">
        <v>10.46</v>
      </c>
      <c r="F8527" s="1">
        <v>44957</v>
      </c>
      <c r="G8527" t="s">
        <v>2004</v>
      </c>
      <c r="H8527">
        <v>3</v>
      </c>
      <c r="I8527" s="12">
        <f>Table16[[#This Row],[price]]*Table16[[#This Row],[quantity]]</f>
        <v>20.92</v>
      </c>
    </row>
    <row r="8528" spans="1:9" x14ac:dyDescent="0.3">
      <c r="A8528" t="s">
        <v>10546</v>
      </c>
      <c r="B8528" t="s">
        <v>1701</v>
      </c>
      <c r="C8528" t="s">
        <v>2001</v>
      </c>
      <c r="D8528">
        <v>3</v>
      </c>
      <c r="E8528" s="16">
        <v>900.24</v>
      </c>
      <c r="F8528" s="1">
        <v>44235</v>
      </c>
      <c r="G8528" t="s">
        <v>2004</v>
      </c>
      <c r="H8528">
        <v>5</v>
      </c>
      <c r="I8528" s="12">
        <f>Table16[[#This Row],[price]]*Table16[[#This Row],[quantity]]</f>
        <v>2700.7200000000003</v>
      </c>
    </row>
    <row r="8529" spans="1:9" x14ac:dyDescent="0.3">
      <c r="A8529" t="s">
        <v>10547</v>
      </c>
      <c r="B8529" t="s">
        <v>1701</v>
      </c>
      <c r="C8529" t="s">
        <v>2001</v>
      </c>
      <c r="D8529">
        <v>3</v>
      </c>
      <c r="E8529" s="16">
        <v>900.24</v>
      </c>
      <c r="F8529" s="1">
        <v>44388</v>
      </c>
      <c r="G8529" t="s">
        <v>2027</v>
      </c>
      <c r="H8529">
        <v>1</v>
      </c>
      <c r="I8529" s="12">
        <f>Table16[[#This Row],[price]]*Table16[[#This Row],[quantity]]</f>
        <v>2700.7200000000003</v>
      </c>
    </row>
    <row r="8530" spans="1:9" x14ac:dyDescent="0.3">
      <c r="A8530" t="s">
        <v>10545</v>
      </c>
      <c r="B8530" t="s">
        <v>1701</v>
      </c>
      <c r="C8530" t="s">
        <v>2024</v>
      </c>
      <c r="D8530">
        <v>3</v>
      </c>
      <c r="E8530" s="16">
        <v>107.52</v>
      </c>
      <c r="F8530" s="1">
        <v>44460</v>
      </c>
      <c r="G8530" t="s">
        <v>2004</v>
      </c>
      <c r="H8530">
        <v>3</v>
      </c>
      <c r="I8530" s="12">
        <f>Table16[[#This Row],[price]]*Table16[[#This Row],[quantity]]</f>
        <v>322.56</v>
      </c>
    </row>
    <row r="8531" spans="1:9" x14ac:dyDescent="0.3">
      <c r="A8531" t="s">
        <v>10544</v>
      </c>
      <c r="B8531" t="s">
        <v>1701</v>
      </c>
      <c r="C8531" t="s">
        <v>2015</v>
      </c>
      <c r="D8531">
        <v>5</v>
      </c>
      <c r="E8531" s="16">
        <v>3000.85</v>
      </c>
      <c r="F8531" s="1">
        <v>44886</v>
      </c>
      <c r="G8531" t="s">
        <v>2002</v>
      </c>
      <c r="H8531">
        <v>5</v>
      </c>
      <c r="I8531" s="12">
        <f>Table16[[#This Row],[price]]*Table16[[#This Row],[quantity]]</f>
        <v>15004.25</v>
      </c>
    </row>
    <row r="8532" spans="1:9" x14ac:dyDescent="0.3">
      <c r="A8532" t="s">
        <v>10549</v>
      </c>
      <c r="B8532" t="s">
        <v>1702</v>
      </c>
      <c r="C8532" t="s">
        <v>2057</v>
      </c>
      <c r="D8532">
        <v>3</v>
      </c>
      <c r="E8532" s="16">
        <v>35.19</v>
      </c>
      <c r="F8532" s="1">
        <v>44238</v>
      </c>
      <c r="G8532" t="s">
        <v>2058</v>
      </c>
      <c r="H8532">
        <v>1</v>
      </c>
      <c r="I8532" s="12">
        <f>Table16[[#This Row],[price]]*Table16[[#This Row],[quantity]]</f>
        <v>105.57</v>
      </c>
    </row>
    <row r="8533" spans="1:9" x14ac:dyDescent="0.3">
      <c r="A8533" t="s">
        <v>10548</v>
      </c>
      <c r="B8533" t="s">
        <v>1702</v>
      </c>
      <c r="C8533" t="s">
        <v>2057</v>
      </c>
      <c r="D8533">
        <v>3</v>
      </c>
      <c r="E8533" s="16">
        <v>35.19</v>
      </c>
      <c r="F8533" s="1">
        <v>44437</v>
      </c>
      <c r="G8533" t="s">
        <v>2027</v>
      </c>
      <c r="H8533">
        <v>1</v>
      </c>
      <c r="I8533" s="12">
        <f>Table16[[#This Row],[price]]*Table16[[#This Row],[quantity]]</f>
        <v>105.57</v>
      </c>
    </row>
    <row r="8534" spans="1:9" x14ac:dyDescent="0.3">
      <c r="A8534" t="s">
        <v>10550</v>
      </c>
      <c r="B8534" t="s">
        <v>1703</v>
      </c>
      <c r="C8534" t="s">
        <v>2015</v>
      </c>
      <c r="D8534">
        <v>4</v>
      </c>
      <c r="E8534" s="16">
        <v>2400.6799999999998</v>
      </c>
      <c r="F8534" s="1">
        <v>44431</v>
      </c>
      <c r="G8534" t="s">
        <v>2004</v>
      </c>
      <c r="H8534">
        <v>5</v>
      </c>
      <c r="I8534" s="12">
        <f>Table16[[#This Row],[price]]*Table16[[#This Row],[quantity]]</f>
        <v>9602.7199999999993</v>
      </c>
    </row>
    <row r="8535" spans="1:9" x14ac:dyDescent="0.3">
      <c r="A8535" t="s">
        <v>10554</v>
      </c>
      <c r="B8535" t="s">
        <v>1703</v>
      </c>
      <c r="C8535" t="s">
        <v>2001</v>
      </c>
      <c r="D8535">
        <v>1</v>
      </c>
      <c r="E8535" s="16">
        <v>300.08</v>
      </c>
      <c r="F8535" s="1">
        <v>44725</v>
      </c>
      <c r="G8535" t="s">
        <v>2020</v>
      </c>
      <c r="H8535">
        <v>5</v>
      </c>
      <c r="I8535" s="12">
        <f>Table16[[#This Row],[price]]*Table16[[#This Row],[quantity]]</f>
        <v>300.08</v>
      </c>
    </row>
    <row r="8536" spans="1:9" x14ac:dyDescent="0.3">
      <c r="A8536" t="s">
        <v>10551</v>
      </c>
      <c r="B8536" t="s">
        <v>1703</v>
      </c>
      <c r="C8536" t="s">
        <v>2001</v>
      </c>
      <c r="D8536">
        <v>1</v>
      </c>
      <c r="E8536" s="16">
        <v>300.08</v>
      </c>
      <c r="F8536" s="1">
        <v>44880</v>
      </c>
      <c r="G8536" t="s">
        <v>2004</v>
      </c>
      <c r="H8536">
        <v>5</v>
      </c>
      <c r="I8536" s="12">
        <f>Table16[[#This Row],[price]]*Table16[[#This Row],[quantity]]</f>
        <v>300.08</v>
      </c>
    </row>
    <row r="8537" spans="1:9" x14ac:dyDescent="0.3">
      <c r="A8537" t="s">
        <v>10553</v>
      </c>
      <c r="B8537" t="s">
        <v>1703</v>
      </c>
      <c r="C8537" t="s">
        <v>2024</v>
      </c>
      <c r="D8537">
        <v>2</v>
      </c>
      <c r="E8537" s="16">
        <v>71.680000000000007</v>
      </c>
      <c r="F8537" s="1">
        <v>44898</v>
      </c>
      <c r="G8537" t="s">
        <v>2064</v>
      </c>
      <c r="H8537">
        <v>4</v>
      </c>
      <c r="I8537" s="12">
        <f>Table16[[#This Row],[price]]*Table16[[#This Row],[quantity]]</f>
        <v>143.36000000000001</v>
      </c>
    </row>
    <row r="8538" spans="1:9" x14ac:dyDescent="0.3">
      <c r="A8538" t="s">
        <v>10552</v>
      </c>
      <c r="B8538" t="s">
        <v>1703</v>
      </c>
      <c r="C8538" t="s">
        <v>2011</v>
      </c>
      <c r="D8538">
        <v>5</v>
      </c>
      <c r="E8538" s="16">
        <v>203.3</v>
      </c>
      <c r="F8538" s="1">
        <v>44958</v>
      </c>
      <c r="G8538" t="s">
        <v>2064</v>
      </c>
      <c r="H8538">
        <v>4</v>
      </c>
      <c r="I8538" s="12">
        <f>Table16[[#This Row],[price]]*Table16[[#This Row],[quantity]]</f>
        <v>1016.5</v>
      </c>
    </row>
    <row r="8539" spans="1:9" x14ac:dyDescent="0.3">
      <c r="A8539" t="s">
        <v>10559</v>
      </c>
      <c r="B8539" t="s">
        <v>1704</v>
      </c>
      <c r="C8539" t="s">
        <v>2001</v>
      </c>
      <c r="D8539">
        <v>5</v>
      </c>
      <c r="E8539" s="16">
        <v>1500.4</v>
      </c>
      <c r="F8539" s="1">
        <v>44423</v>
      </c>
      <c r="G8539" t="s">
        <v>2002</v>
      </c>
      <c r="H8539">
        <v>4</v>
      </c>
      <c r="I8539" s="12">
        <f>Table16[[#This Row],[price]]*Table16[[#This Row],[quantity]]</f>
        <v>7502</v>
      </c>
    </row>
    <row r="8540" spans="1:9" x14ac:dyDescent="0.3">
      <c r="A8540" t="s">
        <v>10555</v>
      </c>
      <c r="B8540" t="s">
        <v>1704</v>
      </c>
      <c r="C8540" t="s">
        <v>2001</v>
      </c>
      <c r="D8540">
        <v>5</v>
      </c>
      <c r="E8540" s="16">
        <v>1500.4</v>
      </c>
      <c r="F8540" s="1">
        <v>44829</v>
      </c>
      <c r="G8540" t="s">
        <v>2064</v>
      </c>
      <c r="H8540">
        <v>2</v>
      </c>
      <c r="I8540" s="12">
        <f>Table16[[#This Row],[price]]*Table16[[#This Row],[quantity]]</f>
        <v>7502</v>
      </c>
    </row>
    <row r="8541" spans="1:9" x14ac:dyDescent="0.3">
      <c r="A8541" t="s">
        <v>10557</v>
      </c>
      <c r="B8541" t="s">
        <v>1704</v>
      </c>
      <c r="C8541" t="s">
        <v>2001</v>
      </c>
      <c r="D8541">
        <v>5</v>
      </c>
      <c r="E8541" s="16">
        <v>1500.4</v>
      </c>
      <c r="F8541" s="1">
        <v>44836</v>
      </c>
      <c r="G8541" t="s">
        <v>2020</v>
      </c>
      <c r="H8541">
        <v>2</v>
      </c>
      <c r="I8541" s="12">
        <f>Table16[[#This Row],[price]]*Table16[[#This Row],[quantity]]</f>
        <v>7502</v>
      </c>
    </row>
    <row r="8542" spans="1:9" x14ac:dyDescent="0.3">
      <c r="A8542" t="s">
        <v>10560</v>
      </c>
      <c r="B8542" t="s">
        <v>1704</v>
      </c>
      <c r="C8542" t="s">
        <v>2015</v>
      </c>
      <c r="D8542">
        <v>2</v>
      </c>
      <c r="E8542" s="16">
        <v>1200.3399999999999</v>
      </c>
      <c r="F8542" s="1">
        <v>44869</v>
      </c>
      <c r="G8542" t="s">
        <v>2004</v>
      </c>
      <c r="H8542">
        <v>1</v>
      </c>
      <c r="I8542" s="12">
        <f>Table16[[#This Row],[price]]*Table16[[#This Row],[quantity]]</f>
        <v>2400.6799999999998</v>
      </c>
    </row>
    <row r="8543" spans="1:9" x14ac:dyDescent="0.3">
      <c r="A8543" t="s">
        <v>10556</v>
      </c>
      <c r="B8543" t="s">
        <v>1704</v>
      </c>
      <c r="C8543" t="s">
        <v>2001</v>
      </c>
      <c r="D8543">
        <v>3</v>
      </c>
      <c r="E8543" s="16">
        <v>900.24</v>
      </c>
      <c r="F8543" s="1">
        <v>44879</v>
      </c>
      <c r="G8543" t="s">
        <v>2018</v>
      </c>
      <c r="H8543">
        <v>2</v>
      </c>
      <c r="I8543" s="12">
        <f>Table16[[#This Row],[price]]*Table16[[#This Row],[quantity]]</f>
        <v>2700.7200000000003</v>
      </c>
    </row>
    <row r="8544" spans="1:9" x14ac:dyDescent="0.3">
      <c r="A8544" t="s">
        <v>10558</v>
      </c>
      <c r="B8544" t="s">
        <v>1704</v>
      </c>
      <c r="C8544" t="s">
        <v>2011</v>
      </c>
      <c r="D8544">
        <v>4</v>
      </c>
      <c r="E8544" s="16">
        <v>162.63999999999999</v>
      </c>
      <c r="F8544" s="1">
        <v>44959</v>
      </c>
      <c r="G8544" t="s">
        <v>2012</v>
      </c>
      <c r="H8544">
        <v>4</v>
      </c>
      <c r="I8544" s="12">
        <f>Table16[[#This Row],[price]]*Table16[[#This Row],[quantity]]</f>
        <v>650.55999999999995</v>
      </c>
    </row>
    <row r="8545" spans="1:9" x14ac:dyDescent="0.3">
      <c r="A8545" t="s">
        <v>10561</v>
      </c>
      <c r="B8545" t="s">
        <v>1705</v>
      </c>
      <c r="C8545" t="s">
        <v>2006</v>
      </c>
      <c r="D8545">
        <v>3</v>
      </c>
      <c r="E8545" s="16">
        <v>45.45</v>
      </c>
      <c r="F8545" s="1">
        <v>44783</v>
      </c>
      <c r="G8545" t="s">
        <v>2027</v>
      </c>
      <c r="H8545">
        <v>3</v>
      </c>
      <c r="I8545" s="12">
        <f>Table16[[#This Row],[price]]*Table16[[#This Row],[quantity]]</f>
        <v>136.35000000000002</v>
      </c>
    </row>
    <row r="8546" spans="1:9" x14ac:dyDescent="0.3">
      <c r="A8546" t="s">
        <v>10562</v>
      </c>
      <c r="B8546" t="s">
        <v>1706</v>
      </c>
      <c r="C8546" t="s">
        <v>2001</v>
      </c>
      <c r="D8546">
        <v>3</v>
      </c>
      <c r="E8546" s="16">
        <v>900.24</v>
      </c>
      <c r="F8546" s="1">
        <v>44215</v>
      </c>
      <c r="G8546" t="s">
        <v>2064</v>
      </c>
      <c r="H8546">
        <v>4</v>
      </c>
      <c r="I8546" s="12">
        <f>Table16[[#This Row],[price]]*Table16[[#This Row],[quantity]]</f>
        <v>2700.7200000000003</v>
      </c>
    </row>
    <row r="8547" spans="1:9" x14ac:dyDescent="0.3">
      <c r="A8547" t="s">
        <v>10563</v>
      </c>
      <c r="B8547" t="s">
        <v>1706</v>
      </c>
      <c r="C8547" t="s">
        <v>2017</v>
      </c>
      <c r="D8547">
        <v>3</v>
      </c>
      <c r="E8547" s="16">
        <v>3150</v>
      </c>
      <c r="F8547" s="1">
        <v>44344</v>
      </c>
      <c r="G8547" t="s">
        <v>2064</v>
      </c>
      <c r="H8547">
        <v>5</v>
      </c>
      <c r="I8547" s="12">
        <f>Table16[[#This Row],[price]]*Table16[[#This Row],[quantity]]</f>
        <v>9450</v>
      </c>
    </row>
    <row r="8548" spans="1:9" x14ac:dyDescent="0.3">
      <c r="A8548" t="s">
        <v>10565</v>
      </c>
      <c r="B8548" t="s">
        <v>1706</v>
      </c>
      <c r="C8548" t="s">
        <v>2057</v>
      </c>
      <c r="D8548">
        <v>2</v>
      </c>
      <c r="E8548" s="16">
        <v>23.46</v>
      </c>
      <c r="F8548" s="1">
        <v>44516</v>
      </c>
      <c r="G8548" t="s">
        <v>2027</v>
      </c>
      <c r="H8548">
        <v>5</v>
      </c>
      <c r="I8548" s="12">
        <f>Table16[[#This Row],[price]]*Table16[[#This Row],[quantity]]</f>
        <v>46.92</v>
      </c>
    </row>
    <row r="8549" spans="1:9" x14ac:dyDescent="0.3">
      <c r="A8549" t="s">
        <v>10564</v>
      </c>
      <c r="B8549" t="s">
        <v>1706</v>
      </c>
      <c r="C8549" t="s">
        <v>2008</v>
      </c>
      <c r="D8549">
        <v>4</v>
      </c>
      <c r="E8549" s="16">
        <v>20.92</v>
      </c>
      <c r="F8549" s="1">
        <v>44650</v>
      </c>
      <c r="G8549" t="s">
        <v>2002</v>
      </c>
      <c r="H8549">
        <v>2</v>
      </c>
      <c r="I8549" s="12">
        <f>Table16[[#This Row],[price]]*Table16[[#This Row],[quantity]]</f>
        <v>83.68</v>
      </c>
    </row>
    <row r="8550" spans="1:9" x14ac:dyDescent="0.3">
      <c r="A8550" t="s">
        <v>10566</v>
      </c>
      <c r="B8550" t="s">
        <v>1706</v>
      </c>
      <c r="C8550" t="s">
        <v>2001</v>
      </c>
      <c r="D8550">
        <v>4</v>
      </c>
      <c r="E8550" s="16">
        <v>1200.32</v>
      </c>
      <c r="F8550" s="1">
        <v>44671</v>
      </c>
      <c r="G8550" t="s">
        <v>2018</v>
      </c>
      <c r="H8550">
        <v>2</v>
      </c>
      <c r="I8550" s="12">
        <f>Table16[[#This Row],[price]]*Table16[[#This Row],[quantity]]</f>
        <v>4801.28</v>
      </c>
    </row>
    <row r="8551" spans="1:9" x14ac:dyDescent="0.3">
      <c r="A8551" t="s">
        <v>10568</v>
      </c>
      <c r="B8551" t="s">
        <v>1707</v>
      </c>
      <c r="C8551" t="s">
        <v>2015</v>
      </c>
      <c r="D8551">
        <v>3</v>
      </c>
      <c r="E8551" s="16">
        <v>1800.51</v>
      </c>
      <c r="F8551" s="1">
        <v>44849</v>
      </c>
      <c r="G8551" t="s">
        <v>2064</v>
      </c>
      <c r="H8551">
        <v>5</v>
      </c>
      <c r="I8551" s="12">
        <f>Table16[[#This Row],[price]]*Table16[[#This Row],[quantity]]</f>
        <v>5401.53</v>
      </c>
    </row>
    <row r="8552" spans="1:9" x14ac:dyDescent="0.3">
      <c r="A8552" t="s">
        <v>10567</v>
      </c>
      <c r="B8552" t="s">
        <v>1707</v>
      </c>
      <c r="C8552" t="s">
        <v>2008</v>
      </c>
      <c r="D8552">
        <v>1</v>
      </c>
      <c r="E8552" s="16">
        <v>5.23</v>
      </c>
      <c r="F8552" s="1">
        <v>44898</v>
      </c>
      <c r="G8552" t="s">
        <v>2064</v>
      </c>
      <c r="H8552">
        <v>5</v>
      </c>
      <c r="I8552" s="12">
        <f>Table16[[#This Row],[price]]*Table16[[#This Row],[quantity]]</f>
        <v>5.23</v>
      </c>
    </row>
    <row r="8553" spans="1:9" x14ac:dyDescent="0.3">
      <c r="A8553" t="s">
        <v>10569</v>
      </c>
      <c r="B8553" t="s">
        <v>1707</v>
      </c>
      <c r="C8553" t="s">
        <v>2011</v>
      </c>
      <c r="D8553">
        <v>4</v>
      </c>
      <c r="E8553" s="16">
        <v>162.63999999999999</v>
      </c>
      <c r="F8553" s="1">
        <v>44960</v>
      </c>
      <c r="G8553" t="s">
        <v>2027</v>
      </c>
      <c r="H8553">
        <v>2</v>
      </c>
      <c r="I8553" s="12">
        <f>Table16[[#This Row],[price]]*Table16[[#This Row],[quantity]]</f>
        <v>650.55999999999995</v>
      </c>
    </row>
    <row r="8554" spans="1:9" x14ac:dyDescent="0.3">
      <c r="A8554" t="s">
        <v>10571</v>
      </c>
      <c r="B8554" t="s">
        <v>1708</v>
      </c>
      <c r="C8554" t="s">
        <v>2017</v>
      </c>
      <c r="D8554">
        <v>5</v>
      </c>
      <c r="E8554" s="16">
        <v>5250</v>
      </c>
      <c r="F8554" s="1">
        <v>44340</v>
      </c>
      <c r="G8554" t="s">
        <v>2027</v>
      </c>
      <c r="H8554">
        <v>1</v>
      </c>
      <c r="I8554" s="12">
        <f>Table16[[#This Row],[price]]*Table16[[#This Row],[quantity]]</f>
        <v>26250</v>
      </c>
    </row>
    <row r="8555" spans="1:9" x14ac:dyDescent="0.3">
      <c r="A8555" t="s">
        <v>10570</v>
      </c>
      <c r="B8555" t="s">
        <v>1708</v>
      </c>
      <c r="C8555" t="s">
        <v>2011</v>
      </c>
      <c r="D8555">
        <v>1</v>
      </c>
      <c r="E8555" s="16">
        <v>40.659999999999997</v>
      </c>
      <c r="F8555" s="1">
        <v>44398</v>
      </c>
      <c r="G8555" t="s">
        <v>2027</v>
      </c>
      <c r="H8555">
        <v>2</v>
      </c>
      <c r="I8555" s="12">
        <f>Table16[[#This Row],[price]]*Table16[[#This Row],[quantity]]</f>
        <v>40.659999999999997</v>
      </c>
    </row>
    <row r="8556" spans="1:9" x14ac:dyDescent="0.3">
      <c r="A8556" t="s">
        <v>10572</v>
      </c>
      <c r="B8556" t="s">
        <v>1708</v>
      </c>
      <c r="C8556" t="s">
        <v>2001</v>
      </c>
      <c r="D8556">
        <v>5</v>
      </c>
      <c r="E8556" s="16">
        <v>1500.4</v>
      </c>
      <c r="F8556" s="1">
        <v>44851</v>
      </c>
      <c r="G8556" t="s">
        <v>2064</v>
      </c>
      <c r="H8556">
        <v>4</v>
      </c>
      <c r="I8556" s="12">
        <f>Table16[[#This Row],[price]]*Table16[[#This Row],[quantity]]</f>
        <v>7502</v>
      </c>
    </row>
    <row r="8557" spans="1:9" x14ac:dyDescent="0.3">
      <c r="A8557" t="s">
        <v>10576</v>
      </c>
      <c r="B8557" t="s">
        <v>1709</v>
      </c>
      <c r="C8557" t="s">
        <v>2001</v>
      </c>
      <c r="D8557">
        <v>4</v>
      </c>
      <c r="E8557" s="16">
        <v>1200.32</v>
      </c>
      <c r="F8557" s="1">
        <v>44258</v>
      </c>
      <c r="G8557" t="s">
        <v>2004</v>
      </c>
      <c r="H8557">
        <v>5</v>
      </c>
      <c r="I8557" s="12">
        <f>Table16[[#This Row],[price]]*Table16[[#This Row],[quantity]]</f>
        <v>4801.28</v>
      </c>
    </row>
    <row r="8558" spans="1:9" x14ac:dyDescent="0.3">
      <c r="A8558" t="s">
        <v>10579</v>
      </c>
      <c r="B8558" t="s">
        <v>1709</v>
      </c>
      <c r="C8558" t="s">
        <v>2001</v>
      </c>
      <c r="D8558">
        <v>4</v>
      </c>
      <c r="E8558" s="16">
        <v>1200.32</v>
      </c>
      <c r="F8558" s="1">
        <v>44477</v>
      </c>
      <c r="G8558" t="s">
        <v>2002</v>
      </c>
      <c r="H8558">
        <v>1</v>
      </c>
      <c r="I8558" s="12">
        <f>Table16[[#This Row],[price]]*Table16[[#This Row],[quantity]]</f>
        <v>4801.28</v>
      </c>
    </row>
    <row r="8559" spans="1:9" x14ac:dyDescent="0.3">
      <c r="A8559" t="s">
        <v>10573</v>
      </c>
      <c r="B8559" t="s">
        <v>1709</v>
      </c>
      <c r="C8559" t="s">
        <v>2015</v>
      </c>
      <c r="D8559">
        <v>3</v>
      </c>
      <c r="E8559" s="16">
        <v>1800.51</v>
      </c>
      <c r="F8559" s="1">
        <v>44537</v>
      </c>
      <c r="G8559" t="s">
        <v>2018</v>
      </c>
      <c r="H8559">
        <v>1</v>
      </c>
      <c r="I8559" s="12">
        <f>Table16[[#This Row],[price]]*Table16[[#This Row],[quantity]]</f>
        <v>5401.53</v>
      </c>
    </row>
    <row r="8560" spans="1:9" x14ac:dyDescent="0.3">
      <c r="A8560" t="s">
        <v>10577</v>
      </c>
      <c r="B8560" t="s">
        <v>1709</v>
      </c>
      <c r="C8560" t="s">
        <v>2001</v>
      </c>
      <c r="D8560">
        <v>1</v>
      </c>
      <c r="E8560" s="16">
        <v>300.08</v>
      </c>
      <c r="F8560" s="1">
        <v>44829</v>
      </c>
      <c r="G8560" t="s">
        <v>2027</v>
      </c>
      <c r="H8560">
        <v>2</v>
      </c>
      <c r="I8560" s="12">
        <f>Table16[[#This Row],[price]]*Table16[[#This Row],[quantity]]</f>
        <v>300.08</v>
      </c>
    </row>
    <row r="8561" spans="1:9" x14ac:dyDescent="0.3">
      <c r="A8561" t="s">
        <v>10575</v>
      </c>
      <c r="B8561" t="s">
        <v>1709</v>
      </c>
      <c r="C8561" t="s">
        <v>2011</v>
      </c>
      <c r="D8561">
        <v>2</v>
      </c>
      <c r="E8561" s="16">
        <v>81.319999999999993</v>
      </c>
      <c r="F8561" s="1">
        <v>44842</v>
      </c>
      <c r="G8561" t="s">
        <v>2027</v>
      </c>
      <c r="H8561">
        <v>3</v>
      </c>
      <c r="I8561" s="12">
        <f>Table16[[#This Row],[price]]*Table16[[#This Row],[quantity]]</f>
        <v>162.63999999999999</v>
      </c>
    </row>
    <row r="8562" spans="1:9" x14ac:dyDescent="0.3">
      <c r="A8562" t="s">
        <v>10578</v>
      </c>
      <c r="B8562" t="s">
        <v>1709</v>
      </c>
      <c r="C8562" t="s">
        <v>2001</v>
      </c>
      <c r="D8562">
        <v>4</v>
      </c>
      <c r="E8562" s="16">
        <v>1200.32</v>
      </c>
      <c r="F8562" s="1">
        <v>44867</v>
      </c>
      <c r="G8562" t="s">
        <v>2002</v>
      </c>
      <c r="H8562">
        <v>1</v>
      </c>
      <c r="I8562" s="12">
        <f>Table16[[#This Row],[price]]*Table16[[#This Row],[quantity]]</f>
        <v>4801.28</v>
      </c>
    </row>
    <row r="8563" spans="1:9" x14ac:dyDescent="0.3">
      <c r="A8563" t="s">
        <v>10574</v>
      </c>
      <c r="B8563" t="s">
        <v>1709</v>
      </c>
      <c r="C8563" t="s">
        <v>2011</v>
      </c>
      <c r="D8563">
        <v>4</v>
      </c>
      <c r="E8563" s="16">
        <v>162.63999999999999</v>
      </c>
      <c r="F8563" s="1">
        <v>44873</v>
      </c>
      <c r="G8563" t="s">
        <v>2064</v>
      </c>
      <c r="H8563">
        <v>5</v>
      </c>
      <c r="I8563" s="12">
        <f>Table16[[#This Row],[price]]*Table16[[#This Row],[quantity]]</f>
        <v>650.55999999999995</v>
      </c>
    </row>
    <row r="8564" spans="1:9" x14ac:dyDescent="0.3">
      <c r="A8564" t="s">
        <v>10580</v>
      </c>
      <c r="B8564" t="s">
        <v>1710</v>
      </c>
      <c r="C8564" t="s">
        <v>2015</v>
      </c>
      <c r="D8564">
        <v>4</v>
      </c>
      <c r="E8564" s="16">
        <v>2400.6799999999998</v>
      </c>
      <c r="F8564" s="1">
        <v>44269</v>
      </c>
      <c r="G8564" t="s">
        <v>2018</v>
      </c>
      <c r="H8564">
        <v>3</v>
      </c>
      <c r="I8564" s="12">
        <f>Table16[[#This Row],[price]]*Table16[[#This Row],[quantity]]</f>
        <v>9602.7199999999993</v>
      </c>
    </row>
    <row r="8565" spans="1:9" x14ac:dyDescent="0.3">
      <c r="A8565" t="s">
        <v>10584</v>
      </c>
      <c r="B8565" t="s">
        <v>1710</v>
      </c>
      <c r="C8565" t="s">
        <v>2001</v>
      </c>
      <c r="D8565">
        <v>2</v>
      </c>
      <c r="E8565" s="16">
        <v>600.16</v>
      </c>
      <c r="F8565" s="1">
        <v>44341</v>
      </c>
      <c r="G8565" t="s">
        <v>2004</v>
      </c>
      <c r="H8565">
        <v>4</v>
      </c>
      <c r="I8565" s="12">
        <f>Table16[[#This Row],[price]]*Table16[[#This Row],[quantity]]</f>
        <v>1200.32</v>
      </c>
    </row>
    <row r="8566" spans="1:9" x14ac:dyDescent="0.3">
      <c r="A8566" t="s">
        <v>10583</v>
      </c>
      <c r="B8566" t="s">
        <v>1710</v>
      </c>
      <c r="C8566" t="s">
        <v>2008</v>
      </c>
      <c r="D8566">
        <v>5</v>
      </c>
      <c r="E8566" s="16">
        <v>26.15</v>
      </c>
      <c r="F8566" s="1">
        <v>44438</v>
      </c>
      <c r="G8566" t="s">
        <v>2002</v>
      </c>
      <c r="H8566">
        <v>1</v>
      </c>
      <c r="I8566" s="12">
        <f>Table16[[#This Row],[price]]*Table16[[#This Row],[quantity]]</f>
        <v>130.75</v>
      </c>
    </row>
    <row r="8567" spans="1:9" x14ac:dyDescent="0.3">
      <c r="A8567" t="s">
        <v>10581</v>
      </c>
      <c r="B8567" t="s">
        <v>1710</v>
      </c>
      <c r="C8567" t="s">
        <v>2001</v>
      </c>
      <c r="D8567">
        <v>1</v>
      </c>
      <c r="E8567" s="16">
        <v>300.08</v>
      </c>
      <c r="F8567" s="1">
        <v>44570</v>
      </c>
      <c r="G8567" t="s">
        <v>2018</v>
      </c>
      <c r="H8567">
        <v>2</v>
      </c>
      <c r="I8567" s="12">
        <f>Table16[[#This Row],[price]]*Table16[[#This Row],[quantity]]</f>
        <v>300.08</v>
      </c>
    </row>
    <row r="8568" spans="1:9" x14ac:dyDescent="0.3">
      <c r="A8568" t="s">
        <v>10582</v>
      </c>
      <c r="B8568" t="s">
        <v>1710</v>
      </c>
      <c r="C8568" t="s">
        <v>2011</v>
      </c>
      <c r="D8568">
        <v>3</v>
      </c>
      <c r="E8568" s="16">
        <v>121.98</v>
      </c>
      <c r="F8568" s="1">
        <v>44867</v>
      </c>
      <c r="G8568" t="s">
        <v>2027</v>
      </c>
      <c r="H8568">
        <v>1</v>
      </c>
      <c r="I8568" s="12">
        <f>Table16[[#This Row],[price]]*Table16[[#This Row],[quantity]]</f>
        <v>365.94</v>
      </c>
    </row>
    <row r="8569" spans="1:9" x14ac:dyDescent="0.3">
      <c r="A8569" t="s">
        <v>10587</v>
      </c>
      <c r="B8569" t="s">
        <v>1711</v>
      </c>
      <c r="C8569" t="s">
        <v>2001</v>
      </c>
      <c r="D8569">
        <v>1</v>
      </c>
      <c r="E8569" s="16">
        <v>300.08</v>
      </c>
      <c r="F8569" s="1">
        <v>44350</v>
      </c>
      <c r="G8569" t="s">
        <v>2020</v>
      </c>
      <c r="H8569">
        <v>4</v>
      </c>
      <c r="I8569" s="12">
        <f>Table16[[#This Row],[price]]*Table16[[#This Row],[quantity]]</f>
        <v>300.08</v>
      </c>
    </row>
    <row r="8570" spans="1:9" x14ac:dyDescent="0.3">
      <c r="A8570" t="s">
        <v>10590</v>
      </c>
      <c r="B8570" t="s">
        <v>1711</v>
      </c>
      <c r="C8570" t="s">
        <v>2001</v>
      </c>
      <c r="D8570">
        <v>1</v>
      </c>
      <c r="E8570" s="16">
        <v>300.08</v>
      </c>
      <c r="F8570" s="1">
        <v>44442</v>
      </c>
      <c r="G8570" t="s">
        <v>2009</v>
      </c>
      <c r="H8570">
        <v>2</v>
      </c>
      <c r="I8570" s="12">
        <f>Table16[[#This Row],[price]]*Table16[[#This Row],[quantity]]</f>
        <v>300.08</v>
      </c>
    </row>
    <row r="8571" spans="1:9" x14ac:dyDescent="0.3">
      <c r="A8571" t="s">
        <v>10591</v>
      </c>
      <c r="B8571" t="s">
        <v>1711</v>
      </c>
      <c r="C8571" t="s">
        <v>2008</v>
      </c>
      <c r="D8571">
        <v>2</v>
      </c>
      <c r="E8571" s="16">
        <v>10.46</v>
      </c>
      <c r="F8571" s="1">
        <v>44457</v>
      </c>
      <c r="G8571" t="s">
        <v>2020</v>
      </c>
      <c r="H8571">
        <v>4</v>
      </c>
      <c r="I8571" s="12">
        <f>Table16[[#This Row],[price]]*Table16[[#This Row],[quantity]]</f>
        <v>20.92</v>
      </c>
    </row>
    <row r="8572" spans="1:9" x14ac:dyDescent="0.3">
      <c r="A8572" t="s">
        <v>10588</v>
      </c>
      <c r="B8572" t="s">
        <v>1711</v>
      </c>
      <c r="C8572" t="s">
        <v>2057</v>
      </c>
      <c r="D8572">
        <v>2</v>
      </c>
      <c r="E8572" s="16">
        <v>23.46</v>
      </c>
      <c r="F8572" s="1">
        <v>44780</v>
      </c>
      <c r="G8572" t="s">
        <v>2004</v>
      </c>
      <c r="H8572">
        <v>5</v>
      </c>
      <c r="I8572" s="12">
        <f>Table16[[#This Row],[price]]*Table16[[#This Row],[quantity]]</f>
        <v>46.92</v>
      </c>
    </row>
    <row r="8573" spans="1:9" x14ac:dyDescent="0.3">
      <c r="A8573" t="s">
        <v>10585</v>
      </c>
      <c r="B8573" t="s">
        <v>1711</v>
      </c>
      <c r="C8573" t="s">
        <v>2017</v>
      </c>
      <c r="D8573">
        <v>5</v>
      </c>
      <c r="E8573" s="16">
        <v>5250</v>
      </c>
      <c r="F8573" s="1">
        <v>44817</v>
      </c>
      <c r="G8573" t="s">
        <v>2004</v>
      </c>
      <c r="H8573">
        <v>2</v>
      </c>
      <c r="I8573" s="12">
        <f>Table16[[#This Row],[price]]*Table16[[#This Row],[quantity]]</f>
        <v>26250</v>
      </c>
    </row>
    <row r="8574" spans="1:9" x14ac:dyDescent="0.3">
      <c r="A8574" t="s">
        <v>10586</v>
      </c>
      <c r="B8574" t="s">
        <v>1711</v>
      </c>
      <c r="C8574" t="s">
        <v>2017</v>
      </c>
      <c r="D8574">
        <v>5</v>
      </c>
      <c r="E8574" s="16">
        <v>5250</v>
      </c>
      <c r="F8574" s="1">
        <v>44850</v>
      </c>
      <c r="G8574" t="s">
        <v>2012</v>
      </c>
      <c r="H8574">
        <v>4</v>
      </c>
      <c r="I8574" s="12">
        <f>Table16[[#This Row],[price]]*Table16[[#This Row],[quantity]]</f>
        <v>26250</v>
      </c>
    </row>
    <row r="8575" spans="1:9" x14ac:dyDescent="0.3">
      <c r="A8575" t="s">
        <v>10592</v>
      </c>
      <c r="B8575" t="s">
        <v>1711</v>
      </c>
      <c r="C8575" t="s">
        <v>2011</v>
      </c>
      <c r="D8575">
        <v>2</v>
      </c>
      <c r="E8575" s="16">
        <v>81.319999999999993</v>
      </c>
      <c r="F8575" s="1">
        <v>44863</v>
      </c>
      <c r="G8575" t="s">
        <v>2064</v>
      </c>
      <c r="H8575">
        <v>4</v>
      </c>
      <c r="I8575" s="12">
        <f>Table16[[#This Row],[price]]*Table16[[#This Row],[quantity]]</f>
        <v>162.63999999999999</v>
      </c>
    </row>
    <row r="8576" spans="1:9" x14ac:dyDescent="0.3">
      <c r="A8576" t="s">
        <v>10589</v>
      </c>
      <c r="B8576" t="s">
        <v>1711</v>
      </c>
      <c r="C8576" t="s">
        <v>2017</v>
      </c>
      <c r="D8576">
        <v>5</v>
      </c>
      <c r="E8576" s="16">
        <v>5250</v>
      </c>
      <c r="F8576" s="1">
        <v>44923</v>
      </c>
      <c r="G8576" t="s">
        <v>2002</v>
      </c>
      <c r="H8576">
        <v>5</v>
      </c>
      <c r="I8576" s="12">
        <f>Table16[[#This Row],[price]]*Table16[[#This Row],[quantity]]</f>
        <v>26250</v>
      </c>
    </row>
    <row r="8577" spans="1:9" x14ac:dyDescent="0.3">
      <c r="A8577" t="s">
        <v>10593</v>
      </c>
      <c r="B8577" t="s">
        <v>1712</v>
      </c>
      <c r="C8577" t="s">
        <v>2017</v>
      </c>
      <c r="D8577">
        <v>1</v>
      </c>
      <c r="E8577" s="16">
        <v>1050</v>
      </c>
      <c r="F8577" s="1">
        <v>44384</v>
      </c>
      <c r="G8577" t="s">
        <v>2041</v>
      </c>
      <c r="H8577">
        <v>2</v>
      </c>
      <c r="I8577" s="12">
        <f>Table16[[#This Row],[price]]*Table16[[#This Row],[quantity]]</f>
        <v>1050</v>
      </c>
    </row>
    <row r="8578" spans="1:9" x14ac:dyDescent="0.3">
      <c r="A8578" t="s">
        <v>10594</v>
      </c>
      <c r="B8578" t="s">
        <v>1712</v>
      </c>
      <c r="C8578" t="s">
        <v>2008</v>
      </c>
      <c r="D8578">
        <v>4</v>
      </c>
      <c r="E8578" s="16">
        <v>20.92</v>
      </c>
      <c r="F8578" s="1">
        <v>44408</v>
      </c>
      <c r="G8578" t="s">
        <v>2058</v>
      </c>
      <c r="H8578">
        <v>1</v>
      </c>
      <c r="I8578" s="12">
        <f>Table16[[#This Row],[price]]*Table16[[#This Row],[quantity]]</f>
        <v>83.68</v>
      </c>
    </row>
    <row r="8579" spans="1:9" x14ac:dyDescent="0.3">
      <c r="A8579" t="s">
        <v>10595</v>
      </c>
      <c r="B8579" t="s">
        <v>1712</v>
      </c>
      <c r="C8579" t="s">
        <v>2011</v>
      </c>
      <c r="D8579">
        <v>4</v>
      </c>
      <c r="E8579" s="16">
        <v>162.63999999999999</v>
      </c>
      <c r="F8579" s="1">
        <v>44970</v>
      </c>
      <c r="G8579" t="s">
        <v>2020</v>
      </c>
      <c r="H8579">
        <v>4</v>
      </c>
      <c r="I8579" s="12">
        <f>Table16[[#This Row],[price]]*Table16[[#This Row],[quantity]]</f>
        <v>650.55999999999995</v>
      </c>
    </row>
    <row r="8580" spans="1:9" x14ac:dyDescent="0.3">
      <c r="A8580" t="s">
        <v>10601</v>
      </c>
      <c r="B8580" t="s">
        <v>1713</v>
      </c>
      <c r="C8580" t="s">
        <v>2024</v>
      </c>
      <c r="D8580">
        <v>3</v>
      </c>
      <c r="E8580" s="16">
        <v>107.52</v>
      </c>
      <c r="F8580" s="1">
        <v>44390</v>
      </c>
      <c r="G8580" t="s">
        <v>2002</v>
      </c>
      <c r="H8580">
        <v>2</v>
      </c>
      <c r="I8580" s="12">
        <f>Table16[[#This Row],[price]]*Table16[[#This Row],[quantity]]</f>
        <v>322.56</v>
      </c>
    </row>
    <row r="8581" spans="1:9" x14ac:dyDescent="0.3">
      <c r="A8581" t="s">
        <v>10596</v>
      </c>
      <c r="B8581" t="s">
        <v>1713</v>
      </c>
      <c r="C8581" t="s">
        <v>2057</v>
      </c>
      <c r="D8581">
        <v>1</v>
      </c>
      <c r="E8581" s="16">
        <v>11.73</v>
      </c>
      <c r="F8581" s="1">
        <v>44455</v>
      </c>
      <c r="G8581" t="s">
        <v>2004</v>
      </c>
      <c r="H8581">
        <v>3</v>
      </c>
      <c r="I8581" s="12">
        <f>Table16[[#This Row],[price]]*Table16[[#This Row],[quantity]]</f>
        <v>11.73</v>
      </c>
    </row>
    <row r="8582" spans="1:9" x14ac:dyDescent="0.3">
      <c r="A8582" t="s">
        <v>10600</v>
      </c>
      <c r="B8582" t="s">
        <v>1713</v>
      </c>
      <c r="C8582" t="s">
        <v>2001</v>
      </c>
      <c r="D8582">
        <v>4</v>
      </c>
      <c r="E8582" s="16">
        <v>1200.32</v>
      </c>
      <c r="F8582" s="1">
        <v>44709</v>
      </c>
      <c r="G8582" t="s">
        <v>2027</v>
      </c>
      <c r="H8582">
        <v>2</v>
      </c>
      <c r="I8582" s="12">
        <f>Table16[[#This Row],[price]]*Table16[[#This Row],[quantity]]</f>
        <v>4801.28</v>
      </c>
    </row>
    <row r="8583" spans="1:9" x14ac:dyDescent="0.3">
      <c r="A8583" t="s">
        <v>10597</v>
      </c>
      <c r="B8583" t="s">
        <v>1713</v>
      </c>
      <c r="C8583" t="s">
        <v>2001</v>
      </c>
      <c r="D8583">
        <v>4</v>
      </c>
      <c r="E8583" s="16">
        <v>1200.32</v>
      </c>
      <c r="F8583" s="1">
        <v>44751</v>
      </c>
      <c r="G8583" t="s">
        <v>2018</v>
      </c>
      <c r="H8583">
        <v>4</v>
      </c>
      <c r="I8583" s="12">
        <f>Table16[[#This Row],[price]]*Table16[[#This Row],[quantity]]</f>
        <v>4801.28</v>
      </c>
    </row>
    <row r="8584" spans="1:9" x14ac:dyDescent="0.3">
      <c r="A8584" t="s">
        <v>10599</v>
      </c>
      <c r="B8584" t="s">
        <v>1713</v>
      </c>
      <c r="C8584" t="s">
        <v>2001</v>
      </c>
      <c r="D8584">
        <v>2</v>
      </c>
      <c r="E8584" s="16">
        <v>600.16</v>
      </c>
      <c r="F8584" s="1">
        <v>44788</v>
      </c>
      <c r="G8584" t="s">
        <v>2004</v>
      </c>
      <c r="H8584">
        <v>3</v>
      </c>
      <c r="I8584" s="12">
        <f>Table16[[#This Row],[price]]*Table16[[#This Row],[quantity]]</f>
        <v>1200.32</v>
      </c>
    </row>
    <row r="8585" spans="1:9" x14ac:dyDescent="0.3">
      <c r="A8585" t="s">
        <v>10598</v>
      </c>
      <c r="B8585" t="s">
        <v>1713</v>
      </c>
      <c r="C8585" t="s">
        <v>2017</v>
      </c>
      <c r="D8585">
        <v>2</v>
      </c>
      <c r="E8585" s="16">
        <v>2100</v>
      </c>
      <c r="F8585" s="1">
        <v>44795</v>
      </c>
      <c r="G8585" t="s">
        <v>2004</v>
      </c>
      <c r="H8585">
        <v>5</v>
      </c>
      <c r="I8585" s="12">
        <f>Table16[[#This Row],[price]]*Table16[[#This Row],[quantity]]</f>
        <v>4200</v>
      </c>
    </row>
    <row r="8586" spans="1:9" x14ac:dyDescent="0.3">
      <c r="A8586" t="s">
        <v>10602</v>
      </c>
      <c r="B8586" t="s">
        <v>1714</v>
      </c>
      <c r="C8586" t="s">
        <v>2001</v>
      </c>
      <c r="D8586">
        <v>5</v>
      </c>
      <c r="E8586" s="16">
        <v>1500.4</v>
      </c>
      <c r="F8586" s="1">
        <v>44494</v>
      </c>
      <c r="G8586" t="s">
        <v>2002</v>
      </c>
      <c r="H8586">
        <v>1</v>
      </c>
      <c r="I8586" s="12">
        <f>Table16[[#This Row],[price]]*Table16[[#This Row],[quantity]]</f>
        <v>7502</v>
      </c>
    </row>
    <row r="8587" spans="1:9" x14ac:dyDescent="0.3">
      <c r="A8587" t="s">
        <v>10604</v>
      </c>
      <c r="B8587" t="s">
        <v>1714</v>
      </c>
      <c r="C8587" t="s">
        <v>2015</v>
      </c>
      <c r="D8587">
        <v>1</v>
      </c>
      <c r="E8587" s="16">
        <v>600.16999999999996</v>
      </c>
      <c r="F8587" s="1">
        <v>44650</v>
      </c>
      <c r="G8587" t="s">
        <v>2012</v>
      </c>
      <c r="H8587">
        <v>3</v>
      </c>
      <c r="I8587" s="12">
        <f>Table16[[#This Row],[price]]*Table16[[#This Row],[quantity]]</f>
        <v>600.16999999999996</v>
      </c>
    </row>
    <row r="8588" spans="1:9" x14ac:dyDescent="0.3">
      <c r="A8588" t="s">
        <v>10603</v>
      </c>
      <c r="B8588" t="s">
        <v>1714</v>
      </c>
      <c r="C8588" t="s">
        <v>2015</v>
      </c>
      <c r="D8588">
        <v>2</v>
      </c>
      <c r="E8588" s="16">
        <v>1200.3399999999999</v>
      </c>
      <c r="F8588" s="1">
        <v>44719</v>
      </c>
      <c r="G8588" t="s">
        <v>2064</v>
      </c>
      <c r="H8588">
        <v>4</v>
      </c>
      <c r="I8588" s="12">
        <f>Table16[[#This Row],[price]]*Table16[[#This Row],[quantity]]</f>
        <v>2400.6799999999998</v>
      </c>
    </row>
    <row r="8589" spans="1:9" x14ac:dyDescent="0.3">
      <c r="A8589" t="s">
        <v>10605</v>
      </c>
      <c r="B8589" t="s">
        <v>1714</v>
      </c>
      <c r="C8589" t="s">
        <v>2024</v>
      </c>
      <c r="D8589">
        <v>5</v>
      </c>
      <c r="E8589" s="16">
        <v>179.2</v>
      </c>
      <c r="F8589" s="1">
        <v>44976</v>
      </c>
      <c r="G8589" t="s">
        <v>2041</v>
      </c>
      <c r="H8589">
        <v>4</v>
      </c>
      <c r="I8589" s="12">
        <f>Table16[[#This Row],[price]]*Table16[[#This Row],[quantity]]</f>
        <v>896</v>
      </c>
    </row>
    <row r="8590" spans="1:9" x14ac:dyDescent="0.3">
      <c r="A8590" t="s">
        <v>10609</v>
      </c>
      <c r="B8590" t="s">
        <v>1715</v>
      </c>
      <c r="C8590" t="s">
        <v>2011</v>
      </c>
      <c r="D8590">
        <v>5</v>
      </c>
      <c r="E8590" s="16">
        <v>203.3</v>
      </c>
      <c r="F8590" s="1">
        <v>44293</v>
      </c>
      <c r="G8590" t="s">
        <v>2027</v>
      </c>
      <c r="H8590">
        <v>5</v>
      </c>
      <c r="I8590" s="12">
        <f>Table16[[#This Row],[price]]*Table16[[#This Row],[quantity]]</f>
        <v>1016.5</v>
      </c>
    </row>
    <row r="8591" spans="1:9" x14ac:dyDescent="0.3">
      <c r="A8591" t="s">
        <v>10606</v>
      </c>
      <c r="B8591" t="s">
        <v>1715</v>
      </c>
      <c r="C8591" t="s">
        <v>2001</v>
      </c>
      <c r="D8591">
        <v>2</v>
      </c>
      <c r="E8591" s="16">
        <v>600.16</v>
      </c>
      <c r="F8591" s="1">
        <v>44423</v>
      </c>
      <c r="G8591" t="s">
        <v>2018</v>
      </c>
      <c r="H8591">
        <v>2</v>
      </c>
      <c r="I8591" s="12">
        <f>Table16[[#This Row],[price]]*Table16[[#This Row],[quantity]]</f>
        <v>1200.32</v>
      </c>
    </row>
    <row r="8592" spans="1:9" x14ac:dyDescent="0.3">
      <c r="A8592" t="s">
        <v>10608</v>
      </c>
      <c r="B8592" t="s">
        <v>1715</v>
      </c>
      <c r="C8592" t="s">
        <v>2001</v>
      </c>
      <c r="D8592">
        <v>2</v>
      </c>
      <c r="E8592" s="16">
        <v>600.16</v>
      </c>
      <c r="F8592" s="1">
        <v>44558</v>
      </c>
      <c r="G8592" t="s">
        <v>2004</v>
      </c>
      <c r="H8592">
        <v>1</v>
      </c>
      <c r="I8592" s="12">
        <f>Table16[[#This Row],[price]]*Table16[[#This Row],[quantity]]</f>
        <v>1200.32</v>
      </c>
    </row>
    <row r="8593" spans="1:9" x14ac:dyDescent="0.3">
      <c r="A8593" t="s">
        <v>10610</v>
      </c>
      <c r="B8593" t="s">
        <v>1715</v>
      </c>
      <c r="C8593" t="s">
        <v>2015</v>
      </c>
      <c r="D8593">
        <v>2</v>
      </c>
      <c r="E8593" s="16">
        <v>1200.3399999999999</v>
      </c>
      <c r="F8593" s="1">
        <v>44727</v>
      </c>
      <c r="G8593" t="s">
        <v>2012</v>
      </c>
      <c r="H8593">
        <v>5</v>
      </c>
      <c r="I8593" s="12">
        <f>Table16[[#This Row],[price]]*Table16[[#This Row],[quantity]]</f>
        <v>2400.6799999999998</v>
      </c>
    </row>
    <row r="8594" spans="1:9" x14ac:dyDescent="0.3">
      <c r="A8594" t="s">
        <v>10607</v>
      </c>
      <c r="B8594" t="s">
        <v>1715</v>
      </c>
      <c r="C8594" t="s">
        <v>2017</v>
      </c>
      <c r="D8594">
        <v>3</v>
      </c>
      <c r="E8594" s="16">
        <v>3150</v>
      </c>
      <c r="F8594" s="1">
        <v>44731</v>
      </c>
      <c r="G8594" t="s">
        <v>2058</v>
      </c>
      <c r="H8594">
        <v>5</v>
      </c>
      <c r="I8594" s="12">
        <f>Table16[[#This Row],[price]]*Table16[[#This Row],[quantity]]</f>
        <v>9450</v>
      </c>
    </row>
    <row r="8595" spans="1:9" x14ac:dyDescent="0.3">
      <c r="A8595" t="s">
        <v>10611</v>
      </c>
      <c r="B8595" t="s">
        <v>1716</v>
      </c>
      <c r="C8595" t="s">
        <v>2011</v>
      </c>
      <c r="D8595">
        <v>3</v>
      </c>
      <c r="E8595" s="16">
        <v>121.98</v>
      </c>
      <c r="F8595" s="1">
        <v>44366</v>
      </c>
      <c r="G8595" t="s">
        <v>2002</v>
      </c>
      <c r="H8595">
        <v>5</v>
      </c>
      <c r="I8595" s="12">
        <f>Table16[[#This Row],[price]]*Table16[[#This Row],[quantity]]</f>
        <v>365.94</v>
      </c>
    </row>
    <row r="8596" spans="1:9" x14ac:dyDescent="0.3">
      <c r="A8596" t="s">
        <v>10613</v>
      </c>
      <c r="B8596" t="s">
        <v>1716</v>
      </c>
      <c r="C8596" t="s">
        <v>2001</v>
      </c>
      <c r="D8596">
        <v>3</v>
      </c>
      <c r="E8596" s="16">
        <v>900.24</v>
      </c>
      <c r="F8596" s="1">
        <v>44778</v>
      </c>
      <c r="G8596" t="s">
        <v>2020</v>
      </c>
      <c r="H8596">
        <v>3</v>
      </c>
      <c r="I8596" s="12">
        <f>Table16[[#This Row],[price]]*Table16[[#This Row],[quantity]]</f>
        <v>2700.7200000000003</v>
      </c>
    </row>
    <row r="8597" spans="1:9" x14ac:dyDescent="0.3">
      <c r="A8597" t="s">
        <v>10614</v>
      </c>
      <c r="B8597" t="s">
        <v>1716</v>
      </c>
      <c r="C8597" t="s">
        <v>2006</v>
      </c>
      <c r="D8597">
        <v>4</v>
      </c>
      <c r="E8597" s="16">
        <v>60.6</v>
      </c>
      <c r="F8597" s="1">
        <v>44807</v>
      </c>
      <c r="G8597" t="s">
        <v>2064</v>
      </c>
      <c r="H8597">
        <v>1</v>
      </c>
      <c r="I8597" s="12">
        <f>Table16[[#This Row],[price]]*Table16[[#This Row],[quantity]]</f>
        <v>242.4</v>
      </c>
    </row>
    <row r="8598" spans="1:9" x14ac:dyDescent="0.3">
      <c r="A8598" t="s">
        <v>10612</v>
      </c>
      <c r="B8598" t="s">
        <v>1716</v>
      </c>
      <c r="C8598" t="s">
        <v>2024</v>
      </c>
      <c r="D8598">
        <v>4</v>
      </c>
      <c r="E8598" s="16">
        <v>143.36000000000001</v>
      </c>
      <c r="F8598" s="1">
        <v>44921</v>
      </c>
      <c r="G8598" t="s">
        <v>2002</v>
      </c>
      <c r="H8598">
        <v>4</v>
      </c>
      <c r="I8598" s="12">
        <f>Table16[[#This Row],[price]]*Table16[[#This Row],[quantity]]</f>
        <v>573.44000000000005</v>
      </c>
    </row>
    <row r="8599" spans="1:9" x14ac:dyDescent="0.3">
      <c r="A8599" t="s">
        <v>10620</v>
      </c>
      <c r="B8599" t="s">
        <v>1717</v>
      </c>
      <c r="C8599" t="s">
        <v>2015</v>
      </c>
      <c r="D8599">
        <v>3</v>
      </c>
      <c r="E8599" s="16">
        <v>1800.51</v>
      </c>
      <c r="F8599" s="1">
        <v>44313</v>
      </c>
      <c r="G8599" t="s">
        <v>2009</v>
      </c>
      <c r="H8599">
        <v>4</v>
      </c>
      <c r="I8599" s="12">
        <f>Table16[[#This Row],[price]]*Table16[[#This Row],[quantity]]</f>
        <v>5401.53</v>
      </c>
    </row>
    <row r="8600" spans="1:9" x14ac:dyDescent="0.3">
      <c r="A8600" t="s">
        <v>10619</v>
      </c>
      <c r="B8600" t="s">
        <v>1717</v>
      </c>
      <c r="C8600" t="s">
        <v>2001</v>
      </c>
      <c r="D8600">
        <v>4</v>
      </c>
      <c r="E8600" s="16">
        <v>1200.32</v>
      </c>
      <c r="F8600" s="1">
        <v>44374</v>
      </c>
      <c r="G8600" t="s">
        <v>2002</v>
      </c>
      <c r="H8600">
        <v>4</v>
      </c>
      <c r="I8600" s="12">
        <f>Table16[[#This Row],[price]]*Table16[[#This Row],[quantity]]</f>
        <v>4801.28</v>
      </c>
    </row>
    <row r="8601" spans="1:9" x14ac:dyDescent="0.3">
      <c r="A8601" t="s">
        <v>10615</v>
      </c>
      <c r="B8601" t="s">
        <v>1717</v>
      </c>
      <c r="C8601" t="s">
        <v>2011</v>
      </c>
      <c r="D8601">
        <v>1</v>
      </c>
      <c r="E8601" s="16">
        <v>40.659999999999997</v>
      </c>
      <c r="F8601" s="1">
        <v>44500</v>
      </c>
      <c r="G8601" t="s">
        <v>2027</v>
      </c>
      <c r="H8601">
        <v>3</v>
      </c>
      <c r="I8601" s="12">
        <f>Table16[[#This Row],[price]]*Table16[[#This Row],[quantity]]</f>
        <v>40.659999999999997</v>
      </c>
    </row>
    <row r="8602" spans="1:9" x14ac:dyDescent="0.3">
      <c r="A8602" t="s">
        <v>10618</v>
      </c>
      <c r="B8602" t="s">
        <v>1717</v>
      </c>
      <c r="C8602" t="s">
        <v>2001</v>
      </c>
      <c r="D8602">
        <v>2</v>
      </c>
      <c r="E8602" s="16">
        <v>600.16</v>
      </c>
      <c r="F8602" s="1">
        <v>44905</v>
      </c>
      <c r="G8602" t="s">
        <v>2027</v>
      </c>
      <c r="H8602">
        <v>1</v>
      </c>
      <c r="I8602" s="12">
        <f>Table16[[#This Row],[price]]*Table16[[#This Row],[quantity]]</f>
        <v>1200.32</v>
      </c>
    </row>
    <row r="8603" spans="1:9" x14ac:dyDescent="0.3">
      <c r="A8603" t="s">
        <v>10616</v>
      </c>
      <c r="B8603" t="s">
        <v>1717</v>
      </c>
      <c r="C8603" t="s">
        <v>2008</v>
      </c>
      <c r="D8603">
        <v>4</v>
      </c>
      <c r="E8603" s="16">
        <v>20.92</v>
      </c>
      <c r="F8603" s="1">
        <v>44916</v>
      </c>
      <c r="G8603" t="s">
        <v>2027</v>
      </c>
      <c r="H8603">
        <v>4</v>
      </c>
      <c r="I8603" s="12">
        <f>Table16[[#This Row],[price]]*Table16[[#This Row],[quantity]]</f>
        <v>83.68</v>
      </c>
    </row>
    <row r="8604" spans="1:9" x14ac:dyDescent="0.3">
      <c r="A8604" t="s">
        <v>10617</v>
      </c>
      <c r="B8604" t="s">
        <v>1717</v>
      </c>
      <c r="C8604" t="s">
        <v>2057</v>
      </c>
      <c r="D8604">
        <v>4</v>
      </c>
      <c r="E8604" s="16">
        <v>46.92</v>
      </c>
      <c r="F8604" s="1">
        <v>44989</v>
      </c>
      <c r="G8604" t="s">
        <v>2004</v>
      </c>
      <c r="H8604">
        <v>3</v>
      </c>
      <c r="I8604" s="12">
        <f>Table16[[#This Row],[price]]*Table16[[#This Row],[quantity]]</f>
        <v>187.68</v>
      </c>
    </row>
    <row r="8605" spans="1:9" x14ac:dyDescent="0.3">
      <c r="A8605" t="s">
        <v>10623</v>
      </c>
      <c r="B8605" t="s">
        <v>1718</v>
      </c>
      <c r="C8605" t="s">
        <v>2057</v>
      </c>
      <c r="D8605">
        <v>3</v>
      </c>
      <c r="E8605" s="16">
        <v>35.19</v>
      </c>
      <c r="F8605" s="1">
        <v>44413</v>
      </c>
      <c r="G8605" t="s">
        <v>2004</v>
      </c>
      <c r="H8605">
        <v>1</v>
      </c>
      <c r="I8605" s="12">
        <f>Table16[[#This Row],[price]]*Table16[[#This Row],[quantity]]</f>
        <v>105.57</v>
      </c>
    </row>
    <row r="8606" spans="1:9" x14ac:dyDescent="0.3">
      <c r="A8606" t="s">
        <v>10624</v>
      </c>
      <c r="B8606" t="s">
        <v>1718</v>
      </c>
      <c r="C8606" t="s">
        <v>2001</v>
      </c>
      <c r="D8606">
        <v>1</v>
      </c>
      <c r="E8606" s="16">
        <v>300.08</v>
      </c>
      <c r="F8606" s="1">
        <v>44627</v>
      </c>
      <c r="G8606" t="s">
        <v>2002</v>
      </c>
      <c r="H8606">
        <v>3</v>
      </c>
      <c r="I8606" s="12">
        <f>Table16[[#This Row],[price]]*Table16[[#This Row],[quantity]]</f>
        <v>300.08</v>
      </c>
    </row>
    <row r="8607" spans="1:9" x14ac:dyDescent="0.3">
      <c r="A8607" t="s">
        <v>10621</v>
      </c>
      <c r="B8607" t="s">
        <v>1718</v>
      </c>
      <c r="C8607" t="s">
        <v>2008</v>
      </c>
      <c r="D8607">
        <v>1</v>
      </c>
      <c r="E8607" s="16">
        <v>5.23</v>
      </c>
      <c r="F8607" s="1">
        <v>44762</v>
      </c>
      <c r="G8607" t="s">
        <v>2058</v>
      </c>
      <c r="H8607">
        <v>1</v>
      </c>
      <c r="I8607" s="12">
        <f>Table16[[#This Row],[price]]*Table16[[#This Row],[quantity]]</f>
        <v>5.23</v>
      </c>
    </row>
    <row r="8608" spans="1:9" x14ac:dyDescent="0.3">
      <c r="A8608" t="s">
        <v>10622</v>
      </c>
      <c r="B8608" t="s">
        <v>1718</v>
      </c>
      <c r="C8608" t="s">
        <v>2001</v>
      </c>
      <c r="D8608">
        <v>1</v>
      </c>
      <c r="E8608" s="16">
        <v>300.08</v>
      </c>
      <c r="F8608" s="1">
        <v>44854</v>
      </c>
      <c r="G8608" t="s">
        <v>2004</v>
      </c>
      <c r="H8608">
        <v>3</v>
      </c>
      <c r="I8608" s="12">
        <f>Table16[[#This Row],[price]]*Table16[[#This Row],[quantity]]</f>
        <v>300.08</v>
      </c>
    </row>
    <row r="8609" spans="1:9" x14ac:dyDescent="0.3">
      <c r="A8609" t="s">
        <v>10628</v>
      </c>
      <c r="B8609" t="s">
        <v>1719</v>
      </c>
      <c r="C8609" t="s">
        <v>2001</v>
      </c>
      <c r="D8609">
        <v>4</v>
      </c>
      <c r="E8609" s="16">
        <v>1200.32</v>
      </c>
      <c r="F8609" s="1">
        <v>44229</v>
      </c>
      <c r="G8609" t="s">
        <v>2018</v>
      </c>
      <c r="H8609">
        <v>4</v>
      </c>
      <c r="I8609" s="12">
        <f>Table16[[#This Row],[price]]*Table16[[#This Row],[quantity]]</f>
        <v>4801.28</v>
      </c>
    </row>
    <row r="8610" spans="1:9" x14ac:dyDescent="0.3">
      <c r="A8610" t="s">
        <v>10626</v>
      </c>
      <c r="B8610" t="s">
        <v>1719</v>
      </c>
      <c r="C8610" t="s">
        <v>2008</v>
      </c>
      <c r="D8610">
        <v>5</v>
      </c>
      <c r="E8610" s="16">
        <v>26.15</v>
      </c>
      <c r="F8610" s="1">
        <v>44239</v>
      </c>
      <c r="G8610" t="s">
        <v>2027</v>
      </c>
      <c r="H8610">
        <v>4</v>
      </c>
      <c r="I8610" s="12">
        <f>Table16[[#This Row],[price]]*Table16[[#This Row],[quantity]]</f>
        <v>130.75</v>
      </c>
    </row>
    <row r="8611" spans="1:9" x14ac:dyDescent="0.3">
      <c r="A8611" t="s">
        <v>10625</v>
      </c>
      <c r="B8611" t="s">
        <v>1719</v>
      </c>
      <c r="C8611" t="s">
        <v>2015</v>
      </c>
      <c r="D8611">
        <v>2</v>
      </c>
      <c r="E8611" s="16">
        <v>1200.3399999999999</v>
      </c>
      <c r="F8611" s="1">
        <v>44518</v>
      </c>
      <c r="G8611" t="s">
        <v>2020</v>
      </c>
      <c r="H8611">
        <v>4</v>
      </c>
      <c r="I8611" s="12">
        <f>Table16[[#This Row],[price]]*Table16[[#This Row],[quantity]]</f>
        <v>2400.6799999999998</v>
      </c>
    </row>
    <row r="8612" spans="1:9" x14ac:dyDescent="0.3">
      <c r="A8612" t="s">
        <v>10627</v>
      </c>
      <c r="B8612" t="s">
        <v>1719</v>
      </c>
      <c r="C8612" t="s">
        <v>2008</v>
      </c>
      <c r="D8612">
        <v>2</v>
      </c>
      <c r="E8612" s="16">
        <v>10.46</v>
      </c>
      <c r="F8612" s="1">
        <v>44709</v>
      </c>
      <c r="G8612" t="s">
        <v>2002</v>
      </c>
      <c r="H8612">
        <v>5</v>
      </c>
      <c r="I8612" s="12">
        <f>Table16[[#This Row],[price]]*Table16[[#This Row],[quantity]]</f>
        <v>20.92</v>
      </c>
    </row>
    <row r="8613" spans="1:9" x14ac:dyDescent="0.3">
      <c r="A8613" t="s">
        <v>10629</v>
      </c>
      <c r="B8613" t="s">
        <v>1720</v>
      </c>
      <c r="C8613" t="s">
        <v>2011</v>
      </c>
      <c r="D8613">
        <v>4</v>
      </c>
      <c r="E8613" s="16">
        <v>162.63999999999999</v>
      </c>
      <c r="F8613" s="1">
        <v>44628</v>
      </c>
      <c r="G8613" t="s">
        <v>2027</v>
      </c>
      <c r="H8613">
        <v>3</v>
      </c>
      <c r="I8613" s="12">
        <f>Table16[[#This Row],[price]]*Table16[[#This Row],[quantity]]</f>
        <v>650.55999999999995</v>
      </c>
    </row>
    <row r="8614" spans="1:9" x14ac:dyDescent="0.3">
      <c r="A8614" t="s">
        <v>10630</v>
      </c>
      <c r="B8614" t="s">
        <v>1720</v>
      </c>
      <c r="C8614" t="s">
        <v>2001</v>
      </c>
      <c r="D8614">
        <v>3</v>
      </c>
      <c r="E8614" s="16">
        <v>900.24</v>
      </c>
      <c r="F8614" s="1">
        <v>44681</v>
      </c>
      <c r="G8614" t="s">
        <v>2020</v>
      </c>
      <c r="H8614">
        <v>3</v>
      </c>
      <c r="I8614" s="12">
        <f>Table16[[#This Row],[price]]*Table16[[#This Row],[quantity]]</f>
        <v>2700.7200000000003</v>
      </c>
    </row>
    <row r="8615" spans="1:9" x14ac:dyDescent="0.3">
      <c r="A8615" t="s">
        <v>10631</v>
      </c>
      <c r="B8615" t="s">
        <v>1721</v>
      </c>
      <c r="C8615" t="s">
        <v>2024</v>
      </c>
      <c r="D8615">
        <v>5</v>
      </c>
      <c r="E8615" s="16">
        <v>179.2</v>
      </c>
      <c r="F8615" s="1">
        <v>44773</v>
      </c>
      <c r="G8615" t="s">
        <v>2004</v>
      </c>
      <c r="H8615">
        <v>1</v>
      </c>
      <c r="I8615" s="12">
        <f>Table16[[#This Row],[price]]*Table16[[#This Row],[quantity]]</f>
        <v>896</v>
      </c>
    </row>
    <row r="8616" spans="1:9" x14ac:dyDescent="0.3">
      <c r="A8616" t="s">
        <v>10632</v>
      </c>
      <c r="B8616" t="s">
        <v>1721</v>
      </c>
      <c r="C8616" t="s">
        <v>2008</v>
      </c>
      <c r="D8616">
        <v>4</v>
      </c>
      <c r="E8616" s="16">
        <v>20.92</v>
      </c>
      <c r="F8616" s="1">
        <v>44806</v>
      </c>
      <c r="G8616" t="s">
        <v>2027</v>
      </c>
      <c r="H8616">
        <v>3</v>
      </c>
      <c r="I8616" s="12">
        <f>Table16[[#This Row],[price]]*Table16[[#This Row],[quantity]]</f>
        <v>83.68</v>
      </c>
    </row>
    <row r="8617" spans="1:9" x14ac:dyDescent="0.3">
      <c r="A8617" t="s">
        <v>10633</v>
      </c>
      <c r="B8617" t="s">
        <v>1721</v>
      </c>
      <c r="C8617" t="s">
        <v>2001</v>
      </c>
      <c r="D8617">
        <v>1</v>
      </c>
      <c r="E8617" s="16">
        <v>300.08</v>
      </c>
      <c r="F8617" s="1">
        <v>44922</v>
      </c>
      <c r="G8617" t="s">
        <v>2002</v>
      </c>
      <c r="H8617">
        <v>3</v>
      </c>
      <c r="I8617" s="12">
        <f>Table16[[#This Row],[price]]*Table16[[#This Row],[quantity]]</f>
        <v>300.08</v>
      </c>
    </row>
    <row r="8618" spans="1:9" x14ac:dyDescent="0.3">
      <c r="A8618" t="s">
        <v>10636</v>
      </c>
      <c r="B8618" t="s">
        <v>1722</v>
      </c>
      <c r="C8618" t="s">
        <v>2008</v>
      </c>
      <c r="D8618">
        <v>1</v>
      </c>
      <c r="E8618" s="16">
        <v>5.23</v>
      </c>
      <c r="F8618" s="1">
        <v>44236</v>
      </c>
      <c r="G8618" t="s">
        <v>2012</v>
      </c>
      <c r="H8618">
        <v>3</v>
      </c>
      <c r="I8618" s="12">
        <f>Table16[[#This Row],[price]]*Table16[[#This Row],[quantity]]</f>
        <v>5.23</v>
      </c>
    </row>
    <row r="8619" spans="1:9" x14ac:dyDescent="0.3">
      <c r="A8619" t="s">
        <v>10634</v>
      </c>
      <c r="B8619" t="s">
        <v>1722</v>
      </c>
      <c r="C8619" t="s">
        <v>2008</v>
      </c>
      <c r="D8619">
        <v>5</v>
      </c>
      <c r="E8619" s="16">
        <v>26.15</v>
      </c>
      <c r="F8619" s="1">
        <v>44762</v>
      </c>
      <c r="G8619" t="s">
        <v>2027</v>
      </c>
      <c r="H8619">
        <v>5</v>
      </c>
      <c r="I8619" s="12">
        <f>Table16[[#This Row],[price]]*Table16[[#This Row],[quantity]]</f>
        <v>130.75</v>
      </c>
    </row>
    <row r="8620" spans="1:9" x14ac:dyDescent="0.3">
      <c r="A8620" t="s">
        <v>10635</v>
      </c>
      <c r="B8620" t="s">
        <v>1722</v>
      </c>
      <c r="C8620" t="s">
        <v>2008</v>
      </c>
      <c r="D8620">
        <v>2</v>
      </c>
      <c r="E8620" s="16">
        <v>10.46</v>
      </c>
      <c r="F8620" s="1">
        <v>44885</v>
      </c>
      <c r="G8620" t="s">
        <v>2009</v>
      </c>
      <c r="H8620">
        <v>4</v>
      </c>
      <c r="I8620" s="12">
        <f>Table16[[#This Row],[price]]*Table16[[#This Row],[quantity]]</f>
        <v>20.92</v>
      </c>
    </row>
    <row r="8621" spans="1:9" x14ac:dyDescent="0.3">
      <c r="A8621" t="s">
        <v>10637</v>
      </c>
      <c r="B8621" t="s">
        <v>1722</v>
      </c>
      <c r="C8621" t="s">
        <v>2001</v>
      </c>
      <c r="D8621">
        <v>2</v>
      </c>
      <c r="E8621" s="16">
        <v>600.16</v>
      </c>
      <c r="F8621" s="1">
        <v>44945</v>
      </c>
      <c r="G8621" t="s">
        <v>2020</v>
      </c>
      <c r="H8621">
        <v>1</v>
      </c>
      <c r="I8621" s="12">
        <f>Table16[[#This Row],[price]]*Table16[[#This Row],[quantity]]</f>
        <v>1200.32</v>
      </c>
    </row>
    <row r="8622" spans="1:9" x14ac:dyDescent="0.3">
      <c r="A8622" t="s">
        <v>10641</v>
      </c>
      <c r="B8622" t="s">
        <v>1723</v>
      </c>
      <c r="C8622" t="s">
        <v>2001</v>
      </c>
      <c r="D8622">
        <v>3</v>
      </c>
      <c r="E8622" s="16">
        <v>900.24</v>
      </c>
      <c r="F8622" s="1">
        <v>44596</v>
      </c>
      <c r="G8622" t="s">
        <v>2064</v>
      </c>
      <c r="H8622">
        <v>3</v>
      </c>
      <c r="I8622" s="12">
        <f>Table16[[#This Row],[price]]*Table16[[#This Row],[quantity]]</f>
        <v>2700.7200000000003</v>
      </c>
    </row>
    <row r="8623" spans="1:9" x14ac:dyDescent="0.3">
      <c r="A8623" t="s">
        <v>10640</v>
      </c>
      <c r="B8623" t="s">
        <v>1723</v>
      </c>
      <c r="C8623" t="s">
        <v>2008</v>
      </c>
      <c r="D8623">
        <v>1</v>
      </c>
      <c r="E8623" s="16">
        <v>5.23</v>
      </c>
      <c r="F8623" s="1">
        <v>44607</v>
      </c>
      <c r="G8623" t="s">
        <v>2004</v>
      </c>
      <c r="H8623">
        <v>5</v>
      </c>
      <c r="I8623" s="12">
        <f>Table16[[#This Row],[price]]*Table16[[#This Row],[quantity]]</f>
        <v>5.23</v>
      </c>
    </row>
    <row r="8624" spans="1:9" x14ac:dyDescent="0.3">
      <c r="A8624" t="s">
        <v>10638</v>
      </c>
      <c r="B8624" t="s">
        <v>1723</v>
      </c>
      <c r="C8624" t="s">
        <v>2001</v>
      </c>
      <c r="D8624">
        <v>5</v>
      </c>
      <c r="E8624" s="16">
        <v>1500.4</v>
      </c>
      <c r="F8624" s="1">
        <v>44747</v>
      </c>
      <c r="G8624" t="s">
        <v>2002</v>
      </c>
      <c r="H8624">
        <v>4</v>
      </c>
      <c r="I8624" s="12">
        <f>Table16[[#This Row],[price]]*Table16[[#This Row],[quantity]]</f>
        <v>7502</v>
      </c>
    </row>
    <row r="8625" spans="1:9" x14ac:dyDescent="0.3">
      <c r="A8625" t="s">
        <v>10639</v>
      </c>
      <c r="B8625" t="s">
        <v>1723</v>
      </c>
      <c r="C8625" t="s">
        <v>2024</v>
      </c>
      <c r="D8625">
        <v>1</v>
      </c>
      <c r="E8625" s="16">
        <v>35.840000000000003</v>
      </c>
      <c r="F8625" s="1">
        <v>44981</v>
      </c>
      <c r="G8625" t="s">
        <v>2004</v>
      </c>
      <c r="H8625">
        <v>4</v>
      </c>
      <c r="I8625" s="12">
        <f>Table16[[#This Row],[price]]*Table16[[#This Row],[quantity]]</f>
        <v>35.840000000000003</v>
      </c>
    </row>
    <row r="8626" spans="1:9" x14ac:dyDescent="0.3">
      <c r="A8626" t="s">
        <v>10645</v>
      </c>
      <c r="B8626" t="s">
        <v>1724</v>
      </c>
      <c r="C8626" t="s">
        <v>2008</v>
      </c>
      <c r="D8626">
        <v>2</v>
      </c>
      <c r="E8626" s="16">
        <v>10.46</v>
      </c>
      <c r="F8626" s="1">
        <v>44229</v>
      </c>
      <c r="G8626" t="s">
        <v>2004</v>
      </c>
      <c r="H8626">
        <v>3</v>
      </c>
      <c r="I8626" s="12">
        <f>Table16[[#This Row],[price]]*Table16[[#This Row],[quantity]]</f>
        <v>20.92</v>
      </c>
    </row>
    <row r="8627" spans="1:9" x14ac:dyDescent="0.3">
      <c r="A8627" t="s">
        <v>10644</v>
      </c>
      <c r="B8627" t="s">
        <v>1724</v>
      </c>
      <c r="C8627" t="s">
        <v>2057</v>
      </c>
      <c r="D8627">
        <v>2</v>
      </c>
      <c r="E8627" s="16">
        <v>23.46</v>
      </c>
      <c r="F8627" s="1">
        <v>44273</v>
      </c>
      <c r="G8627" t="s">
        <v>2004</v>
      </c>
      <c r="H8627">
        <v>5</v>
      </c>
      <c r="I8627" s="12">
        <f>Table16[[#This Row],[price]]*Table16[[#This Row],[quantity]]</f>
        <v>46.92</v>
      </c>
    </row>
    <row r="8628" spans="1:9" x14ac:dyDescent="0.3">
      <c r="A8628" t="s">
        <v>10643</v>
      </c>
      <c r="B8628" t="s">
        <v>1724</v>
      </c>
      <c r="C8628" t="s">
        <v>2017</v>
      </c>
      <c r="D8628">
        <v>1</v>
      </c>
      <c r="E8628" s="16">
        <v>1050</v>
      </c>
      <c r="F8628" s="1">
        <v>44778</v>
      </c>
      <c r="G8628" t="s">
        <v>2027</v>
      </c>
      <c r="H8628">
        <v>1</v>
      </c>
      <c r="I8628" s="12">
        <f>Table16[[#This Row],[price]]*Table16[[#This Row],[quantity]]</f>
        <v>1050</v>
      </c>
    </row>
    <row r="8629" spans="1:9" x14ac:dyDescent="0.3">
      <c r="A8629" t="s">
        <v>10646</v>
      </c>
      <c r="B8629" t="s">
        <v>1724</v>
      </c>
      <c r="C8629" t="s">
        <v>2011</v>
      </c>
      <c r="D8629">
        <v>2</v>
      </c>
      <c r="E8629" s="16">
        <v>81.319999999999993</v>
      </c>
      <c r="F8629" s="1">
        <v>44801</v>
      </c>
      <c r="G8629" t="s">
        <v>2058</v>
      </c>
      <c r="H8629">
        <v>5</v>
      </c>
      <c r="I8629" s="12">
        <f>Table16[[#This Row],[price]]*Table16[[#This Row],[quantity]]</f>
        <v>162.63999999999999</v>
      </c>
    </row>
    <row r="8630" spans="1:9" x14ac:dyDescent="0.3">
      <c r="A8630" t="s">
        <v>10642</v>
      </c>
      <c r="B8630" t="s">
        <v>1724</v>
      </c>
      <c r="C8630" t="s">
        <v>2057</v>
      </c>
      <c r="D8630">
        <v>4</v>
      </c>
      <c r="E8630" s="16">
        <v>46.92</v>
      </c>
      <c r="F8630" s="1">
        <v>44877</v>
      </c>
      <c r="G8630" t="s">
        <v>2002</v>
      </c>
      <c r="H8630">
        <v>5</v>
      </c>
      <c r="I8630" s="12">
        <f>Table16[[#This Row],[price]]*Table16[[#This Row],[quantity]]</f>
        <v>187.68</v>
      </c>
    </row>
    <row r="8631" spans="1:9" x14ac:dyDescent="0.3">
      <c r="A8631" t="s">
        <v>10648</v>
      </c>
      <c r="B8631" t="s">
        <v>1725</v>
      </c>
      <c r="C8631" t="s">
        <v>2006</v>
      </c>
      <c r="D8631">
        <v>2</v>
      </c>
      <c r="E8631" s="16">
        <v>30.3</v>
      </c>
      <c r="F8631" s="1">
        <v>44456</v>
      </c>
      <c r="G8631" t="s">
        <v>2002</v>
      </c>
      <c r="H8631">
        <v>1</v>
      </c>
      <c r="I8631" s="12">
        <f>Table16[[#This Row],[price]]*Table16[[#This Row],[quantity]]</f>
        <v>60.6</v>
      </c>
    </row>
    <row r="8632" spans="1:9" x14ac:dyDescent="0.3">
      <c r="A8632" t="s">
        <v>10649</v>
      </c>
      <c r="B8632" t="s">
        <v>1725</v>
      </c>
      <c r="C8632" t="s">
        <v>2017</v>
      </c>
      <c r="D8632">
        <v>5</v>
      </c>
      <c r="E8632" s="16">
        <v>5250</v>
      </c>
      <c r="F8632" s="1">
        <v>44686</v>
      </c>
      <c r="G8632" t="s">
        <v>2012</v>
      </c>
      <c r="H8632">
        <v>1</v>
      </c>
      <c r="I8632" s="12">
        <f>Table16[[#This Row],[price]]*Table16[[#This Row],[quantity]]</f>
        <v>26250</v>
      </c>
    </row>
    <row r="8633" spans="1:9" x14ac:dyDescent="0.3">
      <c r="A8633" t="s">
        <v>10651</v>
      </c>
      <c r="B8633" t="s">
        <v>1725</v>
      </c>
      <c r="C8633" t="s">
        <v>2015</v>
      </c>
      <c r="D8633">
        <v>4</v>
      </c>
      <c r="E8633" s="16">
        <v>2400.6799999999998</v>
      </c>
      <c r="F8633" s="1">
        <v>44732</v>
      </c>
      <c r="G8633" t="s">
        <v>2002</v>
      </c>
      <c r="H8633">
        <v>2</v>
      </c>
      <c r="I8633" s="12">
        <f>Table16[[#This Row],[price]]*Table16[[#This Row],[quantity]]</f>
        <v>9602.7199999999993</v>
      </c>
    </row>
    <row r="8634" spans="1:9" x14ac:dyDescent="0.3">
      <c r="A8634" t="s">
        <v>10647</v>
      </c>
      <c r="B8634" t="s">
        <v>1725</v>
      </c>
      <c r="C8634" t="s">
        <v>2024</v>
      </c>
      <c r="D8634">
        <v>2</v>
      </c>
      <c r="E8634" s="16">
        <v>71.680000000000007</v>
      </c>
      <c r="F8634" s="1">
        <v>44899</v>
      </c>
      <c r="G8634" t="s">
        <v>2009</v>
      </c>
      <c r="H8634">
        <v>3</v>
      </c>
      <c r="I8634" s="12">
        <f>Table16[[#This Row],[price]]*Table16[[#This Row],[quantity]]</f>
        <v>143.36000000000001</v>
      </c>
    </row>
    <row r="8635" spans="1:9" x14ac:dyDescent="0.3">
      <c r="A8635" t="s">
        <v>10650</v>
      </c>
      <c r="B8635" t="s">
        <v>1725</v>
      </c>
      <c r="C8635" t="s">
        <v>2024</v>
      </c>
      <c r="D8635">
        <v>4</v>
      </c>
      <c r="E8635" s="16">
        <v>143.36000000000001</v>
      </c>
      <c r="F8635" s="1">
        <v>44976</v>
      </c>
      <c r="G8635" t="s">
        <v>2012</v>
      </c>
      <c r="H8635">
        <v>4</v>
      </c>
      <c r="I8635" s="12">
        <f>Table16[[#This Row],[price]]*Table16[[#This Row],[quantity]]</f>
        <v>573.44000000000005</v>
      </c>
    </row>
    <row r="8636" spans="1:9" x14ac:dyDescent="0.3">
      <c r="A8636" t="s">
        <v>10655</v>
      </c>
      <c r="B8636" t="s">
        <v>1726</v>
      </c>
      <c r="C8636" t="s">
        <v>2011</v>
      </c>
      <c r="D8636">
        <v>1</v>
      </c>
      <c r="E8636" s="16">
        <v>40.659999999999997</v>
      </c>
      <c r="F8636" s="1">
        <v>44270</v>
      </c>
      <c r="G8636" t="s">
        <v>2027</v>
      </c>
      <c r="H8636">
        <v>4</v>
      </c>
      <c r="I8636" s="12">
        <f>Table16[[#This Row],[price]]*Table16[[#This Row],[quantity]]</f>
        <v>40.659999999999997</v>
      </c>
    </row>
    <row r="8637" spans="1:9" x14ac:dyDescent="0.3">
      <c r="A8637" t="s">
        <v>10653</v>
      </c>
      <c r="B8637" t="s">
        <v>1726</v>
      </c>
      <c r="C8637" t="s">
        <v>2001</v>
      </c>
      <c r="D8637">
        <v>4</v>
      </c>
      <c r="E8637" s="16">
        <v>1200.32</v>
      </c>
      <c r="F8637" s="1">
        <v>44427</v>
      </c>
      <c r="G8637" t="s">
        <v>2041</v>
      </c>
      <c r="H8637">
        <v>2</v>
      </c>
      <c r="I8637" s="12">
        <f>Table16[[#This Row],[price]]*Table16[[#This Row],[quantity]]</f>
        <v>4801.28</v>
      </c>
    </row>
    <row r="8638" spans="1:9" x14ac:dyDescent="0.3">
      <c r="A8638" t="s">
        <v>10654</v>
      </c>
      <c r="B8638" t="s">
        <v>1726</v>
      </c>
      <c r="C8638" t="s">
        <v>2008</v>
      </c>
      <c r="D8638">
        <v>5</v>
      </c>
      <c r="E8638" s="16">
        <v>26.15</v>
      </c>
      <c r="F8638" s="1">
        <v>44480</v>
      </c>
      <c r="G8638" t="s">
        <v>2002</v>
      </c>
      <c r="H8638">
        <v>3</v>
      </c>
      <c r="I8638" s="12">
        <f>Table16[[#This Row],[price]]*Table16[[#This Row],[quantity]]</f>
        <v>130.75</v>
      </c>
    </row>
    <row r="8639" spans="1:9" x14ac:dyDescent="0.3">
      <c r="A8639" t="s">
        <v>10652</v>
      </c>
      <c r="B8639" t="s">
        <v>1726</v>
      </c>
      <c r="C8639" t="s">
        <v>2001</v>
      </c>
      <c r="D8639">
        <v>2</v>
      </c>
      <c r="E8639" s="16">
        <v>600.16</v>
      </c>
      <c r="F8639" s="1">
        <v>44634</v>
      </c>
      <c r="G8639" t="s">
        <v>2012</v>
      </c>
      <c r="H8639">
        <v>3</v>
      </c>
      <c r="I8639" s="12">
        <f>Table16[[#This Row],[price]]*Table16[[#This Row],[quantity]]</f>
        <v>1200.32</v>
      </c>
    </row>
    <row r="8640" spans="1:9" x14ac:dyDescent="0.3">
      <c r="A8640" t="s">
        <v>10656</v>
      </c>
      <c r="B8640" t="s">
        <v>1726</v>
      </c>
      <c r="C8640" t="s">
        <v>2015</v>
      </c>
      <c r="D8640">
        <v>5</v>
      </c>
      <c r="E8640" s="16">
        <v>3000.85</v>
      </c>
      <c r="F8640" s="1">
        <v>44714</v>
      </c>
      <c r="G8640" t="s">
        <v>2012</v>
      </c>
      <c r="H8640">
        <v>1</v>
      </c>
      <c r="I8640" s="12">
        <f>Table16[[#This Row],[price]]*Table16[[#This Row],[quantity]]</f>
        <v>15004.25</v>
      </c>
    </row>
    <row r="8641" spans="1:9" x14ac:dyDescent="0.3">
      <c r="A8641" t="s">
        <v>10657</v>
      </c>
      <c r="B8641" t="s">
        <v>1727</v>
      </c>
      <c r="C8641" t="s">
        <v>2011</v>
      </c>
      <c r="D8641">
        <v>1</v>
      </c>
      <c r="E8641" s="16">
        <v>40.659999999999997</v>
      </c>
      <c r="F8641" s="1">
        <v>44795</v>
      </c>
      <c r="G8641" t="s">
        <v>2002</v>
      </c>
      <c r="H8641">
        <v>4</v>
      </c>
      <c r="I8641" s="12">
        <f>Table16[[#This Row],[price]]*Table16[[#This Row],[quantity]]</f>
        <v>40.659999999999997</v>
      </c>
    </row>
    <row r="8642" spans="1:9" x14ac:dyDescent="0.3">
      <c r="A8642" t="s">
        <v>10658</v>
      </c>
      <c r="B8642" t="s">
        <v>1727</v>
      </c>
      <c r="C8642" t="s">
        <v>2057</v>
      </c>
      <c r="D8642">
        <v>4</v>
      </c>
      <c r="E8642" s="16">
        <v>46.92</v>
      </c>
      <c r="F8642" s="1">
        <v>44864</v>
      </c>
      <c r="G8642" t="s">
        <v>2064</v>
      </c>
      <c r="H8642">
        <v>4</v>
      </c>
      <c r="I8642" s="12">
        <f>Table16[[#This Row],[price]]*Table16[[#This Row],[quantity]]</f>
        <v>187.68</v>
      </c>
    </row>
    <row r="8643" spans="1:9" x14ac:dyDescent="0.3">
      <c r="A8643" t="s">
        <v>10662</v>
      </c>
      <c r="B8643" t="s">
        <v>1728</v>
      </c>
      <c r="C8643" t="s">
        <v>2017</v>
      </c>
      <c r="D8643">
        <v>5</v>
      </c>
      <c r="E8643" s="16">
        <v>5250</v>
      </c>
      <c r="F8643" s="1">
        <v>44280</v>
      </c>
      <c r="G8643" t="s">
        <v>2012</v>
      </c>
      <c r="H8643">
        <v>1</v>
      </c>
      <c r="I8643" s="12">
        <f>Table16[[#This Row],[price]]*Table16[[#This Row],[quantity]]</f>
        <v>26250</v>
      </c>
    </row>
    <row r="8644" spans="1:9" x14ac:dyDescent="0.3">
      <c r="A8644" t="s">
        <v>10659</v>
      </c>
      <c r="B8644" t="s">
        <v>1728</v>
      </c>
      <c r="C8644" t="s">
        <v>2006</v>
      </c>
      <c r="D8644">
        <v>1</v>
      </c>
      <c r="E8644" s="16">
        <v>15.15</v>
      </c>
      <c r="F8644" s="1">
        <v>44280</v>
      </c>
      <c r="G8644" t="s">
        <v>2064</v>
      </c>
      <c r="H8644">
        <v>5</v>
      </c>
      <c r="I8644" s="12">
        <f>Table16[[#This Row],[price]]*Table16[[#This Row],[quantity]]</f>
        <v>15.15</v>
      </c>
    </row>
    <row r="8645" spans="1:9" x14ac:dyDescent="0.3">
      <c r="A8645" t="s">
        <v>10665</v>
      </c>
      <c r="B8645" t="s">
        <v>1728</v>
      </c>
      <c r="C8645" t="s">
        <v>2011</v>
      </c>
      <c r="D8645">
        <v>1</v>
      </c>
      <c r="E8645" s="16">
        <v>40.659999999999997</v>
      </c>
      <c r="F8645" s="1">
        <v>44543</v>
      </c>
      <c r="G8645" t="s">
        <v>2004</v>
      </c>
      <c r="H8645">
        <v>3</v>
      </c>
      <c r="I8645" s="12">
        <f>Table16[[#This Row],[price]]*Table16[[#This Row],[quantity]]</f>
        <v>40.659999999999997</v>
      </c>
    </row>
    <row r="8646" spans="1:9" x14ac:dyDescent="0.3">
      <c r="A8646" t="s">
        <v>10663</v>
      </c>
      <c r="B8646" t="s">
        <v>1728</v>
      </c>
      <c r="C8646" t="s">
        <v>2011</v>
      </c>
      <c r="D8646">
        <v>2</v>
      </c>
      <c r="E8646" s="16">
        <v>81.319999999999993</v>
      </c>
      <c r="F8646" s="1">
        <v>44554</v>
      </c>
      <c r="G8646" t="s">
        <v>2004</v>
      </c>
      <c r="H8646">
        <v>3</v>
      </c>
      <c r="I8646" s="12">
        <f>Table16[[#This Row],[price]]*Table16[[#This Row],[quantity]]</f>
        <v>162.63999999999999</v>
      </c>
    </row>
    <row r="8647" spans="1:9" x14ac:dyDescent="0.3">
      <c r="A8647" t="s">
        <v>10661</v>
      </c>
      <c r="B8647" t="s">
        <v>1728</v>
      </c>
      <c r="C8647" t="s">
        <v>2017</v>
      </c>
      <c r="D8647">
        <v>2</v>
      </c>
      <c r="E8647" s="16">
        <v>2100</v>
      </c>
      <c r="F8647" s="1">
        <v>44637</v>
      </c>
      <c r="G8647" t="s">
        <v>2027</v>
      </c>
      <c r="H8647">
        <v>2</v>
      </c>
      <c r="I8647" s="12">
        <f>Table16[[#This Row],[price]]*Table16[[#This Row],[quantity]]</f>
        <v>4200</v>
      </c>
    </row>
    <row r="8648" spans="1:9" x14ac:dyDescent="0.3">
      <c r="A8648" t="s">
        <v>10660</v>
      </c>
      <c r="B8648" t="s">
        <v>1728</v>
      </c>
      <c r="C8648" t="s">
        <v>2057</v>
      </c>
      <c r="D8648">
        <v>4</v>
      </c>
      <c r="E8648" s="16">
        <v>46.92</v>
      </c>
      <c r="F8648" s="1">
        <v>44791</v>
      </c>
      <c r="G8648" t="s">
        <v>2027</v>
      </c>
      <c r="H8648">
        <v>4</v>
      </c>
      <c r="I8648" s="12">
        <f>Table16[[#This Row],[price]]*Table16[[#This Row],[quantity]]</f>
        <v>187.68</v>
      </c>
    </row>
    <row r="8649" spans="1:9" x14ac:dyDescent="0.3">
      <c r="A8649" t="s">
        <v>10666</v>
      </c>
      <c r="B8649" t="s">
        <v>1728</v>
      </c>
      <c r="C8649" t="s">
        <v>2011</v>
      </c>
      <c r="D8649">
        <v>1</v>
      </c>
      <c r="E8649" s="16">
        <v>40.659999999999997</v>
      </c>
      <c r="F8649" s="1">
        <v>44859</v>
      </c>
      <c r="G8649" t="s">
        <v>2020</v>
      </c>
      <c r="H8649">
        <v>5</v>
      </c>
      <c r="I8649" s="12">
        <f>Table16[[#This Row],[price]]*Table16[[#This Row],[quantity]]</f>
        <v>40.659999999999997</v>
      </c>
    </row>
    <row r="8650" spans="1:9" x14ac:dyDescent="0.3">
      <c r="A8650" t="s">
        <v>10664</v>
      </c>
      <c r="B8650" t="s">
        <v>1728</v>
      </c>
      <c r="C8650" t="s">
        <v>2001</v>
      </c>
      <c r="D8650">
        <v>3</v>
      </c>
      <c r="E8650" s="16">
        <v>900.24</v>
      </c>
      <c r="F8650" s="1">
        <v>44881</v>
      </c>
      <c r="G8650" t="s">
        <v>2018</v>
      </c>
      <c r="H8650">
        <v>5</v>
      </c>
      <c r="I8650" s="12">
        <f>Table16[[#This Row],[price]]*Table16[[#This Row],[quantity]]</f>
        <v>2700.7200000000003</v>
      </c>
    </row>
    <row r="8651" spans="1:9" x14ac:dyDescent="0.3">
      <c r="A8651" t="s">
        <v>10667</v>
      </c>
      <c r="B8651" t="s">
        <v>1729</v>
      </c>
      <c r="C8651" t="s">
        <v>2008</v>
      </c>
      <c r="D8651">
        <v>5</v>
      </c>
      <c r="E8651" s="16">
        <v>26.15</v>
      </c>
      <c r="F8651" s="1">
        <v>44323</v>
      </c>
      <c r="G8651" t="s">
        <v>2002</v>
      </c>
      <c r="H8651">
        <v>1</v>
      </c>
      <c r="I8651" s="12">
        <f>Table16[[#This Row],[price]]*Table16[[#This Row],[quantity]]</f>
        <v>130.75</v>
      </c>
    </row>
    <row r="8652" spans="1:9" x14ac:dyDescent="0.3">
      <c r="A8652" t="s">
        <v>10668</v>
      </c>
      <c r="B8652" t="s">
        <v>1729</v>
      </c>
      <c r="C8652" t="s">
        <v>2001</v>
      </c>
      <c r="D8652">
        <v>4</v>
      </c>
      <c r="E8652" s="16">
        <v>1200.32</v>
      </c>
      <c r="F8652" s="1">
        <v>44902</v>
      </c>
      <c r="G8652" t="s">
        <v>2012</v>
      </c>
      <c r="H8652">
        <v>3</v>
      </c>
      <c r="I8652" s="12">
        <f>Table16[[#This Row],[price]]*Table16[[#This Row],[quantity]]</f>
        <v>4801.28</v>
      </c>
    </row>
    <row r="8653" spans="1:9" x14ac:dyDescent="0.3">
      <c r="A8653" t="s">
        <v>10673</v>
      </c>
      <c r="B8653" t="s">
        <v>1730</v>
      </c>
      <c r="C8653" t="s">
        <v>2057</v>
      </c>
      <c r="D8653">
        <v>1</v>
      </c>
      <c r="E8653" s="16">
        <v>11.73</v>
      </c>
      <c r="F8653" s="1">
        <v>44585</v>
      </c>
      <c r="G8653" t="s">
        <v>2064</v>
      </c>
      <c r="H8653">
        <v>5</v>
      </c>
      <c r="I8653" s="12">
        <f>Table16[[#This Row],[price]]*Table16[[#This Row],[quantity]]</f>
        <v>11.73</v>
      </c>
    </row>
    <row r="8654" spans="1:9" x14ac:dyDescent="0.3">
      <c r="A8654" t="s">
        <v>10669</v>
      </c>
      <c r="B8654" t="s">
        <v>1730</v>
      </c>
      <c r="C8654" t="s">
        <v>2001</v>
      </c>
      <c r="D8654">
        <v>5</v>
      </c>
      <c r="E8654" s="16">
        <v>1500.4</v>
      </c>
      <c r="F8654" s="1">
        <v>44589</v>
      </c>
      <c r="G8654" t="s">
        <v>2004</v>
      </c>
      <c r="H8654">
        <v>5</v>
      </c>
      <c r="I8654" s="12">
        <f>Table16[[#This Row],[price]]*Table16[[#This Row],[quantity]]</f>
        <v>7502</v>
      </c>
    </row>
    <row r="8655" spans="1:9" x14ac:dyDescent="0.3">
      <c r="A8655" t="s">
        <v>10671</v>
      </c>
      <c r="B8655" t="s">
        <v>1730</v>
      </c>
      <c r="C8655" t="s">
        <v>2011</v>
      </c>
      <c r="D8655">
        <v>2</v>
      </c>
      <c r="E8655" s="16">
        <v>81.319999999999993</v>
      </c>
      <c r="F8655" s="1">
        <v>44641</v>
      </c>
      <c r="G8655" t="s">
        <v>2027</v>
      </c>
      <c r="H8655">
        <v>5</v>
      </c>
      <c r="I8655" s="12">
        <f>Table16[[#This Row],[price]]*Table16[[#This Row],[quantity]]</f>
        <v>162.63999999999999</v>
      </c>
    </row>
    <row r="8656" spans="1:9" x14ac:dyDescent="0.3">
      <c r="A8656" t="s">
        <v>10670</v>
      </c>
      <c r="B8656" t="s">
        <v>1730</v>
      </c>
      <c r="C8656" t="s">
        <v>2011</v>
      </c>
      <c r="D8656">
        <v>4</v>
      </c>
      <c r="E8656" s="16">
        <v>162.63999999999999</v>
      </c>
      <c r="F8656" s="1">
        <v>44886</v>
      </c>
      <c r="G8656" t="s">
        <v>2027</v>
      </c>
      <c r="H8656">
        <v>5</v>
      </c>
      <c r="I8656" s="12">
        <f>Table16[[#This Row],[price]]*Table16[[#This Row],[quantity]]</f>
        <v>650.55999999999995</v>
      </c>
    </row>
    <row r="8657" spans="1:9" x14ac:dyDescent="0.3">
      <c r="A8657" t="s">
        <v>10672</v>
      </c>
      <c r="B8657" t="s">
        <v>1730</v>
      </c>
      <c r="C8657" t="s">
        <v>2057</v>
      </c>
      <c r="D8657">
        <v>1</v>
      </c>
      <c r="E8657" s="16">
        <v>11.73</v>
      </c>
      <c r="F8657" s="1">
        <v>44944</v>
      </c>
      <c r="G8657" t="s">
        <v>2027</v>
      </c>
      <c r="H8657">
        <v>4</v>
      </c>
      <c r="I8657" s="12">
        <f>Table16[[#This Row],[price]]*Table16[[#This Row],[quantity]]</f>
        <v>11.73</v>
      </c>
    </row>
    <row r="8658" spans="1:9" x14ac:dyDescent="0.3">
      <c r="A8658" t="s">
        <v>10674</v>
      </c>
      <c r="B8658" t="s">
        <v>1731</v>
      </c>
      <c r="C8658" t="s">
        <v>2015</v>
      </c>
      <c r="D8658">
        <v>1</v>
      </c>
      <c r="E8658" s="16">
        <v>600.16999999999996</v>
      </c>
      <c r="F8658" s="1">
        <v>44545</v>
      </c>
      <c r="G8658" t="s">
        <v>2027</v>
      </c>
      <c r="H8658">
        <v>3</v>
      </c>
      <c r="I8658" s="12">
        <f>Table16[[#This Row],[price]]*Table16[[#This Row],[quantity]]</f>
        <v>600.16999999999996</v>
      </c>
    </row>
    <row r="8659" spans="1:9" x14ac:dyDescent="0.3">
      <c r="A8659" t="s">
        <v>10677</v>
      </c>
      <c r="B8659" t="s">
        <v>1731</v>
      </c>
      <c r="C8659" t="s">
        <v>2024</v>
      </c>
      <c r="D8659">
        <v>4</v>
      </c>
      <c r="E8659" s="16">
        <v>143.36000000000001</v>
      </c>
      <c r="F8659" s="1">
        <v>44563</v>
      </c>
      <c r="G8659" t="s">
        <v>2027</v>
      </c>
      <c r="H8659">
        <v>5</v>
      </c>
      <c r="I8659" s="12">
        <f>Table16[[#This Row],[price]]*Table16[[#This Row],[quantity]]</f>
        <v>573.44000000000005</v>
      </c>
    </row>
    <row r="8660" spans="1:9" x14ac:dyDescent="0.3">
      <c r="A8660" t="s">
        <v>10675</v>
      </c>
      <c r="B8660" t="s">
        <v>1731</v>
      </c>
      <c r="C8660" t="s">
        <v>2011</v>
      </c>
      <c r="D8660">
        <v>5</v>
      </c>
      <c r="E8660" s="16">
        <v>203.3</v>
      </c>
      <c r="F8660" s="1">
        <v>44626</v>
      </c>
      <c r="G8660" t="s">
        <v>2064</v>
      </c>
      <c r="H8660">
        <v>4</v>
      </c>
      <c r="I8660" s="12">
        <f>Table16[[#This Row],[price]]*Table16[[#This Row],[quantity]]</f>
        <v>1016.5</v>
      </c>
    </row>
    <row r="8661" spans="1:9" x14ac:dyDescent="0.3">
      <c r="A8661" t="s">
        <v>10676</v>
      </c>
      <c r="B8661" t="s">
        <v>1731</v>
      </c>
      <c r="C8661" t="s">
        <v>2057</v>
      </c>
      <c r="D8661">
        <v>5</v>
      </c>
      <c r="E8661" s="16">
        <v>58.65</v>
      </c>
      <c r="F8661" s="1">
        <v>44985</v>
      </c>
      <c r="G8661" t="s">
        <v>2018</v>
      </c>
      <c r="H8661">
        <v>1</v>
      </c>
      <c r="I8661" s="12">
        <f>Table16[[#This Row],[price]]*Table16[[#This Row],[quantity]]</f>
        <v>293.25</v>
      </c>
    </row>
    <row r="8662" spans="1:9" x14ac:dyDescent="0.3">
      <c r="A8662" t="s">
        <v>10679</v>
      </c>
      <c r="B8662" t="s">
        <v>1732</v>
      </c>
      <c r="C8662" t="s">
        <v>2008</v>
      </c>
      <c r="D8662">
        <v>5</v>
      </c>
      <c r="E8662" s="16">
        <v>26.15</v>
      </c>
      <c r="F8662" s="1">
        <v>44262</v>
      </c>
      <c r="G8662" t="s">
        <v>2004</v>
      </c>
      <c r="H8662">
        <v>5</v>
      </c>
      <c r="I8662" s="12">
        <f>Table16[[#This Row],[price]]*Table16[[#This Row],[quantity]]</f>
        <v>130.75</v>
      </c>
    </row>
    <row r="8663" spans="1:9" x14ac:dyDescent="0.3">
      <c r="A8663" t="s">
        <v>10678</v>
      </c>
      <c r="B8663" t="s">
        <v>1732</v>
      </c>
      <c r="C8663" t="s">
        <v>2017</v>
      </c>
      <c r="D8663">
        <v>3</v>
      </c>
      <c r="E8663" s="16">
        <v>3150</v>
      </c>
      <c r="F8663" s="1">
        <v>44865</v>
      </c>
      <c r="G8663" t="s">
        <v>2064</v>
      </c>
      <c r="H8663">
        <v>1</v>
      </c>
      <c r="I8663" s="12">
        <f>Table16[[#This Row],[price]]*Table16[[#This Row],[quantity]]</f>
        <v>9450</v>
      </c>
    </row>
    <row r="8664" spans="1:9" x14ac:dyDescent="0.3">
      <c r="A8664" t="s">
        <v>10684</v>
      </c>
      <c r="B8664" t="s">
        <v>1733</v>
      </c>
      <c r="C8664" t="s">
        <v>2001</v>
      </c>
      <c r="D8664">
        <v>5</v>
      </c>
      <c r="E8664" s="16">
        <v>1500.4</v>
      </c>
      <c r="F8664" s="1">
        <v>44278</v>
      </c>
      <c r="G8664" t="s">
        <v>2002</v>
      </c>
      <c r="H8664">
        <v>5</v>
      </c>
      <c r="I8664" s="12">
        <f>Table16[[#This Row],[price]]*Table16[[#This Row],[quantity]]</f>
        <v>7502</v>
      </c>
    </row>
    <row r="8665" spans="1:9" x14ac:dyDescent="0.3">
      <c r="A8665" t="s">
        <v>10681</v>
      </c>
      <c r="B8665" t="s">
        <v>1733</v>
      </c>
      <c r="C8665" t="s">
        <v>2001</v>
      </c>
      <c r="D8665">
        <v>1</v>
      </c>
      <c r="E8665" s="16">
        <v>300.08</v>
      </c>
      <c r="F8665" s="1">
        <v>44321</v>
      </c>
      <c r="G8665" t="s">
        <v>2041</v>
      </c>
      <c r="H8665">
        <v>2</v>
      </c>
      <c r="I8665" s="12">
        <f>Table16[[#This Row],[price]]*Table16[[#This Row],[quantity]]</f>
        <v>300.08</v>
      </c>
    </row>
    <row r="8666" spans="1:9" x14ac:dyDescent="0.3">
      <c r="A8666" t="s">
        <v>10683</v>
      </c>
      <c r="B8666" t="s">
        <v>1733</v>
      </c>
      <c r="C8666" t="s">
        <v>2001</v>
      </c>
      <c r="D8666">
        <v>2</v>
      </c>
      <c r="E8666" s="16">
        <v>600.16</v>
      </c>
      <c r="F8666" s="1">
        <v>44367</v>
      </c>
      <c r="G8666" t="s">
        <v>2027</v>
      </c>
      <c r="H8666">
        <v>5</v>
      </c>
      <c r="I8666" s="12">
        <f>Table16[[#This Row],[price]]*Table16[[#This Row],[quantity]]</f>
        <v>1200.32</v>
      </c>
    </row>
    <row r="8667" spans="1:9" x14ac:dyDescent="0.3">
      <c r="A8667" t="s">
        <v>10680</v>
      </c>
      <c r="B8667" t="s">
        <v>1733</v>
      </c>
      <c r="C8667" t="s">
        <v>2015</v>
      </c>
      <c r="D8667">
        <v>4</v>
      </c>
      <c r="E8667" s="16">
        <v>2400.6799999999998</v>
      </c>
      <c r="F8667" s="1">
        <v>44684</v>
      </c>
      <c r="G8667" t="s">
        <v>2012</v>
      </c>
      <c r="H8667">
        <v>1</v>
      </c>
      <c r="I8667" s="12">
        <f>Table16[[#This Row],[price]]*Table16[[#This Row],[quantity]]</f>
        <v>9602.7199999999993</v>
      </c>
    </row>
    <row r="8668" spans="1:9" x14ac:dyDescent="0.3">
      <c r="A8668" t="s">
        <v>10682</v>
      </c>
      <c r="B8668" t="s">
        <v>1733</v>
      </c>
      <c r="C8668" t="s">
        <v>2024</v>
      </c>
      <c r="D8668">
        <v>4</v>
      </c>
      <c r="E8668" s="16">
        <v>143.36000000000001</v>
      </c>
      <c r="F8668" s="1">
        <v>44816</v>
      </c>
      <c r="G8668" t="s">
        <v>2002</v>
      </c>
      <c r="H8668">
        <v>3</v>
      </c>
      <c r="I8668" s="12">
        <f>Table16[[#This Row],[price]]*Table16[[#This Row],[quantity]]</f>
        <v>573.44000000000005</v>
      </c>
    </row>
    <row r="8669" spans="1:9" x14ac:dyDescent="0.3">
      <c r="A8669" t="s">
        <v>10687</v>
      </c>
      <c r="B8669" t="s">
        <v>1734</v>
      </c>
      <c r="C8669" t="s">
        <v>2011</v>
      </c>
      <c r="D8669">
        <v>4</v>
      </c>
      <c r="E8669" s="16">
        <v>162.63999999999999</v>
      </c>
      <c r="F8669" s="1">
        <v>44325</v>
      </c>
      <c r="G8669" t="s">
        <v>2002</v>
      </c>
      <c r="H8669">
        <v>2</v>
      </c>
      <c r="I8669" s="12">
        <f>Table16[[#This Row],[price]]*Table16[[#This Row],[quantity]]</f>
        <v>650.55999999999995</v>
      </c>
    </row>
    <row r="8670" spans="1:9" x14ac:dyDescent="0.3">
      <c r="A8670" t="s">
        <v>10686</v>
      </c>
      <c r="B8670" t="s">
        <v>1734</v>
      </c>
      <c r="C8670" t="s">
        <v>2001</v>
      </c>
      <c r="D8670">
        <v>5</v>
      </c>
      <c r="E8670" s="16">
        <v>1500.4</v>
      </c>
      <c r="F8670" s="1">
        <v>44329</v>
      </c>
      <c r="G8670" t="s">
        <v>2058</v>
      </c>
      <c r="H8670">
        <v>4</v>
      </c>
      <c r="I8670" s="12">
        <f>Table16[[#This Row],[price]]*Table16[[#This Row],[quantity]]</f>
        <v>7502</v>
      </c>
    </row>
    <row r="8671" spans="1:9" x14ac:dyDescent="0.3">
      <c r="A8671" t="s">
        <v>10685</v>
      </c>
      <c r="B8671" t="s">
        <v>1734</v>
      </c>
      <c r="C8671" t="s">
        <v>2001</v>
      </c>
      <c r="D8671">
        <v>4</v>
      </c>
      <c r="E8671" s="16">
        <v>1200.32</v>
      </c>
      <c r="F8671" s="1">
        <v>44767</v>
      </c>
      <c r="G8671" t="s">
        <v>2041</v>
      </c>
      <c r="H8671">
        <v>1</v>
      </c>
      <c r="I8671" s="12">
        <f>Table16[[#This Row],[price]]*Table16[[#This Row],[quantity]]</f>
        <v>4801.28</v>
      </c>
    </row>
    <row r="8672" spans="1:9" x14ac:dyDescent="0.3">
      <c r="A8672" t="s">
        <v>10689</v>
      </c>
      <c r="B8672" t="s">
        <v>1735</v>
      </c>
      <c r="C8672" t="s">
        <v>2057</v>
      </c>
      <c r="D8672">
        <v>4</v>
      </c>
      <c r="E8672" s="16">
        <v>46.92</v>
      </c>
      <c r="F8672" s="1">
        <v>44363</v>
      </c>
      <c r="G8672" t="s">
        <v>2002</v>
      </c>
      <c r="H8672">
        <v>4</v>
      </c>
      <c r="I8672" s="12">
        <f>Table16[[#This Row],[price]]*Table16[[#This Row],[quantity]]</f>
        <v>187.68</v>
      </c>
    </row>
    <row r="8673" spans="1:9" x14ac:dyDescent="0.3">
      <c r="A8673" t="s">
        <v>10692</v>
      </c>
      <c r="B8673" t="s">
        <v>1735</v>
      </c>
      <c r="C8673" t="s">
        <v>2008</v>
      </c>
      <c r="D8673">
        <v>1</v>
      </c>
      <c r="E8673" s="16">
        <v>5.23</v>
      </c>
      <c r="F8673" s="1">
        <v>44365</v>
      </c>
      <c r="G8673" t="s">
        <v>2018</v>
      </c>
      <c r="H8673">
        <v>3</v>
      </c>
      <c r="I8673" s="12">
        <f>Table16[[#This Row],[price]]*Table16[[#This Row],[quantity]]</f>
        <v>5.23</v>
      </c>
    </row>
    <row r="8674" spans="1:9" x14ac:dyDescent="0.3">
      <c r="A8674" t="s">
        <v>10693</v>
      </c>
      <c r="B8674" t="s">
        <v>1735</v>
      </c>
      <c r="C8674" t="s">
        <v>2001</v>
      </c>
      <c r="D8674">
        <v>4</v>
      </c>
      <c r="E8674" s="16">
        <v>1200.32</v>
      </c>
      <c r="F8674" s="1">
        <v>44366</v>
      </c>
      <c r="G8674" t="s">
        <v>2041</v>
      </c>
      <c r="H8674">
        <v>2</v>
      </c>
      <c r="I8674" s="12">
        <f>Table16[[#This Row],[price]]*Table16[[#This Row],[quantity]]</f>
        <v>4801.28</v>
      </c>
    </row>
    <row r="8675" spans="1:9" x14ac:dyDescent="0.3">
      <c r="A8675" t="s">
        <v>10691</v>
      </c>
      <c r="B8675" t="s">
        <v>1735</v>
      </c>
      <c r="C8675" t="s">
        <v>2008</v>
      </c>
      <c r="D8675">
        <v>2</v>
      </c>
      <c r="E8675" s="16">
        <v>10.46</v>
      </c>
      <c r="F8675" s="1">
        <v>44428</v>
      </c>
      <c r="G8675" t="s">
        <v>2027</v>
      </c>
      <c r="H8675">
        <v>4</v>
      </c>
      <c r="I8675" s="12">
        <f>Table16[[#This Row],[price]]*Table16[[#This Row],[quantity]]</f>
        <v>20.92</v>
      </c>
    </row>
    <row r="8676" spans="1:9" x14ac:dyDescent="0.3">
      <c r="A8676" t="s">
        <v>10690</v>
      </c>
      <c r="B8676" t="s">
        <v>1735</v>
      </c>
      <c r="C8676" t="s">
        <v>2001</v>
      </c>
      <c r="D8676">
        <v>3</v>
      </c>
      <c r="E8676" s="16">
        <v>900.24</v>
      </c>
      <c r="F8676" s="1">
        <v>44431</v>
      </c>
      <c r="G8676" t="s">
        <v>2064</v>
      </c>
      <c r="H8676">
        <v>2</v>
      </c>
      <c r="I8676" s="12">
        <f>Table16[[#This Row],[price]]*Table16[[#This Row],[quantity]]</f>
        <v>2700.7200000000003</v>
      </c>
    </row>
    <row r="8677" spans="1:9" x14ac:dyDescent="0.3">
      <c r="A8677" t="s">
        <v>10694</v>
      </c>
      <c r="B8677" t="s">
        <v>1735</v>
      </c>
      <c r="C8677" t="s">
        <v>2001</v>
      </c>
      <c r="D8677">
        <v>4</v>
      </c>
      <c r="E8677" s="16">
        <v>1200.32</v>
      </c>
      <c r="F8677" s="1">
        <v>44606</v>
      </c>
      <c r="G8677" t="s">
        <v>2058</v>
      </c>
      <c r="H8677">
        <v>4</v>
      </c>
      <c r="I8677" s="12">
        <f>Table16[[#This Row],[price]]*Table16[[#This Row],[quantity]]</f>
        <v>4801.28</v>
      </c>
    </row>
    <row r="8678" spans="1:9" x14ac:dyDescent="0.3">
      <c r="A8678" t="s">
        <v>10688</v>
      </c>
      <c r="B8678" t="s">
        <v>1735</v>
      </c>
      <c r="C8678" t="s">
        <v>2001</v>
      </c>
      <c r="D8678">
        <v>3</v>
      </c>
      <c r="E8678" s="16">
        <v>900.24</v>
      </c>
      <c r="F8678" s="1">
        <v>44825</v>
      </c>
      <c r="G8678" t="s">
        <v>2027</v>
      </c>
      <c r="H8678">
        <v>5</v>
      </c>
      <c r="I8678" s="12">
        <f>Table16[[#This Row],[price]]*Table16[[#This Row],[quantity]]</f>
        <v>2700.7200000000003</v>
      </c>
    </row>
    <row r="8679" spans="1:9" x14ac:dyDescent="0.3">
      <c r="A8679" t="s">
        <v>10695</v>
      </c>
      <c r="B8679" t="s">
        <v>1736</v>
      </c>
      <c r="C8679" t="s">
        <v>2001</v>
      </c>
      <c r="D8679">
        <v>4</v>
      </c>
      <c r="E8679" s="16">
        <v>1200.32</v>
      </c>
      <c r="F8679" s="1">
        <v>44275</v>
      </c>
      <c r="G8679" t="s">
        <v>2004</v>
      </c>
      <c r="H8679">
        <v>1</v>
      </c>
      <c r="I8679" s="12">
        <f>Table16[[#This Row],[price]]*Table16[[#This Row],[quantity]]</f>
        <v>4801.28</v>
      </c>
    </row>
    <row r="8680" spans="1:9" x14ac:dyDescent="0.3">
      <c r="A8680" t="s">
        <v>10696</v>
      </c>
      <c r="B8680" t="s">
        <v>1736</v>
      </c>
      <c r="C8680" t="s">
        <v>2011</v>
      </c>
      <c r="D8680">
        <v>4</v>
      </c>
      <c r="E8680" s="16">
        <v>162.63999999999999</v>
      </c>
      <c r="F8680" s="1">
        <v>44575</v>
      </c>
      <c r="G8680" t="s">
        <v>2002</v>
      </c>
      <c r="H8680">
        <v>5</v>
      </c>
      <c r="I8680" s="12">
        <f>Table16[[#This Row],[price]]*Table16[[#This Row],[quantity]]</f>
        <v>650.55999999999995</v>
      </c>
    </row>
    <row r="8681" spans="1:9" x14ac:dyDescent="0.3">
      <c r="A8681" t="s">
        <v>10698</v>
      </c>
      <c r="B8681" t="s">
        <v>1736</v>
      </c>
      <c r="C8681" t="s">
        <v>2011</v>
      </c>
      <c r="D8681">
        <v>3</v>
      </c>
      <c r="E8681" s="16">
        <v>121.98</v>
      </c>
      <c r="F8681" s="1">
        <v>44618</v>
      </c>
      <c r="G8681" t="s">
        <v>2064</v>
      </c>
      <c r="H8681">
        <v>5</v>
      </c>
      <c r="I8681" s="12">
        <f>Table16[[#This Row],[price]]*Table16[[#This Row],[quantity]]</f>
        <v>365.94</v>
      </c>
    </row>
    <row r="8682" spans="1:9" x14ac:dyDescent="0.3">
      <c r="A8682" t="s">
        <v>10697</v>
      </c>
      <c r="B8682" t="s">
        <v>1736</v>
      </c>
      <c r="C8682" t="s">
        <v>2001</v>
      </c>
      <c r="D8682">
        <v>3</v>
      </c>
      <c r="E8682" s="16">
        <v>900.24</v>
      </c>
      <c r="F8682" s="1">
        <v>44763</v>
      </c>
      <c r="G8682" t="s">
        <v>2012</v>
      </c>
      <c r="H8682">
        <v>1</v>
      </c>
      <c r="I8682" s="12">
        <f>Table16[[#This Row],[price]]*Table16[[#This Row],[quantity]]</f>
        <v>2700.7200000000003</v>
      </c>
    </row>
    <row r="8683" spans="1:9" x14ac:dyDescent="0.3">
      <c r="A8683" t="s">
        <v>10699</v>
      </c>
      <c r="B8683" t="s">
        <v>1737</v>
      </c>
      <c r="C8683" t="s">
        <v>2011</v>
      </c>
      <c r="D8683">
        <v>3</v>
      </c>
      <c r="E8683" s="16">
        <v>121.98</v>
      </c>
      <c r="F8683" s="1">
        <v>44313</v>
      </c>
      <c r="G8683" t="s">
        <v>2058</v>
      </c>
      <c r="H8683">
        <v>3</v>
      </c>
      <c r="I8683" s="12">
        <f>Table16[[#This Row],[price]]*Table16[[#This Row],[quantity]]</f>
        <v>365.94</v>
      </c>
    </row>
    <row r="8684" spans="1:9" x14ac:dyDescent="0.3">
      <c r="A8684" t="s">
        <v>10700</v>
      </c>
      <c r="B8684" t="s">
        <v>1737</v>
      </c>
      <c r="C8684" t="s">
        <v>2008</v>
      </c>
      <c r="D8684">
        <v>4</v>
      </c>
      <c r="E8684" s="16">
        <v>20.92</v>
      </c>
      <c r="F8684" s="1">
        <v>44509</v>
      </c>
      <c r="G8684" t="s">
        <v>2020</v>
      </c>
      <c r="H8684">
        <v>1</v>
      </c>
      <c r="I8684" s="12">
        <f>Table16[[#This Row],[price]]*Table16[[#This Row],[quantity]]</f>
        <v>83.68</v>
      </c>
    </row>
    <row r="8685" spans="1:9" x14ac:dyDescent="0.3">
      <c r="A8685" t="s">
        <v>10701</v>
      </c>
      <c r="B8685" t="s">
        <v>1737</v>
      </c>
      <c r="C8685" t="s">
        <v>2024</v>
      </c>
      <c r="D8685">
        <v>1</v>
      </c>
      <c r="E8685" s="16">
        <v>35.840000000000003</v>
      </c>
      <c r="F8685" s="1">
        <v>44738</v>
      </c>
      <c r="G8685" t="s">
        <v>2004</v>
      </c>
      <c r="H8685">
        <v>2</v>
      </c>
      <c r="I8685" s="12">
        <f>Table16[[#This Row],[price]]*Table16[[#This Row],[quantity]]</f>
        <v>35.840000000000003</v>
      </c>
    </row>
    <row r="8686" spans="1:9" x14ac:dyDescent="0.3">
      <c r="A8686" t="s">
        <v>10702</v>
      </c>
      <c r="B8686" t="s">
        <v>1737</v>
      </c>
      <c r="C8686" t="s">
        <v>2001</v>
      </c>
      <c r="D8686">
        <v>5</v>
      </c>
      <c r="E8686" s="16">
        <v>1500.4</v>
      </c>
      <c r="F8686" s="1">
        <v>44739</v>
      </c>
      <c r="G8686" t="s">
        <v>2018</v>
      </c>
      <c r="H8686">
        <v>1</v>
      </c>
      <c r="I8686" s="12">
        <f>Table16[[#This Row],[price]]*Table16[[#This Row],[quantity]]</f>
        <v>7502</v>
      </c>
    </row>
    <row r="8687" spans="1:9" x14ac:dyDescent="0.3">
      <c r="A8687" t="s">
        <v>10703</v>
      </c>
      <c r="B8687" t="s">
        <v>1737</v>
      </c>
      <c r="C8687" t="s">
        <v>2001</v>
      </c>
      <c r="D8687">
        <v>4</v>
      </c>
      <c r="E8687" s="16">
        <v>1200.32</v>
      </c>
      <c r="F8687" s="1">
        <v>44751</v>
      </c>
      <c r="G8687" t="s">
        <v>2004</v>
      </c>
      <c r="H8687">
        <v>2</v>
      </c>
      <c r="I8687" s="12">
        <f>Table16[[#This Row],[price]]*Table16[[#This Row],[quantity]]</f>
        <v>4801.28</v>
      </c>
    </row>
    <row r="8688" spans="1:9" x14ac:dyDescent="0.3">
      <c r="A8688" t="s">
        <v>10709</v>
      </c>
      <c r="B8688" t="s">
        <v>1738</v>
      </c>
      <c r="C8688" t="s">
        <v>2006</v>
      </c>
      <c r="D8688">
        <v>1</v>
      </c>
      <c r="E8688" s="16">
        <v>15.15</v>
      </c>
      <c r="F8688" s="1">
        <v>44295</v>
      </c>
      <c r="G8688" t="s">
        <v>2041</v>
      </c>
      <c r="H8688">
        <v>1</v>
      </c>
      <c r="I8688" s="12">
        <f>Table16[[#This Row],[price]]*Table16[[#This Row],[quantity]]</f>
        <v>15.15</v>
      </c>
    </row>
    <row r="8689" spans="1:9" x14ac:dyDescent="0.3">
      <c r="A8689" t="s">
        <v>10704</v>
      </c>
      <c r="B8689" t="s">
        <v>1738</v>
      </c>
      <c r="C8689" t="s">
        <v>2057</v>
      </c>
      <c r="D8689">
        <v>1</v>
      </c>
      <c r="E8689" s="16">
        <v>11.73</v>
      </c>
      <c r="F8689" s="1">
        <v>44378</v>
      </c>
      <c r="G8689" t="s">
        <v>2041</v>
      </c>
      <c r="H8689">
        <v>2</v>
      </c>
      <c r="I8689" s="12">
        <f>Table16[[#This Row],[price]]*Table16[[#This Row],[quantity]]</f>
        <v>11.73</v>
      </c>
    </row>
    <row r="8690" spans="1:9" x14ac:dyDescent="0.3">
      <c r="A8690" t="s">
        <v>10707</v>
      </c>
      <c r="B8690" t="s">
        <v>1738</v>
      </c>
      <c r="C8690" t="s">
        <v>2008</v>
      </c>
      <c r="D8690">
        <v>3</v>
      </c>
      <c r="E8690" s="16">
        <v>15.69</v>
      </c>
      <c r="F8690" s="1">
        <v>44463</v>
      </c>
      <c r="G8690" t="s">
        <v>2004</v>
      </c>
      <c r="H8690">
        <v>1</v>
      </c>
      <c r="I8690" s="12">
        <f>Table16[[#This Row],[price]]*Table16[[#This Row],[quantity]]</f>
        <v>47.07</v>
      </c>
    </row>
    <row r="8691" spans="1:9" x14ac:dyDescent="0.3">
      <c r="A8691" t="s">
        <v>10708</v>
      </c>
      <c r="B8691" t="s">
        <v>1738</v>
      </c>
      <c r="C8691" t="s">
        <v>2011</v>
      </c>
      <c r="D8691">
        <v>5</v>
      </c>
      <c r="E8691" s="16">
        <v>203.3</v>
      </c>
      <c r="F8691" s="1">
        <v>44584</v>
      </c>
      <c r="G8691" t="s">
        <v>2027</v>
      </c>
      <c r="H8691">
        <v>2</v>
      </c>
      <c r="I8691" s="12">
        <f>Table16[[#This Row],[price]]*Table16[[#This Row],[quantity]]</f>
        <v>1016.5</v>
      </c>
    </row>
    <row r="8692" spans="1:9" x14ac:dyDescent="0.3">
      <c r="A8692" t="s">
        <v>10706</v>
      </c>
      <c r="B8692" t="s">
        <v>1738</v>
      </c>
      <c r="C8692" t="s">
        <v>2015</v>
      </c>
      <c r="D8692">
        <v>5</v>
      </c>
      <c r="E8692" s="16">
        <v>3000.85</v>
      </c>
      <c r="F8692" s="1">
        <v>44618</v>
      </c>
      <c r="G8692" t="s">
        <v>2027</v>
      </c>
      <c r="H8692">
        <v>1</v>
      </c>
      <c r="I8692" s="12">
        <f>Table16[[#This Row],[price]]*Table16[[#This Row],[quantity]]</f>
        <v>15004.25</v>
      </c>
    </row>
    <row r="8693" spans="1:9" x14ac:dyDescent="0.3">
      <c r="A8693" t="s">
        <v>10705</v>
      </c>
      <c r="B8693" t="s">
        <v>1738</v>
      </c>
      <c r="C8693" t="s">
        <v>2006</v>
      </c>
      <c r="D8693">
        <v>3</v>
      </c>
      <c r="E8693" s="16">
        <v>45.45</v>
      </c>
      <c r="F8693" s="1">
        <v>44718</v>
      </c>
      <c r="G8693" t="s">
        <v>2012</v>
      </c>
      <c r="H8693">
        <v>2</v>
      </c>
      <c r="I8693" s="12">
        <f>Table16[[#This Row],[price]]*Table16[[#This Row],[quantity]]</f>
        <v>136.35000000000002</v>
      </c>
    </row>
    <row r="8694" spans="1:9" x14ac:dyDescent="0.3">
      <c r="A8694" t="s">
        <v>10710</v>
      </c>
      <c r="B8694" t="s">
        <v>1739</v>
      </c>
      <c r="C8694" t="s">
        <v>2001</v>
      </c>
      <c r="D8694">
        <v>4</v>
      </c>
      <c r="E8694" s="16">
        <v>1200.32</v>
      </c>
      <c r="F8694" s="1">
        <v>44251</v>
      </c>
      <c r="G8694" t="s">
        <v>2020</v>
      </c>
      <c r="H8694">
        <v>5</v>
      </c>
      <c r="I8694" s="12">
        <f>Table16[[#This Row],[price]]*Table16[[#This Row],[quantity]]</f>
        <v>4801.28</v>
      </c>
    </row>
    <row r="8695" spans="1:9" x14ac:dyDescent="0.3">
      <c r="A8695" t="s">
        <v>10711</v>
      </c>
      <c r="B8695" t="s">
        <v>1739</v>
      </c>
      <c r="C8695" t="s">
        <v>2008</v>
      </c>
      <c r="D8695">
        <v>3</v>
      </c>
      <c r="E8695" s="16">
        <v>15.69</v>
      </c>
      <c r="F8695" s="1">
        <v>44281</v>
      </c>
      <c r="G8695" t="s">
        <v>2009</v>
      </c>
      <c r="H8695">
        <v>2</v>
      </c>
      <c r="I8695" s="12">
        <f>Table16[[#This Row],[price]]*Table16[[#This Row],[quantity]]</f>
        <v>47.07</v>
      </c>
    </row>
    <row r="8696" spans="1:9" x14ac:dyDescent="0.3">
      <c r="A8696" t="s">
        <v>10713</v>
      </c>
      <c r="B8696" t="s">
        <v>1739</v>
      </c>
      <c r="C8696" t="s">
        <v>2011</v>
      </c>
      <c r="D8696">
        <v>4</v>
      </c>
      <c r="E8696" s="16">
        <v>162.63999999999999</v>
      </c>
      <c r="F8696" s="1">
        <v>44797</v>
      </c>
      <c r="G8696" t="s">
        <v>2004</v>
      </c>
      <c r="H8696">
        <v>2</v>
      </c>
      <c r="I8696" s="12">
        <f>Table16[[#This Row],[price]]*Table16[[#This Row],[quantity]]</f>
        <v>650.55999999999995</v>
      </c>
    </row>
    <row r="8697" spans="1:9" x14ac:dyDescent="0.3">
      <c r="A8697" t="s">
        <v>10712</v>
      </c>
      <c r="B8697" t="s">
        <v>1739</v>
      </c>
      <c r="C8697" t="s">
        <v>2017</v>
      </c>
      <c r="D8697">
        <v>2</v>
      </c>
      <c r="E8697" s="16">
        <v>2100</v>
      </c>
      <c r="F8697" s="1">
        <v>44845</v>
      </c>
      <c r="G8697" t="s">
        <v>2004</v>
      </c>
      <c r="H8697">
        <v>3</v>
      </c>
      <c r="I8697" s="12">
        <f>Table16[[#This Row],[price]]*Table16[[#This Row],[quantity]]</f>
        <v>4200</v>
      </c>
    </row>
    <row r="8698" spans="1:9" x14ac:dyDescent="0.3">
      <c r="A8698" t="s">
        <v>10716</v>
      </c>
      <c r="B8698" t="s">
        <v>1740</v>
      </c>
      <c r="C8698" t="s">
        <v>2011</v>
      </c>
      <c r="D8698">
        <v>4</v>
      </c>
      <c r="E8698" s="16">
        <v>162.63999999999999</v>
      </c>
      <c r="F8698" s="1">
        <v>44553</v>
      </c>
      <c r="G8698" t="s">
        <v>2002</v>
      </c>
      <c r="H8698">
        <v>2</v>
      </c>
      <c r="I8698" s="12">
        <f>Table16[[#This Row],[price]]*Table16[[#This Row],[quantity]]</f>
        <v>650.55999999999995</v>
      </c>
    </row>
    <row r="8699" spans="1:9" x14ac:dyDescent="0.3">
      <c r="A8699" t="s">
        <v>10714</v>
      </c>
      <c r="B8699" t="s">
        <v>1740</v>
      </c>
      <c r="C8699" t="s">
        <v>2001</v>
      </c>
      <c r="D8699">
        <v>5</v>
      </c>
      <c r="E8699" s="16">
        <v>1500.4</v>
      </c>
      <c r="F8699" s="1">
        <v>44628</v>
      </c>
      <c r="G8699" t="s">
        <v>2004</v>
      </c>
      <c r="H8699">
        <v>1</v>
      </c>
      <c r="I8699" s="12">
        <f>Table16[[#This Row],[price]]*Table16[[#This Row],[quantity]]</f>
        <v>7502</v>
      </c>
    </row>
    <row r="8700" spans="1:9" x14ac:dyDescent="0.3">
      <c r="A8700" t="s">
        <v>10718</v>
      </c>
      <c r="B8700" t="s">
        <v>1740</v>
      </c>
      <c r="C8700" t="s">
        <v>2008</v>
      </c>
      <c r="D8700">
        <v>4</v>
      </c>
      <c r="E8700" s="16">
        <v>20.92</v>
      </c>
      <c r="F8700" s="1">
        <v>44713</v>
      </c>
      <c r="G8700" t="s">
        <v>2009</v>
      </c>
      <c r="H8700">
        <v>4</v>
      </c>
      <c r="I8700" s="12">
        <f>Table16[[#This Row],[price]]*Table16[[#This Row],[quantity]]</f>
        <v>83.68</v>
      </c>
    </row>
    <row r="8701" spans="1:9" x14ac:dyDescent="0.3">
      <c r="A8701" t="s">
        <v>10717</v>
      </c>
      <c r="B8701" t="s">
        <v>1740</v>
      </c>
      <c r="C8701" t="s">
        <v>2001</v>
      </c>
      <c r="D8701">
        <v>4</v>
      </c>
      <c r="E8701" s="16">
        <v>1200.32</v>
      </c>
      <c r="F8701" s="1">
        <v>44718</v>
      </c>
      <c r="G8701" t="s">
        <v>2004</v>
      </c>
      <c r="H8701">
        <v>2</v>
      </c>
      <c r="I8701" s="12">
        <f>Table16[[#This Row],[price]]*Table16[[#This Row],[quantity]]</f>
        <v>4801.28</v>
      </c>
    </row>
    <row r="8702" spans="1:9" x14ac:dyDescent="0.3">
      <c r="A8702" t="s">
        <v>10715</v>
      </c>
      <c r="B8702" t="s">
        <v>1740</v>
      </c>
      <c r="C8702" t="s">
        <v>2011</v>
      </c>
      <c r="D8702">
        <v>2</v>
      </c>
      <c r="E8702" s="16">
        <v>81.319999999999993</v>
      </c>
      <c r="F8702" s="1">
        <v>44808</v>
      </c>
      <c r="G8702" t="s">
        <v>2027</v>
      </c>
      <c r="H8702">
        <v>5</v>
      </c>
      <c r="I8702" s="12">
        <f>Table16[[#This Row],[price]]*Table16[[#This Row],[quantity]]</f>
        <v>162.63999999999999</v>
      </c>
    </row>
    <row r="8703" spans="1:9" x14ac:dyDescent="0.3">
      <c r="A8703" t="s">
        <v>10719</v>
      </c>
      <c r="B8703" t="s">
        <v>1740</v>
      </c>
      <c r="C8703" t="s">
        <v>2001</v>
      </c>
      <c r="D8703">
        <v>2</v>
      </c>
      <c r="E8703" s="16">
        <v>600.16</v>
      </c>
      <c r="F8703" s="1">
        <v>44821</v>
      </c>
      <c r="G8703" t="s">
        <v>2009</v>
      </c>
      <c r="H8703">
        <v>3</v>
      </c>
      <c r="I8703" s="12">
        <f>Table16[[#This Row],[price]]*Table16[[#This Row],[quantity]]</f>
        <v>1200.32</v>
      </c>
    </row>
    <row r="8704" spans="1:9" x14ac:dyDescent="0.3">
      <c r="A8704" t="s">
        <v>10723</v>
      </c>
      <c r="B8704" t="s">
        <v>1741</v>
      </c>
      <c r="C8704" t="s">
        <v>2011</v>
      </c>
      <c r="D8704">
        <v>5</v>
      </c>
      <c r="E8704" s="16">
        <v>203.3</v>
      </c>
      <c r="F8704" s="1">
        <v>44886</v>
      </c>
      <c r="G8704" t="s">
        <v>2020</v>
      </c>
      <c r="H8704">
        <v>2</v>
      </c>
      <c r="I8704" s="12">
        <f>Table16[[#This Row],[price]]*Table16[[#This Row],[quantity]]</f>
        <v>1016.5</v>
      </c>
    </row>
    <row r="8705" spans="1:9" x14ac:dyDescent="0.3">
      <c r="A8705" t="s">
        <v>10722</v>
      </c>
      <c r="B8705" t="s">
        <v>1741</v>
      </c>
      <c r="C8705" t="s">
        <v>2006</v>
      </c>
      <c r="D8705">
        <v>4</v>
      </c>
      <c r="E8705" s="16">
        <v>60.6</v>
      </c>
      <c r="F8705" s="1">
        <v>44928</v>
      </c>
      <c r="G8705" t="s">
        <v>2004</v>
      </c>
      <c r="H8705">
        <v>3</v>
      </c>
      <c r="I8705" s="12">
        <f>Table16[[#This Row],[price]]*Table16[[#This Row],[quantity]]</f>
        <v>242.4</v>
      </c>
    </row>
    <row r="8706" spans="1:9" x14ac:dyDescent="0.3">
      <c r="A8706" t="s">
        <v>10721</v>
      </c>
      <c r="B8706" t="s">
        <v>1741</v>
      </c>
      <c r="C8706" t="s">
        <v>2008</v>
      </c>
      <c r="D8706">
        <v>3</v>
      </c>
      <c r="E8706" s="16">
        <v>15.69</v>
      </c>
      <c r="F8706" s="1">
        <v>44951</v>
      </c>
      <c r="G8706" t="s">
        <v>2041</v>
      </c>
      <c r="H8706">
        <v>5</v>
      </c>
      <c r="I8706" s="12">
        <f>Table16[[#This Row],[price]]*Table16[[#This Row],[quantity]]</f>
        <v>47.07</v>
      </c>
    </row>
    <row r="8707" spans="1:9" x14ac:dyDescent="0.3">
      <c r="A8707" t="s">
        <v>10720</v>
      </c>
      <c r="B8707" t="s">
        <v>1741</v>
      </c>
      <c r="C8707" t="s">
        <v>2001</v>
      </c>
      <c r="D8707">
        <v>3</v>
      </c>
      <c r="E8707" s="16">
        <v>900.24</v>
      </c>
      <c r="F8707" s="1">
        <v>44982</v>
      </c>
      <c r="G8707" t="s">
        <v>2018</v>
      </c>
      <c r="H8707">
        <v>3</v>
      </c>
      <c r="I8707" s="12">
        <f>Table16[[#This Row],[price]]*Table16[[#This Row],[quantity]]</f>
        <v>2700.7200000000003</v>
      </c>
    </row>
    <row r="8708" spans="1:9" x14ac:dyDescent="0.3">
      <c r="A8708" t="s">
        <v>10732</v>
      </c>
      <c r="B8708" t="s">
        <v>1742</v>
      </c>
      <c r="C8708" t="s">
        <v>2001</v>
      </c>
      <c r="D8708">
        <v>4</v>
      </c>
      <c r="E8708" s="16">
        <v>1200.32</v>
      </c>
      <c r="F8708" s="1">
        <v>44336</v>
      </c>
      <c r="G8708" t="s">
        <v>2041</v>
      </c>
      <c r="H8708">
        <v>2</v>
      </c>
      <c r="I8708" s="12">
        <f>Table16[[#This Row],[price]]*Table16[[#This Row],[quantity]]</f>
        <v>4801.28</v>
      </c>
    </row>
    <row r="8709" spans="1:9" x14ac:dyDescent="0.3">
      <c r="A8709" t="s">
        <v>10728</v>
      </c>
      <c r="B8709" t="s">
        <v>1742</v>
      </c>
      <c r="C8709" t="s">
        <v>2015</v>
      </c>
      <c r="D8709">
        <v>5</v>
      </c>
      <c r="E8709" s="16">
        <v>3000.85</v>
      </c>
      <c r="F8709" s="1">
        <v>44424</v>
      </c>
      <c r="G8709" t="s">
        <v>2020</v>
      </c>
      <c r="H8709">
        <v>2</v>
      </c>
      <c r="I8709" s="12">
        <f>Table16[[#This Row],[price]]*Table16[[#This Row],[quantity]]</f>
        <v>15004.25</v>
      </c>
    </row>
    <row r="8710" spans="1:9" x14ac:dyDescent="0.3">
      <c r="A8710" t="s">
        <v>10730</v>
      </c>
      <c r="B8710" t="s">
        <v>1742</v>
      </c>
      <c r="C8710" t="s">
        <v>2001</v>
      </c>
      <c r="D8710">
        <v>4</v>
      </c>
      <c r="E8710" s="16">
        <v>1200.32</v>
      </c>
      <c r="F8710" s="1">
        <v>44451</v>
      </c>
      <c r="G8710" t="s">
        <v>2002</v>
      </c>
      <c r="H8710">
        <v>2</v>
      </c>
      <c r="I8710" s="12">
        <f>Table16[[#This Row],[price]]*Table16[[#This Row],[quantity]]</f>
        <v>4801.28</v>
      </c>
    </row>
    <row r="8711" spans="1:9" x14ac:dyDescent="0.3">
      <c r="A8711" t="s">
        <v>10725</v>
      </c>
      <c r="B8711" t="s">
        <v>1742</v>
      </c>
      <c r="C8711" t="s">
        <v>2024</v>
      </c>
      <c r="D8711">
        <v>5</v>
      </c>
      <c r="E8711" s="16">
        <v>179.2</v>
      </c>
      <c r="F8711" s="1">
        <v>44528</v>
      </c>
      <c r="G8711" t="s">
        <v>2002</v>
      </c>
      <c r="H8711">
        <v>2</v>
      </c>
      <c r="I8711" s="12">
        <f>Table16[[#This Row],[price]]*Table16[[#This Row],[quantity]]</f>
        <v>896</v>
      </c>
    </row>
    <row r="8712" spans="1:9" x14ac:dyDescent="0.3">
      <c r="A8712" t="s">
        <v>10724</v>
      </c>
      <c r="B8712" t="s">
        <v>1742</v>
      </c>
      <c r="C8712" t="s">
        <v>2017</v>
      </c>
      <c r="D8712">
        <v>4</v>
      </c>
      <c r="E8712" s="16">
        <v>4200</v>
      </c>
      <c r="F8712" s="1">
        <v>44614</v>
      </c>
      <c r="G8712" t="s">
        <v>2002</v>
      </c>
      <c r="H8712">
        <v>2</v>
      </c>
      <c r="I8712" s="12">
        <f>Table16[[#This Row],[price]]*Table16[[#This Row],[quantity]]</f>
        <v>16800</v>
      </c>
    </row>
    <row r="8713" spans="1:9" x14ac:dyDescent="0.3">
      <c r="A8713" t="s">
        <v>10726</v>
      </c>
      <c r="B8713" t="s">
        <v>1742</v>
      </c>
      <c r="C8713" t="s">
        <v>2024</v>
      </c>
      <c r="D8713">
        <v>3</v>
      </c>
      <c r="E8713" s="16">
        <v>107.52</v>
      </c>
      <c r="F8713" s="1">
        <v>44625</v>
      </c>
      <c r="G8713" t="s">
        <v>2018</v>
      </c>
      <c r="H8713">
        <v>3</v>
      </c>
      <c r="I8713" s="12">
        <f>Table16[[#This Row],[price]]*Table16[[#This Row],[quantity]]</f>
        <v>322.56</v>
      </c>
    </row>
    <row r="8714" spans="1:9" x14ac:dyDescent="0.3">
      <c r="A8714" t="s">
        <v>10727</v>
      </c>
      <c r="B8714" t="s">
        <v>1742</v>
      </c>
      <c r="C8714" t="s">
        <v>2008</v>
      </c>
      <c r="D8714">
        <v>5</v>
      </c>
      <c r="E8714" s="16">
        <v>26.15</v>
      </c>
      <c r="F8714" s="1">
        <v>44639</v>
      </c>
      <c r="G8714" t="s">
        <v>2018</v>
      </c>
      <c r="H8714">
        <v>2</v>
      </c>
      <c r="I8714" s="12">
        <f>Table16[[#This Row],[price]]*Table16[[#This Row],[quantity]]</f>
        <v>130.75</v>
      </c>
    </row>
    <row r="8715" spans="1:9" x14ac:dyDescent="0.3">
      <c r="A8715" t="s">
        <v>10729</v>
      </c>
      <c r="B8715" t="s">
        <v>1742</v>
      </c>
      <c r="C8715" t="s">
        <v>2024</v>
      </c>
      <c r="D8715">
        <v>2</v>
      </c>
      <c r="E8715" s="16">
        <v>71.680000000000007</v>
      </c>
      <c r="F8715" s="1">
        <v>44671</v>
      </c>
      <c r="G8715" t="s">
        <v>2020</v>
      </c>
      <c r="H8715">
        <v>2</v>
      </c>
      <c r="I8715" s="12">
        <f>Table16[[#This Row],[price]]*Table16[[#This Row],[quantity]]</f>
        <v>143.36000000000001</v>
      </c>
    </row>
    <row r="8716" spans="1:9" x14ac:dyDescent="0.3">
      <c r="A8716" t="s">
        <v>10733</v>
      </c>
      <c r="B8716" t="s">
        <v>1742</v>
      </c>
      <c r="C8716" t="s">
        <v>2011</v>
      </c>
      <c r="D8716">
        <v>5</v>
      </c>
      <c r="E8716" s="16">
        <v>203.3</v>
      </c>
      <c r="F8716" s="1">
        <v>44900</v>
      </c>
      <c r="G8716" t="s">
        <v>2027</v>
      </c>
      <c r="H8716">
        <v>2</v>
      </c>
      <c r="I8716" s="12">
        <f>Table16[[#This Row],[price]]*Table16[[#This Row],[quantity]]</f>
        <v>1016.5</v>
      </c>
    </row>
    <row r="8717" spans="1:9" x14ac:dyDescent="0.3">
      <c r="A8717" t="s">
        <v>10731</v>
      </c>
      <c r="B8717" t="s">
        <v>1742</v>
      </c>
      <c r="C8717" t="s">
        <v>2017</v>
      </c>
      <c r="D8717">
        <v>3</v>
      </c>
      <c r="E8717" s="16">
        <v>3150</v>
      </c>
      <c r="F8717" s="1">
        <v>44983</v>
      </c>
      <c r="G8717" t="s">
        <v>2004</v>
      </c>
      <c r="H8717">
        <v>5</v>
      </c>
      <c r="I8717" s="12">
        <f>Table16[[#This Row],[price]]*Table16[[#This Row],[quantity]]</f>
        <v>9450</v>
      </c>
    </row>
    <row r="8718" spans="1:9" x14ac:dyDescent="0.3">
      <c r="A8718" t="s">
        <v>10736</v>
      </c>
      <c r="B8718" t="s">
        <v>1743</v>
      </c>
      <c r="C8718" t="s">
        <v>2006</v>
      </c>
      <c r="D8718">
        <v>3</v>
      </c>
      <c r="E8718" s="16">
        <v>45.45</v>
      </c>
      <c r="F8718" s="1">
        <v>44365</v>
      </c>
      <c r="G8718" t="s">
        <v>2027</v>
      </c>
      <c r="H8718">
        <v>1</v>
      </c>
      <c r="I8718" s="12">
        <f>Table16[[#This Row],[price]]*Table16[[#This Row],[quantity]]</f>
        <v>136.35000000000002</v>
      </c>
    </row>
    <row r="8719" spans="1:9" x14ac:dyDescent="0.3">
      <c r="A8719" t="s">
        <v>10735</v>
      </c>
      <c r="B8719" t="s">
        <v>1743</v>
      </c>
      <c r="C8719" t="s">
        <v>2001</v>
      </c>
      <c r="D8719">
        <v>4</v>
      </c>
      <c r="E8719" s="16">
        <v>1200.32</v>
      </c>
      <c r="F8719" s="1">
        <v>44558</v>
      </c>
      <c r="G8719" t="s">
        <v>2027</v>
      </c>
      <c r="H8719">
        <v>1</v>
      </c>
      <c r="I8719" s="12">
        <f>Table16[[#This Row],[price]]*Table16[[#This Row],[quantity]]</f>
        <v>4801.28</v>
      </c>
    </row>
    <row r="8720" spans="1:9" x14ac:dyDescent="0.3">
      <c r="A8720" t="s">
        <v>10734</v>
      </c>
      <c r="B8720" t="s">
        <v>1743</v>
      </c>
      <c r="C8720" t="s">
        <v>2001</v>
      </c>
      <c r="D8720">
        <v>2</v>
      </c>
      <c r="E8720" s="16">
        <v>600.16</v>
      </c>
      <c r="F8720" s="1">
        <v>44988</v>
      </c>
      <c r="G8720" t="s">
        <v>2027</v>
      </c>
      <c r="H8720">
        <v>2</v>
      </c>
      <c r="I8720" s="12">
        <f>Table16[[#This Row],[price]]*Table16[[#This Row],[quantity]]</f>
        <v>1200.32</v>
      </c>
    </row>
    <row r="8721" spans="1:9" x14ac:dyDescent="0.3">
      <c r="A8721" t="s">
        <v>10741</v>
      </c>
      <c r="B8721" t="s">
        <v>1744</v>
      </c>
      <c r="C8721" t="s">
        <v>2001</v>
      </c>
      <c r="D8721">
        <v>4</v>
      </c>
      <c r="E8721" s="16">
        <v>1200.32</v>
      </c>
      <c r="F8721" s="1">
        <v>44301</v>
      </c>
      <c r="G8721" t="s">
        <v>2020</v>
      </c>
      <c r="H8721">
        <v>2</v>
      </c>
      <c r="I8721" s="12">
        <f>Table16[[#This Row],[price]]*Table16[[#This Row],[quantity]]</f>
        <v>4801.28</v>
      </c>
    </row>
    <row r="8722" spans="1:9" x14ac:dyDescent="0.3">
      <c r="A8722" t="s">
        <v>10740</v>
      </c>
      <c r="B8722" t="s">
        <v>1744</v>
      </c>
      <c r="C8722" t="s">
        <v>2001</v>
      </c>
      <c r="D8722">
        <v>3</v>
      </c>
      <c r="E8722" s="16">
        <v>900.24</v>
      </c>
      <c r="F8722" s="1">
        <v>44345</v>
      </c>
      <c r="G8722" t="s">
        <v>2058</v>
      </c>
      <c r="H8722">
        <v>2</v>
      </c>
      <c r="I8722" s="12">
        <f>Table16[[#This Row],[price]]*Table16[[#This Row],[quantity]]</f>
        <v>2700.7200000000003</v>
      </c>
    </row>
    <row r="8723" spans="1:9" x14ac:dyDescent="0.3">
      <c r="A8723" t="s">
        <v>10737</v>
      </c>
      <c r="B8723" t="s">
        <v>1744</v>
      </c>
      <c r="C8723" t="s">
        <v>2001</v>
      </c>
      <c r="D8723">
        <v>5</v>
      </c>
      <c r="E8723" s="16">
        <v>1500.4</v>
      </c>
      <c r="F8723" s="1">
        <v>44355</v>
      </c>
      <c r="G8723" t="s">
        <v>2002</v>
      </c>
      <c r="H8723">
        <v>1</v>
      </c>
      <c r="I8723" s="12">
        <f>Table16[[#This Row],[price]]*Table16[[#This Row],[quantity]]</f>
        <v>7502</v>
      </c>
    </row>
    <row r="8724" spans="1:9" x14ac:dyDescent="0.3">
      <c r="A8724" t="s">
        <v>10738</v>
      </c>
      <c r="B8724" t="s">
        <v>1744</v>
      </c>
      <c r="C8724" t="s">
        <v>2011</v>
      </c>
      <c r="D8724">
        <v>3</v>
      </c>
      <c r="E8724" s="16">
        <v>121.98</v>
      </c>
      <c r="F8724" s="1">
        <v>44557</v>
      </c>
      <c r="G8724" t="s">
        <v>2064</v>
      </c>
      <c r="H8724">
        <v>5</v>
      </c>
      <c r="I8724" s="12">
        <f>Table16[[#This Row],[price]]*Table16[[#This Row],[quantity]]</f>
        <v>365.94</v>
      </c>
    </row>
    <row r="8725" spans="1:9" x14ac:dyDescent="0.3">
      <c r="A8725" t="s">
        <v>10744</v>
      </c>
      <c r="B8725" t="s">
        <v>1744</v>
      </c>
      <c r="C8725" t="s">
        <v>2001</v>
      </c>
      <c r="D8725">
        <v>5</v>
      </c>
      <c r="E8725" s="16">
        <v>1500.4</v>
      </c>
      <c r="F8725" s="1">
        <v>44656</v>
      </c>
      <c r="G8725" t="s">
        <v>2004</v>
      </c>
      <c r="H8725">
        <v>3</v>
      </c>
      <c r="I8725" s="12">
        <f>Table16[[#This Row],[price]]*Table16[[#This Row],[quantity]]</f>
        <v>7502</v>
      </c>
    </row>
    <row r="8726" spans="1:9" x14ac:dyDescent="0.3">
      <c r="A8726" t="s">
        <v>10742</v>
      </c>
      <c r="B8726" t="s">
        <v>1744</v>
      </c>
      <c r="C8726" t="s">
        <v>2001</v>
      </c>
      <c r="D8726">
        <v>1</v>
      </c>
      <c r="E8726" s="16">
        <v>300.08</v>
      </c>
      <c r="F8726" s="1">
        <v>44742</v>
      </c>
      <c r="G8726" t="s">
        <v>2002</v>
      </c>
      <c r="H8726">
        <v>3</v>
      </c>
      <c r="I8726" s="12">
        <f>Table16[[#This Row],[price]]*Table16[[#This Row],[quantity]]</f>
        <v>300.08</v>
      </c>
    </row>
    <row r="8727" spans="1:9" x14ac:dyDescent="0.3">
      <c r="A8727" t="s">
        <v>10739</v>
      </c>
      <c r="B8727" t="s">
        <v>1744</v>
      </c>
      <c r="C8727" t="s">
        <v>2011</v>
      </c>
      <c r="D8727">
        <v>3</v>
      </c>
      <c r="E8727" s="16">
        <v>121.98</v>
      </c>
      <c r="F8727" s="1">
        <v>44875</v>
      </c>
      <c r="G8727" t="s">
        <v>2020</v>
      </c>
      <c r="H8727">
        <v>3</v>
      </c>
      <c r="I8727" s="12">
        <f>Table16[[#This Row],[price]]*Table16[[#This Row],[quantity]]</f>
        <v>365.94</v>
      </c>
    </row>
    <row r="8728" spans="1:9" x14ac:dyDescent="0.3">
      <c r="A8728" t="s">
        <v>10743</v>
      </c>
      <c r="B8728" t="s">
        <v>1744</v>
      </c>
      <c r="C8728" t="s">
        <v>2017</v>
      </c>
      <c r="D8728">
        <v>3</v>
      </c>
      <c r="E8728" s="16">
        <v>3150</v>
      </c>
      <c r="F8728" s="1">
        <v>44894</v>
      </c>
      <c r="G8728" t="s">
        <v>2009</v>
      </c>
      <c r="H8728">
        <v>3</v>
      </c>
      <c r="I8728" s="12">
        <f>Table16[[#This Row],[price]]*Table16[[#This Row],[quantity]]</f>
        <v>9450</v>
      </c>
    </row>
    <row r="8729" spans="1:9" x14ac:dyDescent="0.3">
      <c r="A8729" t="s">
        <v>10746</v>
      </c>
      <c r="B8729" t="s">
        <v>1745</v>
      </c>
      <c r="C8729" t="s">
        <v>2008</v>
      </c>
      <c r="D8729">
        <v>4</v>
      </c>
      <c r="E8729" s="16">
        <v>20.92</v>
      </c>
      <c r="F8729" s="1">
        <v>44365</v>
      </c>
      <c r="G8729" t="s">
        <v>2064</v>
      </c>
      <c r="H8729">
        <v>3</v>
      </c>
      <c r="I8729" s="12">
        <f>Table16[[#This Row],[price]]*Table16[[#This Row],[quantity]]</f>
        <v>83.68</v>
      </c>
    </row>
    <row r="8730" spans="1:9" x14ac:dyDescent="0.3">
      <c r="A8730" t="s">
        <v>10748</v>
      </c>
      <c r="B8730" t="s">
        <v>1745</v>
      </c>
      <c r="C8730" t="s">
        <v>2001</v>
      </c>
      <c r="D8730">
        <v>2</v>
      </c>
      <c r="E8730" s="16">
        <v>600.16</v>
      </c>
      <c r="F8730" s="1">
        <v>44470</v>
      </c>
      <c r="G8730" t="s">
        <v>2064</v>
      </c>
      <c r="H8730">
        <v>4</v>
      </c>
      <c r="I8730" s="12">
        <f>Table16[[#This Row],[price]]*Table16[[#This Row],[quantity]]</f>
        <v>1200.32</v>
      </c>
    </row>
    <row r="8731" spans="1:9" x14ac:dyDescent="0.3">
      <c r="A8731" t="s">
        <v>10747</v>
      </c>
      <c r="B8731" t="s">
        <v>1745</v>
      </c>
      <c r="C8731" t="s">
        <v>2008</v>
      </c>
      <c r="D8731">
        <v>3</v>
      </c>
      <c r="E8731" s="16">
        <v>15.69</v>
      </c>
      <c r="F8731" s="1">
        <v>44476</v>
      </c>
      <c r="G8731" t="s">
        <v>2027</v>
      </c>
      <c r="H8731">
        <v>4</v>
      </c>
      <c r="I8731" s="12">
        <f>Table16[[#This Row],[price]]*Table16[[#This Row],[quantity]]</f>
        <v>47.07</v>
      </c>
    </row>
    <row r="8732" spans="1:9" x14ac:dyDescent="0.3">
      <c r="A8732" t="s">
        <v>10750</v>
      </c>
      <c r="B8732" t="s">
        <v>1745</v>
      </c>
      <c r="C8732" t="s">
        <v>2001</v>
      </c>
      <c r="D8732">
        <v>2</v>
      </c>
      <c r="E8732" s="16">
        <v>600.16</v>
      </c>
      <c r="F8732" s="1">
        <v>44497</v>
      </c>
      <c r="G8732" t="s">
        <v>2012</v>
      </c>
      <c r="H8732">
        <v>1</v>
      </c>
      <c r="I8732" s="12">
        <f>Table16[[#This Row],[price]]*Table16[[#This Row],[quantity]]</f>
        <v>1200.32</v>
      </c>
    </row>
    <row r="8733" spans="1:9" x14ac:dyDescent="0.3">
      <c r="A8733" t="s">
        <v>10745</v>
      </c>
      <c r="B8733" t="s">
        <v>1745</v>
      </c>
      <c r="C8733" t="s">
        <v>2001</v>
      </c>
      <c r="D8733">
        <v>1</v>
      </c>
      <c r="E8733" s="16">
        <v>300.08</v>
      </c>
      <c r="F8733" s="1">
        <v>44645</v>
      </c>
      <c r="G8733" t="s">
        <v>2064</v>
      </c>
      <c r="H8733">
        <v>5</v>
      </c>
      <c r="I8733" s="12">
        <f>Table16[[#This Row],[price]]*Table16[[#This Row],[quantity]]</f>
        <v>300.08</v>
      </c>
    </row>
    <row r="8734" spans="1:9" x14ac:dyDescent="0.3">
      <c r="A8734" t="s">
        <v>10749</v>
      </c>
      <c r="B8734" t="s">
        <v>1745</v>
      </c>
      <c r="C8734" t="s">
        <v>2057</v>
      </c>
      <c r="D8734">
        <v>2</v>
      </c>
      <c r="E8734" s="16">
        <v>23.46</v>
      </c>
      <c r="F8734" s="1">
        <v>44819</v>
      </c>
      <c r="G8734" t="s">
        <v>2004</v>
      </c>
      <c r="H8734">
        <v>2</v>
      </c>
      <c r="I8734" s="12">
        <f>Table16[[#This Row],[price]]*Table16[[#This Row],[quantity]]</f>
        <v>46.92</v>
      </c>
    </row>
    <row r="8735" spans="1:9" x14ac:dyDescent="0.3">
      <c r="A8735" t="s">
        <v>10757</v>
      </c>
      <c r="B8735" t="s">
        <v>1746</v>
      </c>
      <c r="C8735" t="s">
        <v>2011</v>
      </c>
      <c r="D8735">
        <v>3</v>
      </c>
      <c r="E8735" s="16">
        <v>121.98</v>
      </c>
      <c r="F8735" s="1">
        <v>44337</v>
      </c>
      <c r="G8735" t="s">
        <v>2027</v>
      </c>
      <c r="H8735">
        <v>2</v>
      </c>
      <c r="I8735" s="12">
        <f>Table16[[#This Row],[price]]*Table16[[#This Row],[quantity]]</f>
        <v>365.94</v>
      </c>
    </row>
    <row r="8736" spans="1:9" x14ac:dyDescent="0.3">
      <c r="A8736" t="s">
        <v>10756</v>
      </c>
      <c r="B8736" t="s">
        <v>1746</v>
      </c>
      <c r="C8736" t="s">
        <v>2024</v>
      </c>
      <c r="D8736">
        <v>3</v>
      </c>
      <c r="E8736" s="16">
        <v>107.52</v>
      </c>
      <c r="F8736" s="1">
        <v>44471</v>
      </c>
      <c r="G8736" t="s">
        <v>2027</v>
      </c>
      <c r="H8736">
        <v>2</v>
      </c>
      <c r="I8736" s="12">
        <f>Table16[[#This Row],[price]]*Table16[[#This Row],[quantity]]</f>
        <v>322.56</v>
      </c>
    </row>
    <row r="8737" spans="1:9" x14ac:dyDescent="0.3">
      <c r="A8737" t="s">
        <v>10752</v>
      </c>
      <c r="B8737" t="s">
        <v>1746</v>
      </c>
      <c r="C8737" t="s">
        <v>2006</v>
      </c>
      <c r="D8737">
        <v>2</v>
      </c>
      <c r="E8737" s="16">
        <v>30.3</v>
      </c>
      <c r="F8737" s="1">
        <v>44499</v>
      </c>
      <c r="G8737" t="s">
        <v>2064</v>
      </c>
      <c r="H8737">
        <v>4</v>
      </c>
      <c r="I8737" s="12">
        <f>Table16[[#This Row],[price]]*Table16[[#This Row],[quantity]]</f>
        <v>60.6</v>
      </c>
    </row>
    <row r="8738" spans="1:9" x14ac:dyDescent="0.3">
      <c r="A8738" t="s">
        <v>10751</v>
      </c>
      <c r="B8738" t="s">
        <v>1746</v>
      </c>
      <c r="C8738" t="s">
        <v>2001</v>
      </c>
      <c r="D8738">
        <v>5</v>
      </c>
      <c r="E8738" s="16">
        <v>1500.4</v>
      </c>
      <c r="F8738" s="1">
        <v>44533</v>
      </c>
      <c r="G8738" t="s">
        <v>2004</v>
      </c>
      <c r="H8738">
        <v>2</v>
      </c>
      <c r="I8738" s="12">
        <f>Table16[[#This Row],[price]]*Table16[[#This Row],[quantity]]</f>
        <v>7502</v>
      </c>
    </row>
    <row r="8739" spans="1:9" x14ac:dyDescent="0.3">
      <c r="A8739" t="s">
        <v>10755</v>
      </c>
      <c r="B8739" t="s">
        <v>1746</v>
      </c>
      <c r="C8739" t="s">
        <v>2008</v>
      </c>
      <c r="D8739">
        <v>5</v>
      </c>
      <c r="E8739" s="16">
        <v>26.15</v>
      </c>
      <c r="F8739" s="1">
        <v>44544</v>
      </c>
      <c r="G8739" t="s">
        <v>2002</v>
      </c>
      <c r="H8739">
        <v>5</v>
      </c>
      <c r="I8739" s="12">
        <f>Table16[[#This Row],[price]]*Table16[[#This Row],[quantity]]</f>
        <v>130.75</v>
      </c>
    </row>
    <row r="8740" spans="1:9" x14ac:dyDescent="0.3">
      <c r="A8740" t="s">
        <v>10759</v>
      </c>
      <c r="B8740" t="s">
        <v>1746</v>
      </c>
      <c r="C8740" t="s">
        <v>2011</v>
      </c>
      <c r="D8740">
        <v>5</v>
      </c>
      <c r="E8740" s="16">
        <v>203.3</v>
      </c>
      <c r="F8740" s="1">
        <v>44624</v>
      </c>
      <c r="G8740" t="s">
        <v>2018</v>
      </c>
      <c r="H8740">
        <v>2</v>
      </c>
      <c r="I8740" s="12">
        <f>Table16[[#This Row],[price]]*Table16[[#This Row],[quantity]]</f>
        <v>1016.5</v>
      </c>
    </row>
    <row r="8741" spans="1:9" x14ac:dyDescent="0.3">
      <c r="A8741" t="s">
        <v>10758</v>
      </c>
      <c r="B8741" t="s">
        <v>1746</v>
      </c>
      <c r="C8741" t="s">
        <v>2011</v>
      </c>
      <c r="D8741">
        <v>2</v>
      </c>
      <c r="E8741" s="16">
        <v>81.319999999999993</v>
      </c>
      <c r="F8741" s="1">
        <v>44760</v>
      </c>
      <c r="G8741" t="s">
        <v>2002</v>
      </c>
      <c r="H8741">
        <v>4</v>
      </c>
      <c r="I8741" s="12">
        <f>Table16[[#This Row],[price]]*Table16[[#This Row],[quantity]]</f>
        <v>162.63999999999999</v>
      </c>
    </row>
    <row r="8742" spans="1:9" x14ac:dyDescent="0.3">
      <c r="A8742" t="s">
        <v>10753</v>
      </c>
      <c r="B8742" t="s">
        <v>1746</v>
      </c>
      <c r="C8742" t="s">
        <v>2011</v>
      </c>
      <c r="D8742">
        <v>4</v>
      </c>
      <c r="E8742" s="16">
        <v>162.63999999999999</v>
      </c>
      <c r="F8742" s="1">
        <v>44768</v>
      </c>
      <c r="G8742" t="s">
        <v>2064</v>
      </c>
      <c r="H8742">
        <v>4</v>
      </c>
      <c r="I8742" s="12">
        <f>Table16[[#This Row],[price]]*Table16[[#This Row],[quantity]]</f>
        <v>650.55999999999995</v>
      </c>
    </row>
    <row r="8743" spans="1:9" x14ac:dyDescent="0.3">
      <c r="A8743" t="s">
        <v>10754</v>
      </c>
      <c r="B8743" t="s">
        <v>1746</v>
      </c>
      <c r="C8743" t="s">
        <v>2001</v>
      </c>
      <c r="D8743">
        <v>1</v>
      </c>
      <c r="E8743" s="16">
        <v>300.08</v>
      </c>
      <c r="F8743" s="1">
        <v>44804</v>
      </c>
      <c r="G8743" t="s">
        <v>2058</v>
      </c>
      <c r="H8743">
        <v>1</v>
      </c>
      <c r="I8743" s="12">
        <f>Table16[[#This Row],[price]]*Table16[[#This Row],[quantity]]</f>
        <v>300.08</v>
      </c>
    </row>
    <row r="8744" spans="1:9" x14ac:dyDescent="0.3">
      <c r="A8744" t="s">
        <v>10760</v>
      </c>
      <c r="B8744" t="s">
        <v>1747</v>
      </c>
      <c r="C8744" t="s">
        <v>2001</v>
      </c>
      <c r="D8744">
        <v>3</v>
      </c>
      <c r="E8744" s="16">
        <v>900.24</v>
      </c>
      <c r="F8744" s="1">
        <v>44481</v>
      </c>
      <c r="G8744" t="s">
        <v>2009</v>
      </c>
      <c r="H8744">
        <v>2</v>
      </c>
      <c r="I8744" s="12">
        <f>Table16[[#This Row],[price]]*Table16[[#This Row],[quantity]]</f>
        <v>2700.7200000000003</v>
      </c>
    </row>
    <row r="8745" spans="1:9" x14ac:dyDescent="0.3">
      <c r="A8745" t="s">
        <v>10762</v>
      </c>
      <c r="B8745" t="s">
        <v>1747</v>
      </c>
      <c r="C8745" t="s">
        <v>2001</v>
      </c>
      <c r="D8745">
        <v>1</v>
      </c>
      <c r="E8745" s="16">
        <v>300.08</v>
      </c>
      <c r="F8745" s="1">
        <v>44511</v>
      </c>
      <c r="G8745" t="s">
        <v>2002</v>
      </c>
      <c r="H8745">
        <v>1</v>
      </c>
      <c r="I8745" s="12">
        <f>Table16[[#This Row],[price]]*Table16[[#This Row],[quantity]]</f>
        <v>300.08</v>
      </c>
    </row>
    <row r="8746" spans="1:9" x14ac:dyDescent="0.3">
      <c r="A8746" t="s">
        <v>10761</v>
      </c>
      <c r="B8746" t="s">
        <v>1747</v>
      </c>
      <c r="C8746" t="s">
        <v>2057</v>
      </c>
      <c r="D8746">
        <v>4</v>
      </c>
      <c r="E8746" s="16">
        <v>46.92</v>
      </c>
      <c r="F8746" s="1">
        <v>44654</v>
      </c>
      <c r="G8746" t="s">
        <v>2027</v>
      </c>
      <c r="H8746">
        <v>5</v>
      </c>
      <c r="I8746" s="12">
        <f>Table16[[#This Row],[price]]*Table16[[#This Row],[quantity]]</f>
        <v>187.68</v>
      </c>
    </row>
    <row r="8747" spans="1:9" x14ac:dyDescent="0.3">
      <c r="A8747" t="s">
        <v>10764</v>
      </c>
      <c r="B8747" t="s">
        <v>1748</v>
      </c>
      <c r="C8747" t="s">
        <v>2006</v>
      </c>
      <c r="D8747">
        <v>1</v>
      </c>
      <c r="E8747" s="16">
        <v>15.15</v>
      </c>
      <c r="F8747" s="1">
        <v>44642</v>
      </c>
      <c r="G8747" t="s">
        <v>2027</v>
      </c>
      <c r="H8747">
        <v>1</v>
      </c>
      <c r="I8747" s="12">
        <f>Table16[[#This Row],[price]]*Table16[[#This Row],[quantity]]</f>
        <v>15.15</v>
      </c>
    </row>
    <row r="8748" spans="1:9" x14ac:dyDescent="0.3">
      <c r="A8748" t="s">
        <v>10765</v>
      </c>
      <c r="B8748" t="s">
        <v>1748</v>
      </c>
      <c r="C8748" t="s">
        <v>2006</v>
      </c>
      <c r="D8748">
        <v>5</v>
      </c>
      <c r="E8748" s="16">
        <v>75.75</v>
      </c>
      <c r="F8748" s="1">
        <v>44692</v>
      </c>
      <c r="G8748" t="s">
        <v>2004</v>
      </c>
      <c r="H8748">
        <v>3</v>
      </c>
      <c r="I8748" s="12">
        <f>Table16[[#This Row],[price]]*Table16[[#This Row],[quantity]]</f>
        <v>378.75</v>
      </c>
    </row>
    <row r="8749" spans="1:9" x14ac:dyDescent="0.3">
      <c r="A8749" t="s">
        <v>10766</v>
      </c>
      <c r="B8749" t="s">
        <v>1748</v>
      </c>
      <c r="C8749" t="s">
        <v>2024</v>
      </c>
      <c r="D8749">
        <v>2</v>
      </c>
      <c r="E8749" s="16">
        <v>71.680000000000007</v>
      </c>
      <c r="F8749" s="1">
        <v>44822</v>
      </c>
      <c r="G8749" t="s">
        <v>2002</v>
      </c>
      <c r="H8749">
        <v>1</v>
      </c>
      <c r="I8749" s="12">
        <f>Table16[[#This Row],[price]]*Table16[[#This Row],[quantity]]</f>
        <v>143.36000000000001</v>
      </c>
    </row>
    <row r="8750" spans="1:9" x14ac:dyDescent="0.3">
      <c r="A8750" t="s">
        <v>10763</v>
      </c>
      <c r="B8750" t="s">
        <v>1748</v>
      </c>
      <c r="C8750" t="s">
        <v>2057</v>
      </c>
      <c r="D8750">
        <v>5</v>
      </c>
      <c r="E8750" s="16">
        <v>58.65</v>
      </c>
      <c r="F8750" s="1">
        <v>44875</v>
      </c>
      <c r="G8750" t="s">
        <v>2004</v>
      </c>
      <c r="H8750">
        <v>2</v>
      </c>
      <c r="I8750" s="12">
        <f>Table16[[#This Row],[price]]*Table16[[#This Row],[quantity]]</f>
        <v>293.25</v>
      </c>
    </row>
    <row r="8751" spans="1:9" x14ac:dyDescent="0.3">
      <c r="A8751" t="s">
        <v>10768</v>
      </c>
      <c r="B8751" t="s">
        <v>1749</v>
      </c>
      <c r="C8751" t="s">
        <v>2011</v>
      </c>
      <c r="D8751">
        <v>5</v>
      </c>
      <c r="E8751" s="16">
        <v>203.3</v>
      </c>
      <c r="F8751" s="1">
        <v>44376</v>
      </c>
      <c r="G8751" t="s">
        <v>2064</v>
      </c>
      <c r="H8751">
        <v>5</v>
      </c>
      <c r="I8751" s="12">
        <f>Table16[[#This Row],[price]]*Table16[[#This Row],[quantity]]</f>
        <v>1016.5</v>
      </c>
    </row>
    <row r="8752" spans="1:9" x14ac:dyDescent="0.3">
      <c r="A8752" t="s">
        <v>10769</v>
      </c>
      <c r="B8752" t="s">
        <v>1749</v>
      </c>
      <c r="C8752" t="s">
        <v>2001</v>
      </c>
      <c r="D8752">
        <v>2</v>
      </c>
      <c r="E8752" s="16">
        <v>600.16</v>
      </c>
      <c r="F8752" s="1">
        <v>44385</v>
      </c>
      <c r="G8752" t="s">
        <v>2004</v>
      </c>
      <c r="H8752">
        <v>3</v>
      </c>
      <c r="I8752" s="12">
        <f>Table16[[#This Row],[price]]*Table16[[#This Row],[quantity]]</f>
        <v>1200.32</v>
      </c>
    </row>
    <row r="8753" spans="1:9" x14ac:dyDescent="0.3">
      <c r="A8753" t="s">
        <v>10767</v>
      </c>
      <c r="B8753" t="s">
        <v>1749</v>
      </c>
      <c r="C8753" t="s">
        <v>2011</v>
      </c>
      <c r="D8753">
        <v>5</v>
      </c>
      <c r="E8753" s="16">
        <v>203.3</v>
      </c>
      <c r="F8753" s="1">
        <v>44619</v>
      </c>
      <c r="G8753" t="s">
        <v>2064</v>
      </c>
      <c r="H8753">
        <v>5</v>
      </c>
      <c r="I8753" s="12">
        <f>Table16[[#This Row],[price]]*Table16[[#This Row],[quantity]]</f>
        <v>1016.5</v>
      </c>
    </row>
    <row r="8754" spans="1:9" x14ac:dyDescent="0.3">
      <c r="A8754" t="s">
        <v>10770</v>
      </c>
      <c r="B8754" t="s">
        <v>1749</v>
      </c>
      <c r="C8754" t="s">
        <v>2011</v>
      </c>
      <c r="D8754">
        <v>4</v>
      </c>
      <c r="E8754" s="16">
        <v>162.63999999999999</v>
      </c>
      <c r="F8754" s="1">
        <v>44764</v>
      </c>
      <c r="G8754" t="s">
        <v>2027</v>
      </c>
      <c r="H8754">
        <v>3</v>
      </c>
      <c r="I8754" s="12">
        <f>Table16[[#This Row],[price]]*Table16[[#This Row],[quantity]]</f>
        <v>650.55999999999995</v>
      </c>
    </row>
    <row r="8755" spans="1:9" x14ac:dyDescent="0.3">
      <c r="A8755" t="s">
        <v>10772</v>
      </c>
      <c r="B8755" t="s">
        <v>1750</v>
      </c>
      <c r="C8755" t="s">
        <v>2001</v>
      </c>
      <c r="D8755">
        <v>3</v>
      </c>
      <c r="E8755" s="16">
        <v>900.24</v>
      </c>
      <c r="F8755" s="1">
        <v>44287</v>
      </c>
      <c r="G8755" t="s">
        <v>2027</v>
      </c>
      <c r="H8755">
        <v>3</v>
      </c>
      <c r="I8755" s="12">
        <f>Table16[[#This Row],[price]]*Table16[[#This Row],[quantity]]</f>
        <v>2700.7200000000003</v>
      </c>
    </row>
    <row r="8756" spans="1:9" x14ac:dyDescent="0.3">
      <c r="A8756" t="s">
        <v>10775</v>
      </c>
      <c r="B8756" t="s">
        <v>1750</v>
      </c>
      <c r="C8756" t="s">
        <v>2057</v>
      </c>
      <c r="D8756">
        <v>3</v>
      </c>
      <c r="E8756" s="16">
        <v>35.19</v>
      </c>
      <c r="F8756" s="1">
        <v>44426</v>
      </c>
      <c r="G8756" t="s">
        <v>2004</v>
      </c>
      <c r="H8756">
        <v>5</v>
      </c>
      <c r="I8756" s="12">
        <f>Table16[[#This Row],[price]]*Table16[[#This Row],[quantity]]</f>
        <v>105.57</v>
      </c>
    </row>
    <row r="8757" spans="1:9" x14ac:dyDescent="0.3">
      <c r="A8757" t="s">
        <v>10771</v>
      </c>
      <c r="B8757" t="s">
        <v>1750</v>
      </c>
      <c r="C8757" t="s">
        <v>2001</v>
      </c>
      <c r="D8757">
        <v>5</v>
      </c>
      <c r="E8757" s="16">
        <v>1500.4</v>
      </c>
      <c r="F8757" s="1">
        <v>44476</v>
      </c>
      <c r="G8757" t="s">
        <v>2004</v>
      </c>
      <c r="H8757">
        <v>5</v>
      </c>
      <c r="I8757" s="12">
        <f>Table16[[#This Row],[price]]*Table16[[#This Row],[quantity]]</f>
        <v>7502</v>
      </c>
    </row>
    <row r="8758" spans="1:9" x14ac:dyDescent="0.3">
      <c r="A8758" t="s">
        <v>10774</v>
      </c>
      <c r="B8758" t="s">
        <v>1750</v>
      </c>
      <c r="C8758" t="s">
        <v>2011</v>
      </c>
      <c r="D8758">
        <v>1</v>
      </c>
      <c r="E8758" s="16">
        <v>40.659999999999997</v>
      </c>
      <c r="F8758" s="1">
        <v>44546</v>
      </c>
      <c r="G8758" t="s">
        <v>2012</v>
      </c>
      <c r="H8758">
        <v>2</v>
      </c>
      <c r="I8758" s="12">
        <f>Table16[[#This Row],[price]]*Table16[[#This Row],[quantity]]</f>
        <v>40.659999999999997</v>
      </c>
    </row>
    <row r="8759" spans="1:9" x14ac:dyDescent="0.3">
      <c r="A8759" t="s">
        <v>10773</v>
      </c>
      <c r="B8759" t="s">
        <v>1750</v>
      </c>
      <c r="C8759" t="s">
        <v>2008</v>
      </c>
      <c r="D8759">
        <v>3</v>
      </c>
      <c r="E8759" s="16">
        <v>15.69</v>
      </c>
      <c r="F8759" s="1">
        <v>44608</v>
      </c>
      <c r="G8759" t="s">
        <v>2012</v>
      </c>
      <c r="H8759">
        <v>1</v>
      </c>
      <c r="I8759" s="12">
        <f>Table16[[#This Row],[price]]*Table16[[#This Row],[quantity]]</f>
        <v>47.07</v>
      </c>
    </row>
    <row r="8760" spans="1:9" x14ac:dyDescent="0.3">
      <c r="A8760" t="s">
        <v>10776</v>
      </c>
      <c r="B8760" t="s">
        <v>1751</v>
      </c>
      <c r="C8760" t="s">
        <v>2008</v>
      </c>
      <c r="D8760">
        <v>5</v>
      </c>
      <c r="E8760" s="16">
        <v>26.15</v>
      </c>
      <c r="F8760" s="1">
        <v>44264</v>
      </c>
      <c r="G8760" t="s">
        <v>2004</v>
      </c>
      <c r="H8760">
        <v>3</v>
      </c>
      <c r="I8760" s="12">
        <f>Table16[[#This Row],[price]]*Table16[[#This Row],[quantity]]</f>
        <v>130.75</v>
      </c>
    </row>
    <row r="8761" spans="1:9" x14ac:dyDescent="0.3">
      <c r="A8761" t="s">
        <v>10778</v>
      </c>
      <c r="B8761" t="s">
        <v>1751</v>
      </c>
      <c r="C8761" t="s">
        <v>2006</v>
      </c>
      <c r="D8761">
        <v>3</v>
      </c>
      <c r="E8761" s="16">
        <v>45.45</v>
      </c>
      <c r="F8761" s="1">
        <v>44767</v>
      </c>
      <c r="G8761" t="s">
        <v>2027</v>
      </c>
      <c r="H8761">
        <v>2</v>
      </c>
      <c r="I8761" s="12">
        <f>Table16[[#This Row],[price]]*Table16[[#This Row],[quantity]]</f>
        <v>136.35000000000002</v>
      </c>
    </row>
    <row r="8762" spans="1:9" x14ac:dyDescent="0.3">
      <c r="A8762" t="s">
        <v>10777</v>
      </c>
      <c r="B8762" t="s">
        <v>1751</v>
      </c>
      <c r="C8762" t="s">
        <v>2024</v>
      </c>
      <c r="D8762">
        <v>3</v>
      </c>
      <c r="E8762" s="16">
        <v>107.52</v>
      </c>
      <c r="F8762" s="1">
        <v>44912</v>
      </c>
      <c r="G8762" t="s">
        <v>2058</v>
      </c>
      <c r="H8762">
        <v>1</v>
      </c>
      <c r="I8762" s="12">
        <f>Table16[[#This Row],[price]]*Table16[[#This Row],[quantity]]</f>
        <v>322.56</v>
      </c>
    </row>
    <row r="8763" spans="1:9" x14ac:dyDescent="0.3">
      <c r="A8763" t="s">
        <v>10783</v>
      </c>
      <c r="B8763" t="s">
        <v>1752</v>
      </c>
      <c r="C8763" t="s">
        <v>2011</v>
      </c>
      <c r="D8763">
        <v>5</v>
      </c>
      <c r="E8763" s="16">
        <v>203.3</v>
      </c>
      <c r="F8763" s="1">
        <v>44316</v>
      </c>
      <c r="G8763" t="s">
        <v>2009</v>
      </c>
      <c r="H8763">
        <v>1</v>
      </c>
      <c r="I8763" s="12">
        <f>Table16[[#This Row],[price]]*Table16[[#This Row],[quantity]]</f>
        <v>1016.5</v>
      </c>
    </row>
    <row r="8764" spans="1:9" x14ac:dyDescent="0.3">
      <c r="A8764" t="s">
        <v>10780</v>
      </c>
      <c r="B8764" t="s">
        <v>1752</v>
      </c>
      <c r="C8764" t="s">
        <v>2008</v>
      </c>
      <c r="D8764">
        <v>1</v>
      </c>
      <c r="E8764" s="16">
        <v>5.23</v>
      </c>
      <c r="F8764" s="1">
        <v>44330</v>
      </c>
      <c r="G8764" t="s">
        <v>2058</v>
      </c>
      <c r="H8764">
        <v>4</v>
      </c>
      <c r="I8764" s="12">
        <f>Table16[[#This Row],[price]]*Table16[[#This Row],[quantity]]</f>
        <v>5.23</v>
      </c>
    </row>
    <row r="8765" spans="1:9" x14ac:dyDescent="0.3">
      <c r="A8765" t="s">
        <v>10781</v>
      </c>
      <c r="B8765" t="s">
        <v>1752</v>
      </c>
      <c r="C8765" t="s">
        <v>2011</v>
      </c>
      <c r="D8765">
        <v>2</v>
      </c>
      <c r="E8765" s="16">
        <v>81.319999999999993</v>
      </c>
      <c r="F8765" s="1">
        <v>44679</v>
      </c>
      <c r="G8765" t="s">
        <v>2020</v>
      </c>
      <c r="H8765">
        <v>3</v>
      </c>
      <c r="I8765" s="12">
        <f>Table16[[#This Row],[price]]*Table16[[#This Row],[quantity]]</f>
        <v>162.63999999999999</v>
      </c>
    </row>
    <row r="8766" spans="1:9" x14ac:dyDescent="0.3">
      <c r="A8766" t="s">
        <v>10782</v>
      </c>
      <c r="B8766" t="s">
        <v>1752</v>
      </c>
      <c r="C8766" t="s">
        <v>2001</v>
      </c>
      <c r="D8766">
        <v>1</v>
      </c>
      <c r="E8766" s="16">
        <v>300.08</v>
      </c>
      <c r="F8766" s="1">
        <v>44792</v>
      </c>
      <c r="G8766" t="s">
        <v>2004</v>
      </c>
      <c r="H8766">
        <v>4</v>
      </c>
      <c r="I8766" s="12">
        <f>Table16[[#This Row],[price]]*Table16[[#This Row],[quantity]]</f>
        <v>300.08</v>
      </c>
    </row>
    <row r="8767" spans="1:9" x14ac:dyDescent="0.3">
      <c r="A8767" t="s">
        <v>10779</v>
      </c>
      <c r="B8767" t="s">
        <v>1752</v>
      </c>
      <c r="C8767" t="s">
        <v>2001</v>
      </c>
      <c r="D8767">
        <v>2</v>
      </c>
      <c r="E8767" s="16">
        <v>600.16</v>
      </c>
      <c r="F8767" s="1">
        <v>44864</v>
      </c>
      <c r="G8767" t="s">
        <v>2002</v>
      </c>
      <c r="H8767">
        <v>2</v>
      </c>
      <c r="I8767" s="12">
        <f>Table16[[#This Row],[price]]*Table16[[#This Row],[quantity]]</f>
        <v>1200.32</v>
      </c>
    </row>
    <row r="8768" spans="1:9" x14ac:dyDescent="0.3">
      <c r="A8768" t="s">
        <v>10785</v>
      </c>
      <c r="B8768" t="s">
        <v>1753</v>
      </c>
      <c r="C8768" t="s">
        <v>2015</v>
      </c>
      <c r="D8768">
        <v>1</v>
      </c>
      <c r="E8768" s="16">
        <v>600.16999999999996</v>
      </c>
      <c r="F8768" s="1">
        <v>44294</v>
      </c>
      <c r="G8768" t="s">
        <v>2058</v>
      </c>
      <c r="H8768">
        <v>1</v>
      </c>
      <c r="I8768" s="12">
        <f>Table16[[#This Row],[price]]*Table16[[#This Row],[quantity]]</f>
        <v>600.16999999999996</v>
      </c>
    </row>
    <row r="8769" spans="1:9" x14ac:dyDescent="0.3">
      <c r="A8769" t="s">
        <v>10789</v>
      </c>
      <c r="B8769" t="s">
        <v>1753</v>
      </c>
      <c r="C8769" t="s">
        <v>2001</v>
      </c>
      <c r="D8769">
        <v>2</v>
      </c>
      <c r="E8769" s="16">
        <v>600.16</v>
      </c>
      <c r="F8769" s="1">
        <v>44394</v>
      </c>
      <c r="G8769" t="s">
        <v>2041</v>
      </c>
      <c r="H8769">
        <v>1</v>
      </c>
      <c r="I8769" s="12">
        <f>Table16[[#This Row],[price]]*Table16[[#This Row],[quantity]]</f>
        <v>1200.32</v>
      </c>
    </row>
    <row r="8770" spans="1:9" x14ac:dyDescent="0.3">
      <c r="A8770" t="s">
        <v>10790</v>
      </c>
      <c r="B8770" t="s">
        <v>1753</v>
      </c>
      <c r="C8770" t="s">
        <v>2015</v>
      </c>
      <c r="D8770">
        <v>2</v>
      </c>
      <c r="E8770" s="16">
        <v>1200.3399999999999</v>
      </c>
      <c r="F8770" s="1">
        <v>44400</v>
      </c>
      <c r="G8770" t="s">
        <v>2002</v>
      </c>
      <c r="H8770">
        <v>5</v>
      </c>
      <c r="I8770" s="12">
        <f>Table16[[#This Row],[price]]*Table16[[#This Row],[quantity]]</f>
        <v>2400.6799999999998</v>
      </c>
    </row>
    <row r="8771" spans="1:9" x14ac:dyDescent="0.3">
      <c r="A8771" t="s">
        <v>10787</v>
      </c>
      <c r="B8771" t="s">
        <v>1753</v>
      </c>
      <c r="C8771" t="s">
        <v>2011</v>
      </c>
      <c r="D8771">
        <v>4</v>
      </c>
      <c r="E8771" s="16">
        <v>162.63999999999999</v>
      </c>
      <c r="F8771" s="1">
        <v>44440</v>
      </c>
      <c r="G8771" t="s">
        <v>2027</v>
      </c>
      <c r="H8771">
        <v>4</v>
      </c>
      <c r="I8771" s="12">
        <f>Table16[[#This Row],[price]]*Table16[[#This Row],[quantity]]</f>
        <v>650.55999999999995</v>
      </c>
    </row>
    <row r="8772" spans="1:9" x14ac:dyDescent="0.3">
      <c r="A8772" t="s">
        <v>10786</v>
      </c>
      <c r="B8772" t="s">
        <v>1753</v>
      </c>
      <c r="C8772" t="s">
        <v>2001</v>
      </c>
      <c r="D8772">
        <v>1</v>
      </c>
      <c r="E8772" s="16">
        <v>300.08</v>
      </c>
      <c r="F8772" s="1">
        <v>44765</v>
      </c>
      <c r="G8772" t="s">
        <v>2012</v>
      </c>
      <c r="H8772">
        <v>2</v>
      </c>
      <c r="I8772" s="12">
        <f>Table16[[#This Row],[price]]*Table16[[#This Row],[quantity]]</f>
        <v>300.08</v>
      </c>
    </row>
    <row r="8773" spans="1:9" x14ac:dyDescent="0.3">
      <c r="A8773" t="s">
        <v>10788</v>
      </c>
      <c r="B8773" t="s">
        <v>1753</v>
      </c>
      <c r="C8773" t="s">
        <v>2008</v>
      </c>
      <c r="D8773">
        <v>4</v>
      </c>
      <c r="E8773" s="16">
        <v>20.92</v>
      </c>
      <c r="F8773" s="1">
        <v>44806</v>
      </c>
      <c r="G8773" t="s">
        <v>2064</v>
      </c>
      <c r="H8773">
        <v>2</v>
      </c>
      <c r="I8773" s="12">
        <f>Table16[[#This Row],[price]]*Table16[[#This Row],[quantity]]</f>
        <v>83.68</v>
      </c>
    </row>
    <row r="8774" spans="1:9" x14ac:dyDescent="0.3">
      <c r="A8774" t="s">
        <v>10784</v>
      </c>
      <c r="B8774" t="s">
        <v>1753</v>
      </c>
      <c r="C8774" t="s">
        <v>2024</v>
      </c>
      <c r="D8774">
        <v>5</v>
      </c>
      <c r="E8774" s="16">
        <v>179.2</v>
      </c>
      <c r="F8774" s="1">
        <v>44971</v>
      </c>
      <c r="G8774" t="s">
        <v>2041</v>
      </c>
      <c r="H8774">
        <v>3</v>
      </c>
      <c r="I8774" s="12">
        <f>Table16[[#This Row],[price]]*Table16[[#This Row],[quantity]]</f>
        <v>896</v>
      </c>
    </row>
    <row r="8775" spans="1:9" x14ac:dyDescent="0.3">
      <c r="A8775" t="s">
        <v>10792</v>
      </c>
      <c r="B8775" t="s">
        <v>1754</v>
      </c>
      <c r="C8775" t="s">
        <v>2008</v>
      </c>
      <c r="D8775">
        <v>4</v>
      </c>
      <c r="E8775" s="16">
        <v>20.92</v>
      </c>
      <c r="F8775" s="1">
        <v>44396</v>
      </c>
      <c r="G8775" t="s">
        <v>2002</v>
      </c>
      <c r="H8775">
        <v>5</v>
      </c>
      <c r="I8775" s="12">
        <f>Table16[[#This Row],[price]]*Table16[[#This Row],[quantity]]</f>
        <v>83.68</v>
      </c>
    </row>
    <row r="8776" spans="1:9" x14ac:dyDescent="0.3">
      <c r="A8776" t="s">
        <v>10798</v>
      </c>
      <c r="B8776" t="s">
        <v>1754</v>
      </c>
      <c r="C8776" t="s">
        <v>2001</v>
      </c>
      <c r="D8776">
        <v>1</v>
      </c>
      <c r="E8776" s="16">
        <v>300.08</v>
      </c>
      <c r="F8776" s="1">
        <v>44460</v>
      </c>
      <c r="G8776" t="s">
        <v>2020</v>
      </c>
      <c r="H8776">
        <v>3</v>
      </c>
      <c r="I8776" s="12">
        <f>Table16[[#This Row],[price]]*Table16[[#This Row],[quantity]]</f>
        <v>300.08</v>
      </c>
    </row>
    <row r="8777" spans="1:9" x14ac:dyDescent="0.3">
      <c r="A8777" t="s">
        <v>10791</v>
      </c>
      <c r="B8777" t="s">
        <v>1754</v>
      </c>
      <c r="C8777" t="s">
        <v>2001</v>
      </c>
      <c r="D8777">
        <v>4</v>
      </c>
      <c r="E8777" s="16">
        <v>1200.32</v>
      </c>
      <c r="F8777" s="1">
        <v>44619</v>
      </c>
      <c r="G8777" t="s">
        <v>2064</v>
      </c>
      <c r="H8777">
        <v>4</v>
      </c>
      <c r="I8777" s="12">
        <f>Table16[[#This Row],[price]]*Table16[[#This Row],[quantity]]</f>
        <v>4801.28</v>
      </c>
    </row>
    <row r="8778" spans="1:9" x14ac:dyDescent="0.3">
      <c r="A8778" t="s">
        <v>10795</v>
      </c>
      <c r="B8778" t="s">
        <v>1754</v>
      </c>
      <c r="C8778" t="s">
        <v>2017</v>
      </c>
      <c r="D8778">
        <v>3</v>
      </c>
      <c r="E8778" s="16">
        <v>3150</v>
      </c>
      <c r="F8778" s="1">
        <v>44682</v>
      </c>
      <c r="G8778" t="s">
        <v>2020</v>
      </c>
      <c r="H8778">
        <v>5</v>
      </c>
      <c r="I8778" s="12">
        <f>Table16[[#This Row],[price]]*Table16[[#This Row],[quantity]]</f>
        <v>9450</v>
      </c>
    </row>
    <row r="8779" spans="1:9" x14ac:dyDescent="0.3">
      <c r="A8779" t="s">
        <v>10796</v>
      </c>
      <c r="B8779" t="s">
        <v>1754</v>
      </c>
      <c r="C8779" t="s">
        <v>2001</v>
      </c>
      <c r="D8779">
        <v>5</v>
      </c>
      <c r="E8779" s="16">
        <v>1500.4</v>
      </c>
      <c r="F8779" s="1">
        <v>44703</v>
      </c>
      <c r="G8779" t="s">
        <v>2058</v>
      </c>
      <c r="H8779">
        <v>4</v>
      </c>
      <c r="I8779" s="12">
        <f>Table16[[#This Row],[price]]*Table16[[#This Row],[quantity]]</f>
        <v>7502</v>
      </c>
    </row>
    <row r="8780" spans="1:9" x14ac:dyDescent="0.3">
      <c r="A8780" t="s">
        <v>10793</v>
      </c>
      <c r="B8780" t="s">
        <v>1754</v>
      </c>
      <c r="C8780" t="s">
        <v>2057</v>
      </c>
      <c r="D8780">
        <v>1</v>
      </c>
      <c r="E8780" s="16">
        <v>11.73</v>
      </c>
      <c r="F8780" s="1">
        <v>44712</v>
      </c>
      <c r="G8780" t="s">
        <v>2004</v>
      </c>
      <c r="H8780">
        <v>5</v>
      </c>
      <c r="I8780" s="12">
        <f>Table16[[#This Row],[price]]*Table16[[#This Row],[quantity]]</f>
        <v>11.73</v>
      </c>
    </row>
    <row r="8781" spans="1:9" x14ac:dyDescent="0.3">
      <c r="A8781" t="s">
        <v>10794</v>
      </c>
      <c r="B8781" t="s">
        <v>1754</v>
      </c>
      <c r="C8781" t="s">
        <v>2017</v>
      </c>
      <c r="D8781">
        <v>1</v>
      </c>
      <c r="E8781" s="16">
        <v>1050</v>
      </c>
      <c r="F8781" s="1">
        <v>44792</v>
      </c>
      <c r="G8781" t="s">
        <v>2041</v>
      </c>
      <c r="H8781">
        <v>1</v>
      </c>
      <c r="I8781" s="12">
        <f>Table16[[#This Row],[price]]*Table16[[#This Row],[quantity]]</f>
        <v>1050</v>
      </c>
    </row>
    <row r="8782" spans="1:9" x14ac:dyDescent="0.3">
      <c r="A8782" t="s">
        <v>10797</v>
      </c>
      <c r="B8782" t="s">
        <v>1754</v>
      </c>
      <c r="C8782" t="s">
        <v>2008</v>
      </c>
      <c r="D8782">
        <v>2</v>
      </c>
      <c r="E8782" s="16">
        <v>10.46</v>
      </c>
      <c r="F8782" s="1">
        <v>44939</v>
      </c>
      <c r="G8782" t="s">
        <v>2058</v>
      </c>
      <c r="H8782">
        <v>1</v>
      </c>
      <c r="I8782" s="12">
        <f>Table16[[#This Row],[price]]*Table16[[#This Row],[quantity]]</f>
        <v>20.92</v>
      </c>
    </row>
    <row r="8783" spans="1:9" x14ac:dyDescent="0.3">
      <c r="A8783" t="s">
        <v>10801</v>
      </c>
      <c r="B8783" t="s">
        <v>1755</v>
      </c>
      <c r="C8783" t="s">
        <v>2024</v>
      </c>
      <c r="D8783">
        <v>4</v>
      </c>
      <c r="E8783" s="16">
        <v>143.36000000000001</v>
      </c>
      <c r="F8783" s="1">
        <v>44265</v>
      </c>
      <c r="G8783" t="s">
        <v>2004</v>
      </c>
      <c r="H8783">
        <v>2</v>
      </c>
      <c r="I8783" s="12">
        <f>Table16[[#This Row],[price]]*Table16[[#This Row],[quantity]]</f>
        <v>573.44000000000005</v>
      </c>
    </row>
    <row r="8784" spans="1:9" x14ac:dyDescent="0.3">
      <c r="A8784" t="s">
        <v>10803</v>
      </c>
      <c r="B8784" t="s">
        <v>1755</v>
      </c>
      <c r="C8784" t="s">
        <v>2001</v>
      </c>
      <c r="D8784">
        <v>4</v>
      </c>
      <c r="E8784" s="16">
        <v>1200.32</v>
      </c>
      <c r="F8784" s="1">
        <v>44546</v>
      </c>
      <c r="G8784" t="s">
        <v>2027</v>
      </c>
      <c r="H8784">
        <v>4</v>
      </c>
      <c r="I8784" s="12">
        <f>Table16[[#This Row],[price]]*Table16[[#This Row],[quantity]]</f>
        <v>4801.28</v>
      </c>
    </row>
    <row r="8785" spans="1:9" x14ac:dyDescent="0.3">
      <c r="A8785" t="s">
        <v>10802</v>
      </c>
      <c r="B8785" t="s">
        <v>1755</v>
      </c>
      <c r="C8785" t="s">
        <v>2011</v>
      </c>
      <c r="D8785">
        <v>5</v>
      </c>
      <c r="E8785" s="16">
        <v>203.3</v>
      </c>
      <c r="F8785" s="1">
        <v>44792</v>
      </c>
      <c r="G8785" t="s">
        <v>2018</v>
      </c>
      <c r="H8785">
        <v>3</v>
      </c>
      <c r="I8785" s="12">
        <f>Table16[[#This Row],[price]]*Table16[[#This Row],[quantity]]</f>
        <v>1016.5</v>
      </c>
    </row>
    <row r="8786" spans="1:9" x14ac:dyDescent="0.3">
      <c r="A8786" t="s">
        <v>10800</v>
      </c>
      <c r="B8786" t="s">
        <v>1755</v>
      </c>
      <c r="C8786" t="s">
        <v>2011</v>
      </c>
      <c r="D8786">
        <v>3</v>
      </c>
      <c r="E8786" s="16">
        <v>121.98</v>
      </c>
      <c r="F8786" s="1">
        <v>44944</v>
      </c>
      <c r="G8786" t="s">
        <v>2027</v>
      </c>
      <c r="H8786">
        <v>1</v>
      </c>
      <c r="I8786" s="12">
        <f>Table16[[#This Row],[price]]*Table16[[#This Row],[quantity]]</f>
        <v>365.94</v>
      </c>
    </row>
    <row r="8787" spans="1:9" x14ac:dyDescent="0.3">
      <c r="A8787" t="s">
        <v>10799</v>
      </c>
      <c r="B8787" t="s">
        <v>1755</v>
      </c>
      <c r="C8787" t="s">
        <v>2017</v>
      </c>
      <c r="D8787">
        <v>5</v>
      </c>
      <c r="E8787" s="16">
        <v>5250</v>
      </c>
      <c r="F8787" s="1">
        <v>44971</v>
      </c>
      <c r="G8787" t="s">
        <v>2058</v>
      </c>
      <c r="H8787">
        <v>1</v>
      </c>
      <c r="I8787" s="12">
        <f>Table16[[#This Row],[price]]*Table16[[#This Row],[quantity]]</f>
        <v>26250</v>
      </c>
    </row>
    <row r="8788" spans="1:9" x14ac:dyDescent="0.3">
      <c r="A8788" t="s">
        <v>10804</v>
      </c>
      <c r="B8788" t="s">
        <v>1756</v>
      </c>
      <c r="C8788" t="s">
        <v>2001</v>
      </c>
      <c r="D8788">
        <v>4</v>
      </c>
      <c r="E8788" s="16">
        <v>1200.32</v>
      </c>
      <c r="F8788" s="1">
        <v>44381</v>
      </c>
      <c r="G8788" t="s">
        <v>2009</v>
      </c>
      <c r="H8788">
        <v>1</v>
      </c>
      <c r="I8788" s="12">
        <f>Table16[[#This Row],[price]]*Table16[[#This Row],[quantity]]</f>
        <v>4801.28</v>
      </c>
    </row>
    <row r="8789" spans="1:9" x14ac:dyDescent="0.3">
      <c r="A8789" t="s">
        <v>10807</v>
      </c>
      <c r="B8789" t="s">
        <v>1756</v>
      </c>
      <c r="C8789" t="s">
        <v>2024</v>
      </c>
      <c r="D8789">
        <v>3</v>
      </c>
      <c r="E8789" s="16">
        <v>107.52</v>
      </c>
      <c r="F8789" s="1">
        <v>44400</v>
      </c>
      <c r="G8789" t="s">
        <v>2027</v>
      </c>
      <c r="H8789">
        <v>2</v>
      </c>
      <c r="I8789" s="12">
        <f>Table16[[#This Row],[price]]*Table16[[#This Row],[quantity]]</f>
        <v>322.56</v>
      </c>
    </row>
    <row r="8790" spans="1:9" x14ac:dyDescent="0.3">
      <c r="A8790" t="s">
        <v>10806</v>
      </c>
      <c r="B8790" t="s">
        <v>1756</v>
      </c>
      <c r="C8790" t="s">
        <v>2017</v>
      </c>
      <c r="D8790">
        <v>3</v>
      </c>
      <c r="E8790" s="16">
        <v>3150</v>
      </c>
      <c r="F8790" s="1">
        <v>44454</v>
      </c>
      <c r="G8790" t="s">
        <v>2027</v>
      </c>
      <c r="H8790">
        <v>1</v>
      </c>
      <c r="I8790" s="12">
        <f>Table16[[#This Row],[price]]*Table16[[#This Row],[quantity]]</f>
        <v>9450</v>
      </c>
    </row>
    <row r="8791" spans="1:9" x14ac:dyDescent="0.3">
      <c r="A8791" t="s">
        <v>10805</v>
      </c>
      <c r="B8791" t="s">
        <v>1756</v>
      </c>
      <c r="C8791" t="s">
        <v>2001</v>
      </c>
      <c r="D8791">
        <v>1</v>
      </c>
      <c r="E8791" s="16">
        <v>300.08</v>
      </c>
      <c r="F8791" s="1">
        <v>44461</v>
      </c>
      <c r="G8791" t="s">
        <v>2002</v>
      </c>
      <c r="H8791">
        <v>1</v>
      </c>
      <c r="I8791" s="12">
        <f>Table16[[#This Row],[price]]*Table16[[#This Row],[quantity]]</f>
        <v>300.08</v>
      </c>
    </row>
    <row r="8792" spans="1:9" x14ac:dyDescent="0.3">
      <c r="A8792" t="s">
        <v>10808</v>
      </c>
      <c r="B8792" t="s">
        <v>1757</v>
      </c>
      <c r="C8792" t="s">
        <v>2015</v>
      </c>
      <c r="D8792">
        <v>2</v>
      </c>
      <c r="E8792" s="16">
        <v>1200.3399999999999</v>
      </c>
      <c r="F8792" s="1">
        <v>44202</v>
      </c>
      <c r="G8792" t="s">
        <v>2064</v>
      </c>
      <c r="H8792">
        <v>1</v>
      </c>
      <c r="I8792" s="12">
        <f>Table16[[#This Row],[price]]*Table16[[#This Row],[quantity]]</f>
        <v>2400.6799999999998</v>
      </c>
    </row>
    <row r="8793" spans="1:9" x14ac:dyDescent="0.3">
      <c r="A8793" t="s">
        <v>10810</v>
      </c>
      <c r="B8793" t="s">
        <v>1757</v>
      </c>
      <c r="C8793" t="s">
        <v>2015</v>
      </c>
      <c r="D8793">
        <v>2</v>
      </c>
      <c r="E8793" s="16">
        <v>1200.3399999999999</v>
      </c>
      <c r="F8793" s="1">
        <v>44328</v>
      </c>
      <c r="G8793" t="s">
        <v>2020</v>
      </c>
      <c r="H8793">
        <v>1</v>
      </c>
      <c r="I8793" s="12">
        <f>Table16[[#This Row],[price]]*Table16[[#This Row],[quantity]]</f>
        <v>2400.6799999999998</v>
      </c>
    </row>
    <row r="8794" spans="1:9" x14ac:dyDescent="0.3">
      <c r="A8794" t="s">
        <v>10809</v>
      </c>
      <c r="B8794" t="s">
        <v>1757</v>
      </c>
      <c r="C8794" t="s">
        <v>2006</v>
      </c>
      <c r="D8794">
        <v>5</v>
      </c>
      <c r="E8794" s="16">
        <v>75.75</v>
      </c>
      <c r="F8794" s="1">
        <v>44360</v>
      </c>
      <c r="G8794" t="s">
        <v>2041</v>
      </c>
      <c r="H8794">
        <v>4</v>
      </c>
      <c r="I8794" s="12">
        <f>Table16[[#This Row],[price]]*Table16[[#This Row],[quantity]]</f>
        <v>378.75</v>
      </c>
    </row>
    <row r="8795" spans="1:9" x14ac:dyDescent="0.3">
      <c r="A8795" t="s">
        <v>10817</v>
      </c>
      <c r="B8795" t="s">
        <v>1758</v>
      </c>
      <c r="C8795" t="s">
        <v>2008</v>
      </c>
      <c r="D8795">
        <v>4</v>
      </c>
      <c r="E8795" s="16">
        <v>20.92</v>
      </c>
      <c r="F8795" s="1">
        <v>44263</v>
      </c>
      <c r="G8795" t="s">
        <v>2012</v>
      </c>
      <c r="H8795">
        <v>4</v>
      </c>
      <c r="I8795" s="12">
        <f>Table16[[#This Row],[price]]*Table16[[#This Row],[quantity]]</f>
        <v>83.68</v>
      </c>
    </row>
    <row r="8796" spans="1:9" x14ac:dyDescent="0.3">
      <c r="A8796" t="s">
        <v>10818</v>
      </c>
      <c r="B8796" t="s">
        <v>1758</v>
      </c>
      <c r="C8796" t="s">
        <v>2024</v>
      </c>
      <c r="D8796">
        <v>2</v>
      </c>
      <c r="E8796" s="16">
        <v>71.680000000000007</v>
      </c>
      <c r="F8796" s="1">
        <v>44276</v>
      </c>
      <c r="G8796" t="s">
        <v>2020</v>
      </c>
      <c r="H8796">
        <v>5</v>
      </c>
      <c r="I8796" s="12">
        <f>Table16[[#This Row],[price]]*Table16[[#This Row],[quantity]]</f>
        <v>143.36000000000001</v>
      </c>
    </row>
    <row r="8797" spans="1:9" x14ac:dyDescent="0.3">
      <c r="A8797" t="s">
        <v>10813</v>
      </c>
      <c r="B8797" t="s">
        <v>1758</v>
      </c>
      <c r="C8797" t="s">
        <v>2015</v>
      </c>
      <c r="D8797">
        <v>2</v>
      </c>
      <c r="E8797" s="16">
        <v>1200.3399999999999</v>
      </c>
      <c r="F8797" s="1">
        <v>44296</v>
      </c>
      <c r="G8797" t="s">
        <v>2002</v>
      </c>
      <c r="H8797">
        <v>3</v>
      </c>
      <c r="I8797" s="12">
        <f>Table16[[#This Row],[price]]*Table16[[#This Row],[quantity]]</f>
        <v>2400.6799999999998</v>
      </c>
    </row>
    <row r="8798" spans="1:9" x14ac:dyDescent="0.3">
      <c r="A8798" t="s">
        <v>10812</v>
      </c>
      <c r="B8798" t="s">
        <v>1758</v>
      </c>
      <c r="C8798" t="s">
        <v>2008</v>
      </c>
      <c r="D8798">
        <v>1</v>
      </c>
      <c r="E8798" s="16">
        <v>5.23</v>
      </c>
      <c r="F8798" s="1">
        <v>44616</v>
      </c>
      <c r="G8798" t="s">
        <v>2027</v>
      </c>
      <c r="H8798">
        <v>1</v>
      </c>
      <c r="I8798" s="12">
        <f>Table16[[#This Row],[price]]*Table16[[#This Row],[quantity]]</f>
        <v>5.23</v>
      </c>
    </row>
    <row r="8799" spans="1:9" x14ac:dyDescent="0.3">
      <c r="A8799" t="s">
        <v>10815</v>
      </c>
      <c r="B8799" t="s">
        <v>1758</v>
      </c>
      <c r="C8799" t="s">
        <v>2008</v>
      </c>
      <c r="D8799">
        <v>2</v>
      </c>
      <c r="E8799" s="16">
        <v>10.46</v>
      </c>
      <c r="F8799" s="1">
        <v>44838</v>
      </c>
      <c r="G8799" t="s">
        <v>2020</v>
      </c>
      <c r="H8799">
        <v>4</v>
      </c>
      <c r="I8799" s="12">
        <f>Table16[[#This Row],[price]]*Table16[[#This Row],[quantity]]</f>
        <v>20.92</v>
      </c>
    </row>
    <row r="8800" spans="1:9" x14ac:dyDescent="0.3">
      <c r="A8800" t="s">
        <v>10814</v>
      </c>
      <c r="B8800" t="s">
        <v>1758</v>
      </c>
      <c r="C8800" t="s">
        <v>2001</v>
      </c>
      <c r="D8800">
        <v>3</v>
      </c>
      <c r="E8800" s="16">
        <v>900.24</v>
      </c>
      <c r="F8800" s="1">
        <v>44906</v>
      </c>
      <c r="G8800" t="s">
        <v>2004</v>
      </c>
      <c r="H8800">
        <v>4</v>
      </c>
      <c r="I8800" s="12">
        <f>Table16[[#This Row],[price]]*Table16[[#This Row],[quantity]]</f>
        <v>2700.7200000000003</v>
      </c>
    </row>
    <row r="8801" spans="1:9" x14ac:dyDescent="0.3">
      <c r="A8801" t="s">
        <v>10816</v>
      </c>
      <c r="B8801" t="s">
        <v>1758</v>
      </c>
      <c r="C8801" t="s">
        <v>2024</v>
      </c>
      <c r="D8801">
        <v>3</v>
      </c>
      <c r="E8801" s="16">
        <v>107.52</v>
      </c>
      <c r="F8801" s="1">
        <v>44951</v>
      </c>
      <c r="G8801" t="s">
        <v>2064</v>
      </c>
      <c r="H8801">
        <v>5</v>
      </c>
      <c r="I8801" s="12">
        <f>Table16[[#This Row],[price]]*Table16[[#This Row],[quantity]]</f>
        <v>322.56</v>
      </c>
    </row>
    <row r="8802" spans="1:9" x14ac:dyDescent="0.3">
      <c r="A8802" t="s">
        <v>10811</v>
      </c>
      <c r="B8802" t="s">
        <v>1758</v>
      </c>
      <c r="C8802" t="s">
        <v>2008</v>
      </c>
      <c r="D8802">
        <v>2</v>
      </c>
      <c r="E8802" s="16">
        <v>10.46</v>
      </c>
      <c r="F8802" s="1">
        <v>44968</v>
      </c>
      <c r="G8802" t="s">
        <v>2002</v>
      </c>
      <c r="H8802">
        <v>5</v>
      </c>
      <c r="I8802" s="12">
        <f>Table16[[#This Row],[price]]*Table16[[#This Row],[quantity]]</f>
        <v>20.92</v>
      </c>
    </row>
    <row r="8803" spans="1:9" x14ac:dyDescent="0.3">
      <c r="A8803" t="s">
        <v>10826</v>
      </c>
      <c r="B8803" t="s">
        <v>1759</v>
      </c>
      <c r="C8803" t="s">
        <v>2017</v>
      </c>
      <c r="D8803">
        <v>5</v>
      </c>
      <c r="E8803" s="16">
        <v>5250</v>
      </c>
      <c r="F8803" s="1">
        <v>44315</v>
      </c>
      <c r="G8803" t="s">
        <v>2027</v>
      </c>
      <c r="H8803">
        <v>3</v>
      </c>
      <c r="I8803" s="12">
        <f>Table16[[#This Row],[price]]*Table16[[#This Row],[quantity]]</f>
        <v>26250</v>
      </c>
    </row>
    <row r="8804" spans="1:9" x14ac:dyDescent="0.3">
      <c r="A8804" t="s">
        <v>10827</v>
      </c>
      <c r="B8804" t="s">
        <v>1759</v>
      </c>
      <c r="C8804" t="s">
        <v>2001</v>
      </c>
      <c r="D8804">
        <v>5</v>
      </c>
      <c r="E8804" s="16">
        <v>1500.4</v>
      </c>
      <c r="F8804" s="1">
        <v>44357</v>
      </c>
      <c r="G8804" t="s">
        <v>2002</v>
      </c>
      <c r="H8804">
        <v>1</v>
      </c>
      <c r="I8804" s="12">
        <f>Table16[[#This Row],[price]]*Table16[[#This Row],[quantity]]</f>
        <v>7502</v>
      </c>
    </row>
    <row r="8805" spans="1:9" x14ac:dyDescent="0.3">
      <c r="A8805" t="s">
        <v>10823</v>
      </c>
      <c r="B8805" t="s">
        <v>1759</v>
      </c>
      <c r="C8805" t="s">
        <v>2001</v>
      </c>
      <c r="D8805">
        <v>4</v>
      </c>
      <c r="E8805" s="16">
        <v>1200.32</v>
      </c>
      <c r="F8805" s="1">
        <v>44511</v>
      </c>
      <c r="G8805" t="s">
        <v>2041</v>
      </c>
      <c r="H8805">
        <v>1</v>
      </c>
      <c r="I8805" s="12">
        <f>Table16[[#This Row],[price]]*Table16[[#This Row],[quantity]]</f>
        <v>4801.28</v>
      </c>
    </row>
    <row r="8806" spans="1:9" x14ac:dyDescent="0.3">
      <c r="A8806" t="s">
        <v>10819</v>
      </c>
      <c r="B8806" t="s">
        <v>1759</v>
      </c>
      <c r="C8806" t="s">
        <v>2001</v>
      </c>
      <c r="D8806">
        <v>3</v>
      </c>
      <c r="E8806" s="16">
        <v>900.24</v>
      </c>
      <c r="F8806" s="1">
        <v>44527</v>
      </c>
      <c r="G8806" t="s">
        <v>2002</v>
      </c>
      <c r="H8806">
        <v>5</v>
      </c>
      <c r="I8806" s="12">
        <f>Table16[[#This Row],[price]]*Table16[[#This Row],[quantity]]</f>
        <v>2700.7200000000003</v>
      </c>
    </row>
    <row r="8807" spans="1:9" x14ac:dyDescent="0.3">
      <c r="A8807" t="s">
        <v>10825</v>
      </c>
      <c r="B8807" t="s">
        <v>1759</v>
      </c>
      <c r="C8807" t="s">
        <v>2001</v>
      </c>
      <c r="D8807">
        <v>1</v>
      </c>
      <c r="E8807" s="16">
        <v>300.08</v>
      </c>
      <c r="F8807" s="1">
        <v>44575</v>
      </c>
      <c r="G8807" t="s">
        <v>2064</v>
      </c>
      <c r="H8807">
        <v>2</v>
      </c>
      <c r="I8807" s="12">
        <f>Table16[[#This Row],[price]]*Table16[[#This Row],[quantity]]</f>
        <v>300.08</v>
      </c>
    </row>
    <row r="8808" spans="1:9" x14ac:dyDescent="0.3">
      <c r="A8808" t="s">
        <v>10821</v>
      </c>
      <c r="B8808" t="s">
        <v>1759</v>
      </c>
      <c r="C8808" t="s">
        <v>2008</v>
      </c>
      <c r="D8808">
        <v>4</v>
      </c>
      <c r="E8808" s="16">
        <v>20.92</v>
      </c>
      <c r="F8808" s="1">
        <v>44639</v>
      </c>
      <c r="G8808" t="s">
        <v>2058</v>
      </c>
      <c r="H8808">
        <v>4</v>
      </c>
      <c r="I8808" s="12">
        <f>Table16[[#This Row],[price]]*Table16[[#This Row],[quantity]]</f>
        <v>83.68</v>
      </c>
    </row>
    <row r="8809" spans="1:9" x14ac:dyDescent="0.3">
      <c r="A8809" t="s">
        <v>10822</v>
      </c>
      <c r="B8809" t="s">
        <v>1759</v>
      </c>
      <c r="C8809" t="s">
        <v>2001</v>
      </c>
      <c r="D8809">
        <v>5</v>
      </c>
      <c r="E8809" s="16">
        <v>1500.4</v>
      </c>
      <c r="F8809" s="1">
        <v>44705</v>
      </c>
      <c r="G8809" t="s">
        <v>2041</v>
      </c>
      <c r="H8809">
        <v>4</v>
      </c>
      <c r="I8809" s="12">
        <f>Table16[[#This Row],[price]]*Table16[[#This Row],[quantity]]</f>
        <v>7502</v>
      </c>
    </row>
    <row r="8810" spans="1:9" x14ac:dyDescent="0.3">
      <c r="A8810" t="s">
        <v>10824</v>
      </c>
      <c r="B8810" t="s">
        <v>1759</v>
      </c>
      <c r="C8810" t="s">
        <v>2001</v>
      </c>
      <c r="D8810">
        <v>3</v>
      </c>
      <c r="E8810" s="16">
        <v>900.24</v>
      </c>
      <c r="F8810" s="1">
        <v>44738</v>
      </c>
      <c r="G8810" t="s">
        <v>2027</v>
      </c>
      <c r="H8810">
        <v>5</v>
      </c>
      <c r="I8810" s="12">
        <f>Table16[[#This Row],[price]]*Table16[[#This Row],[quantity]]</f>
        <v>2700.7200000000003</v>
      </c>
    </row>
    <row r="8811" spans="1:9" x14ac:dyDescent="0.3">
      <c r="A8811" t="s">
        <v>10820</v>
      </c>
      <c r="B8811" t="s">
        <v>1759</v>
      </c>
      <c r="C8811" t="s">
        <v>2017</v>
      </c>
      <c r="D8811">
        <v>2</v>
      </c>
      <c r="E8811" s="16">
        <v>2100</v>
      </c>
      <c r="F8811" s="1">
        <v>44940</v>
      </c>
      <c r="G8811" t="s">
        <v>2058</v>
      </c>
      <c r="H8811">
        <v>5</v>
      </c>
      <c r="I8811" s="12">
        <f>Table16[[#This Row],[price]]*Table16[[#This Row],[quantity]]</f>
        <v>4200</v>
      </c>
    </row>
    <row r="8812" spans="1:9" x14ac:dyDescent="0.3">
      <c r="A8812" t="s">
        <v>10833</v>
      </c>
      <c r="B8812" t="s">
        <v>1760</v>
      </c>
      <c r="C8812" t="s">
        <v>2006</v>
      </c>
      <c r="D8812">
        <v>3</v>
      </c>
      <c r="E8812" s="16">
        <v>45.45</v>
      </c>
      <c r="F8812" s="1">
        <v>44217</v>
      </c>
      <c r="G8812" t="s">
        <v>2004</v>
      </c>
      <c r="H8812">
        <v>3</v>
      </c>
      <c r="I8812" s="12">
        <f>Table16[[#This Row],[price]]*Table16[[#This Row],[quantity]]</f>
        <v>136.35000000000002</v>
      </c>
    </row>
    <row r="8813" spans="1:9" x14ac:dyDescent="0.3">
      <c r="A8813" t="s">
        <v>10832</v>
      </c>
      <c r="B8813" t="s">
        <v>1760</v>
      </c>
      <c r="C8813" t="s">
        <v>2001</v>
      </c>
      <c r="D8813">
        <v>1</v>
      </c>
      <c r="E8813" s="16">
        <v>300.08</v>
      </c>
      <c r="F8813" s="1">
        <v>44321</v>
      </c>
      <c r="G8813" t="s">
        <v>2002</v>
      </c>
      <c r="H8813">
        <v>2</v>
      </c>
      <c r="I8813" s="12">
        <f>Table16[[#This Row],[price]]*Table16[[#This Row],[quantity]]</f>
        <v>300.08</v>
      </c>
    </row>
    <row r="8814" spans="1:9" x14ac:dyDescent="0.3">
      <c r="A8814" t="s">
        <v>10831</v>
      </c>
      <c r="B8814" t="s">
        <v>1760</v>
      </c>
      <c r="C8814" t="s">
        <v>2015</v>
      </c>
      <c r="D8814">
        <v>1</v>
      </c>
      <c r="E8814" s="16">
        <v>600.16999999999996</v>
      </c>
      <c r="F8814" s="1">
        <v>44441</v>
      </c>
      <c r="G8814" t="s">
        <v>2009</v>
      </c>
      <c r="H8814">
        <v>2</v>
      </c>
      <c r="I8814" s="12">
        <f>Table16[[#This Row],[price]]*Table16[[#This Row],[quantity]]</f>
        <v>600.16999999999996</v>
      </c>
    </row>
    <row r="8815" spans="1:9" x14ac:dyDescent="0.3">
      <c r="A8815" t="s">
        <v>10828</v>
      </c>
      <c r="B8815" t="s">
        <v>1760</v>
      </c>
      <c r="C8815" t="s">
        <v>2001</v>
      </c>
      <c r="D8815">
        <v>5</v>
      </c>
      <c r="E8815" s="16">
        <v>1500.4</v>
      </c>
      <c r="F8815" s="1">
        <v>44472</v>
      </c>
      <c r="G8815" t="s">
        <v>2027</v>
      </c>
      <c r="H8815">
        <v>1</v>
      </c>
      <c r="I8815" s="12">
        <f>Table16[[#This Row],[price]]*Table16[[#This Row],[quantity]]</f>
        <v>7502</v>
      </c>
    </row>
    <row r="8816" spans="1:9" x14ac:dyDescent="0.3">
      <c r="A8816" t="s">
        <v>10830</v>
      </c>
      <c r="B8816" t="s">
        <v>1760</v>
      </c>
      <c r="C8816" t="s">
        <v>2001</v>
      </c>
      <c r="D8816">
        <v>2</v>
      </c>
      <c r="E8816" s="16">
        <v>600.16</v>
      </c>
      <c r="F8816" s="1">
        <v>44477</v>
      </c>
      <c r="G8816" t="s">
        <v>2004</v>
      </c>
      <c r="H8816">
        <v>4</v>
      </c>
      <c r="I8816" s="12">
        <f>Table16[[#This Row],[price]]*Table16[[#This Row],[quantity]]</f>
        <v>1200.32</v>
      </c>
    </row>
    <row r="8817" spans="1:9" x14ac:dyDescent="0.3">
      <c r="A8817" t="s">
        <v>10829</v>
      </c>
      <c r="B8817" t="s">
        <v>1760</v>
      </c>
      <c r="C8817" t="s">
        <v>2001</v>
      </c>
      <c r="D8817">
        <v>5</v>
      </c>
      <c r="E8817" s="16">
        <v>1500.4</v>
      </c>
      <c r="F8817" s="1">
        <v>44956</v>
      </c>
      <c r="G8817" t="s">
        <v>2004</v>
      </c>
      <c r="H8817">
        <v>2</v>
      </c>
      <c r="I8817" s="12">
        <f>Table16[[#This Row],[price]]*Table16[[#This Row],[quantity]]</f>
        <v>7502</v>
      </c>
    </row>
    <row r="8818" spans="1:9" x14ac:dyDescent="0.3">
      <c r="A8818" t="s">
        <v>10837</v>
      </c>
      <c r="B8818" t="s">
        <v>1761</v>
      </c>
      <c r="C8818" t="s">
        <v>2001</v>
      </c>
      <c r="D8818">
        <v>5</v>
      </c>
      <c r="E8818" s="16">
        <v>1500.4</v>
      </c>
      <c r="F8818" s="1">
        <v>44287</v>
      </c>
      <c r="G8818" t="s">
        <v>2027</v>
      </c>
      <c r="H8818">
        <v>3</v>
      </c>
      <c r="I8818" s="12">
        <f>Table16[[#This Row],[price]]*Table16[[#This Row],[quantity]]</f>
        <v>7502</v>
      </c>
    </row>
    <row r="8819" spans="1:9" x14ac:dyDescent="0.3">
      <c r="A8819" t="s">
        <v>10834</v>
      </c>
      <c r="B8819" t="s">
        <v>1761</v>
      </c>
      <c r="C8819" t="s">
        <v>2015</v>
      </c>
      <c r="D8819">
        <v>1</v>
      </c>
      <c r="E8819" s="16">
        <v>600.16999999999996</v>
      </c>
      <c r="F8819" s="1">
        <v>44489</v>
      </c>
      <c r="G8819" t="s">
        <v>2020</v>
      </c>
      <c r="H8819">
        <v>5</v>
      </c>
      <c r="I8819" s="12">
        <f>Table16[[#This Row],[price]]*Table16[[#This Row],[quantity]]</f>
        <v>600.16999999999996</v>
      </c>
    </row>
    <row r="8820" spans="1:9" x14ac:dyDescent="0.3">
      <c r="A8820" t="s">
        <v>10835</v>
      </c>
      <c r="B8820" t="s">
        <v>1761</v>
      </c>
      <c r="C8820" t="s">
        <v>2011</v>
      </c>
      <c r="D8820">
        <v>4</v>
      </c>
      <c r="E8820" s="16">
        <v>162.63999999999999</v>
      </c>
      <c r="F8820" s="1">
        <v>44646</v>
      </c>
      <c r="G8820" t="s">
        <v>2027</v>
      </c>
      <c r="H8820">
        <v>3</v>
      </c>
      <c r="I8820" s="12">
        <f>Table16[[#This Row],[price]]*Table16[[#This Row],[quantity]]</f>
        <v>650.55999999999995</v>
      </c>
    </row>
    <row r="8821" spans="1:9" x14ac:dyDescent="0.3">
      <c r="A8821" t="s">
        <v>10836</v>
      </c>
      <c r="B8821" t="s">
        <v>1761</v>
      </c>
      <c r="C8821" t="s">
        <v>2008</v>
      </c>
      <c r="D8821">
        <v>2</v>
      </c>
      <c r="E8821" s="16">
        <v>10.46</v>
      </c>
      <c r="F8821" s="1">
        <v>44684</v>
      </c>
      <c r="G8821" t="s">
        <v>2020</v>
      </c>
      <c r="H8821">
        <v>1</v>
      </c>
      <c r="I8821" s="12">
        <f>Table16[[#This Row],[price]]*Table16[[#This Row],[quantity]]</f>
        <v>20.92</v>
      </c>
    </row>
    <row r="8822" spans="1:9" x14ac:dyDescent="0.3">
      <c r="A8822" t="s">
        <v>10838</v>
      </c>
      <c r="B8822" t="s">
        <v>1762</v>
      </c>
      <c r="C8822" t="s">
        <v>2001</v>
      </c>
      <c r="D8822">
        <v>1</v>
      </c>
      <c r="E8822" s="16">
        <v>300.08</v>
      </c>
      <c r="F8822" s="1">
        <v>44223</v>
      </c>
      <c r="G8822" t="s">
        <v>2002</v>
      </c>
      <c r="H8822">
        <v>1</v>
      </c>
      <c r="I8822" s="12">
        <f>Table16[[#This Row],[price]]*Table16[[#This Row],[quantity]]</f>
        <v>300.08</v>
      </c>
    </row>
    <row r="8823" spans="1:9" x14ac:dyDescent="0.3">
      <c r="A8823" t="s">
        <v>10840</v>
      </c>
      <c r="B8823" t="s">
        <v>1762</v>
      </c>
      <c r="C8823" t="s">
        <v>2015</v>
      </c>
      <c r="D8823">
        <v>3</v>
      </c>
      <c r="E8823" s="16">
        <v>1800.51</v>
      </c>
      <c r="F8823" s="1">
        <v>44395</v>
      </c>
      <c r="G8823" t="s">
        <v>2041</v>
      </c>
      <c r="H8823">
        <v>3</v>
      </c>
      <c r="I8823" s="12">
        <f>Table16[[#This Row],[price]]*Table16[[#This Row],[quantity]]</f>
        <v>5401.53</v>
      </c>
    </row>
    <row r="8824" spans="1:9" x14ac:dyDescent="0.3">
      <c r="A8824" t="s">
        <v>10841</v>
      </c>
      <c r="B8824" t="s">
        <v>1762</v>
      </c>
      <c r="C8824" t="s">
        <v>2001</v>
      </c>
      <c r="D8824">
        <v>1</v>
      </c>
      <c r="E8824" s="16">
        <v>300.08</v>
      </c>
      <c r="F8824" s="1">
        <v>44432</v>
      </c>
      <c r="G8824" t="s">
        <v>2058</v>
      </c>
      <c r="H8824">
        <v>3</v>
      </c>
      <c r="I8824" s="12">
        <f>Table16[[#This Row],[price]]*Table16[[#This Row],[quantity]]</f>
        <v>300.08</v>
      </c>
    </row>
    <row r="8825" spans="1:9" x14ac:dyDescent="0.3">
      <c r="A8825" t="s">
        <v>10842</v>
      </c>
      <c r="B8825" t="s">
        <v>1762</v>
      </c>
      <c r="C8825" t="s">
        <v>2011</v>
      </c>
      <c r="D8825">
        <v>1</v>
      </c>
      <c r="E8825" s="16">
        <v>40.659999999999997</v>
      </c>
      <c r="F8825" s="1">
        <v>44760</v>
      </c>
      <c r="G8825" t="s">
        <v>2027</v>
      </c>
      <c r="H8825">
        <v>4</v>
      </c>
      <c r="I8825" s="12">
        <f>Table16[[#This Row],[price]]*Table16[[#This Row],[quantity]]</f>
        <v>40.659999999999997</v>
      </c>
    </row>
    <row r="8826" spans="1:9" x14ac:dyDescent="0.3">
      <c r="A8826" t="s">
        <v>10839</v>
      </c>
      <c r="B8826" t="s">
        <v>1762</v>
      </c>
      <c r="C8826" t="s">
        <v>2017</v>
      </c>
      <c r="D8826">
        <v>5</v>
      </c>
      <c r="E8826" s="16">
        <v>5250</v>
      </c>
      <c r="F8826" s="1">
        <v>44950</v>
      </c>
      <c r="G8826" t="s">
        <v>2027</v>
      </c>
      <c r="H8826">
        <v>3</v>
      </c>
      <c r="I8826" s="12">
        <f>Table16[[#This Row],[price]]*Table16[[#This Row],[quantity]]</f>
        <v>26250</v>
      </c>
    </row>
    <row r="8827" spans="1:9" x14ac:dyDescent="0.3">
      <c r="A8827" t="s">
        <v>10843</v>
      </c>
      <c r="B8827" t="s">
        <v>1763</v>
      </c>
      <c r="C8827" t="s">
        <v>2011</v>
      </c>
      <c r="D8827">
        <v>3</v>
      </c>
      <c r="E8827" s="16">
        <v>121.98</v>
      </c>
      <c r="F8827" s="1">
        <v>44197</v>
      </c>
      <c r="G8827" t="s">
        <v>2027</v>
      </c>
      <c r="H8827">
        <v>4</v>
      </c>
      <c r="I8827" s="12">
        <f>Table16[[#This Row],[price]]*Table16[[#This Row],[quantity]]</f>
        <v>365.94</v>
      </c>
    </row>
    <row r="8828" spans="1:9" x14ac:dyDescent="0.3">
      <c r="A8828" t="s">
        <v>10848</v>
      </c>
      <c r="B8828" t="s">
        <v>1763</v>
      </c>
      <c r="C8828" t="s">
        <v>2015</v>
      </c>
      <c r="D8828">
        <v>3</v>
      </c>
      <c r="E8828" s="16">
        <v>1800.51</v>
      </c>
      <c r="F8828" s="1">
        <v>44199</v>
      </c>
      <c r="G8828" t="s">
        <v>2020</v>
      </c>
      <c r="H8828">
        <v>5</v>
      </c>
      <c r="I8828" s="12">
        <f>Table16[[#This Row],[price]]*Table16[[#This Row],[quantity]]</f>
        <v>5401.53</v>
      </c>
    </row>
    <row r="8829" spans="1:9" x14ac:dyDescent="0.3">
      <c r="A8829" t="s">
        <v>10847</v>
      </c>
      <c r="B8829" t="s">
        <v>1763</v>
      </c>
      <c r="C8829" t="s">
        <v>2024</v>
      </c>
      <c r="D8829">
        <v>2</v>
      </c>
      <c r="E8829" s="16">
        <v>71.680000000000007</v>
      </c>
      <c r="F8829" s="1">
        <v>44217</v>
      </c>
      <c r="G8829" t="s">
        <v>2058</v>
      </c>
      <c r="H8829">
        <v>2</v>
      </c>
      <c r="I8829" s="12">
        <f>Table16[[#This Row],[price]]*Table16[[#This Row],[quantity]]</f>
        <v>143.36000000000001</v>
      </c>
    </row>
    <row r="8830" spans="1:9" x14ac:dyDescent="0.3">
      <c r="A8830" t="s">
        <v>10845</v>
      </c>
      <c r="B8830" t="s">
        <v>1763</v>
      </c>
      <c r="C8830" t="s">
        <v>2024</v>
      </c>
      <c r="D8830">
        <v>5</v>
      </c>
      <c r="E8830" s="16">
        <v>179.2</v>
      </c>
      <c r="F8830" s="1">
        <v>44285</v>
      </c>
      <c r="G8830" t="s">
        <v>2027</v>
      </c>
      <c r="H8830">
        <v>4</v>
      </c>
      <c r="I8830" s="12">
        <f>Table16[[#This Row],[price]]*Table16[[#This Row],[quantity]]</f>
        <v>896</v>
      </c>
    </row>
    <row r="8831" spans="1:9" x14ac:dyDescent="0.3">
      <c r="A8831" t="s">
        <v>10844</v>
      </c>
      <c r="B8831" t="s">
        <v>1763</v>
      </c>
      <c r="C8831" t="s">
        <v>2024</v>
      </c>
      <c r="D8831">
        <v>5</v>
      </c>
      <c r="E8831" s="16">
        <v>179.2</v>
      </c>
      <c r="F8831" s="1">
        <v>44461</v>
      </c>
      <c r="G8831" t="s">
        <v>2027</v>
      </c>
      <c r="H8831">
        <v>5</v>
      </c>
      <c r="I8831" s="12">
        <f>Table16[[#This Row],[price]]*Table16[[#This Row],[quantity]]</f>
        <v>896</v>
      </c>
    </row>
    <row r="8832" spans="1:9" x14ac:dyDescent="0.3">
      <c r="A8832" t="s">
        <v>10849</v>
      </c>
      <c r="B8832" t="s">
        <v>1763</v>
      </c>
      <c r="C8832" t="s">
        <v>2011</v>
      </c>
      <c r="D8832">
        <v>1</v>
      </c>
      <c r="E8832" s="16">
        <v>40.659999999999997</v>
      </c>
      <c r="F8832" s="1">
        <v>44632</v>
      </c>
      <c r="G8832" t="s">
        <v>2027</v>
      </c>
      <c r="H8832">
        <v>4</v>
      </c>
      <c r="I8832" s="12">
        <f>Table16[[#This Row],[price]]*Table16[[#This Row],[quantity]]</f>
        <v>40.659999999999997</v>
      </c>
    </row>
    <row r="8833" spans="1:9" x14ac:dyDescent="0.3">
      <c r="A8833" t="s">
        <v>10846</v>
      </c>
      <c r="B8833" t="s">
        <v>1763</v>
      </c>
      <c r="C8833" t="s">
        <v>2024</v>
      </c>
      <c r="D8833">
        <v>1</v>
      </c>
      <c r="E8833" s="16">
        <v>35.840000000000003</v>
      </c>
      <c r="F8833" s="1">
        <v>44868</v>
      </c>
      <c r="G8833" t="s">
        <v>2002</v>
      </c>
      <c r="H8833">
        <v>3</v>
      </c>
      <c r="I8833" s="12">
        <f>Table16[[#This Row],[price]]*Table16[[#This Row],[quantity]]</f>
        <v>35.840000000000003</v>
      </c>
    </row>
    <row r="8834" spans="1:9" x14ac:dyDescent="0.3">
      <c r="A8834" t="s">
        <v>10854</v>
      </c>
      <c r="B8834" t="s">
        <v>1764</v>
      </c>
      <c r="C8834" t="s">
        <v>2001</v>
      </c>
      <c r="D8834">
        <v>5</v>
      </c>
      <c r="E8834" s="16">
        <v>1500.4</v>
      </c>
      <c r="F8834" s="1">
        <v>44464</v>
      </c>
      <c r="G8834" t="s">
        <v>2027</v>
      </c>
      <c r="H8834">
        <v>2</v>
      </c>
      <c r="I8834" s="12">
        <f>Table16[[#This Row],[price]]*Table16[[#This Row],[quantity]]</f>
        <v>7502</v>
      </c>
    </row>
    <row r="8835" spans="1:9" x14ac:dyDescent="0.3">
      <c r="A8835" t="s">
        <v>10850</v>
      </c>
      <c r="B8835" t="s">
        <v>1764</v>
      </c>
      <c r="C8835" t="s">
        <v>2001</v>
      </c>
      <c r="D8835">
        <v>4</v>
      </c>
      <c r="E8835" s="16">
        <v>1200.32</v>
      </c>
      <c r="F8835" s="1">
        <v>44485</v>
      </c>
      <c r="G8835" t="s">
        <v>2004</v>
      </c>
      <c r="H8835">
        <v>1</v>
      </c>
      <c r="I8835" s="12">
        <f>Table16[[#This Row],[price]]*Table16[[#This Row],[quantity]]</f>
        <v>4801.28</v>
      </c>
    </row>
    <row r="8836" spans="1:9" x14ac:dyDescent="0.3">
      <c r="A8836" t="s">
        <v>10851</v>
      </c>
      <c r="B8836" t="s">
        <v>1764</v>
      </c>
      <c r="C8836" t="s">
        <v>2001</v>
      </c>
      <c r="D8836">
        <v>1</v>
      </c>
      <c r="E8836" s="16">
        <v>300.08</v>
      </c>
      <c r="F8836" s="1">
        <v>44494</v>
      </c>
      <c r="G8836" t="s">
        <v>2004</v>
      </c>
      <c r="H8836">
        <v>1</v>
      </c>
      <c r="I8836" s="12">
        <f>Table16[[#This Row],[price]]*Table16[[#This Row],[quantity]]</f>
        <v>300.08</v>
      </c>
    </row>
    <row r="8837" spans="1:9" x14ac:dyDescent="0.3">
      <c r="A8837" t="s">
        <v>10853</v>
      </c>
      <c r="B8837" t="s">
        <v>1764</v>
      </c>
      <c r="C8837" t="s">
        <v>2011</v>
      </c>
      <c r="D8837">
        <v>5</v>
      </c>
      <c r="E8837" s="16">
        <v>203.3</v>
      </c>
      <c r="F8837" s="1">
        <v>44532</v>
      </c>
      <c r="G8837" t="s">
        <v>2012</v>
      </c>
      <c r="H8837">
        <v>4</v>
      </c>
      <c r="I8837" s="12">
        <f>Table16[[#This Row],[price]]*Table16[[#This Row],[quantity]]</f>
        <v>1016.5</v>
      </c>
    </row>
    <row r="8838" spans="1:9" x14ac:dyDescent="0.3">
      <c r="A8838" t="s">
        <v>10855</v>
      </c>
      <c r="B8838" t="s">
        <v>1764</v>
      </c>
      <c r="C8838" t="s">
        <v>2006</v>
      </c>
      <c r="D8838">
        <v>2</v>
      </c>
      <c r="E8838" s="16">
        <v>30.3</v>
      </c>
      <c r="F8838" s="1">
        <v>44740</v>
      </c>
      <c r="G8838" t="s">
        <v>2004</v>
      </c>
      <c r="H8838">
        <v>2</v>
      </c>
      <c r="I8838" s="12">
        <f>Table16[[#This Row],[price]]*Table16[[#This Row],[quantity]]</f>
        <v>60.6</v>
      </c>
    </row>
    <row r="8839" spans="1:9" x14ac:dyDescent="0.3">
      <c r="A8839" t="s">
        <v>10852</v>
      </c>
      <c r="B8839" t="s">
        <v>1764</v>
      </c>
      <c r="C8839" t="s">
        <v>2011</v>
      </c>
      <c r="D8839">
        <v>5</v>
      </c>
      <c r="E8839" s="16">
        <v>203.3</v>
      </c>
      <c r="F8839" s="1">
        <v>44796</v>
      </c>
      <c r="G8839" t="s">
        <v>2027</v>
      </c>
      <c r="H8839">
        <v>2</v>
      </c>
      <c r="I8839" s="12">
        <f>Table16[[#This Row],[price]]*Table16[[#This Row],[quantity]]</f>
        <v>1016.5</v>
      </c>
    </row>
    <row r="8840" spans="1:9" x14ac:dyDescent="0.3">
      <c r="A8840" t="s">
        <v>10858</v>
      </c>
      <c r="B8840" t="s">
        <v>1765</v>
      </c>
      <c r="C8840" t="s">
        <v>2001</v>
      </c>
      <c r="D8840">
        <v>4</v>
      </c>
      <c r="E8840" s="16">
        <v>1200.32</v>
      </c>
      <c r="F8840" s="1">
        <v>44326</v>
      </c>
      <c r="G8840" t="s">
        <v>2027</v>
      </c>
      <c r="H8840">
        <v>4</v>
      </c>
      <c r="I8840" s="12">
        <f>Table16[[#This Row],[price]]*Table16[[#This Row],[quantity]]</f>
        <v>4801.28</v>
      </c>
    </row>
    <row r="8841" spans="1:9" x14ac:dyDescent="0.3">
      <c r="A8841" t="s">
        <v>10857</v>
      </c>
      <c r="B8841" t="s">
        <v>1765</v>
      </c>
      <c r="C8841" t="s">
        <v>2015</v>
      </c>
      <c r="D8841">
        <v>2</v>
      </c>
      <c r="E8841" s="16">
        <v>1200.3399999999999</v>
      </c>
      <c r="F8841" s="1">
        <v>44483</v>
      </c>
      <c r="G8841" t="s">
        <v>2064</v>
      </c>
      <c r="H8841">
        <v>5</v>
      </c>
      <c r="I8841" s="12">
        <f>Table16[[#This Row],[price]]*Table16[[#This Row],[quantity]]</f>
        <v>2400.6799999999998</v>
      </c>
    </row>
    <row r="8842" spans="1:9" x14ac:dyDescent="0.3">
      <c r="A8842" t="s">
        <v>10860</v>
      </c>
      <c r="B8842" t="s">
        <v>1765</v>
      </c>
      <c r="C8842" t="s">
        <v>2011</v>
      </c>
      <c r="D8842">
        <v>1</v>
      </c>
      <c r="E8842" s="16">
        <v>40.659999999999997</v>
      </c>
      <c r="F8842" s="1">
        <v>44489</v>
      </c>
      <c r="G8842" t="s">
        <v>2004</v>
      </c>
      <c r="H8842">
        <v>1</v>
      </c>
      <c r="I8842" s="12">
        <f>Table16[[#This Row],[price]]*Table16[[#This Row],[quantity]]</f>
        <v>40.659999999999997</v>
      </c>
    </row>
    <row r="8843" spans="1:9" x14ac:dyDescent="0.3">
      <c r="A8843" t="s">
        <v>10861</v>
      </c>
      <c r="B8843" t="s">
        <v>1765</v>
      </c>
      <c r="C8843" t="s">
        <v>2006</v>
      </c>
      <c r="D8843">
        <v>4</v>
      </c>
      <c r="E8843" s="16">
        <v>60.6</v>
      </c>
      <c r="F8843" s="1">
        <v>44535</v>
      </c>
      <c r="G8843" t="s">
        <v>2002</v>
      </c>
      <c r="H8843">
        <v>3</v>
      </c>
      <c r="I8843" s="12">
        <f>Table16[[#This Row],[price]]*Table16[[#This Row],[quantity]]</f>
        <v>242.4</v>
      </c>
    </row>
    <row r="8844" spans="1:9" x14ac:dyDescent="0.3">
      <c r="A8844" t="s">
        <v>10859</v>
      </c>
      <c r="B8844" t="s">
        <v>1765</v>
      </c>
      <c r="C8844" t="s">
        <v>2011</v>
      </c>
      <c r="D8844">
        <v>5</v>
      </c>
      <c r="E8844" s="16">
        <v>203.3</v>
      </c>
      <c r="F8844" s="1">
        <v>44724</v>
      </c>
      <c r="G8844" t="s">
        <v>2012</v>
      </c>
      <c r="H8844">
        <v>1</v>
      </c>
      <c r="I8844" s="12">
        <f>Table16[[#This Row],[price]]*Table16[[#This Row],[quantity]]</f>
        <v>1016.5</v>
      </c>
    </row>
    <row r="8845" spans="1:9" x14ac:dyDescent="0.3">
      <c r="A8845" t="s">
        <v>10856</v>
      </c>
      <c r="B8845" t="s">
        <v>1765</v>
      </c>
      <c r="C8845" t="s">
        <v>2015</v>
      </c>
      <c r="D8845">
        <v>1</v>
      </c>
      <c r="E8845" s="16">
        <v>600.16999999999996</v>
      </c>
      <c r="F8845" s="1">
        <v>44771</v>
      </c>
      <c r="G8845" t="s">
        <v>2002</v>
      </c>
      <c r="H8845">
        <v>3</v>
      </c>
      <c r="I8845" s="12">
        <f>Table16[[#This Row],[price]]*Table16[[#This Row],[quantity]]</f>
        <v>600.16999999999996</v>
      </c>
    </row>
    <row r="8846" spans="1:9" x14ac:dyDescent="0.3">
      <c r="A8846" t="s">
        <v>10863</v>
      </c>
      <c r="B8846" t="s">
        <v>1766</v>
      </c>
      <c r="C8846" t="s">
        <v>2001</v>
      </c>
      <c r="D8846">
        <v>5</v>
      </c>
      <c r="E8846" s="16">
        <v>1500.4</v>
      </c>
      <c r="F8846" s="1">
        <v>44313</v>
      </c>
      <c r="G8846" t="s">
        <v>2004</v>
      </c>
      <c r="H8846">
        <v>3</v>
      </c>
      <c r="I8846" s="12">
        <f>Table16[[#This Row],[price]]*Table16[[#This Row],[quantity]]</f>
        <v>7502</v>
      </c>
    </row>
    <row r="8847" spans="1:9" x14ac:dyDescent="0.3">
      <c r="A8847" t="s">
        <v>10862</v>
      </c>
      <c r="B8847" t="s">
        <v>1766</v>
      </c>
      <c r="C8847" t="s">
        <v>2017</v>
      </c>
      <c r="D8847">
        <v>3</v>
      </c>
      <c r="E8847" s="16">
        <v>3150</v>
      </c>
      <c r="F8847" s="1">
        <v>44496</v>
      </c>
      <c r="G8847" t="s">
        <v>2064</v>
      </c>
      <c r="H8847">
        <v>4</v>
      </c>
      <c r="I8847" s="12">
        <f>Table16[[#This Row],[price]]*Table16[[#This Row],[quantity]]</f>
        <v>9450</v>
      </c>
    </row>
    <row r="8848" spans="1:9" x14ac:dyDescent="0.3">
      <c r="A8848" t="s">
        <v>10864</v>
      </c>
      <c r="B8848" t="s">
        <v>1766</v>
      </c>
      <c r="C8848" t="s">
        <v>2011</v>
      </c>
      <c r="D8848">
        <v>1</v>
      </c>
      <c r="E8848" s="16">
        <v>40.659999999999997</v>
      </c>
      <c r="F8848" s="1">
        <v>44818</v>
      </c>
      <c r="G8848" t="s">
        <v>2020</v>
      </c>
      <c r="H8848">
        <v>3</v>
      </c>
      <c r="I8848" s="12">
        <f>Table16[[#This Row],[price]]*Table16[[#This Row],[quantity]]</f>
        <v>40.659999999999997</v>
      </c>
    </row>
    <row r="8849" spans="1:9" x14ac:dyDescent="0.3">
      <c r="A8849" t="s">
        <v>10865</v>
      </c>
      <c r="B8849" t="s">
        <v>1766</v>
      </c>
      <c r="C8849" t="s">
        <v>2024</v>
      </c>
      <c r="D8849">
        <v>5</v>
      </c>
      <c r="E8849" s="16">
        <v>179.2</v>
      </c>
      <c r="F8849" s="1">
        <v>44975</v>
      </c>
      <c r="G8849" t="s">
        <v>2027</v>
      </c>
      <c r="H8849">
        <v>5</v>
      </c>
      <c r="I8849" s="12">
        <f>Table16[[#This Row],[price]]*Table16[[#This Row],[quantity]]</f>
        <v>896</v>
      </c>
    </row>
    <row r="8850" spans="1:9" x14ac:dyDescent="0.3">
      <c r="A8850" t="s">
        <v>10869</v>
      </c>
      <c r="B8850" t="s">
        <v>1767</v>
      </c>
      <c r="C8850" t="s">
        <v>2001</v>
      </c>
      <c r="D8850">
        <v>4</v>
      </c>
      <c r="E8850" s="16">
        <v>1200.32</v>
      </c>
      <c r="F8850" s="1">
        <v>44301</v>
      </c>
      <c r="G8850" t="s">
        <v>2004</v>
      </c>
      <c r="H8850">
        <v>5</v>
      </c>
      <c r="I8850" s="12">
        <f>Table16[[#This Row],[price]]*Table16[[#This Row],[quantity]]</f>
        <v>4801.28</v>
      </c>
    </row>
    <row r="8851" spans="1:9" x14ac:dyDescent="0.3">
      <c r="A8851" t="s">
        <v>10867</v>
      </c>
      <c r="B8851" t="s">
        <v>1767</v>
      </c>
      <c r="C8851" t="s">
        <v>2006</v>
      </c>
      <c r="D8851">
        <v>5</v>
      </c>
      <c r="E8851" s="16">
        <v>75.75</v>
      </c>
      <c r="F8851" s="1">
        <v>44432</v>
      </c>
      <c r="G8851" t="s">
        <v>2004</v>
      </c>
      <c r="H8851">
        <v>1</v>
      </c>
      <c r="I8851" s="12">
        <f>Table16[[#This Row],[price]]*Table16[[#This Row],[quantity]]</f>
        <v>378.75</v>
      </c>
    </row>
    <row r="8852" spans="1:9" x14ac:dyDescent="0.3">
      <c r="A8852" t="s">
        <v>10868</v>
      </c>
      <c r="B8852" t="s">
        <v>1767</v>
      </c>
      <c r="C8852" t="s">
        <v>2001</v>
      </c>
      <c r="D8852">
        <v>2</v>
      </c>
      <c r="E8852" s="16">
        <v>600.16</v>
      </c>
      <c r="F8852" s="1">
        <v>44657</v>
      </c>
      <c r="G8852" t="s">
        <v>2027</v>
      </c>
      <c r="H8852">
        <v>3</v>
      </c>
      <c r="I8852" s="12">
        <f>Table16[[#This Row],[price]]*Table16[[#This Row],[quantity]]</f>
        <v>1200.32</v>
      </c>
    </row>
    <row r="8853" spans="1:9" x14ac:dyDescent="0.3">
      <c r="A8853" t="s">
        <v>10866</v>
      </c>
      <c r="B8853" t="s">
        <v>1767</v>
      </c>
      <c r="C8853" t="s">
        <v>2008</v>
      </c>
      <c r="D8853">
        <v>5</v>
      </c>
      <c r="E8853" s="16">
        <v>26.15</v>
      </c>
      <c r="F8853" s="1">
        <v>44946</v>
      </c>
      <c r="G8853" t="s">
        <v>2027</v>
      </c>
      <c r="H8853">
        <v>3</v>
      </c>
      <c r="I8853" s="12">
        <f>Table16[[#This Row],[price]]*Table16[[#This Row],[quantity]]</f>
        <v>130.75</v>
      </c>
    </row>
    <row r="8854" spans="1:9" x14ac:dyDescent="0.3">
      <c r="A8854" t="s">
        <v>10870</v>
      </c>
      <c r="B8854" t="s">
        <v>1768</v>
      </c>
      <c r="C8854" t="s">
        <v>2008</v>
      </c>
      <c r="D8854">
        <v>1</v>
      </c>
      <c r="E8854" s="16">
        <v>5.23</v>
      </c>
      <c r="F8854" s="1">
        <v>44457</v>
      </c>
      <c r="G8854" t="s">
        <v>2004</v>
      </c>
      <c r="H8854">
        <v>4</v>
      </c>
      <c r="I8854" s="12">
        <f>Table16[[#This Row],[price]]*Table16[[#This Row],[quantity]]</f>
        <v>5.23</v>
      </c>
    </row>
    <row r="8855" spans="1:9" x14ac:dyDescent="0.3">
      <c r="A8855" t="s">
        <v>10872</v>
      </c>
      <c r="B8855" t="s">
        <v>1768</v>
      </c>
      <c r="C8855" t="s">
        <v>2008</v>
      </c>
      <c r="D8855">
        <v>1</v>
      </c>
      <c r="E8855" s="16">
        <v>5.23</v>
      </c>
      <c r="F8855" s="1">
        <v>44801</v>
      </c>
      <c r="G8855" t="s">
        <v>2004</v>
      </c>
      <c r="H8855">
        <v>4</v>
      </c>
      <c r="I8855" s="12">
        <f>Table16[[#This Row],[price]]*Table16[[#This Row],[quantity]]</f>
        <v>5.23</v>
      </c>
    </row>
    <row r="8856" spans="1:9" x14ac:dyDescent="0.3">
      <c r="A8856" t="s">
        <v>10874</v>
      </c>
      <c r="B8856" t="s">
        <v>1768</v>
      </c>
      <c r="C8856" t="s">
        <v>2015</v>
      </c>
      <c r="D8856">
        <v>5</v>
      </c>
      <c r="E8856" s="16">
        <v>3000.85</v>
      </c>
      <c r="F8856" s="1">
        <v>44843</v>
      </c>
      <c r="G8856" t="s">
        <v>2004</v>
      </c>
      <c r="H8856">
        <v>4</v>
      </c>
      <c r="I8856" s="12">
        <f>Table16[[#This Row],[price]]*Table16[[#This Row],[quantity]]</f>
        <v>15004.25</v>
      </c>
    </row>
    <row r="8857" spans="1:9" x14ac:dyDescent="0.3">
      <c r="A8857" t="s">
        <v>10871</v>
      </c>
      <c r="B8857" t="s">
        <v>1768</v>
      </c>
      <c r="C8857" t="s">
        <v>2015</v>
      </c>
      <c r="D8857">
        <v>4</v>
      </c>
      <c r="E8857" s="16">
        <v>2400.6799999999998</v>
      </c>
      <c r="F8857" s="1">
        <v>44970</v>
      </c>
      <c r="G8857" t="s">
        <v>2064</v>
      </c>
      <c r="H8857">
        <v>1</v>
      </c>
      <c r="I8857" s="12">
        <f>Table16[[#This Row],[price]]*Table16[[#This Row],[quantity]]</f>
        <v>9602.7199999999993</v>
      </c>
    </row>
    <row r="8858" spans="1:9" x14ac:dyDescent="0.3">
      <c r="A8858" t="s">
        <v>10873</v>
      </c>
      <c r="B8858" t="s">
        <v>1768</v>
      </c>
      <c r="C8858" t="s">
        <v>2008</v>
      </c>
      <c r="D8858">
        <v>5</v>
      </c>
      <c r="E8858" s="16">
        <v>26.15</v>
      </c>
      <c r="F8858" s="1">
        <v>44978</v>
      </c>
      <c r="G8858" t="s">
        <v>2002</v>
      </c>
      <c r="H8858">
        <v>4</v>
      </c>
      <c r="I8858" s="12">
        <f>Table16[[#This Row],[price]]*Table16[[#This Row],[quantity]]</f>
        <v>130.75</v>
      </c>
    </row>
    <row r="8859" spans="1:9" x14ac:dyDescent="0.3">
      <c r="A8859" t="s">
        <v>10877</v>
      </c>
      <c r="B8859" t="s">
        <v>1769</v>
      </c>
      <c r="C8859" t="s">
        <v>2001</v>
      </c>
      <c r="D8859">
        <v>3</v>
      </c>
      <c r="E8859" s="16">
        <v>900.24</v>
      </c>
      <c r="F8859" s="1">
        <v>44598</v>
      </c>
      <c r="G8859" t="s">
        <v>2004</v>
      </c>
      <c r="H8859">
        <v>2</v>
      </c>
      <c r="I8859" s="12">
        <f>Table16[[#This Row],[price]]*Table16[[#This Row],[quantity]]</f>
        <v>2700.7200000000003</v>
      </c>
    </row>
    <row r="8860" spans="1:9" x14ac:dyDescent="0.3">
      <c r="A8860" t="s">
        <v>10875</v>
      </c>
      <c r="B8860" t="s">
        <v>1769</v>
      </c>
      <c r="C8860" t="s">
        <v>2001</v>
      </c>
      <c r="D8860">
        <v>3</v>
      </c>
      <c r="E8860" s="16">
        <v>900.24</v>
      </c>
      <c r="F8860" s="1">
        <v>44615</v>
      </c>
      <c r="G8860" t="s">
        <v>2004</v>
      </c>
      <c r="H8860">
        <v>4</v>
      </c>
      <c r="I8860" s="12">
        <f>Table16[[#This Row],[price]]*Table16[[#This Row],[quantity]]</f>
        <v>2700.7200000000003</v>
      </c>
    </row>
    <row r="8861" spans="1:9" x14ac:dyDescent="0.3">
      <c r="A8861" t="s">
        <v>10876</v>
      </c>
      <c r="B8861" t="s">
        <v>1769</v>
      </c>
      <c r="C8861" t="s">
        <v>2006</v>
      </c>
      <c r="D8861">
        <v>3</v>
      </c>
      <c r="E8861" s="16">
        <v>45.45</v>
      </c>
      <c r="F8861" s="1">
        <v>44783</v>
      </c>
      <c r="G8861" t="s">
        <v>2018</v>
      </c>
      <c r="H8861">
        <v>4</v>
      </c>
      <c r="I8861" s="12">
        <f>Table16[[#This Row],[price]]*Table16[[#This Row],[quantity]]</f>
        <v>136.35000000000002</v>
      </c>
    </row>
    <row r="8862" spans="1:9" x14ac:dyDescent="0.3">
      <c r="A8862" t="s">
        <v>10878</v>
      </c>
      <c r="B8862" t="s">
        <v>1769</v>
      </c>
      <c r="C8862" t="s">
        <v>2008</v>
      </c>
      <c r="D8862">
        <v>1</v>
      </c>
      <c r="E8862" s="16">
        <v>5.23</v>
      </c>
      <c r="F8862" s="1">
        <v>44844</v>
      </c>
      <c r="G8862" t="s">
        <v>2027</v>
      </c>
      <c r="H8862">
        <v>1</v>
      </c>
      <c r="I8862" s="12">
        <f>Table16[[#This Row],[price]]*Table16[[#This Row],[quantity]]</f>
        <v>5.23</v>
      </c>
    </row>
    <row r="8863" spans="1:9" x14ac:dyDescent="0.3">
      <c r="A8863" t="s">
        <v>10881</v>
      </c>
      <c r="B8863" t="s">
        <v>1770</v>
      </c>
      <c r="C8863" t="s">
        <v>2017</v>
      </c>
      <c r="D8863">
        <v>1</v>
      </c>
      <c r="E8863" s="16">
        <v>1050</v>
      </c>
      <c r="F8863" s="1">
        <v>44269</v>
      </c>
      <c r="G8863" t="s">
        <v>2018</v>
      </c>
      <c r="H8863">
        <v>2</v>
      </c>
      <c r="I8863" s="12">
        <f>Table16[[#This Row],[price]]*Table16[[#This Row],[quantity]]</f>
        <v>1050</v>
      </c>
    </row>
    <row r="8864" spans="1:9" x14ac:dyDescent="0.3">
      <c r="A8864" t="s">
        <v>10879</v>
      </c>
      <c r="B8864" t="s">
        <v>1770</v>
      </c>
      <c r="C8864" t="s">
        <v>2001</v>
      </c>
      <c r="D8864">
        <v>4</v>
      </c>
      <c r="E8864" s="16">
        <v>1200.32</v>
      </c>
      <c r="F8864" s="1">
        <v>44331</v>
      </c>
      <c r="G8864" t="s">
        <v>2041</v>
      </c>
      <c r="H8864">
        <v>5</v>
      </c>
      <c r="I8864" s="12">
        <f>Table16[[#This Row],[price]]*Table16[[#This Row],[quantity]]</f>
        <v>4801.28</v>
      </c>
    </row>
    <row r="8865" spans="1:9" x14ac:dyDescent="0.3">
      <c r="A8865" t="s">
        <v>10882</v>
      </c>
      <c r="B8865" t="s">
        <v>1770</v>
      </c>
      <c r="C8865" t="s">
        <v>2001</v>
      </c>
      <c r="D8865">
        <v>4</v>
      </c>
      <c r="E8865" s="16">
        <v>1200.32</v>
      </c>
      <c r="F8865" s="1">
        <v>44580</v>
      </c>
      <c r="G8865" t="s">
        <v>2020</v>
      </c>
      <c r="H8865">
        <v>5</v>
      </c>
      <c r="I8865" s="12">
        <f>Table16[[#This Row],[price]]*Table16[[#This Row],[quantity]]</f>
        <v>4801.28</v>
      </c>
    </row>
    <row r="8866" spans="1:9" x14ac:dyDescent="0.3">
      <c r="A8866" t="s">
        <v>10880</v>
      </c>
      <c r="B8866" t="s">
        <v>1770</v>
      </c>
      <c r="C8866" t="s">
        <v>2001</v>
      </c>
      <c r="D8866">
        <v>3</v>
      </c>
      <c r="E8866" s="16">
        <v>900.24</v>
      </c>
      <c r="F8866" s="1">
        <v>44696</v>
      </c>
      <c r="G8866" t="s">
        <v>2027</v>
      </c>
      <c r="H8866">
        <v>4</v>
      </c>
      <c r="I8866" s="12">
        <f>Table16[[#This Row],[price]]*Table16[[#This Row],[quantity]]</f>
        <v>2700.7200000000003</v>
      </c>
    </row>
    <row r="8867" spans="1:9" x14ac:dyDescent="0.3">
      <c r="A8867" t="s">
        <v>10883</v>
      </c>
      <c r="B8867" t="s">
        <v>1771</v>
      </c>
      <c r="C8867" t="s">
        <v>2011</v>
      </c>
      <c r="D8867">
        <v>4</v>
      </c>
      <c r="E8867" s="16">
        <v>162.63999999999999</v>
      </c>
      <c r="F8867" s="1">
        <v>44216</v>
      </c>
      <c r="G8867" t="s">
        <v>2020</v>
      </c>
      <c r="H8867">
        <v>4</v>
      </c>
      <c r="I8867" s="12">
        <f>Table16[[#This Row],[price]]*Table16[[#This Row],[quantity]]</f>
        <v>650.55999999999995</v>
      </c>
    </row>
    <row r="8868" spans="1:9" x14ac:dyDescent="0.3">
      <c r="A8868" t="s">
        <v>10885</v>
      </c>
      <c r="B8868" t="s">
        <v>1771</v>
      </c>
      <c r="C8868" t="s">
        <v>2008</v>
      </c>
      <c r="D8868">
        <v>5</v>
      </c>
      <c r="E8868" s="16">
        <v>26.15</v>
      </c>
      <c r="F8868" s="1">
        <v>44307</v>
      </c>
      <c r="G8868" t="s">
        <v>2009</v>
      </c>
      <c r="H8868">
        <v>1</v>
      </c>
      <c r="I8868" s="12">
        <f>Table16[[#This Row],[price]]*Table16[[#This Row],[quantity]]</f>
        <v>130.75</v>
      </c>
    </row>
    <row r="8869" spans="1:9" x14ac:dyDescent="0.3">
      <c r="A8869" t="s">
        <v>10884</v>
      </c>
      <c r="B8869" t="s">
        <v>1771</v>
      </c>
      <c r="C8869" t="s">
        <v>2011</v>
      </c>
      <c r="D8869">
        <v>1</v>
      </c>
      <c r="E8869" s="16">
        <v>40.659999999999997</v>
      </c>
      <c r="F8869" s="1">
        <v>44656</v>
      </c>
      <c r="G8869" t="s">
        <v>2012</v>
      </c>
      <c r="H8869">
        <v>1</v>
      </c>
      <c r="I8869" s="12">
        <f>Table16[[#This Row],[price]]*Table16[[#This Row],[quantity]]</f>
        <v>40.659999999999997</v>
      </c>
    </row>
    <row r="8870" spans="1:9" x14ac:dyDescent="0.3">
      <c r="A8870" t="s">
        <v>10886</v>
      </c>
      <c r="B8870" t="s">
        <v>1771</v>
      </c>
      <c r="C8870" t="s">
        <v>2008</v>
      </c>
      <c r="D8870">
        <v>5</v>
      </c>
      <c r="E8870" s="16">
        <v>26.15</v>
      </c>
      <c r="F8870" s="1">
        <v>44767</v>
      </c>
      <c r="G8870" t="s">
        <v>2004</v>
      </c>
      <c r="H8870">
        <v>1</v>
      </c>
      <c r="I8870" s="12">
        <f>Table16[[#This Row],[price]]*Table16[[#This Row],[quantity]]</f>
        <v>130.75</v>
      </c>
    </row>
    <row r="8871" spans="1:9" x14ac:dyDescent="0.3">
      <c r="A8871" t="s">
        <v>10887</v>
      </c>
      <c r="B8871" t="s">
        <v>1771</v>
      </c>
      <c r="C8871" t="s">
        <v>2017</v>
      </c>
      <c r="D8871">
        <v>3</v>
      </c>
      <c r="E8871" s="16">
        <v>3150</v>
      </c>
      <c r="F8871" s="1">
        <v>44857</v>
      </c>
      <c r="G8871" t="s">
        <v>2020</v>
      </c>
      <c r="H8871">
        <v>5</v>
      </c>
      <c r="I8871" s="12">
        <f>Table16[[#This Row],[price]]*Table16[[#This Row],[quantity]]</f>
        <v>9450</v>
      </c>
    </row>
    <row r="8872" spans="1:9" x14ac:dyDescent="0.3">
      <c r="A8872" t="s">
        <v>10891</v>
      </c>
      <c r="B8872" t="s">
        <v>1772</v>
      </c>
      <c r="C8872" t="s">
        <v>2011</v>
      </c>
      <c r="D8872">
        <v>1</v>
      </c>
      <c r="E8872" s="16">
        <v>40.659999999999997</v>
      </c>
      <c r="F8872" s="1">
        <v>44360</v>
      </c>
      <c r="G8872" t="s">
        <v>2041</v>
      </c>
      <c r="H8872">
        <v>2</v>
      </c>
      <c r="I8872" s="12">
        <f>Table16[[#This Row],[price]]*Table16[[#This Row],[quantity]]</f>
        <v>40.659999999999997</v>
      </c>
    </row>
    <row r="8873" spans="1:9" x14ac:dyDescent="0.3">
      <c r="A8873" t="s">
        <v>10888</v>
      </c>
      <c r="B8873" t="s">
        <v>1772</v>
      </c>
      <c r="C8873" t="s">
        <v>2057</v>
      </c>
      <c r="D8873">
        <v>1</v>
      </c>
      <c r="E8873" s="16">
        <v>11.73</v>
      </c>
      <c r="F8873" s="1">
        <v>44377</v>
      </c>
      <c r="G8873" t="s">
        <v>2004</v>
      </c>
      <c r="H8873">
        <v>4</v>
      </c>
      <c r="I8873" s="12">
        <f>Table16[[#This Row],[price]]*Table16[[#This Row],[quantity]]</f>
        <v>11.73</v>
      </c>
    </row>
    <row r="8874" spans="1:9" x14ac:dyDescent="0.3">
      <c r="A8874" t="s">
        <v>10890</v>
      </c>
      <c r="B8874" t="s">
        <v>1772</v>
      </c>
      <c r="C8874" t="s">
        <v>2006</v>
      </c>
      <c r="D8874">
        <v>3</v>
      </c>
      <c r="E8874" s="16">
        <v>45.45</v>
      </c>
      <c r="F8874" s="1">
        <v>44539</v>
      </c>
      <c r="G8874" t="s">
        <v>2004</v>
      </c>
      <c r="H8874">
        <v>2</v>
      </c>
      <c r="I8874" s="12">
        <f>Table16[[#This Row],[price]]*Table16[[#This Row],[quantity]]</f>
        <v>136.35000000000002</v>
      </c>
    </row>
    <row r="8875" spans="1:9" x14ac:dyDescent="0.3">
      <c r="A8875" t="s">
        <v>10889</v>
      </c>
      <c r="B8875" t="s">
        <v>1772</v>
      </c>
      <c r="C8875" t="s">
        <v>2001</v>
      </c>
      <c r="D8875">
        <v>2</v>
      </c>
      <c r="E8875" s="16">
        <v>600.16</v>
      </c>
      <c r="F8875" s="1">
        <v>44604</v>
      </c>
      <c r="G8875" t="s">
        <v>2020</v>
      </c>
      <c r="H8875">
        <v>2</v>
      </c>
      <c r="I8875" s="12">
        <f>Table16[[#This Row],[price]]*Table16[[#This Row],[quantity]]</f>
        <v>1200.32</v>
      </c>
    </row>
    <row r="8876" spans="1:9" x14ac:dyDescent="0.3">
      <c r="A8876" t="s">
        <v>10893</v>
      </c>
      <c r="B8876" t="s">
        <v>1773</v>
      </c>
      <c r="C8876" t="s">
        <v>2011</v>
      </c>
      <c r="D8876">
        <v>4</v>
      </c>
      <c r="E8876" s="16">
        <v>162.63999999999999</v>
      </c>
      <c r="F8876" s="1">
        <v>44308</v>
      </c>
      <c r="G8876" t="s">
        <v>2004</v>
      </c>
      <c r="H8876">
        <v>1</v>
      </c>
      <c r="I8876" s="12">
        <f>Table16[[#This Row],[price]]*Table16[[#This Row],[quantity]]</f>
        <v>650.55999999999995</v>
      </c>
    </row>
    <row r="8877" spans="1:9" x14ac:dyDescent="0.3">
      <c r="A8877" t="s">
        <v>10895</v>
      </c>
      <c r="B8877" t="s">
        <v>1773</v>
      </c>
      <c r="C8877" t="s">
        <v>2011</v>
      </c>
      <c r="D8877">
        <v>3</v>
      </c>
      <c r="E8877" s="16">
        <v>121.98</v>
      </c>
      <c r="F8877" s="1">
        <v>44331</v>
      </c>
      <c r="G8877" t="s">
        <v>2041</v>
      </c>
      <c r="H8877">
        <v>3</v>
      </c>
      <c r="I8877" s="12">
        <f>Table16[[#This Row],[price]]*Table16[[#This Row],[quantity]]</f>
        <v>365.94</v>
      </c>
    </row>
    <row r="8878" spans="1:9" x14ac:dyDescent="0.3">
      <c r="A8878" t="s">
        <v>10896</v>
      </c>
      <c r="B8878" t="s">
        <v>1773</v>
      </c>
      <c r="C8878" t="s">
        <v>2024</v>
      </c>
      <c r="D8878">
        <v>2</v>
      </c>
      <c r="E8878" s="16">
        <v>71.680000000000007</v>
      </c>
      <c r="F8878" s="1">
        <v>44547</v>
      </c>
      <c r="G8878" t="s">
        <v>2004</v>
      </c>
      <c r="H8878">
        <v>2</v>
      </c>
      <c r="I8878" s="12">
        <f>Table16[[#This Row],[price]]*Table16[[#This Row],[quantity]]</f>
        <v>143.36000000000001</v>
      </c>
    </row>
    <row r="8879" spans="1:9" x14ac:dyDescent="0.3">
      <c r="A8879" t="s">
        <v>10894</v>
      </c>
      <c r="B8879" t="s">
        <v>1773</v>
      </c>
      <c r="C8879" t="s">
        <v>2001</v>
      </c>
      <c r="D8879">
        <v>2</v>
      </c>
      <c r="E8879" s="16">
        <v>600.16</v>
      </c>
      <c r="F8879" s="1">
        <v>44600</v>
      </c>
      <c r="G8879" t="s">
        <v>2027</v>
      </c>
      <c r="H8879">
        <v>1</v>
      </c>
      <c r="I8879" s="12">
        <f>Table16[[#This Row],[price]]*Table16[[#This Row],[quantity]]</f>
        <v>1200.32</v>
      </c>
    </row>
    <row r="8880" spans="1:9" x14ac:dyDescent="0.3">
      <c r="A8880" t="s">
        <v>10892</v>
      </c>
      <c r="B8880" t="s">
        <v>1773</v>
      </c>
      <c r="C8880" t="s">
        <v>2001</v>
      </c>
      <c r="D8880">
        <v>5</v>
      </c>
      <c r="E8880" s="16">
        <v>1500.4</v>
      </c>
      <c r="F8880" s="1">
        <v>44742</v>
      </c>
      <c r="G8880" t="s">
        <v>2004</v>
      </c>
      <c r="H8880">
        <v>2</v>
      </c>
      <c r="I8880" s="12">
        <f>Table16[[#This Row],[price]]*Table16[[#This Row],[quantity]]</f>
        <v>7502</v>
      </c>
    </row>
    <row r="8881" spans="1:9" x14ac:dyDescent="0.3">
      <c r="A8881" t="s">
        <v>10897</v>
      </c>
      <c r="B8881" t="s">
        <v>1773</v>
      </c>
      <c r="C8881" t="s">
        <v>2008</v>
      </c>
      <c r="D8881">
        <v>1</v>
      </c>
      <c r="E8881" s="16">
        <v>5.23</v>
      </c>
      <c r="F8881" s="1">
        <v>44866</v>
      </c>
      <c r="G8881" t="s">
        <v>2041</v>
      </c>
      <c r="H8881">
        <v>4</v>
      </c>
      <c r="I8881" s="12">
        <f>Table16[[#This Row],[price]]*Table16[[#This Row],[quantity]]</f>
        <v>5.23</v>
      </c>
    </row>
    <row r="8882" spans="1:9" x14ac:dyDescent="0.3">
      <c r="A8882" t="s">
        <v>10899</v>
      </c>
      <c r="B8882" t="s">
        <v>1774</v>
      </c>
      <c r="C8882" t="s">
        <v>2001</v>
      </c>
      <c r="D8882">
        <v>1</v>
      </c>
      <c r="E8882" s="16">
        <v>300.08</v>
      </c>
      <c r="F8882" s="1">
        <v>44263</v>
      </c>
      <c r="G8882" t="s">
        <v>2041</v>
      </c>
      <c r="H8882">
        <v>1</v>
      </c>
      <c r="I8882" s="12">
        <f>Table16[[#This Row],[price]]*Table16[[#This Row],[quantity]]</f>
        <v>300.08</v>
      </c>
    </row>
    <row r="8883" spans="1:9" x14ac:dyDescent="0.3">
      <c r="A8883" t="s">
        <v>10898</v>
      </c>
      <c r="B8883" t="s">
        <v>1774</v>
      </c>
      <c r="C8883" t="s">
        <v>2024</v>
      </c>
      <c r="D8883">
        <v>5</v>
      </c>
      <c r="E8883" s="16">
        <v>179.2</v>
      </c>
      <c r="F8883" s="1">
        <v>44305</v>
      </c>
      <c r="G8883" t="s">
        <v>2027</v>
      </c>
      <c r="H8883">
        <v>2</v>
      </c>
      <c r="I8883" s="12">
        <f>Table16[[#This Row],[price]]*Table16[[#This Row],[quantity]]</f>
        <v>896</v>
      </c>
    </row>
    <row r="8884" spans="1:9" x14ac:dyDescent="0.3">
      <c r="A8884" t="s">
        <v>10901</v>
      </c>
      <c r="B8884" t="s">
        <v>1774</v>
      </c>
      <c r="C8884" t="s">
        <v>2001</v>
      </c>
      <c r="D8884">
        <v>2</v>
      </c>
      <c r="E8884" s="16">
        <v>600.16</v>
      </c>
      <c r="F8884" s="1">
        <v>44581</v>
      </c>
      <c r="G8884" t="s">
        <v>2027</v>
      </c>
      <c r="H8884">
        <v>5</v>
      </c>
      <c r="I8884" s="12">
        <f>Table16[[#This Row],[price]]*Table16[[#This Row],[quantity]]</f>
        <v>1200.32</v>
      </c>
    </row>
    <row r="8885" spans="1:9" x14ac:dyDescent="0.3">
      <c r="A8885" t="s">
        <v>10900</v>
      </c>
      <c r="B8885" t="s">
        <v>1774</v>
      </c>
      <c r="C8885" t="s">
        <v>2008</v>
      </c>
      <c r="D8885">
        <v>4</v>
      </c>
      <c r="E8885" s="16">
        <v>20.92</v>
      </c>
      <c r="F8885" s="1">
        <v>44817</v>
      </c>
      <c r="G8885" t="s">
        <v>2004</v>
      </c>
      <c r="H8885">
        <v>5</v>
      </c>
      <c r="I8885" s="12">
        <f>Table16[[#This Row],[price]]*Table16[[#This Row],[quantity]]</f>
        <v>83.68</v>
      </c>
    </row>
    <row r="8886" spans="1:9" x14ac:dyDescent="0.3">
      <c r="A8886" t="s">
        <v>10902</v>
      </c>
      <c r="B8886" t="s">
        <v>1775</v>
      </c>
      <c r="C8886" t="s">
        <v>2001</v>
      </c>
      <c r="D8886">
        <v>4</v>
      </c>
      <c r="E8886" s="16">
        <v>1200.32</v>
      </c>
      <c r="F8886" s="1">
        <v>44259</v>
      </c>
      <c r="G8886" t="s">
        <v>2064</v>
      </c>
      <c r="H8886">
        <v>2</v>
      </c>
      <c r="I8886" s="12">
        <f>Table16[[#This Row],[price]]*Table16[[#This Row],[quantity]]</f>
        <v>4801.28</v>
      </c>
    </row>
    <row r="8887" spans="1:9" x14ac:dyDescent="0.3">
      <c r="A8887" t="s">
        <v>10904</v>
      </c>
      <c r="B8887" t="s">
        <v>1775</v>
      </c>
      <c r="C8887" t="s">
        <v>2024</v>
      </c>
      <c r="D8887">
        <v>4</v>
      </c>
      <c r="E8887" s="16">
        <v>143.36000000000001</v>
      </c>
      <c r="F8887" s="1">
        <v>44261</v>
      </c>
      <c r="G8887" t="s">
        <v>2020</v>
      </c>
      <c r="H8887">
        <v>2</v>
      </c>
      <c r="I8887" s="12">
        <f>Table16[[#This Row],[price]]*Table16[[#This Row],[quantity]]</f>
        <v>573.44000000000005</v>
      </c>
    </row>
    <row r="8888" spans="1:9" x14ac:dyDescent="0.3">
      <c r="A8888" t="s">
        <v>10905</v>
      </c>
      <c r="B8888" t="s">
        <v>1775</v>
      </c>
      <c r="C8888" t="s">
        <v>2001</v>
      </c>
      <c r="D8888">
        <v>5</v>
      </c>
      <c r="E8888" s="16">
        <v>1500.4</v>
      </c>
      <c r="F8888" s="1">
        <v>44382</v>
      </c>
      <c r="G8888" t="s">
        <v>2012</v>
      </c>
      <c r="H8888">
        <v>5</v>
      </c>
      <c r="I8888" s="12">
        <f>Table16[[#This Row],[price]]*Table16[[#This Row],[quantity]]</f>
        <v>7502</v>
      </c>
    </row>
    <row r="8889" spans="1:9" x14ac:dyDescent="0.3">
      <c r="A8889" t="s">
        <v>10903</v>
      </c>
      <c r="B8889" t="s">
        <v>1775</v>
      </c>
      <c r="C8889" t="s">
        <v>2017</v>
      </c>
      <c r="D8889">
        <v>5</v>
      </c>
      <c r="E8889" s="16">
        <v>5250</v>
      </c>
      <c r="F8889" s="1">
        <v>44523</v>
      </c>
      <c r="G8889" t="s">
        <v>2027</v>
      </c>
      <c r="H8889">
        <v>4</v>
      </c>
      <c r="I8889" s="12">
        <f>Table16[[#This Row],[price]]*Table16[[#This Row],[quantity]]</f>
        <v>26250</v>
      </c>
    </row>
    <row r="8890" spans="1:9" x14ac:dyDescent="0.3">
      <c r="A8890" t="s">
        <v>10906</v>
      </c>
      <c r="B8890" t="s">
        <v>1775</v>
      </c>
      <c r="C8890" t="s">
        <v>2011</v>
      </c>
      <c r="D8890">
        <v>4</v>
      </c>
      <c r="E8890" s="16">
        <v>162.63999999999999</v>
      </c>
      <c r="F8890" s="1">
        <v>44907</v>
      </c>
      <c r="G8890" t="s">
        <v>2020</v>
      </c>
      <c r="H8890">
        <v>2</v>
      </c>
      <c r="I8890" s="12">
        <f>Table16[[#This Row],[price]]*Table16[[#This Row],[quantity]]</f>
        <v>650.55999999999995</v>
      </c>
    </row>
    <row r="8891" spans="1:9" x14ac:dyDescent="0.3">
      <c r="A8891" t="s">
        <v>10910</v>
      </c>
      <c r="B8891" t="s">
        <v>1776</v>
      </c>
      <c r="C8891" t="s">
        <v>2001</v>
      </c>
      <c r="D8891">
        <v>4</v>
      </c>
      <c r="E8891" s="16">
        <v>1200.32</v>
      </c>
      <c r="F8891" s="1">
        <v>44282</v>
      </c>
      <c r="G8891" t="s">
        <v>2002</v>
      </c>
      <c r="H8891">
        <v>2</v>
      </c>
      <c r="I8891" s="12">
        <f>Table16[[#This Row],[price]]*Table16[[#This Row],[quantity]]</f>
        <v>4801.28</v>
      </c>
    </row>
    <row r="8892" spans="1:9" x14ac:dyDescent="0.3">
      <c r="A8892" t="s">
        <v>10909</v>
      </c>
      <c r="B8892" t="s">
        <v>1776</v>
      </c>
      <c r="C8892" t="s">
        <v>2001</v>
      </c>
      <c r="D8892">
        <v>3</v>
      </c>
      <c r="E8892" s="16">
        <v>900.24</v>
      </c>
      <c r="F8892" s="1">
        <v>44518</v>
      </c>
      <c r="G8892" t="s">
        <v>2002</v>
      </c>
      <c r="H8892">
        <v>2</v>
      </c>
      <c r="I8892" s="12">
        <f>Table16[[#This Row],[price]]*Table16[[#This Row],[quantity]]</f>
        <v>2700.7200000000003</v>
      </c>
    </row>
    <row r="8893" spans="1:9" x14ac:dyDescent="0.3">
      <c r="A8893" t="s">
        <v>10907</v>
      </c>
      <c r="B8893" t="s">
        <v>1776</v>
      </c>
      <c r="C8893" t="s">
        <v>2015</v>
      </c>
      <c r="D8893">
        <v>4</v>
      </c>
      <c r="E8893" s="16">
        <v>2400.6799999999998</v>
      </c>
      <c r="F8893" s="1">
        <v>44738</v>
      </c>
      <c r="G8893" t="s">
        <v>2018</v>
      </c>
      <c r="H8893">
        <v>2</v>
      </c>
      <c r="I8893" s="12">
        <f>Table16[[#This Row],[price]]*Table16[[#This Row],[quantity]]</f>
        <v>9602.7199999999993</v>
      </c>
    </row>
    <row r="8894" spans="1:9" x14ac:dyDescent="0.3">
      <c r="A8894" t="s">
        <v>10911</v>
      </c>
      <c r="B8894" t="s">
        <v>1776</v>
      </c>
      <c r="C8894" t="s">
        <v>2008</v>
      </c>
      <c r="D8894">
        <v>2</v>
      </c>
      <c r="E8894" s="16">
        <v>10.46</v>
      </c>
      <c r="F8894" s="1">
        <v>44741</v>
      </c>
      <c r="G8894" t="s">
        <v>2027</v>
      </c>
      <c r="H8894">
        <v>2</v>
      </c>
      <c r="I8894" s="12">
        <f>Table16[[#This Row],[price]]*Table16[[#This Row],[quantity]]</f>
        <v>20.92</v>
      </c>
    </row>
    <row r="8895" spans="1:9" x14ac:dyDescent="0.3">
      <c r="A8895" t="s">
        <v>10908</v>
      </c>
      <c r="B8895" t="s">
        <v>1776</v>
      </c>
      <c r="C8895" t="s">
        <v>2001</v>
      </c>
      <c r="D8895">
        <v>5</v>
      </c>
      <c r="E8895" s="16">
        <v>1500.4</v>
      </c>
      <c r="F8895" s="1">
        <v>44868</v>
      </c>
      <c r="G8895" t="s">
        <v>2041</v>
      </c>
      <c r="H8895">
        <v>1</v>
      </c>
      <c r="I8895" s="12">
        <f>Table16[[#This Row],[price]]*Table16[[#This Row],[quantity]]</f>
        <v>7502</v>
      </c>
    </row>
    <row r="8896" spans="1:9" x14ac:dyDescent="0.3">
      <c r="A8896" t="s">
        <v>10912</v>
      </c>
      <c r="B8896" t="s">
        <v>1777</v>
      </c>
      <c r="C8896" t="s">
        <v>2001</v>
      </c>
      <c r="D8896">
        <v>1</v>
      </c>
      <c r="E8896" s="16">
        <v>300.08</v>
      </c>
      <c r="F8896" s="1">
        <v>44618</v>
      </c>
      <c r="G8896" t="s">
        <v>2064</v>
      </c>
      <c r="H8896">
        <v>5</v>
      </c>
      <c r="I8896" s="12">
        <f>Table16[[#This Row],[price]]*Table16[[#This Row],[quantity]]</f>
        <v>300.08</v>
      </c>
    </row>
    <row r="8897" spans="1:9" x14ac:dyDescent="0.3">
      <c r="A8897" t="s">
        <v>10915</v>
      </c>
      <c r="B8897" t="s">
        <v>1777</v>
      </c>
      <c r="C8897" t="s">
        <v>2008</v>
      </c>
      <c r="D8897">
        <v>2</v>
      </c>
      <c r="E8897" s="16">
        <v>10.46</v>
      </c>
      <c r="F8897" s="1">
        <v>44801</v>
      </c>
      <c r="G8897" t="s">
        <v>2004</v>
      </c>
      <c r="H8897">
        <v>3</v>
      </c>
      <c r="I8897" s="12">
        <f>Table16[[#This Row],[price]]*Table16[[#This Row],[quantity]]</f>
        <v>20.92</v>
      </c>
    </row>
    <row r="8898" spans="1:9" x14ac:dyDescent="0.3">
      <c r="A8898" t="s">
        <v>10914</v>
      </c>
      <c r="B8898" t="s">
        <v>1777</v>
      </c>
      <c r="C8898" t="s">
        <v>2001</v>
      </c>
      <c r="D8898">
        <v>3</v>
      </c>
      <c r="E8898" s="16">
        <v>900.24</v>
      </c>
      <c r="F8898" s="1">
        <v>44846</v>
      </c>
      <c r="G8898" t="s">
        <v>2027</v>
      </c>
      <c r="H8898">
        <v>3</v>
      </c>
      <c r="I8898" s="12">
        <f>Table16[[#This Row],[price]]*Table16[[#This Row],[quantity]]</f>
        <v>2700.7200000000003</v>
      </c>
    </row>
    <row r="8899" spans="1:9" x14ac:dyDescent="0.3">
      <c r="A8899" t="s">
        <v>10916</v>
      </c>
      <c r="B8899" t="s">
        <v>1777</v>
      </c>
      <c r="C8899" t="s">
        <v>2024</v>
      </c>
      <c r="D8899">
        <v>2</v>
      </c>
      <c r="E8899" s="16">
        <v>71.680000000000007</v>
      </c>
      <c r="F8899" s="1">
        <v>44866</v>
      </c>
      <c r="G8899" t="s">
        <v>2058</v>
      </c>
      <c r="H8899">
        <v>3</v>
      </c>
      <c r="I8899" s="12">
        <f>Table16[[#This Row],[price]]*Table16[[#This Row],[quantity]]</f>
        <v>143.36000000000001</v>
      </c>
    </row>
    <row r="8900" spans="1:9" x14ac:dyDescent="0.3">
      <c r="A8900" t="s">
        <v>10913</v>
      </c>
      <c r="B8900" t="s">
        <v>1777</v>
      </c>
      <c r="C8900" t="s">
        <v>2006</v>
      </c>
      <c r="D8900">
        <v>1</v>
      </c>
      <c r="E8900" s="16">
        <v>15.15</v>
      </c>
      <c r="F8900" s="1">
        <v>44914</v>
      </c>
      <c r="G8900" t="s">
        <v>2002</v>
      </c>
      <c r="H8900">
        <v>2</v>
      </c>
      <c r="I8900" s="12">
        <f>Table16[[#This Row],[price]]*Table16[[#This Row],[quantity]]</f>
        <v>15.15</v>
      </c>
    </row>
    <row r="8901" spans="1:9" x14ac:dyDescent="0.3">
      <c r="A8901" t="s">
        <v>10924</v>
      </c>
      <c r="B8901" t="s">
        <v>1778</v>
      </c>
      <c r="C8901" t="s">
        <v>2001</v>
      </c>
      <c r="D8901">
        <v>3</v>
      </c>
      <c r="E8901" s="16">
        <v>900.24</v>
      </c>
      <c r="F8901" s="1">
        <v>44378</v>
      </c>
      <c r="G8901" t="s">
        <v>2002</v>
      </c>
      <c r="H8901">
        <v>2</v>
      </c>
      <c r="I8901" s="12">
        <f>Table16[[#This Row],[price]]*Table16[[#This Row],[quantity]]</f>
        <v>2700.7200000000003</v>
      </c>
    </row>
    <row r="8902" spans="1:9" x14ac:dyDescent="0.3">
      <c r="A8902" t="s">
        <v>10922</v>
      </c>
      <c r="B8902" t="s">
        <v>1778</v>
      </c>
      <c r="C8902" t="s">
        <v>2015</v>
      </c>
      <c r="D8902">
        <v>3</v>
      </c>
      <c r="E8902" s="16">
        <v>1800.51</v>
      </c>
      <c r="F8902" s="1">
        <v>44455</v>
      </c>
      <c r="G8902" t="s">
        <v>2027</v>
      </c>
      <c r="H8902">
        <v>5</v>
      </c>
      <c r="I8902" s="12">
        <f>Table16[[#This Row],[price]]*Table16[[#This Row],[quantity]]</f>
        <v>5401.53</v>
      </c>
    </row>
    <row r="8903" spans="1:9" x14ac:dyDescent="0.3">
      <c r="A8903" t="s">
        <v>10923</v>
      </c>
      <c r="B8903" t="s">
        <v>1778</v>
      </c>
      <c r="C8903" t="s">
        <v>2015</v>
      </c>
      <c r="D8903">
        <v>5</v>
      </c>
      <c r="E8903" s="16">
        <v>3000.85</v>
      </c>
      <c r="F8903" s="1">
        <v>44489</v>
      </c>
      <c r="G8903" t="s">
        <v>2004</v>
      </c>
      <c r="H8903">
        <v>1</v>
      </c>
      <c r="I8903" s="12">
        <f>Table16[[#This Row],[price]]*Table16[[#This Row],[quantity]]</f>
        <v>15004.25</v>
      </c>
    </row>
    <row r="8904" spans="1:9" x14ac:dyDescent="0.3">
      <c r="A8904" t="s">
        <v>10921</v>
      </c>
      <c r="B8904" t="s">
        <v>1778</v>
      </c>
      <c r="C8904" t="s">
        <v>2057</v>
      </c>
      <c r="D8904">
        <v>5</v>
      </c>
      <c r="E8904" s="16">
        <v>58.65</v>
      </c>
      <c r="F8904" s="1">
        <v>44552</v>
      </c>
      <c r="G8904" t="s">
        <v>2002</v>
      </c>
      <c r="H8904">
        <v>5</v>
      </c>
      <c r="I8904" s="12">
        <f>Table16[[#This Row],[price]]*Table16[[#This Row],[quantity]]</f>
        <v>293.25</v>
      </c>
    </row>
    <row r="8905" spans="1:9" x14ac:dyDescent="0.3">
      <c r="A8905" t="s">
        <v>10919</v>
      </c>
      <c r="B8905" t="s">
        <v>1778</v>
      </c>
      <c r="C8905" t="s">
        <v>2001</v>
      </c>
      <c r="D8905">
        <v>5</v>
      </c>
      <c r="E8905" s="16">
        <v>1500.4</v>
      </c>
      <c r="F8905" s="1">
        <v>44660</v>
      </c>
      <c r="G8905" t="s">
        <v>2058</v>
      </c>
      <c r="H8905">
        <v>4</v>
      </c>
      <c r="I8905" s="12">
        <f>Table16[[#This Row],[price]]*Table16[[#This Row],[quantity]]</f>
        <v>7502</v>
      </c>
    </row>
    <row r="8906" spans="1:9" x14ac:dyDescent="0.3">
      <c r="A8906" t="s">
        <v>10917</v>
      </c>
      <c r="B8906" t="s">
        <v>1778</v>
      </c>
      <c r="C8906" t="s">
        <v>2011</v>
      </c>
      <c r="D8906">
        <v>4</v>
      </c>
      <c r="E8906" s="16">
        <v>162.63999999999999</v>
      </c>
      <c r="F8906" s="1">
        <v>44672</v>
      </c>
      <c r="G8906" t="s">
        <v>2009</v>
      </c>
      <c r="H8906">
        <v>4</v>
      </c>
      <c r="I8906" s="12">
        <f>Table16[[#This Row],[price]]*Table16[[#This Row],[quantity]]</f>
        <v>650.55999999999995</v>
      </c>
    </row>
    <row r="8907" spans="1:9" x14ac:dyDescent="0.3">
      <c r="A8907" t="s">
        <v>10920</v>
      </c>
      <c r="B8907" t="s">
        <v>1778</v>
      </c>
      <c r="C8907" t="s">
        <v>2001</v>
      </c>
      <c r="D8907">
        <v>3</v>
      </c>
      <c r="E8907" s="16">
        <v>900.24</v>
      </c>
      <c r="F8907" s="1">
        <v>44674</v>
      </c>
      <c r="G8907" t="s">
        <v>2027</v>
      </c>
      <c r="H8907">
        <v>2</v>
      </c>
      <c r="I8907" s="12">
        <f>Table16[[#This Row],[price]]*Table16[[#This Row],[quantity]]</f>
        <v>2700.7200000000003</v>
      </c>
    </row>
    <row r="8908" spans="1:9" x14ac:dyDescent="0.3">
      <c r="A8908" t="s">
        <v>10918</v>
      </c>
      <c r="B8908" t="s">
        <v>1778</v>
      </c>
      <c r="C8908" t="s">
        <v>2024</v>
      </c>
      <c r="D8908">
        <v>4</v>
      </c>
      <c r="E8908" s="16">
        <v>143.36000000000001</v>
      </c>
      <c r="F8908" s="1">
        <v>44836</v>
      </c>
      <c r="G8908" t="s">
        <v>2004</v>
      </c>
      <c r="H8908">
        <v>1</v>
      </c>
      <c r="I8908" s="12">
        <f>Table16[[#This Row],[price]]*Table16[[#This Row],[quantity]]</f>
        <v>573.44000000000005</v>
      </c>
    </row>
    <row r="8909" spans="1:9" x14ac:dyDescent="0.3">
      <c r="A8909" t="s">
        <v>10928</v>
      </c>
      <c r="B8909" t="s">
        <v>1779</v>
      </c>
      <c r="C8909" t="s">
        <v>2001</v>
      </c>
      <c r="D8909">
        <v>1</v>
      </c>
      <c r="E8909" s="16">
        <v>300.08</v>
      </c>
      <c r="F8909" s="1">
        <v>44222</v>
      </c>
      <c r="G8909" t="s">
        <v>2041</v>
      </c>
      <c r="H8909">
        <v>1</v>
      </c>
      <c r="I8909" s="12">
        <f>Table16[[#This Row],[price]]*Table16[[#This Row],[quantity]]</f>
        <v>300.08</v>
      </c>
    </row>
    <row r="8910" spans="1:9" x14ac:dyDescent="0.3">
      <c r="A8910" t="s">
        <v>10926</v>
      </c>
      <c r="B8910" t="s">
        <v>1779</v>
      </c>
      <c r="C8910" t="s">
        <v>2024</v>
      </c>
      <c r="D8910">
        <v>3</v>
      </c>
      <c r="E8910" s="16">
        <v>107.52</v>
      </c>
      <c r="F8910" s="1">
        <v>44273</v>
      </c>
      <c r="G8910" t="s">
        <v>2064</v>
      </c>
      <c r="H8910">
        <v>2</v>
      </c>
      <c r="I8910" s="12">
        <f>Table16[[#This Row],[price]]*Table16[[#This Row],[quantity]]</f>
        <v>322.56</v>
      </c>
    </row>
    <row r="8911" spans="1:9" x14ac:dyDescent="0.3">
      <c r="A8911" t="s">
        <v>10930</v>
      </c>
      <c r="B8911" t="s">
        <v>1779</v>
      </c>
      <c r="C8911" t="s">
        <v>2008</v>
      </c>
      <c r="D8911">
        <v>5</v>
      </c>
      <c r="E8911" s="16">
        <v>26.15</v>
      </c>
      <c r="F8911" s="1">
        <v>44349</v>
      </c>
      <c r="G8911" t="s">
        <v>2027</v>
      </c>
      <c r="H8911">
        <v>5</v>
      </c>
      <c r="I8911" s="12">
        <f>Table16[[#This Row],[price]]*Table16[[#This Row],[quantity]]</f>
        <v>130.75</v>
      </c>
    </row>
    <row r="8912" spans="1:9" x14ac:dyDescent="0.3">
      <c r="A8912" t="s">
        <v>10925</v>
      </c>
      <c r="B8912" t="s">
        <v>1779</v>
      </c>
      <c r="C8912" t="s">
        <v>2015</v>
      </c>
      <c r="D8912">
        <v>3</v>
      </c>
      <c r="E8912" s="16">
        <v>1800.51</v>
      </c>
      <c r="F8912" s="1">
        <v>44361</v>
      </c>
      <c r="G8912" t="s">
        <v>2002</v>
      </c>
      <c r="H8912">
        <v>5</v>
      </c>
      <c r="I8912" s="12">
        <f>Table16[[#This Row],[price]]*Table16[[#This Row],[quantity]]</f>
        <v>5401.53</v>
      </c>
    </row>
    <row r="8913" spans="1:9" x14ac:dyDescent="0.3">
      <c r="A8913" t="s">
        <v>10929</v>
      </c>
      <c r="B8913" t="s">
        <v>1779</v>
      </c>
      <c r="C8913" t="s">
        <v>2008</v>
      </c>
      <c r="D8913">
        <v>4</v>
      </c>
      <c r="E8913" s="16">
        <v>20.92</v>
      </c>
      <c r="F8913" s="1">
        <v>44386</v>
      </c>
      <c r="G8913" t="s">
        <v>2012</v>
      </c>
      <c r="H8913">
        <v>3</v>
      </c>
      <c r="I8913" s="12">
        <f>Table16[[#This Row],[price]]*Table16[[#This Row],[quantity]]</f>
        <v>83.68</v>
      </c>
    </row>
    <row r="8914" spans="1:9" x14ac:dyDescent="0.3">
      <c r="A8914" t="s">
        <v>10927</v>
      </c>
      <c r="B8914" t="s">
        <v>1779</v>
      </c>
      <c r="C8914" t="s">
        <v>2015</v>
      </c>
      <c r="D8914">
        <v>2</v>
      </c>
      <c r="E8914" s="16">
        <v>1200.3399999999999</v>
      </c>
      <c r="F8914" s="1">
        <v>44639</v>
      </c>
      <c r="G8914" t="s">
        <v>2027</v>
      </c>
      <c r="H8914">
        <v>5</v>
      </c>
      <c r="I8914" s="12">
        <f>Table16[[#This Row],[price]]*Table16[[#This Row],[quantity]]</f>
        <v>2400.6799999999998</v>
      </c>
    </row>
    <row r="8915" spans="1:9" x14ac:dyDescent="0.3">
      <c r="A8915" t="s">
        <v>10931</v>
      </c>
      <c r="B8915" t="s">
        <v>1779</v>
      </c>
      <c r="C8915" t="s">
        <v>2017</v>
      </c>
      <c r="D8915">
        <v>3</v>
      </c>
      <c r="E8915" s="16">
        <v>3150</v>
      </c>
      <c r="F8915" s="1">
        <v>44836</v>
      </c>
      <c r="G8915" t="s">
        <v>2004</v>
      </c>
      <c r="H8915">
        <v>5</v>
      </c>
      <c r="I8915" s="12">
        <f>Table16[[#This Row],[price]]*Table16[[#This Row],[quantity]]</f>
        <v>9450</v>
      </c>
    </row>
    <row r="8916" spans="1:9" x14ac:dyDescent="0.3">
      <c r="A8916" t="s">
        <v>10933</v>
      </c>
      <c r="B8916" t="s">
        <v>1780</v>
      </c>
      <c r="C8916" t="s">
        <v>2001</v>
      </c>
      <c r="D8916">
        <v>1</v>
      </c>
      <c r="E8916" s="16">
        <v>300.08</v>
      </c>
      <c r="F8916" s="1">
        <v>44353</v>
      </c>
      <c r="G8916" t="s">
        <v>2027</v>
      </c>
      <c r="H8916">
        <v>4</v>
      </c>
      <c r="I8916" s="12">
        <f>Table16[[#This Row],[price]]*Table16[[#This Row],[quantity]]</f>
        <v>300.08</v>
      </c>
    </row>
    <row r="8917" spans="1:9" x14ac:dyDescent="0.3">
      <c r="A8917" t="s">
        <v>10932</v>
      </c>
      <c r="B8917" t="s">
        <v>1780</v>
      </c>
      <c r="C8917" t="s">
        <v>2008</v>
      </c>
      <c r="D8917">
        <v>2</v>
      </c>
      <c r="E8917" s="16">
        <v>10.46</v>
      </c>
      <c r="F8917" s="1">
        <v>44644</v>
      </c>
      <c r="G8917" t="s">
        <v>2002</v>
      </c>
      <c r="H8917">
        <v>3</v>
      </c>
      <c r="I8917" s="12">
        <f>Table16[[#This Row],[price]]*Table16[[#This Row],[quantity]]</f>
        <v>20.92</v>
      </c>
    </row>
    <row r="8918" spans="1:9" x14ac:dyDescent="0.3">
      <c r="A8918" t="s">
        <v>10935</v>
      </c>
      <c r="B8918" t="s">
        <v>1780</v>
      </c>
      <c r="C8918" t="s">
        <v>2008</v>
      </c>
      <c r="D8918">
        <v>3</v>
      </c>
      <c r="E8918" s="16">
        <v>15.69</v>
      </c>
      <c r="F8918" s="1">
        <v>44745</v>
      </c>
      <c r="G8918" t="s">
        <v>2064</v>
      </c>
      <c r="H8918">
        <v>2</v>
      </c>
      <c r="I8918" s="12">
        <f>Table16[[#This Row],[price]]*Table16[[#This Row],[quantity]]</f>
        <v>47.07</v>
      </c>
    </row>
    <row r="8919" spans="1:9" x14ac:dyDescent="0.3">
      <c r="A8919" t="s">
        <v>10934</v>
      </c>
      <c r="B8919" t="s">
        <v>1780</v>
      </c>
      <c r="C8919" t="s">
        <v>2015</v>
      </c>
      <c r="D8919">
        <v>5</v>
      </c>
      <c r="E8919" s="16">
        <v>3000.85</v>
      </c>
      <c r="F8919" s="1">
        <v>44862</v>
      </c>
      <c r="G8919" t="s">
        <v>2004</v>
      </c>
      <c r="H8919">
        <v>1</v>
      </c>
      <c r="I8919" s="12">
        <f>Table16[[#This Row],[price]]*Table16[[#This Row],[quantity]]</f>
        <v>15004.25</v>
      </c>
    </row>
    <row r="8920" spans="1:9" x14ac:dyDescent="0.3">
      <c r="A8920" t="s">
        <v>10937</v>
      </c>
      <c r="B8920" t="s">
        <v>1781</v>
      </c>
      <c r="C8920" t="s">
        <v>2001</v>
      </c>
      <c r="D8920">
        <v>5</v>
      </c>
      <c r="E8920" s="16">
        <v>1500.4</v>
      </c>
      <c r="F8920" s="1">
        <v>44449</v>
      </c>
      <c r="G8920" t="s">
        <v>2002</v>
      </c>
      <c r="H8920">
        <v>2</v>
      </c>
      <c r="I8920" s="12">
        <f>Table16[[#This Row],[price]]*Table16[[#This Row],[quantity]]</f>
        <v>7502</v>
      </c>
    </row>
    <row r="8921" spans="1:9" x14ac:dyDescent="0.3">
      <c r="A8921" t="s">
        <v>10936</v>
      </c>
      <c r="B8921" t="s">
        <v>1781</v>
      </c>
      <c r="C8921" t="s">
        <v>2015</v>
      </c>
      <c r="D8921">
        <v>2</v>
      </c>
      <c r="E8921" s="16">
        <v>1200.3399999999999</v>
      </c>
      <c r="F8921" s="1">
        <v>44658</v>
      </c>
      <c r="G8921" t="s">
        <v>2002</v>
      </c>
      <c r="H8921">
        <v>3</v>
      </c>
      <c r="I8921" s="12">
        <f>Table16[[#This Row],[price]]*Table16[[#This Row],[quantity]]</f>
        <v>2400.6799999999998</v>
      </c>
    </row>
    <row r="8922" spans="1:9" x14ac:dyDescent="0.3">
      <c r="A8922" t="s">
        <v>10938</v>
      </c>
      <c r="B8922" t="s">
        <v>1781</v>
      </c>
      <c r="C8922" t="s">
        <v>2015</v>
      </c>
      <c r="D8922">
        <v>1</v>
      </c>
      <c r="E8922" s="16">
        <v>600.16999999999996</v>
      </c>
      <c r="F8922" s="1">
        <v>44674</v>
      </c>
      <c r="G8922" t="s">
        <v>2027</v>
      </c>
      <c r="H8922">
        <v>1</v>
      </c>
      <c r="I8922" s="12">
        <f>Table16[[#This Row],[price]]*Table16[[#This Row],[quantity]]</f>
        <v>600.16999999999996</v>
      </c>
    </row>
    <row r="8923" spans="1:9" x14ac:dyDescent="0.3">
      <c r="A8923" t="s">
        <v>10941</v>
      </c>
      <c r="B8923" t="s">
        <v>1781</v>
      </c>
      <c r="C8923" t="s">
        <v>2001</v>
      </c>
      <c r="D8923">
        <v>2</v>
      </c>
      <c r="E8923" s="16">
        <v>600.16</v>
      </c>
      <c r="F8923" s="1">
        <v>44765</v>
      </c>
      <c r="G8923" t="s">
        <v>2004</v>
      </c>
      <c r="H8923">
        <v>4</v>
      </c>
      <c r="I8923" s="12">
        <f>Table16[[#This Row],[price]]*Table16[[#This Row],[quantity]]</f>
        <v>1200.32</v>
      </c>
    </row>
    <row r="8924" spans="1:9" x14ac:dyDescent="0.3">
      <c r="A8924" t="s">
        <v>10940</v>
      </c>
      <c r="B8924" t="s">
        <v>1781</v>
      </c>
      <c r="C8924" t="s">
        <v>2011</v>
      </c>
      <c r="D8924">
        <v>1</v>
      </c>
      <c r="E8924" s="16">
        <v>40.659999999999997</v>
      </c>
      <c r="F8924" s="1">
        <v>44809</v>
      </c>
      <c r="G8924" t="s">
        <v>2020</v>
      </c>
      <c r="H8924">
        <v>3</v>
      </c>
      <c r="I8924" s="12">
        <f>Table16[[#This Row],[price]]*Table16[[#This Row],[quantity]]</f>
        <v>40.659999999999997</v>
      </c>
    </row>
    <row r="8925" spans="1:9" x14ac:dyDescent="0.3">
      <c r="A8925" t="s">
        <v>10939</v>
      </c>
      <c r="B8925" t="s">
        <v>1781</v>
      </c>
      <c r="C8925" t="s">
        <v>2017</v>
      </c>
      <c r="D8925">
        <v>5</v>
      </c>
      <c r="E8925" s="16">
        <v>5250</v>
      </c>
      <c r="F8925" s="1">
        <v>44955</v>
      </c>
      <c r="G8925" t="s">
        <v>2027</v>
      </c>
      <c r="H8925">
        <v>4</v>
      </c>
      <c r="I8925" s="12">
        <f>Table16[[#This Row],[price]]*Table16[[#This Row],[quantity]]</f>
        <v>26250</v>
      </c>
    </row>
    <row r="8926" spans="1:9" x14ac:dyDescent="0.3">
      <c r="A8926" t="s">
        <v>10943</v>
      </c>
      <c r="B8926" t="s">
        <v>1782</v>
      </c>
      <c r="C8926" t="s">
        <v>2017</v>
      </c>
      <c r="D8926">
        <v>5</v>
      </c>
      <c r="E8926" s="16">
        <v>5250</v>
      </c>
      <c r="F8926" s="1">
        <v>44510</v>
      </c>
      <c r="G8926" t="s">
        <v>2018</v>
      </c>
      <c r="H8926">
        <v>3</v>
      </c>
      <c r="I8926" s="12">
        <f>Table16[[#This Row],[price]]*Table16[[#This Row],[quantity]]</f>
        <v>26250</v>
      </c>
    </row>
    <row r="8927" spans="1:9" x14ac:dyDescent="0.3">
      <c r="A8927" t="s">
        <v>10946</v>
      </c>
      <c r="B8927" t="s">
        <v>1782</v>
      </c>
      <c r="C8927" t="s">
        <v>2057</v>
      </c>
      <c r="D8927">
        <v>1</v>
      </c>
      <c r="E8927" s="16">
        <v>11.73</v>
      </c>
      <c r="F8927" s="1">
        <v>44524</v>
      </c>
      <c r="G8927" t="s">
        <v>2002</v>
      </c>
      <c r="H8927">
        <v>2</v>
      </c>
      <c r="I8927" s="12">
        <f>Table16[[#This Row],[price]]*Table16[[#This Row],[quantity]]</f>
        <v>11.73</v>
      </c>
    </row>
    <row r="8928" spans="1:9" x14ac:dyDescent="0.3">
      <c r="A8928" t="s">
        <v>10944</v>
      </c>
      <c r="B8928" t="s">
        <v>1782</v>
      </c>
      <c r="C8928" t="s">
        <v>2011</v>
      </c>
      <c r="D8928">
        <v>3</v>
      </c>
      <c r="E8928" s="16">
        <v>121.98</v>
      </c>
      <c r="F8928" s="1">
        <v>44881</v>
      </c>
      <c r="G8928" t="s">
        <v>2027</v>
      </c>
      <c r="H8928">
        <v>3</v>
      </c>
      <c r="I8928" s="12">
        <f>Table16[[#This Row],[price]]*Table16[[#This Row],[quantity]]</f>
        <v>365.94</v>
      </c>
    </row>
    <row r="8929" spans="1:9" x14ac:dyDescent="0.3">
      <c r="A8929" t="s">
        <v>10942</v>
      </c>
      <c r="B8929" t="s">
        <v>1782</v>
      </c>
      <c r="C8929" t="s">
        <v>2015</v>
      </c>
      <c r="D8929">
        <v>3</v>
      </c>
      <c r="E8929" s="16">
        <v>1800.51</v>
      </c>
      <c r="F8929" s="1">
        <v>44955</v>
      </c>
      <c r="G8929" t="s">
        <v>2002</v>
      </c>
      <c r="H8929">
        <v>3</v>
      </c>
      <c r="I8929" s="12">
        <f>Table16[[#This Row],[price]]*Table16[[#This Row],[quantity]]</f>
        <v>5401.53</v>
      </c>
    </row>
    <row r="8930" spans="1:9" x14ac:dyDescent="0.3">
      <c r="A8930" t="s">
        <v>10945</v>
      </c>
      <c r="B8930" t="s">
        <v>1782</v>
      </c>
      <c r="C8930" t="s">
        <v>2011</v>
      </c>
      <c r="D8930">
        <v>2</v>
      </c>
      <c r="E8930" s="16">
        <v>81.319999999999993</v>
      </c>
      <c r="F8930" s="1">
        <v>44993</v>
      </c>
      <c r="G8930" t="s">
        <v>2020</v>
      </c>
      <c r="H8930">
        <v>2</v>
      </c>
      <c r="I8930" s="12">
        <f>Table16[[#This Row],[price]]*Table16[[#This Row],[quantity]]</f>
        <v>162.63999999999999</v>
      </c>
    </row>
    <row r="8931" spans="1:9" x14ac:dyDescent="0.3">
      <c r="A8931" t="s">
        <v>10953</v>
      </c>
      <c r="B8931" t="s">
        <v>1783</v>
      </c>
      <c r="C8931" t="s">
        <v>2008</v>
      </c>
      <c r="D8931">
        <v>4</v>
      </c>
      <c r="E8931" s="16">
        <v>20.92</v>
      </c>
      <c r="F8931" s="1">
        <v>44373</v>
      </c>
      <c r="G8931" t="s">
        <v>2020</v>
      </c>
      <c r="H8931">
        <v>5</v>
      </c>
      <c r="I8931" s="12">
        <f>Table16[[#This Row],[price]]*Table16[[#This Row],[quantity]]</f>
        <v>83.68</v>
      </c>
    </row>
    <row r="8932" spans="1:9" x14ac:dyDescent="0.3">
      <c r="A8932" t="s">
        <v>10947</v>
      </c>
      <c r="B8932" t="s">
        <v>1783</v>
      </c>
      <c r="C8932" t="s">
        <v>2017</v>
      </c>
      <c r="D8932">
        <v>5</v>
      </c>
      <c r="E8932" s="16">
        <v>5250</v>
      </c>
      <c r="F8932" s="1">
        <v>44381</v>
      </c>
      <c r="G8932" t="s">
        <v>2009</v>
      </c>
      <c r="H8932">
        <v>1</v>
      </c>
      <c r="I8932" s="12">
        <f>Table16[[#This Row],[price]]*Table16[[#This Row],[quantity]]</f>
        <v>26250</v>
      </c>
    </row>
    <row r="8933" spans="1:9" x14ac:dyDescent="0.3">
      <c r="A8933" t="s">
        <v>10948</v>
      </c>
      <c r="B8933" t="s">
        <v>1783</v>
      </c>
      <c r="C8933" t="s">
        <v>2001</v>
      </c>
      <c r="D8933">
        <v>2</v>
      </c>
      <c r="E8933" s="16">
        <v>600.16</v>
      </c>
      <c r="F8933" s="1">
        <v>44612</v>
      </c>
      <c r="G8933" t="s">
        <v>2064</v>
      </c>
      <c r="H8933">
        <v>3</v>
      </c>
      <c r="I8933" s="12">
        <f>Table16[[#This Row],[price]]*Table16[[#This Row],[quantity]]</f>
        <v>1200.32</v>
      </c>
    </row>
    <row r="8934" spans="1:9" x14ac:dyDescent="0.3">
      <c r="A8934" t="s">
        <v>10952</v>
      </c>
      <c r="B8934" t="s">
        <v>1783</v>
      </c>
      <c r="C8934" t="s">
        <v>2057</v>
      </c>
      <c r="D8934">
        <v>5</v>
      </c>
      <c r="E8934" s="16">
        <v>58.65</v>
      </c>
      <c r="F8934" s="1">
        <v>44625</v>
      </c>
      <c r="G8934" t="s">
        <v>2012</v>
      </c>
      <c r="H8934">
        <v>2</v>
      </c>
      <c r="I8934" s="12">
        <f>Table16[[#This Row],[price]]*Table16[[#This Row],[quantity]]</f>
        <v>293.25</v>
      </c>
    </row>
    <row r="8935" spans="1:9" x14ac:dyDescent="0.3">
      <c r="A8935" t="s">
        <v>10951</v>
      </c>
      <c r="B8935" t="s">
        <v>1783</v>
      </c>
      <c r="C8935" t="s">
        <v>2017</v>
      </c>
      <c r="D8935">
        <v>4</v>
      </c>
      <c r="E8935" s="16">
        <v>4200</v>
      </c>
      <c r="F8935" s="1">
        <v>44861</v>
      </c>
      <c r="G8935" t="s">
        <v>2020</v>
      </c>
      <c r="H8935">
        <v>5</v>
      </c>
      <c r="I8935" s="12">
        <f>Table16[[#This Row],[price]]*Table16[[#This Row],[quantity]]</f>
        <v>16800</v>
      </c>
    </row>
    <row r="8936" spans="1:9" x14ac:dyDescent="0.3">
      <c r="A8936" t="s">
        <v>10949</v>
      </c>
      <c r="B8936" t="s">
        <v>1783</v>
      </c>
      <c r="C8936" t="s">
        <v>2015</v>
      </c>
      <c r="D8936">
        <v>3</v>
      </c>
      <c r="E8936" s="16">
        <v>1800.51</v>
      </c>
      <c r="F8936" s="1">
        <v>44876</v>
      </c>
      <c r="G8936" t="s">
        <v>2020</v>
      </c>
      <c r="H8936">
        <v>1</v>
      </c>
      <c r="I8936" s="12">
        <f>Table16[[#This Row],[price]]*Table16[[#This Row],[quantity]]</f>
        <v>5401.53</v>
      </c>
    </row>
    <row r="8937" spans="1:9" x14ac:dyDescent="0.3">
      <c r="A8937" t="s">
        <v>10950</v>
      </c>
      <c r="B8937" t="s">
        <v>1783</v>
      </c>
      <c r="C8937" t="s">
        <v>2008</v>
      </c>
      <c r="D8937">
        <v>5</v>
      </c>
      <c r="E8937" s="16">
        <v>26.15</v>
      </c>
      <c r="F8937" s="1">
        <v>44897</v>
      </c>
      <c r="G8937" t="s">
        <v>2004</v>
      </c>
      <c r="H8937">
        <v>5</v>
      </c>
      <c r="I8937" s="12">
        <f>Table16[[#This Row],[price]]*Table16[[#This Row],[quantity]]</f>
        <v>130.75</v>
      </c>
    </row>
    <row r="8938" spans="1:9" x14ac:dyDescent="0.3">
      <c r="A8938" t="s">
        <v>10957</v>
      </c>
      <c r="B8938" t="s">
        <v>1784</v>
      </c>
      <c r="C8938" t="s">
        <v>2015</v>
      </c>
      <c r="D8938">
        <v>1</v>
      </c>
      <c r="E8938" s="16">
        <v>600.16999999999996</v>
      </c>
      <c r="F8938" s="1">
        <v>44311</v>
      </c>
      <c r="G8938" t="s">
        <v>2018</v>
      </c>
      <c r="H8938">
        <v>5</v>
      </c>
      <c r="I8938" s="12">
        <f>Table16[[#This Row],[price]]*Table16[[#This Row],[quantity]]</f>
        <v>600.16999999999996</v>
      </c>
    </row>
    <row r="8939" spans="1:9" x14ac:dyDescent="0.3">
      <c r="A8939" t="s">
        <v>10956</v>
      </c>
      <c r="B8939" t="s">
        <v>1784</v>
      </c>
      <c r="C8939" t="s">
        <v>2015</v>
      </c>
      <c r="D8939">
        <v>3</v>
      </c>
      <c r="E8939" s="16">
        <v>1800.51</v>
      </c>
      <c r="F8939" s="1">
        <v>44341</v>
      </c>
      <c r="G8939" t="s">
        <v>2012</v>
      </c>
      <c r="H8939">
        <v>3</v>
      </c>
      <c r="I8939" s="12">
        <f>Table16[[#This Row],[price]]*Table16[[#This Row],[quantity]]</f>
        <v>5401.53</v>
      </c>
    </row>
    <row r="8940" spans="1:9" x14ac:dyDescent="0.3">
      <c r="A8940" t="s">
        <v>10955</v>
      </c>
      <c r="B8940" t="s">
        <v>1784</v>
      </c>
      <c r="C8940" t="s">
        <v>2001</v>
      </c>
      <c r="D8940">
        <v>5</v>
      </c>
      <c r="E8940" s="16">
        <v>1500.4</v>
      </c>
      <c r="F8940" s="1">
        <v>44378</v>
      </c>
      <c r="G8940" t="s">
        <v>2064</v>
      </c>
      <c r="H8940">
        <v>2</v>
      </c>
      <c r="I8940" s="12">
        <f>Table16[[#This Row],[price]]*Table16[[#This Row],[quantity]]</f>
        <v>7502</v>
      </c>
    </row>
    <row r="8941" spans="1:9" x14ac:dyDescent="0.3">
      <c r="A8941" t="s">
        <v>10954</v>
      </c>
      <c r="B8941" t="s">
        <v>1784</v>
      </c>
      <c r="C8941" t="s">
        <v>2015</v>
      </c>
      <c r="D8941">
        <v>3</v>
      </c>
      <c r="E8941" s="16">
        <v>1800.51</v>
      </c>
      <c r="F8941" s="1">
        <v>44926</v>
      </c>
      <c r="G8941" t="s">
        <v>2064</v>
      </c>
      <c r="H8941">
        <v>1</v>
      </c>
      <c r="I8941" s="12">
        <f>Table16[[#This Row],[price]]*Table16[[#This Row],[quantity]]</f>
        <v>5401.53</v>
      </c>
    </row>
    <row r="8942" spans="1:9" x14ac:dyDescent="0.3">
      <c r="A8942" t="s">
        <v>10961</v>
      </c>
      <c r="B8942" t="s">
        <v>1785</v>
      </c>
      <c r="C8942" t="s">
        <v>2001</v>
      </c>
      <c r="D8942">
        <v>1</v>
      </c>
      <c r="E8942" s="16">
        <v>300.08</v>
      </c>
      <c r="F8942" s="1">
        <v>44235</v>
      </c>
      <c r="G8942" t="s">
        <v>2002</v>
      </c>
      <c r="H8942">
        <v>2</v>
      </c>
      <c r="I8942" s="12">
        <f>Table16[[#This Row],[price]]*Table16[[#This Row],[quantity]]</f>
        <v>300.08</v>
      </c>
    </row>
    <row r="8943" spans="1:9" x14ac:dyDescent="0.3">
      <c r="A8943" t="s">
        <v>10958</v>
      </c>
      <c r="B8943" t="s">
        <v>1785</v>
      </c>
      <c r="C8943" t="s">
        <v>2057</v>
      </c>
      <c r="D8943">
        <v>3</v>
      </c>
      <c r="E8943" s="16">
        <v>35.19</v>
      </c>
      <c r="F8943" s="1">
        <v>44359</v>
      </c>
      <c r="G8943" t="s">
        <v>2004</v>
      </c>
      <c r="H8943">
        <v>4</v>
      </c>
      <c r="I8943" s="12">
        <f>Table16[[#This Row],[price]]*Table16[[#This Row],[quantity]]</f>
        <v>105.57</v>
      </c>
    </row>
    <row r="8944" spans="1:9" x14ac:dyDescent="0.3">
      <c r="A8944" t="s">
        <v>10959</v>
      </c>
      <c r="B8944" t="s">
        <v>1785</v>
      </c>
      <c r="C8944" t="s">
        <v>2008</v>
      </c>
      <c r="D8944">
        <v>3</v>
      </c>
      <c r="E8944" s="16">
        <v>15.69</v>
      </c>
      <c r="F8944" s="1">
        <v>44398</v>
      </c>
      <c r="G8944" t="s">
        <v>2064</v>
      </c>
      <c r="H8944">
        <v>3</v>
      </c>
      <c r="I8944" s="12">
        <f>Table16[[#This Row],[price]]*Table16[[#This Row],[quantity]]</f>
        <v>47.07</v>
      </c>
    </row>
    <row r="8945" spans="1:9" x14ac:dyDescent="0.3">
      <c r="A8945" t="s">
        <v>10960</v>
      </c>
      <c r="B8945" t="s">
        <v>1785</v>
      </c>
      <c r="C8945" t="s">
        <v>2001</v>
      </c>
      <c r="D8945">
        <v>4</v>
      </c>
      <c r="E8945" s="16">
        <v>1200.32</v>
      </c>
      <c r="F8945" s="1">
        <v>44697</v>
      </c>
      <c r="G8945" t="s">
        <v>2018</v>
      </c>
      <c r="H8945">
        <v>1</v>
      </c>
      <c r="I8945" s="12">
        <f>Table16[[#This Row],[price]]*Table16[[#This Row],[quantity]]</f>
        <v>4801.28</v>
      </c>
    </row>
    <row r="8946" spans="1:9" x14ac:dyDescent="0.3">
      <c r="A8946" t="s">
        <v>10966</v>
      </c>
      <c r="B8946" t="s">
        <v>1786</v>
      </c>
      <c r="C8946" t="s">
        <v>2001</v>
      </c>
      <c r="D8946">
        <v>1</v>
      </c>
      <c r="E8946" s="16">
        <v>300.08</v>
      </c>
      <c r="F8946" s="1">
        <v>44295</v>
      </c>
      <c r="G8946" t="s">
        <v>2004</v>
      </c>
      <c r="H8946">
        <v>3</v>
      </c>
      <c r="I8946" s="12">
        <f>Table16[[#This Row],[price]]*Table16[[#This Row],[quantity]]</f>
        <v>300.08</v>
      </c>
    </row>
    <row r="8947" spans="1:9" x14ac:dyDescent="0.3">
      <c r="A8947" t="s">
        <v>10967</v>
      </c>
      <c r="B8947" t="s">
        <v>1786</v>
      </c>
      <c r="C8947" t="s">
        <v>2057</v>
      </c>
      <c r="D8947">
        <v>3</v>
      </c>
      <c r="E8947" s="16">
        <v>35.19</v>
      </c>
      <c r="F8947" s="1">
        <v>44698</v>
      </c>
      <c r="G8947" t="s">
        <v>2002</v>
      </c>
      <c r="H8947">
        <v>2</v>
      </c>
      <c r="I8947" s="12">
        <f>Table16[[#This Row],[price]]*Table16[[#This Row],[quantity]]</f>
        <v>105.57</v>
      </c>
    </row>
    <row r="8948" spans="1:9" x14ac:dyDescent="0.3">
      <c r="A8948" t="s">
        <v>10964</v>
      </c>
      <c r="B8948" t="s">
        <v>1786</v>
      </c>
      <c r="C8948" t="s">
        <v>2001</v>
      </c>
      <c r="D8948">
        <v>5</v>
      </c>
      <c r="E8948" s="16">
        <v>1500.4</v>
      </c>
      <c r="F8948" s="1">
        <v>44806</v>
      </c>
      <c r="G8948" t="s">
        <v>2064</v>
      </c>
      <c r="H8948">
        <v>4</v>
      </c>
      <c r="I8948" s="12">
        <f>Table16[[#This Row],[price]]*Table16[[#This Row],[quantity]]</f>
        <v>7502</v>
      </c>
    </row>
    <row r="8949" spans="1:9" x14ac:dyDescent="0.3">
      <c r="A8949" t="s">
        <v>10968</v>
      </c>
      <c r="B8949" t="s">
        <v>1786</v>
      </c>
      <c r="C8949" t="s">
        <v>2006</v>
      </c>
      <c r="D8949">
        <v>4</v>
      </c>
      <c r="E8949" s="16">
        <v>60.6</v>
      </c>
      <c r="F8949" s="1">
        <v>44934</v>
      </c>
      <c r="G8949" t="s">
        <v>2020</v>
      </c>
      <c r="H8949">
        <v>3</v>
      </c>
      <c r="I8949" s="12">
        <f>Table16[[#This Row],[price]]*Table16[[#This Row],[quantity]]</f>
        <v>242.4</v>
      </c>
    </row>
    <row r="8950" spans="1:9" x14ac:dyDescent="0.3">
      <c r="A8950" t="s">
        <v>10969</v>
      </c>
      <c r="B8950" t="s">
        <v>1786</v>
      </c>
      <c r="C8950" t="s">
        <v>2001</v>
      </c>
      <c r="D8950">
        <v>1</v>
      </c>
      <c r="E8950" s="16">
        <v>300.08</v>
      </c>
      <c r="F8950" s="1">
        <v>44943</v>
      </c>
      <c r="G8950" t="s">
        <v>2012</v>
      </c>
      <c r="H8950">
        <v>3</v>
      </c>
      <c r="I8950" s="12">
        <f>Table16[[#This Row],[price]]*Table16[[#This Row],[quantity]]</f>
        <v>300.08</v>
      </c>
    </row>
    <row r="8951" spans="1:9" x14ac:dyDescent="0.3">
      <c r="A8951" t="s">
        <v>10965</v>
      </c>
      <c r="B8951" t="s">
        <v>1786</v>
      </c>
      <c r="C8951" t="s">
        <v>2001</v>
      </c>
      <c r="D8951">
        <v>2</v>
      </c>
      <c r="E8951" s="16">
        <v>600.16</v>
      </c>
      <c r="F8951" s="1">
        <v>44943</v>
      </c>
      <c r="G8951" t="s">
        <v>2002</v>
      </c>
      <c r="H8951">
        <v>4</v>
      </c>
      <c r="I8951" s="12">
        <f>Table16[[#This Row],[price]]*Table16[[#This Row],[quantity]]</f>
        <v>1200.32</v>
      </c>
    </row>
    <row r="8952" spans="1:9" x14ac:dyDescent="0.3">
      <c r="A8952" t="s">
        <v>10963</v>
      </c>
      <c r="B8952" t="s">
        <v>1786</v>
      </c>
      <c r="C8952" t="s">
        <v>2017</v>
      </c>
      <c r="D8952">
        <v>3</v>
      </c>
      <c r="E8952" s="16">
        <v>3150</v>
      </c>
      <c r="F8952" s="1">
        <v>44951</v>
      </c>
      <c r="G8952" t="s">
        <v>2027</v>
      </c>
      <c r="H8952">
        <v>4</v>
      </c>
      <c r="I8952" s="12">
        <f>Table16[[#This Row],[price]]*Table16[[#This Row],[quantity]]</f>
        <v>9450</v>
      </c>
    </row>
    <row r="8953" spans="1:9" x14ac:dyDescent="0.3">
      <c r="A8953" t="s">
        <v>10962</v>
      </c>
      <c r="B8953" t="s">
        <v>1786</v>
      </c>
      <c r="C8953" t="s">
        <v>2011</v>
      </c>
      <c r="D8953">
        <v>4</v>
      </c>
      <c r="E8953" s="16">
        <v>162.63999999999999</v>
      </c>
      <c r="F8953" s="1">
        <v>44988</v>
      </c>
      <c r="G8953" t="s">
        <v>2064</v>
      </c>
      <c r="H8953">
        <v>2</v>
      </c>
      <c r="I8953" s="12">
        <f>Table16[[#This Row],[price]]*Table16[[#This Row],[quantity]]</f>
        <v>650.55999999999995</v>
      </c>
    </row>
    <row r="8954" spans="1:9" x14ac:dyDescent="0.3">
      <c r="A8954" t="s">
        <v>10970</v>
      </c>
      <c r="B8954" t="s">
        <v>1787</v>
      </c>
      <c r="C8954" t="s">
        <v>2001</v>
      </c>
      <c r="D8954">
        <v>1</v>
      </c>
      <c r="E8954" s="16">
        <v>300.08</v>
      </c>
      <c r="F8954" s="1">
        <v>44220</v>
      </c>
      <c r="G8954" t="s">
        <v>2004</v>
      </c>
      <c r="H8954">
        <v>4</v>
      </c>
      <c r="I8954" s="12">
        <f>Table16[[#This Row],[price]]*Table16[[#This Row],[quantity]]</f>
        <v>300.08</v>
      </c>
    </row>
    <row r="8955" spans="1:9" x14ac:dyDescent="0.3">
      <c r="A8955" t="s">
        <v>10972</v>
      </c>
      <c r="B8955" t="s">
        <v>1787</v>
      </c>
      <c r="C8955" t="s">
        <v>2001</v>
      </c>
      <c r="D8955">
        <v>4</v>
      </c>
      <c r="E8955" s="16">
        <v>1200.32</v>
      </c>
      <c r="F8955" s="1">
        <v>44370</v>
      </c>
      <c r="G8955" t="s">
        <v>2004</v>
      </c>
      <c r="H8955">
        <v>2</v>
      </c>
      <c r="I8955" s="12">
        <f>Table16[[#This Row],[price]]*Table16[[#This Row],[quantity]]</f>
        <v>4801.28</v>
      </c>
    </row>
    <row r="8956" spans="1:9" x14ac:dyDescent="0.3">
      <c r="A8956" t="s">
        <v>10973</v>
      </c>
      <c r="B8956" t="s">
        <v>1787</v>
      </c>
      <c r="C8956" t="s">
        <v>2006</v>
      </c>
      <c r="D8956">
        <v>5</v>
      </c>
      <c r="E8956" s="16">
        <v>75.75</v>
      </c>
      <c r="F8956" s="1">
        <v>44404</v>
      </c>
      <c r="G8956" t="s">
        <v>2012</v>
      </c>
      <c r="H8956">
        <v>2</v>
      </c>
      <c r="I8956" s="12">
        <f>Table16[[#This Row],[price]]*Table16[[#This Row],[quantity]]</f>
        <v>378.75</v>
      </c>
    </row>
    <row r="8957" spans="1:9" x14ac:dyDescent="0.3">
      <c r="A8957" t="s">
        <v>10974</v>
      </c>
      <c r="B8957" t="s">
        <v>1787</v>
      </c>
      <c r="C8957" t="s">
        <v>2017</v>
      </c>
      <c r="D8957">
        <v>2</v>
      </c>
      <c r="E8957" s="16">
        <v>2100</v>
      </c>
      <c r="F8957" s="1">
        <v>44728</v>
      </c>
      <c r="G8957" t="s">
        <v>2002</v>
      </c>
      <c r="H8957">
        <v>4</v>
      </c>
      <c r="I8957" s="12">
        <f>Table16[[#This Row],[price]]*Table16[[#This Row],[quantity]]</f>
        <v>4200</v>
      </c>
    </row>
    <row r="8958" spans="1:9" x14ac:dyDescent="0.3">
      <c r="A8958" t="s">
        <v>10971</v>
      </c>
      <c r="B8958" t="s">
        <v>1787</v>
      </c>
      <c r="C8958" t="s">
        <v>2008</v>
      </c>
      <c r="D8958">
        <v>2</v>
      </c>
      <c r="E8958" s="16">
        <v>10.46</v>
      </c>
      <c r="F8958" s="1">
        <v>44947</v>
      </c>
      <c r="G8958" t="s">
        <v>2020</v>
      </c>
      <c r="H8958">
        <v>5</v>
      </c>
      <c r="I8958" s="12">
        <f>Table16[[#This Row],[price]]*Table16[[#This Row],[quantity]]</f>
        <v>20.92</v>
      </c>
    </row>
    <row r="8959" spans="1:9" x14ac:dyDescent="0.3">
      <c r="A8959" t="s">
        <v>10976</v>
      </c>
      <c r="B8959" t="s">
        <v>1788</v>
      </c>
      <c r="C8959" t="s">
        <v>2001</v>
      </c>
      <c r="D8959">
        <v>5</v>
      </c>
      <c r="E8959" s="16">
        <v>1500.4</v>
      </c>
      <c r="F8959" s="1">
        <v>44250</v>
      </c>
      <c r="G8959" t="s">
        <v>2004</v>
      </c>
      <c r="H8959">
        <v>3</v>
      </c>
      <c r="I8959" s="12">
        <f>Table16[[#This Row],[price]]*Table16[[#This Row],[quantity]]</f>
        <v>7502</v>
      </c>
    </row>
    <row r="8960" spans="1:9" x14ac:dyDescent="0.3">
      <c r="A8960" t="s">
        <v>10978</v>
      </c>
      <c r="B8960" t="s">
        <v>1788</v>
      </c>
      <c r="C8960" t="s">
        <v>2006</v>
      </c>
      <c r="D8960">
        <v>5</v>
      </c>
      <c r="E8960" s="16">
        <v>75.75</v>
      </c>
      <c r="F8960" s="1">
        <v>44286</v>
      </c>
      <c r="G8960" t="s">
        <v>2027</v>
      </c>
      <c r="H8960">
        <v>1</v>
      </c>
      <c r="I8960" s="12">
        <f>Table16[[#This Row],[price]]*Table16[[#This Row],[quantity]]</f>
        <v>378.75</v>
      </c>
    </row>
    <row r="8961" spans="1:9" x14ac:dyDescent="0.3">
      <c r="A8961" t="s">
        <v>10977</v>
      </c>
      <c r="B8961" t="s">
        <v>1788</v>
      </c>
      <c r="C8961" t="s">
        <v>2008</v>
      </c>
      <c r="D8961">
        <v>3</v>
      </c>
      <c r="E8961" s="16">
        <v>15.69</v>
      </c>
      <c r="F8961" s="1">
        <v>44497</v>
      </c>
      <c r="G8961" t="s">
        <v>2064</v>
      </c>
      <c r="H8961">
        <v>5</v>
      </c>
      <c r="I8961" s="12">
        <f>Table16[[#This Row],[price]]*Table16[[#This Row],[quantity]]</f>
        <v>47.07</v>
      </c>
    </row>
    <row r="8962" spans="1:9" x14ac:dyDescent="0.3">
      <c r="A8962" t="s">
        <v>10979</v>
      </c>
      <c r="B8962" t="s">
        <v>1788</v>
      </c>
      <c r="C8962" t="s">
        <v>2008</v>
      </c>
      <c r="D8962">
        <v>2</v>
      </c>
      <c r="E8962" s="16">
        <v>10.46</v>
      </c>
      <c r="F8962" s="1">
        <v>44676</v>
      </c>
      <c r="G8962" t="s">
        <v>2002</v>
      </c>
      <c r="H8962">
        <v>2</v>
      </c>
      <c r="I8962" s="12">
        <f>Table16[[#This Row],[price]]*Table16[[#This Row],[quantity]]</f>
        <v>20.92</v>
      </c>
    </row>
    <row r="8963" spans="1:9" x14ac:dyDescent="0.3">
      <c r="A8963" t="s">
        <v>10975</v>
      </c>
      <c r="B8963" t="s">
        <v>1788</v>
      </c>
      <c r="C8963" t="s">
        <v>2001</v>
      </c>
      <c r="D8963">
        <v>5</v>
      </c>
      <c r="E8963" s="16">
        <v>1500.4</v>
      </c>
      <c r="F8963" s="1">
        <v>44684</v>
      </c>
      <c r="G8963" t="s">
        <v>2020</v>
      </c>
      <c r="H8963">
        <v>2</v>
      </c>
      <c r="I8963" s="12">
        <f>Table16[[#This Row],[price]]*Table16[[#This Row],[quantity]]</f>
        <v>7502</v>
      </c>
    </row>
    <row r="8964" spans="1:9" x14ac:dyDescent="0.3">
      <c r="A8964" t="s">
        <v>10980</v>
      </c>
      <c r="B8964" t="s">
        <v>1789</v>
      </c>
      <c r="C8964" t="s">
        <v>2001</v>
      </c>
      <c r="D8964">
        <v>2</v>
      </c>
      <c r="E8964" s="16">
        <v>600.16</v>
      </c>
      <c r="F8964" s="1">
        <v>44461</v>
      </c>
      <c r="G8964" t="s">
        <v>2002</v>
      </c>
      <c r="H8964">
        <v>5</v>
      </c>
      <c r="I8964" s="12">
        <f>Table16[[#This Row],[price]]*Table16[[#This Row],[quantity]]</f>
        <v>1200.32</v>
      </c>
    </row>
    <row r="8965" spans="1:9" x14ac:dyDescent="0.3">
      <c r="A8965" t="s">
        <v>10981</v>
      </c>
      <c r="B8965" t="s">
        <v>1789</v>
      </c>
      <c r="C8965" t="s">
        <v>2008</v>
      </c>
      <c r="D8965">
        <v>5</v>
      </c>
      <c r="E8965" s="16">
        <v>26.15</v>
      </c>
      <c r="F8965" s="1">
        <v>44594</v>
      </c>
      <c r="G8965" t="s">
        <v>2020</v>
      </c>
      <c r="H8965">
        <v>3</v>
      </c>
      <c r="I8965" s="12">
        <f>Table16[[#This Row],[price]]*Table16[[#This Row],[quantity]]</f>
        <v>130.75</v>
      </c>
    </row>
    <row r="8966" spans="1:9" x14ac:dyDescent="0.3">
      <c r="A8966" t="s">
        <v>10982</v>
      </c>
      <c r="B8966" t="s">
        <v>1789</v>
      </c>
      <c r="C8966" t="s">
        <v>2015</v>
      </c>
      <c r="D8966">
        <v>5</v>
      </c>
      <c r="E8966" s="16">
        <v>3000.85</v>
      </c>
      <c r="F8966" s="1">
        <v>44879</v>
      </c>
      <c r="G8966" t="s">
        <v>2027</v>
      </c>
      <c r="H8966">
        <v>5</v>
      </c>
      <c r="I8966" s="12">
        <f>Table16[[#This Row],[price]]*Table16[[#This Row],[quantity]]</f>
        <v>15004.25</v>
      </c>
    </row>
    <row r="8967" spans="1:9" x14ac:dyDescent="0.3">
      <c r="A8967" t="s">
        <v>10986</v>
      </c>
      <c r="B8967" t="s">
        <v>1790</v>
      </c>
      <c r="C8967" t="s">
        <v>2011</v>
      </c>
      <c r="D8967">
        <v>4</v>
      </c>
      <c r="E8967" s="16">
        <v>162.63999999999999</v>
      </c>
      <c r="F8967" s="1">
        <v>44438</v>
      </c>
      <c r="G8967" t="s">
        <v>2018</v>
      </c>
      <c r="H8967">
        <v>5</v>
      </c>
      <c r="I8967" s="12">
        <f>Table16[[#This Row],[price]]*Table16[[#This Row],[quantity]]</f>
        <v>650.55999999999995</v>
      </c>
    </row>
    <row r="8968" spans="1:9" x14ac:dyDescent="0.3">
      <c r="A8968" t="s">
        <v>10988</v>
      </c>
      <c r="B8968" t="s">
        <v>1790</v>
      </c>
      <c r="C8968" t="s">
        <v>2001</v>
      </c>
      <c r="D8968">
        <v>4</v>
      </c>
      <c r="E8968" s="16">
        <v>1200.32</v>
      </c>
      <c r="F8968" s="1">
        <v>44441</v>
      </c>
      <c r="G8968" t="s">
        <v>2020</v>
      </c>
      <c r="H8968">
        <v>1</v>
      </c>
      <c r="I8968" s="12">
        <f>Table16[[#This Row],[price]]*Table16[[#This Row],[quantity]]</f>
        <v>4801.28</v>
      </c>
    </row>
    <row r="8969" spans="1:9" x14ac:dyDescent="0.3">
      <c r="A8969" t="s">
        <v>10987</v>
      </c>
      <c r="B8969" t="s">
        <v>1790</v>
      </c>
      <c r="C8969" t="s">
        <v>2011</v>
      </c>
      <c r="D8969">
        <v>1</v>
      </c>
      <c r="E8969" s="16">
        <v>40.659999999999997</v>
      </c>
      <c r="F8969" s="1">
        <v>44627</v>
      </c>
      <c r="G8969" t="s">
        <v>2002</v>
      </c>
      <c r="H8969">
        <v>2</v>
      </c>
      <c r="I8969" s="12">
        <f>Table16[[#This Row],[price]]*Table16[[#This Row],[quantity]]</f>
        <v>40.659999999999997</v>
      </c>
    </row>
    <row r="8970" spans="1:9" x14ac:dyDescent="0.3">
      <c r="A8970" t="s">
        <v>10984</v>
      </c>
      <c r="B8970" t="s">
        <v>1790</v>
      </c>
      <c r="C8970" t="s">
        <v>2001</v>
      </c>
      <c r="D8970">
        <v>3</v>
      </c>
      <c r="E8970" s="16">
        <v>900.24</v>
      </c>
      <c r="F8970" s="1">
        <v>44632</v>
      </c>
      <c r="G8970" t="s">
        <v>2027</v>
      </c>
      <c r="H8970">
        <v>1</v>
      </c>
      <c r="I8970" s="12">
        <f>Table16[[#This Row],[price]]*Table16[[#This Row],[quantity]]</f>
        <v>2700.7200000000003</v>
      </c>
    </row>
    <row r="8971" spans="1:9" x14ac:dyDescent="0.3">
      <c r="A8971" t="s">
        <v>10983</v>
      </c>
      <c r="B8971" t="s">
        <v>1790</v>
      </c>
      <c r="C8971" t="s">
        <v>2008</v>
      </c>
      <c r="D8971">
        <v>3</v>
      </c>
      <c r="E8971" s="16">
        <v>15.69</v>
      </c>
      <c r="F8971" s="1">
        <v>44719</v>
      </c>
      <c r="G8971" t="s">
        <v>2004</v>
      </c>
      <c r="H8971">
        <v>5</v>
      </c>
      <c r="I8971" s="12">
        <f>Table16[[#This Row],[price]]*Table16[[#This Row],[quantity]]</f>
        <v>47.07</v>
      </c>
    </row>
    <row r="8972" spans="1:9" x14ac:dyDescent="0.3">
      <c r="A8972" t="s">
        <v>10985</v>
      </c>
      <c r="B8972" t="s">
        <v>1790</v>
      </c>
      <c r="C8972" t="s">
        <v>2006</v>
      </c>
      <c r="D8972">
        <v>2</v>
      </c>
      <c r="E8972" s="16">
        <v>30.3</v>
      </c>
      <c r="F8972" s="1">
        <v>44842</v>
      </c>
      <c r="G8972" t="s">
        <v>2041</v>
      </c>
      <c r="H8972">
        <v>1</v>
      </c>
      <c r="I8972" s="12">
        <f>Table16[[#This Row],[price]]*Table16[[#This Row],[quantity]]</f>
        <v>60.6</v>
      </c>
    </row>
    <row r="8973" spans="1:9" x14ac:dyDescent="0.3">
      <c r="A8973" t="s">
        <v>10992</v>
      </c>
      <c r="B8973" t="s">
        <v>1791</v>
      </c>
      <c r="C8973" t="s">
        <v>2008</v>
      </c>
      <c r="D8973">
        <v>2</v>
      </c>
      <c r="E8973" s="16">
        <v>10.46</v>
      </c>
      <c r="F8973" s="1">
        <v>44279</v>
      </c>
      <c r="G8973" t="s">
        <v>2027</v>
      </c>
      <c r="H8973">
        <v>2</v>
      </c>
      <c r="I8973" s="12">
        <f>Table16[[#This Row],[price]]*Table16[[#This Row],[quantity]]</f>
        <v>20.92</v>
      </c>
    </row>
    <row r="8974" spans="1:9" x14ac:dyDescent="0.3">
      <c r="A8974" t="s">
        <v>10994</v>
      </c>
      <c r="B8974" t="s">
        <v>1791</v>
      </c>
      <c r="C8974" t="s">
        <v>2024</v>
      </c>
      <c r="D8974">
        <v>1</v>
      </c>
      <c r="E8974" s="16">
        <v>35.840000000000003</v>
      </c>
      <c r="F8974" s="1">
        <v>44323</v>
      </c>
      <c r="G8974" t="s">
        <v>2002</v>
      </c>
      <c r="H8974">
        <v>5</v>
      </c>
      <c r="I8974" s="12">
        <f>Table16[[#This Row],[price]]*Table16[[#This Row],[quantity]]</f>
        <v>35.840000000000003</v>
      </c>
    </row>
    <row r="8975" spans="1:9" x14ac:dyDescent="0.3">
      <c r="A8975" t="s">
        <v>10990</v>
      </c>
      <c r="B8975" t="s">
        <v>1791</v>
      </c>
      <c r="C8975" t="s">
        <v>2011</v>
      </c>
      <c r="D8975">
        <v>2</v>
      </c>
      <c r="E8975" s="16">
        <v>81.319999999999993</v>
      </c>
      <c r="F8975" s="1">
        <v>44551</v>
      </c>
      <c r="G8975" t="s">
        <v>2027</v>
      </c>
      <c r="H8975">
        <v>1</v>
      </c>
      <c r="I8975" s="12">
        <f>Table16[[#This Row],[price]]*Table16[[#This Row],[quantity]]</f>
        <v>162.63999999999999</v>
      </c>
    </row>
    <row r="8976" spans="1:9" x14ac:dyDescent="0.3">
      <c r="A8976" t="s">
        <v>10995</v>
      </c>
      <c r="B8976" t="s">
        <v>1791</v>
      </c>
      <c r="C8976" t="s">
        <v>2008</v>
      </c>
      <c r="D8976">
        <v>5</v>
      </c>
      <c r="E8976" s="16">
        <v>26.15</v>
      </c>
      <c r="F8976" s="1">
        <v>44588</v>
      </c>
      <c r="G8976" t="s">
        <v>2002</v>
      </c>
      <c r="H8976">
        <v>4</v>
      </c>
      <c r="I8976" s="12">
        <f>Table16[[#This Row],[price]]*Table16[[#This Row],[quantity]]</f>
        <v>130.75</v>
      </c>
    </row>
    <row r="8977" spans="1:9" x14ac:dyDescent="0.3">
      <c r="A8977" t="s">
        <v>10989</v>
      </c>
      <c r="B8977" t="s">
        <v>1791</v>
      </c>
      <c r="C8977" t="s">
        <v>2008</v>
      </c>
      <c r="D8977">
        <v>4</v>
      </c>
      <c r="E8977" s="16">
        <v>20.92</v>
      </c>
      <c r="F8977" s="1">
        <v>44667</v>
      </c>
      <c r="G8977" t="s">
        <v>2027</v>
      </c>
      <c r="H8977">
        <v>2</v>
      </c>
      <c r="I8977" s="12">
        <f>Table16[[#This Row],[price]]*Table16[[#This Row],[quantity]]</f>
        <v>83.68</v>
      </c>
    </row>
    <row r="8978" spans="1:9" x14ac:dyDescent="0.3">
      <c r="A8978" t="s">
        <v>10991</v>
      </c>
      <c r="B8978" t="s">
        <v>1791</v>
      </c>
      <c r="C8978" t="s">
        <v>2015</v>
      </c>
      <c r="D8978">
        <v>2</v>
      </c>
      <c r="E8978" s="16">
        <v>1200.3399999999999</v>
      </c>
      <c r="F8978" s="1">
        <v>44698</v>
      </c>
      <c r="G8978" t="s">
        <v>2064</v>
      </c>
      <c r="H8978">
        <v>3</v>
      </c>
      <c r="I8978" s="12">
        <f>Table16[[#This Row],[price]]*Table16[[#This Row],[quantity]]</f>
        <v>2400.6799999999998</v>
      </c>
    </row>
    <row r="8979" spans="1:9" x14ac:dyDescent="0.3">
      <c r="A8979" t="s">
        <v>10993</v>
      </c>
      <c r="B8979" t="s">
        <v>1791</v>
      </c>
      <c r="C8979" t="s">
        <v>2024</v>
      </c>
      <c r="D8979">
        <v>4</v>
      </c>
      <c r="E8979" s="16">
        <v>143.36000000000001</v>
      </c>
      <c r="F8979" s="1">
        <v>44802</v>
      </c>
      <c r="G8979" t="s">
        <v>2002</v>
      </c>
      <c r="H8979">
        <v>4</v>
      </c>
      <c r="I8979" s="12">
        <f>Table16[[#This Row],[price]]*Table16[[#This Row],[quantity]]</f>
        <v>573.44000000000005</v>
      </c>
    </row>
    <row r="8980" spans="1:9" x14ac:dyDescent="0.3">
      <c r="A8980" t="s">
        <v>10999</v>
      </c>
      <c r="B8980" t="s">
        <v>1792</v>
      </c>
      <c r="C8980" t="s">
        <v>2011</v>
      </c>
      <c r="D8980">
        <v>5</v>
      </c>
      <c r="E8980" s="16">
        <v>203.3</v>
      </c>
      <c r="F8980" s="1">
        <v>44430</v>
      </c>
      <c r="G8980" t="s">
        <v>2002</v>
      </c>
      <c r="H8980">
        <v>2</v>
      </c>
      <c r="I8980" s="12">
        <f>Table16[[#This Row],[price]]*Table16[[#This Row],[quantity]]</f>
        <v>1016.5</v>
      </c>
    </row>
    <row r="8981" spans="1:9" x14ac:dyDescent="0.3">
      <c r="A8981" t="s">
        <v>10997</v>
      </c>
      <c r="B8981" t="s">
        <v>1792</v>
      </c>
      <c r="C8981" t="s">
        <v>2008</v>
      </c>
      <c r="D8981">
        <v>5</v>
      </c>
      <c r="E8981" s="16">
        <v>26.15</v>
      </c>
      <c r="F8981" s="1">
        <v>44825</v>
      </c>
      <c r="G8981" t="s">
        <v>2002</v>
      </c>
      <c r="H8981">
        <v>4</v>
      </c>
      <c r="I8981" s="12">
        <f>Table16[[#This Row],[price]]*Table16[[#This Row],[quantity]]</f>
        <v>130.75</v>
      </c>
    </row>
    <row r="8982" spans="1:9" x14ac:dyDescent="0.3">
      <c r="A8982" t="s">
        <v>10996</v>
      </c>
      <c r="B8982" t="s">
        <v>1792</v>
      </c>
      <c r="C8982" t="s">
        <v>2017</v>
      </c>
      <c r="D8982">
        <v>4</v>
      </c>
      <c r="E8982" s="16">
        <v>4200</v>
      </c>
      <c r="F8982" s="1">
        <v>44932</v>
      </c>
      <c r="G8982" t="s">
        <v>2058</v>
      </c>
      <c r="H8982">
        <v>5</v>
      </c>
      <c r="I8982" s="12">
        <f>Table16[[#This Row],[price]]*Table16[[#This Row],[quantity]]</f>
        <v>16800</v>
      </c>
    </row>
    <row r="8983" spans="1:9" x14ac:dyDescent="0.3">
      <c r="A8983" t="s">
        <v>10998</v>
      </c>
      <c r="B8983" t="s">
        <v>1792</v>
      </c>
      <c r="C8983" t="s">
        <v>2008</v>
      </c>
      <c r="D8983">
        <v>4</v>
      </c>
      <c r="E8983" s="16">
        <v>20.92</v>
      </c>
      <c r="F8983" s="1">
        <v>44969</v>
      </c>
      <c r="G8983" t="s">
        <v>2064</v>
      </c>
      <c r="H8983">
        <v>2</v>
      </c>
      <c r="I8983" s="12">
        <f>Table16[[#This Row],[price]]*Table16[[#This Row],[quantity]]</f>
        <v>83.68</v>
      </c>
    </row>
    <row r="8984" spans="1:9" x14ac:dyDescent="0.3">
      <c r="A8984" t="s">
        <v>11000</v>
      </c>
      <c r="B8984" t="s">
        <v>1793</v>
      </c>
      <c r="C8984" t="s">
        <v>2001</v>
      </c>
      <c r="D8984">
        <v>3</v>
      </c>
      <c r="E8984" s="16">
        <v>900.24</v>
      </c>
      <c r="F8984" s="1">
        <v>44373</v>
      </c>
      <c r="G8984" t="s">
        <v>2020</v>
      </c>
      <c r="H8984">
        <v>1</v>
      </c>
      <c r="I8984" s="12">
        <f>Table16[[#This Row],[price]]*Table16[[#This Row],[quantity]]</f>
        <v>2700.7200000000003</v>
      </c>
    </row>
    <row r="8985" spans="1:9" x14ac:dyDescent="0.3">
      <c r="A8985" t="s">
        <v>11001</v>
      </c>
      <c r="B8985" t="s">
        <v>1793</v>
      </c>
      <c r="C8985" t="s">
        <v>2011</v>
      </c>
      <c r="D8985">
        <v>5</v>
      </c>
      <c r="E8985" s="16">
        <v>203.3</v>
      </c>
      <c r="F8985" s="1">
        <v>44910</v>
      </c>
      <c r="G8985" t="s">
        <v>2009</v>
      </c>
      <c r="H8985">
        <v>4</v>
      </c>
      <c r="I8985" s="12">
        <f>Table16[[#This Row],[price]]*Table16[[#This Row],[quantity]]</f>
        <v>1016.5</v>
      </c>
    </row>
    <row r="8986" spans="1:9" x14ac:dyDescent="0.3">
      <c r="A8986" t="s">
        <v>11002</v>
      </c>
      <c r="B8986" t="s">
        <v>1794</v>
      </c>
      <c r="C8986" t="s">
        <v>2001</v>
      </c>
      <c r="D8986">
        <v>3</v>
      </c>
      <c r="E8986" s="16">
        <v>900.24</v>
      </c>
      <c r="F8986" s="1">
        <v>44316</v>
      </c>
      <c r="G8986" t="s">
        <v>2012</v>
      </c>
      <c r="H8986">
        <v>4</v>
      </c>
      <c r="I8986" s="12">
        <f>Table16[[#This Row],[price]]*Table16[[#This Row],[quantity]]</f>
        <v>2700.7200000000003</v>
      </c>
    </row>
    <row r="8987" spans="1:9" x14ac:dyDescent="0.3">
      <c r="A8987" t="s">
        <v>11003</v>
      </c>
      <c r="B8987" t="s">
        <v>1794</v>
      </c>
      <c r="C8987" t="s">
        <v>2024</v>
      </c>
      <c r="D8987">
        <v>2</v>
      </c>
      <c r="E8987" s="16">
        <v>71.680000000000007</v>
      </c>
      <c r="F8987" s="1">
        <v>44572</v>
      </c>
      <c r="G8987" t="s">
        <v>2027</v>
      </c>
      <c r="H8987">
        <v>4</v>
      </c>
      <c r="I8987" s="12">
        <f>Table16[[#This Row],[price]]*Table16[[#This Row],[quantity]]</f>
        <v>143.36000000000001</v>
      </c>
    </row>
    <row r="8988" spans="1:9" x14ac:dyDescent="0.3">
      <c r="A8988" t="s">
        <v>11004</v>
      </c>
      <c r="B8988" t="s">
        <v>1794</v>
      </c>
      <c r="C8988" t="s">
        <v>2024</v>
      </c>
      <c r="D8988">
        <v>5</v>
      </c>
      <c r="E8988" s="16">
        <v>179.2</v>
      </c>
      <c r="F8988" s="1">
        <v>44648</v>
      </c>
      <c r="G8988" t="s">
        <v>2020</v>
      </c>
      <c r="H8988">
        <v>3</v>
      </c>
      <c r="I8988" s="12">
        <f>Table16[[#This Row],[price]]*Table16[[#This Row],[quantity]]</f>
        <v>896</v>
      </c>
    </row>
    <row r="8989" spans="1:9" x14ac:dyDescent="0.3">
      <c r="A8989" t="s">
        <v>11005</v>
      </c>
      <c r="B8989" t="s">
        <v>1795</v>
      </c>
      <c r="C8989" t="s">
        <v>2001</v>
      </c>
      <c r="D8989">
        <v>1</v>
      </c>
      <c r="E8989" s="16">
        <v>300.08</v>
      </c>
      <c r="F8989" s="1">
        <v>44366</v>
      </c>
      <c r="G8989" t="s">
        <v>2004</v>
      </c>
      <c r="H8989">
        <v>2</v>
      </c>
      <c r="I8989" s="12">
        <f>Table16[[#This Row],[price]]*Table16[[#This Row],[quantity]]</f>
        <v>300.08</v>
      </c>
    </row>
    <row r="8990" spans="1:9" x14ac:dyDescent="0.3">
      <c r="A8990" t="s">
        <v>11007</v>
      </c>
      <c r="B8990" t="s">
        <v>1795</v>
      </c>
      <c r="C8990" t="s">
        <v>2001</v>
      </c>
      <c r="D8990">
        <v>4</v>
      </c>
      <c r="E8990" s="16">
        <v>1200.32</v>
      </c>
      <c r="F8990" s="1">
        <v>44456</v>
      </c>
      <c r="G8990" t="s">
        <v>2027</v>
      </c>
      <c r="H8990">
        <v>1</v>
      </c>
      <c r="I8990" s="12">
        <f>Table16[[#This Row],[price]]*Table16[[#This Row],[quantity]]</f>
        <v>4801.28</v>
      </c>
    </row>
    <row r="8991" spans="1:9" x14ac:dyDescent="0.3">
      <c r="A8991" t="s">
        <v>11009</v>
      </c>
      <c r="B8991" t="s">
        <v>1795</v>
      </c>
      <c r="C8991" t="s">
        <v>2001</v>
      </c>
      <c r="D8991">
        <v>4</v>
      </c>
      <c r="E8991" s="16">
        <v>1200.32</v>
      </c>
      <c r="F8991" s="1">
        <v>44488</v>
      </c>
      <c r="G8991" t="s">
        <v>2058</v>
      </c>
      <c r="H8991">
        <v>5</v>
      </c>
      <c r="I8991" s="12">
        <f>Table16[[#This Row],[price]]*Table16[[#This Row],[quantity]]</f>
        <v>4801.28</v>
      </c>
    </row>
    <row r="8992" spans="1:9" x14ac:dyDescent="0.3">
      <c r="A8992" t="s">
        <v>11010</v>
      </c>
      <c r="B8992" t="s">
        <v>1795</v>
      </c>
      <c r="C8992" t="s">
        <v>2001</v>
      </c>
      <c r="D8992">
        <v>3</v>
      </c>
      <c r="E8992" s="16">
        <v>900.24</v>
      </c>
      <c r="F8992" s="1">
        <v>44690</v>
      </c>
      <c r="G8992" t="s">
        <v>2018</v>
      </c>
      <c r="H8992">
        <v>4</v>
      </c>
      <c r="I8992" s="12">
        <f>Table16[[#This Row],[price]]*Table16[[#This Row],[quantity]]</f>
        <v>2700.7200000000003</v>
      </c>
    </row>
    <row r="8993" spans="1:9" x14ac:dyDescent="0.3">
      <c r="A8993" t="s">
        <v>11011</v>
      </c>
      <c r="B8993" t="s">
        <v>1795</v>
      </c>
      <c r="C8993" t="s">
        <v>2057</v>
      </c>
      <c r="D8993">
        <v>2</v>
      </c>
      <c r="E8993" s="16">
        <v>23.46</v>
      </c>
      <c r="F8993" s="1">
        <v>44792</v>
      </c>
      <c r="G8993" t="s">
        <v>2020</v>
      </c>
      <c r="H8993">
        <v>2</v>
      </c>
      <c r="I8993" s="12">
        <f>Table16[[#This Row],[price]]*Table16[[#This Row],[quantity]]</f>
        <v>46.92</v>
      </c>
    </row>
    <row r="8994" spans="1:9" x14ac:dyDescent="0.3">
      <c r="A8994" t="s">
        <v>11006</v>
      </c>
      <c r="B8994" t="s">
        <v>1795</v>
      </c>
      <c r="C8994" t="s">
        <v>2015</v>
      </c>
      <c r="D8994">
        <v>5</v>
      </c>
      <c r="E8994" s="16">
        <v>3000.85</v>
      </c>
      <c r="F8994" s="1">
        <v>44804</v>
      </c>
      <c r="G8994" t="s">
        <v>2020</v>
      </c>
      <c r="H8994">
        <v>2</v>
      </c>
      <c r="I8994" s="12">
        <f>Table16[[#This Row],[price]]*Table16[[#This Row],[quantity]]</f>
        <v>15004.25</v>
      </c>
    </row>
    <row r="8995" spans="1:9" x14ac:dyDescent="0.3">
      <c r="A8995" t="s">
        <v>11008</v>
      </c>
      <c r="B8995" t="s">
        <v>1795</v>
      </c>
      <c r="C8995" t="s">
        <v>2006</v>
      </c>
      <c r="D8995">
        <v>5</v>
      </c>
      <c r="E8995" s="16">
        <v>75.75</v>
      </c>
      <c r="F8995" s="1">
        <v>44806</v>
      </c>
      <c r="G8995" t="s">
        <v>2004</v>
      </c>
      <c r="H8995">
        <v>4</v>
      </c>
      <c r="I8995" s="12">
        <f>Table16[[#This Row],[price]]*Table16[[#This Row],[quantity]]</f>
        <v>378.75</v>
      </c>
    </row>
    <row r="8996" spans="1:9" x14ac:dyDescent="0.3">
      <c r="A8996" t="s">
        <v>11013</v>
      </c>
      <c r="B8996" t="s">
        <v>1796</v>
      </c>
      <c r="C8996" t="s">
        <v>2001</v>
      </c>
      <c r="D8996">
        <v>1</v>
      </c>
      <c r="E8996" s="16">
        <v>300.08</v>
      </c>
      <c r="F8996" s="1">
        <v>44404</v>
      </c>
      <c r="G8996" t="s">
        <v>2027</v>
      </c>
      <c r="H8996">
        <v>4</v>
      </c>
      <c r="I8996" s="12">
        <f>Table16[[#This Row],[price]]*Table16[[#This Row],[quantity]]</f>
        <v>300.08</v>
      </c>
    </row>
    <row r="8997" spans="1:9" x14ac:dyDescent="0.3">
      <c r="A8997" t="s">
        <v>11014</v>
      </c>
      <c r="B8997" t="s">
        <v>1796</v>
      </c>
      <c r="C8997" t="s">
        <v>2001</v>
      </c>
      <c r="D8997">
        <v>1</v>
      </c>
      <c r="E8997" s="16">
        <v>300.08</v>
      </c>
      <c r="F8997" s="1">
        <v>44526</v>
      </c>
      <c r="G8997" t="s">
        <v>2004</v>
      </c>
      <c r="H8997">
        <v>4</v>
      </c>
      <c r="I8997" s="12">
        <f>Table16[[#This Row],[price]]*Table16[[#This Row],[quantity]]</f>
        <v>300.08</v>
      </c>
    </row>
    <row r="8998" spans="1:9" x14ac:dyDescent="0.3">
      <c r="A8998" t="s">
        <v>11019</v>
      </c>
      <c r="B8998" t="s">
        <v>1796</v>
      </c>
      <c r="C8998" t="s">
        <v>2024</v>
      </c>
      <c r="D8998">
        <v>1</v>
      </c>
      <c r="E8998" s="16">
        <v>35.840000000000003</v>
      </c>
      <c r="F8998" s="1">
        <v>44534</v>
      </c>
      <c r="G8998" t="s">
        <v>2004</v>
      </c>
      <c r="H8998">
        <v>1</v>
      </c>
      <c r="I8998" s="12">
        <f>Table16[[#This Row],[price]]*Table16[[#This Row],[quantity]]</f>
        <v>35.840000000000003</v>
      </c>
    </row>
    <row r="8999" spans="1:9" x14ac:dyDescent="0.3">
      <c r="A8999" t="s">
        <v>11015</v>
      </c>
      <c r="B8999" t="s">
        <v>1796</v>
      </c>
      <c r="C8999" t="s">
        <v>2024</v>
      </c>
      <c r="D8999">
        <v>3</v>
      </c>
      <c r="E8999" s="16">
        <v>107.52</v>
      </c>
      <c r="F8999" s="1">
        <v>44565</v>
      </c>
      <c r="G8999" t="s">
        <v>2018</v>
      </c>
      <c r="H8999">
        <v>4</v>
      </c>
      <c r="I8999" s="12">
        <f>Table16[[#This Row],[price]]*Table16[[#This Row],[quantity]]</f>
        <v>322.56</v>
      </c>
    </row>
    <row r="9000" spans="1:9" x14ac:dyDescent="0.3">
      <c r="A9000" t="s">
        <v>11017</v>
      </c>
      <c r="B9000" t="s">
        <v>1796</v>
      </c>
      <c r="C9000" t="s">
        <v>2011</v>
      </c>
      <c r="D9000">
        <v>3</v>
      </c>
      <c r="E9000" s="16">
        <v>121.98</v>
      </c>
      <c r="F9000" s="1">
        <v>44594</v>
      </c>
      <c r="G9000" t="s">
        <v>2018</v>
      </c>
      <c r="H9000">
        <v>2</v>
      </c>
      <c r="I9000" s="12">
        <f>Table16[[#This Row],[price]]*Table16[[#This Row],[quantity]]</f>
        <v>365.94</v>
      </c>
    </row>
    <row r="9001" spans="1:9" x14ac:dyDescent="0.3">
      <c r="A9001" t="s">
        <v>11018</v>
      </c>
      <c r="B9001" t="s">
        <v>1796</v>
      </c>
      <c r="C9001" t="s">
        <v>2015</v>
      </c>
      <c r="D9001">
        <v>4</v>
      </c>
      <c r="E9001" s="16">
        <v>2400.6799999999998</v>
      </c>
      <c r="F9001" s="1">
        <v>44703</v>
      </c>
      <c r="G9001" t="s">
        <v>2004</v>
      </c>
      <c r="H9001">
        <v>4</v>
      </c>
      <c r="I9001" s="12">
        <f>Table16[[#This Row],[price]]*Table16[[#This Row],[quantity]]</f>
        <v>9602.7199999999993</v>
      </c>
    </row>
    <row r="9002" spans="1:9" x14ac:dyDescent="0.3">
      <c r="A9002" t="s">
        <v>11016</v>
      </c>
      <c r="B9002" t="s">
        <v>1796</v>
      </c>
      <c r="C9002" t="s">
        <v>2024</v>
      </c>
      <c r="D9002">
        <v>1</v>
      </c>
      <c r="E9002" s="16">
        <v>35.840000000000003</v>
      </c>
      <c r="F9002" s="1">
        <v>44915</v>
      </c>
      <c r="G9002" t="s">
        <v>2004</v>
      </c>
      <c r="H9002">
        <v>1</v>
      </c>
      <c r="I9002" s="12">
        <f>Table16[[#This Row],[price]]*Table16[[#This Row],[quantity]]</f>
        <v>35.840000000000003</v>
      </c>
    </row>
    <row r="9003" spans="1:9" x14ac:dyDescent="0.3">
      <c r="A9003" t="s">
        <v>11012</v>
      </c>
      <c r="B9003" t="s">
        <v>1796</v>
      </c>
      <c r="C9003" t="s">
        <v>2011</v>
      </c>
      <c r="D9003">
        <v>2</v>
      </c>
      <c r="E9003" s="16">
        <v>81.319999999999993</v>
      </c>
      <c r="F9003" s="1">
        <v>44959</v>
      </c>
      <c r="G9003" t="s">
        <v>2004</v>
      </c>
      <c r="H9003">
        <v>3</v>
      </c>
      <c r="I9003" s="12">
        <f>Table16[[#This Row],[price]]*Table16[[#This Row],[quantity]]</f>
        <v>162.63999999999999</v>
      </c>
    </row>
    <row r="9004" spans="1:9" x14ac:dyDescent="0.3">
      <c r="A9004" t="s">
        <v>11021</v>
      </c>
      <c r="B9004" t="s">
        <v>1797</v>
      </c>
      <c r="C9004" t="s">
        <v>2001</v>
      </c>
      <c r="D9004">
        <v>4</v>
      </c>
      <c r="E9004" s="16">
        <v>1200.32</v>
      </c>
      <c r="F9004" s="1">
        <v>44347</v>
      </c>
      <c r="G9004" t="s">
        <v>2004</v>
      </c>
      <c r="H9004">
        <v>4</v>
      </c>
      <c r="I9004" s="12">
        <f>Table16[[#This Row],[price]]*Table16[[#This Row],[quantity]]</f>
        <v>4801.28</v>
      </c>
    </row>
    <row r="9005" spans="1:9" x14ac:dyDescent="0.3">
      <c r="A9005" t="s">
        <v>11023</v>
      </c>
      <c r="B9005" t="s">
        <v>1797</v>
      </c>
      <c r="C9005" t="s">
        <v>2015</v>
      </c>
      <c r="D9005">
        <v>5</v>
      </c>
      <c r="E9005" s="16">
        <v>3000.85</v>
      </c>
      <c r="F9005" s="1">
        <v>44605</v>
      </c>
      <c r="G9005" t="s">
        <v>2018</v>
      </c>
      <c r="H9005">
        <v>5</v>
      </c>
      <c r="I9005" s="12">
        <f>Table16[[#This Row],[price]]*Table16[[#This Row],[quantity]]</f>
        <v>15004.25</v>
      </c>
    </row>
    <row r="9006" spans="1:9" x14ac:dyDescent="0.3">
      <c r="A9006" t="s">
        <v>11020</v>
      </c>
      <c r="B9006" t="s">
        <v>1797</v>
      </c>
      <c r="C9006" t="s">
        <v>2011</v>
      </c>
      <c r="D9006">
        <v>2</v>
      </c>
      <c r="E9006" s="16">
        <v>81.319999999999993</v>
      </c>
      <c r="F9006" s="1">
        <v>44779</v>
      </c>
      <c r="G9006" t="s">
        <v>2041</v>
      </c>
      <c r="H9006">
        <v>1</v>
      </c>
      <c r="I9006" s="12">
        <f>Table16[[#This Row],[price]]*Table16[[#This Row],[quantity]]</f>
        <v>162.63999999999999</v>
      </c>
    </row>
    <row r="9007" spans="1:9" x14ac:dyDescent="0.3">
      <c r="A9007" t="s">
        <v>11024</v>
      </c>
      <c r="B9007" t="s">
        <v>1797</v>
      </c>
      <c r="C9007" t="s">
        <v>2011</v>
      </c>
      <c r="D9007">
        <v>4</v>
      </c>
      <c r="E9007" s="16">
        <v>162.63999999999999</v>
      </c>
      <c r="F9007" s="1">
        <v>44859</v>
      </c>
      <c r="G9007" t="s">
        <v>2041</v>
      </c>
      <c r="H9007">
        <v>5</v>
      </c>
      <c r="I9007" s="12">
        <f>Table16[[#This Row],[price]]*Table16[[#This Row],[quantity]]</f>
        <v>650.55999999999995</v>
      </c>
    </row>
    <row r="9008" spans="1:9" x14ac:dyDescent="0.3">
      <c r="A9008" t="s">
        <v>11022</v>
      </c>
      <c r="B9008" t="s">
        <v>1797</v>
      </c>
      <c r="C9008" t="s">
        <v>2011</v>
      </c>
      <c r="D9008">
        <v>1</v>
      </c>
      <c r="E9008" s="16">
        <v>40.659999999999997</v>
      </c>
      <c r="F9008" s="1">
        <v>44900</v>
      </c>
      <c r="G9008" t="s">
        <v>2002</v>
      </c>
      <c r="H9008">
        <v>2</v>
      </c>
      <c r="I9008" s="12">
        <f>Table16[[#This Row],[price]]*Table16[[#This Row],[quantity]]</f>
        <v>40.659999999999997</v>
      </c>
    </row>
    <row r="9009" spans="1:9" x14ac:dyDescent="0.3">
      <c r="A9009" t="s">
        <v>11025</v>
      </c>
      <c r="B9009" t="s">
        <v>1797</v>
      </c>
      <c r="C9009" t="s">
        <v>2011</v>
      </c>
      <c r="D9009">
        <v>4</v>
      </c>
      <c r="E9009" s="16">
        <v>162.63999999999999</v>
      </c>
      <c r="F9009" s="1">
        <v>44953</v>
      </c>
      <c r="G9009" t="s">
        <v>2020</v>
      </c>
      <c r="H9009">
        <v>4</v>
      </c>
      <c r="I9009" s="12">
        <f>Table16[[#This Row],[price]]*Table16[[#This Row],[quantity]]</f>
        <v>650.55999999999995</v>
      </c>
    </row>
    <row r="9010" spans="1:9" x14ac:dyDescent="0.3">
      <c r="A9010" t="s">
        <v>11026</v>
      </c>
      <c r="B9010" t="s">
        <v>1798</v>
      </c>
      <c r="C9010" t="s">
        <v>2011</v>
      </c>
      <c r="D9010">
        <v>4</v>
      </c>
      <c r="E9010" s="16">
        <v>162.63999999999999</v>
      </c>
      <c r="F9010" s="1">
        <v>44491</v>
      </c>
      <c r="G9010" t="s">
        <v>2064</v>
      </c>
      <c r="H9010">
        <v>1</v>
      </c>
      <c r="I9010" s="12">
        <f>Table16[[#This Row],[price]]*Table16[[#This Row],[quantity]]</f>
        <v>650.55999999999995</v>
      </c>
    </row>
    <row r="9011" spans="1:9" x14ac:dyDescent="0.3">
      <c r="A9011" t="s">
        <v>11028</v>
      </c>
      <c r="B9011" t="s">
        <v>1799</v>
      </c>
      <c r="C9011" t="s">
        <v>2001</v>
      </c>
      <c r="D9011">
        <v>2</v>
      </c>
      <c r="E9011" s="16">
        <v>600.16</v>
      </c>
      <c r="F9011" s="1">
        <v>44332</v>
      </c>
      <c r="G9011" t="s">
        <v>2064</v>
      </c>
      <c r="H9011">
        <v>4</v>
      </c>
      <c r="I9011" s="12">
        <f>Table16[[#This Row],[price]]*Table16[[#This Row],[quantity]]</f>
        <v>1200.32</v>
      </c>
    </row>
    <row r="9012" spans="1:9" x14ac:dyDescent="0.3">
      <c r="A9012" t="s">
        <v>11033</v>
      </c>
      <c r="B9012" t="s">
        <v>1799</v>
      </c>
      <c r="C9012" t="s">
        <v>2024</v>
      </c>
      <c r="D9012">
        <v>2</v>
      </c>
      <c r="E9012" s="16">
        <v>71.680000000000007</v>
      </c>
      <c r="F9012" s="1">
        <v>44351</v>
      </c>
      <c r="G9012" t="s">
        <v>2027</v>
      </c>
      <c r="H9012">
        <v>5</v>
      </c>
      <c r="I9012" s="12">
        <f>Table16[[#This Row],[price]]*Table16[[#This Row],[quantity]]</f>
        <v>143.36000000000001</v>
      </c>
    </row>
    <row r="9013" spans="1:9" x14ac:dyDescent="0.3">
      <c r="A9013" t="s">
        <v>11029</v>
      </c>
      <c r="B9013" t="s">
        <v>1799</v>
      </c>
      <c r="C9013" t="s">
        <v>2017</v>
      </c>
      <c r="D9013">
        <v>5</v>
      </c>
      <c r="E9013" s="16">
        <v>5250</v>
      </c>
      <c r="F9013" s="1">
        <v>44367</v>
      </c>
      <c r="G9013" t="s">
        <v>2002</v>
      </c>
      <c r="H9013">
        <v>2</v>
      </c>
      <c r="I9013" s="12">
        <f>Table16[[#This Row],[price]]*Table16[[#This Row],[quantity]]</f>
        <v>26250</v>
      </c>
    </row>
    <row r="9014" spans="1:9" x14ac:dyDescent="0.3">
      <c r="A9014" t="s">
        <v>11032</v>
      </c>
      <c r="B9014" t="s">
        <v>1799</v>
      </c>
      <c r="C9014" t="s">
        <v>2008</v>
      </c>
      <c r="D9014">
        <v>3</v>
      </c>
      <c r="E9014" s="16">
        <v>15.69</v>
      </c>
      <c r="F9014" s="1">
        <v>44449</v>
      </c>
      <c r="G9014" t="s">
        <v>2012</v>
      </c>
      <c r="H9014">
        <v>5</v>
      </c>
      <c r="I9014" s="12">
        <f>Table16[[#This Row],[price]]*Table16[[#This Row],[quantity]]</f>
        <v>47.07</v>
      </c>
    </row>
    <row r="9015" spans="1:9" x14ac:dyDescent="0.3">
      <c r="A9015" t="s">
        <v>11031</v>
      </c>
      <c r="B9015" t="s">
        <v>1799</v>
      </c>
      <c r="C9015" t="s">
        <v>2001</v>
      </c>
      <c r="D9015">
        <v>1</v>
      </c>
      <c r="E9015" s="16">
        <v>300.08</v>
      </c>
      <c r="F9015" s="1">
        <v>44504</v>
      </c>
      <c r="G9015" t="s">
        <v>2058</v>
      </c>
      <c r="H9015">
        <v>5</v>
      </c>
      <c r="I9015" s="12">
        <f>Table16[[#This Row],[price]]*Table16[[#This Row],[quantity]]</f>
        <v>300.08</v>
      </c>
    </row>
    <row r="9016" spans="1:9" x14ac:dyDescent="0.3">
      <c r="A9016" t="s">
        <v>11030</v>
      </c>
      <c r="B9016" t="s">
        <v>1799</v>
      </c>
      <c r="C9016" t="s">
        <v>2011</v>
      </c>
      <c r="D9016">
        <v>4</v>
      </c>
      <c r="E9016" s="16">
        <v>162.63999999999999</v>
      </c>
      <c r="F9016" s="1">
        <v>44594</v>
      </c>
      <c r="G9016" t="s">
        <v>2027</v>
      </c>
      <c r="H9016">
        <v>2</v>
      </c>
      <c r="I9016" s="12">
        <f>Table16[[#This Row],[price]]*Table16[[#This Row],[quantity]]</f>
        <v>650.55999999999995</v>
      </c>
    </row>
    <row r="9017" spans="1:9" x14ac:dyDescent="0.3">
      <c r="A9017" t="s">
        <v>11027</v>
      </c>
      <c r="B9017" t="s">
        <v>1799</v>
      </c>
      <c r="C9017" t="s">
        <v>2011</v>
      </c>
      <c r="D9017">
        <v>5</v>
      </c>
      <c r="E9017" s="16">
        <v>203.3</v>
      </c>
      <c r="F9017" s="1">
        <v>44629</v>
      </c>
      <c r="G9017" t="s">
        <v>2004</v>
      </c>
      <c r="H9017">
        <v>5</v>
      </c>
      <c r="I9017" s="12">
        <f>Table16[[#This Row],[price]]*Table16[[#This Row],[quantity]]</f>
        <v>1016.5</v>
      </c>
    </row>
    <row r="9018" spans="1:9" x14ac:dyDescent="0.3">
      <c r="A9018" t="s">
        <v>11036</v>
      </c>
      <c r="B9018" t="s">
        <v>1800</v>
      </c>
      <c r="C9018" t="s">
        <v>2057</v>
      </c>
      <c r="D9018">
        <v>5</v>
      </c>
      <c r="E9018" s="16">
        <v>58.65</v>
      </c>
      <c r="F9018" s="1">
        <v>44241</v>
      </c>
      <c r="G9018" t="s">
        <v>2004</v>
      </c>
      <c r="H9018">
        <v>3</v>
      </c>
      <c r="I9018" s="12">
        <f>Table16[[#This Row],[price]]*Table16[[#This Row],[quantity]]</f>
        <v>293.25</v>
      </c>
    </row>
    <row r="9019" spans="1:9" x14ac:dyDescent="0.3">
      <c r="A9019" t="s">
        <v>11035</v>
      </c>
      <c r="B9019" t="s">
        <v>1800</v>
      </c>
      <c r="C9019" t="s">
        <v>2006</v>
      </c>
      <c r="D9019">
        <v>4</v>
      </c>
      <c r="E9019" s="16">
        <v>60.6</v>
      </c>
      <c r="F9019" s="1">
        <v>44266</v>
      </c>
      <c r="G9019" t="s">
        <v>2020</v>
      </c>
      <c r="H9019">
        <v>1</v>
      </c>
      <c r="I9019" s="12">
        <f>Table16[[#This Row],[price]]*Table16[[#This Row],[quantity]]</f>
        <v>242.4</v>
      </c>
    </row>
    <row r="9020" spans="1:9" x14ac:dyDescent="0.3">
      <c r="A9020" t="s">
        <v>11038</v>
      </c>
      <c r="B9020" t="s">
        <v>1800</v>
      </c>
      <c r="C9020" t="s">
        <v>2008</v>
      </c>
      <c r="D9020">
        <v>4</v>
      </c>
      <c r="E9020" s="16">
        <v>20.92</v>
      </c>
      <c r="F9020" s="1">
        <v>44276</v>
      </c>
      <c r="G9020" t="s">
        <v>2012</v>
      </c>
      <c r="H9020">
        <v>2</v>
      </c>
      <c r="I9020" s="12">
        <f>Table16[[#This Row],[price]]*Table16[[#This Row],[quantity]]</f>
        <v>83.68</v>
      </c>
    </row>
    <row r="9021" spans="1:9" x14ac:dyDescent="0.3">
      <c r="A9021" t="s">
        <v>11042</v>
      </c>
      <c r="B9021" t="s">
        <v>1800</v>
      </c>
      <c r="C9021" t="s">
        <v>2024</v>
      </c>
      <c r="D9021">
        <v>4</v>
      </c>
      <c r="E9021" s="16">
        <v>143.36000000000001</v>
      </c>
      <c r="F9021" s="1">
        <v>44504</v>
      </c>
      <c r="G9021" t="s">
        <v>2027</v>
      </c>
      <c r="H9021">
        <v>1</v>
      </c>
      <c r="I9021" s="12">
        <f>Table16[[#This Row],[price]]*Table16[[#This Row],[quantity]]</f>
        <v>573.44000000000005</v>
      </c>
    </row>
    <row r="9022" spans="1:9" x14ac:dyDescent="0.3">
      <c r="A9022" t="s">
        <v>11034</v>
      </c>
      <c r="B9022" t="s">
        <v>1800</v>
      </c>
      <c r="C9022" t="s">
        <v>2008</v>
      </c>
      <c r="D9022">
        <v>2</v>
      </c>
      <c r="E9022" s="16">
        <v>10.46</v>
      </c>
      <c r="F9022" s="1">
        <v>44549</v>
      </c>
      <c r="G9022" t="s">
        <v>2012</v>
      </c>
      <c r="H9022">
        <v>3</v>
      </c>
      <c r="I9022" s="12">
        <f>Table16[[#This Row],[price]]*Table16[[#This Row],[quantity]]</f>
        <v>20.92</v>
      </c>
    </row>
    <row r="9023" spans="1:9" x14ac:dyDescent="0.3">
      <c r="A9023" t="s">
        <v>11041</v>
      </c>
      <c r="B9023" t="s">
        <v>1800</v>
      </c>
      <c r="C9023" t="s">
        <v>2001</v>
      </c>
      <c r="D9023">
        <v>3</v>
      </c>
      <c r="E9023" s="16">
        <v>900.24</v>
      </c>
      <c r="F9023" s="1">
        <v>44620</v>
      </c>
      <c r="G9023" t="s">
        <v>2020</v>
      </c>
      <c r="H9023">
        <v>2</v>
      </c>
      <c r="I9023" s="12">
        <f>Table16[[#This Row],[price]]*Table16[[#This Row],[quantity]]</f>
        <v>2700.7200000000003</v>
      </c>
    </row>
    <row r="9024" spans="1:9" x14ac:dyDescent="0.3">
      <c r="A9024" t="s">
        <v>11039</v>
      </c>
      <c r="B9024" t="s">
        <v>1800</v>
      </c>
      <c r="C9024" t="s">
        <v>2024</v>
      </c>
      <c r="D9024">
        <v>1</v>
      </c>
      <c r="E9024" s="16">
        <v>35.840000000000003</v>
      </c>
      <c r="F9024" s="1">
        <v>44661</v>
      </c>
      <c r="G9024" t="s">
        <v>2012</v>
      </c>
      <c r="H9024">
        <v>2</v>
      </c>
      <c r="I9024" s="12">
        <f>Table16[[#This Row],[price]]*Table16[[#This Row],[quantity]]</f>
        <v>35.840000000000003</v>
      </c>
    </row>
    <row r="9025" spans="1:9" x14ac:dyDescent="0.3">
      <c r="A9025" t="s">
        <v>11037</v>
      </c>
      <c r="B9025" t="s">
        <v>1800</v>
      </c>
      <c r="C9025" t="s">
        <v>2017</v>
      </c>
      <c r="D9025">
        <v>4</v>
      </c>
      <c r="E9025" s="16">
        <v>4200</v>
      </c>
      <c r="F9025" s="1">
        <v>44744</v>
      </c>
      <c r="G9025" t="s">
        <v>2002</v>
      </c>
      <c r="H9025">
        <v>3</v>
      </c>
      <c r="I9025" s="12">
        <f>Table16[[#This Row],[price]]*Table16[[#This Row],[quantity]]</f>
        <v>16800</v>
      </c>
    </row>
    <row r="9026" spans="1:9" x14ac:dyDescent="0.3">
      <c r="A9026" t="s">
        <v>11040</v>
      </c>
      <c r="B9026" t="s">
        <v>1800</v>
      </c>
      <c r="C9026" t="s">
        <v>2011</v>
      </c>
      <c r="D9026">
        <v>1</v>
      </c>
      <c r="E9026" s="16">
        <v>40.659999999999997</v>
      </c>
      <c r="F9026" s="1">
        <v>44858</v>
      </c>
      <c r="G9026" t="s">
        <v>2064</v>
      </c>
      <c r="H9026">
        <v>3</v>
      </c>
      <c r="I9026" s="12">
        <f>Table16[[#This Row],[price]]*Table16[[#This Row],[quantity]]</f>
        <v>40.659999999999997</v>
      </c>
    </row>
    <row r="9027" spans="1:9" x14ac:dyDescent="0.3">
      <c r="A9027" t="s">
        <v>11048</v>
      </c>
      <c r="B9027" t="s">
        <v>1801</v>
      </c>
      <c r="C9027" t="s">
        <v>2011</v>
      </c>
      <c r="D9027">
        <v>3</v>
      </c>
      <c r="E9027" s="16">
        <v>121.98</v>
      </c>
      <c r="F9027" s="1">
        <v>44423</v>
      </c>
      <c r="G9027" t="s">
        <v>2002</v>
      </c>
      <c r="H9027">
        <v>1</v>
      </c>
      <c r="I9027" s="12">
        <f>Table16[[#This Row],[price]]*Table16[[#This Row],[quantity]]</f>
        <v>365.94</v>
      </c>
    </row>
    <row r="9028" spans="1:9" x14ac:dyDescent="0.3">
      <c r="A9028" t="s">
        <v>11047</v>
      </c>
      <c r="B9028" t="s">
        <v>1801</v>
      </c>
      <c r="C9028" t="s">
        <v>2011</v>
      </c>
      <c r="D9028">
        <v>4</v>
      </c>
      <c r="E9028" s="16">
        <v>162.63999999999999</v>
      </c>
      <c r="F9028" s="1">
        <v>44437</v>
      </c>
      <c r="G9028" t="s">
        <v>2012</v>
      </c>
      <c r="H9028">
        <v>5</v>
      </c>
      <c r="I9028" s="12">
        <f>Table16[[#This Row],[price]]*Table16[[#This Row],[quantity]]</f>
        <v>650.55999999999995</v>
      </c>
    </row>
    <row r="9029" spans="1:9" x14ac:dyDescent="0.3">
      <c r="A9029" t="s">
        <v>11043</v>
      </c>
      <c r="B9029" t="s">
        <v>1801</v>
      </c>
      <c r="C9029" t="s">
        <v>2001</v>
      </c>
      <c r="D9029">
        <v>1</v>
      </c>
      <c r="E9029" s="16">
        <v>300.08</v>
      </c>
      <c r="F9029" s="1">
        <v>44474</v>
      </c>
      <c r="G9029" t="s">
        <v>2004</v>
      </c>
      <c r="H9029">
        <v>2</v>
      </c>
      <c r="I9029" s="12">
        <f>Table16[[#This Row],[price]]*Table16[[#This Row],[quantity]]</f>
        <v>300.08</v>
      </c>
    </row>
    <row r="9030" spans="1:9" x14ac:dyDescent="0.3">
      <c r="A9030" t="s">
        <v>11045</v>
      </c>
      <c r="B9030" t="s">
        <v>1801</v>
      </c>
      <c r="C9030" t="s">
        <v>2001</v>
      </c>
      <c r="D9030">
        <v>1</v>
      </c>
      <c r="E9030" s="16">
        <v>300.08</v>
      </c>
      <c r="F9030" s="1">
        <v>44582</v>
      </c>
      <c r="G9030" t="s">
        <v>2041</v>
      </c>
      <c r="H9030">
        <v>5</v>
      </c>
      <c r="I9030" s="12">
        <f>Table16[[#This Row],[price]]*Table16[[#This Row],[quantity]]</f>
        <v>300.08</v>
      </c>
    </row>
    <row r="9031" spans="1:9" x14ac:dyDescent="0.3">
      <c r="A9031" t="s">
        <v>11046</v>
      </c>
      <c r="B9031" t="s">
        <v>1801</v>
      </c>
      <c r="C9031" t="s">
        <v>2001</v>
      </c>
      <c r="D9031">
        <v>4</v>
      </c>
      <c r="E9031" s="16">
        <v>1200.32</v>
      </c>
      <c r="F9031" s="1">
        <v>44653</v>
      </c>
      <c r="G9031" t="s">
        <v>2004</v>
      </c>
      <c r="H9031">
        <v>1</v>
      </c>
      <c r="I9031" s="12">
        <f>Table16[[#This Row],[price]]*Table16[[#This Row],[quantity]]</f>
        <v>4801.28</v>
      </c>
    </row>
    <row r="9032" spans="1:9" x14ac:dyDescent="0.3">
      <c r="A9032" t="s">
        <v>11044</v>
      </c>
      <c r="B9032" t="s">
        <v>1801</v>
      </c>
      <c r="C9032" t="s">
        <v>2017</v>
      </c>
      <c r="D9032">
        <v>4</v>
      </c>
      <c r="E9032" s="16">
        <v>4200</v>
      </c>
      <c r="F9032" s="1">
        <v>44891</v>
      </c>
      <c r="G9032" t="s">
        <v>2027</v>
      </c>
      <c r="H9032">
        <v>5</v>
      </c>
      <c r="I9032" s="12">
        <f>Table16[[#This Row],[price]]*Table16[[#This Row],[quantity]]</f>
        <v>16800</v>
      </c>
    </row>
    <row r="9033" spans="1:9" x14ac:dyDescent="0.3">
      <c r="A9033" t="s">
        <v>11051</v>
      </c>
      <c r="B9033" t="s">
        <v>1802</v>
      </c>
      <c r="C9033" t="s">
        <v>2001</v>
      </c>
      <c r="D9033">
        <v>2</v>
      </c>
      <c r="E9033" s="16">
        <v>600.16</v>
      </c>
      <c r="F9033" s="1">
        <v>44258</v>
      </c>
      <c r="G9033" t="s">
        <v>2064</v>
      </c>
      <c r="H9033">
        <v>2</v>
      </c>
      <c r="I9033" s="12">
        <f>Table16[[#This Row],[price]]*Table16[[#This Row],[quantity]]</f>
        <v>1200.32</v>
      </c>
    </row>
    <row r="9034" spans="1:9" x14ac:dyDescent="0.3">
      <c r="A9034" t="s">
        <v>11049</v>
      </c>
      <c r="B9034" t="s">
        <v>1802</v>
      </c>
      <c r="C9034" t="s">
        <v>2001</v>
      </c>
      <c r="D9034">
        <v>3</v>
      </c>
      <c r="E9034" s="16">
        <v>900.24</v>
      </c>
      <c r="F9034" s="1">
        <v>44333</v>
      </c>
      <c r="G9034" t="s">
        <v>2012</v>
      </c>
      <c r="H9034">
        <v>4</v>
      </c>
      <c r="I9034" s="12">
        <f>Table16[[#This Row],[price]]*Table16[[#This Row],[quantity]]</f>
        <v>2700.7200000000003</v>
      </c>
    </row>
    <row r="9035" spans="1:9" x14ac:dyDescent="0.3">
      <c r="A9035" t="s">
        <v>11050</v>
      </c>
      <c r="B9035" t="s">
        <v>1802</v>
      </c>
      <c r="C9035" t="s">
        <v>2057</v>
      </c>
      <c r="D9035">
        <v>3</v>
      </c>
      <c r="E9035" s="16">
        <v>35.19</v>
      </c>
      <c r="F9035" s="1">
        <v>44494</v>
      </c>
      <c r="G9035" t="s">
        <v>2041</v>
      </c>
      <c r="H9035">
        <v>1</v>
      </c>
      <c r="I9035" s="12">
        <f>Table16[[#This Row],[price]]*Table16[[#This Row],[quantity]]</f>
        <v>105.57</v>
      </c>
    </row>
    <row r="9036" spans="1:9" x14ac:dyDescent="0.3">
      <c r="A9036" t="s">
        <v>11053</v>
      </c>
      <c r="B9036" t="s">
        <v>1803</v>
      </c>
      <c r="C9036" t="s">
        <v>2001</v>
      </c>
      <c r="D9036">
        <v>1</v>
      </c>
      <c r="E9036" s="16">
        <v>300.08</v>
      </c>
      <c r="F9036" s="1">
        <v>44541</v>
      </c>
      <c r="G9036" t="s">
        <v>2002</v>
      </c>
      <c r="H9036">
        <v>5</v>
      </c>
      <c r="I9036" s="12">
        <f>Table16[[#This Row],[price]]*Table16[[#This Row],[quantity]]</f>
        <v>300.08</v>
      </c>
    </row>
    <row r="9037" spans="1:9" x14ac:dyDescent="0.3">
      <c r="A9037" t="s">
        <v>11052</v>
      </c>
      <c r="B9037" t="s">
        <v>1803</v>
      </c>
      <c r="C9037" t="s">
        <v>2015</v>
      </c>
      <c r="D9037">
        <v>4</v>
      </c>
      <c r="E9037" s="16">
        <v>2400.6799999999998</v>
      </c>
      <c r="F9037" s="1">
        <v>44743</v>
      </c>
      <c r="G9037" t="s">
        <v>2041</v>
      </c>
      <c r="H9037">
        <v>3</v>
      </c>
      <c r="I9037" s="12">
        <f>Table16[[#This Row],[price]]*Table16[[#This Row],[quantity]]</f>
        <v>9602.7199999999993</v>
      </c>
    </row>
    <row r="9038" spans="1:9" x14ac:dyDescent="0.3">
      <c r="A9038" t="s">
        <v>11054</v>
      </c>
      <c r="B9038" t="s">
        <v>1803</v>
      </c>
      <c r="C9038" t="s">
        <v>2008</v>
      </c>
      <c r="D9038">
        <v>1</v>
      </c>
      <c r="E9038" s="16">
        <v>5.23</v>
      </c>
      <c r="F9038" s="1">
        <v>44750</v>
      </c>
      <c r="G9038" t="s">
        <v>2002</v>
      </c>
      <c r="H9038">
        <v>4</v>
      </c>
      <c r="I9038" s="12">
        <f>Table16[[#This Row],[price]]*Table16[[#This Row],[quantity]]</f>
        <v>5.23</v>
      </c>
    </row>
    <row r="9039" spans="1:9" x14ac:dyDescent="0.3">
      <c r="A9039" t="s">
        <v>11055</v>
      </c>
      <c r="B9039" t="s">
        <v>1803</v>
      </c>
      <c r="C9039" t="s">
        <v>2024</v>
      </c>
      <c r="D9039">
        <v>5</v>
      </c>
      <c r="E9039" s="16">
        <v>179.2</v>
      </c>
      <c r="F9039" s="1">
        <v>44926</v>
      </c>
      <c r="G9039" t="s">
        <v>2020</v>
      </c>
      <c r="H9039">
        <v>4</v>
      </c>
      <c r="I9039" s="12">
        <f>Table16[[#This Row],[price]]*Table16[[#This Row],[quantity]]</f>
        <v>896</v>
      </c>
    </row>
    <row r="9040" spans="1:9" x14ac:dyDescent="0.3">
      <c r="A9040" t="s">
        <v>11057</v>
      </c>
      <c r="B9040" t="s">
        <v>1804</v>
      </c>
      <c r="C9040" t="s">
        <v>2001</v>
      </c>
      <c r="D9040">
        <v>3</v>
      </c>
      <c r="E9040" s="16">
        <v>900.24</v>
      </c>
      <c r="F9040" s="1">
        <v>44359</v>
      </c>
      <c r="G9040" t="s">
        <v>2009</v>
      </c>
      <c r="H9040">
        <v>2</v>
      </c>
      <c r="I9040" s="12">
        <f>Table16[[#This Row],[price]]*Table16[[#This Row],[quantity]]</f>
        <v>2700.7200000000003</v>
      </c>
    </row>
    <row r="9041" spans="1:9" x14ac:dyDescent="0.3">
      <c r="A9041" t="s">
        <v>11058</v>
      </c>
      <c r="B9041" t="s">
        <v>1804</v>
      </c>
      <c r="C9041" t="s">
        <v>2001</v>
      </c>
      <c r="D9041">
        <v>2</v>
      </c>
      <c r="E9041" s="16">
        <v>600.16</v>
      </c>
      <c r="F9041" s="1">
        <v>44461</v>
      </c>
      <c r="G9041" t="s">
        <v>2002</v>
      </c>
      <c r="H9041">
        <v>1</v>
      </c>
      <c r="I9041" s="12">
        <f>Table16[[#This Row],[price]]*Table16[[#This Row],[quantity]]</f>
        <v>1200.32</v>
      </c>
    </row>
    <row r="9042" spans="1:9" x14ac:dyDescent="0.3">
      <c r="A9042" t="s">
        <v>11056</v>
      </c>
      <c r="B9042" t="s">
        <v>1804</v>
      </c>
      <c r="C9042" t="s">
        <v>2008</v>
      </c>
      <c r="D9042">
        <v>1</v>
      </c>
      <c r="E9042" s="16">
        <v>5.23</v>
      </c>
      <c r="F9042" s="1">
        <v>44881</v>
      </c>
      <c r="G9042" t="s">
        <v>2004</v>
      </c>
      <c r="H9042">
        <v>2</v>
      </c>
      <c r="I9042" s="12">
        <f>Table16[[#This Row],[price]]*Table16[[#This Row],[quantity]]</f>
        <v>5.23</v>
      </c>
    </row>
    <row r="9043" spans="1:9" x14ac:dyDescent="0.3">
      <c r="A9043" t="s">
        <v>11062</v>
      </c>
      <c r="B9043" t="s">
        <v>1805</v>
      </c>
      <c r="C9043" t="s">
        <v>2001</v>
      </c>
      <c r="D9043">
        <v>5</v>
      </c>
      <c r="E9043" s="16">
        <v>1500.4</v>
      </c>
      <c r="F9043" s="1">
        <v>44387</v>
      </c>
      <c r="G9043" t="s">
        <v>2027</v>
      </c>
      <c r="H9043">
        <v>1</v>
      </c>
      <c r="I9043" s="12">
        <f>Table16[[#This Row],[price]]*Table16[[#This Row],[quantity]]</f>
        <v>7502</v>
      </c>
    </row>
    <row r="9044" spans="1:9" x14ac:dyDescent="0.3">
      <c r="A9044" t="s">
        <v>11063</v>
      </c>
      <c r="B9044" t="s">
        <v>1805</v>
      </c>
      <c r="C9044" t="s">
        <v>2008</v>
      </c>
      <c r="D9044">
        <v>5</v>
      </c>
      <c r="E9044" s="16">
        <v>26.15</v>
      </c>
      <c r="F9044" s="1">
        <v>44671</v>
      </c>
      <c r="G9044" t="s">
        <v>2018</v>
      </c>
      <c r="H9044">
        <v>2</v>
      </c>
      <c r="I9044" s="12">
        <f>Table16[[#This Row],[price]]*Table16[[#This Row],[quantity]]</f>
        <v>130.75</v>
      </c>
    </row>
    <row r="9045" spans="1:9" x14ac:dyDescent="0.3">
      <c r="A9045" t="s">
        <v>11059</v>
      </c>
      <c r="B9045" t="s">
        <v>1805</v>
      </c>
      <c r="C9045" t="s">
        <v>2001</v>
      </c>
      <c r="D9045">
        <v>3</v>
      </c>
      <c r="E9045" s="16">
        <v>900.24</v>
      </c>
      <c r="F9045" s="1">
        <v>44741</v>
      </c>
      <c r="G9045" t="s">
        <v>2002</v>
      </c>
      <c r="H9045">
        <v>5</v>
      </c>
      <c r="I9045" s="12">
        <f>Table16[[#This Row],[price]]*Table16[[#This Row],[quantity]]</f>
        <v>2700.7200000000003</v>
      </c>
    </row>
    <row r="9046" spans="1:9" x14ac:dyDescent="0.3">
      <c r="A9046" t="s">
        <v>11061</v>
      </c>
      <c r="B9046" t="s">
        <v>1805</v>
      </c>
      <c r="C9046" t="s">
        <v>2001</v>
      </c>
      <c r="D9046">
        <v>2</v>
      </c>
      <c r="E9046" s="16">
        <v>600.16</v>
      </c>
      <c r="F9046" s="1">
        <v>44811</v>
      </c>
      <c r="G9046" t="s">
        <v>2058</v>
      </c>
      <c r="H9046">
        <v>2</v>
      </c>
      <c r="I9046" s="12">
        <f>Table16[[#This Row],[price]]*Table16[[#This Row],[quantity]]</f>
        <v>1200.32</v>
      </c>
    </row>
    <row r="9047" spans="1:9" x14ac:dyDescent="0.3">
      <c r="A9047" t="s">
        <v>11060</v>
      </c>
      <c r="B9047" t="s">
        <v>1805</v>
      </c>
      <c r="C9047" t="s">
        <v>2024</v>
      </c>
      <c r="D9047">
        <v>5</v>
      </c>
      <c r="E9047" s="16">
        <v>179.2</v>
      </c>
      <c r="F9047" s="1">
        <v>44863</v>
      </c>
      <c r="G9047" t="s">
        <v>2064</v>
      </c>
      <c r="H9047">
        <v>3</v>
      </c>
      <c r="I9047" s="12">
        <f>Table16[[#This Row],[price]]*Table16[[#This Row],[quantity]]</f>
        <v>896</v>
      </c>
    </row>
    <row r="9048" spans="1:9" x14ac:dyDescent="0.3">
      <c r="A9048" t="s">
        <v>11066</v>
      </c>
      <c r="B9048" t="s">
        <v>1806</v>
      </c>
      <c r="C9048" t="s">
        <v>2011</v>
      </c>
      <c r="D9048">
        <v>4</v>
      </c>
      <c r="E9048" s="16">
        <v>162.63999999999999</v>
      </c>
      <c r="F9048" s="1">
        <v>44519</v>
      </c>
      <c r="G9048" t="s">
        <v>2004</v>
      </c>
      <c r="H9048">
        <v>2</v>
      </c>
      <c r="I9048" s="12">
        <f>Table16[[#This Row],[price]]*Table16[[#This Row],[quantity]]</f>
        <v>650.55999999999995</v>
      </c>
    </row>
    <row r="9049" spans="1:9" x14ac:dyDescent="0.3">
      <c r="A9049" t="s">
        <v>11068</v>
      </c>
      <c r="B9049" t="s">
        <v>1806</v>
      </c>
      <c r="C9049" t="s">
        <v>2001</v>
      </c>
      <c r="D9049">
        <v>4</v>
      </c>
      <c r="E9049" s="16">
        <v>1200.32</v>
      </c>
      <c r="F9049" s="1">
        <v>44622</v>
      </c>
      <c r="G9049" t="s">
        <v>2020</v>
      </c>
      <c r="H9049">
        <v>1</v>
      </c>
      <c r="I9049" s="12">
        <f>Table16[[#This Row],[price]]*Table16[[#This Row],[quantity]]</f>
        <v>4801.28</v>
      </c>
    </row>
    <row r="9050" spans="1:9" x14ac:dyDescent="0.3">
      <c r="A9050" t="s">
        <v>11064</v>
      </c>
      <c r="B9050" t="s">
        <v>1806</v>
      </c>
      <c r="C9050" t="s">
        <v>2011</v>
      </c>
      <c r="D9050">
        <v>4</v>
      </c>
      <c r="E9050" s="16">
        <v>162.63999999999999</v>
      </c>
      <c r="F9050" s="1">
        <v>44799</v>
      </c>
      <c r="G9050" t="s">
        <v>2002</v>
      </c>
      <c r="H9050">
        <v>5</v>
      </c>
      <c r="I9050" s="12">
        <f>Table16[[#This Row],[price]]*Table16[[#This Row],[quantity]]</f>
        <v>650.55999999999995</v>
      </c>
    </row>
    <row r="9051" spans="1:9" x14ac:dyDescent="0.3">
      <c r="A9051" t="s">
        <v>11065</v>
      </c>
      <c r="B9051" t="s">
        <v>1806</v>
      </c>
      <c r="C9051" t="s">
        <v>2001</v>
      </c>
      <c r="D9051">
        <v>3</v>
      </c>
      <c r="E9051" s="16">
        <v>900.24</v>
      </c>
      <c r="F9051" s="1">
        <v>44924</v>
      </c>
      <c r="G9051" t="s">
        <v>2041</v>
      </c>
      <c r="H9051">
        <v>4</v>
      </c>
      <c r="I9051" s="12">
        <f>Table16[[#This Row],[price]]*Table16[[#This Row],[quantity]]</f>
        <v>2700.7200000000003</v>
      </c>
    </row>
    <row r="9052" spans="1:9" x14ac:dyDescent="0.3">
      <c r="A9052" t="s">
        <v>11067</v>
      </c>
      <c r="B9052" t="s">
        <v>1806</v>
      </c>
      <c r="C9052" t="s">
        <v>2001</v>
      </c>
      <c r="D9052">
        <v>3</v>
      </c>
      <c r="E9052" s="16">
        <v>900.24</v>
      </c>
      <c r="F9052" s="1">
        <v>44935</v>
      </c>
      <c r="G9052" t="s">
        <v>2012</v>
      </c>
      <c r="H9052">
        <v>4</v>
      </c>
      <c r="I9052" s="12">
        <f>Table16[[#This Row],[price]]*Table16[[#This Row],[quantity]]</f>
        <v>2700.7200000000003</v>
      </c>
    </row>
    <row r="9053" spans="1:9" x14ac:dyDescent="0.3">
      <c r="A9053" t="s">
        <v>11072</v>
      </c>
      <c r="B9053" t="s">
        <v>1807</v>
      </c>
      <c r="C9053" t="s">
        <v>2001</v>
      </c>
      <c r="D9053">
        <v>1</v>
      </c>
      <c r="E9053" s="16">
        <v>300.08</v>
      </c>
      <c r="F9053" s="1">
        <v>44211</v>
      </c>
      <c r="G9053" t="s">
        <v>2009</v>
      </c>
      <c r="H9053">
        <v>4</v>
      </c>
      <c r="I9053" s="12">
        <f>Table16[[#This Row],[price]]*Table16[[#This Row],[quantity]]</f>
        <v>300.08</v>
      </c>
    </row>
    <row r="9054" spans="1:9" x14ac:dyDescent="0.3">
      <c r="A9054" t="s">
        <v>11069</v>
      </c>
      <c r="B9054" t="s">
        <v>1807</v>
      </c>
      <c r="C9054" t="s">
        <v>2008</v>
      </c>
      <c r="D9054">
        <v>3</v>
      </c>
      <c r="E9054" s="16">
        <v>15.69</v>
      </c>
      <c r="F9054" s="1">
        <v>44243</v>
      </c>
      <c r="G9054" t="s">
        <v>2004</v>
      </c>
      <c r="H9054">
        <v>2</v>
      </c>
      <c r="I9054" s="12">
        <f>Table16[[#This Row],[price]]*Table16[[#This Row],[quantity]]</f>
        <v>47.07</v>
      </c>
    </row>
    <row r="9055" spans="1:9" x14ac:dyDescent="0.3">
      <c r="A9055" t="s">
        <v>11071</v>
      </c>
      <c r="B9055" t="s">
        <v>1807</v>
      </c>
      <c r="C9055" t="s">
        <v>2015</v>
      </c>
      <c r="D9055">
        <v>3</v>
      </c>
      <c r="E9055" s="16">
        <v>1800.51</v>
      </c>
      <c r="F9055" s="1">
        <v>44255</v>
      </c>
      <c r="G9055" t="s">
        <v>2002</v>
      </c>
      <c r="H9055">
        <v>1</v>
      </c>
      <c r="I9055" s="12">
        <f>Table16[[#This Row],[price]]*Table16[[#This Row],[quantity]]</f>
        <v>5401.53</v>
      </c>
    </row>
    <row r="9056" spans="1:9" x14ac:dyDescent="0.3">
      <c r="A9056" t="s">
        <v>11073</v>
      </c>
      <c r="B9056" t="s">
        <v>1807</v>
      </c>
      <c r="C9056" t="s">
        <v>2001</v>
      </c>
      <c r="D9056">
        <v>2</v>
      </c>
      <c r="E9056" s="16">
        <v>600.16</v>
      </c>
      <c r="F9056" s="1">
        <v>44509</v>
      </c>
      <c r="G9056" t="s">
        <v>2027</v>
      </c>
      <c r="H9056">
        <v>2</v>
      </c>
      <c r="I9056" s="12">
        <f>Table16[[#This Row],[price]]*Table16[[#This Row],[quantity]]</f>
        <v>1200.32</v>
      </c>
    </row>
    <row r="9057" spans="1:9" x14ac:dyDescent="0.3">
      <c r="A9057" t="s">
        <v>11070</v>
      </c>
      <c r="B9057" t="s">
        <v>1807</v>
      </c>
      <c r="C9057" t="s">
        <v>2008</v>
      </c>
      <c r="D9057">
        <v>1</v>
      </c>
      <c r="E9057" s="16">
        <v>5.23</v>
      </c>
      <c r="F9057" s="1">
        <v>44564</v>
      </c>
      <c r="G9057" t="s">
        <v>2002</v>
      </c>
      <c r="H9057">
        <v>3</v>
      </c>
      <c r="I9057" s="12">
        <f>Table16[[#This Row],[price]]*Table16[[#This Row],[quantity]]</f>
        <v>5.23</v>
      </c>
    </row>
    <row r="9058" spans="1:9" x14ac:dyDescent="0.3">
      <c r="A9058" t="s">
        <v>11074</v>
      </c>
      <c r="B9058" t="s">
        <v>1807</v>
      </c>
      <c r="C9058" t="s">
        <v>2024</v>
      </c>
      <c r="D9058">
        <v>2</v>
      </c>
      <c r="E9058" s="16">
        <v>71.680000000000007</v>
      </c>
      <c r="F9058" s="1">
        <v>44780</v>
      </c>
      <c r="G9058" t="s">
        <v>2002</v>
      </c>
      <c r="H9058">
        <v>5</v>
      </c>
      <c r="I9058" s="12">
        <f>Table16[[#This Row],[price]]*Table16[[#This Row],[quantity]]</f>
        <v>143.36000000000001</v>
      </c>
    </row>
    <row r="9059" spans="1:9" x14ac:dyDescent="0.3">
      <c r="A9059" t="s">
        <v>11078</v>
      </c>
      <c r="B9059" t="s">
        <v>1808</v>
      </c>
      <c r="C9059" t="s">
        <v>2011</v>
      </c>
      <c r="D9059">
        <v>1</v>
      </c>
      <c r="E9059" s="16">
        <v>40.659999999999997</v>
      </c>
      <c r="F9059" s="1">
        <v>44264</v>
      </c>
      <c r="G9059" t="s">
        <v>2004</v>
      </c>
      <c r="H9059">
        <v>1</v>
      </c>
      <c r="I9059" s="12">
        <f>Table16[[#This Row],[price]]*Table16[[#This Row],[quantity]]</f>
        <v>40.659999999999997</v>
      </c>
    </row>
    <row r="9060" spans="1:9" x14ac:dyDescent="0.3">
      <c r="A9060" t="s">
        <v>11079</v>
      </c>
      <c r="B9060" t="s">
        <v>1808</v>
      </c>
      <c r="C9060" t="s">
        <v>2024</v>
      </c>
      <c r="D9060">
        <v>3</v>
      </c>
      <c r="E9060" s="16">
        <v>107.52</v>
      </c>
      <c r="F9060" s="1">
        <v>44372</v>
      </c>
      <c r="G9060" t="s">
        <v>2020</v>
      </c>
      <c r="H9060">
        <v>2</v>
      </c>
      <c r="I9060" s="12">
        <f>Table16[[#This Row],[price]]*Table16[[#This Row],[quantity]]</f>
        <v>322.56</v>
      </c>
    </row>
    <row r="9061" spans="1:9" x14ac:dyDescent="0.3">
      <c r="A9061" t="s">
        <v>11075</v>
      </c>
      <c r="B9061" t="s">
        <v>1808</v>
      </c>
      <c r="C9061" t="s">
        <v>2015</v>
      </c>
      <c r="D9061">
        <v>5</v>
      </c>
      <c r="E9061" s="16">
        <v>3000.85</v>
      </c>
      <c r="F9061" s="1">
        <v>44656</v>
      </c>
      <c r="G9061" t="s">
        <v>2064</v>
      </c>
      <c r="H9061">
        <v>4</v>
      </c>
      <c r="I9061" s="12">
        <f>Table16[[#This Row],[price]]*Table16[[#This Row],[quantity]]</f>
        <v>15004.25</v>
      </c>
    </row>
    <row r="9062" spans="1:9" x14ac:dyDescent="0.3">
      <c r="A9062" t="s">
        <v>11076</v>
      </c>
      <c r="B9062" t="s">
        <v>1808</v>
      </c>
      <c r="C9062" t="s">
        <v>2008</v>
      </c>
      <c r="D9062">
        <v>3</v>
      </c>
      <c r="E9062" s="16">
        <v>15.69</v>
      </c>
      <c r="F9062" s="1">
        <v>44795</v>
      </c>
      <c r="G9062" t="s">
        <v>2002</v>
      </c>
      <c r="H9062">
        <v>5</v>
      </c>
      <c r="I9062" s="12">
        <f>Table16[[#This Row],[price]]*Table16[[#This Row],[quantity]]</f>
        <v>47.07</v>
      </c>
    </row>
    <row r="9063" spans="1:9" x14ac:dyDescent="0.3">
      <c r="A9063" t="s">
        <v>11077</v>
      </c>
      <c r="B9063" t="s">
        <v>1808</v>
      </c>
      <c r="C9063" t="s">
        <v>2017</v>
      </c>
      <c r="D9063">
        <v>4</v>
      </c>
      <c r="E9063" s="16">
        <v>4200</v>
      </c>
      <c r="F9063" s="1">
        <v>44923</v>
      </c>
      <c r="G9063" t="s">
        <v>2002</v>
      </c>
      <c r="H9063">
        <v>4</v>
      </c>
      <c r="I9063" s="12">
        <f>Table16[[#This Row],[price]]*Table16[[#This Row],[quantity]]</f>
        <v>16800</v>
      </c>
    </row>
    <row r="9064" spans="1:9" x14ac:dyDescent="0.3">
      <c r="A9064" t="s">
        <v>11081</v>
      </c>
      <c r="B9064" t="s">
        <v>1809</v>
      </c>
      <c r="C9064" t="s">
        <v>2057</v>
      </c>
      <c r="D9064">
        <v>4</v>
      </c>
      <c r="E9064" s="16">
        <v>46.92</v>
      </c>
      <c r="F9064" s="1">
        <v>44212</v>
      </c>
      <c r="G9064" t="s">
        <v>2009</v>
      </c>
      <c r="H9064">
        <v>2</v>
      </c>
      <c r="I9064" s="12">
        <f>Table16[[#This Row],[price]]*Table16[[#This Row],[quantity]]</f>
        <v>187.68</v>
      </c>
    </row>
    <row r="9065" spans="1:9" x14ac:dyDescent="0.3">
      <c r="A9065" t="s">
        <v>11082</v>
      </c>
      <c r="B9065" t="s">
        <v>1809</v>
      </c>
      <c r="C9065" t="s">
        <v>2001</v>
      </c>
      <c r="D9065">
        <v>3</v>
      </c>
      <c r="E9065" s="16">
        <v>900.24</v>
      </c>
      <c r="F9065" s="1">
        <v>44267</v>
      </c>
      <c r="G9065" t="s">
        <v>2018</v>
      </c>
      <c r="H9065">
        <v>2</v>
      </c>
      <c r="I9065" s="12">
        <f>Table16[[#This Row],[price]]*Table16[[#This Row],[quantity]]</f>
        <v>2700.7200000000003</v>
      </c>
    </row>
    <row r="9066" spans="1:9" x14ac:dyDescent="0.3">
      <c r="A9066" t="s">
        <v>11084</v>
      </c>
      <c r="B9066" t="s">
        <v>1809</v>
      </c>
      <c r="C9066" t="s">
        <v>2001</v>
      </c>
      <c r="D9066">
        <v>2</v>
      </c>
      <c r="E9066" s="16">
        <v>600.16</v>
      </c>
      <c r="F9066" s="1">
        <v>44543</v>
      </c>
      <c r="G9066" t="s">
        <v>2004</v>
      </c>
      <c r="H9066">
        <v>3</v>
      </c>
      <c r="I9066" s="12">
        <f>Table16[[#This Row],[price]]*Table16[[#This Row],[quantity]]</f>
        <v>1200.32</v>
      </c>
    </row>
    <row r="9067" spans="1:9" x14ac:dyDescent="0.3">
      <c r="A9067" t="s">
        <v>11085</v>
      </c>
      <c r="B9067" t="s">
        <v>1809</v>
      </c>
      <c r="C9067" t="s">
        <v>2011</v>
      </c>
      <c r="D9067">
        <v>3</v>
      </c>
      <c r="E9067" s="16">
        <v>121.98</v>
      </c>
      <c r="F9067" s="1">
        <v>44900</v>
      </c>
      <c r="G9067" t="s">
        <v>2004</v>
      </c>
      <c r="H9067">
        <v>3</v>
      </c>
      <c r="I9067" s="12">
        <f>Table16[[#This Row],[price]]*Table16[[#This Row],[quantity]]</f>
        <v>365.94</v>
      </c>
    </row>
    <row r="9068" spans="1:9" x14ac:dyDescent="0.3">
      <c r="A9068" t="s">
        <v>11080</v>
      </c>
      <c r="B9068" t="s">
        <v>1809</v>
      </c>
      <c r="C9068" t="s">
        <v>2011</v>
      </c>
      <c r="D9068">
        <v>5</v>
      </c>
      <c r="E9068" s="16">
        <v>203.3</v>
      </c>
      <c r="F9068" s="1">
        <v>44921</v>
      </c>
      <c r="G9068" t="s">
        <v>2018</v>
      </c>
      <c r="H9068">
        <v>5</v>
      </c>
      <c r="I9068" s="12">
        <f>Table16[[#This Row],[price]]*Table16[[#This Row],[quantity]]</f>
        <v>1016.5</v>
      </c>
    </row>
    <row r="9069" spans="1:9" x14ac:dyDescent="0.3">
      <c r="A9069" t="s">
        <v>11083</v>
      </c>
      <c r="B9069" t="s">
        <v>1809</v>
      </c>
      <c r="C9069" t="s">
        <v>2011</v>
      </c>
      <c r="D9069">
        <v>4</v>
      </c>
      <c r="E9069" s="16">
        <v>162.63999999999999</v>
      </c>
      <c r="F9069" s="1">
        <v>44922</v>
      </c>
      <c r="G9069" t="s">
        <v>2041</v>
      </c>
      <c r="H9069">
        <v>3</v>
      </c>
      <c r="I9069" s="12">
        <f>Table16[[#This Row],[price]]*Table16[[#This Row],[quantity]]</f>
        <v>650.55999999999995</v>
      </c>
    </row>
    <row r="9070" spans="1:9" x14ac:dyDescent="0.3">
      <c r="A9070" t="s">
        <v>11088</v>
      </c>
      <c r="B9070" t="s">
        <v>1810</v>
      </c>
      <c r="C9070" t="s">
        <v>2001</v>
      </c>
      <c r="D9070">
        <v>1</v>
      </c>
      <c r="E9070" s="16">
        <v>300.08</v>
      </c>
      <c r="F9070" s="1">
        <v>44219</v>
      </c>
      <c r="G9070" t="s">
        <v>2009</v>
      </c>
      <c r="H9070">
        <v>1</v>
      </c>
      <c r="I9070" s="12">
        <f>Table16[[#This Row],[price]]*Table16[[#This Row],[quantity]]</f>
        <v>300.08</v>
      </c>
    </row>
    <row r="9071" spans="1:9" x14ac:dyDescent="0.3">
      <c r="A9071" t="s">
        <v>11089</v>
      </c>
      <c r="B9071" t="s">
        <v>1810</v>
      </c>
      <c r="C9071" t="s">
        <v>2011</v>
      </c>
      <c r="D9071">
        <v>2</v>
      </c>
      <c r="E9071" s="16">
        <v>81.319999999999993</v>
      </c>
      <c r="F9071" s="1">
        <v>44513</v>
      </c>
      <c r="G9071" t="s">
        <v>2027</v>
      </c>
      <c r="H9071">
        <v>5</v>
      </c>
      <c r="I9071" s="12">
        <f>Table16[[#This Row],[price]]*Table16[[#This Row],[quantity]]</f>
        <v>162.63999999999999</v>
      </c>
    </row>
    <row r="9072" spans="1:9" x14ac:dyDescent="0.3">
      <c r="A9072" t="s">
        <v>11086</v>
      </c>
      <c r="B9072" t="s">
        <v>1810</v>
      </c>
      <c r="C9072" t="s">
        <v>2006</v>
      </c>
      <c r="D9072">
        <v>1</v>
      </c>
      <c r="E9072" s="16">
        <v>15.15</v>
      </c>
      <c r="F9072" s="1">
        <v>44627</v>
      </c>
      <c r="G9072" t="s">
        <v>2020</v>
      </c>
      <c r="H9072">
        <v>5</v>
      </c>
      <c r="I9072" s="12">
        <f>Table16[[#This Row],[price]]*Table16[[#This Row],[quantity]]</f>
        <v>15.15</v>
      </c>
    </row>
    <row r="9073" spans="1:9" x14ac:dyDescent="0.3">
      <c r="A9073" t="s">
        <v>11087</v>
      </c>
      <c r="B9073" t="s">
        <v>1810</v>
      </c>
      <c r="C9073" t="s">
        <v>2001</v>
      </c>
      <c r="D9073">
        <v>5</v>
      </c>
      <c r="E9073" s="16">
        <v>1500.4</v>
      </c>
      <c r="F9073" s="1">
        <v>44784</v>
      </c>
      <c r="G9073" t="s">
        <v>2027</v>
      </c>
      <c r="H9073">
        <v>3</v>
      </c>
      <c r="I9073" s="12">
        <f>Table16[[#This Row],[price]]*Table16[[#This Row],[quantity]]</f>
        <v>7502</v>
      </c>
    </row>
    <row r="9074" spans="1:9" x14ac:dyDescent="0.3">
      <c r="A9074" t="s">
        <v>11091</v>
      </c>
      <c r="B9074" t="s">
        <v>1811</v>
      </c>
      <c r="C9074" t="s">
        <v>2001</v>
      </c>
      <c r="D9074">
        <v>1</v>
      </c>
      <c r="E9074" s="16">
        <v>300.08</v>
      </c>
      <c r="F9074" s="1">
        <v>44211</v>
      </c>
      <c r="G9074" t="s">
        <v>2064</v>
      </c>
      <c r="H9074">
        <v>1</v>
      </c>
      <c r="I9074" s="12">
        <f>Table16[[#This Row],[price]]*Table16[[#This Row],[quantity]]</f>
        <v>300.08</v>
      </c>
    </row>
    <row r="9075" spans="1:9" x14ac:dyDescent="0.3">
      <c r="A9075" t="s">
        <v>11094</v>
      </c>
      <c r="B9075" t="s">
        <v>1811</v>
      </c>
      <c r="C9075" t="s">
        <v>2011</v>
      </c>
      <c r="D9075">
        <v>1</v>
      </c>
      <c r="E9075" s="16">
        <v>40.659999999999997</v>
      </c>
      <c r="F9075" s="1">
        <v>44603</v>
      </c>
      <c r="G9075" t="s">
        <v>2027</v>
      </c>
      <c r="H9075">
        <v>4</v>
      </c>
      <c r="I9075" s="12">
        <f>Table16[[#This Row],[price]]*Table16[[#This Row],[quantity]]</f>
        <v>40.659999999999997</v>
      </c>
    </row>
    <row r="9076" spans="1:9" x14ac:dyDescent="0.3">
      <c r="A9076" t="s">
        <v>11092</v>
      </c>
      <c r="B9076" t="s">
        <v>1811</v>
      </c>
      <c r="C9076" t="s">
        <v>2057</v>
      </c>
      <c r="D9076">
        <v>3</v>
      </c>
      <c r="E9076" s="16">
        <v>35.19</v>
      </c>
      <c r="F9076" s="1">
        <v>44749</v>
      </c>
      <c r="G9076" t="s">
        <v>2027</v>
      </c>
      <c r="H9076">
        <v>4</v>
      </c>
      <c r="I9076" s="12">
        <f>Table16[[#This Row],[price]]*Table16[[#This Row],[quantity]]</f>
        <v>105.57</v>
      </c>
    </row>
    <row r="9077" spans="1:9" x14ac:dyDescent="0.3">
      <c r="A9077" t="s">
        <v>11090</v>
      </c>
      <c r="B9077" t="s">
        <v>1811</v>
      </c>
      <c r="C9077" t="s">
        <v>2024</v>
      </c>
      <c r="D9077">
        <v>2</v>
      </c>
      <c r="E9077" s="16">
        <v>71.680000000000007</v>
      </c>
      <c r="F9077" s="1">
        <v>44755</v>
      </c>
      <c r="G9077" t="s">
        <v>2041</v>
      </c>
      <c r="H9077">
        <v>5</v>
      </c>
      <c r="I9077" s="12">
        <f>Table16[[#This Row],[price]]*Table16[[#This Row],[quantity]]</f>
        <v>143.36000000000001</v>
      </c>
    </row>
    <row r="9078" spans="1:9" x14ac:dyDescent="0.3">
      <c r="A9078" t="s">
        <v>11093</v>
      </c>
      <c r="B9078" t="s">
        <v>1811</v>
      </c>
      <c r="C9078" t="s">
        <v>2001</v>
      </c>
      <c r="D9078">
        <v>3</v>
      </c>
      <c r="E9078" s="16">
        <v>900.24</v>
      </c>
      <c r="F9078" s="1">
        <v>44785</v>
      </c>
      <c r="G9078" t="s">
        <v>2020</v>
      </c>
      <c r="H9078">
        <v>4</v>
      </c>
      <c r="I9078" s="12">
        <f>Table16[[#This Row],[price]]*Table16[[#This Row],[quantity]]</f>
        <v>2700.7200000000003</v>
      </c>
    </row>
    <row r="9079" spans="1:9" x14ac:dyDescent="0.3">
      <c r="A9079" t="s">
        <v>11098</v>
      </c>
      <c r="B9079" t="s">
        <v>1812</v>
      </c>
      <c r="C9079" t="s">
        <v>2011</v>
      </c>
      <c r="D9079">
        <v>3</v>
      </c>
      <c r="E9079" s="16">
        <v>121.98</v>
      </c>
      <c r="F9079" s="1">
        <v>44372</v>
      </c>
      <c r="G9079" t="s">
        <v>2058</v>
      </c>
      <c r="H9079">
        <v>1</v>
      </c>
      <c r="I9079" s="12">
        <f>Table16[[#This Row],[price]]*Table16[[#This Row],[quantity]]</f>
        <v>365.94</v>
      </c>
    </row>
    <row r="9080" spans="1:9" x14ac:dyDescent="0.3">
      <c r="A9080" t="s">
        <v>11095</v>
      </c>
      <c r="B9080" t="s">
        <v>1812</v>
      </c>
      <c r="C9080" t="s">
        <v>2001</v>
      </c>
      <c r="D9080">
        <v>2</v>
      </c>
      <c r="E9080" s="16">
        <v>600.16</v>
      </c>
      <c r="F9080" s="1">
        <v>44424</v>
      </c>
      <c r="G9080" t="s">
        <v>2009</v>
      </c>
      <c r="H9080">
        <v>1</v>
      </c>
      <c r="I9080" s="12">
        <f>Table16[[#This Row],[price]]*Table16[[#This Row],[quantity]]</f>
        <v>1200.32</v>
      </c>
    </row>
    <row r="9081" spans="1:9" x14ac:dyDescent="0.3">
      <c r="A9081" t="s">
        <v>11099</v>
      </c>
      <c r="B9081" t="s">
        <v>1812</v>
      </c>
      <c r="C9081" t="s">
        <v>2024</v>
      </c>
      <c r="D9081">
        <v>1</v>
      </c>
      <c r="E9081" s="16">
        <v>35.840000000000003</v>
      </c>
      <c r="F9081" s="1">
        <v>44727</v>
      </c>
      <c r="G9081" t="s">
        <v>2012</v>
      </c>
      <c r="H9081">
        <v>2</v>
      </c>
      <c r="I9081" s="12">
        <f>Table16[[#This Row],[price]]*Table16[[#This Row],[quantity]]</f>
        <v>35.840000000000003</v>
      </c>
    </row>
    <row r="9082" spans="1:9" x14ac:dyDescent="0.3">
      <c r="A9082" t="s">
        <v>11097</v>
      </c>
      <c r="B9082" t="s">
        <v>1812</v>
      </c>
      <c r="C9082" t="s">
        <v>2011</v>
      </c>
      <c r="D9082">
        <v>4</v>
      </c>
      <c r="E9082" s="16">
        <v>162.63999999999999</v>
      </c>
      <c r="F9082" s="1">
        <v>44849</v>
      </c>
      <c r="G9082" t="s">
        <v>2027</v>
      </c>
      <c r="H9082">
        <v>3</v>
      </c>
      <c r="I9082" s="12">
        <f>Table16[[#This Row],[price]]*Table16[[#This Row],[quantity]]</f>
        <v>650.55999999999995</v>
      </c>
    </row>
    <row r="9083" spans="1:9" x14ac:dyDescent="0.3">
      <c r="A9083" t="s">
        <v>11096</v>
      </c>
      <c r="B9083" t="s">
        <v>1812</v>
      </c>
      <c r="C9083" t="s">
        <v>2015</v>
      </c>
      <c r="D9083">
        <v>4</v>
      </c>
      <c r="E9083" s="16">
        <v>2400.6799999999998</v>
      </c>
      <c r="F9083" s="1">
        <v>44978</v>
      </c>
      <c r="G9083" t="s">
        <v>2027</v>
      </c>
      <c r="H9083">
        <v>2</v>
      </c>
      <c r="I9083" s="12">
        <f>Table16[[#This Row],[price]]*Table16[[#This Row],[quantity]]</f>
        <v>9602.7199999999993</v>
      </c>
    </row>
    <row r="9084" spans="1:9" x14ac:dyDescent="0.3">
      <c r="A9084" t="s">
        <v>11103</v>
      </c>
      <c r="B9084" t="s">
        <v>1813</v>
      </c>
      <c r="C9084" t="s">
        <v>2008</v>
      </c>
      <c r="D9084">
        <v>1</v>
      </c>
      <c r="E9084" s="16">
        <v>5.23</v>
      </c>
      <c r="F9084" s="1">
        <v>44397</v>
      </c>
      <c r="G9084" t="s">
        <v>2058</v>
      </c>
      <c r="H9084">
        <v>1</v>
      </c>
      <c r="I9084" s="12">
        <f>Table16[[#This Row],[price]]*Table16[[#This Row],[quantity]]</f>
        <v>5.23</v>
      </c>
    </row>
    <row r="9085" spans="1:9" x14ac:dyDescent="0.3">
      <c r="A9085" t="s">
        <v>11102</v>
      </c>
      <c r="B9085" t="s">
        <v>1813</v>
      </c>
      <c r="C9085" t="s">
        <v>2008</v>
      </c>
      <c r="D9085">
        <v>2</v>
      </c>
      <c r="E9085" s="16">
        <v>10.46</v>
      </c>
      <c r="F9085" s="1">
        <v>44439</v>
      </c>
      <c r="G9085" t="s">
        <v>2004</v>
      </c>
      <c r="H9085">
        <v>5</v>
      </c>
      <c r="I9085" s="12">
        <f>Table16[[#This Row],[price]]*Table16[[#This Row],[quantity]]</f>
        <v>20.92</v>
      </c>
    </row>
    <row r="9086" spans="1:9" x14ac:dyDescent="0.3">
      <c r="A9086" t="s">
        <v>11101</v>
      </c>
      <c r="B9086" t="s">
        <v>1813</v>
      </c>
      <c r="C9086" t="s">
        <v>2024</v>
      </c>
      <c r="D9086">
        <v>4</v>
      </c>
      <c r="E9086" s="16">
        <v>143.36000000000001</v>
      </c>
      <c r="F9086" s="1">
        <v>44440</v>
      </c>
      <c r="G9086" t="s">
        <v>2020</v>
      </c>
      <c r="H9086">
        <v>2</v>
      </c>
      <c r="I9086" s="12">
        <f>Table16[[#This Row],[price]]*Table16[[#This Row],[quantity]]</f>
        <v>573.44000000000005</v>
      </c>
    </row>
    <row r="9087" spans="1:9" x14ac:dyDescent="0.3">
      <c r="A9087" t="s">
        <v>11100</v>
      </c>
      <c r="B9087" t="s">
        <v>1813</v>
      </c>
      <c r="C9087" t="s">
        <v>2008</v>
      </c>
      <c r="D9087">
        <v>3</v>
      </c>
      <c r="E9087" s="16">
        <v>15.69</v>
      </c>
      <c r="F9087" s="1">
        <v>44538</v>
      </c>
      <c r="G9087" t="s">
        <v>2004</v>
      </c>
      <c r="H9087">
        <v>3</v>
      </c>
      <c r="I9087" s="12">
        <f>Table16[[#This Row],[price]]*Table16[[#This Row],[quantity]]</f>
        <v>47.07</v>
      </c>
    </row>
    <row r="9088" spans="1:9" x14ac:dyDescent="0.3">
      <c r="A9088" t="s">
        <v>11107</v>
      </c>
      <c r="B9088" t="s">
        <v>1814</v>
      </c>
      <c r="C9088" t="s">
        <v>2001</v>
      </c>
      <c r="D9088">
        <v>1</v>
      </c>
      <c r="E9088" s="16">
        <v>300.08</v>
      </c>
      <c r="F9088" s="1">
        <v>44282</v>
      </c>
      <c r="G9088" t="s">
        <v>2058</v>
      </c>
      <c r="H9088">
        <v>1</v>
      </c>
      <c r="I9088" s="12">
        <f>Table16[[#This Row],[price]]*Table16[[#This Row],[quantity]]</f>
        <v>300.08</v>
      </c>
    </row>
    <row r="9089" spans="1:9" x14ac:dyDescent="0.3">
      <c r="A9089" t="s">
        <v>11108</v>
      </c>
      <c r="B9089" t="s">
        <v>1814</v>
      </c>
      <c r="C9089" t="s">
        <v>2001</v>
      </c>
      <c r="D9089">
        <v>4</v>
      </c>
      <c r="E9089" s="16">
        <v>1200.32</v>
      </c>
      <c r="F9089" s="1">
        <v>44294</v>
      </c>
      <c r="G9089" t="s">
        <v>2002</v>
      </c>
      <c r="H9089">
        <v>1</v>
      </c>
      <c r="I9089" s="12">
        <f>Table16[[#This Row],[price]]*Table16[[#This Row],[quantity]]</f>
        <v>4801.28</v>
      </c>
    </row>
    <row r="9090" spans="1:9" x14ac:dyDescent="0.3">
      <c r="A9090" t="s">
        <v>11104</v>
      </c>
      <c r="B9090" t="s">
        <v>1814</v>
      </c>
      <c r="C9090" t="s">
        <v>2006</v>
      </c>
      <c r="D9090">
        <v>3</v>
      </c>
      <c r="E9090" s="16">
        <v>45.45</v>
      </c>
      <c r="F9090" s="1">
        <v>44607</v>
      </c>
      <c r="G9090" t="s">
        <v>2027</v>
      </c>
      <c r="H9090">
        <v>5</v>
      </c>
      <c r="I9090" s="12">
        <f>Table16[[#This Row],[price]]*Table16[[#This Row],[quantity]]</f>
        <v>136.35000000000002</v>
      </c>
    </row>
    <row r="9091" spans="1:9" x14ac:dyDescent="0.3">
      <c r="A9091" t="s">
        <v>11105</v>
      </c>
      <c r="B9091" t="s">
        <v>1814</v>
      </c>
      <c r="C9091" t="s">
        <v>2024</v>
      </c>
      <c r="D9091">
        <v>4</v>
      </c>
      <c r="E9091" s="16">
        <v>143.36000000000001</v>
      </c>
      <c r="F9091" s="1">
        <v>44821</v>
      </c>
      <c r="G9091" t="s">
        <v>2027</v>
      </c>
      <c r="H9091">
        <v>5</v>
      </c>
      <c r="I9091" s="12">
        <f>Table16[[#This Row],[price]]*Table16[[#This Row],[quantity]]</f>
        <v>573.44000000000005</v>
      </c>
    </row>
    <row r="9092" spans="1:9" x14ac:dyDescent="0.3">
      <c r="A9092" t="s">
        <v>11106</v>
      </c>
      <c r="B9092" t="s">
        <v>1814</v>
      </c>
      <c r="C9092" t="s">
        <v>2011</v>
      </c>
      <c r="D9092">
        <v>4</v>
      </c>
      <c r="E9092" s="16">
        <v>162.63999999999999</v>
      </c>
      <c r="F9092" s="1">
        <v>44834</v>
      </c>
      <c r="G9092" t="s">
        <v>2020</v>
      </c>
      <c r="H9092">
        <v>1</v>
      </c>
      <c r="I9092" s="12">
        <f>Table16[[#This Row],[price]]*Table16[[#This Row],[quantity]]</f>
        <v>650.55999999999995</v>
      </c>
    </row>
    <row r="9093" spans="1:9" x14ac:dyDescent="0.3">
      <c r="A9093" t="s">
        <v>11111</v>
      </c>
      <c r="B9093" t="s">
        <v>1815</v>
      </c>
      <c r="C9093" t="s">
        <v>2017</v>
      </c>
      <c r="D9093">
        <v>4</v>
      </c>
      <c r="E9093" s="16">
        <v>4200</v>
      </c>
      <c r="F9093" s="1">
        <v>44706</v>
      </c>
      <c r="G9093" t="s">
        <v>2064</v>
      </c>
      <c r="H9093">
        <v>1</v>
      </c>
      <c r="I9093" s="12">
        <f>Table16[[#This Row],[price]]*Table16[[#This Row],[quantity]]</f>
        <v>16800</v>
      </c>
    </row>
    <row r="9094" spans="1:9" x14ac:dyDescent="0.3">
      <c r="A9094" t="s">
        <v>11110</v>
      </c>
      <c r="B9094" t="s">
        <v>1815</v>
      </c>
      <c r="C9094" t="s">
        <v>2006</v>
      </c>
      <c r="D9094">
        <v>5</v>
      </c>
      <c r="E9094" s="16">
        <v>75.75</v>
      </c>
      <c r="F9094" s="1">
        <v>44807</v>
      </c>
      <c r="G9094" t="s">
        <v>2041</v>
      </c>
      <c r="H9094">
        <v>3</v>
      </c>
      <c r="I9094" s="12">
        <f>Table16[[#This Row],[price]]*Table16[[#This Row],[quantity]]</f>
        <v>378.75</v>
      </c>
    </row>
    <row r="9095" spans="1:9" x14ac:dyDescent="0.3">
      <c r="A9095" t="s">
        <v>11113</v>
      </c>
      <c r="B9095" t="s">
        <v>1815</v>
      </c>
      <c r="C9095" t="s">
        <v>2008</v>
      </c>
      <c r="D9095">
        <v>2</v>
      </c>
      <c r="E9095" s="16">
        <v>10.46</v>
      </c>
      <c r="F9095" s="1">
        <v>44808</v>
      </c>
      <c r="G9095" t="s">
        <v>2004</v>
      </c>
      <c r="H9095">
        <v>4</v>
      </c>
      <c r="I9095" s="12">
        <f>Table16[[#This Row],[price]]*Table16[[#This Row],[quantity]]</f>
        <v>20.92</v>
      </c>
    </row>
    <row r="9096" spans="1:9" x14ac:dyDescent="0.3">
      <c r="A9096" t="s">
        <v>11112</v>
      </c>
      <c r="B9096" t="s">
        <v>1815</v>
      </c>
      <c r="C9096" t="s">
        <v>2017</v>
      </c>
      <c r="D9096">
        <v>1</v>
      </c>
      <c r="E9096" s="16">
        <v>1050</v>
      </c>
      <c r="F9096" s="1">
        <v>44945</v>
      </c>
      <c r="G9096" t="s">
        <v>2064</v>
      </c>
      <c r="H9096">
        <v>4</v>
      </c>
      <c r="I9096" s="12">
        <f>Table16[[#This Row],[price]]*Table16[[#This Row],[quantity]]</f>
        <v>1050</v>
      </c>
    </row>
    <row r="9097" spans="1:9" x14ac:dyDescent="0.3">
      <c r="A9097" t="s">
        <v>11109</v>
      </c>
      <c r="B9097" t="s">
        <v>1815</v>
      </c>
      <c r="C9097" t="s">
        <v>2008</v>
      </c>
      <c r="D9097">
        <v>4</v>
      </c>
      <c r="E9097" s="16">
        <v>20.92</v>
      </c>
      <c r="F9097" s="1">
        <v>44955</v>
      </c>
      <c r="G9097" t="s">
        <v>2012</v>
      </c>
      <c r="H9097">
        <v>1</v>
      </c>
      <c r="I9097" s="12">
        <f>Table16[[#This Row],[price]]*Table16[[#This Row],[quantity]]</f>
        <v>83.68</v>
      </c>
    </row>
    <row r="9098" spans="1:9" x14ac:dyDescent="0.3">
      <c r="A9098" t="s">
        <v>11114</v>
      </c>
      <c r="B9098" t="s">
        <v>1816</v>
      </c>
      <c r="C9098" t="s">
        <v>2001</v>
      </c>
      <c r="D9098">
        <v>5</v>
      </c>
      <c r="E9098" s="16">
        <v>1500.4</v>
      </c>
      <c r="F9098" s="1">
        <v>44229</v>
      </c>
      <c r="G9098" t="s">
        <v>2002</v>
      </c>
      <c r="H9098">
        <v>1</v>
      </c>
      <c r="I9098" s="12">
        <f>Table16[[#This Row],[price]]*Table16[[#This Row],[quantity]]</f>
        <v>7502</v>
      </c>
    </row>
    <row r="9099" spans="1:9" x14ac:dyDescent="0.3">
      <c r="A9099" t="s">
        <v>11116</v>
      </c>
      <c r="B9099" t="s">
        <v>1816</v>
      </c>
      <c r="C9099" t="s">
        <v>2001</v>
      </c>
      <c r="D9099">
        <v>1</v>
      </c>
      <c r="E9099" s="16">
        <v>300.08</v>
      </c>
      <c r="F9099" s="1">
        <v>44272</v>
      </c>
      <c r="G9099" t="s">
        <v>2064</v>
      </c>
      <c r="H9099">
        <v>5</v>
      </c>
      <c r="I9099" s="12">
        <f>Table16[[#This Row],[price]]*Table16[[#This Row],[quantity]]</f>
        <v>300.08</v>
      </c>
    </row>
    <row r="9100" spans="1:9" x14ac:dyDescent="0.3">
      <c r="A9100" t="s">
        <v>11117</v>
      </c>
      <c r="B9100" t="s">
        <v>1816</v>
      </c>
      <c r="C9100" t="s">
        <v>2024</v>
      </c>
      <c r="D9100">
        <v>4</v>
      </c>
      <c r="E9100" s="16">
        <v>143.36000000000001</v>
      </c>
      <c r="F9100" s="1">
        <v>44354</v>
      </c>
      <c r="G9100" t="s">
        <v>2027</v>
      </c>
      <c r="H9100">
        <v>1</v>
      </c>
      <c r="I9100" s="12">
        <f>Table16[[#This Row],[price]]*Table16[[#This Row],[quantity]]</f>
        <v>573.44000000000005</v>
      </c>
    </row>
    <row r="9101" spans="1:9" x14ac:dyDescent="0.3">
      <c r="A9101" t="s">
        <v>11115</v>
      </c>
      <c r="B9101" t="s">
        <v>1816</v>
      </c>
      <c r="C9101" t="s">
        <v>2015</v>
      </c>
      <c r="D9101">
        <v>5</v>
      </c>
      <c r="E9101" s="16">
        <v>3000.85</v>
      </c>
      <c r="F9101" s="1">
        <v>44977</v>
      </c>
      <c r="G9101" t="s">
        <v>2004</v>
      </c>
      <c r="H9101">
        <v>2</v>
      </c>
      <c r="I9101" s="12">
        <f>Table16[[#This Row],[price]]*Table16[[#This Row],[quantity]]</f>
        <v>15004.25</v>
      </c>
    </row>
    <row r="9102" spans="1:9" x14ac:dyDescent="0.3">
      <c r="A9102" t="s">
        <v>11122</v>
      </c>
      <c r="B9102" t="s">
        <v>1817</v>
      </c>
      <c r="C9102" t="s">
        <v>2024</v>
      </c>
      <c r="D9102">
        <v>1</v>
      </c>
      <c r="E9102" s="16">
        <v>35.840000000000003</v>
      </c>
      <c r="F9102" s="1">
        <v>44446</v>
      </c>
      <c r="G9102" t="s">
        <v>2004</v>
      </c>
      <c r="H9102">
        <v>1</v>
      </c>
      <c r="I9102" s="12">
        <f>Table16[[#This Row],[price]]*Table16[[#This Row],[quantity]]</f>
        <v>35.840000000000003</v>
      </c>
    </row>
    <row r="9103" spans="1:9" x14ac:dyDescent="0.3">
      <c r="A9103" t="s">
        <v>11123</v>
      </c>
      <c r="B9103" t="s">
        <v>1817</v>
      </c>
      <c r="C9103" t="s">
        <v>2011</v>
      </c>
      <c r="D9103">
        <v>5</v>
      </c>
      <c r="E9103" s="16">
        <v>203.3</v>
      </c>
      <c r="F9103" s="1">
        <v>44458</v>
      </c>
      <c r="G9103" t="s">
        <v>2027</v>
      </c>
      <c r="H9103">
        <v>1</v>
      </c>
      <c r="I9103" s="12">
        <f>Table16[[#This Row],[price]]*Table16[[#This Row],[quantity]]</f>
        <v>1016.5</v>
      </c>
    </row>
    <row r="9104" spans="1:9" x14ac:dyDescent="0.3">
      <c r="A9104" t="s">
        <v>11121</v>
      </c>
      <c r="B9104" t="s">
        <v>1817</v>
      </c>
      <c r="C9104" t="s">
        <v>2001</v>
      </c>
      <c r="D9104">
        <v>4</v>
      </c>
      <c r="E9104" s="16">
        <v>1200.32</v>
      </c>
      <c r="F9104" s="1">
        <v>44547</v>
      </c>
      <c r="G9104" t="s">
        <v>2009</v>
      </c>
      <c r="H9104">
        <v>3</v>
      </c>
      <c r="I9104" s="12">
        <f>Table16[[#This Row],[price]]*Table16[[#This Row],[quantity]]</f>
        <v>4801.28</v>
      </c>
    </row>
    <row r="9105" spans="1:9" x14ac:dyDescent="0.3">
      <c r="A9105" t="s">
        <v>11118</v>
      </c>
      <c r="B9105" t="s">
        <v>1817</v>
      </c>
      <c r="C9105" t="s">
        <v>2008</v>
      </c>
      <c r="D9105">
        <v>4</v>
      </c>
      <c r="E9105" s="16">
        <v>20.92</v>
      </c>
      <c r="F9105" s="1">
        <v>44562</v>
      </c>
      <c r="G9105" t="s">
        <v>2027</v>
      </c>
      <c r="H9105">
        <v>2</v>
      </c>
      <c r="I9105" s="12">
        <f>Table16[[#This Row],[price]]*Table16[[#This Row],[quantity]]</f>
        <v>83.68</v>
      </c>
    </row>
    <row r="9106" spans="1:9" x14ac:dyDescent="0.3">
      <c r="A9106" t="s">
        <v>11119</v>
      </c>
      <c r="B9106" t="s">
        <v>1817</v>
      </c>
      <c r="C9106" t="s">
        <v>2008</v>
      </c>
      <c r="D9106">
        <v>5</v>
      </c>
      <c r="E9106" s="16">
        <v>26.15</v>
      </c>
      <c r="F9106" s="1">
        <v>44619</v>
      </c>
      <c r="G9106" t="s">
        <v>2064</v>
      </c>
      <c r="H9106">
        <v>3</v>
      </c>
      <c r="I9106" s="12">
        <f>Table16[[#This Row],[price]]*Table16[[#This Row],[quantity]]</f>
        <v>130.75</v>
      </c>
    </row>
    <row r="9107" spans="1:9" x14ac:dyDescent="0.3">
      <c r="A9107" t="s">
        <v>11120</v>
      </c>
      <c r="B9107" t="s">
        <v>1817</v>
      </c>
      <c r="C9107" t="s">
        <v>2015</v>
      </c>
      <c r="D9107">
        <v>4</v>
      </c>
      <c r="E9107" s="16">
        <v>2400.6799999999998</v>
      </c>
      <c r="F9107" s="1">
        <v>44715</v>
      </c>
      <c r="G9107" t="s">
        <v>2027</v>
      </c>
      <c r="H9107">
        <v>1</v>
      </c>
      <c r="I9107" s="12">
        <f>Table16[[#This Row],[price]]*Table16[[#This Row],[quantity]]</f>
        <v>9602.7199999999993</v>
      </c>
    </row>
    <row r="9108" spans="1:9" x14ac:dyDescent="0.3">
      <c r="A9108" t="s">
        <v>11124</v>
      </c>
      <c r="B9108" t="s">
        <v>1817</v>
      </c>
      <c r="C9108" t="s">
        <v>2001</v>
      </c>
      <c r="D9108">
        <v>5</v>
      </c>
      <c r="E9108" s="16">
        <v>1500.4</v>
      </c>
      <c r="F9108" s="1">
        <v>44983</v>
      </c>
      <c r="G9108" t="s">
        <v>2018</v>
      </c>
      <c r="H9108">
        <v>2</v>
      </c>
      <c r="I9108" s="12">
        <f>Table16[[#This Row],[price]]*Table16[[#This Row],[quantity]]</f>
        <v>7502</v>
      </c>
    </row>
    <row r="9109" spans="1:9" x14ac:dyDescent="0.3">
      <c r="A9109" t="s">
        <v>11125</v>
      </c>
      <c r="B9109" t="s">
        <v>1818</v>
      </c>
      <c r="C9109" t="s">
        <v>2011</v>
      </c>
      <c r="D9109">
        <v>4</v>
      </c>
      <c r="E9109" s="16">
        <v>162.63999999999999</v>
      </c>
      <c r="F9109" s="1">
        <v>44308</v>
      </c>
      <c r="G9109" t="s">
        <v>2004</v>
      </c>
      <c r="H9109">
        <v>5</v>
      </c>
      <c r="I9109" s="12">
        <f>Table16[[#This Row],[price]]*Table16[[#This Row],[quantity]]</f>
        <v>650.55999999999995</v>
      </c>
    </row>
    <row r="9110" spans="1:9" x14ac:dyDescent="0.3">
      <c r="A9110" t="s">
        <v>11128</v>
      </c>
      <c r="B9110" t="s">
        <v>1818</v>
      </c>
      <c r="C9110" t="s">
        <v>2006</v>
      </c>
      <c r="D9110">
        <v>2</v>
      </c>
      <c r="E9110" s="16">
        <v>30.3</v>
      </c>
      <c r="F9110" s="1">
        <v>44370</v>
      </c>
      <c r="G9110" t="s">
        <v>2002</v>
      </c>
      <c r="H9110">
        <v>3</v>
      </c>
      <c r="I9110" s="12">
        <f>Table16[[#This Row],[price]]*Table16[[#This Row],[quantity]]</f>
        <v>60.6</v>
      </c>
    </row>
    <row r="9111" spans="1:9" x14ac:dyDescent="0.3">
      <c r="A9111" t="s">
        <v>11127</v>
      </c>
      <c r="B9111" t="s">
        <v>1818</v>
      </c>
      <c r="C9111" t="s">
        <v>2001</v>
      </c>
      <c r="D9111">
        <v>5</v>
      </c>
      <c r="E9111" s="16">
        <v>1500.4</v>
      </c>
      <c r="F9111" s="1">
        <v>44417</v>
      </c>
      <c r="G9111" t="s">
        <v>2004</v>
      </c>
      <c r="H9111">
        <v>2</v>
      </c>
      <c r="I9111" s="12">
        <f>Table16[[#This Row],[price]]*Table16[[#This Row],[quantity]]</f>
        <v>7502</v>
      </c>
    </row>
    <row r="9112" spans="1:9" x14ac:dyDescent="0.3">
      <c r="A9112" t="s">
        <v>11126</v>
      </c>
      <c r="B9112" t="s">
        <v>1818</v>
      </c>
      <c r="C9112" t="s">
        <v>2001</v>
      </c>
      <c r="D9112">
        <v>1</v>
      </c>
      <c r="E9112" s="16">
        <v>300.08</v>
      </c>
      <c r="F9112" s="1">
        <v>44529</v>
      </c>
      <c r="G9112" t="s">
        <v>2027</v>
      </c>
      <c r="H9112">
        <v>2</v>
      </c>
      <c r="I9112" s="12">
        <f>Table16[[#This Row],[price]]*Table16[[#This Row],[quantity]]</f>
        <v>300.08</v>
      </c>
    </row>
    <row r="9113" spans="1:9" x14ac:dyDescent="0.3">
      <c r="A9113" t="s">
        <v>11131</v>
      </c>
      <c r="B9113" t="s">
        <v>1818</v>
      </c>
      <c r="C9113" t="s">
        <v>2001</v>
      </c>
      <c r="D9113">
        <v>5</v>
      </c>
      <c r="E9113" s="16">
        <v>1500.4</v>
      </c>
      <c r="F9113" s="1">
        <v>44560</v>
      </c>
      <c r="G9113" t="s">
        <v>2020</v>
      </c>
      <c r="H9113">
        <v>2</v>
      </c>
      <c r="I9113" s="12">
        <f>Table16[[#This Row],[price]]*Table16[[#This Row],[quantity]]</f>
        <v>7502</v>
      </c>
    </row>
    <row r="9114" spans="1:9" x14ac:dyDescent="0.3">
      <c r="A9114" t="s">
        <v>11129</v>
      </c>
      <c r="B9114" t="s">
        <v>1818</v>
      </c>
      <c r="C9114" t="s">
        <v>2001</v>
      </c>
      <c r="D9114">
        <v>5</v>
      </c>
      <c r="E9114" s="16">
        <v>1500.4</v>
      </c>
      <c r="F9114" s="1">
        <v>44787</v>
      </c>
      <c r="G9114" t="s">
        <v>2027</v>
      </c>
      <c r="H9114">
        <v>3</v>
      </c>
      <c r="I9114" s="12">
        <f>Table16[[#This Row],[price]]*Table16[[#This Row],[quantity]]</f>
        <v>7502</v>
      </c>
    </row>
    <row r="9115" spans="1:9" x14ac:dyDescent="0.3">
      <c r="A9115" t="s">
        <v>11130</v>
      </c>
      <c r="B9115" t="s">
        <v>1818</v>
      </c>
      <c r="C9115" t="s">
        <v>2001</v>
      </c>
      <c r="D9115">
        <v>4</v>
      </c>
      <c r="E9115" s="16">
        <v>1200.32</v>
      </c>
      <c r="F9115" s="1">
        <v>44799</v>
      </c>
      <c r="G9115" t="s">
        <v>2058</v>
      </c>
      <c r="H9115">
        <v>4</v>
      </c>
      <c r="I9115" s="12">
        <f>Table16[[#This Row],[price]]*Table16[[#This Row],[quantity]]</f>
        <v>4801.28</v>
      </c>
    </row>
    <row r="9116" spans="1:9" x14ac:dyDescent="0.3">
      <c r="A9116" t="s">
        <v>11132</v>
      </c>
      <c r="B9116" t="s">
        <v>1819</v>
      </c>
      <c r="C9116" t="s">
        <v>2024</v>
      </c>
      <c r="D9116">
        <v>5</v>
      </c>
      <c r="E9116" s="16">
        <v>179.2</v>
      </c>
      <c r="F9116" s="1">
        <v>44461</v>
      </c>
      <c r="G9116" t="s">
        <v>2020</v>
      </c>
      <c r="H9116">
        <v>3</v>
      </c>
      <c r="I9116" s="12">
        <f>Table16[[#This Row],[price]]*Table16[[#This Row],[quantity]]</f>
        <v>896</v>
      </c>
    </row>
    <row r="9117" spans="1:9" x14ac:dyDescent="0.3">
      <c r="A9117" t="s">
        <v>11137</v>
      </c>
      <c r="B9117" t="s">
        <v>1819</v>
      </c>
      <c r="C9117" t="s">
        <v>2024</v>
      </c>
      <c r="D9117">
        <v>1</v>
      </c>
      <c r="E9117" s="16">
        <v>35.840000000000003</v>
      </c>
      <c r="F9117" s="1">
        <v>44515</v>
      </c>
      <c r="G9117" t="s">
        <v>2004</v>
      </c>
      <c r="H9117">
        <v>1</v>
      </c>
      <c r="I9117" s="12">
        <f>Table16[[#This Row],[price]]*Table16[[#This Row],[quantity]]</f>
        <v>35.840000000000003</v>
      </c>
    </row>
    <row r="9118" spans="1:9" x14ac:dyDescent="0.3">
      <c r="A9118" t="s">
        <v>11133</v>
      </c>
      <c r="B9118" t="s">
        <v>1819</v>
      </c>
      <c r="C9118" t="s">
        <v>2015</v>
      </c>
      <c r="D9118">
        <v>4</v>
      </c>
      <c r="E9118" s="16">
        <v>2400.6799999999998</v>
      </c>
      <c r="F9118" s="1">
        <v>44556</v>
      </c>
      <c r="G9118" t="s">
        <v>2009</v>
      </c>
      <c r="H9118">
        <v>1</v>
      </c>
      <c r="I9118" s="12">
        <f>Table16[[#This Row],[price]]*Table16[[#This Row],[quantity]]</f>
        <v>9602.7199999999993</v>
      </c>
    </row>
    <row r="9119" spans="1:9" x14ac:dyDescent="0.3">
      <c r="A9119" t="s">
        <v>11134</v>
      </c>
      <c r="B9119" t="s">
        <v>1819</v>
      </c>
      <c r="C9119" t="s">
        <v>2001</v>
      </c>
      <c r="D9119">
        <v>2</v>
      </c>
      <c r="E9119" s="16">
        <v>600.16</v>
      </c>
      <c r="F9119" s="1">
        <v>44643</v>
      </c>
      <c r="G9119" t="s">
        <v>2027</v>
      </c>
      <c r="H9119">
        <v>3</v>
      </c>
      <c r="I9119" s="12">
        <f>Table16[[#This Row],[price]]*Table16[[#This Row],[quantity]]</f>
        <v>1200.32</v>
      </c>
    </row>
    <row r="9120" spans="1:9" x14ac:dyDescent="0.3">
      <c r="A9120" t="s">
        <v>11138</v>
      </c>
      <c r="B9120" t="s">
        <v>1819</v>
      </c>
      <c r="C9120" t="s">
        <v>2057</v>
      </c>
      <c r="D9120">
        <v>5</v>
      </c>
      <c r="E9120" s="16">
        <v>58.65</v>
      </c>
      <c r="F9120" s="1">
        <v>44663</v>
      </c>
      <c r="G9120" t="s">
        <v>2027</v>
      </c>
      <c r="H9120">
        <v>5</v>
      </c>
      <c r="I9120" s="12">
        <f>Table16[[#This Row],[price]]*Table16[[#This Row],[quantity]]</f>
        <v>293.25</v>
      </c>
    </row>
    <row r="9121" spans="1:9" x14ac:dyDescent="0.3">
      <c r="A9121" t="s">
        <v>11135</v>
      </c>
      <c r="B9121" t="s">
        <v>1819</v>
      </c>
      <c r="C9121" t="s">
        <v>2011</v>
      </c>
      <c r="D9121">
        <v>1</v>
      </c>
      <c r="E9121" s="16">
        <v>40.659999999999997</v>
      </c>
      <c r="F9121" s="1">
        <v>44705</v>
      </c>
      <c r="G9121" t="s">
        <v>2058</v>
      </c>
      <c r="H9121">
        <v>4</v>
      </c>
      <c r="I9121" s="12">
        <f>Table16[[#This Row],[price]]*Table16[[#This Row],[quantity]]</f>
        <v>40.659999999999997</v>
      </c>
    </row>
    <row r="9122" spans="1:9" x14ac:dyDescent="0.3">
      <c r="A9122" t="s">
        <v>11136</v>
      </c>
      <c r="B9122" t="s">
        <v>1819</v>
      </c>
      <c r="C9122" t="s">
        <v>2001</v>
      </c>
      <c r="D9122">
        <v>4</v>
      </c>
      <c r="E9122" s="16">
        <v>1200.32</v>
      </c>
      <c r="F9122" s="1">
        <v>44907</v>
      </c>
      <c r="G9122" t="s">
        <v>2020</v>
      </c>
      <c r="H9122">
        <v>2</v>
      </c>
      <c r="I9122" s="12">
        <f>Table16[[#This Row],[price]]*Table16[[#This Row],[quantity]]</f>
        <v>4801.28</v>
      </c>
    </row>
    <row r="9123" spans="1:9" x14ac:dyDescent="0.3">
      <c r="A9123" t="s">
        <v>11140</v>
      </c>
      <c r="B9123" t="s">
        <v>1820</v>
      </c>
      <c r="C9123" t="s">
        <v>2001</v>
      </c>
      <c r="D9123">
        <v>2</v>
      </c>
      <c r="E9123" s="16">
        <v>600.16</v>
      </c>
      <c r="F9123" s="1">
        <v>44319</v>
      </c>
      <c r="G9123" t="s">
        <v>2004</v>
      </c>
      <c r="H9123">
        <v>2</v>
      </c>
      <c r="I9123" s="12">
        <f>Table16[[#This Row],[price]]*Table16[[#This Row],[quantity]]</f>
        <v>1200.32</v>
      </c>
    </row>
    <row r="9124" spans="1:9" x14ac:dyDescent="0.3">
      <c r="A9124" t="s">
        <v>11139</v>
      </c>
      <c r="B9124" t="s">
        <v>1820</v>
      </c>
      <c r="C9124" t="s">
        <v>2001</v>
      </c>
      <c r="D9124">
        <v>3</v>
      </c>
      <c r="E9124" s="16">
        <v>900.24</v>
      </c>
      <c r="F9124" s="1">
        <v>44350</v>
      </c>
      <c r="G9124" t="s">
        <v>2058</v>
      </c>
      <c r="H9124">
        <v>5</v>
      </c>
      <c r="I9124" s="12">
        <f>Table16[[#This Row],[price]]*Table16[[#This Row],[quantity]]</f>
        <v>2700.7200000000003</v>
      </c>
    </row>
    <row r="9125" spans="1:9" x14ac:dyDescent="0.3">
      <c r="A9125" t="s">
        <v>11142</v>
      </c>
      <c r="B9125" t="s">
        <v>1820</v>
      </c>
      <c r="C9125" t="s">
        <v>2008</v>
      </c>
      <c r="D9125">
        <v>5</v>
      </c>
      <c r="E9125" s="16">
        <v>26.15</v>
      </c>
      <c r="F9125" s="1">
        <v>44463</v>
      </c>
      <c r="G9125" t="s">
        <v>2027</v>
      </c>
      <c r="H9125">
        <v>3</v>
      </c>
      <c r="I9125" s="12">
        <f>Table16[[#This Row],[price]]*Table16[[#This Row],[quantity]]</f>
        <v>130.75</v>
      </c>
    </row>
    <row r="9126" spans="1:9" x14ac:dyDescent="0.3">
      <c r="A9126" t="s">
        <v>11141</v>
      </c>
      <c r="B9126" t="s">
        <v>1820</v>
      </c>
      <c r="C9126" t="s">
        <v>2008</v>
      </c>
      <c r="D9126">
        <v>5</v>
      </c>
      <c r="E9126" s="16">
        <v>26.15</v>
      </c>
      <c r="F9126" s="1">
        <v>44597</v>
      </c>
      <c r="G9126" t="s">
        <v>2012</v>
      </c>
      <c r="H9126">
        <v>5</v>
      </c>
      <c r="I9126" s="12">
        <f>Table16[[#This Row],[price]]*Table16[[#This Row],[quantity]]</f>
        <v>130.75</v>
      </c>
    </row>
    <row r="9127" spans="1:9" x14ac:dyDescent="0.3">
      <c r="A9127" t="s">
        <v>11143</v>
      </c>
      <c r="B9127" t="s">
        <v>1820</v>
      </c>
      <c r="C9127" t="s">
        <v>2001</v>
      </c>
      <c r="D9127">
        <v>5</v>
      </c>
      <c r="E9127" s="16">
        <v>1500.4</v>
      </c>
      <c r="F9127" s="1">
        <v>44605</v>
      </c>
      <c r="G9127" t="s">
        <v>2064</v>
      </c>
      <c r="H9127">
        <v>1</v>
      </c>
      <c r="I9127" s="12">
        <f>Table16[[#This Row],[price]]*Table16[[#This Row],[quantity]]</f>
        <v>7502</v>
      </c>
    </row>
    <row r="9128" spans="1:9" x14ac:dyDescent="0.3">
      <c r="A9128" t="s">
        <v>11144</v>
      </c>
      <c r="B9128" t="s">
        <v>1821</v>
      </c>
      <c r="C9128" t="s">
        <v>2006</v>
      </c>
      <c r="D9128">
        <v>4</v>
      </c>
      <c r="E9128" s="16">
        <v>60.6</v>
      </c>
      <c r="F9128" s="1">
        <v>44397</v>
      </c>
      <c r="G9128" t="s">
        <v>2009</v>
      </c>
      <c r="H9128">
        <v>3</v>
      </c>
      <c r="I9128" s="12">
        <f>Table16[[#This Row],[price]]*Table16[[#This Row],[quantity]]</f>
        <v>242.4</v>
      </c>
    </row>
    <row r="9129" spans="1:9" x14ac:dyDescent="0.3">
      <c r="A9129" t="s">
        <v>11145</v>
      </c>
      <c r="B9129" t="s">
        <v>1821</v>
      </c>
      <c r="C9129" t="s">
        <v>2001</v>
      </c>
      <c r="D9129">
        <v>1</v>
      </c>
      <c r="E9129" s="16">
        <v>300.08</v>
      </c>
      <c r="F9129" s="1">
        <v>44529</v>
      </c>
      <c r="G9129" t="s">
        <v>2027</v>
      </c>
      <c r="H9129">
        <v>1</v>
      </c>
      <c r="I9129" s="12">
        <f>Table16[[#This Row],[price]]*Table16[[#This Row],[quantity]]</f>
        <v>300.08</v>
      </c>
    </row>
    <row r="9130" spans="1:9" x14ac:dyDescent="0.3">
      <c r="A9130" t="s">
        <v>11146</v>
      </c>
      <c r="B9130" t="s">
        <v>1821</v>
      </c>
      <c r="C9130" t="s">
        <v>2008</v>
      </c>
      <c r="D9130">
        <v>1</v>
      </c>
      <c r="E9130" s="16">
        <v>5.23</v>
      </c>
      <c r="F9130" s="1">
        <v>44713</v>
      </c>
      <c r="G9130" t="s">
        <v>2041</v>
      </c>
      <c r="H9130">
        <v>1</v>
      </c>
      <c r="I9130" s="12">
        <f>Table16[[#This Row],[price]]*Table16[[#This Row],[quantity]]</f>
        <v>5.23</v>
      </c>
    </row>
    <row r="9131" spans="1:9" x14ac:dyDescent="0.3">
      <c r="A9131" t="s">
        <v>11147</v>
      </c>
      <c r="B9131" t="s">
        <v>1822</v>
      </c>
      <c r="C9131" t="s">
        <v>2001</v>
      </c>
      <c r="D9131">
        <v>4</v>
      </c>
      <c r="E9131" s="16">
        <v>1200.32</v>
      </c>
      <c r="F9131" s="1">
        <v>44296</v>
      </c>
      <c r="G9131" t="s">
        <v>2027</v>
      </c>
      <c r="H9131">
        <v>2</v>
      </c>
      <c r="I9131" s="12">
        <f>Table16[[#This Row],[price]]*Table16[[#This Row],[quantity]]</f>
        <v>4801.28</v>
      </c>
    </row>
    <row r="9132" spans="1:9" x14ac:dyDescent="0.3">
      <c r="A9132" t="s">
        <v>11149</v>
      </c>
      <c r="B9132" t="s">
        <v>1822</v>
      </c>
      <c r="C9132" t="s">
        <v>2001</v>
      </c>
      <c r="D9132">
        <v>4</v>
      </c>
      <c r="E9132" s="16">
        <v>1200.32</v>
      </c>
      <c r="F9132" s="1">
        <v>44486</v>
      </c>
      <c r="G9132" t="s">
        <v>2002</v>
      </c>
      <c r="H9132">
        <v>4</v>
      </c>
      <c r="I9132" s="12">
        <f>Table16[[#This Row],[price]]*Table16[[#This Row],[quantity]]</f>
        <v>4801.28</v>
      </c>
    </row>
    <row r="9133" spans="1:9" x14ac:dyDescent="0.3">
      <c r="A9133" t="s">
        <v>11148</v>
      </c>
      <c r="B9133" t="s">
        <v>1822</v>
      </c>
      <c r="C9133" t="s">
        <v>2006</v>
      </c>
      <c r="D9133">
        <v>1</v>
      </c>
      <c r="E9133" s="16">
        <v>15.15</v>
      </c>
      <c r="F9133" s="1">
        <v>44574</v>
      </c>
      <c r="G9133" t="s">
        <v>2027</v>
      </c>
      <c r="H9133">
        <v>2</v>
      </c>
      <c r="I9133" s="12">
        <f>Table16[[#This Row],[price]]*Table16[[#This Row],[quantity]]</f>
        <v>15.15</v>
      </c>
    </row>
    <row r="9134" spans="1:9" x14ac:dyDescent="0.3">
      <c r="A9134" t="s">
        <v>11150</v>
      </c>
      <c r="B9134" t="s">
        <v>1822</v>
      </c>
      <c r="C9134" t="s">
        <v>2001</v>
      </c>
      <c r="D9134">
        <v>1</v>
      </c>
      <c r="E9134" s="16">
        <v>300.08</v>
      </c>
      <c r="F9134" s="1">
        <v>44667</v>
      </c>
      <c r="G9134" t="s">
        <v>2041</v>
      </c>
      <c r="H9134">
        <v>4</v>
      </c>
      <c r="I9134" s="12">
        <f>Table16[[#This Row],[price]]*Table16[[#This Row],[quantity]]</f>
        <v>300.08</v>
      </c>
    </row>
    <row r="9135" spans="1:9" x14ac:dyDescent="0.3">
      <c r="A9135" t="s">
        <v>11156</v>
      </c>
      <c r="B9135" t="s">
        <v>1823</v>
      </c>
      <c r="C9135" t="s">
        <v>2008</v>
      </c>
      <c r="D9135">
        <v>3</v>
      </c>
      <c r="E9135" s="16">
        <v>15.69</v>
      </c>
      <c r="F9135" s="1">
        <v>44235</v>
      </c>
      <c r="G9135" t="s">
        <v>2002</v>
      </c>
      <c r="H9135">
        <v>5</v>
      </c>
      <c r="I9135" s="12">
        <f>Table16[[#This Row],[price]]*Table16[[#This Row],[quantity]]</f>
        <v>47.07</v>
      </c>
    </row>
    <row r="9136" spans="1:9" x14ac:dyDescent="0.3">
      <c r="A9136" t="s">
        <v>11154</v>
      </c>
      <c r="B9136" t="s">
        <v>1823</v>
      </c>
      <c r="C9136" t="s">
        <v>2017</v>
      </c>
      <c r="D9136">
        <v>2</v>
      </c>
      <c r="E9136" s="16">
        <v>2100</v>
      </c>
      <c r="F9136" s="1">
        <v>44321</v>
      </c>
      <c r="G9136" t="s">
        <v>2027</v>
      </c>
      <c r="H9136">
        <v>4</v>
      </c>
      <c r="I9136" s="12">
        <f>Table16[[#This Row],[price]]*Table16[[#This Row],[quantity]]</f>
        <v>4200</v>
      </c>
    </row>
    <row r="9137" spans="1:9" x14ac:dyDescent="0.3">
      <c r="A9137" t="s">
        <v>11151</v>
      </c>
      <c r="B9137" t="s">
        <v>1823</v>
      </c>
      <c r="C9137" t="s">
        <v>2008</v>
      </c>
      <c r="D9137">
        <v>5</v>
      </c>
      <c r="E9137" s="16">
        <v>26.15</v>
      </c>
      <c r="F9137" s="1">
        <v>44370</v>
      </c>
      <c r="G9137" t="s">
        <v>2041</v>
      </c>
      <c r="H9137">
        <v>1</v>
      </c>
      <c r="I9137" s="12">
        <f>Table16[[#This Row],[price]]*Table16[[#This Row],[quantity]]</f>
        <v>130.75</v>
      </c>
    </row>
    <row r="9138" spans="1:9" x14ac:dyDescent="0.3">
      <c r="A9138" t="s">
        <v>11153</v>
      </c>
      <c r="B9138" t="s">
        <v>1823</v>
      </c>
      <c r="C9138" t="s">
        <v>2001</v>
      </c>
      <c r="D9138">
        <v>1</v>
      </c>
      <c r="E9138" s="16">
        <v>300.08</v>
      </c>
      <c r="F9138" s="1">
        <v>44687</v>
      </c>
      <c r="G9138" t="s">
        <v>2058</v>
      </c>
      <c r="H9138">
        <v>4</v>
      </c>
      <c r="I9138" s="12">
        <f>Table16[[#This Row],[price]]*Table16[[#This Row],[quantity]]</f>
        <v>300.08</v>
      </c>
    </row>
    <row r="9139" spans="1:9" x14ac:dyDescent="0.3">
      <c r="A9139" t="s">
        <v>11152</v>
      </c>
      <c r="B9139" t="s">
        <v>1823</v>
      </c>
      <c r="C9139" t="s">
        <v>2015</v>
      </c>
      <c r="D9139">
        <v>1</v>
      </c>
      <c r="E9139" s="16">
        <v>600.16999999999996</v>
      </c>
      <c r="F9139" s="1">
        <v>44698</v>
      </c>
      <c r="G9139" t="s">
        <v>2018</v>
      </c>
      <c r="H9139">
        <v>2</v>
      </c>
      <c r="I9139" s="12">
        <f>Table16[[#This Row],[price]]*Table16[[#This Row],[quantity]]</f>
        <v>600.16999999999996</v>
      </c>
    </row>
    <row r="9140" spans="1:9" x14ac:dyDescent="0.3">
      <c r="A9140" t="s">
        <v>11155</v>
      </c>
      <c r="B9140" t="s">
        <v>1823</v>
      </c>
      <c r="C9140" t="s">
        <v>2001</v>
      </c>
      <c r="D9140">
        <v>5</v>
      </c>
      <c r="E9140" s="16">
        <v>1500.4</v>
      </c>
      <c r="F9140" s="1">
        <v>44715</v>
      </c>
      <c r="G9140" t="s">
        <v>2064</v>
      </c>
      <c r="H9140">
        <v>5</v>
      </c>
      <c r="I9140" s="12">
        <f>Table16[[#This Row],[price]]*Table16[[#This Row],[quantity]]</f>
        <v>7502</v>
      </c>
    </row>
    <row r="9141" spans="1:9" x14ac:dyDescent="0.3">
      <c r="A9141" t="s">
        <v>11158</v>
      </c>
      <c r="B9141" t="s">
        <v>1823</v>
      </c>
      <c r="C9141" t="s">
        <v>2015</v>
      </c>
      <c r="D9141">
        <v>4</v>
      </c>
      <c r="E9141" s="16">
        <v>2400.6799999999998</v>
      </c>
      <c r="F9141" s="1">
        <v>44792</v>
      </c>
      <c r="G9141" t="s">
        <v>2041</v>
      </c>
      <c r="H9141">
        <v>4</v>
      </c>
      <c r="I9141" s="12">
        <f>Table16[[#This Row],[price]]*Table16[[#This Row],[quantity]]</f>
        <v>9602.7199999999993</v>
      </c>
    </row>
    <row r="9142" spans="1:9" x14ac:dyDescent="0.3">
      <c r="A9142" t="s">
        <v>11157</v>
      </c>
      <c r="B9142" t="s">
        <v>1823</v>
      </c>
      <c r="C9142" t="s">
        <v>2001</v>
      </c>
      <c r="D9142">
        <v>3</v>
      </c>
      <c r="E9142" s="16">
        <v>900.24</v>
      </c>
      <c r="F9142" s="1">
        <v>44887</v>
      </c>
      <c r="G9142" t="s">
        <v>2027</v>
      </c>
      <c r="H9142">
        <v>3</v>
      </c>
      <c r="I9142" s="12">
        <f>Table16[[#This Row],[price]]*Table16[[#This Row],[quantity]]</f>
        <v>2700.7200000000003</v>
      </c>
    </row>
    <row r="9143" spans="1:9" x14ac:dyDescent="0.3">
      <c r="A9143" t="s">
        <v>11161</v>
      </c>
      <c r="B9143" t="s">
        <v>1824</v>
      </c>
      <c r="C9143" t="s">
        <v>2001</v>
      </c>
      <c r="D9143">
        <v>4</v>
      </c>
      <c r="E9143" s="16">
        <v>1200.32</v>
      </c>
      <c r="F9143" s="1">
        <v>44319</v>
      </c>
      <c r="G9143" t="s">
        <v>2027</v>
      </c>
      <c r="H9143">
        <v>3</v>
      </c>
      <c r="I9143" s="12">
        <f>Table16[[#This Row],[price]]*Table16[[#This Row],[quantity]]</f>
        <v>4801.28</v>
      </c>
    </row>
    <row r="9144" spans="1:9" x14ac:dyDescent="0.3">
      <c r="A9144" t="s">
        <v>11159</v>
      </c>
      <c r="B9144" t="s">
        <v>1824</v>
      </c>
      <c r="C9144" t="s">
        <v>2001</v>
      </c>
      <c r="D9144">
        <v>2</v>
      </c>
      <c r="E9144" s="16">
        <v>600.16</v>
      </c>
      <c r="F9144" s="1">
        <v>44650</v>
      </c>
      <c r="G9144" t="s">
        <v>2064</v>
      </c>
      <c r="H9144">
        <v>5</v>
      </c>
      <c r="I9144" s="12">
        <f>Table16[[#This Row],[price]]*Table16[[#This Row],[quantity]]</f>
        <v>1200.32</v>
      </c>
    </row>
    <row r="9145" spans="1:9" x14ac:dyDescent="0.3">
      <c r="A9145" t="s">
        <v>11160</v>
      </c>
      <c r="B9145" t="s">
        <v>1824</v>
      </c>
      <c r="C9145" t="s">
        <v>2017</v>
      </c>
      <c r="D9145">
        <v>3</v>
      </c>
      <c r="E9145" s="16">
        <v>3150</v>
      </c>
      <c r="F9145" s="1">
        <v>44775</v>
      </c>
      <c r="G9145" t="s">
        <v>2009</v>
      </c>
      <c r="H9145">
        <v>2</v>
      </c>
      <c r="I9145" s="12">
        <f>Table16[[#This Row],[price]]*Table16[[#This Row],[quantity]]</f>
        <v>9450</v>
      </c>
    </row>
    <row r="9146" spans="1:9" x14ac:dyDescent="0.3">
      <c r="A9146" t="s">
        <v>11165</v>
      </c>
      <c r="B9146" t="s">
        <v>1825</v>
      </c>
      <c r="C9146" t="s">
        <v>2057</v>
      </c>
      <c r="D9146">
        <v>2</v>
      </c>
      <c r="E9146" s="16">
        <v>23.46</v>
      </c>
      <c r="F9146" s="1">
        <v>44385</v>
      </c>
      <c r="G9146" t="s">
        <v>2027</v>
      </c>
      <c r="H9146">
        <v>1</v>
      </c>
      <c r="I9146" s="12">
        <f>Table16[[#This Row],[price]]*Table16[[#This Row],[quantity]]</f>
        <v>46.92</v>
      </c>
    </row>
    <row r="9147" spans="1:9" x14ac:dyDescent="0.3">
      <c r="A9147" t="s">
        <v>11164</v>
      </c>
      <c r="B9147" t="s">
        <v>1825</v>
      </c>
      <c r="C9147" t="s">
        <v>2008</v>
      </c>
      <c r="D9147">
        <v>4</v>
      </c>
      <c r="E9147" s="16">
        <v>20.92</v>
      </c>
      <c r="F9147" s="1">
        <v>44453</v>
      </c>
      <c r="G9147" t="s">
        <v>2009</v>
      </c>
      <c r="H9147">
        <v>2</v>
      </c>
      <c r="I9147" s="12">
        <f>Table16[[#This Row],[price]]*Table16[[#This Row],[quantity]]</f>
        <v>83.68</v>
      </c>
    </row>
    <row r="9148" spans="1:9" x14ac:dyDescent="0.3">
      <c r="A9148" t="s">
        <v>11167</v>
      </c>
      <c r="B9148" t="s">
        <v>1825</v>
      </c>
      <c r="C9148" t="s">
        <v>2001</v>
      </c>
      <c r="D9148">
        <v>1</v>
      </c>
      <c r="E9148" s="16">
        <v>300.08</v>
      </c>
      <c r="F9148" s="1">
        <v>44493</v>
      </c>
      <c r="G9148" t="s">
        <v>2064</v>
      </c>
      <c r="H9148">
        <v>4</v>
      </c>
      <c r="I9148" s="12">
        <f>Table16[[#This Row],[price]]*Table16[[#This Row],[quantity]]</f>
        <v>300.08</v>
      </c>
    </row>
    <row r="9149" spans="1:9" x14ac:dyDescent="0.3">
      <c r="A9149" t="s">
        <v>11166</v>
      </c>
      <c r="B9149" t="s">
        <v>1825</v>
      </c>
      <c r="C9149" t="s">
        <v>2001</v>
      </c>
      <c r="D9149">
        <v>2</v>
      </c>
      <c r="E9149" s="16">
        <v>600.16</v>
      </c>
      <c r="F9149" s="1">
        <v>44525</v>
      </c>
      <c r="G9149" t="s">
        <v>2027</v>
      </c>
      <c r="H9149">
        <v>4</v>
      </c>
      <c r="I9149" s="12">
        <f>Table16[[#This Row],[price]]*Table16[[#This Row],[quantity]]</f>
        <v>1200.32</v>
      </c>
    </row>
    <row r="9150" spans="1:9" x14ac:dyDescent="0.3">
      <c r="A9150" t="s">
        <v>11162</v>
      </c>
      <c r="B9150" t="s">
        <v>1825</v>
      </c>
      <c r="C9150" t="s">
        <v>2008</v>
      </c>
      <c r="D9150">
        <v>1</v>
      </c>
      <c r="E9150" s="16">
        <v>5.23</v>
      </c>
      <c r="F9150" s="1">
        <v>44531</v>
      </c>
      <c r="G9150" t="s">
        <v>2004</v>
      </c>
      <c r="H9150">
        <v>1</v>
      </c>
      <c r="I9150" s="12">
        <f>Table16[[#This Row],[price]]*Table16[[#This Row],[quantity]]</f>
        <v>5.23</v>
      </c>
    </row>
    <row r="9151" spans="1:9" x14ac:dyDescent="0.3">
      <c r="A9151" t="s">
        <v>11169</v>
      </c>
      <c r="B9151" t="s">
        <v>1825</v>
      </c>
      <c r="C9151" t="s">
        <v>2015</v>
      </c>
      <c r="D9151">
        <v>5</v>
      </c>
      <c r="E9151" s="16">
        <v>3000.85</v>
      </c>
      <c r="F9151" s="1">
        <v>44561</v>
      </c>
      <c r="G9151" t="s">
        <v>2002</v>
      </c>
      <c r="H9151">
        <v>1</v>
      </c>
      <c r="I9151" s="12">
        <f>Table16[[#This Row],[price]]*Table16[[#This Row],[quantity]]</f>
        <v>15004.25</v>
      </c>
    </row>
    <row r="9152" spans="1:9" x14ac:dyDescent="0.3">
      <c r="A9152" t="s">
        <v>11168</v>
      </c>
      <c r="B9152" t="s">
        <v>1825</v>
      </c>
      <c r="C9152" t="s">
        <v>2024</v>
      </c>
      <c r="D9152">
        <v>1</v>
      </c>
      <c r="E9152" s="16">
        <v>35.840000000000003</v>
      </c>
      <c r="F9152" s="1">
        <v>44577</v>
      </c>
      <c r="G9152" t="s">
        <v>2004</v>
      </c>
      <c r="H9152">
        <v>2</v>
      </c>
      <c r="I9152" s="12">
        <f>Table16[[#This Row],[price]]*Table16[[#This Row],[quantity]]</f>
        <v>35.840000000000003</v>
      </c>
    </row>
    <row r="9153" spans="1:9" x14ac:dyDescent="0.3">
      <c r="A9153" t="s">
        <v>11163</v>
      </c>
      <c r="B9153" t="s">
        <v>1825</v>
      </c>
      <c r="C9153" t="s">
        <v>2015</v>
      </c>
      <c r="D9153">
        <v>1</v>
      </c>
      <c r="E9153" s="16">
        <v>600.16999999999996</v>
      </c>
      <c r="F9153" s="1">
        <v>44910</v>
      </c>
      <c r="G9153" t="s">
        <v>2020</v>
      </c>
      <c r="H9153">
        <v>5</v>
      </c>
      <c r="I9153" s="12">
        <f>Table16[[#This Row],[price]]*Table16[[#This Row],[quantity]]</f>
        <v>600.16999999999996</v>
      </c>
    </row>
    <row r="9154" spans="1:9" x14ac:dyDescent="0.3">
      <c r="A9154" t="s">
        <v>11175</v>
      </c>
      <c r="B9154" t="s">
        <v>1826</v>
      </c>
      <c r="C9154" t="s">
        <v>2017</v>
      </c>
      <c r="D9154">
        <v>5</v>
      </c>
      <c r="E9154" s="16">
        <v>5250</v>
      </c>
      <c r="F9154" s="1">
        <v>44301</v>
      </c>
      <c r="G9154" t="s">
        <v>2027</v>
      </c>
      <c r="H9154">
        <v>4</v>
      </c>
      <c r="I9154" s="12">
        <f>Table16[[#This Row],[price]]*Table16[[#This Row],[quantity]]</f>
        <v>26250</v>
      </c>
    </row>
    <row r="9155" spans="1:9" x14ac:dyDescent="0.3">
      <c r="A9155" t="s">
        <v>11172</v>
      </c>
      <c r="B9155" t="s">
        <v>1826</v>
      </c>
      <c r="C9155" t="s">
        <v>2024</v>
      </c>
      <c r="D9155">
        <v>4</v>
      </c>
      <c r="E9155" s="16">
        <v>143.36000000000001</v>
      </c>
      <c r="F9155" s="1">
        <v>44616</v>
      </c>
      <c r="G9155" t="s">
        <v>2012</v>
      </c>
      <c r="H9155">
        <v>2</v>
      </c>
      <c r="I9155" s="12">
        <f>Table16[[#This Row],[price]]*Table16[[#This Row],[quantity]]</f>
        <v>573.44000000000005</v>
      </c>
    </row>
    <row r="9156" spans="1:9" x14ac:dyDescent="0.3">
      <c r="A9156" t="s">
        <v>11171</v>
      </c>
      <c r="B9156" t="s">
        <v>1826</v>
      </c>
      <c r="C9156" t="s">
        <v>2001</v>
      </c>
      <c r="D9156">
        <v>5</v>
      </c>
      <c r="E9156" s="16">
        <v>1500.4</v>
      </c>
      <c r="F9156" s="1">
        <v>44620</v>
      </c>
      <c r="G9156" t="s">
        <v>2027</v>
      </c>
      <c r="H9156">
        <v>3</v>
      </c>
      <c r="I9156" s="12">
        <f>Table16[[#This Row],[price]]*Table16[[#This Row],[quantity]]</f>
        <v>7502</v>
      </c>
    </row>
    <row r="9157" spans="1:9" x14ac:dyDescent="0.3">
      <c r="A9157" t="s">
        <v>11173</v>
      </c>
      <c r="B9157" t="s">
        <v>1826</v>
      </c>
      <c r="C9157" t="s">
        <v>2001</v>
      </c>
      <c r="D9157">
        <v>3</v>
      </c>
      <c r="E9157" s="16">
        <v>900.24</v>
      </c>
      <c r="F9157" s="1">
        <v>44792</v>
      </c>
      <c r="G9157" t="s">
        <v>2027</v>
      </c>
      <c r="H9157">
        <v>1</v>
      </c>
      <c r="I9157" s="12">
        <f>Table16[[#This Row],[price]]*Table16[[#This Row],[quantity]]</f>
        <v>2700.7200000000003</v>
      </c>
    </row>
    <row r="9158" spans="1:9" x14ac:dyDescent="0.3">
      <c r="A9158" t="s">
        <v>11170</v>
      </c>
      <c r="B9158" t="s">
        <v>1826</v>
      </c>
      <c r="C9158" t="s">
        <v>2015</v>
      </c>
      <c r="D9158">
        <v>4</v>
      </c>
      <c r="E9158" s="16">
        <v>2400.6799999999998</v>
      </c>
      <c r="F9158" s="1">
        <v>44839</v>
      </c>
      <c r="G9158" t="s">
        <v>2004</v>
      </c>
      <c r="H9158">
        <v>5</v>
      </c>
      <c r="I9158" s="12">
        <f>Table16[[#This Row],[price]]*Table16[[#This Row],[quantity]]</f>
        <v>9602.7199999999993</v>
      </c>
    </row>
    <row r="9159" spans="1:9" x14ac:dyDescent="0.3">
      <c r="A9159" t="s">
        <v>11177</v>
      </c>
      <c r="B9159" t="s">
        <v>1826</v>
      </c>
      <c r="C9159" t="s">
        <v>2011</v>
      </c>
      <c r="D9159">
        <v>2</v>
      </c>
      <c r="E9159" s="16">
        <v>81.319999999999993</v>
      </c>
      <c r="F9159" s="1">
        <v>44888</v>
      </c>
      <c r="G9159" t="s">
        <v>2064</v>
      </c>
      <c r="H9159">
        <v>1</v>
      </c>
      <c r="I9159" s="12">
        <f>Table16[[#This Row],[price]]*Table16[[#This Row],[quantity]]</f>
        <v>162.63999999999999</v>
      </c>
    </row>
    <row r="9160" spans="1:9" x14ac:dyDescent="0.3">
      <c r="A9160" t="s">
        <v>11174</v>
      </c>
      <c r="B9160" t="s">
        <v>1826</v>
      </c>
      <c r="C9160" t="s">
        <v>2001</v>
      </c>
      <c r="D9160">
        <v>4</v>
      </c>
      <c r="E9160" s="16">
        <v>1200.32</v>
      </c>
      <c r="F9160" s="1">
        <v>44964</v>
      </c>
      <c r="G9160" t="s">
        <v>2064</v>
      </c>
      <c r="H9160">
        <v>4</v>
      </c>
      <c r="I9160" s="12">
        <f>Table16[[#This Row],[price]]*Table16[[#This Row],[quantity]]</f>
        <v>4801.28</v>
      </c>
    </row>
    <row r="9161" spans="1:9" x14ac:dyDescent="0.3">
      <c r="A9161" t="s">
        <v>11176</v>
      </c>
      <c r="B9161" t="s">
        <v>1826</v>
      </c>
      <c r="C9161" t="s">
        <v>2011</v>
      </c>
      <c r="D9161">
        <v>4</v>
      </c>
      <c r="E9161" s="16">
        <v>162.63999999999999</v>
      </c>
      <c r="F9161" s="1">
        <v>44972</v>
      </c>
      <c r="G9161" t="s">
        <v>2004</v>
      </c>
      <c r="H9161">
        <v>1</v>
      </c>
      <c r="I9161" s="12">
        <f>Table16[[#This Row],[price]]*Table16[[#This Row],[quantity]]</f>
        <v>650.55999999999995</v>
      </c>
    </row>
    <row r="9162" spans="1:9" x14ac:dyDescent="0.3">
      <c r="A9162" t="s">
        <v>11180</v>
      </c>
      <c r="B9162" t="s">
        <v>1827</v>
      </c>
      <c r="C9162" t="s">
        <v>2008</v>
      </c>
      <c r="D9162">
        <v>1</v>
      </c>
      <c r="E9162" s="16">
        <v>5.23</v>
      </c>
      <c r="F9162" s="1">
        <v>44264</v>
      </c>
      <c r="G9162" t="s">
        <v>2027</v>
      </c>
      <c r="H9162">
        <v>3</v>
      </c>
      <c r="I9162" s="12">
        <f>Table16[[#This Row],[price]]*Table16[[#This Row],[quantity]]</f>
        <v>5.23</v>
      </c>
    </row>
    <row r="9163" spans="1:9" x14ac:dyDescent="0.3">
      <c r="A9163" t="s">
        <v>11181</v>
      </c>
      <c r="B9163" t="s">
        <v>1827</v>
      </c>
      <c r="C9163" t="s">
        <v>2011</v>
      </c>
      <c r="D9163">
        <v>5</v>
      </c>
      <c r="E9163" s="16">
        <v>203.3</v>
      </c>
      <c r="F9163" s="1">
        <v>44358</v>
      </c>
      <c r="G9163" t="s">
        <v>2027</v>
      </c>
      <c r="H9163">
        <v>4</v>
      </c>
      <c r="I9163" s="12">
        <f>Table16[[#This Row],[price]]*Table16[[#This Row],[quantity]]</f>
        <v>1016.5</v>
      </c>
    </row>
    <row r="9164" spans="1:9" x14ac:dyDescent="0.3">
      <c r="A9164" t="s">
        <v>11179</v>
      </c>
      <c r="B9164" t="s">
        <v>1827</v>
      </c>
      <c r="C9164" t="s">
        <v>2015</v>
      </c>
      <c r="D9164">
        <v>2</v>
      </c>
      <c r="E9164" s="16">
        <v>1200.3399999999999</v>
      </c>
      <c r="F9164" s="1">
        <v>44423</v>
      </c>
      <c r="G9164" t="s">
        <v>2004</v>
      </c>
      <c r="H9164">
        <v>1</v>
      </c>
      <c r="I9164" s="12">
        <f>Table16[[#This Row],[price]]*Table16[[#This Row],[quantity]]</f>
        <v>2400.6799999999998</v>
      </c>
    </row>
    <row r="9165" spans="1:9" x14ac:dyDescent="0.3">
      <c r="A9165" t="s">
        <v>11178</v>
      </c>
      <c r="B9165" t="s">
        <v>1827</v>
      </c>
      <c r="C9165" t="s">
        <v>2008</v>
      </c>
      <c r="D9165">
        <v>3</v>
      </c>
      <c r="E9165" s="16">
        <v>15.69</v>
      </c>
      <c r="F9165" s="1">
        <v>44748</v>
      </c>
      <c r="G9165" t="s">
        <v>2018</v>
      </c>
      <c r="H9165">
        <v>2</v>
      </c>
      <c r="I9165" s="12">
        <f>Table16[[#This Row],[price]]*Table16[[#This Row],[quantity]]</f>
        <v>47.07</v>
      </c>
    </row>
    <row r="9166" spans="1:9" x14ac:dyDescent="0.3">
      <c r="A9166" t="s">
        <v>11184</v>
      </c>
      <c r="B9166" t="s">
        <v>1828</v>
      </c>
      <c r="C9166" t="s">
        <v>2006</v>
      </c>
      <c r="D9166">
        <v>5</v>
      </c>
      <c r="E9166" s="16">
        <v>75.75</v>
      </c>
      <c r="F9166" s="1">
        <v>44300</v>
      </c>
      <c r="G9166" t="s">
        <v>2027</v>
      </c>
      <c r="H9166">
        <v>4</v>
      </c>
      <c r="I9166" s="12">
        <f>Table16[[#This Row],[price]]*Table16[[#This Row],[quantity]]</f>
        <v>378.75</v>
      </c>
    </row>
    <row r="9167" spans="1:9" x14ac:dyDescent="0.3">
      <c r="A9167" t="s">
        <v>11182</v>
      </c>
      <c r="B9167" t="s">
        <v>1828</v>
      </c>
      <c r="C9167" t="s">
        <v>2001</v>
      </c>
      <c r="D9167">
        <v>4</v>
      </c>
      <c r="E9167" s="16">
        <v>1200.32</v>
      </c>
      <c r="F9167" s="1">
        <v>44425</v>
      </c>
      <c r="G9167" t="s">
        <v>2002</v>
      </c>
      <c r="H9167">
        <v>2</v>
      </c>
      <c r="I9167" s="12">
        <f>Table16[[#This Row],[price]]*Table16[[#This Row],[quantity]]</f>
        <v>4801.28</v>
      </c>
    </row>
    <row r="9168" spans="1:9" x14ac:dyDescent="0.3">
      <c r="A9168" t="s">
        <v>11186</v>
      </c>
      <c r="B9168" t="s">
        <v>1828</v>
      </c>
      <c r="C9168" t="s">
        <v>2011</v>
      </c>
      <c r="D9168">
        <v>2</v>
      </c>
      <c r="E9168" s="16">
        <v>81.319999999999993</v>
      </c>
      <c r="F9168" s="1">
        <v>44686</v>
      </c>
      <c r="G9168" t="s">
        <v>2002</v>
      </c>
      <c r="H9168">
        <v>1</v>
      </c>
      <c r="I9168" s="12">
        <f>Table16[[#This Row],[price]]*Table16[[#This Row],[quantity]]</f>
        <v>162.63999999999999</v>
      </c>
    </row>
    <row r="9169" spans="1:9" x14ac:dyDescent="0.3">
      <c r="A9169" t="s">
        <v>11183</v>
      </c>
      <c r="B9169" t="s">
        <v>1828</v>
      </c>
      <c r="C9169" t="s">
        <v>2015</v>
      </c>
      <c r="D9169">
        <v>2</v>
      </c>
      <c r="E9169" s="16">
        <v>1200.3399999999999</v>
      </c>
      <c r="F9169" s="1">
        <v>44756</v>
      </c>
      <c r="G9169" t="s">
        <v>2004</v>
      </c>
      <c r="H9169">
        <v>4</v>
      </c>
      <c r="I9169" s="12">
        <f>Table16[[#This Row],[price]]*Table16[[#This Row],[quantity]]</f>
        <v>2400.6799999999998</v>
      </c>
    </row>
    <row r="9170" spans="1:9" x14ac:dyDescent="0.3">
      <c r="A9170" t="s">
        <v>11185</v>
      </c>
      <c r="B9170" t="s">
        <v>1828</v>
      </c>
      <c r="C9170" t="s">
        <v>2015</v>
      </c>
      <c r="D9170">
        <v>2</v>
      </c>
      <c r="E9170" s="16">
        <v>1200.3399999999999</v>
      </c>
      <c r="F9170" s="1">
        <v>44833</v>
      </c>
      <c r="G9170" t="s">
        <v>2002</v>
      </c>
      <c r="H9170">
        <v>3</v>
      </c>
      <c r="I9170" s="12">
        <f>Table16[[#This Row],[price]]*Table16[[#This Row],[quantity]]</f>
        <v>2400.6799999999998</v>
      </c>
    </row>
    <row r="9171" spans="1:9" x14ac:dyDescent="0.3">
      <c r="A9171" t="s">
        <v>11188</v>
      </c>
      <c r="B9171" t="s">
        <v>1829</v>
      </c>
      <c r="C9171" t="s">
        <v>2015</v>
      </c>
      <c r="D9171">
        <v>3</v>
      </c>
      <c r="E9171" s="16">
        <v>1800.51</v>
      </c>
      <c r="F9171" s="1">
        <v>44601</v>
      </c>
      <c r="G9171" t="s">
        <v>2020</v>
      </c>
      <c r="H9171">
        <v>1</v>
      </c>
      <c r="I9171" s="12">
        <f>Table16[[#This Row],[price]]*Table16[[#This Row],[quantity]]</f>
        <v>5401.53</v>
      </c>
    </row>
    <row r="9172" spans="1:9" x14ac:dyDescent="0.3">
      <c r="A9172" t="s">
        <v>11187</v>
      </c>
      <c r="B9172" t="s">
        <v>1829</v>
      </c>
      <c r="C9172" t="s">
        <v>2008</v>
      </c>
      <c r="D9172">
        <v>2</v>
      </c>
      <c r="E9172" s="16">
        <v>10.46</v>
      </c>
      <c r="F9172" s="1">
        <v>44653</v>
      </c>
      <c r="G9172" t="s">
        <v>2020</v>
      </c>
      <c r="H9172">
        <v>3</v>
      </c>
      <c r="I9172" s="12">
        <f>Table16[[#This Row],[price]]*Table16[[#This Row],[quantity]]</f>
        <v>20.92</v>
      </c>
    </row>
    <row r="9173" spans="1:9" x14ac:dyDescent="0.3">
      <c r="A9173" t="s">
        <v>11189</v>
      </c>
      <c r="B9173" t="s">
        <v>1829</v>
      </c>
      <c r="C9173" t="s">
        <v>2001</v>
      </c>
      <c r="D9173">
        <v>2</v>
      </c>
      <c r="E9173" s="16">
        <v>600.16</v>
      </c>
      <c r="F9173" s="1">
        <v>44967</v>
      </c>
      <c r="G9173" t="s">
        <v>2002</v>
      </c>
      <c r="H9173">
        <v>4</v>
      </c>
      <c r="I9173" s="12">
        <f>Table16[[#This Row],[price]]*Table16[[#This Row],[quantity]]</f>
        <v>1200.32</v>
      </c>
    </row>
    <row r="9174" spans="1:9" x14ac:dyDescent="0.3">
      <c r="A9174" t="s">
        <v>11190</v>
      </c>
      <c r="B9174" t="s">
        <v>1830</v>
      </c>
      <c r="C9174" t="s">
        <v>2024</v>
      </c>
      <c r="D9174">
        <v>5</v>
      </c>
      <c r="E9174" s="16">
        <v>179.2</v>
      </c>
      <c r="F9174" s="1">
        <v>44279</v>
      </c>
      <c r="G9174" t="s">
        <v>2004</v>
      </c>
      <c r="H9174">
        <v>2</v>
      </c>
      <c r="I9174" s="12">
        <f>Table16[[#This Row],[price]]*Table16[[#This Row],[quantity]]</f>
        <v>896</v>
      </c>
    </row>
    <row r="9175" spans="1:9" x14ac:dyDescent="0.3">
      <c r="A9175" t="s">
        <v>11192</v>
      </c>
      <c r="B9175" t="s">
        <v>1830</v>
      </c>
      <c r="C9175" t="s">
        <v>2001</v>
      </c>
      <c r="D9175">
        <v>3</v>
      </c>
      <c r="E9175" s="16">
        <v>900.24</v>
      </c>
      <c r="F9175" s="1">
        <v>44671</v>
      </c>
      <c r="G9175" t="s">
        <v>2041</v>
      </c>
      <c r="H9175">
        <v>2</v>
      </c>
      <c r="I9175" s="12">
        <f>Table16[[#This Row],[price]]*Table16[[#This Row],[quantity]]</f>
        <v>2700.7200000000003</v>
      </c>
    </row>
    <row r="9176" spans="1:9" x14ac:dyDescent="0.3">
      <c r="A9176" t="s">
        <v>11191</v>
      </c>
      <c r="B9176" t="s">
        <v>1830</v>
      </c>
      <c r="C9176" t="s">
        <v>2024</v>
      </c>
      <c r="D9176">
        <v>4</v>
      </c>
      <c r="E9176" s="16">
        <v>143.36000000000001</v>
      </c>
      <c r="F9176" s="1">
        <v>44885</v>
      </c>
      <c r="G9176" t="s">
        <v>2064</v>
      </c>
      <c r="H9176">
        <v>2</v>
      </c>
      <c r="I9176" s="12">
        <f>Table16[[#This Row],[price]]*Table16[[#This Row],[quantity]]</f>
        <v>573.44000000000005</v>
      </c>
    </row>
    <row r="9177" spans="1:9" x14ac:dyDescent="0.3">
      <c r="A9177" t="s">
        <v>11194</v>
      </c>
      <c r="B9177" t="s">
        <v>1831</v>
      </c>
      <c r="C9177" t="s">
        <v>2001</v>
      </c>
      <c r="D9177">
        <v>2</v>
      </c>
      <c r="E9177" s="16">
        <v>600.16</v>
      </c>
      <c r="F9177" s="1">
        <v>44394</v>
      </c>
      <c r="G9177" t="s">
        <v>2004</v>
      </c>
      <c r="H9177">
        <v>4</v>
      </c>
      <c r="I9177" s="12">
        <f>Table16[[#This Row],[price]]*Table16[[#This Row],[quantity]]</f>
        <v>1200.32</v>
      </c>
    </row>
    <row r="9178" spans="1:9" x14ac:dyDescent="0.3">
      <c r="A9178" t="s">
        <v>11193</v>
      </c>
      <c r="B9178" t="s">
        <v>1831</v>
      </c>
      <c r="C9178" t="s">
        <v>2001</v>
      </c>
      <c r="D9178">
        <v>2</v>
      </c>
      <c r="E9178" s="16">
        <v>600.16</v>
      </c>
      <c r="F9178" s="1">
        <v>44746</v>
      </c>
      <c r="G9178" t="s">
        <v>2064</v>
      </c>
      <c r="H9178">
        <v>3</v>
      </c>
      <c r="I9178" s="12">
        <f>Table16[[#This Row],[price]]*Table16[[#This Row],[quantity]]</f>
        <v>1200.32</v>
      </c>
    </row>
    <row r="9179" spans="1:9" x14ac:dyDescent="0.3">
      <c r="A9179" t="s">
        <v>11195</v>
      </c>
      <c r="B9179" t="s">
        <v>1831</v>
      </c>
      <c r="C9179" t="s">
        <v>2001</v>
      </c>
      <c r="D9179">
        <v>2</v>
      </c>
      <c r="E9179" s="16">
        <v>600.16</v>
      </c>
      <c r="F9179" s="1">
        <v>44880</v>
      </c>
      <c r="G9179" t="s">
        <v>2009</v>
      </c>
      <c r="H9179">
        <v>3</v>
      </c>
      <c r="I9179" s="12">
        <f>Table16[[#This Row],[price]]*Table16[[#This Row],[quantity]]</f>
        <v>1200.32</v>
      </c>
    </row>
    <row r="9180" spans="1:9" x14ac:dyDescent="0.3">
      <c r="A9180" t="s">
        <v>11199</v>
      </c>
      <c r="B9180" t="s">
        <v>1832</v>
      </c>
      <c r="C9180" t="s">
        <v>2024</v>
      </c>
      <c r="D9180">
        <v>1</v>
      </c>
      <c r="E9180" s="16">
        <v>35.840000000000003</v>
      </c>
      <c r="F9180" s="1">
        <v>44387</v>
      </c>
      <c r="G9180" t="s">
        <v>2009</v>
      </c>
      <c r="H9180">
        <v>4</v>
      </c>
      <c r="I9180" s="12">
        <f>Table16[[#This Row],[price]]*Table16[[#This Row],[quantity]]</f>
        <v>35.840000000000003</v>
      </c>
    </row>
    <row r="9181" spans="1:9" x14ac:dyDescent="0.3">
      <c r="A9181" t="s">
        <v>11197</v>
      </c>
      <c r="B9181" t="s">
        <v>1832</v>
      </c>
      <c r="C9181" t="s">
        <v>2024</v>
      </c>
      <c r="D9181">
        <v>4</v>
      </c>
      <c r="E9181" s="16">
        <v>143.36000000000001</v>
      </c>
      <c r="F9181" s="1">
        <v>44673</v>
      </c>
      <c r="G9181" t="s">
        <v>2064</v>
      </c>
      <c r="H9181">
        <v>5</v>
      </c>
      <c r="I9181" s="12">
        <f>Table16[[#This Row],[price]]*Table16[[#This Row],[quantity]]</f>
        <v>573.44000000000005</v>
      </c>
    </row>
    <row r="9182" spans="1:9" x14ac:dyDescent="0.3">
      <c r="A9182" t="s">
        <v>11196</v>
      </c>
      <c r="B9182" t="s">
        <v>1832</v>
      </c>
      <c r="C9182" t="s">
        <v>2011</v>
      </c>
      <c r="D9182">
        <v>1</v>
      </c>
      <c r="E9182" s="16">
        <v>40.659999999999997</v>
      </c>
      <c r="F9182" s="1">
        <v>44727</v>
      </c>
      <c r="G9182" t="s">
        <v>2064</v>
      </c>
      <c r="H9182">
        <v>1</v>
      </c>
      <c r="I9182" s="12">
        <f>Table16[[#This Row],[price]]*Table16[[#This Row],[quantity]]</f>
        <v>40.659999999999997</v>
      </c>
    </row>
    <row r="9183" spans="1:9" x14ac:dyDescent="0.3">
      <c r="A9183" t="s">
        <v>11198</v>
      </c>
      <c r="B9183" t="s">
        <v>1832</v>
      </c>
      <c r="C9183" t="s">
        <v>2001</v>
      </c>
      <c r="D9183">
        <v>3</v>
      </c>
      <c r="E9183" s="16">
        <v>900.24</v>
      </c>
      <c r="F9183" s="1">
        <v>44970</v>
      </c>
      <c r="G9183" t="s">
        <v>2002</v>
      </c>
      <c r="H9183">
        <v>5</v>
      </c>
      <c r="I9183" s="12">
        <f>Table16[[#This Row],[price]]*Table16[[#This Row],[quantity]]</f>
        <v>2700.7200000000003</v>
      </c>
    </row>
    <row r="9184" spans="1:9" x14ac:dyDescent="0.3">
      <c r="A9184" t="s">
        <v>11200</v>
      </c>
      <c r="B9184" t="s">
        <v>1833</v>
      </c>
      <c r="C9184" t="s">
        <v>2057</v>
      </c>
      <c r="D9184">
        <v>5</v>
      </c>
      <c r="E9184" s="16">
        <v>58.65</v>
      </c>
      <c r="F9184" s="1">
        <v>44255</v>
      </c>
      <c r="G9184" t="s">
        <v>2027</v>
      </c>
      <c r="H9184">
        <v>3</v>
      </c>
      <c r="I9184" s="12">
        <f>Table16[[#This Row],[price]]*Table16[[#This Row],[quantity]]</f>
        <v>293.25</v>
      </c>
    </row>
    <row r="9185" spans="1:9" x14ac:dyDescent="0.3">
      <c r="A9185" t="s">
        <v>11201</v>
      </c>
      <c r="B9185" t="s">
        <v>1833</v>
      </c>
      <c r="C9185" t="s">
        <v>2001</v>
      </c>
      <c r="D9185">
        <v>3</v>
      </c>
      <c r="E9185" s="16">
        <v>900.24</v>
      </c>
      <c r="F9185" s="1">
        <v>44807</v>
      </c>
      <c r="G9185" t="s">
        <v>2002</v>
      </c>
      <c r="H9185">
        <v>4</v>
      </c>
      <c r="I9185" s="12">
        <f>Table16[[#This Row],[price]]*Table16[[#This Row],[quantity]]</f>
        <v>2700.7200000000003</v>
      </c>
    </row>
    <row r="9186" spans="1:9" x14ac:dyDescent="0.3">
      <c r="A9186" t="s">
        <v>11202</v>
      </c>
      <c r="B9186" t="s">
        <v>1833</v>
      </c>
      <c r="C9186" t="s">
        <v>2001</v>
      </c>
      <c r="D9186">
        <v>2</v>
      </c>
      <c r="E9186" s="16">
        <v>600.16</v>
      </c>
      <c r="F9186" s="1">
        <v>44860</v>
      </c>
      <c r="G9186" t="s">
        <v>2027</v>
      </c>
      <c r="H9186">
        <v>1</v>
      </c>
      <c r="I9186" s="12">
        <f>Table16[[#This Row],[price]]*Table16[[#This Row],[quantity]]</f>
        <v>1200.32</v>
      </c>
    </row>
    <row r="9187" spans="1:9" x14ac:dyDescent="0.3">
      <c r="A9187" t="s">
        <v>11203</v>
      </c>
      <c r="B9187" t="s">
        <v>1834</v>
      </c>
      <c r="C9187" t="s">
        <v>2024</v>
      </c>
      <c r="D9187">
        <v>4</v>
      </c>
      <c r="E9187" s="16">
        <v>143.36000000000001</v>
      </c>
      <c r="F9187" s="1">
        <v>44265</v>
      </c>
      <c r="G9187" t="s">
        <v>2020</v>
      </c>
      <c r="H9187">
        <v>4</v>
      </c>
      <c r="I9187" s="12">
        <f>Table16[[#This Row],[price]]*Table16[[#This Row],[quantity]]</f>
        <v>573.44000000000005</v>
      </c>
    </row>
    <row r="9188" spans="1:9" x14ac:dyDescent="0.3">
      <c r="A9188" t="s">
        <v>11205</v>
      </c>
      <c r="B9188" t="s">
        <v>1834</v>
      </c>
      <c r="C9188" t="s">
        <v>2011</v>
      </c>
      <c r="D9188">
        <v>4</v>
      </c>
      <c r="E9188" s="16">
        <v>162.63999999999999</v>
      </c>
      <c r="F9188" s="1">
        <v>44513</v>
      </c>
      <c r="G9188" t="s">
        <v>2004</v>
      </c>
      <c r="H9188">
        <v>2</v>
      </c>
      <c r="I9188" s="12">
        <f>Table16[[#This Row],[price]]*Table16[[#This Row],[quantity]]</f>
        <v>650.55999999999995</v>
      </c>
    </row>
    <row r="9189" spans="1:9" x14ac:dyDescent="0.3">
      <c r="A9189" t="s">
        <v>11204</v>
      </c>
      <c r="B9189" t="s">
        <v>1834</v>
      </c>
      <c r="C9189" t="s">
        <v>2001</v>
      </c>
      <c r="D9189">
        <v>2</v>
      </c>
      <c r="E9189" s="16">
        <v>600.16</v>
      </c>
      <c r="F9189" s="1">
        <v>44631</v>
      </c>
      <c r="G9189" t="s">
        <v>2027</v>
      </c>
      <c r="H9189">
        <v>1</v>
      </c>
      <c r="I9189" s="12">
        <f>Table16[[#This Row],[price]]*Table16[[#This Row],[quantity]]</f>
        <v>1200.32</v>
      </c>
    </row>
    <row r="9190" spans="1:9" x14ac:dyDescent="0.3">
      <c r="A9190" t="s">
        <v>11206</v>
      </c>
      <c r="B9190" t="s">
        <v>1835</v>
      </c>
      <c r="C9190" t="s">
        <v>2024</v>
      </c>
      <c r="D9190">
        <v>2</v>
      </c>
      <c r="E9190" s="16">
        <v>71.680000000000007</v>
      </c>
      <c r="F9190" s="1">
        <v>44431</v>
      </c>
      <c r="G9190" t="s">
        <v>2004</v>
      </c>
      <c r="H9190">
        <v>3</v>
      </c>
      <c r="I9190" s="12">
        <f>Table16[[#This Row],[price]]*Table16[[#This Row],[quantity]]</f>
        <v>143.36000000000001</v>
      </c>
    </row>
    <row r="9191" spans="1:9" x14ac:dyDescent="0.3">
      <c r="A9191" t="s">
        <v>11208</v>
      </c>
      <c r="B9191" t="s">
        <v>1835</v>
      </c>
      <c r="C9191" t="s">
        <v>2011</v>
      </c>
      <c r="D9191">
        <v>5</v>
      </c>
      <c r="E9191" s="16">
        <v>203.3</v>
      </c>
      <c r="F9191" s="1">
        <v>44809</v>
      </c>
      <c r="G9191" t="s">
        <v>2027</v>
      </c>
      <c r="H9191">
        <v>4</v>
      </c>
      <c r="I9191" s="12">
        <f>Table16[[#This Row],[price]]*Table16[[#This Row],[quantity]]</f>
        <v>1016.5</v>
      </c>
    </row>
    <row r="9192" spans="1:9" x14ac:dyDescent="0.3">
      <c r="A9192" t="s">
        <v>11207</v>
      </c>
      <c r="B9192" t="s">
        <v>1835</v>
      </c>
      <c r="C9192" t="s">
        <v>2006</v>
      </c>
      <c r="D9192">
        <v>1</v>
      </c>
      <c r="E9192" s="16">
        <v>15.15</v>
      </c>
      <c r="F9192" s="1">
        <v>44962</v>
      </c>
      <c r="G9192" t="s">
        <v>2058</v>
      </c>
      <c r="H9192">
        <v>3</v>
      </c>
      <c r="I9192" s="12">
        <f>Table16[[#This Row],[price]]*Table16[[#This Row],[quantity]]</f>
        <v>15.15</v>
      </c>
    </row>
    <row r="9193" spans="1:9" x14ac:dyDescent="0.3">
      <c r="A9193" t="s">
        <v>11214</v>
      </c>
      <c r="B9193" t="s">
        <v>1836</v>
      </c>
      <c r="C9193" t="s">
        <v>2008</v>
      </c>
      <c r="D9193">
        <v>5</v>
      </c>
      <c r="E9193" s="16">
        <v>26.15</v>
      </c>
      <c r="F9193" s="1">
        <v>44284</v>
      </c>
      <c r="G9193" t="s">
        <v>2004</v>
      </c>
      <c r="H9193">
        <v>1</v>
      </c>
      <c r="I9193" s="12">
        <f>Table16[[#This Row],[price]]*Table16[[#This Row],[quantity]]</f>
        <v>130.75</v>
      </c>
    </row>
    <row r="9194" spans="1:9" x14ac:dyDescent="0.3">
      <c r="A9194" t="s">
        <v>11211</v>
      </c>
      <c r="B9194" t="s">
        <v>1836</v>
      </c>
      <c r="C9194" t="s">
        <v>2001</v>
      </c>
      <c r="D9194">
        <v>4</v>
      </c>
      <c r="E9194" s="16">
        <v>1200.32</v>
      </c>
      <c r="F9194" s="1">
        <v>44295</v>
      </c>
      <c r="G9194" t="s">
        <v>2002</v>
      </c>
      <c r="H9194">
        <v>3</v>
      </c>
      <c r="I9194" s="12">
        <f>Table16[[#This Row],[price]]*Table16[[#This Row],[quantity]]</f>
        <v>4801.28</v>
      </c>
    </row>
    <row r="9195" spans="1:9" x14ac:dyDescent="0.3">
      <c r="A9195" t="s">
        <v>11212</v>
      </c>
      <c r="B9195" t="s">
        <v>1836</v>
      </c>
      <c r="C9195" t="s">
        <v>2011</v>
      </c>
      <c r="D9195">
        <v>5</v>
      </c>
      <c r="E9195" s="16">
        <v>203.3</v>
      </c>
      <c r="F9195" s="1">
        <v>44322</v>
      </c>
      <c r="G9195" t="s">
        <v>2004</v>
      </c>
      <c r="H9195">
        <v>3</v>
      </c>
      <c r="I9195" s="12">
        <f>Table16[[#This Row],[price]]*Table16[[#This Row],[quantity]]</f>
        <v>1016.5</v>
      </c>
    </row>
    <row r="9196" spans="1:9" x14ac:dyDescent="0.3">
      <c r="A9196" t="s">
        <v>11210</v>
      </c>
      <c r="B9196" t="s">
        <v>1836</v>
      </c>
      <c r="C9196" t="s">
        <v>2024</v>
      </c>
      <c r="D9196">
        <v>5</v>
      </c>
      <c r="E9196" s="16">
        <v>179.2</v>
      </c>
      <c r="F9196" s="1">
        <v>44494</v>
      </c>
      <c r="G9196" t="s">
        <v>2004</v>
      </c>
      <c r="H9196">
        <v>2</v>
      </c>
      <c r="I9196" s="12">
        <f>Table16[[#This Row],[price]]*Table16[[#This Row],[quantity]]</f>
        <v>896</v>
      </c>
    </row>
    <row r="9197" spans="1:9" x14ac:dyDescent="0.3">
      <c r="A9197" t="s">
        <v>11209</v>
      </c>
      <c r="B9197" t="s">
        <v>1836</v>
      </c>
      <c r="C9197" t="s">
        <v>2015</v>
      </c>
      <c r="D9197">
        <v>3</v>
      </c>
      <c r="E9197" s="16">
        <v>1800.51</v>
      </c>
      <c r="F9197" s="1">
        <v>44606</v>
      </c>
      <c r="G9197" t="s">
        <v>2027</v>
      </c>
      <c r="H9197">
        <v>2</v>
      </c>
      <c r="I9197" s="12">
        <f>Table16[[#This Row],[price]]*Table16[[#This Row],[quantity]]</f>
        <v>5401.53</v>
      </c>
    </row>
    <row r="9198" spans="1:9" x14ac:dyDescent="0.3">
      <c r="A9198" t="s">
        <v>11213</v>
      </c>
      <c r="B9198" t="s">
        <v>1836</v>
      </c>
      <c r="C9198" t="s">
        <v>2001</v>
      </c>
      <c r="D9198">
        <v>3</v>
      </c>
      <c r="E9198" s="16">
        <v>900.24</v>
      </c>
      <c r="F9198" s="1">
        <v>44618</v>
      </c>
      <c r="G9198" t="s">
        <v>2004</v>
      </c>
      <c r="H9198">
        <v>5</v>
      </c>
      <c r="I9198" s="12">
        <f>Table16[[#This Row],[price]]*Table16[[#This Row],[quantity]]</f>
        <v>2700.7200000000003</v>
      </c>
    </row>
    <row r="9199" spans="1:9" x14ac:dyDescent="0.3">
      <c r="A9199" t="s">
        <v>11215</v>
      </c>
      <c r="B9199" t="s">
        <v>1836</v>
      </c>
      <c r="C9199" t="s">
        <v>2011</v>
      </c>
      <c r="D9199">
        <v>4</v>
      </c>
      <c r="E9199" s="16">
        <v>162.63999999999999</v>
      </c>
      <c r="F9199" s="1">
        <v>44758</v>
      </c>
      <c r="G9199" t="s">
        <v>2004</v>
      </c>
      <c r="H9199">
        <v>3</v>
      </c>
      <c r="I9199" s="12">
        <f>Table16[[#This Row],[price]]*Table16[[#This Row],[quantity]]</f>
        <v>650.55999999999995</v>
      </c>
    </row>
    <row r="9200" spans="1:9" x14ac:dyDescent="0.3">
      <c r="A9200" t="s">
        <v>11216</v>
      </c>
      <c r="B9200" t="s">
        <v>1836</v>
      </c>
      <c r="C9200" t="s">
        <v>2001</v>
      </c>
      <c r="D9200">
        <v>2</v>
      </c>
      <c r="E9200" s="16">
        <v>600.16</v>
      </c>
      <c r="F9200" s="1">
        <v>44884</v>
      </c>
      <c r="G9200" t="s">
        <v>2020</v>
      </c>
      <c r="H9200">
        <v>3</v>
      </c>
      <c r="I9200" s="12">
        <f>Table16[[#This Row],[price]]*Table16[[#This Row],[quantity]]</f>
        <v>1200.32</v>
      </c>
    </row>
    <row r="9201" spans="1:9" x14ac:dyDescent="0.3">
      <c r="A9201" t="s">
        <v>11221</v>
      </c>
      <c r="B9201" t="s">
        <v>1837</v>
      </c>
      <c r="C9201" t="s">
        <v>2008</v>
      </c>
      <c r="D9201">
        <v>2</v>
      </c>
      <c r="E9201" s="16">
        <v>10.46</v>
      </c>
      <c r="F9201" s="1">
        <v>44258</v>
      </c>
      <c r="G9201" t="s">
        <v>2027</v>
      </c>
      <c r="H9201">
        <v>1</v>
      </c>
      <c r="I9201" s="12">
        <f>Table16[[#This Row],[price]]*Table16[[#This Row],[quantity]]</f>
        <v>20.92</v>
      </c>
    </row>
    <row r="9202" spans="1:9" x14ac:dyDescent="0.3">
      <c r="A9202" t="s">
        <v>11217</v>
      </c>
      <c r="B9202" t="s">
        <v>1837</v>
      </c>
      <c r="C9202" t="s">
        <v>2001</v>
      </c>
      <c r="D9202">
        <v>3</v>
      </c>
      <c r="E9202" s="16">
        <v>900.24</v>
      </c>
      <c r="F9202" s="1">
        <v>44519</v>
      </c>
      <c r="G9202" t="s">
        <v>2018</v>
      </c>
      <c r="H9202">
        <v>4</v>
      </c>
      <c r="I9202" s="12">
        <f>Table16[[#This Row],[price]]*Table16[[#This Row],[quantity]]</f>
        <v>2700.7200000000003</v>
      </c>
    </row>
    <row r="9203" spans="1:9" x14ac:dyDescent="0.3">
      <c r="A9203" t="s">
        <v>11218</v>
      </c>
      <c r="B9203" t="s">
        <v>1837</v>
      </c>
      <c r="C9203" t="s">
        <v>2015</v>
      </c>
      <c r="D9203">
        <v>5</v>
      </c>
      <c r="E9203" s="16">
        <v>3000.85</v>
      </c>
      <c r="F9203" s="1">
        <v>44697</v>
      </c>
      <c r="G9203" t="s">
        <v>2018</v>
      </c>
      <c r="H9203">
        <v>4</v>
      </c>
      <c r="I9203" s="12">
        <f>Table16[[#This Row],[price]]*Table16[[#This Row],[quantity]]</f>
        <v>15004.25</v>
      </c>
    </row>
    <row r="9204" spans="1:9" x14ac:dyDescent="0.3">
      <c r="A9204" t="s">
        <v>11222</v>
      </c>
      <c r="B9204" t="s">
        <v>1837</v>
      </c>
      <c r="C9204" t="s">
        <v>2008</v>
      </c>
      <c r="D9204">
        <v>5</v>
      </c>
      <c r="E9204" s="16">
        <v>26.15</v>
      </c>
      <c r="F9204" s="1">
        <v>44727</v>
      </c>
      <c r="G9204" t="s">
        <v>2058</v>
      </c>
      <c r="H9204">
        <v>2</v>
      </c>
      <c r="I9204" s="12">
        <f>Table16[[#This Row],[price]]*Table16[[#This Row],[quantity]]</f>
        <v>130.75</v>
      </c>
    </row>
    <row r="9205" spans="1:9" x14ac:dyDescent="0.3">
      <c r="A9205" t="s">
        <v>11220</v>
      </c>
      <c r="B9205" t="s">
        <v>1837</v>
      </c>
      <c r="C9205" t="s">
        <v>2024</v>
      </c>
      <c r="D9205">
        <v>5</v>
      </c>
      <c r="E9205" s="16">
        <v>179.2</v>
      </c>
      <c r="F9205" s="1">
        <v>44759</v>
      </c>
      <c r="G9205" t="s">
        <v>2004</v>
      </c>
      <c r="H9205">
        <v>1</v>
      </c>
      <c r="I9205" s="12">
        <f>Table16[[#This Row],[price]]*Table16[[#This Row],[quantity]]</f>
        <v>896</v>
      </c>
    </row>
    <row r="9206" spans="1:9" x14ac:dyDescent="0.3">
      <c r="A9206" t="s">
        <v>11219</v>
      </c>
      <c r="B9206" t="s">
        <v>1837</v>
      </c>
      <c r="C9206" t="s">
        <v>2001</v>
      </c>
      <c r="D9206">
        <v>3</v>
      </c>
      <c r="E9206" s="16">
        <v>900.24</v>
      </c>
      <c r="F9206" s="1">
        <v>44911</v>
      </c>
      <c r="G9206" t="s">
        <v>2041</v>
      </c>
      <c r="H9206">
        <v>1</v>
      </c>
      <c r="I9206" s="12">
        <f>Table16[[#This Row],[price]]*Table16[[#This Row],[quantity]]</f>
        <v>2700.7200000000003</v>
      </c>
    </row>
    <row r="9207" spans="1:9" x14ac:dyDescent="0.3">
      <c r="A9207" t="s">
        <v>11224</v>
      </c>
      <c r="B9207" t="s">
        <v>1838</v>
      </c>
      <c r="C9207" t="s">
        <v>2011</v>
      </c>
      <c r="D9207">
        <v>2</v>
      </c>
      <c r="E9207" s="16">
        <v>81.319999999999993</v>
      </c>
      <c r="F9207" s="1">
        <v>44217</v>
      </c>
      <c r="G9207" t="s">
        <v>2018</v>
      </c>
      <c r="H9207">
        <v>4</v>
      </c>
      <c r="I9207" s="12">
        <f>Table16[[#This Row],[price]]*Table16[[#This Row],[quantity]]</f>
        <v>162.63999999999999</v>
      </c>
    </row>
    <row r="9208" spans="1:9" x14ac:dyDescent="0.3">
      <c r="A9208" t="s">
        <v>11225</v>
      </c>
      <c r="B9208" t="s">
        <v>1838</v>
      </c>
      <c r="C9208" t="s">
        <v>2017</v>
      </c>
      <c r="D9208">
        <v>4</v>
      </c>
      <c r="E9208" s="16">
        <v>4200</v>
      </c>
      <c r="F9208" s="1">
        <v>44246</v>
      </c>
      <c r="G9208" t="s">
        <v>2064</v>
      </c>
      <c r="H9208">
        <v>5</v>
      </c>
      <c r="I9208" s="12">
        <f>Table16[[#This Row],[price]]*Table16[[#This Row],[quantity]]</f>
        <v>16800</v>
      </c>
    </row>
    <row r="9209" spans="1:9" x14ac:dyDescent="0.3">
      <c r="A9209" t="s">
        <v>11223</v>
      </c>
      <c r="B9209" t="s">
        <v>1838</v>
      </c>
      <c r="C9209" t="s">
        <v>2024</v>
      </c>
      <c r="D9209">
        <v>5</v>
      </c>
      <c r="E9209" s="16">
        <v>179.2</v>
      </c>
      <c r="F9209" s="1">
        <v>44613</v>
      </c>
      <c r="G9209" t="s">
        <v>2004</v>
      </c>
      <c r="H9209">
        <v>2</v>
      </c>
      <c r="I9209" s="12">
        <f>Table16[[#This Row],[price]]*Table16[[#This Row],[quantity]]</f>
        <v>896</v>
      </c>
    </row>
    <row r="9210" spans="1:9" x14ac:dyDescent="0.3">
      <c r="A9210" t="s">
        <v>11226</v>
      </c>
      <c r="B9210" t="s">
        <v>1839</v>
      </c>
      <c r="C9210" t="s">
        <v>2017</v>
      </c>
      <c r="D9210">
        <v>3</v>
      </c>
      <c r="E9210" s="16">
        <v>3150</v>
      </c>
      <c r="F9210" s="1">
        <v>44259</v>
      </c>
      <c r="G9210" t="s">
        <v>2020</v>
      </c>
      <c r="H9210">
        <v>1</v>
      </c>
      <c r="I9210" s="12">
        <f>Table16[[#This Row],[price]]*Table16[[#This Row],[quantity]]</f>
        <v>9450</v>
      </c>
    </row>
    <row r="9211" spans="1:9" x14ac:dyDescent="0.3">
      <c r="A9211" t="s">
        <v>11231</v>
      </c>
      <c r="B9211" t="s">
        <v>1839</v>
      </c>
      <c r="C9211" t="s">
        <v>2015</v>
      </c>
      <c r="D9211">
        <v>2</v>
      </c>
      <c r="E9211" s="16">
        <v>1200.3399999999999</v>
      </c>
      <c r="F9211" s="1">
        <v>44458</v>
      </c>
      <c r="G9211" t="s">
        <v>2027</v>
      </c>
      <c r="H9211">
        <v>1</v>
      </c>
      <c r="I9211" s="12">
        <f>Table16[[#This Row],[price]]*Table16[[#This Row],[quantity]]</f>
        <v>2400.6799999999998</v>
      </c>
    </row>
    <row r="9212" spans="1:9" x14ac:dyDescent="0.3">
      <c r="A9212" t="s">
        <v>11227</v>
      </c>
      <c r="B9212" t="s">
        <v>1839</v>
      </c>
      <c r="C9212" t="s">
        <v>2015</v>
      </c>
      <c r="D9212">
        <v>5</v>
      </c>
      <c r="E9212" s="16">
        <v>3000.85</v>
      </c>
      <c r="F9212" s="1">
        <v>44609</v>
      </c>
      <c r="G9212" t="s">
        <v>2020</v>
      </c>
      <c r="H9212">
        <v>3</v>
      </c>
      <c r="I9212" s="12">
        <f>Table16[[#This Row],[price]]*Table16[[#This Row],[quantity]]</f>
        <v>15004.25</v>
      </c>
    </row>
    <row r="9213" spans="1:9" x14ac:dyDescent="0.3">
      <c r="A9213" t="s">
        <v>11229</v>
      </c>
      <c r="B9213" t="s">
        <v>1839</v>
      </c>
      <c r="C9213" t="s">
        <v>2001</v>
      </c>
      <c r="D9213">
        <v>3</v>
      </c>
      <c r="E9213" s="16">
        <v>900.24</v>
      </c>
      <c r="F9213" s="1">
        <v>44659</v>
      </c>
      <c r="G9213" t="s">
        <v>2002</v>
      </c>
      <c r="H9213">
        <v>5</v>
      </c>
      <c r="I9213" s="12">
        <f>Table16[[#This Row],[price]]*Table16[[#This Row],[quantity]]</f>
        <v>2700.7200000000003</v>
      </c>
    </row>
    <row r="9214" spans="1:9" x14ac:dyDescent="0.3">
      <c r="A9214" t="s">
        <v>11230</v>
      </c>
      <c r="B9214" t="s">
        <v>1839</v>
      </c>
      <c r="C9214" t="s">
        <v>2008</v>
      </c>
      <c r="D9214">
        <v>4</v>
      </c>
      <c r="E9214" s="16">
        <v>20.92</v>
      </c>
      <c r="F9214" s="1">
        <v>44792</v>
      </c>
      <c r="G9214" t="s">
        <v>2012</v>
      </c>
      <c r="H9214">
        <v>2</v>
      </c>
      <c r="I9214" s="12">
        <f>Table16[[#This Row],[price]]*Table16[[#This Row],[quantity]]</f>
        <v>83.68</v>
      </c>
    </row>
    <row r="9215" spans="1:9" x14ac:dyDescent="0.3">
      <c r="A9215" t="s">
        <v>11228</v>
      </c>
      <c r="B9215" t="s">
        <v>1839</v>
      </c>
      <c r="C9215" t="s">
        <v>2006</v>
      </c>
      <c r="D9215">
        <v>5</v>
      </c>
      <c r="E9215" s="16">
        <v>75.75</v>
      </c>
      <c r="F9215" s="1">
        <v>44938</v>
      </c>
      <c r="G9215" t="s">
        <v>2004</v>
      </c>
      <c r="H9215">
        <v>3</v>
      </c>
      <c r="I9215" s="12">
        <f>Table16[[#This Row],[price]]*Table16[[#This Row],[quantity]]</f>
        <v>378.75</v>
      </c>
    </row>
    <row r="9216" spans="1:9" x14ac:dyDescent="0.3">
      <c r="A9216" t="s">
        <v>11236</v>
      </c>
      <c r="B9216" t="s">
        <v>1840</v>
      </c>
      <c r="C9216" t="s">
        <v>2011</v>
      </c>
      <c r="D9216">
        <v>2</v>
      </c>
      <c r="E9216" s="16">
        <v>81.319999999999993</v>
      </c>
      <c r="F9216" s="1">
        <v>44294</v>
      </c>
      <c r="G9216" t="s">
        <v>2027</v>
      </c>
      <c r="H9216">
        <v>1</v>
      </c>
      <c r="I9216" s="12">
        <f>Table16[[#This Row],[price]]*Table16[[#This Row],[quantity]]</f>
        <v>162.63999999999999</v>
      </c>
    </row>
    <row r="9217" spans="1:9" x14ac:dyDescent="0.3">
      <c r="A9217" t="s">
        <v>11233</v>
      </c>
      <c r="B9217" t="s">
        <v>1840</v>
      </c>
      <c r="C9217" t="s">
        <v>2001</v>
      </c>
      <c r="D9217">
        <v>3</v>
      </c>
      <c r="E9217" s="16">
        <v>900.24</v>
      </c>
      <c r="F9217" s="1">
        <v>44299</v>
      </c>
      <c r="G9217" t="s">
        <v>2002</v>
      </c>
      <c r="H9217">
        <v>1</v>
      </c>
      <c r="I9217" s="12">
        <f>Table16[[#This Row],[price]]*Table16[[#This Row],[quantity]]</f>
        <v>2700.7200000000003</v>
      </c>
    </row>
    <row r="9218" spans="1:9" x14ac:dyDescent="0.3">
      <c r="A9218" t="s">
        <v>11237</v>
      </c>
      <c r="B9218" t="s">
        <v>1840</v>
      </c>
      <c r="C9218" t="s">
        <v>2011</v>
      </c>
      <c r="D9218">
        <v>2</v>
      </c>
      <c r="E9218" s="16">
        <v>81.319999999999993</v>
      </c>
      <c r="F9218" s="1">
        <v>44308</v>
      </c>
      <c r="G9218" t="s">
        <v>2058</v>
      </c>
      <c r="H9218">
        <v>4</v>
      </c>
      <c r="I9218" s="12">
        <f>Table16[[#This Row],[price]]*Table16[[#This Row],[quantity]]</f>
        <v>162.63999999999999</v>
      </c>
    </row>
    <row r="9219" spans="1:9" x14ac:dyDescent="0.3">
      <c r="A9219" t="s">
        <v>11234</v>
      </c>
      <c r="B9219" t="s">
        <v>1840</v>
      </c>
      <c r="C9219" t="s">
        <v>2008</v>
      </c>
      <c r="D9219">
        <v>4</v>
      </c>
      <c r="E9219" s="16">
        <v>20.92</v>
      </c>
      <c r="F9219" s="1">
        <v>44335</v>
      </c>
      <c r="G9219" t="s">
        <v>2027</v>
      </c>
      <c r="H9219">
        <v>2</v>
      </c>
      <c r="I9219" s="12">
        <f>Table16[[#This Row],[price]]*Table16[[#This Row],[quantity]]</f>
        <v>83.68</v>
      </c>
    </row>
    <row r="9220" spans="1:9" x14ac:dyDescent="0.3">
      <c r="A9220" t="s">
        <v>11232</v>
      </c>
      <c r="B9220" t="s">
        <v>1840</v>
      </c>
      <c r="C9220" t="s">
        <v>2001</v>
      </c>
      <c r="D9220">
        <v>4</v>
      </c>
      <c r="E9220" s="16">
        <v>1200.32</v>
      </c>
      <c r="F9220" s="1">
        <v>44823</v>
      </c>
      <c r="G9220" t="s">
        <v>2004</v>
      </c>
      <c r="H9220">
        <v>1</v>
      </c>
      <c r="I9220" s="12">
        <f>Table16[[#This Row],[price]]*Table16[[#This Row],[quantity]]</f>
        <v>4801.28</v>
      </c>
    </row>
    <row r="9221" spans="1:9" x14ac:dyDescent="0.3">
      <c r="A9221" t="s">
        <v>11235</v>
      </c>
      <c r="B9221" t="s">
        <v>1840</v>
      </c>
      <c r="C9221" t="s">
        <v>2001</v>
      </c>
      <c r="D9221">
        <v>1</v>
      </c>
      <c r="E9221" s="16">
        <v>300.08</v>
      </c>
      <c r="F9221" s="1">
        <v>44930</v>
      </c>
      <c r="G9221" t="s">
        <v>2027</v>
      </c>
      <c r="H9221">
        <v>3</v>
      </c>
      <c r="I9221" s="12">
        <f>Table16[[#This Row],[price]]*Table16[[#This Row],[quantity]]</f>
        <v>300.08</v>
      </c>
    </row>
    <row r="9222" spans="1:9" x14ac:dyDescent="0.3">
      <c r="A9222" t="s">
        <v>11238</v>
      </c>
      <c r="B9222" t="s">
        <v>1841</v>
      </c>
      <c r="C9222" t="s">
        <v>2011</v>
      </c>
      <c r="D9222">
        <v>4</v>
      </c>
      <c r="E9222" s="16">
        <v>162.63999999999999</v>
      </c>
      <c r="F9222" s="1">
        <v>44453</v>
      </c>
      <c r="G9222" t="s">
        <v>2004</v>
      </c>
      <c r="H9222">
        <v>3</v>
      </c>
      <c r="I9222" s="12">
        <f>Table16[[#This Row],[price]]*Table16[[#This Row],[quantity]]</f>
        <v>650.55999999999995</v>
      </c>
    </row>
    <row r="9223" spans="1:9" x14ac:dyDescent="0.3">
      <c r="A9223" t="s">
        <v>11239</v>
      </c>
      <c r="B9223" t="s">
        <v>1841</v>
      </c>
      <c r="C9223" t="s">
        <v>2017</v>
      </c>
      <c r="D9223">
        <v>2</v>
      </c>
      <c r="E9223" s="16">
        <v>2100</v>
      </c>
      <c r="F9223" s="1">
        <v>44526</v>
      </c>
      <c r="G9223" t="s">
        <v>2018</v>
      </c>
      <c r="H9223">
        <v>3</v>
      </c>
      <c r="I9223" s="12">
        <f>Table16[[#This Row],[price]]*Table16[[#This Row],[quantity]]</f>
        <v>4200</v>
      </c>
    </row>
    <row r="9224" spans="1:9" x14ac:dyDescent="0.3">
      <c r="A9224" t="s">
        <v>11244</v>
      </c>
      <c r="B9224" t="s">
        <v>1842</v>
      </c>
      <c r="C9224" t="s">
        <v>2001</v>
      </c>
      <c r="D9224">
        <v>5</v>
      </c>
      <c r="E9224" s="16">
        <v>1500.4</v>
      </c>
      <c r="F9224" s="1">
        <v>44422</v>
      </c>
      <c r="G9224" t="s">
        <v>2020</v>
      </c>
      <c r="H9224">
        <v>3</v>
      </c>
      <c r="I9224" s="12">
        <f>Table16[[#This Row],[price]]*Table16[[#This Row],[quantity]]</f>
        <v>7502</v>
      </c>
    </row>
    <row r="9225" spans="1:9" x14ac:dyDescent="0.3">
      <c r="A9225" t="s">
        <v>11241</v>
      </c>
      <c r="B9225" t="s">
        <v>1842</v>
      </c>
      <c r="C9225" t="s">
        <v>2001</v>
      </c>
      <c r="D9225">
        <v>1</v>
      </c>
      <c r="E9225" s="16">
        <v>300.08</v>
      </c>
      <c r="F9225" s="1">
        <v>44474</v>
      </c>
      <c r="G9225" t="s">
        <v>2041</v>
      </c>
      <c r="H9225">
        <v>1</v>
      </c>
      <c r="I9225" s="12">
        <f>Table16[[#This Row],[price]]*Table16[[#This Row],[quantity]]</f>
        <v>300.08</v>
      </c>
    </row>
    <row r="9226" spans="1:9" x14ac:dyDescent="0.3">
      <c r="A9226" t="s">
        <v>11240</v>
      </c>
      <c r="B9226" t="s">
        <v>1842</v>
      </c>
      <c r="C9226" t="s">
        <v>2011</v>
      </c>
      <c r="D9226">
        <v>5</v>
      </c>
      <c r="E9226" s="16">
        <v>203.3</v>
      </c>
      <c r="F9226" s="1">
        <v>44696</v>
      </c>
      <c r="G9226" t="s">
        <v>2064</v>
      </c>
      <c r="H9226">
        <v>3</v>
      </c>
      <c r="I9226" s="12">
        <f>Table16[[#This Row],[price]]*Table16[[#This Row],[quantity]]</f>
        <v>1016.5</v>
      </c>
    </row>
    <row r="9227" spans="1:9" x14ac:dyDescent="0.3">
      <c r="A9227" t="s">
        <v>11243</v>
      </c>
      <c r="B9227" t="s">
        <v>1842</v>
      </c>
      <c r="C9227" t="s">
        <v>2011</v>
      </c>
      <c r="D9227">
        <v>3</v>
      </c>
      <c r="E9227" s="16">
        <v>121.98</v>
      </c>
      <c r="F9227" s="1">
        <v>44701</v>
      </c>
      <c r="G9227" t="s">
        <v>2002</v>
      </c>
      <c r="H9227">
        <v>4</v>
      </c>
      <c r="I9227" s="12">
        <f>Table16[[#This Row],[price]]*Table16[[#This Row],[quantity]]</f>
        <v>365.94</v>
      </c>
    </row>
    <row r="9228" spans="1:9" x14ac:dyDescent="0.3">
      <c r="A9228" t="s">
        <v>11242</v>
      </c>
      <c r="B9228" t="s">
        <v>1842</v>
      </c>
      <c r="C9228" t="s">
        <v>2006</v>
      </c>
      <c r="D9228">
        <v>5</v>
      </c>
      <c r="E9228" s="16">
        <v>75.75</v>
      </c>
      <c r="F9228" s="1">
        <v>44956</v>
      </c>
      <c r="G9228" t="s">
        <v>2027</v>
      </c>
      <c r="H9228">
        <v>1</v>
      </c>
      <c r="I9228" s="12">
        <f>Table16[[#This Row],[price]]*Table16[[#This Row],[quantity]]</f>
        <v>378.75</v>
      </c>
    </row>
    <row r="9229" spans="1:9" x14ac:dyDescent="0.3">
      <c r="A9229" t="s">
        <v>11246</v>
      </c>
      <c r="B9229" t="s">
        <v>1843</v>
      </c>
      <c r="C9229" t="s">
        <v>2001</v>
      </c>
      <c r="D9229">
        <v>5</v>
      </c>
      <c r="E9229" s="16">
        <v>1500.4</v>
      </c>
      <c r="F9229" s="1">
        <v>44322</v>
      </c>
      <c r="G9229" t="s">
        <v>2020</v>
      </c>
      <c r="H9229">
        <v>5</v>
      </c>
      <c r="I9229" s="12">
        <f>Table16[[#This Row],[price]]*Table16[[#This Row],[quantity]]</f>
        <v>7502</v>
      </c>
    </row>
    <row r="9230" spans="1:9" x14ac:dyDescent="0.3">
      <c r="A9230" t="s">
        <v>11247</v>
      </c>
      <c r="B9230" t="s">
        <v>1843</v>
      </c>
      <c r="C9230" t="s">
        <v>2015</v>
      </c>
      <c r="D9230">
        <v>1</v>
      </c>
      <c r="E9230" s="16">
        <v>600.16999999999996</v>
      </c>
      <c r="F9230" s="1">
        <v>44607</v>
      </c>
      <c r="G9230" t="s">
        <v>2064</v>
      </c>
      <c r="H9230">
        <v>5</v>
      </c>
      <c r="I9230" s="12">
        <f>Table16[[#This Row],[price]]*Table16[[#This Row],[quantity]]</f>
        <v>600.16999999999996</v>
      </c>
    </row>
    <row r="9231" spans="1:9" x14ac:dyDescent="0.3">
      <c r="A9231" t="s">
        <v>11248</v>
      </c>
      <c r="B9231" t="s">
        <v>1843</v>
      </c>
      <c r="C9231" t="s">
        <v>2024</v>
      </c>
      <c r="D9231">
        <v>4</v>
      </c>
      <c r="E9231" s="16">
        <v>143.36000000000001</v>
      </c>
      <c r="F9231" s="1">
        <v>44623</v>
      </c>
      <c r="G9231" t="s">
        <v>2004</v>
      </c>
      <c r="H9231">
        <v>3</v>
      </c>
      <c r="I9231" s="12">
        <f>Table16[[#This Row],[price]]*Table16[[#This Row],[quantity]]</f>
        <v>573.44000000000005</v>
      </c>
    </row>
    <row r="9232" spans="1:9" x14ac:dyDescent="0.3">
      <c r="A9232" t="s">
        <v>11245</v>
      </c>
      <c r="B9232" t="s">
        <v>1843</v>
      </c>
      <c r="C9232" t="s">
        <v>2008</v>
      </c>
      <c r="D9232">
        <v>1</v>
      </c>
      <c r="E9232" s="16">
        <v>5.23</v>
      </c>
      <c r="F9232" s="1">
        <v>44727</v>
      </c>
      <c r="G9232" t="s">
        <v>2027</v>
      </c>
      <c r="H9232">
        <v>4</v>
      </c>
      <c r="I9232" s="12">
        <f>Table16[[#This Row],[price]]*Table16[[#This Row],[quantity]]</f>
        <v>5.23</v>
      </c>
    </row>
    <row r="9233" spans="1:9" x14ac:dyDescent="0.3">
      <c r="A9233" t="s">
        <v>11250</v>
      </c>
      <c r="B9233" t="s">
        <v>1844</v>
      </c>
      <c r="C9233" t="s">
        <v>2006</v>
      </c>
      <c r="D9233">
        <v>3</v>
      </c>
      <c r="E9233" s="16">
        <v>45.45</v>
      </c>
      <c r="F9233" s="1">
        <v>44419</v>
      </c>
      <c r="G9233" t="s">
        <v>2027</v>
      </c>
      <c r="H9233">
        <v>3</v>
      </c>
      <c r="I9233" s="12">
        <f>Table16[[#This Row],[price]]*Table16[[#This Row],[quantity]]</f>
        <v>136.35000000000002</v>
      </c>
    </row>
    <row r="9234" spans="1:9" x14ac:dyDescent="0.3">
      <c r="A9234" t="s">
        <v>11253</v>
      </c>
      <c r="B9234" t="s">
        <v>1844</v>
      </c>
      <c r="C9234" t="s">
        <v>2001</v>
      </c>
      <c r="D9234">
        <v>5</v>
      </c>
      <c r="E9234" s="16">
        <v>1500.4</v>
      </c>
      <c r="F9234" s="1">
        <v>44566</v>
      </c>
      <c r="G9234" t="s">
        <v>2009</v>
      </c>
      <c r="H9234">
        <v>4</v>
      </c>
      <c r="I9234" s="12">
        <f>Table16[[#This Row],[price]]*Table16[[#This Row],[quantity]]</f>
        <v>7502</v>
      </c>
    </row>
    <row r="9235" spans="1:9" x14ac:dyDescent="0.3">
      <c r="A9235" t="s">
        <v>11251</v>
      </c>
      <c r="B9235" t="s">
        <v>1844</v>
      </c>
      <c r="C9235" t="s">
        <v>2015</v>
      </c>
      <c r="D9235">
        <v>2</v>
      </c>
      <c r="E9235" s="16">
        <v>1200.3399999999999</v>
      </c>
      <c r="F9235" s="1">
        <v>44669</v>
      </c>
      <c r="G9235" t="s">
        <v>2004</v>
      </c>
      <c r="H9235">
        <v>2</v>
      </c>
      <c r="I9235" s="12">
        <f>Table16[[#This Row],[price]]*Table16[[#This Row],[quantity]]</f>
        <v>2400.6799999999998</v>
      </c>
    </row>
    <row r="9236" spans="1:9" x14ac:dyDescent="0.3">
      <c r="A9236" t="s">
        <v>11252</v>
      </c>
      <c r="B9236" t="s">
        <v>1844</v>
      </c>
      <c r="C9236" t="s">
        <v>2001</v>
      </c>
      <c r="D9236">
        <v>2</v>
      </c>
      <c r="E9236" s="16">
        <v>600.16</v>
      </c>
      <c r="F9236" s="1">
        <v>44760</v>
      </c>
      <c r="G9236" t="s">
        <v>2041</v>
      </c>
      <c r="H9236">
        <v>1</v>
      </c>
      <c r="I9236" s="12">
        <f>Table16[[#This Row],[price]]*Table16[[#This Row],[quantity]]</f>
        <v>1200.32</v>
      </c>
    </row>
    <row r="9237" spans="1:9" x14ac:dyDescent="0.3">
      <c r="A9237" t="s">
        <v>11249</v>
      </c>
      <c r="B9237" t="s">
        <v>1844</v>
      </c>
      <c r="C9237" t="s">
        <v>2015</v>
      </c>
      <c r="D9237">
        <v>2</v>
      </c>
      <c r="E9237" s="16">
        <v>1200.3399999999999</v>
      </c>
      <c r="F9237" s="1">
        <v>44772</v>
      </c>
      <c r="G9237" t="s">
        <v>2020</v>
      </c>
      <c r="H9237">
        <v>5</v>
      </c>
      <c r="I9237" s="12">
        <f>Table16[[#This Row],[price]]*Table16[[#This Row],[quantity]]</f>
        <v>2400.6799999999998</v>
      </c>
    </row>
    <row r="9238" spans="1:9" x14ac:dyDescent="0.3">
      <c r="A9238" t="s">
        <v>11254</v>
      </c>
      <c r="B9238" t="s">
        <v>1845</v>
      </c>
      <c r="C9238" t="s">
        <v>2017</v>
      </c>
      <c r="D9238">
        <v>2</v>
      </c>
      <c r="E9238" s="16">
        <v>2100</v>
      </c>
      <c r="F9238" s="1">
        <v>44458</v>
      </c>
      <c r="G9238" t="s">
        <v>2004</v>
      </c>
      <c r="H9238">
        <v>5</v>
      </c>
      <c r="I9238" s="12">
        <f>Table16[[#This Row],[price]]*Table16[[#This Row],[quantity]]</f>
        <v>4200</v>
      </c>
    </row>
    <row r="9239" spans="1:9" x14ac:dyDescent="0.3">
      <c r="A9239" t="s">
        <v>11257</v>
      </c>
      <c r="B9239" t="s">
        <v>1845</v>
      </c>
      <c r="C9239" t="s">
        <v>2001</v>
      </c>
      <c r="D9239">
        <v>3</v>
      </c>
      <c r="E9239" s="16">
        <v>900.24</v>
      </c>
      <c r="F9239" s="1">
        <v>44827</v>
      </c>
      <c r="G9239" t="s">
        <v>2064</v>
      </c>
      <c r="H9239">
        <v>1</v>
      </c>
      <c r="I9239" s="12">
        <f>Table16[[#This Row],[price]]*Table16[[#This Row],[quantity]]</f>
        <v>2700.7200000000003</v>
      </c>
    </row>
    <row r="9240" spans="1:9" x14ac:dyDescent="0.3">
      <c r="A9240" t="s">
        <v>11256</v>
      </c>
      <c r="B9240" t="s">
        <v>1845</v>
      </c>
      <c r="C9240" t="s">
        <v>2011</v>
      </c>
      <c r="D9240">
        <v>2</v>
      </c>
      <c r="E9240" s="16">
        <v>81.319999999999993</v>
      </c>
      <c r="F9240" s="1">
        <v>44849</v>
      </c>
      <c r="G9240" t="s">
        <v>2002</v>
      </c>
      <c r="H9240">
        <v>5</v>
      </c>
      <c r="I9240" s="12">
        <f>Table16[[#This Row],[price]]*Table16[[#This Row],[quantity]]</f>
        <v>162.63999999999999</v>
      </c>
    </row>
    <row r="9241" spans="1:9" x14ac:dyDescent="0.3">
      <c r="A9241" t="s">
        <v>11255</v>
      </c>
      <c r="B9241" t="s">
        <v>1845</v>
      </c>
      <c r="C9241" t="s">
        <v>2008</v>
      </c>
      <c r="D9241">
        <v>2</v>
      </c>
      <c r="E9241" s="16">
        <v>10.46</v>
      </c>
      <c r="F9241" s="1">
        <v>44867</v>
      </c>
      <c r="G9241" t="s">
        <v>2064</v>
      </c>
      <c r="H9241">
        <v>1</v>
      </c>
      <c r="I9241" s="12">
        <f>Table16[[#This Row],[price]]*Table16[[#This Row],[quantity]]</f>
        <v>20.92</v>
      </c>
    </row>
    <row r="9242" spans="1:9" x14ac:dyDescent="0.3">
      <c r="A9242" t="s">
        <v>11260</v>
      </c>
      <c r="B9242" t="s">
        <v>1846</v>
      </c>
      <c r="C9242" t="s">
        <v>2024</v>
      </c>
      <c r="D9242">
        <v>3</v>
      </c>
      <c r="E9242" s="16">
        <v>107.52</v>
      </c>
      <c r="F9242" s="1">
        <v>44490</v>
      </c>
      <c r="G9242" t="s">
        <v>2027</v>
      </c>
      <c r="H9242">
        <v>2</v>
      </c>
      <c r="I9242" s="12">
        <f>Table16[[#This Row],[price]]*Table16[[#This Row],[quantity]]</f>
        <v>322.56</v>
      </c>
    </row>
    <row r="9243" spans="1:9" x14ac:dyDescent="0.3">
      <c r="A9243" t="s">
        <v>11259</v>
      </c>
      <c r="B9243" t="s">
        <v>1846</v>
      </c>
      <c r="C9243" t="s">
        <v>2006</v>
      </c>
      <c r="D9243">
        <v>2</v>
      </c>
      <c r="E9243" s="16">
        <v>30.3</v>
      </c>
      <c r="F9243" s="1">
        <v>44618</v>
      </c>
      <c r="G9243" t="s">
        <v>2012</v>
      </c>
      <c r="H9243">
        <v>1</v>
      </c>
      <c r="I9243" s="12">
        <f>Table16[[#This Row],[price]]*Table16[[#This Row],[quantity]]</f>
        <v>60.6</v>
      </c>
    </row>
    <row r="9244" spans="1:9" x14ac:dyDescent="0.3">
      <c r="A9244" t="s">
        <v>11258</v>
      </c>
      <c r="B9244" t="s">
        <v>1846</v>
      </c>
      <c r="C9244" t="s">
        <v>2008</v>
      </c>
      <c r="D9244">
        <v>2</v>
      </c>
      <c r="E9244" s="16">
        <v>10.46</v>
      </c>
      <c r="F9244" s="1">
        <v>44763</v>
      </c>
      <c r="G9244" t="s">
        <v>2027</v>
      </c>
      <c r="H9244">
        <v>1</v>
      </c>
      <c r="I9244" s="12">
        <f>Table16[[#This Row],[price]]*Table16[[#This Row],[quantity]]</f>
        <v>20.92</v>
      </c>
    </row>
    <row r="9245" spans="1:9" x14ac:dyDescent="0.3">
      <c r="A9245" t="s">
        <v>11261</v>
      </c>
      <c r="B9245" t="s">
        <v>1846</v>
      </c>
      <c r="C9245" t="s">
        <v>2001</v>
      </c>
      <c r="D9245">
        <v>3</v>
      </c>
      <c r="E9245" s="16">
        <v>900.24</v>
      </c>
      <c r="F9245" s="1">
        <v>44867</v>
      </c>
      <c r="G9245" t="s">
        <v>2004</v>
      </c>
      <c r="H9245">
        <v>1</v>
      </c>
      <c r="I9245" s="12">
        <f>Table16[[#This Row],[price]]*Table16[[#This Row],[quantity]]</f>
        <v>2700.7200000000003</v>
      </c>
    </row>
    <row r="9246" spans="1:9" x14ac:dyDescent="0.3">
      <c r="A9246" t="s">
        <v>11262</v>
      </c>
      <c r="B9246" t="s">
        <v>1847</v>
      </c>
      <c r="C9246" t="s">
        <v>2001</v>
      </c>
      <c r="D9246">
        <v>3</v>
      </c>
      <c r="E9246" s="16">
        <v>900.24</v>
      </c>
      <c r="F9246" s="1">
        <v>44217</v>
      </c>
      <c r="G9246" t="s">
        <v>2002</v>
      </c>
      <c r="H9246">
        <v>3</v>
      </c>
      <c r="I9246" s="12">
        <f>Table16[[#This Row],[price]]*Table16[[#This Row],[quantity]]</f>
        <v>2700.7200000000003</v>
      </c>
    </row>
    <row r="9247" spans="1:9" x14ac:dyDescent="0.3">
      <c r="A9247" t="s">
        <v>11264</v>
      </c>
      <c r="B9247" t="s">
        <v>1847</v>
      </c>
      <c r="C9247" t="s">
        <v>2024</v>
      </c>
      <c r="D9247">
        <v>4</v>
      </c>
      <c r="E9247" s="16">
        <v>143.36000000000001</v>
      </c>
      <c r="F9247" s="1">
        <v>44358</v>
      </c>
      <c r="G9247" t="s">
        <v>2004</v>
      </c>
      <c r="H9247">
        <v>3</v>
      </c>
      <c r="I9247" s="12">
        <f>Table16[[#This Row],[price]]*Table16[[#This Row],[quantity]]</f>
        <v>573.44000000000005</v>
      </c>
    </row>
    <row r="9248" spans="1:9" x14ac:dyDescent="0.3">
      <c r="A9248" t="s">
        <v>11265</v>
      </c>
      <c r="B9248" t="s">
        <v>1847</v>
      </c>
      <c r="C9248" t="s">
        <v>2015</v>
      </c>
      <c r="D9248">
        <v>1</v>
      </c>
      <c r="E9248" s="16">
        <v>600.16999999999996</v>
      </c>
      <c r="F9248" s="1">
        <v>44414</v>
      </c>
      <c r="G9248" t="s">
        <v>2027</v>
      </c>
      <c r="H9248">
        <v>4</v>
      </c>
      <c r="I9248" s="12">
        <f>Table16[[#This Row],[price]]*Table16[[#This Row],[quantity]]</f>
        <v>600.16999999999996</v>
      </c>
    </row>
    <row r="9249" spans="1:9" x14ac:dyDescent="0.3">
      <c r="A9249" t="s">
        <v>11263</v>
      </c>
      <c r="B9249" t="s">
        <v>1847</v>
      </c>
      <c r="C9249" t="s">
        <v>2015</v>
      </c>
      <c r="D9249">
        <v>3</v>
      </c>
      <c r="E9249" s="16">
        <v>1800.51</v>
      </c>
      <c r="F9249" s="1">
        <v>44779</v>
      </c>
      <c r="G9249" t="s">
        <v>2012</v>
      </c>
      <c r="H9249">
        <v>5</v>
      </c>
      <c r="I9249" s="12">
        <f>Table16[[#This Row],[price]]*Table16[[#This Row],[quantity]]</f>
        <v>5401.53</v>
      </c>
    </row>
    <row r="9250" spans="1:9" x14ac:dyDescent="0.3">
      <c r="A9250" t="s">
        <v>11267</v>
      </c>
      <c r="B9250" t="s">
        <v>1848</v>
      </c>
      <c r="C9250" t="s">
        <v>2001</v>
      </c>
      <c r="D9250">
        <v>4</v>
      </c>
      <c r="E9250" s="16">
        <v>1200.32</v>
      </c>
      <c r="F9250" s="1">
        <v>44243</v>
      </c>
      <c r="G9250" t="s">
        <v>2041</v>
      </c>
      <c r="H9250">
        <v>5</v>
      </c>
      <c r="I9250" s="12">
        <f>Table16[[#This Row],[price]]*Table16[[#This Row],[quantity]]</f>
        <v>4801.28</v>
      </c>
    </row>
    <row r="9251" spans="1:9" x14ac:dyDescent="0.3">
      <c r="A9251" t="s">
        <v>11266</v>
      </c>
      <c r="B9251" t="s">
        <v>1848</v>
      </c>
      <c r="C9251" t="s">
        <v>2015</v>
      </c>
      <c r="D9251">
        <v>3</v>
      </c>
      <c r="E9251" s="16">
        <v>1800.51</v>
      </c>
      <c r="F9251" s="1">
        <v>44332</v>
      </c>
      <c r="G9251" t="s">
        <v>2027</v>
      </c>
      <c r="H9251">
        <v>5</v>
      </c>
      <c r="I9251" s="12">
        <f>Table16[[#This Row],[price]]*Table16[[#This Row],[quantity]]</f>
        <v>5401.53</v>
      </c>
    </row>
    <row r="9252" spans="1:9" x14ac:dyDescent="0.3">
      <c r="A9252" t="s">
        <v>11272</v>
      </c>
      <c r="B9252" t="s">
        <v>1848</v>
      </c>
      <c r="C9252" t="s">
        <v>2006</v>
      </c>
      <c r="D9252">
        <v>3</v>
      </c>
      <c r="E9252" s="16">
        <v>45.45</v>
      </c>
      <c r="F9252" s="1">
        <v>44554</v>
      </c>
      <c r="G9252" t="s">
        <v>2004</v>
      </c>
      <c r="H9252">
        <v>3</v>
      </c>
      <c r="I9252" s="12">
        <f>Table16[[#This Row],[price]]*Table16[[#This Row],[quantity]]</f>
        <v>136.35000000000002</v>
      </c>
    </row>
    <row r="9253" spans="1:9" x14ac:dyDescent="0.3">
      <c r="A9253" t="s">
        <v>11269</v>
      </c>
      <c r="B9253" t="s">
        <v>1848</v>
      </c>
      <c r="C9253" t="s">
        <v>2001</v>
      </c>
      <c r="D9253">
        <v>5</v>
      </c>
      <c r="E9253" s="16">
        <v>1500.4</v>
      </c>
      <c r="F9253" s="1">
        <v>44642</v>
      </c>
      <c r="G9253" t="s">
        <v>2004</v>
      </c>
      <c r="H9253">
        <v>4</v>
      </c>
      <c r="I9253" s="12">
        <f>Table16[[#This Row],[price]]*Table16[[#This Row],[quantity]]</f>
        <v>7502</v>
      </c>
    </row>
    <row r="9254" spans="1:9" x14ac:dyDescent="0.3">
      <c r="A9254" t="s">
        <v>11268</v>
      </c>
      <c r="B9254" t="s">
        <v>1848</v>
      </c>
      <c r="C9254" t="s">
        <v>2011</v>
      </c>
      <c r="D9254">
        <v>4</v>
      </c>
      <c r="E9254" s="16">
        <v>162.63999999999999</v>
      </c>
      <c r="F9254" s="1">
        <v>44744</v>
      </c>
      <c r="G9254" t="s">
        <v>2012</v>
      </c>
      <c r="H9254">
        <v>3</v>
      </c>
      <c r="I9254" s="12">
        <f>Table16[[#This Row],[price]]*Table16[[#This Row],[quantity]]</f>
        <v>650.55999999999995</v>
      </c>
    </row>
    <row r="9255" spans="1:9" x14ac:dyDescent="0.3">
      <c r="A9255" t="s">
        <v>11273</v>
      </c>
      <c r="B9255" t="s">
        <v>1848</v>
      </c>
      <c r="C9255" t="s">
        <v>2024</v>
      </c>
      <c r="D9255">
        <v>2</v>
      </c>
      <c r="E9255" s="16">
        <v>71.680000000000007</v>
      </c>
      <c r="F9255" s="1">
        <v>44758</v>
      </c>
      <c r="G9255" t="s">
        <v>2009</v>
      </c>
      <c r="H9255">
        <v>2</v>
      </c>
      <c r="I9255" s="12">
        <f>Table16[[#This Row],[price]]*Table16[[#This Row],[quantity]]</f>
        <v>143.36000000000001</v>
      </c>
    </row>
    <row r="9256" spans="1:9" x14ac:dyDescent="0.3">
      <c r="A9256" t="s">
        <v>11270</v>
      </c>
      <c r="B9256" t="s">
        <v>1848</v>
      </c>
      <c r="C9256" t="s">
        <v>2057</v>
      </c>
      <c r="D9256">
        <v>5</v>
      </c>
      <c r="E9256" s="16">
        <v>58.65</v>
      </c>
      <c r="F9256" s="1">
        <v>44787</v>
      </c>
      <c r="G9256" t="s">
        <v>2020</v>
      </c>
      <c r="H9256">
        <v>3</v>
      </c>
      <c r="I9256" s="12">
        <f>Table16[[#This Row],[price]]*Table16[[#This Row],[quantity]]</f>
        <v>293.25</v>
      </c>
    </row>
    <row r="9257" spans="1:9" x14ac:dyDescent="0.3">
      <c r="A9257" t="s">
        <v>11271</v>
      </c>
      <c r="B9257" t="s">
        <v>1848</v>
      </c>
      <c r="C9257" t="s">
        <v>2006</v>
      </c>
      <c r="D9257">
        <v>5</v>
      </c>
      <c r="E9257" s="16">
        <v>75.75</v>
      </c>
      <c r="F9257" s="1">
        <v>44938</v>
      </c>
      <c r="G9257" t="s">
        <v>2004</v>
      </c>
      <c r="H9257">
        <v>1</v>
      </c>
      <c r="I9257" s="12">
        <f>Table16[[#This Row],[price]]*Table16[[#This Row],[quantity]]</f>
        <v>378.75</v>
      </c>
    </row>
    <row r="9258" spans="1:9" x14ac:dyDescent="0.3">
      <c r="A9258" t="s">
        <v>11275</v>
      </c>
      <c r="B9258" t="s">
        <v>1849</v>
      </c>
      <c r="C9258" t="s">
        <v>2011</v>
      </c>
      <c r="D9258">
        <v>1</v>
      </c>
      <c r="E9258" s="16">
        <v>40.659999999999997</v>
      </c>
      <c r="F9258" s="1">
        <v>44368</v>
      </c>
      <c r="G9258" t="s">
        <v>2004</v>
      </c>
      <c r="H9258">
        <v>3</v>
      </c>
      <c r="I9258" s="12">
        <f>Table16[[#This Row],[price]]*Table16[[#This Row],[quantity]]</f>
        <v>40.659999999999997</v>
      </c>
    </row>
    <row r="9259" spans="1:9" x14ac:dyDescent="0.3">
      <c r="A9259" t="s">
        <v>11276</v>
      </c>
      <c r="B9259" t="s">
        <v>1849</v>
      </c>
      <c r="C9259" t="s">
        <v>2001</v>
      </c>
      <c r="D9259">
        <v>1</v>
      </c>
      <c r="E9259" s="16">
        <v>300.08</v>
      </c>
      <c r="F9259" s="1">
        <v>44432</v>
      </c>
      <c r="G9259" t="s">
        <v>2004</v>
      </c>
      <c r="H9259">
        <v>4</v>
      </c>
      <c r="I9259" s="12">
        <f>Table16[[#This Row],[price]]*Table16[[#This Row],[quantity]]</f>
        <v>300.08</v>
      </c>
    </row>
    <row r="9260" spans="1:9" x14ac:dyDescent="0.3">
      <c r="A9260" t="s">
        <v>11274</v>
      </c>
      <c r="B9260" t="s">
        <v>1849</v>
      </c>
      <c r="C9260" t="s">
        <v>2024</v>
      </c>
      <c r="D9260">
        <v>1</v>
      </c>
      <c r="E9260" s="16">
        <v>35.840000000000003</v>
      </c>
      <c r="F9260" s="1">
        <v>44710</v>
      </c>
      <c r="G9260" t="s">
        <v>2020</v>
      </c>
      <c r="H9260">
        <v>4</v>
      </c>
      <c r="I9260" s="12">
        <f>Table16[[#This Row],[price]]*Table16[[#This Row],[quantity]]</f>
        <v>35.840000000000003</v>
      </c>
    </row>
    <row r="9261" spans="1:9" x14ac:dyDescent="0.3">
      <c r="A9261" t="s">
        <v>11277</v>
      </c>
      <c r="B9261" t="s">
        <v>1849</v>
      </c>
      <c r="C9261" t="s">
        <v>2015</v>
      </c>
      <c r="D9261">
        <v>1</v>
      </c>
      <c r="E9261" s="16">
        <v>600.16999999999996</v>
      </c>
      <c r="F9261" s="1">
        <v>44744</v>
      </c>
      <c r="G9261" t="s">
        <v>2009</v>
      </c>
      <c r="H9261">
        <v>3</v>
      </c>
      <c r="I9261" s="12">
        <f>Table16[[#This Row],[price]]*Table16[[#This Row],[quantity]]</f>
        <v>600.16999999999996</v>
      </c>
    </row>
    <row r="9262" spans="1:9" x14ac:dyDescent="0.3">
      <c r="A9262" t="s">
        <v>11282</v>
      </c>
      <c r="B9262" t="s">
        <v>1850</v>
      </c>
      <c r="C9262" t="s">
        <v>2011</v>
      </c>
      <c r="D9262">
        <v>2</v>
      </c>
      <c r="E9262" s="16">
        <v>81.319999999999993</v>
      </c>
      <c r="F9262" s="1">
        <v>44245</v>
      </c>
      <c r="G9262" t="s">
        <v>2064</v>
      </c>
      <c r="H9262">
        <v>3</v>
      </c>
      <c r="I9262" s="12">
        <f>Table16[[#This Row],[price]]*Table16[[#This Row],[quantity]]</f>
        <v>162.63999999999999</v>
      </c>
    </row>
    <row r="9263" spans="1:9" x14ac:dyDescent="0.3">
      <c r="A9263" t="s">
        <v>11281</v>
      </c>
      <c r="B9263" t="s">
        <v>1850</v>
      </c>
      <c r="C9263" t="s">
        <v>2015</v>
      </c>
      <c r="D9263">
        <v>3</v>
      </c>
      <c r="E9263" s="16">
        <v>1800.51</v>
      </c>
      <c r="F9263" s="1">
        <v>44750</v>
      </c>
      <c r="G9263" t="s">
        <v>2002</v>
      </c>
      <c r="H9263">
        <v>5</v>
      </c>
      <c r="I9263" s="12">
        <f>Table16[[#This Row],[price]]*Table16[[#This Row],[quantity]]</f>
        <v>5401.53</v>
      </c>
    </row>
    <row r="9264" spans="1:9" x14ac:dyDescent="0.3">
      <c r="A9264" t="s">
        <v>11279</v>
      </c>
      <c r="B9264" t="s">
        <v>1850</v>
      </c>
      <c r="C9264" t="s">
        <v>2001</v>
      </c>
      <c r="D9264">
        <v>4</v>
      </c>
      <c r="E9264" s="16">
        <v>1200.32</v>
      </c>
      <c r="F9264" s="1">
        <v>44821</v>
      </c>
      <c r="G9264" t="s">
        <v>2002</v>
      </c>
      <c r="H9264">
        <v>4</v>
      </c>
      <c r="I9264" s="12">
        <f>Table16[[#This Row],[price]]*Table16[[#This Row],[quantity]]</f>
        <v>4801.28</v>
      </c>
    </row>
    <row r="9265" spans="1:9" x14ac:dyDescent="0.3">
      <c r="A9265" t="s">
        <v>11283</v>
      </c>
      <c r="B9265" t="s">
        <v>1850</v>
      </c>
      <c r="C9265" t="s">
        <v>2008</v>
      </c>
      <c r="D9265">
        <v>3</v>
      </c>
      <c r="E9265" s="16">
        <v>15.69</v>
      </c>
      <c r="F9265" s="1">
        <v>44838</v>
      </c>
      <c r="G9265" t="s">
        <v>2004</v>
      </c>
      <c r="H9265">
        <v>1</v>
      </c>
      <c r="I9265" s="12">
        <f>Table16[[#This Row],[price]]*Table16[[#This Row],[quantity]]</f>
        <v>47.07</v>
      </c>
    </row>
    <row r="9266" spans="1:9" x14ac:dyDescent="0.3">
      <c r="A9266" t="s">
        <v>11278</v>
      </c>
      <c r="B9266" t="s">
        <v>1850</v>
      </c>
      <c r="C9266" t="s">
        <v>2001</v>
      </c>
      <c r="D9266">
        <v>1</v>
      </c>
      <c r="E9266" s="16">
        <v>300.08</v>
      </c>
      <c r="F9266" s="1">
        <v>44848</v>
      </c>
      <c r="G9266" t="s">
        <v>2058</v>
      </c>
      <c r="H9266">
        <v>4</v>
      </c>
      <c r="I9266" s="12">
        <f>Table16[[#This Row],[price]]*Table16[[#This Row],[quantity]]</f>
        <v>300.08</v>
      </c>
    </row>
    <row r="9267" spans="1:9" x14ac:dyDescent="0.3">
      <c r="A9267" t="s">
        <v>11280</v>
      </c>
      <c r="B9267" t="s">
        <v>1850</v>
      </c>
      <c r="C9267" t="s">
        <v>2001</v>
      </c>
      <c r="D9267">
        <v>3</v>
      </c>
      <c r="E9267" s="16">
        <v>900.24</v>
      </c>
      <c r="F9267" s="1">
        <v>44877</v>
      </c>
      <c r="G9267" t="s">
        <v>2027</v>
      </c>
      <c r="H9267">
        <v>3</v>
      </c>
      <c r="I9267" s="12">
        <f>Table16[[#This Row],[price]]*Table16[[#This Row],[quantity]]</f>
        <v>2700.7200000000003</v>
      </c>
    </row>
    <row r="9268" spans="1:9" x14ac:dyDescent="0.3">
      <c r="A9268" t="s">
        <v>11289</v>
      </c>
      <c r="B9268" t="s">
        <v>1851</v>
      </c>
      <c r="C9268" t="s">
        <v>2001</v>
      </c>
      <c r="D9268">
        <v>2</v>
      </c>
      <c r="E9268" s="16">
        <v>600.16</v>
      </c>
      <c r="F9268" s="1">
        <v>44380</v>
      </c>
      <c r="G9268" t="s">
        <v>2064</v>
      </c>
      <c r="H9268">
        <v>2</v>
      </c>
      <c r="I9268" s="12">
        <f>Table16[[#This Row],[price]]*Table16[[#This Row],[quantity]]</f>
        <v>1200.32</v>
      </c>
    </row>
    <row r="9269" spans="1:9" x14ac:dyDescent="0.3">
      <c r="A9269" t="s">
        <v>11285</v>
      </c>
      <c r="B9269" t="s">
        <v>1851</v>
      </c>
      <c r="C9269" t="s">
        <v>2015</v>
      </c>
      <c r="D9269">
        <v>1</v>
      </c>
      <c r="E9269" s="16">
        <v>600.16999999999996</v>
      </c>
      <c r="F9269" s="1">
        <v>44732</v>
      </c>
      <c r="G9269" t="s">
        <v>2012</v>
      </c>
      <c r="H9269">
        <v>4</v>
      </c>
      <c r="I9269" s="12">
        <f>Table16[[#This Row],[price]]*Table16[[#This Row],[quantity]]</f>
        <v>600.16999999999996</v>
      </c>
    </row>
    <row r="9270" spans="1:9" x14ac:dyDescent="0.3">
      <c r="A9270" t="s">
        <v>11284</v>
      </c>
      <c r="B9270" t="s">
        <v>1851</v>
      </c>
      <c r="C9270" t="s">
        <v>2001</v>
      </c>
      <c r="D9270">
        <v>4</v>
      </c>
      <c r="E9270" s="16">
        <v>1200.32</v>
      </c>
      <c r="F9270" s="1">
        <v>44862</v>
      </c>
      <c r="G9270" t="s">
        <v>2027</v>
      </c>
      <c r="H9270">
        <v>3</v>
      </c>
      <c r="I9270" s="12">
        <f>Table16[[#This Row],[price]]*Table16[[#This Row],[quantity]]</f>
        <v>4801.28</v>
      </c>
    </row>
    <row r="9271" spans="1:9" x14ac:dyDescent="0.3">
      <c r="A9271" t="s">
        <v>11287</v>
      </c>
      <c r="B9271" t="s">
        <v>1851</v>
      </c>
      <c r="C9271" t="s">
        <v>2024</v>
      </c>
      <c r="D9271">
        <v>4</v>
      </c>
      <c r="E9271" s="16">
        <v>143.36000000000001</v>
      </c>
      <c r="F9271" s="1">
        <v>44883</v>
      </c>
      <c r="G9271" t="s">
        <v>2027</v>
      </c>
      <c r="H9271">
        <v>5</v>
      </c>
      <c r="I9271" s="12">
        <f>Table16[[#This Row],[price]]*Table16[[#This Row],[quantity]]</f>
        <v>573.44000000000005</v>
      </c>
    </row>
    <row r="9272" spans="1:9" x14ac:dyDescent="0.3">
      <c r="A9272" t="s">
        <v>11288</v>
      </c>
      <c r="B9272" t="s">
        <v>1851</v>
      </c>
      <c r="C9272" t="s">
        <v>2015</v>
      </c>
      <c r="D9272">
        <v>2</v>
      </c>
      <c r="E9272" s="16">
        <v>1200.3399999999999</v>
      </c>
      <c r="F9272" s="1">
        <v>44893</v>
      </c>
      <c r="G9272" t="s">
        <v>2004</v>
      </c>
      <c r="H9272">
        <v>3</v>
      </c>
      <c r="I9272" s="12">
        <f>Table16[[#This Row],[price]]*Table16[[#This Row],[quantity]]</f>
        <v>2400.6799999999998</v>
      </c>
    </row>
    <row r="9273" spans="1:9" x14ac:dyDescent="0.3">
      <c r="A9273" t="s">
        <v>11286</v>
      </c>
      <c r="B9273" t="s">
        <v>1851</v>
      </c>
      <c r="C9273" t="s">
        <v>2011</v>
      </c>
      <c r="D9273">
        <v>3</v>
      </c>
      <c r="E9273" s="16">
        <v>121.98</v>
      </c>
      <c r="F9273" s="1">
        <v>44896</v>
      </c>
      <c r="G9273" t="s">
        <v>2012</v>
      </c>
      <c r="H9273">
        <v>5</v>
      </c>
      <c r="I9273" s="12">
        <f>Table16[[#This Row],[price]]*Table16[[#This Row],[quantity]]</f>
        <v>365.94</v>
      </c>
    </row>
    <row r="9274" spans="1:9" x14ac:dyDescent="0.3">
      <c r="A9274" t="s">
        <v>11290</v>
      </c>
      <c r="B9274" t="s">
        <v>1852</v>
      </c>
      <c r="C9274" t="s">
        <v>2001</v>
      </c>
      <c r="D9274">
        <v>5</v>
      </c>
      <c r="E9274" s="16">
        <v>1500.4</v>
      </c>
      <c r="F9274" s="1">
        <v>44352</v>
      </c>
      <c r="G9274" t="s">
        <v>2012</v>
      </c>
      <c r="H9274">
        <v>1</v>
      </c>
      <c r="I9274" s="12">
        <f>Table16[[#This Row],[price]]*Table16[[#This Row],[quantity]]</f>
        <v>7502</v>
      </c>
    </row>
    <row r="9275" spans="1:9" x14ac:dyDescent="0.3">
      <c r="A9275" t="s">
        <v>11291</v>
      </c>
      <c r="B9275" t="s">
        <v>1853</v>
      </c>
      <c r="C9275" t="s">
        <v>2006</v>
      </c>
      <c r="D9275">
        <v>5</v>
      </c>
      <c r="E9275" s="16">
        <v>75.75</v>
      </c>
      <c r="F9275" s="1">
        <v>44245</v>
      </c>
      <c r="G9275" t="s">
        <v>2009</v>
      </c>
      <c r="H9275">
        <v>4</v>
      </c>
      <c r="I9275" s="12">
        <f>Table16[[#This Row],[price]]*Table16[[#This Row],[quantity]]</f>
        <v>378.75</v>
      </c>
    </row>
    <row r="9276" spans="1:9" x14ac:dyDescent="0.3">
      <c r="A9276" t="s">
        <v>11293</v>
      </c>
      <c r="B9276" t="s">
        <v>1853</v>
      </c>
      <c r="C9276" t="s">
        <v>2015</v>
      </c>
      <c r="D9276">
        <v>5</v>
      </c>
      <c r="E9276" s="16">
        <v>3000.85</v>
      </c>
      <c r="F9276" s="1">
        <v>44257</v>
      </c>
      <c r="G9276" t="s">
        <v>2004</v>
      </c>
      <c r="H9276">
        <v>2</v>
      </c>
      <c r="I9276" s="12">
        <f>Table16[[#This Row],[price]]*Table16[[#This Row],[quantity]]</f>
        <v>15004.25</v>
      </c>
    </row>
    <row r="9277" spans="1:9" x14ac:dyDescent="0.3">
      <c r="A9277" t="s">
        <v>11294</v>
      </c>
      <c r="B9277" t="s">
        <v>1853</v>
      </c>
      <c r="C9277" t="s">
        <v>2001</v>
      </c>
      <c r="D9277">
        <v>1</v>
      </c>
      <c r="E9277" s="16">
        <v>300.08</v>
      </c>
      <c r="F9277" s="1">
        <v>44293</v>
      </c>
      <c r="G9277" t="s">
        <v>2027</v>
      </c>
      <c r="H9277">
        <v>2</v>
      </c>
      <c r="I9277" s="12">
        <f>Table16[[#This Row],[price]]*Table16[[#This Row],[quantity]]</f>
        <v>300.08</v>
      </c>
    </row>
    <row r="9278" spans="1:9" x14ac:dyDescent="0.3">
      <c r="A9278" t="s">
        <v>11295</v>
      </c>
      <c r="B9278" t="s">
        <v>1853</v>
      </c>
      <c r="C9278" t="s">
        <v>2008</v>
      </c>
      <c r="D9278">
        <v>1</v>
      </c>
      <c r="E9278" s="16">
        <v>5.23</v>
      </c>
      <c r="F9278" s="1">
        <v>44544</v>
      </c>
      <c r="G9278" t="s">
        <v>2064</v>
      </c>
      <c r="H9278">
        <v>3</v>
      </c>
      <c r="I9278" s="12">
        <f>Table16[[#This Row],[price]]*Table16[[#This Row],[quantity]]</f>
        <v>5.23</v>
      </c>
    </row>
    <row r="9279" spans="1:9" x14ac:dyDescent="0.3">
      <c r="A9279" t="s">
        <v>11292</v>
      </c>
      <c r="B9279" t="s">
        <v>1853</v>
      </c>
      <c r="C9279" t="s">
        <v>2001</v>
      </c>
      <c r="D9279">
        <v>2</v>
      </c>
      <c r="E9279" s="16">
        <v>600.16</v>
      </c>
      <c r="F9279" s="1">
        <v>44833</v>
      </c>
      <c r="G9279" t="s">
        <v>2027</v>
      </c>
      <c r="H9279">
        <v>4</v>
      </c>
      <c r="I9279" s="12">
        <f>Table16[[#This Row],[price]]*Table16[[#This Row],[quantity]]</f>
        <v>1200.32</v>
      </c>
    </row>
    <row r="9280" spans="1:9" x14ac:dyDescent="0.3">
      <c r="A9280" t="s">
        <v>11297</v>
      </c>
      <c r="B9280" t="s">
        <v>1854</v>
      </c>
      <c r="C9280" t="s">
        <v>2015</v>
      </c>
      <c r="D9280">
        <v>5</v>
      </c>
      <c r="E9280" s="16">
        <v>3000.85</v>
      </c>
      <c r="F9280" s="1">
        <v>44603</v>
      </c>
      <c r="G9280" t="s">
        <v>2064</v>
      </c>
      <c r="H9280">
        <v>3</v>
      </c>
      <c r="I9280" s="12">
        <f>Table16[[#This Row],[price]]*Table16[[#This Row],[quantity]]</f>
        <v>15004.25</v>
      </c>
    </row>
    <row r="9281" spans="1:9" x14ac:dyDescent="0.3">
      <c r="A9281" t="s">
        <v>11296</v>
      </c>
      <c r="B9281" t="s">
        <v>1854</v>
      </c>
      <c r="C9281" t="s">
        <v>2001</v>
      </c>
      <c r="D9281">
        <v>2</v>
      </c>
      <c r="E9281" s="16">
        <v>600.16</v>
      </c>
      <c r="F9281" s="1">
        <v>44729</v>
      </c>
      <c r="G9281" t="s">
        <v>2002</v>
      </c>
      <c r="H9281">
        <v>5</v>
      </c>
      <c r="I9281" s="12">
        <f>Table16[[#This Row],[price]]*Table16[[#This Row],[quantity]]</f>
        <v>1200.32</v>
      </c>
    </row>
    <row r="9282" spans="1:9" x14ac:dyDescent="0.3">
      <c r="A9282" t="s">
        <v>11299</v>
      </c>
      <c r="B9282" t="s">
        <v>1854</v>
      </c>
      <c r="C9282" t="s">
        <v>2001</v>
      </c>
      <c r="D9282">
        <v>4</v>
      </c>
      <c r="E9282" s="16">
        <v>1200.32</v>
      </c>
      <c r="F9282" s="1">
        <v>44757</v>
      </c>
      <c r="G9282" t="s">
        <v>2027</v>
      </c>
      <c r="H9282">
        <v>4</v>
      </c>
      <c r="I9282" s="12">
        <f>Table16[[#This Row],[price]]*Table16[[#This Row],[quantity]]</f>
        <v>4801.28</v>
      </c>
    </row>
    <row r="9283" spans="1:9" x14ac:dyDescent="0.3">
      <c r="A9283" t="s">
        <v>11298</v>
      </c>
      <c r="B9283" t="s">
        <v>1854</v>
      </c>
      <c r="C9283" t="s">
        <v>2001</v>
      </c>
      <c r="D9283">
        <v>3</v>
      </c>
      <c r="E9283" s="16">
        <v>900.24</v>
      </c>
      <c r="F9283" s="1">
        <v>44873</v>
      </c>
      <c r="G9283" t="s">
        <v>2064</v>
      </c>
      <c r="H9283">
        <v>1</v>
      </c>
      <c r="I9283" s="12">
        <f>Table16[[#This Row],[price]]*Table16[[#This Row],[quantity]]</f>
        <v>2700.7200000000003</v>
      </c>
    </row>
    <row r="9284" spans="1:9" x14ac:dyDescent="0.3">
      <c r="A9284" t="s">
        <v>11302</v>
      </c>
      <c r="B9284" t="s">
        <v>1855</v>
      </c>
      <c r="C9284" t="s">
        <v>2001</v>
      </c>
      <c r="D9284">
        <v>4</v>
      </c>
      <c r="E9284" s="16">
        <v>1200.32</v>
      </c>
      <c r="F9284" s="1">
        <v>44274</v>
      </c>
      <c r="G9284" t="s">
        <v>2004</v>
      </c>
      <c r="H9284">
        <v>3</v>
      </c>
      <c r="I9284" s="12">
        <f>Table16[[#This Row],[price]]*Table16[[#This Row],[quantity]]</f>
        <v>4801.28</v>
      </c>
    </row>
    <row r="9285" spans="1:9" x14ac:dyDescent="0.3">
      <c r="A9285" t="s">
        <v>11303</v>
      </c>
      <c r="B9285" t="s">
        <v>1855</v>
      </c>
      <c r="C9285" t="s">
        <v>2001</v>
      </c>
      <c r="D9285">
        <v>3</v>
      </c>
      <c r="E9285" s="16">
        <v>900.24</v>
      </c>
      <c r="F9285" s="1">
        <v>44382</v>
      </c>
      <c r="G9285" t="s">
        <v>2020</v>
      </c>
      <c r="H9285">
        <v>2</v>
      </c>
      <c r="I9285" s="12">
        <f>Table16[[#This Row],[price]]*Table16[[#This Row],[quantity]]</f>
        <v>2700.7200000000003</v>
      </c>
    </row>
    <row r="9286" spans="1:9" x14ac:dyDescent="0.3">
      <c r="A9286" t="s">
        <v>11304</v>
      </c>
      <c r="B9286" t="s">
        <v>1855</v>
      </c>
      <c r="C9286" t="s">
        <v>2008</v>
      </c>
      <c r="D9286">
        <v>1</v>
      </c>
      <c r="E9286" s="16">
        <v>5.23</v>
      </c>
      <c r="F9286" s="1">
        <v>44611</v>
      </c>
      <c r="G9286" t="s">
        <v>2002</v>
      </c>
      <c r="H9286">
        <v>2</v>
      </c>
      <c r="I9286" s="12">
        <f>Table16[[#This Row],[price]]*Table16[[#This Row],[quantity]]</f>
        <v>5.23</v>
      </c>
    </row>
    <row r="9287" spans="1:9" x14ac:dyDescent="0.3">
      <c r="A9287" t="s">
        <v>11300</v>
      </c>
      <c r="B9287" t="s">
        <v>1855</v>
      </c>
      <c r="C9287" t="s">
        <v>2024</v>
      </c>
      <c r="D9287">
        <v>5</v>
      </c>
      <c r="E9287" s="16">
        <v>179.2</v>
      </c>
      <c r="F9287" s="1">
        <v>44619</v>
      </c>
      <c r="G9287" t="s">
        <v>2012</v>
      </c>
      <c r="H9287">
        <v>4</v>
      </c>
      <c r="I9287" s="12">
        <f>Table16[[#This Row],[price]]*Table16[[#This Row],[quantity]]</f>
        <v>896</v>
      </c>
    </row>
    <row r="9288" spans="1:9" x14ac:dyDescent="0.3">
      <c r="A9288" t="s">
        <v>11301</v>
      </c>
      <c r="B9288" t="s">
        <v>1855</v>
      </c>
      <c r="C9288" t="s">
        <v>2015</v>
      </c>
      <c r="D9288">
        <v>5</v>
      </c>
      <c r="E9288" s="16">
        <v>3000.85</v>
      </c>
      <c r="F9288" s="1">
        <v>44801</v>
      </c>
      <c r="G9288" t="s">
        <v>2012</v>
      </c>
      <c r="H9288">
        <v>2</v>
      </c>
      <c r="I9288" s="12">
        <f>Table16[[#This Row],[price]]*Table16[[#This Row],[quantity]]</f>
        <v>15004.25</v>
      </c>
    </row>
    <row r="9289" spans="1:9" x14ac:dyDescent="0.3">
      <c r="A9289" t="s">
        <v>11310</v>
      </c>
      <c r="B9289" t="s">
        <v>1856</v>
      </c>
      <c r="C9289" t="s">
        <v>2011</v>
      </c>
      <c r="D9289">
        <v>3</v>
      </c>
      <c r="E9289" s="16">
        <v>121.98</v>
      </c>
      <c r="F9289" s="1">
        <v>44445</v>
      </c>
      <c r="G9289" t="s">
        <v>2020</v>
      </c>
      <c r="H9289">
        <v>1</v>
      </c>
      <c r="I9289" s="12">
        <f>Table16[[#This Row],[price]]*Table16[[#This Row],[quantity]]</f>
        <v>365.94</v>
      </c>
    </row>
    <row r="9290" spans="1:9" x14ac:dyDescent="0.3">
      <c r="A9290" t="s">
        <v>11306</v>
      </c>
      <c r="B9290" t="s">
        <v>1856</v>
      </c>
      <c r="C9290" t="s">
        <v>2006</v>
      </c>
      <c r="D9290">
        <v>4</v>
      </c>
      <c r="E9290" s="16">
        <v>60.6</v>
      </c>
      <c r="F9290" s="1">
        <v>44460</v>
      </c>
      <c r="G9290" t="s">
        <v>2027</v>
      </c>
      <c r="H9290">
        <v>2</v>
      </c>
      <c r="I9290" s="12">
        <f>Table16[[#This Row],[price]]*Table16[[#This Row],[quantity]]</f>
        <v>242.4</v>
      </c>
    </row>
    <row r="9291" spans="1:9" x14ac:dyDescent="0.3">
      <c r="A9291" t="s">
        <v>11309</v>
      </c>
      <c r="B9291" t="s">
        <v>1856</v>
      </c>
      <c r="C9291" t="s">
        <v>2008</v>
      </c>
      <c r="D9291">
        <v>4</v>
      </c>
      <c r="E9291" s="16">
        <v>20.92</v>
      </c>
      <c r="F9291" s="1">
        <v>44589</v>
      </c>
      <c r="G9291" t="s">
        <v>2064</v>
      </c>
      <c r="H9291">
        <v>1</v>
      </c>
      <c r="I9291" s="12">
        <f>Table16[[#This Row],[price]]*Table16[[#This Row],[quantity]]</f>
        <v>83.68</v>
      </c>
    </row>
    <row r="9292" spans="1:9" x14ac:dyDescent="0.3">
      <c r="A9292" t="s">
        <v>11307</v>
      </c>
      <c r="B9292" t="s">
        <v>1856</v>
      </c>
      <c r="C9292" t="s">
        <v>2011</v>
      </c>
      <c r="D9292">
        <v>1</v>
      </c>
      <c r="E9292" s="16">
        <v>40.659999999999997</v>
      </c>
      <c r="F9292" s="1">
        <v>44595</v>
      </c>
      <c r="G9292" t="s">
        <v>2012</v>
      </c>
      <c r="H9292">
        <v>4</v>
      </c>
      <c r="I9292" s="12">
        <f>Table16[[#This Row],[price]]*Table16[[#This Row],[quantity]]</f>
        <v>40.659999999999997</v>
      </c>
    </row>
    <row r="9293" spans="1:9" x14ac:dyDescent="0.3">
      <c r="A9293" t="s">
        <v>11305</v>
      </c>
      <c r="B9293" t="s">
        <v>1856</v>
      </c>
      <c r="C9293" t="s">
        <v>2011</v>
      </c>
      <c r="D9293">
        <v>3</v>
      </c>
      <c r="E9293" s="16">
        <v>121.98</v>
      </c>
      <c r="F9293" s="1">
        <v>44668</v>
      </c>
      <c r="G9293" t="s">
        <v>2002</v>
      </c>
      <c r="H9293">
        <v>4</v>
      </c>
      <c r="I9293" s="12">
        <f>Table16[[#This Row],[price]]*Table16[[#This Row],[quantity]]</f>
        <v>365.94</v>
      </c>
    </row>
    <row r="9294" spans="1:9" x14ac:dyDescent="0.3">
      <c r="A9294" t="s">
        <v>11308</v>
      </c>
      <c r="B9294" t="s">
        <v>1856</v>
      </c>
      <c r="C9294" t="s">
        <v>2011</v>
      </c>
      <c r="D9294">
        <v>4</v>
      </c>
      <c r="E9294" s="16">
        <v>162.63999999999999</v>
      </c>
      <c r="F9294" s="1">
        <v>44864</v>
      </c>
      <c r="G9294" t="s">
        <v>2064</v>
      </c>
      <c r="H9294">
        <v>4</v>
      </c>
      <c r="I9294" s="12">
        <f>Table16[[#This Row],[price]]*Table16[[#This Row],[quantity]]</f>
        <v>650.55999999999995</v>
      </c>
    </row>
    <row r="9295" spans="1:9" x14ac:dyDescent="0.3">
      <c r="A9295" t="s">
        <v>11311</v>
      </c>
      <c r="B9295" t="s">
        <v>1857</v>
      </c>
      <c r="C9295" t="s">
        <v>2001</v>
      </c>
      <c r="D9295">
        <v>5</v>
      </c>
      <c r="E9295" s="16">
        <v>1500.4</v>
      </c>
      <c r="F9295" s="1">
        <v>44466</v>
      </c>
      <c r="G9295" t="s">
        <v>2064</v>
      </c>
      <c r="H9295">
        <v>1</v>
      </c>
      <c r="I9295" s="12">
        <f>Table16[[#This Row],[price]]*Table16[[#This Row],[quantity]]</f>
        <v>7502</v>
      </c>
    </row>
    <row r="9296" spans="1:9" x14ac:dyDescent="0.3">
      <c r="A9296" t="s">
        <v>11314</v>
      </c>
      <c r="B9296" t="s">
        <v>1858</v>
      </c>
      <c r="C9296" t="s">
        <v>2001</v>
      </c>
      <c r="D9296">
        <v>5</v>
      </c>
      <c r="E9296" s="16">
        <v>1500.4</v>
      </c>
      <c r="F9296" s="1">
        <v>44319</v>
      </c>
      <c r="G9296" t="s">
        <v>2058</v>
      </c>
      <c r="H9296">
        <v>5</v>
      </c>
      <c r="I9296" s="12">
        <f>Table16[[#This Row],[price]]*Table16[[#This Row],[quantity]]</f>
        <v>7502</v>
      </c>
    </row>
    <row r="9297" spans="1:9" x14ac:dyDescent="0.3">
      <c r="A9297" t="s">
        <v>11313</v>
      </c>
      <c r="B9297" t="s">
        <v>1858</v>
      </c>
      <c r="C9297" t="s">
        <v>2057</v>
      </c>
      <c r="D9297">
        <v>5</v>
      </c>
      <c r="E9297" s="16">
        <v>58.65</v>
      </c>
      <c r="F9297" s="1">
        <v>44347</v>
      </c>
      <c r="G9297" t="s">
        <v>2027</v>
      </c>
      <c r="H9297">
        <v>4</v>
      </c>
      <c r="I9297" s="12">
        <f>Table16[[#This Row],[price]]*Table16[[#This Row],[quantity]]</f>
        <v>293.25</v>
      </c>
    </row>
    <row r="9298" spans="1:9" x14ac:dyDescent="0.3">
      <c r="A9298" t="s">
        <v>11312</v>
      </c>
      <c r="B9298" t="s">
        <v>1858</v>
      </c>
      <c r="C9298" t="s">
        <v>2008</v>
      </c>
      <c r="D9298">
        <v>4</v>
      </c>
      <c r="E9298" s="16">
        <v>20.92</v>
      </c>
      <c r="F9298" s="1">
        <v>44846</v>
      </c>
      <c r="G9298" t="s">
        <v>2020</v>
      </c>
      <c r="H9298">
        <v>3</v>
      </c>
      <c r="I9298" s="12">
        <f>Table16[[#This Row],[price]]*Table16[[#This Row],[quantity]]</f>
        <v>83.68</v>
      </c>
    </row>
    <row r="9299" spans="1:9" x14ac:dyDescent="0.3">
      <c r="A9299" t="s">
        <v>11315</v>
      </c>
      <c r="B9299" t="s">
        <v>1859</v>
      </c>
      <c r="C9299" t="s">
        <v>2006</v>
      </c>
      <c r="D9299">
        <v>4</v>
      </c>
      <c r="E9299" s="16">
        <v>60.6</v>
      </c>
      <c r="F9299" s="1">
        <v>44215</v>
      </c>
      <c r="G9299" t="s">
        <v>2027</v>
      </c>
      <c r="H9299">
        <v>4</v>
      </c>
      <c r="I9299" s="12">
        <f>Table16[[#This Row],[price]]*Table16[[#This Row],[quantity]]</f>
        <v>242.4</v>
      </c>
    </row>
    <row r="9300" spans="1:9" x14ac:dyDescent="0.3">
      <c r="A9300" t="s">
        <v>11316</v>
      </c>
      <c r="B9300" t="s">
        <v>1859</v>
      </c>
      <c r="C9300" t="s">
        <v>2001</v>
      </c>
      <c r="D9300">
        <v>2</v>
      </c>
      <c r="E9300" s="16">
        <v>600.16</v>
      </c>
      <c r="F9300" s="1">
        <v>44325</v>
      </c>
      <c r="G9300" t="s">
        <v>2002</v>
      </c>
      <c r="H9300">
        <v>4</v>
      </c>
      <c r="I9300" s="12">
        <f>Table16[[#This Row],[price]]*Table16[[#This Row],[quantity]]</f>
        <v>1200.32</v>
      </c>
    </row>
    <row r="9301" spans="1:9" x14ac:dyDescent="0.3">
      <c r="A9301" t="s">
        <v>11317</v>
      </c>
      <c r="B9301" t="s">
        <v>1859</v>
      </c>
      <c r="C9301" t="s">
        <v>2024</v>
      </c>
      <c r="D9301">
        <v>1</v>
      </c>
      <c r="E9301" s="16">
        <v>35.840000000000003</v>
      </c>
      <c r="F9301" s="1">
        <v>44970</v>
      </c>
      <c r="G9301" t="s">
        <v>2058</v>
      </c>
      <c r="H9301">
        <v>1</v>
      </c>
      <c r="I9301" s="12">
        <f>Table16[[#This Row],[price]]*Table16[[#This Row],[quantity]]</f>
        <v>35.840000000000003</v>
      </c>
    </row>
    <row r="9302" spans="1:9" x14ac:dyDescent="0.3">
      <c r="A9302" t="s">
        <v>11319</v>
      </c>
      <c r="B9302" t="s">
        <v>1860</v>
      </c>
      <c r="C9302" t="s">
        <v>2008</v>
      </c>
      <c r="D9302">
        <v>5</v>
      </c>
      <c r="E9302" s="16">
        <v>26.15</v>
      </c>
      <c r="F9302" s="1">
        <v>44326</v>
      </c>
      <c r="G9302" t="s">
        <v>2020</v>
      </c>
      <c r="H9302">
        <v>5</v>
      </c>
      <c r="I9302" s="12">
        <f>Table16[[#This Row],[price]]*Table16[[#This Row],[quantity]]</f>
        <v>130.75</v>
      </c>
    </row>
    <row r="9303" spans="1:9" x14ac:dyDescent="0.3">
      <c r="A9303" t="s">
        <v>11318</v>
      </c>
      <c r="B9303" t="s">
        <v>1860</v>
      </c>
      <c r="C9303" t="s">
        <v>2011</v>
      </c>
      <c r="D9303">
        <v>1</v>
      </c>
      <c r="E9303" s="16">
        <v>40.659999999999997</v>
      </c>
      <c r="F9303" s="1">
        <v>44348</v>
      </c>
      <c r="G9303" t="s">
        <v>2027</v>
      </c>
      <c r="H9303">
        <v>5</v>
      </c>
      <c r="I9303" s="12">
        <f>Table16[[#This Row],[price]]*Table16[[#This Row],[quantity]]</f>
        <v>40.659999999999997</v>
      </c>
    </row>
    <row r="9304" spans="1:9" x14ac:dyDescent="0.3">
      <c r="A9304" t="s">
        <v>11321</v>
      </c>
      <c r="B9304" t="s">
        <v>1860</v>
      </c>
      <c r="C9304" t="s">
        <v>2024</v>
      </c>
      <c r="D9304">
        <v>5</v>
      </c>
      <c r="E9304" s="16">
        <v>179.2</v>
      </c>
      <c r="F9304" s="1">
        <v>44616</v>
      </c>
      <c r="G9304" t="s">
        <v>2027</v>
      </c>
      <c r="H9304">
        <v>3</v>
      </c>
      <c r="I9304" s="12">
        <f>Table16[[#This Row],[price]]*Table16[[#This Row],[quantity]]</f>
        <v>896</v>
      </c>
    </row>
    <row r="9305" spans="1:9" x14ac:dyDescent="0.3">
      <c r="A9305" t="s">
        <v>11320</v>
      </c>
      <c r="B9305" t="s">
        <v>1860</v>
      </c>
      <c r="C9305" t="s">
        <v>2024</v>
      </c>
      <c r="D9305">
        <v>1</v>
      </c>
      <c r="E9305" s="16">
        <v>35.840000000000003</v>
      </c>
      <c r="F9305" s="1">
        <v>44887</v>
      </c>
      <c r="G9305" t="s">
        <v>2064</v>
      </c>
      <c r="H9305">
        <v>5</v>
      </c>
      <c r="I9305" s="12">
        <f>Table16[[#This Row],[price]]*Table16[[#This Row],[quantity]]</f>
        <v>35.840000000000003</v>
      </c>
    </row>
    <row r="9306" spans="1:9" x14ac:dyDescent="0.3">
      <c r="A9306" t="s">
        <v>11325</v>
      </c>
      <c r="B9306" t="s">
        <v>1861</v>
      </c>
      <c r="C9306" t="s">
        <v>2011</v>
      </c>
      <c r="D9306">
        <v>4</v>
      </c>
      <c r="E9306" s="16">
        <v>162.63999999999999</v>
      </c>
      <c r="F9306" s="1">
        <v>44296</v>
      </c>
      <c r="G9306" t="s">
        <v>2004</v>
      </c>
      <c r="H9306">
        <v>3</v>
      </c>
      <c r="I9306" s="12">
        <f>Table16[[#This Row],[price]]*Table16[[#This Row],[quantity]]</f>
        <v>650.55999999999995</v>
      </c>
    </row>
    <row r="9307" spans="1:9" x14ac:dyDescent="0.3">
      <c r="A9307" t="s">
        <v>11329</v>
      </c>
      <c r="B9307" t="s">
        <v>1861</v>
      </c>
      <c r="C9307" t="s">
        <v>2001</v>
      </c>
      <c r="D9307">
        <v>1</v>
      </c>
      <c r="E9307" s="16">
        <v>300.08</v>
      </c>
      <c r="F9307" s="1">
        <v>44332</v>
      </c>
      <c r="G9307" t="s">
        <v>2004</v>
      </c>
      <c r="H9307">
        <v>3</v>
      </c>
      <c r="I9307" s="12">
        <f>Table16[[#This Row],[price]]*Table16[[#This Row],[quantity]]</f>
        <v>300.08</v>
      </c>
    </row>
    <row r="9308" spans="1:9" x14ac:dyDescent="0.3">
      <c r="A9308" t="s">
        <v>11323</v>
      </c>
      <c r="B9308" t="s">
        <v>1861</v>
      </c>
      <c r="C9308" t="s">
        <v>2008</v>
      </c>
      <c r="D9308">
        <v>4</v>
      </c>
      <c r="E9308" s="16">
        <v>20.92</v>
      </c>
      <c r="F9308" s="1">
        <v>44445</v>
      </c>
      <c r="G9308" t="s">
        <v>2012</v>
      </c>
      <c r="H9308">
        <v>1</v>
      </c>
      <c r="I9308" s="12">
        <f>Table16[[#This Row],[price]]*Table16[[#This Row],[quantity]]</f>
        <v>83.68</v>
      </c>
    </row>
    <row r="9309" spans="1:9" x14ac:dyDescent="0.3">
      <c r="A9309" t="s">
        <v>11327</v>
      </c>
      <c r="B9309" t="s">
        <v>1861</v>
      </c>
      <c r="C9309" t="s">
        <v>2001</v>
      </c>
      <c r="D9309">
        <v>2</v>
      </c>
      <c r="E9309" s="16">
        <v>600.16</v>
      </c>
      <c r="F9309" s="1">
        <v>44546</v>
      </c>
      <c r="G9309" t="s">
        <v>2058</v>
      </c>
      <c r="H9309">
        <v>3</v>
      </c>
      <c r="I9309" s="12">
        <f>Table16[[#This Row],[price]]*Table16[[#This Row],[quantity]]</f>
        <v>1200.32</v>
      </c>
    </row>
    <row r="9310" spans="1:9" x14ac:dyDescent="0.3">
      <c r="A9310" t="s">
        <v>11328</v>
      </c>
      <c r="B9310" t="s">
        <v>1861</v>
      </c>
      <c r="C9310" t="s">
        <v>2024</v>
      </c>
      <c r="D9310">
        <v>4</v>
      </c>
      <c r="E9310" s="16">
        <v>143.36000000000001</v>
      </c>
      <c r="F9310" s="1">
        <v>44624</v>
      </c>
      <c r="G9310" t="s">
        <v>2027</v>
      </c>
      <c r="H9310">
        <v>3</v>
      </c>
      <c r="I9310" s="12">
        <f>Table16[[#This Row],[price]]*Table16[[#This Row],[quantity]]</f>
        <v>573.44000000000005</v>
      </c>
    </row>
    <row r="9311" spans="1:9" x14ac:dyDescent="0.3">
      <c r="A9311" t="s">
        <v>11324</v>
      </c>
      <c r="B9311" t="s">
        <v>1861</v>
      </c>
      <c r="C9311" t="s">
        <v>2024</v>
      </c>
      <c r="D9311">
        <v>5</v>
      </c>
      <c r="E9311" s="16">
        <v>179.2</v>
      </c>
      <c r="F9311" s="1">
        <v>44737</v>
      </c>
      <c r="G9311" t="s">
        <v>2027</v>
      </c>
      <c r="H9311">
        <v>4</v>
      </c>
      <c r="I9311" s="12">
        <f>Table16[[#This Row],[price]]*Table16[[#This Row],[quantity]]</f>
        <v>896</v>
      </c>
    </row>
    <row r="9312" spans="1:9" x14ac:dyDescent="0.3">
      <c r="A9312" t="s">
        <v>11326</v>
      </c>
      <c r="B9312" t="s">
        <v>1861</v>
      </c>
      <c r="C9312" t="s">
        <v>2008</v>
      </c>
      <c r="D9312">
        <v>5</v>
      </c>
      <c r="E9312" s="16">
        <v>26.15</v>
      </c>
      <c r="F9312" s="1">
        <v>44759</v>
      </c>
      <c r="G9312" t="s">
        <v>2002</v>
      </c>
      <c r="H9312">
        <v>2</v>
      </c>
      <c r="I9312" s="12">
        <f>Table16[[#This Row],[price]]*Table16[[#This Row],[quantity]]</f>
        <v>130.75</v>
      </c>
    </row>
    <row r="9313" spans="1:9" x14ac:dyDescent="0.3">
      <c r="A9313" t="s">
        <v>11322</v>
      </c>
      <c r="B9313" t="s">
        <v>1861</v>
      </c>
      <c r="C9313" t="s">
        <v>2017</v>
      </c>
      <c r="D9313">
        <v>4</v>
      </c>
      <c r="E9313" s="16">
        <v>4200</v>
      </c>
      <c r="F9313" s="1">
        <v>44762</v>
      </c>
      <c r="G9313" t="s">
        <v>2009</v>
      </c>
      <c r="H9313">
        <v>3</v>
      </c>
      <c r="I9313" s="12">
        <f>Table16[[#This Row],[price]]*Table16[[#This Row],[quantity]]</f>
        <v>16800</v>
      </c>
    </row>
    <row r="9314" spans="1:9" x14ac:dyDescent="0.3">
      <c r="A9314" t="s">
        <v>11331</v>
      </c>
      <c r="B9314" t="s">
        <v>1862</v>
      </c>
      <c r="C9314" t="s">
        <v>2057</v>
      </c>
      <c r="D9314">
        <v>3</v>
      </c>
      <c r="E9314" s="16">
        <v>35.19</v>
      </c>
      <c r="F9314" s="1">
        <v>44426</v>
      </c>
      <c r="G9314" t="s">
        <v>2002</v>
      </c>
      <c r="H9314">
        <v>3</v>
      </c>
      <c r="I9314" s="12">
        <f>Table16[[#This Row],[price]]*Table16[[#This Row],[quantity]]</f>
        <v>105.57</v>
      </c>
    </row>
    <row r="9315" spans="1:9" x14ac:dyDescent="0.3">
      <c r="A9315" t="s">
        <v>11336</v>
      </c>
      <c r="B9315" t="s">
        <v>1862</v>
      </c>
      <c r="C9315" t="s">
        <v>2001</v>
      </c>
      <c r="D9315">
        <v>5</v>
      </c>
      <c r="E9315" s="16">
        <v>1500.4</v>
      </c>
      <c r="F9315" s="1">
        <v>44762</v>
      </c>
      <c r="G9315" t="s">
        <v>2027</v>
      </c>
      <c r="H9315">
        <v>2</v>
      </c>
      <c r="I9315" s="12">
        <f>Table16[[#This Row],[price]]*Table16[[#This Row],[quantity]]</f>
        <v>7502</v>
      </c>
    </row>
    <row r="9316" spans="1:9" x14ac:dyDescent="0.3">
      <c r="A9316" t="s">
        <v>11330</v>
      </c>
      <c r="B9316" t="s">
        <v>1862</v>
      </c>
      <c r="C9316" t="s">
        <v>2015</v>
      </c>
      <c r="D9316">
        <v>4</v>
      </c>
      <c r="E9316" s="16">
        <v>2400.6799999999998</v>
      </c>
      <c r="F9316" s="1">
        <v>44800</v>
      </c>
      <c r="G9316" t="s">
        <v>2020</v>
      </c>
      <c r="H9316">
        <v>1</v>
      </c>
      <c r="I9316" s="12">
        <f>Table16[[#This Row],[price]]*Table16[[#This Row],[quantity]]</f>
        <v>9602.7199999999993</v>
      </c>
    </row>
    <row r="9317" spans="1:9" x14ac:dyDescent="0.3">
      <c r="A9317" t="s">
        <v>11332</v>
      </c>
      <c r="B9317" t="s">
        <v>1862</v>
      </c>
      <c r="C9317" t="s">
        <v>2001</v>
      </c>
      <c r="D9317">
        <v>2</v>
      </c>
      <c r="E9317" s="16">
        <v>600.16</v>
      </c>
      <c r="F9317" s="1">
        <v>44802</v>
      </c>
      <c r="G9317" t="s">
        <v>2002</v>
      </c>
      <c r="H9317">
        <v>1</v>
      </c>
      <c r="I9317" s="12">
        <f>Table16[[#This Row],[price]]*Table16[[#This Row],[quantity]]</f>
        <v>1200.32</v>
      </c>
    </row>
    <row r="9318" spans="1:9" x14ac:dyDescent="0.3">
      <c r="A9318" t="s">
        <v>11334</v>
      </c>
      <c r="B9318" t="s">
        <v>1862</v>
      </c>
      <c r="C9318" t="s">
        <v>2001</v>
      </c>
      <c r="D9318">
        <v>3</v>
      </c>
      <c r="E9318" s="16">
        <v>900.24</v>
      </c>
      <c r="F9318" s="1">
        <v>44875</v>
      </c>
      <c r="G9318" t="s">
        <v>2004</v>
      </c>
      <c r="H9318">
        <v>2</v>
      </c>
      <c r="I9318" s="12">
        <f>Table16[[#This Row],[price]]*Table16[[#This Row],[quantity]]</f>
        <v>2700.7200000000003</v>
      </c>
    </row>
    <row r="9319" spans="1:9" x14ac:dyDescent="0.3">
      <c r="A9319" t="s">
        <v>11335</v>
      </c>
      <c r="B9319" t="s">
        <v>1862</v>
      </c>
      <c r="C9319" t="s">
        <v>2001</v>
      </c>
      <c r="D9319">
        <v>1</v>
      </c>
      <c r="E9319" s="16">
        <v>300.08</v>
      </c>
      <c r="F9319" s="1">
        <v>44901</v>
      </c>
      <c r="G9319" t="s">
        <v>2041</v>
      </c>
      <c r="H9319">
        <v>1</v>
      </c>
      <c r="I9319" s="12">
        <f>Table16[[#This Row],[price]]*Table16[[#This Row],[quantity]]</f>
        <v>300.08</v>
      </c>
    </row>
    <row r="9320" spans="1:9" x14ac:dyDescent="0.3">
      <c r="A9320" t="s">
        <v>11333</v>
      </c>
      <c r="B9320" t="s">
        <v>1862</v>
      </c>
      <c r="C9320" t="s">
        <v>2008</v>
      </c>
      <c r="D9320">
        <v>5</v>
      </c>
      <c r="E9320" s="16">
        <v>26.15</v>
      </c>
      <c r="F9320" s="1">
        <v>44910</v>
      </c>
      <c r="G9320" t="s">
        <v>2004</v>
      </c>
      <c r="H9320">
        <v>5</v>
      </c>
      <c r="I9320" s="12">
        <f>Table16[[#This Row],[price]]*Table16[[#This Row],[quantity]]</f>
        <v>130.75</v>
      </c>
    </row>
    <row r="9321" spans="1:9" x14ac:dyDescent="0.3">
      <c r="A9321" t="s">
        <v>11342</v>
      </c>
      <c r="B9321" t="s">
        <v>1863</v>
      </c>
      <c r="C9321" t="s">
        <v>2008</v>
      </c>
      <c r="D9321">
        <v>3</v>
      </c>
      <c r="E9321" s="16">
        <v>15.69</v>
      </c>
      <c r="F9321" s="1">
        <v>44221</v>
      </c>
      <c r="G9321" t="s">
        <v>2064</v>
      </c>
      <c r="H9321">
        <v>2</v>
      </c>
      <c r="I9321" s="12">
        <f>Table16[[#This Row],[price]]*Table16[[#This Row],[quantity]]</f>
        <v>47.07</v>
      </c>
    </row>
    <row r="9322" spans="1:9" x14ac:dyDescent="0.3">
      <c r="A9322" t="s">
        <v>11337</v>
      </c>
      <c r="B9322" t="s">
        <v>1863</v>
      </c>
      <c r="C9322" t="s">
        <v>2008</v>
      </c>
      <c r="D9322">
        <v>4</v>
      </c>
      <c r="E9322" s="16">
        <v>20.92</v>
      </c>
      <c r="F9322" s="1">
        <v>44231</v>
      </c>
      <c r="G9322" t="s">
        <v>2058</v>
      </c>
      <c r="H9322">
        <v>1</v>
      </c>
      <c r="I9322" s="12">
        <f>Table16[[#This Row],[price]]*Table16[[#This Row],[quantity]]</f>
        <v>83.68</v>
      </c>
    </row>
    <row r="9323" spans="1:9" x14ac:dyDescent="0.3">
      <c r="A9323" t="s">
        <v>11340</v>
      </c>
      <c r="B9323" t="s">
        <v>1863</v>
      </c>
      <c r="C9323" t="s">
        <v>2024</v>
      </c>
      <c r="D9323">
        <v>3</v>
      </c>
      <c r="E9323" s="16">
        <v>107.52</v>
      </c>
      <c r="F9323" s="1">
        <v>44379</v>
      </c>
      <c r="G9323" t="s">
        <v>2058</v>
      </c>
      <c r="H9323">
        <v>5</v>
      </c>
      <c r="I9323" s="12">
        <f>Table16[[#This Row],[price]]*Table16[[#This Row],[quantity]]</f>
        <v>322.56</v>
      </c>
    </row>
    <row r="9324" spans="1:9" x14ac:dyDescent="0.3">
      <c r="A9324" t="s">
        <v>11338</v>
      </c>
      <c r="B9324" t="s">
        <v>1863</v>
      </c>
      <c r="C9324" t="s">
        <v>2001</v>
      </c>
      <c r="D9324">
        <v>5</v>
      </c>
      <c r="E9324" s="16">
        <v>1500.4</v>
      </c>
      <c r="F9324" s="1">
        <v>44646</v>
      </c>
      <c r="G9324" t="s">
        <v>2004</v>
      </c>
      <c r="H9324">
        <v>1</v>
      </c>
      <c r="I9324" s="12">
        <f>Table16[[#This Row],[price]]*Table16[[#This Row],[quantity]]</f>
        <v>7502</v>
      </c>
    </row>
    <row r="9325" spans="1:9" x14ac:dyDescent="0.3">
      <c r="A9325" t="s">
        <v>11341</v>
      </c>
      <c r="B9325" t="s">
        <v>1863</v>
      </c>
      <c r="C9325" t="s">
        <v>2006</v>
      </c>
      <c r="D9325">
        <v>1</v>
      </c>
      <c r="E9325" s="16">
        <v>15.15</v>
      </c>
      <c r="F9325" s="1">
        <v>44663</v>
      </c>
      <c r="G9325" t="s">
        <v>2002</v>
      </c>
      <c r="H9325">
        <v>2</v>
      </c>
      <c r="I9325" s="12">
        <f>Table16[[#This Row],[price]]*Table16[[#This Row],[quantity]]</f>
        <v>15.15</v>
      </c>
    </row>
    <row r="9326" spans="1:9" x14ac:dyDescent="0.3">
      <c r="A9326" t="s">
        <v>11339</v>
      </c>
      <c r="B9326" t="s">
        <v>1863</v>
      </c>
      <c r="C9326" t="s">
        <v>2001</v>
      </c>
      <c r="D9326">
        <v>1</v>
      </c>
      <c r="E9326" s="16">
        <v>300.08</v>
      </c>
      <c r="F9326" s="1">
        <v>44802</v>
      </c>
      <c r="G9326" t="s">
        <v>2018</v>
      </c>
      <c r="H9326">
        <v>1</v>
      </c>
      <c r="I9326" s="12">
        <f>Table16[[#This Row],[price]]*Table16[[#This Row],[quantity]]</f>
        <v>300.08</v>
      </c>
    </row>
    <row r="9327" spans="1:9" x14ac:dyDescent="0.3">
      <c r="A9327" t="s">
        <v>11347</v>
      </c>
      <c r="B9327" t="s">
        <v>1864</v>
      </c>
      <c r="C9327" t="s">
        <v>2024</v>
      </c>
      <c r="D9327">
        <v>3</v>
      </c>
      <c r="E9327" s="16">
        <v>107.52</v>
      </c>
      <c r="F9327" s="1">
        <v>44218</v>
      </c>
      <c r="G9327" t="s">
        <v>2004</v>
      </c>
      <c r="H9327">
        <v>1</v>
      </c>
      <c r="I9327" s="12">
        <f>Table16[[#This Row],[price]]*Table16[[#This Row],[quantity]]</f>
        <v>322.56</v>
      </c>
    </row>
    <row r="9328" spans="1:9" x14ac:dyDescent="0.3">
      <c r="A9328" t="s">
        <v>11346</v>
      </c>
      <c r="B9328" t="s">
        <v>1864</v>
      </c>
      <c r="C9328" t="s">
        <v>2001</v>
      </c>
      <c r="D9328">
        <v>4</v>
      </c>
      <c r="E9328" s="16">
        <v>1200.32</v>
      </c>
      <c r="F9328" s="1">
        <v>44335</v>
      </c>
      <c r="G9328" t="s">
        <v>2004</v>
      </c>
      <c r="H9328">
        <v>1</v>
      </c>
      <c r="I9328" s="12">
        <f>Table16[[#This Row],[price]]*Table16[[#This Row],[quantity]]</f>
        <v>4801.28</v>
      </c>
    </row>
    <row r="9329" spans="1:9" x14ac:dyDescent="0.3">
      <c r="A9329" t="s">
        <v>11343</v>
      </c>
      <c r="B9329" t="s">
        <v>1864</v>
      </c>
      <c r="C9329" t="s">
        <v>2001</v>
      </c>
      <c r="D9329">
        <v>3</v>
      </c>
      <c r="E9329" s="16">
        <v>900.24</v>
      </c>
      <c r="F9329" s="1">
        <v>44378</v>
      </c>
      <c r="G9329" t="s">
        <v>2002</v>
      </c>
      <c r="H9329">
        <v>2</v>
      </c>
      <c r="I9329" s="12">
        <f>Table16[[#This Row],[price]]*Table16[[#This Row],[quantity]]</f>
        <v>2700.7200000000003</v>
      </c>
    </row>
    <row r="9330" spans="1:9" x14ac:dyDescent="0.3">
      <c r="A9330" t="s">
        <v>11345</v>
      </c>
      <c r="B9330" t="s">
        <v>1864</v>
      </c>
      <c r="C9330" t="s">
        <v>2011</v>
      </c>
      <c r="D9330">
        <v>2</v>
      </c>
      <c r="E9330" s="16">
        <v>81.319999999999993</v>
      </c>
      <c r="F9330" s="1">
        <v>44556</v>
      </c>
      <c r="G9330" t="s">
        <v>2002</v>
      </c>
      <c r="H9330">
        <v>3</v>
      </c>
      <c r="I9330" s="12">
        <f>Table16[[#This Row],[price]]*Table16[[#This Row],[quantity]]</f>
        <v>162.63999999999999</v>
      </c>
    </row>
    <row r="9331" spans="1:9" x14ac:dyDescent="0.3">
      <c r="A9331" t="s">
        <v>11344</v>
      </c>
      <c r="B9331" t="s">
        <v>1864</v>
      </c>
      <c r="C9331" t="s">
        <v>2011</v>
      </c>
      <c r="D9331">
        <v>1</v>
      </c>
      <c r="E9331" s="16">
        <v>40.659999999999997</v>
      </c>
      <c r="F9331" s="1">
        <v>44937</v>
      </c>
      <c r="G9331" t="s">
        <v>2018</v>
      </c>
      <c r="H9331">
        <v>3</v>
      </c>
      <c r="I9331" s="12">
        <f>Table16[[#This Row],[price]]*Table16[[#This Row],[quantity]]</f>
        <v>40.659999999999997</v>
      </c>
    </row>
    <row r="9332" spans="1:9" x14ac:dyDescent="0.3">
      <c r="A9332" t="s">
        <v>11348</v>
      </c>
      <c r="B9332" t="s">
        <v>1865</v>
      </c>
      <c r="C9332" t="s">
        <v>2015</v>
      </c>
      <c r="D9332">
        <v>1</v>
      </c>
      <c r="E9332" s="16">
        <v>600.16999999999996</v>
      </c>
      <c r="F9332" s="1">
        <v>44552</v>
      </c>
      <c r="G9332" t="s">
        <v>2027</v>
      </c>
      <c r="H9332">
        <v>3</v>
      </c>
      <c r="I9332" s="12">
        <f>Table16[[#This Row],[price]]*Table16[[#This Row],[quantity]]</f>
        <v>600.16999999999996</v>
      </c>
    </row>
    <row r="9333" spans="1:9" x14ac:dyDescent="0.3">
      <c r="A9333" t="s">
        <v>11351</v>
      </c>
      <c r="B9333" t="s">
        <v>1866</v>
      </c>
      <c r="C9333" t="s">
        <v>2001</v>
      </c>
      <c r="D9333">
        <v>3</v>
      </c>
      <c r="E9333" s="16">
        <v>900.24</v>
      </c>
      <c r="F9333" s="1">
        <v>44282</v>
      </c>
      <c r="G9333" t="s">
        <v>2064</v>
      </c>
      <c r="H9333">
        <v>3</v>
      </c>
      <c r="I9333" s="12">
        <f>Table16[[#This Row],[price]]*Table16[[#This Row],[quantity]]</f>
        <v>2700.7200000000003</v>
      </c>
    </row>
    <row r="9334" spans="1:9" x14ac:dyDescent="0.3">
      <c r="A9334" t="s">
        <v>11349</v>
      </c>
      <c r="B9334" t="s">
        <v>1866</v>
      </c>
      <c r="C9334" t="s">
        <v>2001</v>
      </c>
      <c r="D9334">
        <v>2</v>
      </c>
      <c r="E9334" s="16">
        <v>600.16</v>
      </c>
      <c r="F9334" s="1">
        <v>44559</v>
      </c>
      <c r="G9334" t="s">
        <v>2002</v>
      </c>
      <c r="H9334">
        <v>4</v>
      </c>
      <c r="I9334" s="12">
        <f>Table16[[#This Row],[price]]*Table16[[#This Row],[quantity]]</f>
        <v>1200.32</v>
      </c>
    </row>
    <row r="9335" spans="1:9" x14ac:dyDescent="0.3">
      <c r="A9335" t="s">
        <v>11352</v>
      </c>
      <c r="B9335" t="s">
        <v>1866</v>
      </c>
      <c r="C9335" t="s">
        <v>2008</v>
      </c>
      <c r="D9335">
        <v>1</v>
      </c>
      <c r="E9335" s="16">
        <v>5.23</v>
      </c>
      <c r="F9335" s="1">
        <v>44813</v>
      </c>
      <c r="G9335" t="s">
        <v>2027</v>
      </c>
      <c r="H9335">
        <v>1</v>
      </c>
      <c r="I9335" s="12">
        <f>Table16[[#This Row],[price]]*Table16[[#This Row],[quantity]]</f>
        <v>5.23</v>
      </c>
    </row>
    <row r="9336" spans="1:9" x14ac:dyDescent="0.3">
      <c r="A9336" t="s">
        <v>11350</v>
      </c>
      <c r="B9336" t="s">
        <v>1866</v>
      </c>
      <c r="C9336" t="s">
        <v>2001</v>
      </c>
      <c r="D9336">
        <v>3</v>
      </c>
      <c r="E9336" s="16">
        <v>900.24</v>
      </c>
      <c r="F9336" s="1">
        <v>44970</v>
      </c>
      <c r="G9336" t="s">
        <v>2027</v>
      </c>
      <c r="H9336">
        <v>1</v>
      </c>
      <c r="I9336" s="12">
        <f>Table16[[#This Row],[price]]*Table16[[#This Row],[quantity]]</f>
        <v>2700.7200000000003</v>
      </c>
    </row>
    <row r="9337" spans="1:9" x14ac:dyDescent="0.3">
      <c r="A9337" t="s">
        <v>11353</v>
      </c>
      <c r="B9337" t="s">
        <v>1867</v>
      </c>
      <c r="C9337" t="s">
        <v>2024</v>
      </c>
      <c r="D9337">
        <v>3</v>
      </c>
      <c r="E9337" s="16">
        <v>107.52</v>
      </c>
      <c r="F9337" s="1">
        <v>44350</v>
      </c>
      <c r="G9337" t="s">
        <v>2027</v>
      </c>
      <c r="H9337">
        <v>1</v>
      </c>
      <c r="I9337" s="12">
        <f>Table16[[#This Row],[price]]*Table16[[#This Row],[quantity]]</f>
        <v>322.56</v>
      </c>
    </row>
    <row r="9338" spans="1:9" x14ac:dyDescent="0.3">
      <c r="A9338" t="s">
        <v>11355</v>
      </c>
      <c r="B9338" t="s">
        <v>1867</v>
      </c>
      <c r="C9338" t="s">
        <v>2001</v>
      </c>
      <c r="D9338">
        <v>3</v>
      </c>
      <c r="E9338" s="16">
        <v>900.24</v>
      </c>
      <c r="F9338" s="1">
        <v>44810</v>
      </c>
      <c r="G9338" t="s">
        <v>2002</v>
      </c>
      <c r="H9338">
        <v>4</v>
      </c>
      <c r="I9338" s="12">
        <f>Table16[[#This Row],[price]]*Table16[[#This Row],[quantity]]</f>
        <v>2700.7200000000003</v>
      </c>
    </row>
    <row r="9339" spans="1:9" x14ac:dyDescent="0.3">
      <c r="A9339" t="s">
        <v>11354</v>
      </c>
      <c r="B9339" t="s">
        <v>1867</v>
      </c>
      <c r="C9339" t="s">
        <v>2008</v>
      </c>
      <c r="D9339">
        <v>4</v>
      </c>
      <c r="E9339" s="16">
        <v>20.92</v>
      </c>
      <c r="F9339" s="1">
        <v>44815</v>
      </c>
      <c r="G9339" t="s">
        <v>2004</v>
      </c>
      <c r="H9339">
        <v>4</v>
      </c>
      <c r="I9339" s="12">
        <f>Table16[[#This Row],[price]]*Table16[[#This Row],[quantity]]</f>
        <v>83.68</v>
      </c>
    </row>
    <row r="9340" spans="1:9" x14ac:dyDescent="0.3">
      <c r="A9340" t="s">
        <v>11361</v>
      </c>
      <c r="B9340" t="s">
        <v>1868</v>
      </c>
      <c r="C9340" t="s">
        <v>2011</v>
      </c>
      <c r="D9340">
        <v>3</v>
      </c>
      <c r="E9340" s="16">
        <v>121.98</v>
      </c>
      <c r="F9340" s="1">
        <v>44284</v>
      </c>
      <c r="G9340" t="s">
        <v>2041</v>
      </c>
      <c r="H9340">
        <v>5</v>
      </c>
      <c r="I9340" s="12">
        <f>Table16[[#This Row],[price]]*Table16[[#This Row],[quantity]]</f>
        <v>365.94</v>
      </c>
    </row>
    <row r="9341" spans="1:9" x14ac:dyDescent="0.3">
      <c r="A9341" t="s">
        <v>11358</v>
      </c>
      <c r="B9341" t="s">
        <v>1868</v>
      </c>
      <c r="C9341" t="s">
        <v>2011</v>
      </c>
      <c r="D9341">
        <v>4</v>
      </c>
      <c r="E9341" s="16">
        <v>162.63999999999999</v>
      </c>
      <c r="F9341" s="1">
        <v>44371</v>
      </c>
      <c r="G9341" t="s">
        <v>2041</v>
      </c>
      <c r="H9341">
        <v>3</v>
      </c>
      <c r="I9341" s="12">
        <f>Table16[[#This Row],[price]]*Table16[[#This Row],[quantity]]</f>
        <v>650.55999999999995</v>
      </c>
    </row>
    <row r="9342" spans="1:9" x14ac:dyDescent="0.3">
      <c r="A9342" t="s">
        <v>11360</v>
      </c>
      <c r="B9342" t="s">
        <v>1868</v>
      </c>
      <c r="C9342" t="s">
        <v>2015</v>
      </c>
      <c r="D9342">
        <v>3</v>
      </c>
      <c r="E9342" s="16">
        <v>1800.51</v>
      </c>
      <c r="F9342" s="1">
        <v>44489</v>
      </c>
      <c r="G9342" t="s">
        <v>2004</v>
      </c>
      <c r="H9342">
        <v>1</v>
      </c>
      <c r="I9342" s="12">
        <f>Table16[[#This Row],[price]]*Table16[[#This Row],[quantity]]</f>
        <v>5401.53</v>
      </c>
    </row>
    <row r="9343" spans="1:9" x14ac:dyDescent="0.3">
      <c r="A9343" t="s">
        <v>11359</v>
      </c>
      <c r="B9343" t="s">
        <v>1868</v>
      </c>
      <c r="C9343" t="s">
        <v>2001</v>
      </c>
      <c r="D9343">
        <v>3</v>
      </c>
      <c r="E9343" s="16">
        <v>900.24</v>
      </c>
      <c r="F9343" s="1">
        <v>44621</v>
      </c>
      <c r="G9343" t="s">
        <v>2027</v>
      </c>
      <c r="H9343">
        <v>4</v>
      </c>
      <c r="I9343" s="12">
        <f>Table16[[#This Row],[price]]*Table16[[#This Row],[quantity]]</f>
        <v>2700.7200000000003</v>
      </c>
    </row>
    <row r="9344" spans="1:9" x14ac:dyDescent="0.3">
      <c r="A9344" t="s">
        <v>11362</v>
      </c>
      <c r="B9344" t="s">
        <v>1868</v>
      </c>
      <c r="C9344" t="s">
        <v>2017</v>
      </c>
      <c r="D9344">
        <v>2</v>
      </c>
      <c r="E9344" s="16">
        <v>2100</v>
      </c>
      <c r="F9344" s="1">
        <v>44649</v>
      </c>
      <c r="G9344" t="s">
        <v>2064</v>
      </c>
      <c r="H9344">
        <v>2</v>
      </c>
      <c r="I9344" s="12">
        <f>Table16[[#This Row],[price]]*Table16[[#This Row],[quantity]]</f>
        <v>4200</v>
      </c>
    </row>
    <row r="9345" spans="1:9" x14ac:dyDescent="0.3">
      <c r="A9345" t="s">
        <v>11356</v>
      </c>
      <c r="B9345" t="s">
        <v>1868</v>
      </c>
      <c r="C9345" t="s">
        <v>2008</v>
      </c>
      <c r="D9345">
        <v>5</v>
      </c>
      <c r="E9345" s="16">
        <v>26.15</v>
      </c>
      <c r="F9345" s="1">
        <v>44697</v>
      </c>
      <c r="G9345" t="s">
        <v>2002</v>
      </c>
      <c r="H9345">
        <v>3</v>
      </c>
      <c r="I9345" s="12">
        <f>Table16[[#This Row],[price]]*Table16[[#This Row],[quantity]]</f>
        <v>130.75</v>
      </c>
    </row>
    <row r="9346" spans="1:9" x14ac:dyDescent="0.3">
      <c r="A9346" t="s">
        <v>11357</v>
      </c>
      <c r="B9346" t="s">
        <v>1868</v>
      </c>
      <c r="C9346" t="s">
        <v>2011</v>
      </c>
      <c r="D9346">
        <v>1</v>
      </c>
      <c r="E9346" s="16">
        <v>40.659999999999997</v>
      </c>
      <c r="F9346" s="1">
        <v>44874</v>
      </c>
      <c r="G9346" t="s">
        <v>2004</v>
      </c>
      <c r="H9346">
        <v>2</v>
      </c>
      <c r="I9346" s="12">
        <f>Table16[[#This Row],[price]]*Table16[[#This Row],[quantity]]</f>
        <v>40.659999999999997</v>
      </c>
    </row>
    <row r="9347" spans="1:9" x14ac:dyDescent="0.3">
      <c r="A9347" t="s">
        <v>11366</v>
      </c>
      <c r="B9347" t="s">
        <v>1869</v>
      </c>
      <c r="C9347" t="s">
        <v>2001</v>
      </c>
      <c r="D9347">
        <v>1</v>
      </c>
      <c r="E9347" s="16">
        <v>300.08</v>
      </c>
      <c r="F9347" s="1">
        <v>44395</v>
      </c>
      <c r="G9347" t="s">
        <v>2020</v>
      </c>
      <c r="H9347">
        <v>2</v>
      </c>
      <c r="I9347" s="12">
        <f>Table16[[#This Row],[price]]*Table16[[#This Row],[quantity]]</f>
        <v>300.08</v>
      </c>
    </row>
    <row r="9348" spans="1:9" x14ac:dyDescent="0.3">
      <c r="A9348" t="s">
        <v>11365</v>
      </c>
      <c r="B9348" t="s">
        <v>1869</v>
      </c>
      <c r="C9348" t="s">
        <v>2008</v>
      </c>
      <c r="D9348">
        <v>5</v>
      </c>
      <c r="E9348" s="16">
        <v>26.15</v>
      </c>
      <c r="F9348" s="1">
        <v>44627</v>
      </c>
      <c r="G9348" t="s">
        <v>2004</v>
      </c>
      <c r="H9348">
        <v>4</v>
      </c>
      <c r="I9348" s="12">
        <f>Table16[[#This Row],[price]]*Table16[[#This Row],[quantity]]</f>
        <v>130.75</v>
      </c>
    </row>
    <row r="9349" spans="1:9" x14ac:dyDescent="0.3">
      <c r="A9349" t="s">
        <v>11363</v>
      </c>
      <c r="B9349" t="s">
        <v>1869</v>
      </c>
      <c r="C9349" t="s">
        <v>2001</v>
      </c>
      <c r="D9349">
        <v>4</v>
      </c>
      <c r="E9349" s="16">
        <v>1200.32</v>
      </c>
      <c r="F9349" s="1">
        <v>44786</v>
      </c>
      <c r="G9349" t="s">
        <v>2027</v>
      </c>
      <c r="H9349">
        <v>4</v>
      </c>
      <c r="I9349" s="12">
        <f>Table16[[#This Row],[price]]*Table16[[#This Row],[quantity]]</f>
        <v>4801.28</v>
      </c>
    </row>
    <row r="9350" spans="1:9" x14ac:dyDescent="0.3">
      <c r="A9350" t="s">
        <v>11364</v>
      </c>
      <c r="B9350" t="s">
        <v>1869</v>
      </c>
      <c r="C9350" t="s">
        <v>2011</v>
      </c>
      <c r="D9350">
        <v>1</v>
      </c>
      <c r="E9350" s="16">
        <v>40.659999999999997</v>
      </c>
      <c r="F9350" s="1">
        <v>44903</v>
      </c>
      <c r="G9350" t="s">
        <v>2027</v>
      </c>
      <c r="H9350">
        <v>4</v>
      </c>
      <c r="I9350" s="12">
        <f>Table16[[#This Row],[price]]*Table16[[#This Row],[quantity]]</f>
        <v>40.659999999999997</v>
      </c>
    </row>
    <row r="9351" spans="1:9" x14ac:dyDescent="0.3">
      <c r="A9351" t="s">
        <v>11372</v>
      </c>
      <c r="B9351" t="s">
        <v>1870</v>
      </c>
      <c r="C9351" t="s">
        <v>2008</v>
      </c>
      <c r="D9351">
        <v>5</v>
      </c>
      <c r="E9351" s="16">
        <v>26.15</v>
      </c>
      <c r="F9351" s="1">
        <v>44231</v>
      </c>
      <c r="G9351" t="s">
        <v>2012</v>
      </c>
      <c r="H9351">
        <v>2</v>
      </c>
      <c r="I9351" s="12">
        <f>Table16[[#This Row],[price]]*Table16[[#This Row],[quantity]]</f>
        <v>130.75</v>
      </c>
    </row>
    <row r="9352" spans="1:9" x14ac:dyDescent="0.3">
      <c r="A9352" t="s">
        <v>11368</v>
      </c>
      <c r="B9352" t="s">
        <v>1870</v>
      </c>
      <c r="C9352" t="s">
        <v>2011</v>
      </c>
      <c r="D9352">
        <v>3</v>
      </c>
      <c r="E9352" s="16">
        <v>121.98</v>
      </c>
      <c r="F9352" s="1">
        <v>44282</v>
      </c>
      <c r="G9352" t="s">
        <v>2064</v>
      </c>
      <c r="H9352">
        <v>1</v>
      </c>
      <c r="I9352" s="12">
        <f>Table16[[#This Row],[price]]*Table16[[#This Row],[quantity]]</f>
        <v>365.94</v>
      </c>
    </row>
    <row r="9353" spans="1:9" x14ac:dyDescent="0.3">
      <c r="A9353" t="s">
        <v>11370</v>
      </c>
      <c r="B9353" t="s">
        <v>1870</v>
      </c>
      <c r="C9353" t="s">
        <v>2001</v>
      </c>
      <c r="D9353">
        <v>1</v>
      </c>
      <c r="E9353" s="16">
        <v>300.08</v>
      </c>
      <c r="F9353" s="1">
        <v>44505</v>
      </c>
      <c r="G9353" t="s">
        <v>2027</v>
      </c>
      <c r="H9353">
        <v>5</v>
      </c>
      <c r="I9353" s="12">
        <f>Table16[[#This Row],[price]]*Table16[[#This Row],[quantity]]</f>
        <v>300.08</v>
      </c>
    </row>
    <row r="9354" spans="1:9" x14ac:dyDescent="0.3">
      <c r="A9354" t="s">
        <v>11369</v>
      </c>
      <c r="B9354" t="s">
        <v>1870</v>
      </c>
      <c r="C9354" t="s">
        <v>2008</v>
      </c>
      <c r="D9354">
        <v>5</v>
      </c>
      <c r="E9354" s="16">
        <v>26.15</v>
      </c>
      <c r="F9354" s="1">
        <v>44553</v>
      </c>
      <c r="G9354" t="s">
        <v>2002</v>
      </c>
      <c r="H9354">
        <v>3</v>
      </c>
      <c r="I9354" s="12">
        <f>Table16[[#This Row],[price]]*Table16[[#This Row],[quantity]]</f>
        <v>130.75</v>
      </c>
    </row>
    <row r="9355" spans="1:9" x14ac:dyDescent="0.3">
      <c r="A9355" t="s">
        <v>11367</v>
      </c>
      <c r="B9355" t="s">
        <v>1870</v>
      </c>
      <c r="C9355" t="s">
        <v>2057</v>
      </c>
      <c r="D9355">
        <v>5</v>
      </c>
      <c r="E9355" s="16">
        <v>58.65</v>
      </c>
      <c r="F9355" s="1">
        <v>44688</v>
      </c>
      <c r="G9355" t="s">
        <v>2004</v>
      </c>
      <c r="H9355">
        <v>1</v>
      </c>
      <c r="I9355" s="12">
        <f>Table16[[#This Row],[price]]*Table16[[#This Row],[quantity]]</f>
        <v>293.25</v>
      </c>
    </row>
    <row r="9356" spans="1:9" x14ac:dyDescent="0.3">
      <c r="A9356" t="s">
        <v>11371</v>
      </c>
      <c r="B9356" t="s">
        <v>1870</v>
      </c>
      <c r="C9356" t="s">
        <v>2017</v>
      </c>
      <c r="D9356">
        <v>3</v>
      </c>
      <c r="E9356" s="16">
        <v>3150</v>
      </c>
      <c r="F9356" s="1">
        <v>44785</v>
      </c>
      <c r="G9356" t="s">
        <v>2064</v>
      </c>
      <c r="H9356">
        <v>3</v>
      </c>
      <c r="I9356" s="12">
        <f>Table16[[#This Row],[price]]*Table16[[#This Row],[quantity]]</f>
        <v>9450</v>
      </c>
    </row>
    <row r="9357" spans="1:9" x14ac:dyDescent="0.3">
      <c r="A9357" t="s">
        <v>11374</v>
      </c>
      <c r="B9357" t="s">
        <v>1871</v>
      </c>
      <c r="C9357" t="s">
        <v>2001</v>
      </c>
      <c r="D9357">
        <v>2</v>
      </c>
      <c r="E9357" s="16">
        <v>600.16</v>
      </c>
      <c r="F9357" s="1">
        <v>44313</v>
      </c>
      <c r="G9357" t="s">
        <v>2020</v>
      </c>
      <c r="H9357">
        <v>5</v>
      </c>
      <c r="I9357" s="12">
        <f>Table16[[#This Row],[price]]*Table16[[#This Row],[quantity]]</f>
        <v>1200.32</v>
      </c>
    </row>
    <row r="9358" spans="1:9" x14ac:dyDescent="0.3">
      <c r="A9358" t="s">
        <v>11375</v>
      </c>
      <c r="B9358" t="s">
        <v>1871</v>
      </c>
      <c r="C9358" t="s">
        <v>2006</v>
      </c>
      <c r="D9358">
        <v>1</v>
      </c>
      <c r="E9358" s="16">
        <v>15.15</v>
      </c>
      <c r="F9358" s="1">
        <v>44474</v>
      </c>
      <c r="G9358" t="s">
        <v>2058</v>
      </c>
      <c r="H9358">
        <v>2</v>
      </c>
      <c r="I9358" s="12">
        <f>Table16[[#This Row],[price]]*Table16[[#This Row],[quantity]]</f>
        <v>15.15</v>
      </c>
    </row>
    <row r="9359" spans="1:9" x14ac:dyDescent="0.3">
      <c r="A9359" t="s">
        <v>11373</v>
      </c>
      <c r="B9359" t="s">
        <v>1871</v>
      </c>
      <c r="C9359" t="s">
        <v>2011</v>
      </c>
      <c r="D9359">
        <v>3</v>
      </c>
      <c r="E9359" s="16">
        <v>121.98</v>
      </c>
      <c r="F9359" s="1">
        <v>44607</v>
      </c>
      <c r="G9359" t="s">
        <v>2027</v>
      </c>
      <c r="H9359">
        <v>3</v>
      </c>
      <c r="I9359" s="12">
        <f>Table16[[#This Row],[price]]*Table16[[#This Row],[quantity]]</f>
        <v>365.94</v>
      </c>
    </row>
    <row r="9360" spans="1:9" x14ac:dyDescent="0.3">
      <c r="A9360" t="s">
        <v>11377</v>
      </c>
      <c r="B9360" t="s">
        <v>1871</v>
      </c>
      <c r="C9360" t="s">
        <v>2001</v>
      </c>
      <c r="D9360">
        <v>1</v>
      </c>
      <c r="E9360" s="16">
        <v>300.08</v>
      </c>
      <c r="F9360" s="1">
        <v>44629</v>
      </c>
      <c r="G9360" t="s">
        <v>2027</v>
      </c>
      <c r="H9360">
        <v>5</v>
      </c>
      <c r="I9360" s="12">
        <f>Table16[[#This Row],[price]]*Table16[[#This Row],[quantity]]</f>
        <v>300.08</v>
      </c>
    </row>
    <row r="9361" spans="1:9" x14ac:dyDescent="0.3">
      <c r="A9361" t="s">
        <v>11379</v>
      </c>
      <c r="B9361" t="s">
        <v>1871</v>
      </c>
      <c r="C9361" t="s">
        <v>2001</v>
      </c>
      <c r="D9361">
        <v>5</v>
      </c>
      <c r="E9361" s="16">
        <v>1500.4</v>
      </c>
      <c r="F9361" s="1">
        <v>44760</v>
      </c>
      <c r="G9361" t="s">
        <v>2002</v>
      </c>
      <c r="H9361">
        <v>4</v>
      </c>
      <c r="I9361" s="12">
        <f>Table16[[#This Row],[price]]*Table16[[#This Row],[quantity]]</f>
        <v>7502</v>
      </c>
    </row>
    <row r="9362" spans="1:9" x14ac:dyDescent="0.3">
      <c r="A9362" t="s">
        <v>11376</v>
      </c>
      <c r="B9362" t="s">
        <v>1871</v>
      </c>
      <c r="C9362" t="s">
        <v>2001</v>
      </c>
      <c r="D9362">
        <v>4</v>
      </c>
      <c r="E9362" s="16">
        <v>1200.32</v>
      </c>
      <c r="F9362" s="1">
        <v>44786</v>
      </c>
      <c r="G9362" t="s">
        <v>2058</v>
      </c>
      <c r="H9362">
        <v>3</v>
      </c>
      <c r="I9362" s="12">
        <f>Table16[[#This Row],[price]]*Table16[[#This Row],[quantity]]</f>
        <v>4801.28</v>
      </c>
    </row>
    <row r="9363" spans="1:9" x14ac:dyDescent="0.3">
      <c r="A9363" t="s">
        <v>11378</v>
      </c>
      <c r="B9363" t="s">
        <v>1871</v>
      </c>
      <c r="C9363" t="s">
        <v>2008</v>
      </c>
      <c r="D9363">
        <v>5</v>
      </c>
      <c r="E9363" s="16">
        <v>26.15</v>
      </c>
      <c r="F9363" s="1">
        <v>44920</v>
      </c>
      <c r="G9363" t="s">
        <v>2002</v>
      </c>
      <c r="H9363">
        <v>4</v>
      </c>
      <c r="I9363" s="12">
        <f>Table16[[#This Row],[price]]*Table16[[#This Row],[quantity]]</f>
        <v>130.75</v>
      </c>
    </row>
    <row r="9364" spans="1:9" x14ac:dyDescent="0.3">
      <c r="A9364" t="s">
        <v>11381</v>
      </c>
      <c r="B9364" t="s">
        <v>1872</v>
      </c>
      <c r="C9364" t="s">
        <v>2008</v>
      </c>
      <c r="D9364">
        <v>2</v>
      </c>
      <c r="E9364" s="16">
        <v>10.46</v>
      </c>
      <c r="F9364" s="1">
        <v>44198</v>
      </c>
      <c r="G9364" t="s">
        <v>2018</v>
      </c>
      <c r="H9364">
        <v>2</v>
      </c>
      <c r="I9364" s="12">
        <f>Table16[[#This Row],[price]]*Table16[[#This Row],[quantity]]</f>
        <v>20.92</v>
      </c>
    </row>
    <row r="9365" spans="1:9" x14ac:dyDescent="0.3">
      <c r="A9365" t="s">
        <v>11384</v>
      </c>
      <c r="B9365" t="s">
        <v>1872</v>
      </c>
      <c r="C9365" t="s">
        <v>2015</v>
      </c>
      <c r="D9365">
        <v>1</v>
      </c>
      <c r="E9365" s="16">
        <v>600.16999999999996</v>
      </c>
      <c r="F9365" s="1">
        <v>44478</v>
      </c>
      <c r="G9365" t="s">
        <v>2009</v>
      </c>
      <c r="H9365">
        <v>2</v>
      </c>
      <c r="I9365" s="12">
        <f>Table16[[#This Row],[price]]*Table16[[#This Row],[quantity]]</f>
        <v>600.16999999999996</v>
      </c>
    </row>
    <row r="9366" spans="1:9" x14ac:dyDescent="0.3">
      <c r="A9366" t="s">
        <v>11382</v>
      </c>
      <c r="B9366" t="s">
        <v>1872</v>
      </c>
      <c r="C9366" t="s">
        <v>2001</v>
      </c>
      <c r="D9366">
        <v>4</v>
      </c>
      <c r="E9366" s="16">
        <v>1200.32</v>
      </c>
      <c r="F9366" s="1">
        <v>44609</v>
      </c>
      <c r="G9366" t="s">
        <v>2004</v>
      </c>
      <c r="H9366">
        <v>4</v>
      </c>
      <c r="I9366" s="12">
        <f>Table16[[#This Row],[price]]*Table16[[#This Row],[quantity]]</f>
        <v>4801.28</v>
      </c>
    </row>
    <row r="9367" spans="1:9" x14ac:dyDescent="0.3">
      <c r="A9367" t="s">
        <v>11380</v>
      </c>
      <c r="B9367" t="s">
        <v>1872</v>
      </c>
      <c r="C9367" t="s">
        <v>2011</v>
      </c>
      <c r="D9367">
        <v>5</v>
      </c>
      <c r="E9367" s="16">
        <v>203.3</v>
      </c>
      <c r="F9367" s="1">
        <v>44708</v>
      </c>
      <c r="G9367" t="s">
        <v>2041</v>
      </c>
      <c r="H9367">
        <v>1</v>
      </c>
      <c r="I9367" s="12">
        <f>Table16[[#This Row],[price]]*Table16[[#This Row],[quantity]]</f>
        <v>1016.5</v>
      </c>
    </row>
    <row r="9368" spans="1:9" x14ac:dyDescent="0.3">
      <c r="A9368" t="s">
        <v>11383</v>
      </c>
      <c r="B9368" t="s">
        <v>1872</v>
      </c>
      <c r="C9368" t="s">
        <v>2011</v>
      </c>
      <c r="D9368">
        <v>2</v>
      </c>
      <c r="E9368" s="16">
        <v>81.319999999999993</v>
      </c>
      <c r="F9368" s="1">
        <v>44843</v>
      </c>
      <c r="G9368" t="s">
        <v>2020</v>
      </c>
      <c r="H9368">
        <v>1</v>
      </c>
      <c r="I9368" s="12">
        <f>Table16[[#This Row],[price]]*Table16[[#This Row],[quantity]]</f>
        <v>162.63999999999999</v>
      </c>
    </row>
    <row r="9369" spans="1:9" x14ac:dyDescent="0.3">
      <c r="A9369" t="s">
        <v>11386</v>
      </c>
      <c r="B9369" t="s">
        <v>1873</v>
      </c>
      <c r="C9369" t="s">
        <v>2001</v>
      </c>
      <c r="D9369">
        <v>5</v>
      </c>
      <c r="E9369" s="16">
        <v>1500.4</v>
      </c>
      <c r="F9369" s="1">
        <v>44221</v>
      </c>
      <c r="G9369" t="s">
        <v>2058</v>
      </c>
      <c r="H9369">
        <v>3</v>
      </c>
      <c r="I9369" s="12">
        <f>Table16[[#This Row],[price]]*Table16[[#This Row],[quantity]]</f>
        <v>7502</v>
      </c>
    </row>
    <row r="9370" spans="1:9" x14ac:dyDescent="0.3">
      <c r="A9370" t="s">
        <v>11387</v>
      </c>
      <c r="B9370" t="s">
        <v>1873</v>
      </c>
      <c r="C9370" t="s">
        <v>2011</v>
      </c>
      <c r="D9370">
        <v>1</v>
      </c>
      <c r="E9370" s="16">
        <v>40.659999999999997</v>
      </c>
      <c r="F9370" s="1">
        <v>44306</v>
      </c>
      <c r="G9370" t="s">
        <v>2002</v>
      </c>
      <c r="H9370">
        <v>4</v>
      </c>
      <c r="I9370" s="12">
        <f>Table16[[#This Row],[price]]*Table16[[#This Row],[quantity]]</f>
        <v>40.659999999999997</v>
      </c>
    </row>
    <row r="9371" spans="1:9" x14ac:dyDescent="0.3">
      <c r="A9371" t="s">
        <v>11385</v>
      </c>
      <c r="B9371" t="s">
        <v>1873</v>
      </c>
      <c r="C9371" t="s">
        <v>2017</v>
      </c>
      <c r="D9371">
        <v>1</v>
      </c>
      <c r="E9371" s="16">
        <v>1050</v>
      </c>
      <c r="F9371" s="1">
        <v>44808</v>
      </c>
      <c r="G9371" t="s">
        <v>2004</v>
      </c>
      <c r="H9371">
        <v>4</v>
      </c>
      <c r="I9371" s="12">
        <f>Table16[[#This Row],[price]]*Table16[[#This Row],[quantity]]</f>
        <v>1050</v>
      </c>
    </row>
    <row r="9372" spans="1:9" x14ac:dyDescent="0.3">
      <c r="A9372" t="s">
        <v>11388</v>
      </c>
      <c r="B9372" t="s">
        <v>1874</v>
      </c>
      <c r="C9372" t="s">
        <v>2001</v>
      </c>
      <c r="D9372">
        <v>4</v>
      </c>
      <c r="E9372" s="16">
        <v>1200.32</v>
      </c>
      <c r="F9372" s="1">
        <v>44521</v>
      </c>
      <c r="G9372" t="s">
        <v>2012</v>
      </c>
      <c r="H9372">
        <v>4</v>
      </c>
      <c r="I9372" s="12">
        <f>Table16[[#This Row],[price]]*Table16[[#This Row],[quantity]]</f>
        <v>4801.28</v>
      </c>
    </row>
    <row r="9373" spans="1:9" x14ac:dyDescent="0.3">
      <c r="A9373" t="s">
        <v>11390</v>
      </c>
      <c r="B9373" t="s">
        <v>1874</v>
      </c>
      <c r="C9373" t="s">
        <v>2011</v>
      </c>
      <c r="D9373">
        <v>1</v>
      </c>
      <c r="E9373" s="16">
        <v>40.659999999999997</v>
      </c>
      <c r="F9373" s="1">
        <v>44627</v>
      </c>
      <c r="G9373" t="s">
        <v>2004</v>
      </c>
      <c r="H9373">
        <v>3</v>
      </c>
      <c r="I9373" s="12">
        <f>Table16[[#This Row],[price]]*Table16[[#This Row],[quantity]]</f>
        <v>40.659999999999997</v>
      </c>
    </row>
    <row r="9374" spans="1:9" x14ac:dyDescent="0.3">
      <c r="A9374" t="s">
        <v>11389</v>
      </c>
      <c r="B9374" t="s">
        <v>1874</v>
      </c>
      <c r="C9374" t="s">
        <v>2006</v>
      </c>
      <c r="D9374">
        <v>5</v>
      </c>
      <c r="E9374" s="16">
        <v>75.75</v>
      </c>
      <c r="F9374" s="1">
        <v>44952</v>
      </c>
      <c r="G9374" t="s">
        <v>2012</v>
      </c>
      <c r="H9374">
        <v>2</v>
      </c>
      <c r="I9374" s="12">
        <f>Table16[[#This Row],[price]]*Table16[[#This Row],[quantity]]</f>
        <v>378.75</v>
      </c>
    </row>
    <row r="9375" spans="1:9" x14ac:dyDescent="0.3">
      <c r="A9375" t="s">
        <v>11392</v>
      </c>
      <c r="B9375" t="s">
        <v>1875</v>
      </c>
      <c r="C9375" t="s">
        <v>2011</v>
      </c>
      <c r="D9375">
        <v>1</v>
      </c>
      <c r="E9375" s="16">
        <v>40.659999999999997</v>
      </c>
      <c r="F9375" s="1">
        <v>44520</v>
      </c>
      <c r="G9375" t="s">
        <v>2002</v>
      </c>
      <c r="H9375">
        <v>3</v>
      </c>
      <c r="I9375" s="12">
        <f>Table16[[#This Row],[price]]*Table16[[#This Row],[quantity]]</f>
        <v>40.659999999999997</v>
      </c>
    </row>
    <row r="9376" spans="1:9" x14ac:dyDescent="0.3">
      <c r="A9376" t="s">
        <v>11393</v>
      </c>
      <c r="B9376" t="s">
        <v>1875</v>
      </c>
      <c r="C9376" t="s">
        <v>2001</v>
      </c>
      <c r="D9376">
        <v>2</v>
      </c>
      <c r="E9376" s="16">
        <v>600.16</v>
      </c>
      <c r="F9376" s="1">
        <v>44630</v>
      </c>
      <c r="G9376" t="s">
        <v>2027</v>
      </c>
      <c r="H9376">
        <v>4</v>
      </c>
      <c r="I9376" s="12">
        <f>Table16[[#This Row],[price]]*Table16[[#This Row],[quantity]]</f>
        <v>1200.32</v>
      </c>
    </row>
    <row r="9377" spans="1:9" x14ac:dyDescent="0.3">
      <c r="A9377" t="s">
        <v>11391</v>
      </c>
      <c r="B9377" t="s">
        <v>1875</v>
      </c>
      <c r="C9377" t="s">
        <v>2001</v>
      </c>
      <c r="D9377">
        <v>5</v>
      </c>
      <c r="E9377" s="16">
        <v>1500.4</v>
      </c>
      <c r="F9377" s="1">
        <v>44747</v>
      </c>
      <c r="G9377" t="s">
        <v>2002</v>
      </c>
      <c r="H9377">
        <v>4</v>
      </c>
      <c r="I9377" s="12">
        <f>Table16[[#This Row],[price]]*Table16[[#This Row],[quantity]]</f>
        <v>7502</v>
      </c>
    </row>
    <row r="9378" spans="1:9" x14ac:dyDescent="0.3">
      <c r="A9378" t="s">
        <v>11394</v>
      </c>
      <c r="B9378" t="s">
        <v>1875</v>
      </c>
      <c r="C9378" t="s">
        <v>2008</v>
      </c>
      <c r="D9378">
        <v>3</v>
      </c>
      <c r="E9378" s="16">
        <v>15.69</v>
      </c>
      <c r="F9378" s="1">
        <v>44843</v>
      </c>
      <c r="G9378" t="s">
        <v>2020</v>
      </c>
      <c r="H9378">
        <v>4</v>
      </c>
      <c r="I9378" s="12">
        <f>Table16[[#This Row],[price]]*Table16[[#This Row],[quantity]]</f>
        <v>47.07</v>
      </c>
    </row>
    <row r="9379" spans="1:9" x14ac:dyDescent="0.3">
      <c r="A9379" t="s">
        <v>11396</v>
      </c>
      <c r="B9379" t="s">
        <v>1876</v>
      </c>
      <c r="C9379" t="s">
        <v>2008</v>
      </c>
      <c r="D9379">
        <v>5</v>
      </c>
      <c r="E9379" s="16">
        <v>26.15</v>
      </c>
      <c r="F9379" s="1">
        <v>44711</v>
      </c>
      <c r="G9379" t="s">
        <v>2064</v>
      </c>
      <c r="H9379">
        <v>3</v>
      </c>
      <c r="I9379" s="12">
        <f>Table16[[#This Row],[price]]*Table16[[#This Row],[quantity]]</f>
        <v>130.75</v>
      </c>
    </row>
    <row r="9380" spans="1:9" x14ac:dyDescent="0.3">
      <c r="A9380" t="s">
        <v>11398</v>
      </c>
      <c r="B9380" t="s">
        <v>1876</v>
      </c>
      <c r="C9380" t="s">
        <v>2015</v>
      </c>
      <c r="D9380">
        <v>5</v>
      </c>
      <c r="E9380" s="16">
        <v>3000.85</v>
      </c>
      <c r="F9380" s="1">
        <v>44718</v>
      </c>
      <c r="G9380" t="s">
        <v>2058</v>
      </c>
      <c r="H9380">
        <v>5</v>
      </c>
      <c r="I9380" s="12">
        <f>Table16[[#This Row],[price]]*Table16[[#This Row],[quantity]]</f>
        <v>15004.25</v>
      </c>
    </row>
    <row r="9381" spans="1:9" x14ac:dyDescent="0.3">
      <c r="A9381" t="s">
        <v>11395</v>
      </c>
      <c r="B9381" t="s">
        <v>1876</v>
      </c>
      <c r="C9381" t="s">
        <v>2011</v>
      </c>
      <c r="D9381">
        <v>2</v>
      </c>
      <c r="E9381" s="16">
        <v>81.319999999999993</v>
      </c>
      <c r="F9381" s="1">
        <v>44858</v>
      </c>
      <c r="G9381" t="s">
        <v>2027</v>
      </c>
      <c r="H9381">
        <v>1</v>
      </c>
      <c r="I9381" s="12">
        <f>Table16[[#This Row],[price]]*Table16[[#This Row],[quantity]]</f>
        <v>162.63999999999999</v>
      </c>
    </row>
    <row r="9382" spans="1:9" x14ac:dyDescent="0.3">
      <c r="A9382" t="s">
        <v>11397</v>
      </c>
      <c r="B9382" t="s">
        <v>1876</v>
      </c>
      <c r="C9382" t="s">
        <v>2001</v>
      </c>
      <c r="D9382">
        <v>3</v>
      </c>
      <c r="E9382" s="16">
        <v>900.24</v>
      </c>
      <c r="F9382" s="1">
        <v>44977</v>
      </c>
      <c r="G9382" t="s">
        <v>2027</v>
      </c>
      <c r="H9382">
        <v>5</v>
      </c>
      <c r="I9382" s="12">
        <f>Table16[[#This Row],[price]]*Table16[[#This Row],[quantity]]</f>
        <v>2700.7200000000003</v>
      </c>
    </row>
    <row r="9383" spans="1:9" x14ac:dyDescent="0.3">
      <c r="A9383" t="s">
        <v>11403</v>
      </c>
      <c r="B9383" t="s">
        <v>1877</v>
      </c>
      <c r="C9383" t="s">
        <v>2001</v>
      </c>
      <c r="D9383">
        <v>5</v>
      </c>
      <c r="E9383" s="16">
        <v>1500.4</v>
      </c>
      <c r="F9383" s="1">
        <v>44310</v>
      </c>
      <c r="G9383" t="s">
        <v>2012</v>
      </c>
      <c r="H9383">
        <v>2</v>
      </c>
      <c r="I9383" s="12">
        <f>Table16[[#This Row],[price]]*Table16[[#This Row],[quantity]]</f>
        <v>7502</v>
      </c>
    </row>
    <row r="9384" spans="1:9" x14ac:dyDescent="0.3">
      <c r="A9384" t="s">
        <v>11404</v>
      </c>
      <c r="B9384" t="s">
        <v>1877</v>
      </c>
      <c r="C9384" t="s">
        <v>2011</v>
      </c>
      <c r="D9384">
        <v>2</v>
      </c>
      <c r="E9384" s="16">
        <v>81.319999999999993</v>
      </c>
      <c r="F9384" s="1">
        <v>44432</v>
      </c>
      <c r="G9384" t="s">
        <v>2058</v>
      </c>
      <c r="H9384">
        <v>2</v>
      </c>
      <c r="I9384" s="12">
        <f>Table16[[#This Row],[price]]*Table16[[#This Row],[quantity]]</f>
        <v>162.63999999999999</v>
      </c>
    </row>
    <row r="9385" spans="1:9" x14ac:dyDescent="0.3">
      <c r="A9385" t="s">
        <v>11401</v>
      </c>
      <c r="B9385" t="s">
        <v>1877</v>
      </c>
      <c r="C9385" t="s">
        <v>2001</v>
      </c>
      <c r="D9385">
        <v>3</v>
      </c>
      <c r="E9385" s="16">
        <v>900.24</v>
      </c>
      <c r="F9385" s="1">
        <v>44454</v>
      </c>
      <c r="G9385" t="s">
        <v>2027</v>
      </c>
      <c r="H9385">
        <v>2</v>
      </c>
      <c r="I9385" s="12">
        <f>Table16[[#This Row],[price]]*Table16[[#This Row],[quantity]]</f>
        <v>2700.7200000000003</v>
      </c>
    </row>
    <row r="9386" spans="1:9" x14ac:dyDescent="0.3">
      <c r="A9386" t="s">
        <v>11399</v>
      </c>
      <c r="B9386" t="s">
        <v>1877</v>
      </c>
      <c r="C9386" t="s">
        <v>2011</v>
      </c>
      <c r="D9386">
        <v>4</v>
      </c>
      <c r="E9386" s="16">
        <v>162.63999999999999</v>
      </c>
      <c r="F9386" s="1">
        <v>44655</v>
      </c>
      <c r="G9386" t="s">
        <v>2020</v>
      </c>
      <c r="H9386">
        <v>1</v>
      </c>
      <c r="I9386" s="12">
        <f>Table16[[#This Row],[price]]*Table16[[#This Row],[quantity]]</f>
        <v>650.55999999999995</v>
      </c>
    </row>
    <row r="9387" spans="1:9" x14ac:dyDescent="0.3">
      <c r="A9387" t="s">
        <v>11400</v>
      </c>
      <c r="B9387" t="s">
        <v>1877</v>
      </c>
      <c r="C9387" t="s">
        <v>2008</v>
      </c>
      <c r="D9387">
        <v>1</v>
      </c>
      <c r="E9387" s="16">
        <v>5.23</v>
      </c>
      <c r="F9387" s="1">
        <v>44840</v>
      </c>
      <c r="G9387" t="s">
        <v>2009</v>
      </c>
      <c r="H9387">
        <v>4</v>
      </c>
      <c r="I9387" s="12">
        <f>Table16[[#This Row],[price]]*Table16[[#This Row],[quantity]]</f>
        <v>5.23</v>
      </c>
    </row>
    <row r="9388" spans="1:9" x14ac:dyDescent="0.3">
      <c r="A9388" t="s">
        <v>11402</v>
      </c>
      <c r="B9388" t="s">
        <v>1877</v>
      </c>
      <c r="C9388" t="s">
        <v>2024</v>
      </c>
      <c r="D9388">
        <v>4</v>
      </c>
      <c r="E9388" s="16">
        <v>143.36000000000001</v>
      </c>
      <c r="F9388" s="1">
        <v>44898</v>
      </c>
      <c r="G9388" t="s">
        <v>2020</v>
      </c>
      <c r="H9388">
        <v>1</v>
      </c>
      <c r="I9388" s="12">
        <f>Table16[[#This Row],[price]]*Table16[[#This Row],[quantity]]</f>
        <v>573.44000000000005</v>
      </c>
    </row>
    <row r="9389" spans="1:9" x14ac:dyDescent="0.3">
      <c r="A9389" t="s">
        <v>11408</v>
      </c>
      <c r="B9389" t="s">
        <v>1878</v>
      </c>
      <c r="C9389" t="s">
        <v>2001</v>
      </c>
      <c r="D9389">
        <v>2</v>
      </c>
      <c r="E9389" s="16">
        <v>600.16</v>
      </c>
      <c r="F9389" s="1">
        <v>44372</v>
      </c>
      <c r="G9389" t="s">
        <v>2004</v>
      </c>
      <c r="H9389">
        <v>4</v>
      </c>
      <c r="I9389" s="12">
        <f>Table16[[#This Row],[price]]*Table16[[#This Row],[quantity]]</f>
        <v>1200.32</v>
      </c>
    </row>
    <row r="9390" spans="1:9" x14ac:dyDescent="0.3">
      <c r="A9390" t="s">
        <v>11409</v>
      </c>
      <c r="B9390" t="s">
        <v>1878</v>
      </c>
      <c r="C9390" t="s">
        <v>2015</v>
      </c>
      <c r="D9390">
        <v>2</v>
      </c>
      <c r="E9390" s="16">
        <v>1200.3399999999999</v>
      </c>
      <c r="F9390" s="1">
        <v>44388</v>
      </c>
      <c r="G9390" t="s">
        <v>2004</v>
      </c>
      <c r="H9390">
        <v>4</v>
      </c>
      <c r="I9390" s="12">
        <f>Table16[[#This Row],[price]]*Table16[[#This Row],[quantity]]</f>
        <v>2400.6799999999998</v>
      </c>
    </row>
    <row r="9391" spans="1:9" x14ac:dyDescent="0.3">
      <c r="A9391" t="s">
        <v>11406</v>
      </c>
      <c r="B9391" t="s">
        <v>1878</v>
      </c>
      <c r="C9391" t="s">
        <v>2017</v>
      </c>
      <c r="D9391">
        <v>5</v>
      </c>
      <c r="E9391" s="16">
        <v>5250</v>
      </c>
      <c r="F9391" s="1">
        <v>44769</v>
      </c>
      <c r="G9391" t="s">
        <v>2012</v>
      </c>
      <c r="H9391">
        <v>5</v>
      </c>
      <c r="I9391" s="12">
        <f>Table16[[#This Row],[price]]*Table16[[#This Row],[quantity]]</f>
        <v>26250</v>
      </c>
    </row>
    <row r="9392" spans="1:9" x14ac:dyDescent="0.3">
      <c r="A9392" t="s">
        <v>11405</v>
      </c>
      <c r="B9392" t="s">
        <v>1878</v>
      </c>
      <c r="C9392" t="s">
        <v>2024</v>
      </c>
      <c r="D9392">
        <v>5</v>
      </c>
      <c r="E9392" s="16">
        <v>179.2</v>
      </c>
      <c r="F9392" s="1">
        <v>44854</v>
      </c>
      <c r="G9392" t="s">
        <v>2058</v>
      </c>
      <c r="H9392">
        <v>3</v>
      </c>
      <c r="I9392" s="12">
        <f>Table16[[#This Row],[price]]*Table16[[#This Row],[quantity]]</f>
        <v>896</v>
      </c>
    </row>
    <row r="9393" spans="1:9" x14ac:dyDescent="0.3">
      <c r="A9393" t="s">
        <v>11410</v>
      </c>
      <c r="B9393" t="s">
        <v>1878</v>
      </c>
      <c r="C9393" t="s">
        <v>2001</v>
      </c>
      <c r="D9393">
        <v>5</v>
      </c>
      <c r="E9393" s="16">
        <v>1500.4</v>
      </c>
      <c r="F9393" s="1">
        <v>44896</v>
      </c>
      <c r="G9393" t="s">
        <v>2018</v>
      </c>
      <c r="H9393">
        <v>1</v>
      </c>
      <c r="I9393" s="12">
        <f>Table16[[#This Row],[price]]*Table16[[#This Row],[quantity]]</f>
        <v>7502</v>
      </c>
    </row>
    <row r="9394" spans="1:9" x14ac:dyDescent="0.3">
      <c r="A9394" t="s">
        <v>11407</v>
      </c>
      <c r="B9394" t="s">
        <v>1878</v>
      </c>
      <c r="C9394" t="s">
        <v>2015</v>
      </c>
      <c r="D9394">
        <v>4</v>
      </c>
      <c r="E9394" s="16">
        <v>2400.6799999999998</v>
      </c>
      <c r="F9394" s="1">
        <v>44936</v>
      </c>
      <c r="G9394" t="s">
        <v>2020</v>
      </c>
      <c r="H9394">
        <v>2</v>
      </c>
      <c r="I9394" s="12">
        <f>Table16[[#This Row],[price]]*Table16[[#This Row],[quantity]]</f>
        <v>9602.7199999999993</v>
      </c>
    </row>
    <row r="9395" spans="1:9" x14ac:dyDescent="0.3">
      <c r="A9395" t="s">
        <v>11416</v>
      </c>
      <c r="B9395" t="s">
        <v>1879</v>
      </c>
      <c r="C9395" t="s">
        <v>2008</v>
      </c>
      <c r="D9395">
        <v>5</v>
      </c>
      <c r="E9395" s="16">
        <v>26.15</v>
      </c>
      <c r="F9395" s="1">
        <v>44309</v>
      </c>
      <c r="G9395" t="s">
        <v>2018</v>
      </c>
      <c r="H9395">
        <v>1</v>
      </c>
      <c r="I9395" s="12">
        <f>Table16[[#This Row],[price]]*Table16[[#This Row],[quantity]]</f>
        <v>130.75</v>
      </c>
    </row>
    <row r="9396" spans="1:9" x14ac:dyDescent="0.3">
      <c r="A9396" t="s">
        <v>11414</v>
      </c>
      <c r="B9396" t="s">
        <v>1879</v>
      </c>
      <c r="C9396" t="s">
        <v>2011</v>
      </c>
      <c r="D9396">
        <v>3</v>
      </c>
      <c r="E9396" s="16">
        <v>121.98</v>
      </c>
      <c r="F9396" s="1">
        <v>44462</v>
      </c>
      <c r="G9396" t="s">
        <v>2002</v>
      </c>
      <c r="H9396">
        <v>3</v>
      </c>
      <c r="I9396" s="12">
        <f>Table16[[#This Row],[price]]*Table16[[#This Row],[quantity]]</f>
        <v>365.94</v>
      </c>
    </row>
    <row r="9397" spans="1:9" x14ac:dyDescent="0.3">
      <c r="A9397" t="s">
        <v>11413</v>
      </c>
      <c r="B9397" t="s">
        <v>1879</v>
      </c>
      <c r="C9397" t="s">
        <v>2011</v>
      </c>
      <c r="D9397">
        <v>1</v>
      </c>
      <c r="E9397" s="16">
        <v>40.659999999999997</v>
      </c>
      <c r="F9397" s="1">
        <v>44475</v>
      </c>
      <c r="G9397" t="s">
        <v>2002</v>
      </c>
      <c r="H9397">
        <v>2</v>
      </c>
      <c r="I9397" s="12">
        <f>Table16[[#This Row],[price]]*Table16[[#This Row],[quantity]]</f>
        <v>40.659999999999997</v>
      </c>
    </row>
    <row r="9398" spans="1:9" x14ac:dyDescent="0.3">
      <c r="A9398" t="s">
        <v>11412</v>
      </c>
      <c r="B9398" t="s">
        <v>1879</v>
      </c>
      <c r="C9398" t="s">
        <v>2011</v>
      </c>
      <c r="D9398">
        <v>5</v>
      </c>
      <c r="E9398" s="16">
        <v>203.3</v>
      </c>
      <c r="F9398" s="1">
        <v>44521</v>
      </c>
      <c r="G9398" t="s">
        <v>2064</v>
      </c>
      <c r="H9398">
        <v>4</v>
      </c>
      <c r="I9398" s="12">
        <f>Table16[[#This Row],[price]]*Table16[[#This Row],[quantity]]</f>
        <v>1016.5</v>
      </c>
    </row>
    <row r="9399" spans="1:9" x14ac:dyDescent="0.3">
      <c r="A9399" t="s">
        <v>11417</v>
      </c>
      <c r="B9399" t="s">
        <v>1879</v>
      </c>
      <c r="C9399" t="s">
        <v>2017</v>
      </c>
      <c r="D9399">
        <v>4</v>
      </c>
      <c r="E9399" s="16">
        <v>4200</v>
      </c>
      <c r="F9399" s="1">
        <v>44645</v>
      </c>
      <c r="G9399" t="s">
        <v>2002</v>
      </c>
      <c r="H9399">
        <v>1</v>
      </c>
      <c r="I9399" s="12">
        <f>Table16[[#This Row],[price]]*Table16[[#This Row],[quantity]]</f>
        <v>16800</v>
      </c>
    </row>
    <row r="9400" spans="1:9" x14ac:dyDescent="0.3">
      <c r="A9400" t="s">
        <v>11415</v>
      </c>
      <c r="B9400" t="s">
        <v>1879</v>
      </c>
      <c r="C9400" t="s">
        <v>2001</v>
      </c>
      <c r="D9400">
        <v>3</v>
      </c>
      <c r="E9400" s="16">
        <v>900.24</v>
      </c>
      <c r="F9400" s="1">
        <v>44778</v>
      </c>
      <c r="G9400" t="s">
        <v>2058</v>
      </c>
      <c r="H9400">
        <v>3</v>
      </c>
      <c r="I9400" s="12">
        <f>Table16[[#This Row],[price]]*Table16[[#This Row],[quantity]]</f>
        <v>2700.7200000000003</v>
      </c>
    </row>
    <row r="9401" spans="1:9" x14ac:dyDescent="0.3">
      <c r="A9401" t="s">
        <v>11418</v>
      </c>
      <c r="B9401" t="s">
        <v>1879</v>
      </c>
      <c r="C9401" t="s">
        <v>2015</v>
      </c>
      <c r="D9401">
        <v>3</v>
      </c>
      <c r="E9401" s="16">
        <v>1800.51</v>
      </c>
      <c r="F9401" s="1">
        <v>44799</v>
      </c>
      <c r="G9401" t="s">
        <v>2012</v>
      </c>
      <c r="H9401">
        <v>3</v>
      </c>
      <c r="I9401" s="12">
        <f>Table16[[#This Row],[price]]*Table16[[#This Row],[quantity]]</f>
        <v>5401.53</v>
      </c>
    </row>
    <row r="9402" spans="1:9" x14ac:dyDescent="0.3">
      <c r="A9402" t="s">
        <v>11411</v>
      </c>
      <c r="B9402" t="s">
        <v>1879</v>
      </c>
      <c r="C9402" t="s">
        <v>2001</v>
      </c>
      <c r="D9402">
        <v>3</v>
      </c>
      <c r="E9402" s="16">
        <v>900.24</v>
      </c>
      <c r="F9402" s="1">
        <v>44829</v>
      </c>
      <c r="G9402" t="s">
        <v>2018</v>
      </c>
      <c r="H9402">
        <v>2</v>
      </c>
      <c r="I9402" s="12">
        <f>Table16[[#This Row],[price]]*Table16[[#This Row],[quantity]]</f>
        <v>2700.7200000000003</v>
      </c>
    </row>
    <row r="9403" spans="1:9" x14ac:dyDescent="0.3">
      <c r="A9403" t="s">
        <v>11421</v>
      </c>
      <c r="B9403" t="s">
        <v>1880</v>
      </c>
      <c r="C9403" t="s">
        <v>2008</v>
      </c>
      <c r="D9403">
        <v>2</v>
      </c>
      <c r="E9403" s="16">
        <v>10.46</v>
      </c>
      <c r="F9403" s="1">
        <v>44280</v>
      </c>
      <c r="G9403" t="s">
        <v>2020</v>
      </c>
      <c r="H9403">
        <v>4</v>
      </c>
      <c r="I9403" s="12">
        <f>Table16[[#This Row],[price]]*Table16[[#This Row],[quantity]]</f>
        <v>20.92</v>
      </c>
    </row>
    <row r="9404" spans="1:9" x14ac:dyDescent="0.3">
      <c r="A9404" t="s">
        <v>11420</v>
      </c>
      <c r="B9404" t="s">
        <v>1880</v>
      </c>
      <c r="C9404" t="s">
        <v>2024</v>
      </c>
      <c r="D9404">
        <v>4</v>
      </c>
      <c r="E9404" s="16">
        <v>143.36000000000001</v>
      </c>
      <c r="F9404" s="1">
        <v>44380</v>
      </c>
      <c r="G9404" t="s">
        <v>2027</v>
      </c>
      <c r="H9404">
        <v>1</v>
      </c>
      <c r="I9404" s="12">
        <f>Table16[[#This Row],[price]]*Table16[[#This Row],[quantity]]</f>
        <v>573.44000000000005</v>
      </c>
    </row>
    <row r="9405" spans="1:9" x14ac:dyDescent="0.3">
      <c r="A9405" t="s">
        <v>11419</v>
      </c>
      <c r="B9405" t="s">
        <v>1880</v>
      </c>
      <c r="C9405" t="s">
        <v>2015</v>
      </c>
      <c r="D9405">
        <v>4</v>
      </c>
      <c r="E9405" s="16">
        <v>2400.6799999999998</v>
      </c>
      <c r="F9405" s="1">
        <v>44401</v>
      </c>
      <c r="G9405" t="s">
        <v>2004</v>
      </c>
      <c r="H9405">
        <v>4</v>
      </c>
      <c r="I9405" s="12">
        <f>Table16[[#This Row],[price]]*Table16[[#This Row],[quantity]]</f>
        <v>9602.7199999999993</v>
      </c>
    </row>
    <row r="9406" spans="1:9" x14ac:dyDescent="0.3">
      <c r="A9406" t="s">
        <v>11422</v>
      </c>
      <c r="B9406" t="s">
        <v>1881</v>
      </c>
      <c r="C9406" t="s">
        <v>2015</v>
      </c>
      <c r="D9406">
        <v>2</v>
      </c>
      <c r="E9406" s="16">
        <v>1200.3399999999999</v>
      </c>
      <c r="F9406" s="1">
        <v>44665</v>
      </c>
      <c r="G9406" t="s">
        <v>2058</v>
      </c>
      <c r="H9406">
        <v>1</v>
      </c>
      <c r="I9406" s="12">
        <f>Table16[[#This Row],[price]]*Table16[[#This Row],[quantity]]</f>
        <v>2400.6799999999998</v>
      </c>
    </row>
    <row r="9407" spans="1:9" x14ac:dyDescent="0.3">
      <c r="A9407" t="s">
        <v>11424</v>
      </c>
      <c r="B9407" t="s">
        <v>1882</v>
      </c>
      <c r="C9407" t="s">
        <v>2011</v>
      </c>
      <c r="D9407">
        <v>4</v>
      </c>
      <c r="E9407" s="16">
        <v>162.63999999999999</v>
      </c>
      <c r="F9407" s="1">
        <v>44317</v>
      </c>
      <c r="G9407" t="s">
        <v>2012</v>
      </c>
      <c r="H9407">
        <v>4</v>
      </c>
      <c r="I9407" s="12">
        <f>Table16[[#This Row],[price]]*Table16[[#This Row],[quantity]]</f>
        <v>650.55999999999995</v>
      </c>
    </row>
    <row r="9408" spans="1:9" x14ac:dyDescent="0.3">
      <c r="A9408" t="s">
        <v>11423</v>
      </c>
      <c r="B9408" t="s">
        <v>1882</v>
      </c>
      <c r="C9408" t="s">
        <v>2015</v>
      </c>
      <c r="D9408">
        <v>1</v>
      </c>
      <c r="E9408" s="16">
        <v>600.16999999999996</v>
      </c>
      <c r="F9408" s="1">
        <v>44404</v>
      </c>
      <c r="G9408" t="s">
        <v>2009</v>
      </c>
      <c r="H9408">
        <v>4</v>
      </c>
      <c r="I9408" s="12">
        <f>Table16[[#This Row],[price]]*Table16[[#This Row],[quantity]]</f>
        <v>600.16999999999996</v>
      </c>
    </row>
    <row r="9409" spans="1:9" x14ac:dyDescent="0.3">
      <c r="A9409" t="s">
        <v>11429</v>
      </c>
      <c r="B9409" t="s">
        <v>1883</v>
      </c>
      <c r="C9409" t="s">
        <v>2015</v>
      </c>
      <c r="D9409">
        <v>5</v>
      </c>
      <c r="E9409" s="16">
        <v>3000.85</v>
      </c>
      <c r="F9409" s="1">
        <v>44485</v>
      </c>
      <c r="G9409" t="s">
        <v>2012</v>
      </c>
      <c r="H9409">
        <v>3</v>
      </c>
      <c r="I9409" s="12">
        <f>Table16[[#This Row],[price]]*Table16[[#This Row],[quantity]]</f>
        <v>15004.25</v>
      </c>
    </row>
    <row r="9410" spans="1:9" x14ac:dyDescent="0.3">
      <c r="A9410" t="s">
        <v>11427</v>
      </c>
      <c r="B9410" t="s">
        <v>1883</v>
      </c>
      <c r="C9410" t="s">
        <v>2006</v>
      </c>
      <c r="D9410">
        <v>3</v>
      </c>
      <c r="E9410" s="16">
        <v>45.45</v>
      </c>
      <c r="F9410" s="1">
        <v>44522</v>
      </c>
      <c r="G9410" t="s">
        <v>2004</v>
      </c>
      <c r="H9410">
        <v>4</v>
      </c>
      <c r="I9410" s="12">
        <f>Table16[[#This Row],[price]]*Table16[[#This Row],[quantity]]</f>
        <v>136.35000000000002</v>
      </c>
    </row>
    <row r="9411" spans="1:9" x14ac:dyDescent="0.3">
      <c r="A9411" t="s">
        <v>11426</v>
      </c>
      <c r="B9411" t="s">
        <v>1883</v>
      </c>
      <c r="C9411" t="s">
        <v>2008</v>
      </c>
      <c r="D9411">
        <v>1</v>
      </c>
      <c r="E9411" s="16">
        <v>5.23</v>
      </c>
      <c r="F9411" s="1">
        <v>44596</v>
      </c>
      <c r="G9411" t="s">
        <v>2002</v>
      </c>
      <c r="H9411">
        <v>5</v>
      </c>
      <c r="I9411" s="12">
        <f>Table16[[#This Row],[price]]*Table16[[#This Row],[quantity]]</f>
        <v>5.23</v>
      </c>
    </row>
    <row r="9412" spans="1:9" x14ac:dyDescent="0.3">
      <c r="A9412" t="s">
        <v>11428</v>
      </c>
      <c r="B9412" t="s">
        <v>1883</v>
      </c>
      <c r="C9412" t="s">
        <v>2001</v>
      </c>
      <c r="D9412">
        <v>3</v>
      </c>
      <c r="E9412" s="16">
        <v>900.24</v>
      </c>
      <c r="F9412" s="1">
        <v>44768</v>
      </c>
      <c r="G9412" t="s">
        <v>2004</v>
      </c>
      <c r="H9412">
        <v>3</v>
      </c>
      <c r="I9412" s="12">
        <f>Table16[[#This Row],[price]]*Table16[[#This Row],[quantity]]</f>
        <v>2700.7200000000003</v>
      </c>
    </row>
    <row r="9413" spans="1:9" x14ac:dyDescent="0.3">
      <c r="A9413" t="s">
        <v>11425</v>
      </c>
      <c r="B9413" t="s">
        <v>1883</v>
      </c>
      <c r="C9413" t="s">
        <v>2011</v>
      </c>
      <c r="D9413">
        <v>4</v>
      </c>
      <c r="E9413" s="16">
        <v>162.63999999999999</v>
      </c>
      <c r="F9413" s="1">
        <v>44776</v>
      </c>
      <c r="G9413" t="s">
        <v>2020</v>
      </c>
      <c r="H9413">
        <v>4</v>
      </c>
      <c r="I9413" s="12">
        <f>Table16[[#This Row],[price]]*Table16[[#This Row],[quantity]]</f>
        <v>650.55999999999995</v>
      </c>
    </row>
    <row r="9414" spans="1:9" x14ac:dyDescent="0.3">
      <c r="A9414" t="s">
        <v>11431</v>
      </c>
      <c r="B9414" t="s">
        <v>1884</v>
      </c>
      <c r="C9414" t="s">
        <v>2008</v>
      </c>
      <c r="D9414">
        <v>2</v>
      </c>
      <c r="E9414" s="16">
        <v>10.46</v>
      </c>
      <c r="F9414" s="1">
        <v>44608</v>
      </c>
      <c r="G9414" t="s">
        <v>2027</v>
      </c>
      <c r="H9414">
        <v>5</v>
      </c>
      <c r="I9414" s="12">
        <f>Table16[[#This Row],[price]]*Table16[[#This Row],[quantity]]</f>
        <v>20.92</v>
      </c>
    </row>
    <row r="9415" spans="1:9" x14ac:dyDescent="0.3">
      <c r="A9415" t="s">
        <v>11432</v>
      </c>
      <c r="B9415" t="s">
        <v>1884</v>
      </c>
      <c r="C9415" t="s">
        <v>2008</v>
      </c>
      <c r="D9415">
        <v>2</v>
      </c>
      <c r="E9415" s="16">
        <v>10.46</v>
      </c>
      <c r="F9415" s="1">
        <v>44664</v>
      </c>
      <c r="G9415" t="s">
        <v>2027</v>
      </c>
      <c r="H9415">
        <v>2</v>
      </c>
      <c r="I9415" s="12">
        <f>Table16[[#This Row],[price]]*Table16[[#This Row],[quantity]]</f>
        <v>20.92</v>
      </c>
    </row>
    <row r="9416" spans="1:9" x14ac:dyDescent="0.3">
      <c r="A9416" t="s">
        <v>11430</v>
      </c>
      <c r="B9416" t="s">
        <v>1884</v>
      </c>
      <c r="C9416" t="s">
        <v>2001</v>
      </c>
      <c r="D9416">
        <v>2</v>
      </c>
      <c r="E9416" s="16">
        <v>600.16</v>
      </c>
      <c r="F9416" s="1">
        <v>44746</v>
      </c>
      <c r="G9416" t="s">
        <v>2002</v>
      </c>
      <c r="H9416">
        <v>1</v>
      </c>
      <c r="I9416" s="12">
        <f>Table16[[#This Row],[price]]*Table16[[#This Row],[quantity]]</f>
        <v>1200.32</v>
      </c>
    </row>
    <row r="9417" spans="1:9" x14ac:dyDescent="0.3">
      <c r="A9417" t="s">
        <v>11433</v>
      </c>
      <c r="B9417" t="s">
        <v>1884</v>
      </c>
      <c r="C9417" t="s">
        <v>2001</v>
      </c>
      <c r="D9417">
        <v>3</v>
      </c>
      <c r="E9417" s="16">
        <v>900.24</v>
      </c>
      <c r="F9417" s="1">
        <v>44852</v>
      </c>
      <c r="G9417" t="s">
        <v>2058</v>
      </c>
      <c r="H9417">
        <v>5</v>
      </c>
      <c r="I9417" s="12">
        <f>Table16[[#This Row],[price]]*Table16[[#This Row],[quantity]]</f>
        <v>2700.7200000000003</v>
      </c>
    </row>
    <row r="9418" spans="1:9" x14ac:dyDescent="0.3">
      <c r="A9418" t="s">
        <v>11436</v>
      </c>
      <c r="B9418" t="s">
        <v>1885</v>
      </c>
      <c r="C9418" t="s">
        <v>2001</v>
      </c>
      <c r="D9418">
        <v>1</v>
      </c>
      <c r="E9418" s="16">
        <v>300.08</v>
      </c>
      <c r="F9418" s="1">
        <v>44426</v>
      </c>
      <c r="G9418" t="s">
        <v>2041</v>
      </c>
      <c r="H9418">
        <v>1</v>
      </c>
      <c r="I9418" s="12">
        <f>Table16[[#This Row],[price]]*Table16[[#This Row],[quantity]]</f>
        <v>300.08</v>
      </c>
    </row>
    <row r="9419" spans="1:9" x14ac:dyDescent="0.3">
      <c r="A9419" t="s">
        <v>11434</v>
      </c>
      <c r="B9419" t="s">
        <v>1885</v>
      </c>
      <c r="C9419" t="s">
        <v>2015</v>
      </c>
      <c r="D9419">
        <v>2</v>
      </c>
      <c r="E9419" s="16">
        <v>1200.3399999999999</v>
      </c>
      <c r="F9419" s="1">
        <v>44674</v>
      </c>
      <c r="G9419" t="s">
        <v>2027</v>
      </c>
      <c r="H9419">
        <v>3</v>
      </c>
      <c r="I9419" s="12">
        <f>Table16[[#This Row],[price]]*Table16[[#This Row],[quantity]]</f>
        <v>2400.6799999999998</v>
      </c>
    </row>
    <row r="9420" spans="1:9" x14ac:dyDescent="0.3">
      <c r="A9420" t="s">
        <v>11437</v>
      </c>
      <c r="B9420" t="s">
        <v>1885</v>
      </c>
      <c r="C9420" t="s">
        <v>2001</v>
      </c>
      <c r="D9420">
        <v>2</v>
      </c>
      <c r="E9420" s="16">
        <v>600.16</v>
      </c>
      <c r="F9420" s="1">
        <v>44752</v>
      </c>
      <c r="G9420" t="s">
        <v>2027</v>
      </c>
      <c r="H9420">
        <v>1</v>
      </c>
      <c r="I9420" s="12">
        <f>Table16[[#This Row],[price]]*Table16[[#This Row],[quantity]]</f>
        <v>1200.32</v>
      </c>
    </row>
    <row r="9421" spans="1:9" x14ac:dyDescent="0.3">
      <c r="A9421" t="s">
        <v>11435</v>
      </c>
      <c r="B9421" t="s">
        <v>1885</v>
      </c>
      <c r="C9421" t="s">
        <v>2057</v>
      </c>
      <c r="D9421">
        <v>1</v>
      </c>
      <c r="E9421" s="16">
        <v>11.73</v>
      </c>
      <c r="F9421" s="1">
        <v>44991</v>
      </c>
      <c r="G9421" t="s">
        <v>2004</v>
      </c>
      <c r="H9421">
        <v>1</v>
      </c>
      <c r="I9421" s="12">
        <f>Table16[[#This Row],[price]]*Table16[[#This Row],[quantity]]</f>
        <v>11.73</v>
      </c>
    </row>
    <row r="9422" spans="1:9" x14ac:dyDescent="0.3">
      <c r="A9422" t="s">
        <v>11438</v>
      </c>
      <c r="B9422" t="s">
        <v>1886</v>
      </c>
      <c r="C9422" t="s">
        <v>2015</v>
      </c>
      <c r="D9422">
        <v>3</v>
      </c>
      <c r="E9422" s="16">
        <v>1800.51</v>
      </c>
      <c r="F9422" s="1">
        <v>44298</v>
      </c>
      <c r="G9422" t="s">
        <v>2027</v>
      </c>
      <c r="H9422">
        <v>2</v>
      </c>
      <c r="I9422" s="12">
        <f>Table16[[#This Row],[price]]*Table16[[#This Row],[quantity]]</f>
        <v>5401.53</v>
      </c>
    </row>
    <row r="9423" spans="1:9" x14ac:dyDescent="0.3">
      <c r="A9423" t="s">
        <v>11442</v>
      </c>
      <c r="B9423" t="s">
        <v>1886</v>
      </c>
      <c r="C9423" t="s">
        <v>2006</v>
      </c>
      <c r="D9423">
        <v>4</v>
      </c>
      <c r="E9423" s="16">
        <v>60.6</v>
      </c>
      <c r="F9423" s="1">
        <v>44449</v>
      </c>
      <c r="G9423" t="s">
        <v>2020</v>
      </c>
      <c r="H9423">
        <v>4</v>
      </c>
      <c r="I9423" s="12">
        <f>Table16[[#This Row],[price]]*Table16[[#This Row],[quantity]]</f>
        <v>242.4</v>
      </c>
    </row>
    <row r="9424" spans="1:9" x14ac:dyDescent="0.3">
      <c r="A9424" t="s">
        <v>11441</v>
      </c>
      <c r="B9424" t="s">
        <v>1886</v>
      </c>
      <c r="C9424" t="s">
        <v>2008</v>
      </c>
      <c r="D9424">
        <v>4</v>
      </c>
      <c r="E9424" s="16">
        <v>20.92</v>
      </c>
      <c r="F9424" s="1">
        <v>44555</v>
      </c>
      <c r="G9424" t="s">
        <v>2004</v>
      </c>
      <c r="H9424">
        <v>2</v>
      </c>
      <c r="I9424" s="12">
        <f>Table16[[#This Row],[price]]*Table16[[#This Row],[quantity]]</f>
        <v>83.68</v>
      </c>
    </row>
    <row r="9425" spans="1:9" x14ac:dyDescent="0.3">
      <c r="A9425" t="s">
        <v>11440</v>
      </c>
      <c r="B9425" t="s">
        <v>1886</v>
      </c>
      <c r="C9425" t="s">
        <v>2001</v>
      </c>
      <c r="D9425">
        <v>3</v>
      </c>
      <c r="E9425" s="16">
        <v>900.24</v>
      </c>
      <c r="F9425" s="1">
        <v>44578</v>
      </c>
      <c r="G9425" t="s">
        <v>2041</v>
      </c>
      <c r="H9425">
        <v>1</v>
      </c>
      <c r="I9425" s="12">
        <f>Table16[[#This Row],[price]]*Table16[[#This Row],[quantity]]</f>
        <v>2700.7200000000003</v>
      </c>
    </row>
    <row r="9426" spans="1:9" x14ac:dyDescent="0.3">
      <c r="A9426" t="s">
        <v>11439</v>
      </c>
      <c r="B9426" t="s">
        <v>1886</v>
      </c>
      <c r="C9426" t="s">
        <v>2008</v>
      </c>
      <c r="D9426">
        <v>3</v>
      </c>
      <c r="E9426" s="16">
        <v>15.69</v>
      </c>
      <c r="F9426" s="1">
        <v>44710</v>
      </c>
      <c r="G9426" t="s">
        <v>2009</v>
      </c>
      <c r="H9426">
        <v>5</v>
      </c>
      <c r="I9426" s="12">
        <f>Table16[[#This Row],[price]]*Table16[[#This Row],[quantity]]</f>
        <v>47.07</v>
      </c>
    </row>
    <row r="9427" spans="1:9" x14ac:dyDescent="0.3">
      <c r="A9427" t="s">
        <v>11444</v>
      </c>
      <c r="B9427" t="s">
        <v>1886</v>
      </c>
      <c r="C9427" t="s">
        <v>2008</v>
      </c>
      <c r="D9427">
        <v>2</v>
      </c>
      <c r="E9427" s="16">
        <v>10.46</v>
      </c>
      <c r="F9427" s="1">
        <v>44817</v>
      </c>
      <c r="G9427" t="s">
        <v>2027</v>
      </c>
      <c r="H9427">
        <v>3</v>
      </c>
      <c r="I9427" s="12">
        <f>Table16[[#This Row],[price]]*Table16[[#This Row],[quantity]]</f>
        <v>20.92</v>
      </c>
    </row>
    <row r="9428" spans="1:9" x14ac:dyDescent="0.3">
      <c r="A9428" t="s">
        <v>11443</v>
      </c>
      <c r="B9428" t="s">
        <v>1886</v>
      </c>
      <c r="C9428" t="s">
        <v>2057</v>
      </c>
      <c r="D9428">
        <v>1</v>
      </c>
      <c r="E9428" s="16">
        <v>11.73</v>
      </c>
      <c r="F9428" s="1">
        <v>44957</v>
      </c>
      <c r="G9428" t="s">
        <v>2004</v>
      </c>
      <c r="H9428">
        <v>5</v>
      </c>
      <c r="I9428" s="12">
        <f>Table16[[#This Row],[price]]*Table16[[#This Row],[quantity]]</f>
        <v>11.73</v>
      </c>
    </row>
    <row r="9429" spans="1:9" x14ac:dyDescent="0.3">
      <c r="A9429" t="s">
        <v>11450</v>
      </c>
      <c r="B9429" t="s">
        <v>1887</v>
      </c>
      <c r="C9429" t="s">
        <v>2008</v>
      </c>
      <c r="D9429">
        <v>3</v>
      </c>
      <c r="E9429" s="16">
        <v>15.69</v>
      </c>
      <c r="F9429" s="1">
        <v>44207</v>
      </c>
      <c r="G9429" t="s">
        <v>2064</v>
      </c>
      <c r="H9429">
        <v>2</v>
      </c>
      <c r="I9429" s="12">
        <f>Table16[[#This Row],[price]]*Table16[[#This Row],[quantity]]</f>
        <v>47.07</v>
      </c>
    </row>
    <row r="9430" spans="1:9" x14ac:dyDescent="0.3">
      <c r="A9430" t="s">
        <v>11447</v>
      </c>
      <c r="B9430" t="s">
        <v>1887</v>
      </c>
      <c r="C9430" t="s">
        <v>2011</v>
      </c>
      <c r="D9430">
        <v>4</v>
      </c>
      <c r="E9430" s="16">
        <v>162.63999999999999</v>
      </c>
      <c r="F9430" s="1">
        <v>44623</v>
      </c>
      <c r="G9430" t="s">
        <v>2020</v>
      </c>
      <c r="H9430">
        <v>4</v>
      </c>
      <c r="I9430" s="12">
        <f>Table16[[#This Row],[price]]*Table16[[#This Row],[quantity]]</f>
        <v>650.55999999999995</v>
      </c>
    </row>
    <row r="9431" spans="1:9" x14ac:dyDescent="0.3">
      <c r="A9431" t="s">
        <v>11445</v>
      </c>
      <c r="B9431" t="s">
        <v>1887</v>
      </c>
      <c r="C9431" t="s">
        <v>2057</v>
      </c>
      <c r="D9431">
        <v>4</v>
      </c>
      <c r="E9431" s="16">
        <v>46.92</v>
      </c>
      <c r="F9431" s="1">
        <v>44710</v>
      </c>
      <c r="G9431" t="s">
        <v>2020</v>
      </c>
      <c r="H9431">
        <v>1</v>
      </c>
      <c r="I9431" s="12">
        <f>Table16[[#This Row],[price]]*Table16[[#This Row],[quantity]]</f>
        <v>187.68</v>
      </c>
    </row>
    <row r="9432" spans="1:9" x14ac:dyDescent="0.3">
      <c r="A9432" t="s">
        <v>11448</v>
      </c>
      <c r="B9432" t="s">
        <v>1887</v>
      </c>
      <c r="C9432" t="s">
        <v>2017</v>
      </c>
      <c r="D9432">
        <v>2</v>
      </c>
      <c r="E9432" s="16">
        <v>2100</v>
      </c>
      <c r="F9432" s="1">
        <v>44772</v>
      </c>
      <c r="G9432" t="s">
        <v>2041</v>
      </c>
      <c r="H9432">
        <v>2</v>
      </c>
      <c r="I9432" s="12">
        <f>Table16[[#This Row],[price]]*Table16[[#This Row],[quantity]]</f>
        <v>4200</v>
      </c>
    </row>
    <row r="9433" spans="1:9" x14ac:dyDescent="0.3">
      <c r="A9433" t="s">
        <v>11446</v>
      </c>
      <c r="B9433" t="s">
        <v>1887</v>
      </c>
      <c r="C9433" t="s">
        <v>2001</v>
      </c>
      <c r="D9433">
        <v>3</v>
      </c>
      <c r="E9433" s="16">
        <v>900.24</v>
      </c>
      <c r="F9433" s="1">
        <v>44942</v>
      </c>
      <c r="G9433" t="s">
        <v>2027</v>
      </c>
      <c r="H9433">
        <v>5</v>
      </c>
      <c r="I9433" s="12">
        <f>Table16[[#This Row],[price]]*Table16[[#This Row],[quantity]]</f>
        <v>2700.7200000000003</v>
      </c>
    </row>
    <row r="9434" spans="1:9" x14ac:dyDescent="0.3">
      <c r="A9434" t="s">
        <v>11451</v>
      </c>
      <c r="B9434" t="s">
        <v>1887</v>
      </c>
      <c r="C9434" t="s">
        <v>2001</v>
      </c>
      <c r="D9434">
        <v>4</v>
      </c>
      <c r="E9434" s="16">
        <v>1200.32</v>
      </c>
      <c r="F9434" s="1">
        <v>44973</v>
      </c>
      <c r="G9434" t="s">
        <v>2020</v>
      </c>
      <c r="H9434">
        <v>4</v>
      </c>
      <c r="I9434" s="12">
        <f>Table16[[#This Row],[price]]*Table16[[#This Row],[quantity]]</f>
        <v>4801.28</v>
      </c>
    </row>
    <row r="9435" spans="1:9" x14ac:dyDescent="0.3">
      <c r="A9435" t="s">
        <v>11449</v>
      </c>
      <c r="B9435" t="s">
        <v>1887</v>
      </c>
      <c r="C9435" t="s">
        <v>2008</v>
      </c>
      <c r="D9435">
        <v>5</v>
      </c>
      <c r="E9435" s="16">
        <v>26.15</v>
      </c>
      <c r="F9435" s="1">
        <v>44986</v>
      </c>
      <c r="G9435" t="s">
        <v>2012</v>
      </c>
      <c r="H9435">
        <v>3</v>
      </c>
      <c r="I9435" s="12">
        <f>Table16[[#This Row],[price]]*Table16[[#This Row],[quantity]]</f>
        <v>130.75</v>
      </c>
    </row>
    <row r="9436" spans="1:9" x14ac:dyDescent="0.3">
      <c r="A9436" t="s">
        <v>11458</v>
      </c>
      <c r="B9436" t="s">
        <v>1888</v>
      </c>
      <c r="C9436" t="s">
        <v>2001</v>
      </c>
      <c r="D9436">
        <v>4</v>
      </c>
      <c r="E9436" s="16">
        <v>1200.32</v>
      </c>
      <c r="F9436" s="1">
        <v>44275</v>
      </c>
      <c r="G9436" t="s">
        <v>2002</v>
      </c>
      <c r="H9436">
        <v>2</v>
      </c>
      <c r="I9436" s="12">
        <f>Table16[[#This Row],[price]]*Table16[[#This Row],[quantity]]</f>
        <v>4801.28</v>
      </c>
    </row>
    <row r="9437" spans="1:9" x14ac:dyDescent="0.3">
      <c r="A9437" t="s">
        <v>11454</v>
      </c>
      <c r="B9437" t="s">
        <v>1888</v>
      </c>
      <c r="C9437" t="s">
        <v>2057</v>
      </c>
      <c r="D9437">
        <v>1</v>
      </c>
      <c r="E9437" s="16">
        <v>11.73</v>
      </c>
      <c r="F9437" s="1">
        <v>44586</v>
      </c>
      <c r="G9437" t="s">
        <v>2004</v>
      </c>
      <c r="H9437">
        <v>4</v>
      </c>
      <c r="I9437" s="12">
        <f>Table16[[#This Row],[price]]*Table16[[#This Row],[quantity]]</f>
        <v>11.73</v>
      </c>
    </row>
    <row r="9438" spans="1:9" x14ac:dyDescent="0.3">
      <c r="A9438" t="s">
        <v>11456</v>
      </c>
      <c r="B9438" t="s">
        <v>1888</v>
      </c>
      <c r="C9438" t="s">
        <v>2011</v>
      </c>
      <c r="D9438">
        <v>2</v>
      </c>
      <c r="E9438" s="16">
        <v>81.319999999999993</v>
      </c>
      <c r="F9438" s="1">
        <v>44688</v>
      </c>
      <c r="G9438" t="s">
        <v>2002</v>
      </c>
      <c r="H9438">
        <v>2</v>
      </c>
      <c r="I9438" s="12">
        <f>Table16[[#This Row],[price]]*Table16[[#This Row],[quantity]]</f>
        <v>162.63999999999999</v>
      </c>
    </row>
    <row r="9439" spans="1:9" x14ac:dyDescent="0.3">
      <c r="A9439" t="s">
        <v>11455</v>
      </c>
      <c r="B9439" t="s">
        <v>1888</v>
      </c>
      <c r="C9439" t="s">
        <v>2024</v>
      </c>
      <c r="D9439">
        <v>5</v>
      </c>
      <c r="E9439" s="16">
        <v>179.2</v>
      </c>
      <c r="F9439" s="1">
        <v>44711</v>
      </c>
      <c r="G9439" t="s">
        <v>2004</v>
      </c>
      <c r="H9439">
        <v>1</v>
      </c>
      <c r="I9439" s="12">
        <f>Table16[[#This Row],[price]]*Table16[[#This Row],[quantity]]</f>
        <v>896</v>
      </c>
    </row>
    <row r="9440" spans="1:9" x14ac:dyDescent="0.3">
      <c r="A9440" t="s">
        <v>11452</v>
      </c>
      <c r="B9440" t="s">
        <v>1888</v>
      </c>
      <c r="C9440" t="s">
        <v>2001</v>
      </c>
      <c r="D9440">
        <v>1</v>
      </c>
      <c r="E9440" s="16">
        <v>300.08</v>
      </c>
      <c r="F9440" s="1">
        <v>44737</v>
      </c>
      <c r="G9440" t="s">
        <v>2004</v>
      </c>
      <c r="H9440">
        <v>5</v>
      </c>
      <c r="I9440" s="12">
        <f>Table16[[#This Row],[price]]*Table16[[#This Row],[quantity]]</f>
        <v>300.08</v>
      </c>
    </row>
    <row r="9441" spans="1:9" x14ac:dyDescent="0.3">
      <c r="A9441" t="s">
        <v>11457</v>
      </c>
      <c r="B9441" t="s">
        <v>1888</v>
      </c>
      <c r="C9441" t="s">
        <v>2008</v>
      </c>
      <c r="D9441">
        <v>4</v>
      </c>
      <c r="E9441" s="16">
        <v>20.92</v>
      </c>
      <c r="F9441" s="1">
        <v>44848</v>
      </c>
      <c r="G9441" t="s">
        <v>2004</v>
      </c>
      <c r="H9441">
        <v>1</v>
      </c>
      <c r="I9441" s="12">
        <f>Table16[[#This Row],[price]]*Table16[[#This Row],[quantity]]</f>
        <v>83.68</v>
      </c>
    </row>
    <row r="9442" spans="1:9" x14ac:dyDescent="0.3">
      <c r="A9442" t="s">
        <v>11453</v>
      </c>
      <c r="B9442" t="s">
        <v>1888</v>
      </c>
      <c r="C9442" t="s">
        <v>2011</v>
      </c>
      <c r="D9442">
        <v>5</v>
      </c>
      <c r="E9442" s="16">
        <v>203.3</v>
      </c>
      <c r="F9442" s="1">
        <v>44979</v>
      </c>
      <c r="G9442" t="s">
        <v>2064</v>
      </c>
      <c r="H9442">
        <v>4</v>
      </c>
      <c r="I9442" s="12">
        <f>Table16[[#This Row],[price]]*Table16[[#This Row],[quantity]]</f>
        <v>1016.5</v>
      </c>
    </row>
    <row r="9443" spans="1:9" x14ac:dyDescent="0.3">
      <c r="A9443" t="s">
        <v>11465</v>
      </c>
      <c r="B9443" t="s">
        <v>1889</v>
      </c>
      <c r="C9443" t="s">
        <v>2008</v>
      </c>
      <c r="D9443">
        <v>4</v>
      </c>
      <c r="E9443" s="16">
        <v>20.92</v>
      </c>
      <c r="F9443" s="1">
        <v>44294</v>
      </c>
      <c r="G9443" t="s">
        <v>2009</v>
      </c>
      <c r="H9443">
        <v>4</v>
      </c>
      <c r="I9443" s="12">
        <f>Table16[[#This Row],[price]]*Table16[[#This Row],[quantity]]</f>
        <v>83.68</v>
      </c>
    </row>
    <row r="9444" spans="1:9" x14ac:dyDescent="0.3">
      <c r="A9444" t="s">
        <v>11464</v>
      </c>
      <c r="B9444" t="s">
        <v>1889</v>
      </c>
      <c r="C9444" t="s">
        <v>2001</v>
      </c>
      <c r="D9444">
        <v>1</v>
      </c>
      <c r="E9444" s="16">
        <v>300.08</v>
      </c>
      <c r="F9444" s="1">
        <v>44331</v>
      </c>
      <c r="G9444" t="s">
        <v>2058</v>
      </c>
      <c r="H9444">
        <v>5</v>
      </c>
      <c r="I9444" s="12">
        <f>Table16[[#This Row],[price]]*Table16[[#This Row],[quantity]]</f>
        <v>300.08</v>
      </c>
    </row>
    <row r="9445" spans="1:9" x14ac:dyDescent="0.3">
      <c r="A9445" t="s">
        <v>11460</v>
      </c>
      <c r="B9445" t="s">
        <v>1889</v>
      </c>
      <c r="C9445" t="s">
        <v>2024</v>
      </c>
      <c r="D9445">
        <v>2</v>
      </c>
      <c r="E9445" s="16">
        <v>71.680000000000007</v>
      </c>
      <c r="F9445" s="1">
        <v>44421</v>
      </c>
      <c r="G9445" t="s">
        <v>2027</v>
      </c>
      <c r="H9445">
        <v>2</v>
      </c>
      <c r="I9445" s="12">
        <f>Table16[[#This Row],[price]]*Table16[[#This Row],[quantity]]</f>
        <v>143.36000000000001</v>
      </c>
    </row>
    <row r="9446" spans="1:9" x14ac:dyDescent="0.3">
      <c r="A9446" t="s">
        <v>11461</v>
      </c>
      <c r="B9446" t="s">
        <v>1889</v>
      </c>
      <c r="C9446" t="s">
        <v>2015</v>
      </c>
      <c r="D9446">
        <v>3</v>
      </c>
      <c r="E9446" s="16">
        <v>1800.51</v>
      </c>
      <c r="F9446" s="1">
        <v>44743</v>
      </c>
      <c r="G9446" t="s">
        <v>2058</v>
      </c>
      <c r="H9446">
        <v>4</v>
      </c>
      <c r="I9446" s="12">
        <f>Table16[[#This Row],[price]]*Table16[[#This Row],[quantity]]</f>
        <v>5401.53</v>
      </c>
    </row>
    <row r="9447" spans="1:9" x14ac:dyDescent="0.3">
      <c r="A9447" t="s">
        <v>11459</v>
      </c>
      <c r="B9447" t="s">
        <v>1889</v>
      </c>
      <c r="C9447" t="s">
        <v>2024</v>
      </c>
      <c r="D9447">
        <v>4</v>
      </c>
      <c r="E9447" s="16">
        <v>143.36000000000001</v>
      </c>
      <c r="F9447" s="1">
        <v>44746</v>
      </c>
      <c r="G9447" t="s">
        <v>2027</v>
      </c>
      <c r="H9447">
        <v>3</v>
      </c>
      <c r="I9447" s="12">
        <f>Table16[[#This Row],[price]]*Table16[[#This Row],[quantity]]</f>
        <v>573.44000000000005</v>
      </c>
    </row>
    <row r="9448" spans="1:9" x14ac:dyDescent="0.3">
      <c r="A9448" t="s">
        <v>11463</v>
      </c>
      <c r="B9448" t="s">
        <v>1889</v>
      </c>
      <c r="C9448" t="s">
        <v>2011</v>
      </c>
      <c r="D9448">
        <v>5</v>
      </c>
      <c r="E9448" s="16">
        <v>203.3</v>
      </c>
      <c r="F9448" s="1">
        <v>44893</v>
      </c>
      <c r="G9448" t="s">
        <v>2064</v>
      </c>
      <c r="H9448">
        <v>1</v>
      </c>
      <c r="I9448" s="12">
        <f>Table16[[#This Row],[price]]*Table16[[#This Row],[quantity]]</f>
        <v>1016.5</v>
      </c>
    </row>
    <row r="9449" spans="1:9" x14ac:dyDescent="0.3">
      <c r="A9449" t="s">
        <v>11462</v>
      </c>
      <c r="B9449" t="s">
        <v>1889</v>
      </c>
      <c r="C9449" t="s">
        <v>2015</v>
      </c>
      <c r="D9449">
        <v>2</v>
      </c>
      <c r="E9449" s="16">
        <v>1200.3399999999999</v>
      </c>
      <c r="F9449" s="1">
        <v>44938</v>
      </c>
      <c r="G9449" t="s">
        <v>2004</v>
      </c>
      <c r="H9449">
        <v>3</v>
      </c>
      <c r="I9449" s="12">
        <f>Table16[[#This Row],[price]]*Table16[[#This Row],[quantity]]</f>
        <v>2400.6799999999998</v>
      </c>
    </row>
    <row r="9450" spans="1:9" x14ac:dyDescent="0.3">
      <c r="A9450" t="s">
        <v>11472</v>
      </c>
      <c r="B9450" t="s">
        <v>1890</v>
      </c>
      <c r="C9450" t="s">
        <v>2001</v>
      </c>
      <c r="D9450">
        <v>1</v>
      </c>
      <c r="E9450" s="16">
        <v>300.08</v>
      </c>
      <c r="F9450" s="1">
        <v>44263</v>
      </c>
      <c r="G9450" t="s">
        <v>2002</v>
      </c>
      <c r="H9450">
        <v>5</v>
      </c>
      <c r="I9450" s="12">
        <f>Table16[[#This Row],[price]]*Table16[[#This Row],[quantity]]</f>
        <v>300.08</v>
      </c>
    </row>
    <row r="9451" spans="1:9" x14ac:dyDescent="0.3">
      <c r="A9451" t="s">
        <v>11468</v>
      </c>
      <c r="B9451" t="s">
        <v>1890</v>
      </c>
      <c r="C9451" t="s">
        <v>2011</v>
      </c>
      <c r="D9451">
        <v>5</v>
      </c>
      <c r="E9451" s="16">
        <v>203.3</v>
      </c>
      <c r="F9451" s="1">
        <v>44450</v>
      </c>
      <c r="G9451" t="s">
        <v>2027</v>
      </c>
      <c r="H9451">
        <v>4</v>
      </c>
      <c r="I9451" s="12">
        <f>Table16[[#This Row],[price]]*Table16[[#This Row],[quantity]]</f>
        <v>1016.5</v>
      </c>
    </row>
    <row r="9452" spans="1:9" x14ac:dyDescent="0.3">
      <c r="A9452" t="s">
        <v>11467</v>
      </c>
      <c r="B9452" t="s">
        <v>1890</v>
      </c>
      <c r="C9452" t="s">
        <v>2011</v>
      </c>
      <c r="D9452">
        <v>2</v>
      </c>
      <c r="E9452" s="16">
        <v>81.319999999999993</v>
      </c>
      <c r="F9452" s="1">
        <v>44636</v>
      </c>
      <c r="G9452" t="s">
        <v>2018</v>
      </c>
      <c r="H9452">
        <v>1</v>
      </c>
      <c r="I9452" s="12">
        <f>Table16[[#This Row],[price]]*Table16[[#This Row],[quantity]]</f>
        <v>162.63999999999999</v>
      </c>
    </row>
    <row r="9453" spans="1:9" x14ac:dyDescent="0.3">
      <c r="A9453" t="s">
        <v>11466</v>
      </c>
      <c r="B9453" t="s">
        <v>1890</v>
      </c>
      <c r="C9453" t="s">
        <v>2017</v>
      </c>
      <c r="D9453">
        <v>4</v>
      </c>
      <c r="E9453" s="16">
        <v>4200</v>
      </c>
      <c r="F9453" s="1">
        <v>44772</v>
      </c>
      <c r="G9453" t="s">
        <v>2002</v>
      </c>
      <c r="H9453">
        <v>3</v>
      </c>
      <c r="I9453" s="12">
        <f>Table16[[#This Row],[price]]*Table16[[#This Row],[quantity]]</f>
        <v>16800</v>
      </c>
    </row>
    <row r="9454" spans="1:9" x14ac:dyDescent="0.3">
      <c r="A9454" t="s">
        <v>11469</v>
      </c>
      <c r="B9454" t="s">
        <v>1890</v>
      </c>
      <c r="C9454" t="s">
        <v>2001</v>
      </c>
      <c r="D9454">
        <v>1</v>
      </c>
      <c r="E9454" s="16">
        <v>300.08</v>
      </c>
      <c r="F9454" s="1">
        <v>44803</v>
      </c>
      <c r="G9454" t="s">
        <v>2027</v>
      </c>
      <c r="H9454">
        <v>2</v>
      </c>
      <c r="I9454" s="12">
        <f>Table16[[#This Row],[price]]*Table16[[#This Row],[quantity]]</f>
        <v>300.08</v>
      </c>
    </row>
    <row r="9455" spans="1:9" x14ac:dyDescent="0.3">
      <c r="A9455" t="s">
        <v>11471</v>
      </c>
      <c r="B9455" t="s">
        <v>1890</v>
      </c>
      <c r="C9455" t="s">
        <v>2008</v>
      </c>
      <c r="D9455">
        <v>3</v>
      </c>
      <c r="E9455" s="16">
        <v>15.69</v>
      </c>
      <c r="F9455" s="1">
        <v>44841</v>
      </c>
      <c r="G9455" t="s">
        <v>2027</v>
      </c>
      <c r="H9455">
        <v>1</v>
      </c>
      <c r="I9455" s="12">
        <f>Table16[[#This Row],[price]]*Table16[[#This Row],[quantity]]</f>
        <v>47.07</v>
      </c>
    </row>
    <row r="9456" spans="1:9" x14ac:dyDescent="0.3">
      <c r="A9456" t="s">
        <v>11470</v>
      </c>
      <c r="B9456" t="s">
        <v>1890</v>
      </c>
      <c r="C9456" t="s">
        <v>2008</v>
      </c>
      <c r="D9456">
        <v>1</v>
      </c>
      <c r="E9456" s="16">
        <v>5.23</v>
      </c>
      <c r="F9456" s="1">
        <v>44991</v>
      </c>
      <c r="G9456" t="s">
        <v>2018</v>
      </c>
      <c r="H9456">
        <v>1</v>
      </c>
      <c r="I9456" s="12">
        <f>Table16[[#This Row],[price]]*Table16[[#This Row],[quantity]]</f>
        <v>5.23</v>
      </c>
    </row>
    <row r="9457" spans="1:9" x14ac:dyDescent="0.3">
      <c r="A9457" t="s">
        <v>11474</v>
      </c>
      <c r="B9457" t="s">
        <v>1891</v>
      </c>
      <c r="C9457" t="s">
        <v>2057</v>
      </c>
      <c r="D9457">
        <v>1</v>
      </c>
      <c r="E9457" s="16">
        <v>11.73</v>
      </c>
      <c r="F9457" s="1">
        <v>44316</v>
      </c>
      <c r="G9457" t="s">
        <v>2020</v>
      </c>
      <c r="H9457">
        <v>1</v>
      </c>
      <c r="I9457" s="12">
        <f>Table16[[#This Row],[price]]*Table16[[#This Row],[quantity]]</f>
        <v>11.73</v>
      </c>
    </row>
    <row r="9458" spans="1:9" x14ac:dyDescent="0.3">
      <c r="A9458" t="s">
        <v>11477</v>
      </c>
      <c r="B9458" t="s">
        <v>1891</v>
      </c>
      <c r="C9458" t="s">
        <v>2001</v>
      </c>
      <c r="D9458">
        <v>4</v>
      </c>
      <c r="E9458" s="16">
        <v>1200.32</v>
      </c>
      <c r="F9458" s="1">
        <v>44432</v>
      </c>
      <c r="G9458" t="s">
        <v>2002</v>
      </c>
      <c r="H9458">
        <v>5</v>
      </c>
      <c r="I9458" s="12">
        <f>Table16[[#This Row],[price]]*Table16[[#This Row],[quantity]]</f>
        <v>4801.28</v>
      </c>
    </row>
    <row r="9459" spans="1:9" x14ac:dyDescent="0.3">
      <c r="A9459" t="s">
        <v>11475</v>
      </c>
      <c r="B9459" t="s">
        <v>1891</v>
      </c>
      <c r="C9459" t="s">
        <v>2011</v>
      </c>
      <c r="D9459">
        <v>1</v>
      </c>
      <c r="E9459" s="16">
        <v>40.659999999999997</v>
      </c>
      <c r="F9459" s="1">
        <v>44586</v>
      </c>
      <c r="G9459" t="s">
        <v>2004</v>
      </c>
      <c r="H9459">
        <v>3</v>
      </c>
      <c r="I9459" s="12">
        <f>Table16[[#This Row],[price]]*Table16[[#This Row],[quantity]]</f>
        <v>40.659999999999997</v>
      </c>
    </row>
    <row r="9460" spans="1:9" x14ac:dyDescent="0.3">
      <c r="A9460" t="s">
        <v>11476</v>
      </c>
      <c r="B9460" t="s">
        <v>1891</v>
      </c>
      <c r="C9460" t="s">
        <v>2001</v>
      </c>
      <c r="D9460">
        <v>5</v>
      </c>
      <c r="E9460" s="16">
        <v>1500.4</v>
      </c>
      <c r="F9460" s="1">
        <v>44640</v>
      </c>
      <c r="G9460" t="s">
        <v>2020</v>
      </c>
      <c r="H9460">
        <v>5</v>
      </c>
      <c r="I9460" s="12">
        <f>Table16[[#This Row],[price]]*Table16[[#This Row],[quantity]]</f>
        <v>7502</v>
      </c>
    </row>
    <row r="9461" spans="1:9" x14ac:dyDescent="0.3">
      <c r="A9461" t="s">
        <v>11473</v>
      </c>
      <c r="B9461" t="s">
        <v>1891</v>
      </c>
      <c r="C9461" t="s">
        <v>2001</v>
      </c>
      <c r="D9461">
        <v>1</v>
      </c>
      <c r="E9461" s="16">
        <v>300.08</v>
      </c>
      <c r="F9461" s="1">
        <v>44881</v>
      </c>
      <c r="G9461" t="s">
        <v>2004</v>
      </c>
      <c r="H9461">
        <v>4</v>
      </c>
      <c r="I9461" s="12">
        <f>Table16[[#This Row],[price]]*Table16[[#This Row],[quantity]]</f>
        <v>300.08</v>
      </c>
    </row>
    <row r="9462" spans="1:9" x14ac:dyDescent="0.3">
      <c r="A9462" t="s">
        <v>11478</v>
      </c>
      <c r="B9462" t="s">
        <v>1892</v>
      </c>
      <c r="C9462" t="s">
        <v>2011</v>
      </c>
      <c r="D9462">
        <v>2</v>
      </c>
      <c r="E9462" s="16">
        <v>81.319999999999993</v>
      </c>
      <c r="F9462" s="1">
        <v>44370</v>
      </c>
      <c r="G9462" t="s">
        <v>2002</v>
      </c>
      <c r="H9462">
        <v>1</v>
      </c>
      <c r="I9462" s="12">
        <f>Table16[[#This Row],[price]]*Table16[[#This Row],[quantity]]</f>
        <v>162.63999999999999</v>
      </c>
    </row>
    <row r="9463" spans="1:9" x14ac:dyDescent="0.3">
      <c r="A9463" t="s">
        <v>11483</v>
      </c>
      <c r="B9463" t="s">
        <v>1892</v>
      </c>
      <c r="C9463" t="s">
        <v>2017</v>
      </c>
      <c r="D9463">
        <v>4</v>
      </c>
      <c r="E9463" s="16">
        <v>4200</v>
      </c>
      <c r="F9463" s="1">
        <v>44463</v>
      </c>
      <c r="G9463" t="s">
        <v>2027</v>
      </c>
      <c r="H9463">
        <v>4</v>
      </c>
      <c r="I9463" s="12">
        <f>Table16[[#This Row],[price]]*Table16[[#This Row],[quantity]]</f>
        <v>16800</v>
      </c>
    </row>
    <row r="9464" spans="1:9" x14ac:dyDescent="0.3">
      <c r="A9464" t="s">
        <v>11481</v>
      </c>
      <c r="B9464" t="s">
        <v>1892</v>
      </c>
      <c r="C9464" t="s">
        <v>2001</v>
      </c>
      <c r="D9464">
        <v>1</v>
      </c>
      <c r="E9464" s="16">
        <v>300.08</v>
      </c>
      <c r="F9464" s="1">
        <v>44638</v>
      </c>
      <c r="G9464" t="s">
        <v>2002</v>
      </c>
      <c r="H9464">
        <v>2</v>
      </c>
      <c r="I9464" s="12">
        <f>Table16[[#This Row],[price]]*Table16[[#This Row],[quantity]]</f>
        <v>300.08</v>
      </c>
    </row>
    <row r="9465" spans="1:9" x14ac:dyDescent="0.3">
      <c r="A9465" t="s">
        <v>11485</v>
      </c>
      <c r="B9465" t="s">
        <v>1892</v>
      </c>
      <c r="C9465" t="s">
        <v>2057</v>
      </c>
      <c r="D9465">
        <v>2</v>
      </c>
      <c r="E9465" s="16">
        <v>23.46</v>
      </c>
      <c r="F9465" s="1">
        <v>44653</v>
      </c>
      <c r="G9465" t="s">
        <v>2012</v>
      </c>
      <c r="H9465">
        <v>1</v>
      </c>
      <c r="I9465" s="12">
        <f>Table16[[#This Row],[price]]*Table16[[#This Row],[quantity]]</f>
        <v>46.92</v>
      </c>
    </row>
    <row r="9466" spans="1:9" x14ac:dyDescent="0.3">
      <c r="A9466" t="s">
        <v>11480</v>
      </c>
      <c r="B9466" t="s">
        <v>1892</v>
      </c>
      <c r="C9466" t="s">
        <v>2015</v>
      </c>
      <c r="D9466">
        <v>2</v>
      </c>
      <c r="E9466" s="16">
        <v>1200.3399999999999</v>
      </c>
      <c r="F9466" s="1">
        <v>44719</v>
      </c>
      <c r="G9466" t="s">
        <v>2004</v>
      </c>
      <c r="H9466">
        <v>4</v>
      </c>
      <c r="I9466" s="12">
        <f>Table16[[#This Row],[price]]*Table16[[#This Row],[quantity]]</f>
        <v>2400.6799999999998</v>
      </c>
    </row>
    <row r="9467" spans="1:9" x14ac:dyDescent="0.3">
      <c r="A9467" t="s">
        <v>11479</v>
      </c>
      <c r="B9467" t="s">
        <v>1892</v>
      </c>
      <c r="C9467" t="s">
        <v>2008</v>
      </c>
      <c r="D9467">
        <v>2</v>
      </c>
      <c r="E9467" s="16">
        <v>10.46</v>
      </c>
      <c r="F9467" s="1">
        <v>44737</v>
      </c>
      <c r="G9467" t="s">
        <v>2027</v>
      </c>
      <c r="H9467">
        <v>3</v>
      </c>
      <c r="I9467" s="12">
        <f>Table16[[#This Row],[price]]*Table16[[#This Row],[quantity]]</f>
        <v>20.92</v>
      </c>
    </row>
    <row r="9468" spans="1:9" x14ac:dyDescent="0.3">
      <c r="A9468" t="s">
        <v>11484</v>
      </c>
      <c r="B9468" t="s">
        <v>1892</v>
      </c>
      <c r="C9468" t="s">
        <v>2001</v>
      </c>
      <c r="D9468">
        <v>3</v>
      </c>
      <c r="E9468" s="16">
        <v>900.24</v>
      </c>
      <c r="F9468" s="1">
        <v>44908</v>
      </c>
      <c r="G9468" t="s">
        <v>2020</v>
      </c>
      <c r="H9468">
        <v>4</v>
      </c>
      <c r="I9468" s="12">
        <f>Table16[[#This Row],[price]]*Table16[[#This Row],[quantity]]</f>
        <v>2700.7200000000003</v>
      </c>
    </row>
    <row r="9469" spans="1:9" x14ac:dyDescent="0.3">
      <c r="A9469" t="s">
        <v>11482</v>
      </c>
      <c r="B9469" t="s">
        <v>1892</v>
      </c>
      <c r="C9469" t="s">
        <v>2001</v>
      </c>
      <c r="D9469">
        <v>2</v>
      </c>
      <c r="E9469" s="16">
        <v>600.16</v>
      </c>
      <c r="F9469" s="1">
        <v>44920</v>
      </c>
      <c r="G9469" t="s">
        <v>2064</v>
      </c>
      <c r="H9469">
        <v>5</v>
      </c>
      <c r="I9469" s="12">
        <f>Table16[[#This Row],[price]]*Table16[[#This Row],[quantity]]</f>
        <v>1200.32</v>
      </c>
    </row>
    <row r="9470" spans="1:9" x14ac:dyDescent="0.3">
      <c r="A9470" t="s">
        <v>11488</v>
      </c>
      <c r="B9470" t="s">
        <v>1893</v>
      </c>
      <c r="C9470" t="s">
        <v>2001</v>
      </c>
      <c r="D9470">
        <v>1</v>
      </c>
      <c r="E9470" s="16">
        <v>300.08</v>
      </c>
      <c r="F9470" s="1">
        <v>44199</v>
      </c>
      <c r="G9470" t="s">
        <v>2009</v>
      </c>
      <c r="H9470">
        <v>3</v>
      </c>
      <c r="I9470" s="12">
        <f>Table16[[#This Row],[price]]*Table16[[#This Row],[quantity]]</f>
        <v>300.08</v>
      </c>
    </row>
    <row r="9471" spans="1:9" x14ac:dyDescent="0.3">
      <c r="A9471" t="s">
        <v>11486</v>
      </c>
      <c r="B9471" t="s">
        <v>1893</v>
      </c>
      <c r="C9471" t="s">
        <v>2001</v>
      </c>
      <c r="D9471">
        <v>5</v>
      </c>
      <c r="E9471" s="16">
        <v>1500.4</v>
      </c>
      <c r="F9471" s="1">
        <v>44490</v>
      </c>
      <c r="G9471" t="s">
        <v>2027</v>
      </c>
      <c r="H9471">
        <v>5</v>
      </c>
      <c r="I9471" s="12">
        <f>Table16[[#This Row],[price]]*Table16[[#This Row],[quantity]]</f>
        <v>7502</v>
      </c>
    </row>
    <row r="9472" spans="1:9" x14ac:dyDescent="0.3">
      <c r="A9472" t="s">
        <v>11489</v>
      </c>
      <c r="B9472" t="s">
        <v>1893</v>
      </c>
      <c r="C9472" t="s">
        <v>2011</v>
      </c>
      <c r="D9472">
        <v>5</v>
      </c>
      <c r="E9472" s="16">
        <v>203.3</v>
      </c>
      <c r="F9472" s="1">
        <v>44611</v>
      </c>
      <c r="G9472" t="s">
        <v>2064</v>
      </c>
      <c r="H9472">
        <v>1</v>
      </c>
      <c r="I9472" s="12">
        <f>Table16[[#This Row],[price]]*Table16[[#This Row],[quantity]]</f>
        <v>1016.5</v>
      </c>
    </row>
    <row r="9473" spans="1:9" x14ac:dyDescent="0.3">
      <c r="A9473" t="s">
        <v>11487</v>
      </c>
      <c r="B9473" t="s">
        <v>1893</v>
      </c>
      <c r="C9473" t="s">
        <v>2011</v>
      </c>
      <c r="D9473">
        <v>2</v>
      </c>
      <c r="E9473" s="16">
        <v>81.319999999999993</v>
      </c>
      <c r="F9473" s="1">
        <v>44911</v>
      </c>
      <c r="G9473" t="s">
        <v>2002</v>
      </c>
      <c r="H9473">
        <v>5</v>
      </c>
      <c r="I9473" s="12">
        <f>Table16[[#This Row],[price]]*Table16[[#This Row],[quantity]]</f>
        <v>162.63999999999999</v>
      </c>
    </row>
    <row r="9474" spans="1:9" x14ac:dyDescent="0.3">
      <c r="A9474" t="s">
        <v>11494</v>
      </c>
      <c r="B9474" t="s">
        <v>1894</v>
      </c>
      <c r="C9474" t="s">
        <v>2001</v>
      </c>
      <c r="D9474">
        <v>2</v>
      </c>
      <c r="E9474" s="16">
        <v>600.16</v>
      </c>
      <c r="F9474" s="1">
        <v>44233</v>
      </c>
      <c r="G9474" t="s">
        <v>2002</v>
      </c>
      <c r="H9474">
        <v>5</v>
      </c>
      <c r="I9474" s="12">
        <f>Table16[[#This Row],[price]]*Table16[[#This Row],[quantity]]</f>
        <v>1200.32</v>
      </c>
    </row>
    <row r="9475" spans="1:9" x14ac:dyDescent="0.3">
      <c r="A9475" t="s">
        <v>11493</v>
      </c>
      <c r="B9475" t="s">
        <v>1894</v>
      </c>
      <c r="C9475" t="s">
        <v>2001</v>
      </c>
      <c r="D9475">
        <v>4</v>
      </c>
      <c r="E9475" s="16">
        <v>1200.32</v>
      </c>
      <c r="F9475" s="1">
        <v>44597</v>
      </c>
      <c r="G9475" t="s">
        <v>2004</v>
      </c>
      <c r="H9475">
        <v>5</v>
      </c>
      <c r="I9475" s="12">
        <f>Table16[[#This Row],[price]]*Table16[[#This Row],[quantity]]</f>
        <v>4801.28</v>
      </c>
    </row>
    <row r="9476" spans="1:9" x14ac:dyDescent="0.3">
      <c r="A9476" t="s">
        <v>11496</v>
      </c>
      <c r="B9476" t="s">
        <v>1894</v>
      </c>
      <c r="C9476" t="s">
        <v>2011</v>
      </c>
      <c r="D9476">
        <v>3</v>
      </c>
      <c r="E9476" s="16">
        <v>121.98</v>
      </c>
      <c r="F9476" s="1">
        <v>44722</v>
      </c>
      <c r="G9476" t="s">
        <v>2004</v>
      </c>
      <c r="H9476">
        <v>4</v>
      </c>
      <c r="I9476" s="12">
        <f>Table16[[#This Row],[price]]*Table16[[#This Row],[quantity]]</f>
        <v>365.94</v>
      </c>
    </row>
    <row r="9477" spans="1:9" x14ac:dyDescent="0.3">
      <c r="A9477" t="s">
        <v>11490</v>
      </c>
      <c r="B9477" t="s">
        <v>1894</v>
      </c>
      <c r="C9477" t="s">
        <v>2006</v>
      </c>
      <c r="D9477">
        <v>4</v>
      </c>
      <c r="E9477" s="16">
        <v>60.6</v>
      </c>
      <c r="F9477" s="1">
        <v>44736</v>
      </c>
      <c r="G9477" t="s">
        <v>2020</v>
      </c>
      <c r="H9477">
        <v>2</v>
      </c>
      <c r="I9477" s="12">
        <f>Table16[[#This Row],[price]]*Table16[[#This Row],[quantity]]</f>
        <v>242.4</v>
      </c>
    </row>
    <row r="9478" spans="1:9" x14ac:dyDescent="0.3">
      <c r="A9478" t="s">
        <v>11491</v>
      </c>
      <c r="B9478" t="s">
        <v>1894</v>
      </c>
      <c r="C9478" t="s">
        <v>2011</v>
      </c>
      <c r="D9478">
        <v>2</v>
      </c>
      <c r="E9478" s="16">
        <v>81.319999999999993</v>
      </c>
      <c r="F9478" s="1">
        <v>44770</v>
      </c>
      <c r="G9478" t="s">
        <v>2064</v>
      </c>
      <c r="H9478">
        <v>5</v>
      </c>
      <c r="I9478" s="12">
        <f>Table16[[#This Row],[price]]*Table16[[#This Row],[quantity]]</f>
        <v>162.63999999999999</v>
      </c>
    </row>
    <row r="9479" spans="1:9" x14ac:dyDescent="0.3">
      <c r="A9479" t="s">
        <v>11495</v>
      </c>
      <c r="B9479" t="s">
        <v>1894</v>
      </c>
      <c r="C9479" t="s">
        <v>2001</v>
      </c>
      <c r="D9479">
        <v>4</v>
      </c>
      <c r="E9479" s="16">
        <v>1200.32</v>
      </c>
      <c r="F9479" s="1">
        <v>44777</v>
      </c>
      <c r="G9479" t="s">
        <v>2027</v>
      </c>
      <c r="H9479">
        <v>5</v>
      </c>
      <c r="I9479" s="12">
        <f>Table16[[#This Row],[price]]*Table16[[#This Row],[quantity]]</f>
        <v>4801.28</v>
      </c>
    </row>
    <row r="9480" spans="1:9" x14ac:dyDescent="0.3">
      <c r="A9480" t="s">
        <v>11492</v>
      </c>
      <c r="B9480" t="s">
        <v>1894</v>
      </c>
      <c r="C9480" t="s">
        <v>2008</v>
      </c>
      <c r="D9480">
        <v>4</v>
      </c>
      <c r="E9480" s="16">
        <v>20.92</v>
      </c>
      <c r="F9480" s="1">
        <v>44820</v>
      </c>
      <c r="G9480" t="s">
        <v>2018</v>
      </c>
      <c r="H9480">
        <v>3</v>
      </c>
      <c r="I9480" s="12">
        <f>Table16[[#This Row],[price]]*Table16[[#This Row],[quantity]]</f>
        <v>83.68</v>
      </c>
    </row>
    <row r="9481" spans="1:9" x14ac:dyDescent="0.3">
      <c r="A9481" t="s">
        <v>11499</v>
      </c>
      <c r="B9481" t="s">
        <v>1895</v>
      </c>
      <c r="C9481" t="s">
        <v>2015</v>
      </c>
      <c r="D9481">
        <v>4</v>
      </c>
      <c r="E9481" s="16">
        <v>2400.6799999999998</v>
      </c>
      <c r="F9481" s="1">
        <v>44239</v>
      </c>
      <c r="G9481" t="s">
        <v>2058</v>
      </c>
      <c r="H9481">
        <v>5</v>
      </c>
      <c r="I9481" s="12">
        <f>Table16[[#This Row],[price]]*Table16[[#This Row],[quantity]]</f>
        <v>9602.7199999999993</v>
      </c>
    </row>
    <row r="9482" spans="1:9" x14ac:dyDescent="0.3">
      <c r="A9482" t="s">
        <v>11497</v>
      </c>
      <c r="B9482" t="s">
        <v>1895</v>
      </c>
      <c r="C9482" t="s">
        <v>2001</v>
      </c>
      <c r="D9482">
        <v>3</v>
      </c>
      <c r="E9482" s="16">
        <v>900.24</v>
      </c>
      <c r="F9482" s="1">
        <v>44462</v>
      </c>
      <c r="G9482" t="s">
        <v>2027</v>
      </c>
      <c r="H9482">
        <v>1</v>
      </c>
      <c r="I9482" s="12">
        <f>Table16[[#This Row],[price]]*Table16[[#This Row],[quantity]]</f>
        <v>2700.7200000000003</v>
      </c>
    </row>
    <row r="9483" spans="1:9" x14ac:dyDescent="0.3">
      <c r="A9483" t="s">
        <v>11498</v>
      </c>
      <c r="B9483" t="s">
        <v>1895</v>
      </c>
      <c r="C9483" t="s">
        <v>2001</v>
      </c>
      <c r="D9483">
        <v>1</v>
      </c>
      <c r="E9483" s="16">
        <v>300.08</v>
      </c>
      <c r="F9483" s="1">
        <v>44622</v>
      </c>
      <c r="G9483" t="s">
        <v>2004</v>
      </c>
      <c r="H9483">
        <v>4</v>
      </c>
      <c r="I9483" s="12">
        <f>Table16[[#This Row],[price]]*Table16[[#This Row],[quantity]]</f>
        <v>300.08</v>
      </c>
    </row>
    <row r="9484" spans="1:9" x14ac:dyDescent="0.3">
      <c r="A9484" t="s">
        <v>11500</v>
      </c>
      <c r="B9484" t="s">
        <v>1896</v>
      </c>
      <c r="C9484" t="s">
        <v>2024</v>
      </c>
      <c r="D9484">
        <v>3</v>
      </c>
      <c r="E9484" s="16">
        <v>107.52</v>
      </c>
      <c r="F9484" s="1">
        <v>44245</v>
      </c>
      <c r="G9484" t="s">
        <v>2027</v>
      </c>
      <c r="H9484">
        <v>3</v>
      </c>
      <c r="I9484" s="12">
        <f>Table16[[#This Row],[price]]*Table16[[#This Row],[quantity]]</f>
        <v>322.56</v>
      </c>
    </row>
    <row r="9485" spans="1:9" x14ac:dyDescent="0.3">
      <c r="A9485" t="s">
        <v>11501</v>
      </c>
      <c r="B9485" t="s">
        <v>1896</v>
      </c>
      <c r="C9485" t="s">
        <v>2001</v>
      </c>
      <c r="D9485">
        <v>2</v>
      </c>
      <c r="E9485" s="16">
        <v>600.16</v>
      </c>
      <c r="F9485" s="1">
        <v>44460</v>
      </c>
      <c r="G9485" t="s">
        <v>2027</v>
      </c>
      <c r="H9485">
        <v>1</v>
      </c>
      <c r="I9485" s="12">
        <f>Table16[[#This Row],[price]]*Table16[[#This Row],[quantity]]</f>
        <v>1200.32</v>
      </c>
    </row>
    <row r="9486" spans="1:9" x14ac:dyDescent="0.3">
      <c r="A9486" t="s">
        <v>11502</v>
      </c>
      <c r="B9486" t="s">
        <v>1896</v>
      </c>
      <c r="C9486" t="s">
        <v>2008</v>
      </c>
      <c r="D9486">
        <v>2</v>
      </c>
      <c r="E9486" s="16">
        <v>10.46</v>
      </c>
      <c r="F9486" s="1">
        <v>44974</v>
      </c>
      <c r="G9486" t="s">
        <v>2004</v>
      </c>
      <c r="H9486">
        <v>4</v>
      </c>
      <c r="I9486" s="12">
        <f>Table16[[#This Row],[price]]*Table16[[#This Row],[quantity]]</f>
        <v>20.92</v>
      </c>
    </row>
    <row r="9487" spans="1:9" x14ac:dyDescent="0.3">
      <c r="A9487" t="s">
        <v>11507</v>
      </c>
      <c r="B9487" t="s">
        <v>1897</v>
      </c>
      <c r="C9487" t="s">
        <v>2015</v>
      </c>
      <c r="D9487">
        <v>4</v>
      </c>
      <c r="E9487" s="16">
        <v>2400.6799999999998</v>
      </c>
      <c r="F9487" s="1">
        <v>44467</v>
      </c>
      <c r="G9487" t="s">
        <v>2027</v>
      </c>
      <c r="H9487">
        <v>5</v>
      </c>
      <c r="I9487" s="12">
        <f>Table16[[#This Row],[price]]*Table16[[#This Row],[quantity]]</f>
        <v>9602.7199999999993</v>
      </c>
    </row>
    <row r="9488" spans="1:9" x14ac:dyDescent="0.3">
      <c r="A9488" t="s">
        <v>11503</v>
      </c>
      <c r="B9488" t="s">
        <v>1897</v>
      </c>
      <c r="C9488" t="s">
        <v>2001</v>
      </c>
      <c r="D9488">
        <v>5</v>
      </c>
      <c r="E9488" s="16">
        <v>1500.4</v>
      </c>
      <c r="F9488" s="1">
        <v>44506</v>
      </c>
      <c r="G9488" t="s">
        <v>2020</v>
      </c>
      <c r="H9488">
        <v>5</v>
      </c>
      <c r="I9488" s="12">
        <f>Table16[[#This Row],[price]]*Table16[[#This Row],[quantity]]</f>
        <v>7502</v>
      </c>
    </row>
    <row r="9489" spans="1:9" x14ac:dyDescent="0.3">
      <c r="A9489" t="s">
        <v>11505</v>
      </c>
      <c r="B9489" t="s">
        <v>1897</v>
      </c>
      <c r="C9489" t="s">
        <v>2001</v>
      </c>
      <c r="D9489">
        <v>3</v>
      </c>
      <c r="E9489" s="16">
        <v>900.24</v>
      </c>
      <c r="F9489" s="1">
        <v>44700</v>
      </c>
      <c r="G9489" t="s">
        <v>2064</v>
      </c>
      <c r="H9489">
        <v>5</v>
      </c>
      <c r="I9489" s="12">
        <f>Table16[[#This Row],[price]]*Table16[[#This Row],[quantity]]</f>
        <v>2700.7200000000003</v>
      </c>
    </row>
    <row r="9490" spans="1:9" x14ac:dyDescent="0.3">
      <c r="A9490" t="s">
        <v>11504</v>
      </c>
      <c r="B9490" t="s">
        <v>1897</v>
      </c>
      <c r="C9490" t="s">
        <v>2001</v>
      </c>
      <c r="D9490">
        <v>5</v>
      </c>
      <c r="E9490" s="16">
        <v>1500.4</v>
      </c>
      <c r="F9490" s="1">
        <v>44949</v>
      </c>
      <c r="G9490" t="s">
        <v>2020</v>
      </c>
      <c r="H9490">
        <v>1</v>
      </c>
      <c r="I9490" s="12">
        <f>Table16[[#This Row],[price]]*Table16[[#This Row],[quantity]]</f>
        <v>7502</v>
      </c>
    </row>
    <row r="9491" spans="1:9" x14ac:dyDescent="0.3">
      <c r="A9491" t="s">
        <v>11506</v>
      </c>
      <c r="B9491" t="s">
        <v>1897</v>
      </c>
      <c r="C9491" t="s">
        <v>2011</v>
      </c>
      <c r="D9491">
        <v>4</v>
      </c>
      <c r="E9491" s="16">
        <v>162.63999999999999</v>
      </c>
      <c r="F9491" s="1">
        <v>44973</v>
      </c>
      <c r="G9491" t="s">
        <v>2009</v>
      </c>
      <c r="H9491">
        <v>5</v>
      </c>
      <c r="I9491" s="12">
        <f>Table16[[#This Row],[price]]*Table16[[#This Row],[quantity]]</f>
        <v>650.55999999999995</v>
      </c>
    </row>
    <row r="9492" spans="1:9" x14ac:dyDescent="0.3">
      <c r="A9492" t="s">
        <v>11508</v>
      </c>
      <c r="B9492" t="s">
        <v>1898</v>
      </c>
      <c r="C9492" t="s">
        <v>2001</v>
      </c>
      <c r="D9492">
        <v>4</v>
      </c>
      <c r="E9492" s="16">
        <v>1200.32</v>
      </c>
      <c r="F9492" s="1">
        <v>44505</v>
      </c>
      <c r="G9492" t="s">
        <v>2002</v>
      </c>
      <c r="H9492">
        <v>1</v>
      </c>
      <c r="I9492" s="12">
        <f>Table16[[#This Row],[price]]*Table16[[#This Row],[quantity]]</f>
        <v>4801.28</v>
      </c>
    </row>
    <row r="9493" spans="1:9" x14ac:dyDescent="0.3">
      <c r="A9493" t="s">
        <v>11510</v>
      </c>
      <c r="B9493" t="s">
        <v>1898</v>
      </c>
      <c r="C9493" t="s">
        <v>2024</v>
      </c>
      <c r="D9493">
        <v>2</v>
      </c>
      <c r="E9493" s="16">
        <v>71.680000000000007</v>
      </c>
      <c r="F9493" s="1">
        <v>44512</v>
      </c>
      <c r="G9493" t="s">
        <v>2018</v>
      </c>
      <c r="H9493">
        <v>4</v>
      </c>
      <c r="I9493" s="12">
        <f>Table16[[#This Row],[price]]*Table16[[#This Row],[quantity]]</f>
        <v>143.36000000000001</v>
      </c>
    </row>
    <row r="9494" spans="1:9" x14ac:dyDescent="0.3">
      <c r="A9494" t="s">
        <v>11511</v>
      </c>
      <c r="B9494" t="s">
        <v>1898</v>
      </c>
      <c r="C9494" t="s">
        <v>2008</v>
      </c>
      <c r="D9494">
        <v>4</v>
      </c>
      <c r="E9494" s="16">
        <v>20.92</v>
      </c>
      <c r="F9494" s="1">
        <v>44714</v>
      </c>
      <c r="G9494" t="s">
        <v>2027</v>
      </c>
      <c r="H9494">
        <v>4</v>
      </c>
      <c r="I9494" s="12">
        <f>Table16[[#This Row],[price]]*Table16[[#This Row],[quantity]]</f>
        <v>83.68</v>
      </c>
    </row>
    <row r="9495" spans="1:9" x14ac:dyDescent="0.3">
      <c r="A9495" t="s">
        <v>11512</v>
      </c>
      <c r="B9495" t="s">
        <v>1898</v>
      </c>
      <c r="C9495" t="s">
        <v>2006</v>
      </c>
      <c r="D9495">
        <v>4</v>
      </c>
      <c r="E9495" s="16">
        <v>60.6</v>
      </c>
      <c r="F9495" s="1">
        <v>44756</v>
      </c>
      <c r="G9495" t="s">
        <v>2020</v>
      </c>
      <c r="H9495">
        <v>1</v>
      </c>
      <c r="I9495" s="12">
        <f>Table16[[#This Row],[price]]*Table16[[#This Row],[quantity]]</f>
        <v>242.4</v>
      </c>
    </row>
    <row r="9496" spans="1:9" x14ac:dyDescent="0.3">
      <c r="A9496" t="s">
        <v>11509</v>
      </c>
      <c r="B9496" t="s">
        <v>1898</v>
      </c>
      <c r="C9496" t="s">
        <v>2001</v>
      </c>
      <c r="D9496">
        <v>5</v>
      </c>
      <c r="E9496" s="16">
        <v>1500.4</v>
      </c>
      <c r="F9496" s="1">
        <v>44845</v>
      </c>
      <c r="G9496" t="s">
        <v>2027</v>
      </c>
      <c r="H9496">
        <v>5</v>
      </c>
      <c r="I9496" s="12">
        <f>Table16[[#This Row],[price]]*Table16[[#This Row],[quantity]]</f>
        <v>7502</v>
      </c>
    </row>
    <row r="9497" spans="1:9" x14ac:dyDescent="0.3">
      <c r="A9497" t="s">
        <v>11513</v>
      </c>
      <c r="B9497" t="s">
        <v>1899</v>
      </c>
      <c r="C9497" t="s">
        <v>2001</v>
      </c>
      <c r="D9497">
        <v>4</v>
      </c>
      <c r="E9497" s="16">
        <v>1200.32</v>
      </c>
      <c r="F9497" s="1">
        <v>44226</v>
      </c>
      <c r="G9497" t="s">
        <v>2027</v>
      </c>
      <c r="H9497">
        <v>2</v>
      </c>
      <c r="I9497" s="12">
        <f>Table16[[#This Row],[price]]*Table16[[#This Row],[quantity]]</f>
        <v>4801.28</v>
      </c>
    </row>
    <row r="9498" spans="1:9" x14ac:dyDescent="0.3">
      <c r="A9498" t="s">
        <v>11516</v>
      </c>
      <c r="B9498" t="s">
        <v>1899</v>
      </c>
      <c r="C9498" t="s">
        <v>2006</v>
      </c>
      <c r="D9498">
        <v>1</v>
      </c>
      <c r="E9498" s="16">
        <v>15.15</v>
      </c>
      <c r="F9498" s="1">
        <v>44275</v>
      </c>
      <c r="G9498" t="s">
        <v>2018</v>
      </c>
      <c r="H9498">
        <v>5</v>
      </c>
      <c r="I9498" s="12">
        <f>Table16[[#This Row],[price]]*Table16[[#This Row],[quantity]]</f>
        <v>15.15</v>
      </c>
    </row>
    <row r="9499" spans="1:9" x14ac:dyDescent="0.3">
      <c r="A9499" t="s">
        <v>11517</v>
      </c>
      <c r="B9499" t="s">
        <v>1899</v>
      </c>
      <c r="C9499" t="s">
        <v>2008</v>
      </c>
      <c r="D9499">
        <v>2</v>
      </c>
      <c r="E9499" s="16">
        <v>10.46</v>
      </c>
      <c r="F9499" s="1">
        <v>44353</v>
      </c>
      <c r="G9499" t="s">
        <v>2027</v>
      </c>
      <c r="H9499">
        <v>4</v>
      </c>
      <c r="I9499" s="12">
        <f>Table16[[#This Row],[price]]*Table16[[#This Row],[quantity]]</f>
        <v>20.92</v>
      </c>
    </row>
    <row r="9500" spans="1:9" x14ac:dyDescent="0.3">
      <c r="A9500" t="s">
        <v>11515</v>
      </c>
      <c r="B9500" t="s">
        <v>1899</v>
      </c>
      <c r="C9500" t="s">
        <v>2015</v>
      </c>
      <c r="D9500">
        <v>2</v>
      </c>
      <c r="E9500" s="16">
        <v>1200.3399999999999</v>
      </c>
      <c r="F9500" s="1">
        <v>44358</v>
      </c>
      <c r="G9500" t="s">
        <v>2002</v>
      </c>
      <c r="H9500">
        <v>4</v>
      </c>
      <c r="I9500" s="12">
        <f>Table16[[#This Row],[price]]*Table16[[#This Row],[quantity]]</f>
        <v>2400.6799999999998</v>
      </c>
    </row>
    <row r="9501" spans="1:9" x14ac:dyDescent="0.3">
      <c r="A9501" t="s">
        <v>11520</v>
      </c>
      <c r="B9501" t="s">
        <v>1899</v>
      </c>
      <c r="C9501" t="s">
        <v>2001</v>
      </c>
      <c r="D9501">
        <v>1</v>
      </c>
      <c r="E9501" s="16">
        <v>300.08</v>
      </c>
      <c r="F9501" s="1">
        <v>44526</v>
      </c>
      <c r="G9501" t="s">
        <v>2004</v>
      </c>
      <c r="H9501">
        <v>2</v>
      </c>
      <c r="I9501" s="12">
        <f>Table16[[#This Row],[price]]*Table16[[#This Row],[quantity]]</f>
        <v>300.08</v>
      </c>
    </row>
    <row r="9502" spans="1:9" x14ac:dyDescent="0.3">
      <c r="A9502" t="s">
        <v>11514</v>
      </c>
      <c r="B9502" t="s">
        <v>1899</v>
      </c>
      <c r="C9502" t="s">
        <v>2008</v>
      </c>
      <c r="D9502">
        <v>3</v>
      </c>
      <c r="E9502" s="16">
        <v>15.69</v>
      </c>
      <c r="F9502" s="1">
        <v>44590</v>
      </c>
      <c r="G9502" t="s">
        <v>2002</v>
      </c>
      <c r="H9502">
        <v>3</v>
      </c>
      <c r="I9502" s="12">
        <f>Table16[[#This Row],[price]]*Table16[[#This Row],[quantity]]</f>
        <v>47.07</v>
      </c>
    </row>
    <row r="9503" spans="1:9" x14ac:dyDescent="0.3">
      <c r="A9503" t="s">
        <v>11519</v>
      </c>
      <c r="B9503" t="s">
        <v>1899</v>
      </c>
      <c r="C9503" t="s">
        <v>2001</v>
      </c>
      <c r="D9503">
        <v>2</v>
      </c>
      <c r="E9503" s="16">
        <v>600.16</v>
      </c>
      <c r="F9503" s="1">
        <v>44757</v>
      </c>
      <c r="G9503" t="s">
        <v>2020</v>
      </c>
      <c r="H9503">
        <v>3</v>
      </c>
      <c r="I9503" s="12">
        <f>Table16[[#This Row],[price]]*Table16[[#This Row],[quantity]]</f>
        <v>1200.32</v>
      </c>
    </row>
    <row r="9504" spans="1:9" x14ac:dyDescent="0.3">
      <c r="A9504" t="s">
        <v>11518</v>
      </c>
      <c r="B9504" t="s">
        <v>1899</v>
      </c>
      <c r="C9504" t="s">
        <v>2001</v>
      </c>
      <c r="D9504">
        <v>2</v>
      </c>
      <c r="E9504" s="16">
        <v>600.16</v>
      </c>
      <c r="F9504" s="1">
        <v>44972</v>
      </c>
      <c r="G9504" t="s">
        <v>2004</v>
      </c>
      <c r="H9504">
        <v>2</v>
      </c>
      <c r="I9504" s="12">
        <f>Table16[[#This Row],[price]]*Table16[[#This Row],[quantity]]</f>
        <v>1200.32</v>
      </c>
    </row>
    <row r="9505" spans="1:9" x14ac:dyDescent="0.3">
      <c r="A9505" t="s">
        <v>11523</v>
      </c>
      <c r="B9505" t="s">
        <v>1900</v>
      </c>
      <c r="C9505" t="s">
        <v>2011</v>
      </c>
      <c r="D9505">
        <v>2</v>
      </c>
      <c r="E9505" s="16">
        <v>81.319999999999993</v>
      </c>
      <c r="F9505" s="1">
        <v>44362</v>
      </c>
      <c r="G9505" t="s">
        <v>2027</v>
      </c>
      <c r="H9505">
        <v>4</v>
      </c>
      <c r="I9505" s="12">
        <f>Table16[[#This Row],[price]]*Table16[[#This Row],[quantity]]</f>
        <v>162.63999999999999</v>
      </c>
    </row>
    <row r="9506" spans="1:9" x14ac:dyDescent="0.3">
      <c r="A9506" t="s">
        <v>11526</v>
      </c>
      <c r="B9506" t="s">
        <v>1900</v>
      </c>
      <c r="C9506" t="s">
        <v>2008</v>
      </c>
      <c r="D9506">
        <v>4</v>
      </c>
      <c r="E9506" s="16">
        <v>20.92</v>
      </c>
      <c r="F9506" s="1">
        <v>44444</v>
      </c>
      <c r="G9506" t="s">
        <v>2020</v>
      </c>
      <c r="H9506">
        <v>3</v>
      </c>
      <c r="I9506" s="12">
        <f>Table16[[#This Row],[price]]*Table16[[#This Row],[quantity]]</f>
        <v>83.68</v>
      </c>
    </row>
    <row r="9507" spans="1:9" x14ac:dyDescent="0.3">
      <c r="A9507" t="s">
        <v>11525</v>
      </c>
      <c r="B9507" t="s">
        <v>1900</v>
      </c>
      <c r="C9507" t="s">
        <v>2008</v>
      </c>
      <c r="D9507">
        <v>2</v>
      </c>
      <c r="E9507" s="16">
        <v>10.46</v>
      </c>
      <c r="F9507" s="1">
        <v>44529</v>
      </c>
      <c r="G9507" t="s">
        <v>2064</v>
      </c>
      <c r="H9507">
        <v>5</v>
      </c>
      <c r="I9507" s="12">
        <f>Table16[[#This Row],[price]]*Table16[[#This Row],[quantity]]</f>
        <v>20.92</v>
      </c>
    </row>
    <row r="9508" spans="1:9" x14ac:dyDescent="0.3">
      <c r="A9508" t="s">
        <v>11524</v>
      </c>
      <c r="B9508" t="s">
        <v>1900</v>
      </c>
      <c r="C9508" t="s">
        <v>2001</v>
      </c>
      <c r="D9508">
        <v>5</v>
      </c>
      <c r="E9508" s="16">
        <v>1500.4</v>
      </c>
      <c r="F9508" s="1">
        <v>44572</v>
      </c>
      <c r="G9508" t="s">
        <v>2004</v>
      </c>
      <c r="H9508">
        <v>3</v>
      </c>
      <c r="I9508" s="12">
        <f>Table16[[#This Row],[price]]*Table16[[#This Row],[quantity]]</f>
        <v>7502</v>
      </c>
    </row>
    <row r="9509" spans="1:9" x14ac:dyDescent="0.3">
      <c r="A9509" t="s">
        <v>11522</v>
      </c>
      <c r="B9509" t="s">
        <v>1900</v>
      </c>
      <c r="C9509" t="s">
        <v>2011</v>
      </c>
      <c r="D9509">
        <v>4</v>
      </c>
      <c r="E9509" s="16">
        <v>162.63999999999999</v>
      </c>
      <c r="F9509" s="1">
        <v>44619</v>
      </c>
      <c r="G9509" t="s">
        <v>2058</v>
      </c>
      <c r="H9509">
        <v>5</v>
      </c>
      <c r="I9509" s="12">
        <f>Table16[[#This Row],[price]]*Table16[[#This Row],[quantity]]</f>
        <v>650.55999999999995</v>
      </c>
    </row>
    <row r="9510" spans="1:9" x14ac:dyDescent="0.3">
      <c r="A9510" t="s">
        <v>11528</v>
      </c>
      <c r="B9510" t="s">
        <v>1900</v>
      </c>
      <c r="C9510" t="s">
        <v>2008</v>
      </c>
      <c r="D9510">
        <v>1</v>
      </c>
      <c r="E9510" s="16">
        <v>5.23</v>
      </c>
      <c r="F9510" s="1">
        <v>44630</v>
      </c>
      <c r="G9510" t="s">
        <v>2027</v>
      </c>
      <c r="H9510">
        <v>5</v>
      </c>
      <c r="I9510" s="12">
        <f>Table16[[#This Row],[price]]*Table16[[#This Row],[quantity]]</f>
        <v>5.23</v>
      </c>
    </row>
    <row r="9511" spans="1:9" x14ac:dyDescent="0.3">
      <c r="A9511" t="s">
        <v>11521</v>
      </c>
      <c r="B9511" t="s">
        <v>1900</v>
      </c>
      <c r="C9511" t="s">
        <v>2001</v>
      </c>
      <c r="D9511">
        <v>2</v>
      </c>
      <c r="E9511" s="16">
        <v>600.16</v>
      </c>
      <c r="F9511" s="1">
        <v>44658</v>
      </c>
      <c r="G9511" t="s">
        <v>2018</v>
      </c>
      <c r="H9511">
        <v>1</v>
      </c>
      <c r="I9511" s="12">
        <f>Table16[[#This Row],[price]]*Table16[[#This Row],[quantity]]</f>
        <v>1200.32</v>
      </c>
    </row>
    <row r="9512" spans="1:9" x14ac:dyDescent="0.3">
      <c r="A9512" t="s">
        <v>11527</v>
      </c>
      <c r="B9512" t="s">
        <v>1900</v>
      </c>
      <c r="C9512" t="s">
        <v>2001</v>
      </c>
      <c r="D9512">
        <v>3</v>
      </c>
      <c r="E9512" s="16">
        <v>900.24</v>
      </c>
      <c r="F9512" s="1">
        <v>44741</v>
      </c>
      <c r="G9512" t="s">
        <v>2002</v>
      </c>
      <c r="H9512">
        <v>5</v>
      </c>
      <c r="I9512" s="12">
        <f>Table16[[#This Row],[price]]*Table16[[#This Row],[quantity]]</f>
        <v>2700.7200000000003</v>
      </c>
    </row>
    <row r="9513" spans="1:9" x14ac:dyDescent="0.3">
      <c r="A9513" t="s">
        <v>11529</v>
      </c>
      <c r="B9513" t="s">
        <v>1901</v>
      </c>
      <c r="C9513" t="s">
        <v>2001</v>
      </c>
      <c r="D9513">
        <v>2</v>
      </c>
      <c r="E9513" s="16">
        <v>600.16</v>
      </c>
      <c r="F9513" s="1">
        <v>44374</v>
      </c>
      <c r="G9513" t="s">
        <v>2018</v>
      </c>
      <c r="H9513">
        <v>3</v>
      </c>
      <c r="I9513" s="12">
        <f>Table16[[#This Row],[price]]*Table16[[#This Row],[quantity]]</f>
        <v>1200.32</v>
      </c>
    </row>
    <row r="9514" spans="1:9" x14ac:dyDescent="0.3">
      <c r="A9514" t="s">
        <v>11530</v>
      </c>
      <c r="B9514" t="s">
        <v>1901</v>
      </c>
      <c r="C9514" t="s">
        <v>2057</v>
      </c>
      <c r="D9514">
        <v>4</v>
      </c>
      <c r="E9514" s="16">
        <v>46.92</v>
      </c>
      <c r="F9514" s="1">
        <v>44889</v>
      </c>
      <c r="G9514" t="s">
        <v>2002</v>
      </c>
      <c r="H9514">
        <v>3</v>
      </c>
      <c r="I9514" s="12">
        <f>Table16[[#This Row],[price]]*Table16[[#This Row],[quantity]]</f>
        <v>187.68</v>
      </c>
    </row>
    <row r="9515" spans="1:9" x14ac:dyDescent="0.3">
      <c r="A9515" t="s">
        <v>11531</v>
      </c>
      <c r="B9515" t="s">
        <v>1902</v>
      </c>
      <c r="C9515" t="s">
        <v>2001</v>
      </c>
      <c r="D9515">
        <v>3</v>
      </c>
      <c r="E9515" s="16">
        <v>900.24</v>
      </c>
      <c r="F9515" s="1">
        <v>44270</v>
      </c>
      <c r="G9515" t="s">
        <v>2027</v>
      </c>
      <c r="H9515">
        <v>1</v>
      </c>
      <c r="I9515" s="12">
        <f>Table16[[#This Row],[price]]*Table16[[#This Row],[quantity]]</f>
        <v>2700.7200000000003</v>
      </c>
    </row>
    <row r="9516" spans="1:9" x14ac:dyDescent="0.3">
      <c r="A9516" t="s">
        <v>11532</v>
      </c>
      <c r="B9516" t="s">
        <v>1902</v>
      </c>
      <c r="C9516" t="s">
        <v>2015</v>
      </c>
      <c r="D9516">
        <v>1</v>
      </c>
      <c r="E9516" s="16">
        <v>600.16999999999996</v>
      </c>
      <c r="F9516" s="1">
        <v>44336</v>
      </c>
      <c r="G9516" t="s">
        <v>2064</v>
      </c>
      <c r="H9516">
        <v>1</v>
      </c>
      <c r="I9516" s="12">
        <f>Table16[[#This Row],[price]]*Table16[[#This Row],[quantity]]</f>
        <v>600.16999999999996</v>
      </c>
    </row>
    <row r="9517" spans="1:9" x14ac:dyDescent="0.3">
      <c r="A9517" t="s">
        <v>11533</v>
      </c>
      <c r="B9517" t="s">
        <v>1902</v>
      </c>
      <c r="C9517" t="s">
        <v>2017</v>
      </c>
      <c r="D9517">
        <v>3</v>
      </c>
      <c r="E9517" s="16">
        <v>3150</v>
      </c>
      <c r="F9517" s="1">
        <v>44372</v>
      </c>
      <c r="G9517" t="s">
        <v>2002</v>
      </c>
      <c r="H9517">
        <v>2</v>
      </c>
      <c r="I9517" s="12">
        <f>Table16[[#This Row],[price]]*Table16[[#This Row],[quantity]]</f>
        <v>9450</v>
      </c>
    </row>
    <row r="9518" spans="1:9" x14ac:dyDescent="0.3">
      <c r="A9518" t="s">
        <v>11535</v>
      </c>
      <c r="B9518" t="s">
        <v>1903</v>
      </c>
      <c r="C9518" t="s">
        <v>2015</v>
      </c>
      <c r="D9518">
        <v>2</v>
      </c>
      <c r="E9518" s="16">
        <v>1200.3399999999999</v>
      </c>
      <c r="F9518" s="1">
        <v>44787</v>
      </c>
      <c r="G9518" t="s">
        <v>2002</v>
      </c>
      <c r="H9518">
        <v>4</v>
      </c>
      <c r="I9518" s="12">
        <f>Table16[[#This Row],[price]]*Table16[[#This Row],[quantity]]</f>
        <v>2400.6799999999998</v>
      </c>
    </row>
    <row r="9519" spans="1:9" x14ac:dyDescent="0.3">
      <c r="A9519" t="s">
        <v>11534</v>
      </c>
      <c r="B9519" t="s">
        <v>1903</v>
      </c>
      <c r="C9519" t="s">
        <v>2011</v>
      </c>
      <c r="D9519">
        <v>2</v>
      </c>
      <c r="E9519" s="16">
        <v>81.319999999999993</v>
      </c>
      <c r="F9519" s="1">
        <v>44923</v>
      </c>
      <c r="G9519" t="s">
        <v>2012</v>
      </c>
      <c r="H9519">
        <v>4</v>
      </c>
      <c r="I9519" s="12">
        <f>Table16[[#This Row],[price]]*Table16[[#This Row],[quantity]]</f>
        <v>162.63999999999999</v>
      </c>
    </row>
    <row r="9520" spans="1:9" x14ac:dyDescent="0.3">
      <c r="A9520" t="s">
        <v>11541</v>
      </c>
      <c r="B9520" t="s">
        <v>1904</v>
      </c>
      <c r="C9520" t="s">
        <v>2001</v>
      </c>
      <c r="D9520">
        <v>4</v>
      </c>
      <c r="E9520" s="16">
        <v>1200.32</v>
      </c>
      <c r="F9520" s="1">
        <v>44208</v>
      </c>
      <c r="G9520" t="s">
        <v>2004</v>
      </c>
      <c r="H9520">
        <v>1</v>
      </c>
      <c r="I9520" s="12">
        <f>Table16[[#This Row],[price]]*Table16[[#This Row],[quantity]]</f>
        <v>4801.28</v>
      </c>
    </row>
    <row r="9521" spans="1:9" x14ac:dyDescent="0.3">
      <c r="A9521" t="s">
        <v>11538</v>
      </c>
      <c r="B9521" t="s">
        <v>1904</v>
      </c>
      <c r="C9521" t="s">
        <v>2001</v>
      </c>
      <c r="D9521">
        <v>3</v>
      </c>
      <c r="E9521" s="16">
        <v>900.24</v>
      </c>
      <c r="F9521" s="1">
        <v>44417</v>
      </c>
      <c r="G9521" t="s">
        <v>2002</v>
      </c>
      <c r="H9521">
        <v>2</v>
      </c>
      <c r="I9521" s="12">
        <f>Table16[[#This Row],[price]]*Table16[[#This Row],[quantity]]</f>
        <v>2700.7200000000003</v>
      </c>
    </row>
    <row r="9522" spans="1:9" x14ac:dyDescent="0.3">
      <c r="A9522" t="s">
        <v>11540</v>
      </c>
      <c r="B9522" t="s">
        <v>1904</v>
      </c>
      <c r="C9522" t="s">
        <v>2001</v>
      </c>
      <c r="D9522">
        <v>1</v>
      </c>
      <c r="E9522" s="16">
        <v>300.08</v>
      </c>
      <c r="F9522" s="1">
        <v>44479</v>
      </c>
      <c r="G9522" t="s">
        <v>2058</v>
      </c>
      <c r="H9522">
        <v>4</v>
      </c>
      <c r="I9522" s="12">
        <f>Table16[[#This Row],[price]]*Table16[[#This Row],[quantity]]</f>
        <v>300.08</v>
      </c>
    </row>
    <row r="9523" spans="1:9" x14ac:dyDescent="0.3">
      <c r="A9523" t="s">
        <v>11539</v>
      </c>
      <c r="B9523" t="s">
        <v>1904</v>
      </c>
      <c r="C9523" t="s">
        <v>2001</v>
      </c>
      <c r="D9523">
        <v>3</v>
      </c>
      <c r="E9523" s="16">
        <v>900.24</v>
      </c>
      <c r="F9523" s="1">
        <v>44534</v>
      </c>
      <c r="G9523" t="s">
        <v>2018</v>
      </c>
      <c r="H9523">
        <v>5</v>
      </c>
      <c r="I9523" s="12">
        <f>Table16[[#This Row],[price]]*Table16[[#This Row],[quantity]]</f>
        <v>2700.7200000000003</v>
      </c>
    </row>
    <row r="9524" spans="1:9" x14ac:dyDescent="0.3">
      <c r="A9524" t="s">
        <v>11536</v>
      </c>
      <c r="B9524" t="s">
        <v>1904</v>
      </c>
      <c r="C9524" t="s">
        <v>2001</v>
      </c>
      <c r="D9524">
        <v>4</v>
      </c>
      <c r="E9524" s="16">
        <v>1200.32</v>
      </c>
      <c r="F9524" s="1">
        <v>44757</v>
      </c>
      <c r="G9524" t="s">
        <v>2004</v>
      </c>
      <c r="H9524">
        <v>2</v>
      </c>
      <c r="I9524" s="12">
        <f>Table16[[#This Row],[price]]*Table16[[#This Row],[quantity]]</f>
        <v>4801.28</v>
      </c>
    </row>
    <row r="9525" spans="1:9" x14ac:dyDescent="0.3">
      <c r="A9525" t="s">
        <v>11537</v>
      </c>
      <c r="B9525" t="s">
        <v>1904</v>
      </c>
      <c r="C9525" t="s">
        <v>2001</v>
      </c>
      <c r="D9525">
        <v>3</v>
      </c>
      <c r="E9525" s="16">
        <v>900.24</v>
      </c>
      <c r="F9525" s="1">
        <v>44838</v>
      </c>
      <c r="G9525" t="s">
        <v>2004</v>
      </c>
      <c r="H9525">
        <v>3</v>
      </c>
      <c r="I9525" s="12">
        <f>Table16[[#This Row],[price]]*Table16[[#This Row],[quantity]]</f>
        <v>2700.7200000000003</v>
      </c>
    </row>
    <row r="9526" spans="1:9" x14ac:dyDescent="0.3">
      <c r="A9526" t="s">
        <v>11542</v>
      </c>
      <c r="B9526" t="s">
        <v>1904</v>
      </c>
      <c r="C9526" t="s">
        <v>2008</v>
      </c>
      <c r="D9526">
        <v>5</v>
      </c>
      <c r="E9526" s="16">
        <v>26.15</v>
      </c>
      <c r="F9526" s="1">
        <v>44841</v>
      </c>
      <c r="G9526" t="s">
        <v>2004</v>
      </c>
      <c r="H9526">
        <v>2</v>
      </c>
      <c r="I9526" s="12">
        <f>Table16[[#This Row],[price]]*Table16[[#This Row],[quantity]]</f>
        <v>130.75</v>
      </c>
    </row>
    <row r="9527" spans="1:9" x14ac:dyDescent="0.3">
      <c r="A9527" t="s">
        <v>11543</v>
      </c>
      <c r="B9527" t="s">
        <v>1904</v>
      </c>
      <c r="C9527" t="s">
        <v>2001</v>
      </c>
      <c r="D9527">
        <v>5</v>
      </c>
      <c r="E9527" s="16">
        <v>1500.4</v>
      </c>
      <c r="F9527" s="1">
        <v>44876</v>
      </c>
      <c r="G9527" t="s">
        <v>2004</v>
      </c>
      <c r="H9527">
        <v>5</v>
      </c>
      <c r="I9527" s="12">
        <f>Table16[[#This Row],[price]]*Table16[[#This Row],[quantity]]</f>
        <v>7502</v>
      </c>
    </row>
    <row r="9528" spans="1:9" x14ac:dyDescent="0.3">
      <c r="A9528" t="s">
        <v>11546</v>
      </c>
      <c r="B9528" t="s">
        <v>1905</v>
      </c>
      <c r="C9528" t="s">
        <v>2011</v>
      </c>
      <c r="D9528">
        <v>5</v>
      </c>
      <c r="E9528" s="16">
        <v>203.3</v>
      </c>
      <c r="F9528" s="1">
        <v>44279</v>
      </c>
      <c r="G9528" t="s">
        <v>2009</v>
      </c>
      <c r="H9528">
        <v>3</v>
      </c>
      <c r="I9528" s="12">
        <f>Table16[[#This Row],[price]]*Table16[[#This Row],[quantity]]</f>
        <v>1016.5</v>
      </c>
    </row>
    <row r="9529" spans="1:9" x14ac:dyDescent="0.3">
      <c r="A9529" t="s">
        <v>11545</v>
      </c>
      <c r="B9529" t="s">
        <v>1905</v>
      </c>
      <c r="C9529" t="s">
        <v>2008</v>
      </c>
      <c r="D9529">
        <v>1</v>
      </c>
      <c r="E9529" s="16">
        <v>5.23</v>
      </c>
      <c r="F9529" s="1">
        <v>44406</v>
      </c>
      <c r="G9529" t="s">
        <v>2002</v>
      </c>
      <c r="H9529">
        <v>2</v>
      </c>
      <c r="I9529" s="12">
        <f>Table16[[#This Row],[price]]*Table16[[#This Row],[quantity]]</f>
        <v>5.23</v>
      </c>
    </row>
    <row r="9530" spans="1:9" x14ac:dyDescent="0.3">
      <c r="A9530" t="s">
        <v>11547</v>
      </c>
      <c r="B9530" t="s">
        <v>1905</v>
      </c>
      <c r="C9530" t="s">
        <v>2001</v>
      </c>
      <c r="D9530">
        <v>4</v>
      </c>
      <c r="E9530" s="16">
        <v>1200.32</v>
      </c>
      <c r="F9530" s="1">
        <v>44509</v>
      </c>
      <c r="G9530" t="s">
        <v>2020</v>
      </c>
      <c r="H9530">
        <v>5</v>
      </c>
      <c r="I9530" s="12">
        <f>Table16[[#This Row],[price]]*Table16[[#This Row],[quantity]]</f>
        <v>4801.28</v>
      </c>
    </row>
    <row r="9531" spans="1:9" x14ac:dyDescent="0.3">
      <c r="A9531" t="s">
        <v>11548</v>
      </c>
      <c r="B9531" t="s">
        <v>1905</v>
      </c>
      <c r="C9531" t="s">
        <v>2001</v>
      </c>
      <c r="D9531">
        <v>5</v>
      </c>
      <c r="E9531" s="16">
        <v>1500.4</v>
      </c>
      <c r="F9531" s="1">
        <v>44790</v>
      </c>
      <c r="G9531" t="s">
        <v>2004</v>
      </c>
      <c r="H9531">
        <v>3</v>
      </c>
      <c r="I9531" s="12">
        <f>Table16[[#This Row],[price]]*Table16[[#This Row],[quantity]]</f>
        <v>7502</v>
      </c>
    </row>
    <row r="9532" spans="1:9" x14ac:dyDescent="0.3">
      <c r="A9532" t="s">
        <v>11544</v>
      </c>
      <c r="B9532" t="s">
        <v>1905</v>
      </c>
      <c r="C9532" t="s">
        <v>2008</v>
      </c>
      <c r="D9532">
        <v>3</v>
      </c>
      <c r="E9532" s="16">
        <v>15.69</v>
      </c>
      <c r="F9532" s="1">
        <v>44947</v>
      </c>
      <c r="G9532" t="s">
        <v>2027</v>
      </c>
      <c r="H9532">
        <v>4</v>
      </c>
      <c r="I9532" s="12">
        <f>Table16[[#This Row],[price]]*Table16[[#This Row],[quantity]]</f>
        <v>47.07</v>
      </c>
    </row>
    <row r="9533" spans="1:9" x14ac:dyDescent="0.3">
      <c r="A9533" t="s">
        <v>11556</v>
      </c>
      <c r="B9533" t="s">
        <v>1906</v>
      </c>
      <c r="C9533" t="s">
        <v>2008</v>
      </c>
      <c r="D9533">
        <v>2</v>
      </c>
      <c r="E9533" s="16">
        <v>10.46</v>
      </c>
      <c r="F9533" s="1">
        <v>44298</v>
      </c>
      <c r="G9533" t="s">
        <v>2020</v>
      </c>
      <c r="H9533">
        <v>5</v>
      </c>
      <c r="I9533" s="12">
        <f>Table16[[#This Row],[price]]*Table16[[#This Row],[quantity]]</f>
        <v>20.92</v>
      </c>
    </row>
    <row r="9534" spans="1:9" x14ac:dyDescent="0.3">
      <c r="A9534" t="s">
        <v>11549</v>
      </c>
      <c r="B9534" t="s">
        <v>1906</v>
      </c>
      <c r="C9534" t="s">
        <v>2017</v>
      </c>
      <c r="D9534">
        <v>4</v>
      </c>
      <c r="E9534" s="16">
        <v>4200</v>
      </c>
      <c r="F9534" s="1">
        <v>44348</v>
      </c>
      <c r="G9534" t="s">
        <v>2027</v>
      </c>
      <c r="H9534">
        <v>3</v>
      </c>
      <c r="I9534" s="12">
        <f>Table16[[#This Row],[price]]*Table16[[#This Row],[quantity]]</f>
        <v>16800</v>
      </c>
    </row>
    <row r="9535" spans="1:9" x14ac:dyDescent="0.3">
      <c r="A9535" t="s">
        <v>11554</v>
      </c>
      <c r="B9535" t="s">
        <v>1906</v>
      </c>
      <c r="C9535" t="s">
        <v>2001</v>
      </c>
      <c r="D9535">
        <v>5</v>
      </c>
      <c r="E9535" s="16">
        <v>1500.4</v>
      </c>
      <c r="F9535" s="1">
        <v>44387</v>
      </c>
      <c r="G9535" t="s">
        <v>2064</v>
      </c>
      <c r="H9535">
        <v>1</v>
      </c>
      <c r="I9535" s="12">
        <f>Table16[[#This Row],[price]]*Table16[[#This Row],[quantity]]</f>
        <v>7502</v>
      </c>
    </row>
    <row r="9536" spans="1:9" x14ac:dyDescent="0.3">
      <c r="A9536" t="s">
        <v>11555</v>
      </c>
      <c r="B9536" t="s">
        <v>1906</v>
      </c>
      <c r="C9536" t="s">
        <v>2011</v>
      </c>
      <c r="D9536">
        <v>2</v>
      </c>
      <c r="E9536" s="16">
        <v>81.319999999999993</v>
      </c>
      <c r="F9536" s="1">
        <v>44483</v>
      </c>
      <c r="G9536" t="s">
        <v>2027</v>
      </c>
      <c r="H9536">
        <v>3</v>
      </c>
      <c r="I9536" s="12">
        <f>Table16[[#This Row],[price]]*Table16[[#This Row],[quantity]]</f>
        <v>162.63999999999999</v>
      </c>
    </row>
    <row r="9537" spans="1:9" x14ac:dyDescent="0.3">
      <c r="A9537" t="s">
        <v>11550</v>
      </c>
      <c r="B9537" t="s">
        <v>1906</v>
      </c>
      <c r="C9537" t="s">
        <v>2001</v>
      </c>
      <c r="D9537">
        <v>1</v>
      </c>
      <c r="E9537" s="16">
        <v>300.08</v>
      </c>
      <c r="F9537" s="1">
        <v>44602</v>
      </c>
      <c r="G9537" t="s">
        <v>2027</v>
      </c>
      <c r="H9537">
        <v>2</v>
      </c>
      <c r="I9537" s="12">
        <f>Table16[[#This Row],[price]]*Table16[[#This Row],[quantity]]</f>
        <v>300.08</v>
      </c>
    </row>
    <row r="9538" spans="1:9" x14ac:dyDescent="0.3">
      <c r="A9538" t="s">
        <v>11553</v>
      </c>
      <c r="B9538" t="s">
        <v>1906</v>
      </c>
      <c r="C9538" t="s">
        <v>2057</v>
      </c>
      <c r="D9538">
        <v>4</v>
      </c>
      <c r="E9538" s="16">
        <v>46.92</v>
      </c>
      <c r="F9538" s="1">
        <v>44792</v>
      </c>
      <c r="G9538" t="s">
        <v>2004</v>
      </c>
      <c r="H9538">
        <v>2</v>
      </c>
      <c r="I9538" s="12">
        <f>Table16[[#This Row],[price]]*Table16[[#This Row],[quantity]]</f>
        <v>187.68</v>
      </c>
    </row>
    <row r="9539" spans="1:9" x14ac:dyDescent="0.3">
      <c r="A9539" t="s">
        <v>11551</v>
      </c>
      <c r="B9539" t="s">
        <v>1906</v>
      </c>
      <c r="C9539" t="s">
        <v>2001</v>
      </c>
      <c r="D9539">
        <v>4</v>
      </c>
      <c r="E9539" s="16">
        <v>1200.32</v>
      </c>
      <c r="F9539" s="1">
        <v>44924</v>
      </c>
      <c r="G9539" t="s">
        <v>2027</v>
      </c>
      <c r="H9539">
        <v>5</v>
      </c>
      <c r="I9539" s="12">
        <f>Table16[[#This Row],[price]]*Table16[[#This Row],[quantity]]</f>
        <v>4801.28</v>
      </c>
    </row>
    <row r="9540" spans="1:9" x14ac:dyDescent="0.3">
      <c r="A9540" t="s">
        <v>11552</v>
      </c>
      <c r="B9540" t="s">
        <v>1906</v>
      </c>
      <c r="C9540" t="s">
        <v>2008</v>
      </c>
      <c r="D9540">
        <v>4</v>
      </c>
      <c r="E9540" s="16">
        <v>20.92</v>
      </c>
      <c r="F9540" s="1">
        <v>44989</v>
      </c>
      <c r="G9540" t="s">
        <v>2004</v>
      </c>
      <c r="H9540">
        <v>5</v>
      </c>
      <c r="I9540" s="12">
        <f>Table16[[#This Row],[price]]*Table16[[#This Row],[quantity]]</f>
        <v>83.68</v>
      </c>
    </row>
    <row r="9541" spans="1:9" x14ac:dyDescent="0.3">
      <c r="A9541" t="s">
        <v>11559</v>
      </c>
      <c r="B9541" t="s">
        <v>1907</v>
      </c>
      <c r="C9541" t="s">
        <v>2001</v>
      </c>
      <c r="D9541">
        <v>3</v>
      </c>
      <c r="E9541" s="16">
        <v>900.24</v>
      </c>
      <c r="F9541" s="1">
        <v>44450</v>
      </c>
      <c r="G9541" t="s">
        <v>2012</v>
      </c>
      <c r="H9541">
        <v>4</v>
      </c>
      <c r="I9541" s="12">
        <f>Table16[[#This Row],[price]]*Table16[[#This Row],[quantity]]</f>
        <v>2700.7200000000003</v>
      </c>
    </row>
    <row r="9542" spans="1:9" x14ac:dyDescent="0.3">
      <c r="A9542" t="s">
        <v>11561</v>
      </c>
      <c r="B9542" t="s">
        <v>1907</v>
      </c>
      <c r="C9542" t="s">
        <v>2011</v>
      </c>
      <c r="D9542">
        <v>1</v>
      </c>
      <c r="E9542" s="16">
        <v>40.659999999999997</v>
      </c>
      <c r="F9542" s="1">
        <v>44487</v>
      </c>
      <c r="G9542" t="s">
        <v>2002</v>
      </c>
      <c r="H9542">
        <v>3</v>
      </c>
      <c r="I9542" s="12">
        <f>Table16[[#This Row],[price]]*Table16[[#This Row],[quantity]]</f>
        <v>40.659999999999997</v>
      </c>
    </row>
    <row r="9543" spans="1:9" x14ac:dyDescent="0.3">
      <c r="A9543" t="s">
        <v>11558</v>
      </c>
      <c r="B9543" t="s">
        <v>1907</v>
      </c>
      <c r="C9543" t="s">
        <v>2001</v>
      </c>
      <c r="D9543">
        <v>1</v>
      </c>
      <c r="E9543" s="16">
        <v>300.08</v>
      </c>
      <c r="F9543" s="1">
        <v>44563</v>
      </c>
      <c r="G9543" t="s">
        <v>2064</v>
      </c>
      <c r="H9543">
        <v>4</v>
      </c>
      <c r="I9543" s="12">
        <f>Table16[[#This Row],[price]]*Table16[[#This Row],[quantity]]</f>
        <v>300.08</v>
      </c>
    </row>
    <row r="9544" spans="1:9" x14ac:dyDescent="0.3">
      <c r="A9544" t="s">
        <v>11557</v>
      </c>
      <c r="B9544" t="s">
        <v>1907</v>
      </c>
      <c r="C9544" t="s">
        <v>2001</v>
      </c>
      <c r="D9544">
        <v>3</v>
      </c>
      <c r="E9544" s="16">
        <v>900.24</v>
      </c>
      <c r="F9544" s="1">
        <v>44774</v>
      </c>
      <c r="G9544" t="s">
        <v>2002</v>
      </c>
      <c r="H9544">
        <v>4</v>
      </c>
      <c r="I9544" s="12">
        <f>Table16[[#This Row],[price]]*Table16[[#This Row],[quantity]]</f>
        <v>2700.7200000000003</v>
      </c>
    </row>
    <row r="9545" spans="1:9" x14ac:dyDescent="0.3">
      <c r="A9545" t="s">
        <v>11560</v>
      </c>
      <c r="B9545" t="s">
        <v>1907</v>
      </c>
      <c r="C9545" t="s">
        <v>2008</v>
      </c>
      <c r="D9545">
        <v>4</v>
      </c>
      <c r="E9545" s="16">
        <v>20.92</v>
      </c>
      <c r="F9545" s="1">
        <v>44905</v>
      </c>
      <c r="G9545" t="s">
        <v>2002</v>
      </c>
      <c r="H9545">
        <v>5</v>
      </c>
      <c r="I9545" s="12">
        <f>Table16[[#This Row],[price]]*Table16[[#This Row],[quantity]]</f>
        <v>83.68</v>
      </c>
    </row>
    <row r="9546" spans="1:9" x14ac:dyDescent="0.3">
      <c r="A9546" t="s">
        <v>11563</v>
      </c>
      <c r="B9546" t="s">
        <v>1908</v>
      </c>
      <c r="C9546" t="s">
        <v>2015</v>
      </c>
      <c r="D9546">
        <v>1</v>
      </c>
      <c r="E9546" s="16">
        <v>600.16999999999996</v>
      </c>
      <c r="F9546" s="1">
        <v>44412</v>
      </c>
      <c r="G9546" t="s">
        <v>2009</v>
      </c>
      <c r="H9546">
        <v>2</v>
      </c>
      <c r="I9546" s="12">
        <f>Table16[[#This Row],[price]]*Table16[[#This Row],[quantity]]</f>
        <v>600.16999999999996</v>
      </c>
    </row>
    <row r="9547" spans="1:9" x14ac:dyDescent="0.3">
      <c r="A9547" t="s">
        <v>11562</v>
      </c>
      <c r="B9547" t="s">
        <v>1908</v>
      </c>
      <c r="C9547" t="s">
        <v>2024</v>
      </c>
      <c r="D9547">
        <v>3</v>
      </c>
      <c r="E9547" s="16">
        <v>107.52</v>
      </c>
      <c r="F9547" s="1">
        <v>44895</v>
      </c>
      <c r="G9547" t="s">
        <v>2027</v>
      </c>
      <c r="H9547">
        <v>1</v>
      </c>
      <c r="I9547" s="12">
        <f>Table16[[#This Row],[price]]*Table16[[#This Row],[quantity]]</f>
        <v>322.56</v>
      </c>
    </row>
    <row r="9548" spans="1:9" x14ac:dyDescent="0.3">
      <c r="A9548" t="s">
        <v>11568</v>
      </c>
      <c r="B9548" t="s">
        <v>1909</v>
      </c>
      <c r="C9548" t="s">
        <v>2001</v>
      </c>
      <c r="D9548">
        <v>4</v>
      </c>
      <c r="E9548" s="16">
        <v>1200.32</v>
      </c>
      <c r="F9548" s="1">
        <v>44230</v>
      </c>
      <c r="G9548" t="s">
        <v>2004</v>
      </c>
      <c r="H9548">
        <v>1</v>
      </c>
      <c r="I9548" s="12">
        <f>Table16[[#This Row],[price]]*Table16[[#This Row],[quantity]]</f>
        <v>4801.28</v>
      </c>
    </row>
    <row r="9549" spans="1:9" x14ac:dyDescent="0.3">
      <c r="A9549" t="s">
        <v>11565</v>
      </c>
      <c r="B9549" t="s">
        <v>1909</v>
      </c>
      <c r="C9549" t="s">
        <v>2008</v>
      </c>
      <c r="D9549">
        <v>4</v>
      </c>
      <c r="E9549" s="16">
        <v>20.92</v>
      </c>
      <c r="F9549" s="1">
        <v>44360</v>
      </c>
      <c r="G9549" t="s">
        <v>2064</v>
      </c>
      <c r="H9549">
        <v>1</v>
      </c>
      <c r="I9549" s="12">
        <f>Table16[[#This Row],[price]]*Table16[[#This Row],[quantity]]</f>
        <v>83.68</v>
      </c>
    </row>
    <row r="9550" spans="1:9" x14ac:dyDescent="0.3">
      <c r="A9550" t="s">
        <v>11566</v>
      </c>
      <c r="B9550" t="s">
        <v>1909</v>
      </c>
      <c r="C9550" t="s">
        <v>2006</v>
      </c>
      <c r="D9550">
        <v>5</v>
      </c>
      <c r="E9550" s="16">
        <v>75.75</v>
      </c>
      <c r="F9550" s="1">
        <v>44495</v>
      </c>
      <c r="G9550" t="s">
        <v>2012</v>
      </c>
      <c r="H9550">
        <v>4</v>
      </c>
      <c r="I9550" s="12">
        <f>Table16[[#This Row],[price]]*Table16[[#This Row],[quantity]]</f>
        <v>378.75</v>
      </c>
    </row>
    <row r="9551" spans="1:9" x14ac:dyDescent="0.3">
      <c r="A9551" t="s">
        <v>11564</v>
      </c>
      <c r="B9551" t="s">
        <v>1909</v>
      </c>
      <c r="C9551" t="s">
        <v>2001</v>
      </c>
      <c r="D9551">
        <v>3</v>
      </c>
      <c r="E9551" s="16">
        <v>900.24</v>
      </c>
      <c r="F9551" s="1">
        <v>44554</v>
      </c>
      <c r="G9551" t="s">
        <v>2004</v>
      </c>
      <c r="H9551">
        <v>4</v>
      </c>
      <c r="I9551" s="12">
        <f>Table16[[#This Row],[price]]*Table16[[#This Row],[quantity]]</f>
        <v>2700.7200000000003</v>
      </c>
    </row>
    <row r="9552" spans="1:9" x14ac:dyDescent="0.3">
      <c r="A9552" t="s">
        <v>11567</v>
      </c>
      <c r="B9552" t="s">
        <v>1909</v>
      </c>
      <c r="C9552" t="s">
        <v>2006</v>
      </c>
      <c r="D9552">
        <v>2</v>
      </c>
      <c r="E9552" s="16">
        <v>30.3</v>
      </c>
      <c r="F9552" s="1">
        <v>44956</v>
      </c>
      <c r="G9552" t="s">
        <v>2004</v>
      </c>
      <c r="H9552">
        <v>4</v>
      </c>
      <c r="I9552" s="12">
        <f>Table16[[#This Row],[price]]*Table16[[#This Row],[quantity]]</f>
        <v>60.6</v>
      </c>
    </row>
    <row r="9553" spans="1:9" x14ac:dyDescent="0.3">
      <c r="A9553" t="s">
        <v>11569</v>
      </c>
      <c r="B9553" t="s">
        <v>1910</v>
      </c>
      <c r="C9553" t="s">
        <v>2024</v>
      </c>
      <c r="D9553">
        <v>3</v>
      </c>
      <c r="E9553" s="16">
        <v>107.52</v>
      </c>
      <c r="F9553" s="1">
        <v>44556</v>
      </c>
      <c r="G9553" t="s">
        <v>2064</v>
      </c>
      <c r="H9553">
        <v>1</v>
      </c>
      <c r="I9553" s="12">
        <f>Table16[[#This Row],[price]]*Table16[[#This Row],[quantity]]</f>
        <v>322.56</v>
      </c>
    </row>
    <row r="9554" spans="1:9" x14ac:dyDescent="0.3">
      <c r="A9554" t="s">
        <v>11573</v>
      </c>
      <c r="B9554" t="s">
        <v>1911</v>
      </c>
      <c r="C9554" t="s">
        <v>2008</v>
      </c>
      <c r="D9554">
        <v>5</v>
      </c>
      <c r="E9554" s="16">
        <v>26.15</v>
      </c>
      <c r="F9554" s="1">
        <v>44423</v>
      </c>
      <c r="G9554" t="s">
        <v>2041</v>
      </c>
      <c r="H9554">
        <v>1</v>
      </c>
      <c r="I9554" s="12">
        <f>Table16[[#This Row],[price]]*Table16[[#This Row],[quantity]]</f>
        <v>130.75</v>
      </c>
    </row>
    <row r="9555" spans="1:9" x14ac:dyDescent="0.3">
      <c r="A9555" t="s">
        <v>11576</v>
      </c>
      <c r="B9555" t="s">
        <v>1911</v>
      </c>
      <c r="C9555" t="s">
        <v>2008</v>
      </c>
      <c r="D9555">
        <v>5</v>
      </c>
      <c r="E9555" s="16">
        <v>26.15</v>
      </c>
      <c r="F9555" s="1">
        <v>44437</v>
      </c>
      <c r="G9555" t="s">
        <v>2027</v>
      </c>
      <c r="H9555">
        <v>1</v>
      </c>
      <c r="I9555" s="12">
        <f>Table16[[#This Row],[price]]*Table16[[#This Row],[quantity]]</f>
        <v>130.75</v>
      </c>
    </row>
    <row r="9556" spans="1:9" x14ac:dyDescent="0.3">
      <c r="A9556" t="s">
        <v>11570</v>
      </c>
      <c r="B9556" t="s">
        <v>1911</v>
      </c>
      <c r="C9556" t="s">
        <v>2011</v>
      </c>
      <c r="D9556">
        <v>2</v>
      </c>
      <c r="E9556" s="16">
        <v>81.319999999999993</v>
      </c>
      <c r="F9556" s="1">
        <v>44469</v>
      </c>
      <c r="G9556" t="s">
        <v>2027</v>
      </c>
      <c r="H9556">
        <v>2</v>
      </c>
      <c r="I9556" s="12">
        <f>Table16[[#This Row],[price]]*Table16[[#This Row],[quantity]]</f>
        <v>162.63999999999999</v>
      </c>
    </row>
    <row r="9557" spans="1:9" x14ac:dyDescent="0.3">
      <c r="A9557" t="s">
        <v>11571</v>
      </c>
      <c r="B9557" t="s">
        <v>1911</v>
      </c>
      <c r="C9557" t="s">
        <v>2008</v>
      </c>
      <c r="D9557">
        <v>5</v>
      </c>
      <c r="E9557" s="16">
        <v>26.15</v>
      </c>
      <c r="F9557" s="1">
        <v>44494</v>
      </c>
      <c r="G9557" t="s">
        <v>2002</v>
      </c>
      <c r="H9557">
        <v>4</v>
      </c>
      <c r="I9557" s="12">
        <f>Table16[[#This Row],[price]]*Table16[[#This Row],[quantity]]</f>
        <v>130.75</v>
      </c>
    </row>
    <row r="9558" spans="1:9" x14ac:dyDescent="0.3">
      <c r="A9558" t="s">
        <v>11574</v>
      </c>
      <c r="B9558" t="s">
        <v>1911</v>
      </c>
      <c r="C9558" t="s">
        <v>2001</v>
      </c>
      <c r="D9558">
        <v>3</v>
      </c>
      <c r="E9558" s="16">
        <v>900.24</v>
      </c>
      <c r="F9558" s="1">
        <v>44720</v>
      </c>
      <c r="G9558" t="s">
        <v>2020</v>
      </c>
      <c r="H9558">
        <v>4</v>
      </c>
      <c r="I9558" s="12">
        <f>Table16[[#This Row],[price]]*Table16[[#This Row],[quantity]]</f>
        <v>2700.7200000000003</v>
      </c>
    </row>
    <row r="9559" spans="1:9" x14ac:dyDescent="0.3">
      <c r="A9559" t="s">
        <v>11572</v>
      </c>
      <c r="B9559" t="s">
        <v>1911</v>
      </c>
      <c r="C9559" t="s">
        <v>2011</v>
      </c>
      <c r="D9559">
        <v>3</v>
      </c>
      <c r="E9559" s="16">
        <v>121.98</v>
      </c>
      <c r="F9559" s="1">
        <v>44729</v>
      </c>
      <c r="G9559" t="s">
        <v>2018</v>
      </c>
      <c r="H9559">
        <v>4</v>
      </c>
      <c r="I9559" s="12">
        <f>Table16[[#This Row],[price]]*Table16[[#This Row],[quantity]]</f>
        <v>365.94</v>
      </c>
    </row>
    <row r="9560" spans="1:9" x14ac:dyDescent="0.3">
      <c r="A9560" t="s">
        <v>11575</v>
      </c>
      <c r="B9560" t="s">
        <v>1911</v>
      </c>
      <c r="C9560" t="s">
        <v>2015</v>
      </c>
      <c r="D9560">
        <v>4</v>
      </c>
      <c r="E9560" s="16">
        <v>2400.6799999999998</v>
      </c>
      <c r="F9560" s="1">
        <v>44983</v>
      </c>
      <c r="G9560" t="s">
        <v>2064</v>
      </c>
      <c r="H9560">
        <v>2</v>
      </c>
      <c r="I9560" s="12">
        <f>Table16[[#This Row],[price]]*Table16[[#This Row],[quantity]]</f>
        <v>9602.7199999999993</v>
      </c>
    </row>
    <row r="9561" spans="1:9" x14ac:dyDescent="0.3">
      <c r="A9561" t="s">
        <v>11577</v>
      </c>
      <c r="B9561" t="s">
        <v>1912</v>
      </c>
      <c r="C9561" t="s">
        <v>2001</v>
      </c>
      <c r="D9561">
        <v>1</v>
      </c>
      <c r="E9561" s="16">
        <v>300.08</v>
      </c>
      <c r="F9561" s="1">
        <v>44803</v>
      </c>
      <c r="G9561" t="s">
        <v>2064</v>
      </c>
      <c r="H9561">
        <v>4</v>
      </c>
      <c r="I9561" s="12">
        <f>Table16[[#This Row],[price]]*Table16[[#This Row],[quantity]]</f>
        <v>300.08</v>
      </c>
    </row>
    <row r="9562" spans="1:9" x14ac:dyDescent="0.3">
      <c r="A9562" t="s">
        <v>11579</v>
      </c>
      <c r="B9562" t="s">
        <v>1913</v>
      </c>
      <c r="C9562" t="s">
        <v>2001</v>
      </c>
      <c r="D9562">
        <v>5</v>
      </c>
      <c r="E9562" s="16">
        <v>1500.4</v>
      </c>
      <c r="F9562" s="1">
        <v>44314</v>
      </c>
      <c r="G9562" t="s">
        <v>2027</v>
      </c>
      <c r="H9562">
        <v>1</v>
      </c>
      <c r="I9562" s="12">
        <f>Table16[[#This Row],[price]]*Table16[[#This Row],[quantity]]</f>
        <v>7502</v>
      </c>
    </row>
    <row r="9563" spans="1:9" x14ac:dyDescent="0.3">
      <c r="A9563" t="s">
        <v>11580</v>
      </c>
      <c r="B9563" t="s">
        <v>1913</v>
      </c>
      <c r="C9563" t="s">
        <v>2011</v>
      </c>
      <c r="D9563">
        <v>4</v>
      </c>
      <c r="E9563" s="16">
        <v>162.63999999999999</v>
      </c>
      <c r="F9563" s="1">
        <v>44372</v>
      </c>
      <c r="G9563" t="s">
        <v>2058</v>
      </c>
      <c r="H9563">
        <v>3</v>
      </c>
      <c r="I9563" s="12">
        <f>Table16[[#This Row],[price]]*Table16[[#This Row],[quantity]]</f>
        <v>650.55999999999995</v>
      </c>
    </row>
    <row r="9564" spans="1:9" x14ac:dyDescent="0.3">
      <c r="A9564" t="s">
        <v>11581</v>
      </c>
      <c r="B9564" t="s">
        <v>1913</v>
      </c>
      <c r="C9564" t="s">
        <v>2001</v>
      </c>
      <c r="D9564">
        <v>5</v>
      </c>
      <c r="E9564" s="16">
        <v>1500.4</v>
      </c>
      <c r="F9564" s="1">
        <v>44666</v>
      </c>
      <c r="G9564" t="s">
        <v>2020</v>
      </c>
      <c r="H9564">
        <v>1</v>
      </c>
      <c r="I9564" s="12">
        <f>Table16[[#This Row],[price]]*Table16[[#This Row],[quantity]]</f>
        <v>7502</v>
      </c>
    </row>
    <row r="9565" spans="1:9" x14ac:dyDescent="0.3">
      <c r="A9565" t="s">
        <v>11578</v>
      </c>
      <c r="B9565" t="s">
        <v>1913</v>
      </c>
      <c r="C9565" t="s">
        <v>2011</v>
      </c>
      <c r="D9565">
        <v>4</v>
      </c>
      <c r="E9565" s="16">
        <v>162.63999999999999</v>
      </c>
      <c r="F9565" s="1">
        <v>44933</v>
      </c>
      <c r="G9565" t="s">
        <v>2058</v>
      </c>
      <c r="H9565">
        <v>3</v>
      </c>
      <c r="I9565" s="12">
        <f>Table16[[#This Row],[price]]*Table16[[#This Row],[quantity]]</f>
        <v>650.55999999999995</v>
      </c>
    </row>
    <row r="9566" spans="1:9" x14ac:dyDescent="0.3">
      <c r="A9566" t="s">
        <v>11582</v>
      </c>
      <c r="B9566" t="s">
        <v>1914</v>
      </c>
      <c r="C9566" t="s">
        <v>2001</v>
      </c>
      <c r="D9566">
        <v>2</v>
      </c>
      <c r="E9566" s="16">
        <v>600.16</v>
      </c>
      <c r="F9566" s="1">
        <v>44469</v>
      </c>
      <c r="G9566" t="s">
        <v>2027</v>
      </c>
      <c r="H9566">
        <v>1</v>
      </c>
      <c r="I9566" s="12">
        <f>Table16[[#This Row],[price]]*Table16[[#This Row],[quantity]]</f>
        <v>1200.32</v>
      </c>
    </row>
    <row r="9567" spans="1:9" x14ac:dyDescent="0.3">
      <c r="A9567" t="s">
        <v>11583</v>
      </c>
      <c r="B9567" t="s">
        <v>1914</v>
      </c>
      <c r="C9567" t="s">
        <v>2001</v>
      </c>
      <c r="D9567">
        <v>5</v>
      </c>
      <c r="E9567" s="16">
        <v>1500.4</v>
      </c>
      <c r="F9567" s="1">
        <v>44984</v>
      </c>
      <c r="G9567" t="s">
        <v>2027</v>
      </c>
      <c r="H9567">
        <v>3</v>
      </c>
      <c r="I9567" s="12">
        <f>Table16[[#This Row],[price]]*Table16[[#This Row],[quantity]]</f>
        <v>7502</v>
      </c>
    </row>
    <row r="9568" spans="1:9" x14ac:dyDescent="0.3">
      <c r="A9568" t="s">
        <v>11584</v>
      </c>
      <c r="B9568" t="s">
        <v>1915</v>
      </c>
      <c r="C9568" t="s">
        <v>2001</v>
      </c>
      <c r="D9568">
        <v>1</v>
      </c>
      <c r="E9568" s="16">
        <v>300.08</v>
      </c>
      <c r="F9568" s="1">
        <v>44658</v>
      </c>
      <c r="G9568" t="s">
        <v>2027</v>
      </c>
      <c r="H9568">
        <v>5</v>
      </c>
      <c r="I9568" s="12">
        <f>Table16[[#This Row],[price]]*Table16[[#This Row],[quantity]]</f>
        <v>300.08</v>
      </c>
    </row>
    <row r="9569" spans="1:9" x14ac:dyDescent="0.3">
      <c r="A9569" t="s">
        <v>11585</v>
      </c>
      <c r="B9569" t="s">
        <v>1915</v>
      </c>
      <c r="C9569" t="s">
        <v>2024</v>
      </c>
      <c r="D9569">
        <v>3</v>
      </c>
      <c r="E9569" s="16">
        <v>107.52</v>
      </c>
      <c r="F9569" s="1">
        <v>44731</v>
      </c>
      <c r="G9569" t="s">
        <v>2004</v>
      </c>
      <c r="H9569">
        <v>5</v>
      </c>
      <c r="I9569" s="12">
        <f>Table16[[#This Row],[price]]*Table16[[#This Row],[quantity]]</f>
        <v>322.56</v>
      </c>
    </row>
    <row r="9570" spans="1:9" x14ac:dyDescent="0.3">
      <c r="A9570" t="s">
        <v>11586</v>
      </c>
      <c r="B9570" t="s">
        <v>1915</v>
      </c>
      <c r="C9570" t="s">
        <v>2008</v>
      </c>
      <c r="D9570">
        <v>3</v>
      </c>
      <c r="E9570" s="16">
        <v>15.69</v>
      </c>
      <c r="F9570" s="1">
        <v>44889</v>
      </c>
      <c r="G9570" t="s">
        <v>2012</v>
      </c>
      <c r="H9570">
        <v>1</v>
      </c>
      <c r="I9570" s="12">
        <f>Table16[[#This Row],[price]]*Table16[[#This Row],[quantity]]</f>
        <v>47.07</v>
      </c>
    </row>
    <row r="9571" spans="1:9" x14ac:dyDescent="0.3">
      <c r="A9571" t="s">
        <v>11588</v>
      </c>
      <c r="B9571" t="s">
        <v>1916</v>
      </c>
      <c r="C9571" t="s">
        <v>2001</v>
      </c>
      <c r="D9571">
        <v>4</v>
      </c>
      <c r="E9571" s="16">
        <v>1200.32</v>
      </c>
      <c r="F9571" s="1">
        <v>44433</v>
      </c>
      <c r="G9571" t="s">
        <v>2020</v>
      </c>
      <c r="H9571">
        <v>4</v>
      </c>
      <c r="I9571" s="12">
        <f>Table16[[#This Row],[price]]*Table16[[#This Row],[quantity]]</f>
        <v>4801.28</v>
      </c>
    </row>
    <row r="9572" spans="1:9" x14ac:dyDescent="0.3">
      <c r="A9572" t="s">
        <v>11590</v>
      </c>
      <c r="B9572" t="s">
        <v>1916</v>
      </c>
      <c r="C9572" t="s">
        <v>2024</v>
      </c>
      <c r="D9572">
        <v>3</v>
      </c>
      <c r="E9572" s="16">
        <v>107.52</v>
      </c>
      <c r="F9572" s="1">
        <v>44453</v>
      </c>
      <c r="G9572" t="s">
        <v>2004</v>
      </c>
      <c r="H9572">
        <v>5</v>
      </c>
      <c r="I9572" s="12">
        <f>Table16[[#This Row],[price]]*Table16[[#This Row],[quantity]]</f>
        <v>322.56</v>
      </c>
    </row>
    <row r="9573" spans="1:9" x14ac:dyDescent="0.3">
      <c r="A9573" t="s">
        <v>11587</v>
      </c>
      <c r="B9573" t="s">
        <v>1916</v>
      </c>
      <c r="C9573" t="s">
        <v>2024</v>
      </c>
      <c r="D9573">
        <v>1</v>
      </c>
      <c r="E9573" s="16">
        <v>35.840000000000003</v>
      </c>
      <c r="F9573" s="1">
        <v>44685</v>
      </c>
      <c r="G9573" t="s">
        <v>2004</v>
      </c>
      <c r="H9573">
        <v>1</v>
      </c>
      <c r="I9573" s="12">
        <f>Table16[[#This Row],[price]]*Table16[[#This Row],[quantity]]</f>
        <v>35.840000000000003</v>
      </c>
    </row>
    <row r="9574" spans="1:9" x14ac:dyDescent="0.3">
      <c r="A9574" t="s">
        <v>11589</v>
      </c>
      <c r="B9574" t="s">
        <v>1916</v>
      </c>
      <c r="C9574" t="s">
        <v>2011</v>
      </c>
      <c r="D9574">
        <v>1</v>
      </c>
      <c r="E9574" s="16">
        <v>40.659999999999997</v>
      </c>
      <c r="F9574" s="1">
        <v>44884</v>
      </c>
      <c r="G9574" t="s">
        <v>2002</v>
      </c>
      <c r="H9574">
        <v>1</v>
      </c>
      <c r="I9574" s="12">
        <f>Table16[[#This Row],[price]]*Table16[[#This Row],[quantity]]</f>
        <v>40.659999999999997</v>
      </c>
    </row>
    <row r="9575" spans="1:9" x14ac:dyDescent="0.3">
      <c r="A9575" t="s">
        <v>11592</v>
      </c>
      <c r="B9575" t="s">
        <v>1917</v>
      </c>
      <c r="C9575" t="s">
        <v>2015</v>
      </c>
      <c r="D9575">
        <v>4</v>
      </c>
      <c r="E9575" s="16">
        <v>2400.6799999999998</v>
      </c>
      <c r="F9575" s="1">
        <v>44616</v>
      </c>
      <c r="G9575" t="s">
        <v>2012</v>
      </c>
      <c r="H9575">
        <v>4</v>
      </c>
      <c r="I9575" s="12">
        <f>Table16[[#This Row],[price]]*Table16[[#This Row],[quantity]]</f>
        <v>9602.7199999999993</v>
      </c>
    </row>
    <row r="9576" spans="1:9" x14ac:dyDescent="0.3">
      <c r="A9576" t="s">
        <v>11594</v>
      </c>
      <c r="B9576" t="s">
        <v>1917</v>
      </c>
      <c r="C9576" t="s">
        <v>2024</v>
      </c>
      <c r="D9576">
        <v>3</v>
      </c>
      <c r="E9576" s="16">
        <v>107.52</v>
      </c>
      <c r="F9576" s="1">
        <v>44617</v>
      </c>
      <c r="G9576" t="s">
        <v>2020</v>
      </c>
      <c r="H9576">
        <v>4</v>
      </c>
      <c r="I9576" s="12">
        <f>Table16[[#This Row],[price]]*Table16[[#This Row],[quantity]]</f>
        <v>322.56</v>
      </c>
    </row>
    <row r="9577" spans="1:9" x14ac:dyDescent="0.3">
      <c r="A9577" t="s">
        <v>11591</v>
      </c>
      <c r="B9577" t="s">
        <v>1917</v>
      </c>
      <c r="C9577" t="s">
        <v>2008</v>
      </c>
      <c r="D9577">
        <v>3</v>
      </c>
      <c r="E9577" s="16">
        <v>15.69</v>
      </c>
      <c r="F9577" s="1">
        <v>44773</v>
      </c>
      <c r="G9577" t="s">
        <v>2027</v>
      </c>
      <c r="H9577">
        <v>1</v>
      </c>
      <c r="I9577" s="12">
        <f>Table16[[#This Row],[price]]*Table16[[#This Row],[quantity]]</f>
        <v>47.07</v>
      </c>
    </row>
    <row r="9578" spans="1:9" x14ac:dyDescent="0.3">
      <c r="A9578" t="s">
        <v>11593</v>
      </c>
      <c r="B9578" t="s">
        <v>1917</v>
      </c>
      <c r="C9578" t="s">
        <v>2008</v>
      </c>
      <c r="D9578">
        <v>1</v>
      </c>
      <c r="E9578" s="16">
        <v>5.23</v>
      </c>
      <c r="F9578" s="1">
        <v>44842</v>
      </c>
      <c r="G9578" t="s">
        <v>2012</v>
      </c>
      <c r="H9578">
        <v>3</v>
      </c>
      <c r="I9578" s="12">
        <f>Table16[[#This Row],[price]]*Table16[[#This Row],[quantity]]</f>
        <v>5.23</v>
      </c>
    </row>
    <row r="9579" spans="1:9" x14ac:dyDescent="0.3">
      <c r="A9579" t="s">
        <v>11598</v>
      </c>
      <c r="B9579" t="s">
        <v>1918</v>
      </c>
      <c r="C9579" t="s">
        <v>2001</v>
      </c>
      <c r="D9579">
        <v>3</v>
      </c>
      <c r="E9579" s="16">
        <v>900.24</v>
      </c>
      <c r="F9579" s="1">
        <v>44307</v>
      </c>
      <c r="G9579" t="s">
        <v>2041</v>
      </c>
      <c r="H9579">
        <v>2</v>
      </c>
      <c r="I9579" s="12">
        <f>Table16[[#This Row],[price]]*Table16[[#This Row],[quantity]]</f>
        <v>2700.7200000000003</v>
      </c>
    </row>
    <row r="9580" spans="1:9" x14ac:dyDescent="0.3">
      <c r="A9580" t="s">
        <v>11599</v>
      </c>
      <c r="B9580" t="s">
        <v>1918</v>
      </c>
      <c r="C9580" t="s">
        <v>2015</v>
      </c>
      <c r="D9580">
        <v>1</v>
      </c>
      <c r="E9580" s="16">
        <v>600.16999999999996</v>
      </c>
      <c r="F9580" s="1">
        <v>44323</v>
      </c>
      <c r="G9580" t="s">
        <v>2027</v>
      </c>
      <c r="H9580">
        <v>2</v>
      </c>
      <c r="I9580" s="12">
        <f>Table16[[#This Row],[price]]*Table16[[#This Row],[quantity]]</f>
        <v>600.16999999999996</v>
      </c>
    </row>
    <row r="9581" spans="1:9" x14ac:dyDescent="0.3">
      <c r="A9581" t="s">
        <v>11596</v>
      </c>
      <c r="B9581" t="s">
        <v>1918</v>
      </c>
      <c r="C9581" t="s">
        <v>2015</v>
      </c>
      <c r="D9581">
        <v>2</v>
      </c>
      <c r="E9581" s="16">
        <v>1200.3399999999999</v>
      </c>
      <c r="F9581" s="1">
        <v>44480</v>
      </c>
      <c r="G9581" t="s">
        <v>2064</v>
      </c>
      <c r="H9581">
        <v>2</v>
      </c>
      <c r="I9581" s="12">
        <f>Table16[[#This Row],[price]]*Table16[[#This Row],[quantity]]</f>
        <v>2400.6799999999998</v>
      </c>
    </row>
    <row r="9582" spans="1:9" x14ac:dyDescent="0.3">
      <c r="A9582" t="s">
        <v>11601</v>
      </c>
      <c r="B9582" t="s">
        <v>1918</v>
      </c>
      <c r="C9582" t="s">
        <v>2008</v>
      </c>
      <c r="D9582">
        <v>3</v>
      </c>
      <c r="E9582" s="16">
        <v>15.69</v>
      </c>
      <c r="F9582" s="1">
        <v>44492</v>
      </c>
      <c r="G9582" t="s">
        <v>2064</v>
      </c>
      <c r="H9582">
        <v>5</v>
      </c>
      <c r="I9582" s="12">
        <f>Table16[[#This Row],[price]]*Table16[[#This Row],[quantity]]</f>
        <v>47.07</v>
      </c>
    </row>
    <row r="9583" spans="1:9" x14ac:dyDescent="0.3">
      <c r="A9583" t="s">
        <v>11597</v>
      </c>
      <c r="B9583" t="s">
        <v>1918</v>
      </c>
      <c r="C9583" t="s">
        <v>2011</v>
      </c>
      <c r="D9583">
        <v>5</v>
      </c>
      <c r="E9583" s="16">
        <v>203.3</v>
      </c>
      <c r="F9583" s="1">
        <v>44550</v>
      </c>
      <c r="G9583" t="s">
        <v>2004</v>
      </c>
      <c r="H9583">
        <v>5</v>
      </c>
      <c r="I9583" s="12">
        <f>Table16[[#This Row],[price]]*Table16[[#This Row],[quantity]]</f>
        <v>1016.5</v>
      </c>
    </row>
    <row r="9584" spans="1:9" x14ac:dyDescent="0.3">
      <c r="A9584" t="s">
        <v>11595</v>
      </c>
      <c r="B9584" t="s">
        <v>1918</v>
      </c>
      <c r="C9584" t="s">
        <v>2011</v>
      </c>
      <c r="D9584">
        <v>3</v>
      </c>
      <c r="E9584" s="16">
        <v>121.98</v>
      </c>
      <c r="F9584" s="1">
        <v>44671</v>
      </c>
      <c r="G9584" t="s">
        <v>2012</v>
      </c>
      <c r="H9584">
        <v>1</v>
      </c>
      <c r="I9584" s="12">
        <f>Table16[[#This Row],[price]]*Table16[[#This Row],[quantity]]</f>
        <v>365.94</v>
      </c>
    </row>
    <row r="9585" spans="1:9" x14ac:dyDescent="0.3">
      <c r="A9585" t="s">
        <v>11600</v>
      </c>
      <c r="B9585" t="s">
        <v>1918</v>
      </c>
      <c r="C9585" t="s">
        <v>2015</v>
      </c>
      <c r="D9585">
        <v>4</v>
      </c>
      <c r="E9585" s="16">
        <v>2400.6799999999998</v>
      </c>
      <c r="F9585" s="1">
        <v>44727</v>
      </c>
      <c r="G9585" t="s">
        <v>2027</v>
      </c>
      <c r="H9585">
        <v>5</v>
      </c>
      <c r="I9585" s="12">
        <f>Table16[[#This Row],[price]]*Table16[[#This Row],[quantity]]</f>
        <v>9602.7199999999993</v>
      </c>
    </row>
    <row r="9586" spans="1:9" x14ac:dyDescent="0.3">
      <c r="A9586" t="s">
        <v>11602</v>
      </c>
      <c r="B9586" t="s">
        <v>1919</v>
      </c>
      <c r="C9586" t="s">
        <v>2006</v>
      </c>
      <c r="D9586">
        <v>5</v>
      </c>
      <c r="E9586" s="16">
        <v>75.75</v>
      </c>
      <c r="F9586" s="1">
        <v>44219</v>
      </c>
      <c r="G9586" t="s">
        <v>2041</v>
      </c>
      <c r="H9586">
        <v>2</v>
      </c>
      <c r="I9586" s="12">
        <f>Table16[[#This Row],[price]]*Table16[[#This Row],[quantity]]</f>
        <v>378.75</v>
      </c>
    </row>
    <row r="9587" spans="1:9" x14ac:dyDescent="0.3">
      <c r="A9587" t="s">
        <v>11604</v>
      </c>
      <c r="B9587" t="s">
        <v>1919</v>
      </c>
      <c r="C9587" t="s">
        <v>2017</v>
      </c>
      <c r="D9587">
        <v>1</v>
      </c>
      <c r="E9587" s="16">
        <v>1050</v>
      </c>
      <c r="F9587" s="1">
        <v>44280</v>
      </c>
      <c r="G9587" t="s">
        <v>2004</v>
      </c>
      <c r="H9587">
        <v>1</v>
      </c>
      <c r="I9587" s="12">
        <f>Table16[[#This Row],[price]]*Table16[[#This Row],[quantity]]</f>
        <v>1050</v>
      </c>
    </row>
    <row r="9588" spans="1:9" x14ac:dyDescent="0.3">
      <c r="A9588" t="s">
        <v>11605</v>
      </c>
      <c r="B9588" t="s">
        <v>1919</v>
      </c>
      <c r="C9588" t="s">
        <v>2015</v>
      </c>
      <c r="D9588">
        <v>4</v>
      </c>
      <c r="E9588" s="16">
        <v>2400.6799999999998</v>
      </c>
      <c r="F9588" s="1">
        <v>44406</v>
      </c>
      <c r="G9588" t="s">
        <v>2004</v>
      </c>
      <c r="H9588">
        <v>4</v>
      </c>
      <c r="I9588" s="12">
        <f>Table16[[#This Row],[price]]*Table16[[#This Row],[quantity]]</f>
        <v>9602.7199999999993</v>
      </c>
    </row>
    <row r="9589" spans="1:9" x14ac:dyDescent="0.3">
      <c r="A9589" t="s">
        <v>11607</v>
      </c>
      <c r="B9589" t="s">
        <v>1919</v>
      </c>
      <c r="C9589" t="s">
        <v>2057</v>
      </c>
      <c r="D9589">
        <v>5</v>
      </c>
      <c r="E9589" s="16">
        <v>58.65</v>
      </c>
      <c r="F9589" s="1">
        <v>44464</v>
      </c>
      <c r="G9589" t="s">
        <v>2002</v>
      </c>
      <c r="H9589">
        <v>2</v>
      </c>
      <c r="I9589" s="12">
        <f>Table16[[#This Row],[price]]*Table16[[#This Row],[quantity]]</f>
        <v>293.25</v>
      </c>
    </row>
    <row r="9590" spans="1:9" x14ac:dyDescent="0.3">
      <c r="A9590" t="s">
        <v>11606</v>
      </c>
      <c r="B9590" t="s">
        <v>1919</v>
      </c>
      <c r="C9590" t="s">
        <v>2001</v>
      </c>
      <c r="D9590">
        <v>2</v>
      </c>
      <c r="E9590" s="16">
        <v>600.16</v>
      </c>
      <c r="F9590" s="1">
        <v>44537</v>
      </c>
      <c r="G9590" t="s">
        <v>2027</v>
      </c>
      <c r="H9590">
        <v>3</v>
      </c>
      <c r="I9590" s="12">
        <f>Table16[[#This Row],[price]]*Table16[[#This Row],[quantity]]</f>
        <v>1200.32</v>
      </c>
    </row>
    <row r="9591" spans="1:9" x14ac:dyDescent="0.3">
      <c r="A9591" t="s">
        <v>11608</v>
      </c>
      <c r="B9591" t="s">
        <v>1919</v>
      </c>
      <c r="C9591" t="s">
        <v>2024</v>
      </c>
      <c r="D9591">
        <v>3</v>
      </c>
      <c r="E9591" s="16">
        <v>107.52</v>
      </c>
      <c r="F9591" s="1">
        <v>44783</v>
      </c>
      <c r="G9591" t="s">
        <v>2027</v>
      </c>
      <c r="H9591">
        <v>3</v>
      </c>
      <c r="I9591" s="12">
        <f>Table16[[#This Row],[price]]*Table16[[#This Row],[quantity]]</f>
        <v>322.56</v>
      </c>
    </row>
    <row r="9592" spans="1:9" x14ac:dyDescent="0.3">
      <c r="A9592" t="s">
        <v>11603</v>
      </c>
      <c r="B9592" t="s">
        <v>1919</v>
      </c>
      <c r="C9592" t="s">
        <v>2006</v>
      </c>
      <c r="D9592">
        <v>2</v>
      </c>
      <c r="E9592" s="16">
        <v>30.3</v>
      </c>
      <c r="F9592" s="1">
        <v>44889</v>
      </c>
      <c r="G9592" t="s">
        <v>2002</v>
      </c>
      <c r="H9592">
        <v>4</v>
      </c>
      <c r="I9592" s="12">
        <f>Table16[[#This Row],[price]]*Table16[[#This Row],[quantity]]</f>
        <v>60.6</v>
      </c>
    </row>
    <row r="9593" spans="1:9" x14ac:dyDescent="0.3">
      <c r="A9593" t="s">
        <v>11609</v>
      </c>
      <c r="B9593" t="s">
        <v>1920</v>
      </c>
      <c r="C9593" t="s">
        <v>2006</v>
      </c>
      <c r="D9593">
        <v>1</v>
      </c>
      <c r="E9593" s="16">
        <v>15.15</v>
      </c>
      <c r="F9593" s="1">
        <v>44581</v>
      </c>
      <c r="G9593" t="s">
        <v>2020</v>
      </c>
      <c r="H9593">
        <v>4</v>
      </c>
      <c r="I9593" s="12">
        <f>Table16[[#This Row],[price]]*Table16[[#This Row],[quantity]]</f>
        <v>15.15</v>
      </c>
    </row>
    <row r="9594" spans="1:9" x14ac:dyDescent="0.3">
      <c r="A9594" t="s">
        <v>11614</v>
      </c>
      <c r="B9594" t="s">
        <v>1920</v>
      </c>
      <c r="C9594" t="s">
        <v>2017</v>
      </c>
      <c r="D9594">
        <v>2</v>
      </c>
      <c r="E9594" s="16">
        <v>2100</v>
      </c>
      <c r="F9594" s="1">
        <v>44638</v>
      </c>
      <c r="G9594" t="s">
        <v>2027</v>
      </c>
      <c r="H9594">
        <v>1</v>
      </c>
      <c r="I9594" s="12">
        <f>Table16[[#This Row],[price]]*Table16[[#This Row],[quantity]]</f>
        <v>4200</v>
      </c>
    </row>
    <row r="9595" spans="1:9" x14ac:dyDescent="0.3">
      <c r="A9595" t="s">
        <v>11612</v>
      </c>
      <c r="B9595" t="s">
        <v>1920</v>
      </c>
      <c r="C9595" t="s">
        <v>2011</v>
      </c>
      <c r="D9595">
        <v>2</v>
      </c>
      <c r="E9595" s="16">
        <v>81.319999999999993</v>
      </c>
      <c r="F9595" s="1">
        <v>44675</v>
      </c>
      <c r="G9595" t="s">
        <v>2002</v>
      </c>
      <c r="H9595">
        <v>4</v>
      </c>
      <c r="I9595" s="12">
        <f>Table16[[#This Row],[price]]*Table16[[#This Row],[quantity]]</f>
        <v>162.63999999999999</v>
      </c>
    </row>
    <row r="9596" spans="1:9" x14ac:dyDescent="0.3">
      <c r="A9596" t="s">
        <v>11613</v>
      </c>
      <c r="B9596" t="s">
        <v>1920</v>
      </c>
      <c r="C9596" t="s">
        <v>2024</v>
      </c>
      <c r="D9596">
        <v>4</v>
      </c>
      <c r="E9596" s="16">
        <v>143.36000000000001</v>
      </c>
      <c r="F9596" s="1">
        <v>44793</v>
      </c>
      <c r="G9596" t="s">
        <v>2004</v>
      </c>
      <c r="H9596">
        <v>5</v>
      </c>
      <c r="I9596" s="12">
        <f>Table16[[#This Row],[price]]*Table16[[#This Row],[quantity]]</f>
        <v>573.44000000000005</v>
      </c>
    </row>
    <row r="9597" spans="1:9" x14ac:dyDescent="0.3">
      <c r="A9597" t="s">
        <v>11610</v>
      </c>
      <c r="B9597" t="s">
        <v>1920</v>
      </c>
      <c r="C9597" t="s">
        <v>2006</v>
      </c>
      <c r="D9597">
        <v>2</v>
      </c>
      <c r="E9597" s="16">
        <v>30.3</v>
      </c>
      <c r="F9597" s="1">
        <v>44848</v>
      </c>
      <c r="G9597" t="s">
        <v>2041</v>
      </c>
      <c r="H9597">
        <v>4</v>
      </c>
      <c r="I9597" s="12">
        <f>Table16[[#This Row],[price]]*Table16[[#This Row],[quantity]]</f>
        <v>60.6</v>
      </c>
    </row>
    <row r="9598" spans="1:9" x14ac:dyDescent="0.3">
      <c r="A9598" t="s">
        <v>11611</v>
      </c>
      <c r="B9598" t="s">
        <v>1920</v>
      </c>
      <c r="C9598" t="s">
        <v>2015</v>
      </c>
      <c r="D9598">
        <v>5</v>
      </c>
      <c r="E9598" s="16">
        <v>3000.85</v>
      </c>
      <c r="F9598" s="1">
        <v>44851</v>
      </c>
      <c r="G9598" t="s">
        <v>2027</v>
      </c>
      <c r="H9598">
        <v>3</v>
      </c>
      <c r="I9598" s="12">
        <f>Table16[[#This Row],[price]]*Table16[[#This Row],[quantity]]</f>
        <v>15004.25</v>
      </c>
    </row>
    <row r="9599" spans="1:9" x14ac:dyDescent="0.3">
      <c r="A9599" t="s">
        <v>11615</v>
      </c>
      <c r="B9599" t="s">
        <v>1921</v>
      </c>
      <c r="C9599" t="s">
        <v>2015</v>
      </c>
      <c r="D9599">
        <v>5</v>
      </c>
      <c r="E9599" s="16">
        <v>3000.85</v>
      </c>
      <c r="F9599" s="1">
        <v>44324</v>
      </c>
      <c r="G9599" t="s">
        <v>2020</v>
      </c>
      <c r="H9599">
        <v>2</v>
      </c>
      <c r="I9599" s="12">
        <f>Table16[[#This Row],[price]]*Table16[[#This Row],[quantity]]</f>
        <v>15004.25</v>
      </c>
    </row>
    <row r="9600" spans="1:9" x14ac:dyDescent="0.3">
      <c r="A9600" t="s">
        <v>11620</v>
      </c>
      <c r="B9600" t="s">
        <v>1921</v>
      </c>
      <c r="C9600" t="s">
        <v>2008</v>
      </c>
      <c r="D9600">
        <v>5</v>
      </c>
      <c r="E9600" s="16">
        <v>26.15</v>
      </c>
      <c r="F9600" s="1">
        <v>44340</v>
      </c>
      <c r="G9600" t="s">
        <v>2002</v>
      </c>
      <c r="H9600">
        <v>2</v>
      </c>
      <c r="I9600" s="12">
        <f>Table16[[#This Row],[price]]*Table16[[#This Row],[quantity]]</f>
        <v>130.75</v>
      </c>
    </row>
    <row r="9601" spans="1:9" x14ac:dyDescent="0.3">
      <c r="A9601" t="s">
        <v>11621</v>
      </c>
      <c r="B9601" t="s">
        <v>1921</v>
      </c>
      <c r="C9601" t="s">
        <v>2008</v>
      </c>
      <c r="D9601">
        <v>2</v>
      </c>
      <c r="E9601" s="16">
        <v>10.46</v>
      </c>
      <c r="F9601" s="1">
        <v>44349</v>
      </c>
      <c r="G9601" t="s">
        <v>2018</v>
      </c>
      <c r="H9601">
        <v>1</v>
      </c>
      <c r="I9601" s="12">
        <f>Table16[[#This Row],[price]]*Table16[[#This Row],[quantity]]</f>
        <v>20.92</v>
      </c>
    </row>
    <row r="9602" spans="1:9" x14ac:dyDescent="0.3">
      <c r="A9602" t="s">
        <v>11617</v>
      </c>
      <c r="B9602" t="s">
        <v>1921</v>
      </c>
      <c r="C9602" t="s">
        <v>2011</v>
      </c>
      <c r="D9602">
        <v>3</v>
      </c>
      <c r="E9602" s="16">
        <v>121.98</v>
      </c>
      <c r="F9602" s="1">
        <v>44351</v>
      </c>
      <c r="G9602" t="s">
        <v>2027</v>
      </c>
      <c r="H9602">
        <v>4</v>
      </c>
      <c r="I9602" s="12">
        <f>Table16[[#This Row],[price]]*Table16[[#This Row],[quantity]]</f>
        <v>365.94</v>
      </c>
    </row>
    <row r="9603" spans="1:9" x14ac:dyDescent="0.3">
      <c r="A9603" t="s">
        <v>11618</v>
      </c>
      <c r="B9603" t="s">
        <v>1921</v>
      </c>
      <c r="C9603" t="s">
        <v>2024</v>
      </c>
      <c r="D9603">
        <v>2</v>
      </c>
      <c r="E9603" s="16">
        <v>71.680000000000007</v>
      </c>
      <c r="F9603" s="1">
        <v>44447</v>
      </c>
      <c r="G9603" t="s">
        <v>2027</v>
      </c>
      <c r="H9603">
        <v>2</v>
      </c>
      <c r="I9603" s="12">
        <f>Table16[[#This Row],[price]]*Table16[[#This Row],[quantity]]</f>
        <v>143.36000000000001</v>
      </c>
    </row>
    <row r="9604" spans="1:9" x14ac:dyDescent="0.3">
      <c r="A9604" t="s">
        <v>11622</v>
      </c>
      <c r="B9604" t="s">
        <v>1921</v>
      </c>
      <c r="C9604" t="s">
        <v>2001</v>
      </c>
      <c r="D9604">
        <v>2</v>
      </c>
      <c r="E9604" s="16">
        <v>600.16</v>
      </c>
      <c r="F9604" s="1">
        <v>44513</v>
      </c>
      <c r="G9604" t="s">
        <v>2027</v>
      </c>
      <c r="H9604">
        <v>3</v>
      </c>
      <c r="I9604" s="12">
        <f>Table16[[#This Row],[price]]*Table16[[#This Row],[quantity]]</f>
        <v>1200.32</v>
      </c>
    </row>
    <row r="9605" spans="1:9" x14ac:dyDescent="0.3">
      <c r="A9605" t="s">
        <v>11616</v>
      </c>
      <c r="B9605" t="s">
        <v>1921</v>
      </c>
      <c r="C9605" t="s">
        <v>2008</v>
      </c>
      <c r="D9605">
        <v>3</v>
      </c>
      <c r="E9605" s="16">
        <v>15.69</v>
      </c>
      <c r="F9605" s="1">
        <v>44948</v>
      </c>
      <c r="G9605" t="s">
        <v>2004</v>
      </c>
      <c r="H9605">
        <v>1</v>
      </c>
      <c r="I9605" s="12">
        <f>Table16[[#This Row],[price]]*Table16[[#This Row],[quantity]]</f>
        <v>47.07</v>
      </c>
    </row>
    <row r="9606" spans="1:9" x14ac:dyDescent="0.3">
      <c r="A9606" t="s">
        <v>11623</v>
      </c>
      <c r="B9606" t="s">
        <v>1921</v>
      </c>
      <c r="C9606" t="s">
        <v>2024</v>
      </c>
      <c r="D9606">
        <v>1</v>
      </c>
      <c r="E9606" s="16">
        <v>35.840000000000003</v>
      </c>
      <c r="F9606" s="1">
        <v>44964</v>
      </c>
      <c r="G9606" t="s">
        <v>2027</v>
      </c>
      <c r="H9606">
        <v>3</v>
      </c>
      <c r="I9606" s="12">
        <f>Table16[[#This Row],[price]]*Table16[[#This Row],[quantity]]</f>
        <v>35.840000000000003</v>
      </c>
    </row>
    <row r="9607" spans="1:9" x14ac:dyDescent="0.3">
      <c r="A9607" t="s">
        <v>11619</v>
      </c>
      <c r="B9607" t="s">
        <v>1921</v>
      </c>
      <c r="C9607" t="s">
        <v>2008</v>
      </c>
      <c r="D9607">
        <v>3</v>
      </c>
      <c r="E9607" s="16">
        <v>15.69</v>
      </c>
      <c r="F9607" s="1">
        <v>44967</v>
      </c>
      <c r="G9607" t="s">
        <v>2064</v>
      </c>
      <c r="H9607">
        <v>4</v>
      </c>
      <c r="I9607" s="12">
        <f>Table16[[#This Row],[price]]*Table16[[#This Row],[quantity]]</f>
        <v>47.07</v>
      </c>
    </row>
    <row r="9608" spans="1:9" x14ac:dyDescent="0.3">
      <c r="A9608" t="s">
        <v>11628</v>
      </c>
      <c r="B9608" t="s">
        <v>1922</v>
      </c>
      <c r="C9608" t="s">
        <v>2015</v>
      </c>
      <c r="D9608">
        <v>5</v>
      </c>
      <c r="E9608" s="16">
        <v>3000.85</v>
      </c>
      <c r="F9608" s="1">
        <v>44200</v>
      </c>
      <c r="G9608" t="s">
        <v>2004</v>
      </c>
      <c r="H9608">
        <v>2</v>
      </c>
      <c r="I9608" s="12">
        <f>Table16[[#This Row],[price]]*Table16[[#This Row],[quantity]]</f>
        <v>15004.25</v>
      </c>
    </row>
    <row r="9609" spans="1:9" x14ac:dyDescent="0.3">
      <c r="A9609" t="s">
        <v>11624</v>
      </c>
      <c r="B9609" t="s">
        <v>1922</v>
      </c>
      <c r="C9609" t="s">
        <v>2008</v>
      </c>
      <c r="D9609">
        <v>1</v>
      </c>
      <c r="E9609" s="16">
        <v>5.23</v>
      </c>
      <c r="F9609" s="1">
        <v>44413</v>
      </c>
      <c r="G9609" t="s">
        <v>2027</v>
      </c>
      <c r="H9609">
        <v>1</v>
      </c>
      <c r="I9609" s="12">
        <f>Table16[[#This Row],[price]]*Table16[[#This Row],[quantity]]</f>
        <v>5.23</v>
      </c>
    </row>
    <row r="9610" spans="1:9" x14ac:dyDescent="0.3">
      <c r="A9610" t="s">
        <v>11627</v>
      </c>
      <c r="B9610" t="s">
        <v>1922</v>
      </c>
      <c r="C9610" t="s">
        <v>2011</v>
      </c>
      <c r="D9610">
        <v>4</v>
      </c>
      <c r="E9610" s="16">
        <v>162.63999999999999</v>
      </c>
      <c r="F9610" s="1">
        <v>44609</v>
      </c>
      <c r="G9610" t="s">
        <v>2020</v>
      </c>
      <c r="H9610">
        <v>2</v>
      </c>
      <c r="I9610" s="12">
        <f>Table16[[#This Row],[price]]*Table16[[#This Row],[quantity]]</f>
        <v>650.55999999999995</v>
      </c>
    </row>
    <row r="9611" spans="1:9" x14ac:dyDescent="0.3">
      <c r="A9611" t="s">
        <v>11625</v>
      </c>
      <c r="B9611" t="s">
        <v>1922</v>
      </c>
      <c r="C9611" t="s">
        <v>2024</v>
      </c>
      <c r="D9611">
        <v>3</v>
      </c>
      <c r="E9611" s="16">
        <v>107.52</v>
      </c>
      <c r="F9611" s="1">
        <v>44774</v>
      </c>
      <c r="G9611" t="s">
        <v>2064</v>
      </c>
      <c r="H9611">
        <v>1</v>
      </c>
      <c r="I9611" s="12">
        <f>Table16[[#This Row],[price]]*Table16[[#This Row],[quantity]]</f>
        <v>322.56</v>
      </c>
    </row>
    <row r="9612" spans="1:9" x14ac:dyDescent="0.3">
      <c r="A9612" t="s">
        <v>11626</v>
      </c>
      <c r="B9612" t="s">
        <v>1922</v>
      </c>
      <c r="C9612" t="s">
        <v>2017</v>
      </c>
      <c r="D9612">
        <v>3</v>
      </c>
      <c r="E9612" s="16">
        <v>3150</v>
      </c>
      <c r="F9612" s="1">
        <v>44923</v>
      </c>
      <c r="G9612" t="s">
        <v>2020</v>
      </c>
      <c r="H9612">
        <v>5</v>
      </c>
      <c r="I9612" s="12">
        <f>Table16[[#This Row],[price]]*Table16[[#This Row],[quantity]]</f>
        <v>9450</v>
      </c>
    </row>
    <row r="9613" spans="1:9" x14ac:dyDescent="0.3">
      <c r="A9613" t="s">
        <v>11629</v>
      </c>
      <c r="B9613" t="s">
        <v>1923</v>
      </c>
      <c r="C9613" t="s">
        <v>2011</v>
      </c>
      <c r="D9613">
        <v>5</v>
      </c>
      <c r="E9613" s="16">
        <v>203.3</v>
      </c>
      <c r="F9613" s="1">
        <v>44308</v>
      </c>
      <c r="G9613" t="s">
        <v>2027</v>
      </c>
      <c r="H9613">
        <v>3</v>
      </c>
      <c r="I9613" s="12">
        <f>Table16[[#This Row],[price]]*Table16[[#This Row],[quantity]]</f>
        <v>1016.5</v>
      </c>
    </row>
    <row r="9614" spans="1:9" x14ac:dyDescent="0.3">
      <c r="A9614" t="s">
        <v>11630</v>
      </c>
      <c r="B9614" t="s">
        <v>1923</v>
      </c>
      <c r="C9614" t="s">
        <v>2001</v>
      </c>
      <c r="D9614">
        <v>3</v>
      </c>
      <c r="E9614" s="16">
        <v>900.24</v>
      </c>
      <c r="F9614" s="1">
        <v>44355</v>
      </c>
      <c r="G9614" t="s">
        <v>2041</v>
      </c>
      <c r="H9614">
        <v>3</v>
      </c>
      <c r="I9614" s="12">
        <f>Table16[[#This Row],[price]]*Table16[[#This Row],[quantity]]</f>
        <v>2700.7200000000003</v>
      </c>
    </row>
    <row r="9615" spans="1:9" x14ac:dyDescent="0.3">
      <c r="A9615" t="s">
        <v>11632</v>
      </c>
      <c r="B9615" t="s">
        <v>1923</v>
      </c>
      <c r="C9615" t="s">
        <v>2001</v>
      </c>
      <c r="D9615">
        <v>5</v>
      </c>
      <c r="E9615" s="16">
        <v>1500.4</v>
      </c>
      <c r="F9615" s="1">
        <v>44504</v>
      </c>
      <c r="G9615" t="s">
        <v>2027</v>
      </c>
      <c r="H9615">
        <v>4</v>
      </c>
      <c r="I9615" s="12">
        <f>Table16[[#This Row],[price]]*Table16[[#This Row],[quantity]]</f>
        <v>7502</v>
      </c>
    </row>
    <row r="9616" spans="1:9" x14ac:dyDescent="0.3">
      <c r="A9616" t="s">
        <v>11631</v>
      </c>
      <c r="B9616" t="s">
        <v>1923</v>
      </c>
      <c r="C9616" t="s">
        <v>2011</v>
      </c>
      <c r="D9616">
        <v>1</v>
      </c>
      <c r="E9616" s="16">
        <v>40.659999999999997</v>
      </c>
      <c r="F9616" s="1">
        <v>44756</v>
      </c>
      <c r="G9616" t="s">
        <v>2002</v>
      </c>
      <c r="H9616">
        <v>4</v>
      </c>
      <c r="I9616" s="12">
        <f>Table16[[#This Row],[price]]*Table16[[#This Row],[quantity]]</f>
        <v>40.659999999999997</v>
      </c>
    </row>
    <row r="9617" spans="1:9" x14ac:dyDescent="0.3">
      <c r="A9617" t="s">
        <v>11638</v>
      </c>
      <c r="B9617" t="s">
        <v>1924</v>
      </c>
      <c r="C9617" t="s">
        <v>2001</v>
      </c>
      <c r="D9617">
        <v>1</v>
      </c>
      <c r="E9617" s="16">
        <v>300.08</v>
      </c>
      <c r="F9617" s="1">
        <v>44393</v>
      </c>
      <c r="G9617" t="s">
        <v>2002</v>
      </c>
      <c r="H9617">
        <v>5</v>
      </c>
      <c r="I9617" s="12">
        <f>Table16[[#This Row],[price]]*Table16[[#This Row],[quantity]]</f>
        <v>300.08</v>
      </c>
    </row>
    <row r="9618" spans="1:9" x14ac:dyDescent="0.3">
      <c r="A9618" t="s">
        <v>11633</v>
      </c>
      <c r="B9618" t="s">
        <v>1924</v>
      </c>
      <c r="C9618" t="s">
        <v>2001</v>
      </c>
      <c r="D9618">
        <v>2</v>
      </c>
      <c r="E9618" s="16">
        <v>600.16</v>
      </c>
      <c r="F9618" s="1">
        <v>44552</v>
      </c>
      <c r="G9618" t="s">
        <v>2009</v>
      </c>
      <c r="H9618">
        <v>4</v>
      </c>
      <c r="I9618" s="12">
        <f>Table16[[#This Row],[price]]*Table16[[#This Row],[quantity]]</f>
        <v>1200.32</v>
      </c>
    </row>
    <row r="9619" spans="1:9" x14ac:dyDescent="0.3">
      <c r="A9619" t="s">
        <v>11637</v>
      </c>
      <c r="B9619" t="s">
        <v>1924</v>
      </c>
      <c r="C9619" t="s">
        <v>2001</v>
      </c>
      <c r="D9619">
        <v>1</v>
      </c>
      <c r="E9619" s="16">
        <v>300.08</v>
      </c>
      <c r="F9619" s="1">
        <v>44688</v>
      </c>
      <c r="G9619" t="s">
        <v>2041</v>
      </c>
      <c r="H9619">
        <v>3</v>
      </c>
      <c r="I9619" s="12">
        <f>Table16[[#This Row],[price]]*Table16[[#This Row],[quantity]]</f>
        <v>300.08</v>
      </c>
    </row>
    <row r="9620" spans="1:9" x14ac:dyDescent="0.3">
      <c r="A9620" t="s">
        <v>11636</v>
      </c>
      <c r="B9620" t="s">
        <v>1924</v>
      </c>
      <c r="C9620" t="s">
        <v>2001</v>
      </c>
      <c r="D9620">
        <v>4</v>
      </c>
      <c r="E9620" s="16">
        <v>1200.32</v>
      </c>
      <c r="F9620" s="1">
        <v>44770</v>
      </c>
      <c r="G9620" t="s">
        <v>2004</v>
      </c>
      <c r="H9620">
        <v>4</v>
      </c>
      <c r="I9620" s="12">
        <f>Table16[[#This Row],[price]]*Table16[[#This Row],[quantity]]</f>
        <v>4801.28</v>
      </c>
    </row>
    <row r="9621" spans="1:9" x14ac:dyDescent="0.3">
      <c r="A9621" t="s">
        <v>11634</v>
      </c>
      <c r="B9621" t="s">
        <v>1924</v>
      </c>
      <c r="C9621" t="s">
        <v>2011</v>
      </c>
      <c r="D9621">
        <v>2</v>
      </c>
      <c r="E9621" s="16">
        <v>81.319999999999993</v>
      </c>
      <c r="F9621" s="1">
        <v>44777</v>
      </c>
      <c r="G9621" t="s">
        <v>2004</v>
      </c>
      <c r="H9621">
        <v>3</v>
      </c>
      <c r="I9621" s="12">
        <f>Table16[[#This Row],[price]]*Table16[[#This Row],[quantity]]</f>
        <v>162.63999999999999</v>
      </c>
    </row>
    <row r="9622" spans="1:9" x14ac:dyDescent="0.3">
      <c r="A9622" t="s">
        <v>11635</v>
      </c>
      <c r="B9622" t="s">
        <v>1924</v>
      </c>
      <c r="C9622" t="s">
        <v>2008</v>
      </c>
      <c r="D9622">
        <v>5</v>
      </c>
      <c r="E9622" s="16">
        <v>26.15</v>
      </c>
      <c r="F9622" s="1">
        <v>44907</v>
      </c>
      <c r="G9622" t="s">
        <v>2020</v>
      </c>
      <c r="H9622">
        <v>3</v>
      </c>
      <c r="I9622" s="12">
        <f>Table16[[#This Row],[price]]*Table16[[#This Row],[quantity]]</f>
        <v>130.75</v>
      </c>
    </row>
    <row r="9623" spans="1:9" x14ac:dyDescent="0.3">
      <c r="A9623" t="s">
        <v>11639</v>
      </c>
      <c r="B9623" t="s">
        <v>1924</v>
      </c>
      <c r="C9623" t="s">
        <v>2024</v>
      </c>
      <c r="D9623">
        <v>5</v>
      </c>
      <c r="E9623" s="16">
        <v>179.2</v>
      </c>
      <c r="F9623" s="1">
        <v>44927</v>
      </c>
      <c r="G9623" t="s">
        <v>2002</v>
      </c>
      <c r="H9623">
        <v>3</v>
      </c>
      <c r="I9623" s="12">
        <f>Table16[[#This Row],[price]]*Table16[[#This Row],[quantity]]</f>
        <v>896</v>
      </c>
    </row>
    <row r="9624" spans="1:9" x14ac:dyDescent="0.3">
      <c r="A9624" t="s">
        <v>11641</v>
      </c>
      <c r="B9624" t="s">
        <v>1925</v>
      </c>
      <c r="C9624" t="s">
        <v>2001</v>
      </c>
      <c r="D9624">
        <v>4</v>
      </c>
      <c r="E9624" s="16">
        <v>1200.32</v>
      </c>
      <c r="F9624" s="1">
        <v>44312</v>
      </c>
      <c r="G9624" t="s">
        <v>2009</v>
      </c>
      <c r="H9624">
        <v>1</v>
      </c>
      <c r="I9624" s="12">
        <f>Table16[[#This Row],[price]]*Table16[[#This Row],[quantity]]</f>
        <v>4801.28</v>
      </c>
    </row>
    <row r="9625" spans="1:9" x14ac:dyDescent="0.3">
      <c r="A9625" t="s">
        <v>11640</v>
      </c>
      <c r="B9625" t="s">
        <v>1925</v>
      </c>
      <c r="C9625" t="s">
        <v>2008</v>
      </c>
      <c r="D9625">
        <v>2</v>
      </c>
      <c r="E9625" s="16">
        <v>10.46</v>
      </c>
      <c r="F9625" s="1">
        <v>44598</v>
      </c>
      <c r="G9625" t="s">
        <v>2004</v>
      </c>
      <c r="H9625">
        <v>2</v>
      </c>
      <c r="I9625" s="12">
        <f>Table16[[#This Row],[price]]*Table16[[#This Row],[quantity]]</f>
        <v>20.92</v>
      </c>
    </row>
    <row r="9626" spans="1:9" x14ac:dyDescent="0.3">
      <c r="A9626" t="s">
        <v>11643</v>
      </c>
      <c r="B9626" t="s">
        <v>1925</v>
      </c>
      <c r="C9626" t="s">
        <v>2001</v>
      </c>
      <c r="D9626">
        <v>1</v>
      </c>
      <c r="E9626" s="16">
        <v>300.08</v>
      </c>
      <c r="F9626" s="1">
        <v>44611</v>
      </c>
      <c r="G9626" t="s">
        <v>2002</v>
      </c>
      <c r="H9626">
        <v>3</v>
      </c>
      <c r="I9626" s="12">
        <f>Table16[[#This Row],[price]]*Table16[[#This Row],[quantity]]</f>
        <v>300.08</v>
      </c>
    </row>
    <row r="9627" spans="1:9" x14ac:dyDescent="0.3">
      <c r="A9627" t="s">
        <v>11642</v>
      </c>
      <c r="B9627" t="s">
        <v>1925</v>
      </c>
      <c r="C9627" t="s">
        <v>2011</v>
      </c>
      <c r="D9627">
        <v>2</v>
      </c>
      <c r="E9627" s="16">
        <v>81.319999999999993</v>
      </c>
      <c r="F9627" s="1">
        <v>44715</v>
      </c>
      <c r="G9627" t="s">
        <v>2020</v>
      </c>
      <c r="H9627">
        <v>2</v>
      </c>
      <c r="I9627" s="12">
        <f>Table16[[#This Row],[price]]*Table16[[#This Row],[quantity]]</f>
        <v>162.63999999999999</v>
      </c>
    </row>
    <row r="9628" spans="1:9" x14ac:dyDescent="0.3">
      <c r="A9628" t="s">
        <v>11644</v>
      </c>
      <c r="B9628" t="s">
        <v>1925</v>
      </c>
      <c r="C9628" t="s">
        <v>2024</v>
      </c>
      <c r="D9628">
        <v>4</v>
      </c>
      <c r="E9628" s="16">
        <v>143.36000000000001</v>
      </c>
      <c r="F9628" s="1">
        <v>44916</v>
      </c>
      <c r="G9628" t="s">
        <v>2004</v>
      </c>
      <c r="H9628">
        <v>4</v>
      </c>
      <c r="I9628" s="12">
        <f>Table16[[#This Row],[price]]*Table16[[#This Row],[quantity]]</f>
        <v>573.44000000000005</v>
      </c>
    </row>
    <row r="9629" spans="1:9" x14ac:dyDescent="0.3">
      <c r="A9629" t="s">
        <v>11645</v>
      </c>
      <c r="B9629" t="s">
        <v>1926</v>
      </c>
      <c r="C9629" t="s">
        <v>2006</v>
      </c>
      <c r="D9629">
        <v>3</v>
      </c>
      <c r="E9629" s="16">
        <v>45.45</v>
      </c>
      <c r="F9629" s="1">
        <v>44290</v>
      </c>
      <c r="G9629" t="s">
        <v>2004</v>
      </c>
      <c r="H9629">
        <v>5</v>
      </c>
      <c r="I9629" s="12">
        <f>Table16[[#This Row],[price]]*Table16[[#This Row],[quantity]]</f>
        <v>136.35000000000002</v>
      </c>
    </row>
    <row r="9630" spans="1:9" x14ac:dyDescent="0.3">
      <c r="A9630" t="s">
        <v>11647</v>
      </c>
      <c r="B9630" t="s">
        <v>1926</v>
      </c>
      <c r="C9630" t="s">
        <v>2006</v>
      </c>
      <c r="D9630">
        <v>3</v>
      </c>
      <c r="E9630" s="16">
        <v>45.45</v>
      </c>
      <c r="F9630" s="1">
        <v>44442</v>
      </c>
      <c r="G9630" t="s">
        <v>2012</v>
      </c>
      <c r="H9630">
        <v>4</v>
      </c>
      <c r="I9630" s="12">
        <f>Table16[[#This Row],[price]]*Table16[[#This Row],[quantity]]</f>
        <v>136.35000000000002</v>
      </c>
    </row>
    <row r="9631" spans="1:9" x14ac:dyDescent="0.3">
      <c r="A9631" t="s">
        <v>11646</v>
      </c>
      <c r="B9631" t="s">
        <v>1926</v>
      </c>
      <c r="C9631" t="s">
        <v>2001</v>
      </c>
      <c r="D9631">
        <v>2</v>
      </c>
      <c r="E9631" s="16">
        <v>600.16</v>
      </c>
      <c r="F9631" s="1">
        <v>44845</v>
      </c>
      <c r="G9631" t="s">
        <v>2004</v>
      </c>
      <c r="H9631">
        <v>4</v>
      </c>
      <c r="I9631" s="12">
        <f>Table16[[#This Row],[price]]*Table16[[#This Row],[quantity]]</f>
        <v>1200.32</v>
      </c>
    </row>
    <row r="9632" spans="1:9" x14ac:dyDescent="0.3">
      <c r="A9632" t="s">
        <v>11648</v>
      </c>
      <c r="B9632" t="s">
        <v>1926</v>
      </c>
      <c r="C9632" t="s">
        <v>2011</v>
      </c>
      <c r="D9632">
        <v>1</v>
      </c>
      <c r="E9632" s="16">
        <v>40.659999999999997</v>
      </c>
      <c r="F9632" s="1">
        <v>44981</v>
      </c>
      <c r="G9632" t="s">
        <v>2058</v>
      </c>
      <c r="H9632">
        <v>4</v>
      </c>
      <c r="I9632" s="12">
        <f>Table16[[#This Row],[price]]*Table16[[#This Row],[quantity]]</f>
        <v>40.659999999999997</v>
      </c>
    </row>
    <row r="9633" spans="1:9" x14ac:dyDescent="0.3">
      <c r="A9633" t="s">
        <v>11649</v>
      </c>
      <c r="B9633" t="s">
        <v>1927</v>
      </c>
      <c r="C9633" t="s">
        <v>2015</v>
      </c>
      <c r="D9633">
        <v>2</v>
      </c>
      <c r="E9633" s="16">
        <v>1200.3399999999999</v>
      </c>
      <c r="F9633" s="1">
        <v>44425</v>
      </c>
      <c r="G9633" t="s">
        <v>2004</v>
      </c>
      <c r="H9633">
        <v>3</v>
      </c>
      <c r="I9633" s="12">
        <f>Table16[[#This Row],[price]]*Table16[[#This Row],[quantity]]</f>
        <v>2400.6799999999998</v>
      </c>
    </row>
    <row r="9634" spans="1:9" x14ac:dyDescent="0.3">
      <c r="A9634" t="s">
        <v>11653</v>
      </c>
      <c r="B9634" t="s">
        <v>1927</v>
      </c>
      <c r="C9634" t="s">
        <v>2001</v>
      </c>
      <c r="D9634">
        <v>3</v>
      </c>
      <c r="E9634" s="16">
        <v>900.24</v>
      </c>
      <c r="F9634" s="1">
        <v>44585</v>
      </c>
      <c r="G9634" t="s">
        <v>2012</v>
      </c>
      <c r="H9634">
        <v>2</v>
      </c>
      <c r="I9634" s="12">
        <f>Table16[[#This Row],[price]]*Table16[[#This Row],[quantity]]</f>
        <v>2700.7200000000003</v>
      </c>
    </row>
    <row r="9635" spans="1:9" x14ac:dyDescent="0.3">
      <c r="A9635" t="s">
        <v>11652</v>
      </c>
      <c r="B9635" t="s">
        <v>1927</v>
      </c>
      <c r="C9635" t="s">
        <v>2008</v>
      </c>
      <c r="D9635">
        <v>3</v>
      </c>
      <c r="E9635" s="16">
        <v>15.69</v>
      </c>
      <c r="F9635" s="1">
        <v>44665</v>
      </c>
      <c r="G9635" t="s">
        <v>2027</v>
      </c>
      <c r="H9635">
        <v>3</v>
      </c>
      <c r="I9635" s="12">
        <f>Table16[[#This Row],[price]]*Table16[[#This Row],[quantity]]</f>
        <v>47.07</v>
      </c>
    </row>
    <row r="9636" spans="1:9" x14ac:dyDescent="0.3">
      <c r="A9636" t="s">
        <v>11650</v>
      </c>
      <c r="B9636" t="s">
        <v>1927</v>
      </c>
      <c r="C9636" t="s">
        <v>2011</v>
      </c>
      <c r="D9636">
        <v>2</v>
      </c>
      <c r="E9636" s="16">
        <v>81.319999999999993</v>
      </c>
      <c r="F9636" s="1">
        <v>44742</v>
      </c>
      <c r="G9636" t="s">
        <v>2064</v>
      </c>
      <c r="H9636">
        <v>3</v>
      </c>
      <c r="I9636" s="12">
        <f>Table16[[#This Row],[price]]*Table16[[#This Row],[quantity]]</f>
        <v>162.63999999999999</v>
      </c>
    </row>
    <row r="9637" spans="1:9" x14ac:dyDescent="0.3">
      <c r="A9637" t="s">
        <v>11651</v>
      </c>
      <c r="B9637" t="s">
        <v>1927</v>
      </c>
      <c r="C9637" t="s">
        <v>2008</v>
      </c>
      <c r="D9637">
        <v>4</v>
      </c>
      <c r="E9637" s="16">
        <v>20.92</v>
      </c>
      <c r="F9637" s="1">
        <v>44782</v>
      </c>
      <c r="G9637" t="s">
        <v>2027</v>
      </c>
      <c r="H9637">
        <v>4</v>
      </c>
      <c r="I9637" s="12">
        <f>Table16[[#This Row],[price]]*Table16[[#This Row],[quantity]]</f>
        <v>83.68</v>
      </c>
    </row>
    <row r="9638" spans="1:9" x14ac:dyDescent="0.3">
      <c r="A9638" t="s">
        <v>11655</v>
      </c>
      <c r="B9638" t="s">
        <v>1928</v>
      </c>
      <c r="C9638" t="s">
        <v>2008</v>
      </c>
      <c r="D9638">
        <v>2</v>
      </c>
      <c r="E9638" s="16">
        <v>10.46</v>
      </c>
      <c r="F9638" s="1">
        <v>44408</v>
      </c>
      <c r="G9638" t="s">
        <v>2018</v>
      </c>
      <c r="H9638">
        <v>3</v>
      </c>
      <c r="I9638" s="12">
        <f>Table16[[#This Row],[price]]*Table16[[#This Row],[quantity]]</f>
        <v>20.92</v>
      </c>
    </row>
    <row r="9639" spans="1:9" x14ac:dyDescent="0.3">
      <c r="A9639" t="s">
        <v>11656</v>
      </c>
      <c r="B9639" t="s">
        <v>1928</v>
      </c>
      <c r="C9639" t="s">
        <v>2011</v>
      </c>
      <c r="D9639">
        <v>1</v>
      </c>
      <c r="E9639" s="16">
        <v>40.659999999999997</v>
      </c>
      <c r="F9639" s="1">
        <v>44490</v>
      </c>
      <c r="G9639" t="s">
        <v>2004</v>
      </c>
      <c r="H9639">
        <v>2</v>
      </c>
      <c r="I9639" s="12">
        <f>Table16[[#This Row],[price]]*Table16[[#This Row],[quantity]]</f>
        <v>40.659999999999997</v>
      </c>
    </row>
    <row r="9640" spans="1:9" x14ac:dyDescent="0.3">
      <c r="A9640" t="s">
        <v>11657</v>
      </c>
      <c r="B9640" t="s">
        <v>1928</v>
      </c>
      <c r="C9640" t="s">
        <v>2024</v>
      </c>
      <c r="D9640">
        <v>1</v>
      </c>
      <c r="E9640" s="16">
        <v>35.840000000000003</v>
      </c>
      <c r="F9640" s="1">
        <v>44664</v>
      </c>
      <c r="G9640" t="s">
        <v>2027</v>
      </c>
      <c r="H9640">
        <v>1</v>
      </c>
      <c r="I9640" s="12">
        <f>Table16[[#This Row],[price]]*Table16[[#This Row],[quantity]]</f>
        <v>35.840000000000003</v>
      </c>
    </row>
    <row r="9641" spans="1:9" x14ac:dyDescent="0.3">
      <c r="A9641" t="s">
        <v>11654</v>
      </c>
      <c r="B9641" t="s">
        <v>1928</v>
      </c>
      <c r="C9641" t="s">
        <v>2008</v>
      </c>
      <c r="D9641">
        <v>2</v>
      </c>
      <c r="E9641" s="16">
        <v>10.46</v>
      </c>
      <c r="F9641" s="1">
        <v>44840</v>
      </c>
      <c r="G9641" t="s">
        <v>2002</v>
      </c>
      <c r="H9641">
        <v>4</v>
      </c>
      <c r="I9641" s="12">
        <f>Table16[[#This Row],[price]]*Table16[[#This Row],[quantity]]</f>
        <v>20.92</v>
      </c>
    </row>
    <row r="9642" spans="1:9" x14ac:dyDescent="0.3">
      <c r="A9642" t="s">
        <v>11659</v>
      </c>
      <c r="B9642" t="s">
        <v>1928</v>
      </c>
      <c r="C9642" t="s">
        <v>2008</v>
      </c>
      <c r="D9642">
        <v>1</v>
      </c>
      <c r="E9642" s="16">
        <v>5.23</v>
      </c>
      <c r="F9642" s="1">
        <v>44876</v>
      </c>
      <c r="G9642" t="s">
        <v>2002</v>
      </c>
      <c r="H9642">
        <v>5</v>
      </c>
      <c r="I9642" s="12">
        <f>Table16[[#This Row],[price]]*Table16[[#This Row],[quantity]]</f>
        <v>5.23</v>
      </c>
    </row>
    <row r="9643" spans="1:9" x14ac:dyDescent="0.3">
      <c r="A9643" t="s">
        <v>11658</v>
      </c>
      <c r="B9643" t="s">
        <v>1928</v>
      </c>
      <c r="C9643" t="s">
        <v>2001</v>
      </c>
      <c r="D9643">
        <v>4</v>
      </c>
      <c r="E9643" s="16">
        <v>1200.32</v>
      </c>
      <c r="F9643" s="1">
        <v>44969</v>
      </c>
      <c r="G9643" t="s">
        <v>2041</v>
      </c>
      <c r="H9643">
        <v>2</v>
      </c>
      <c r="I9643" s="12">
        <f>Table16[[#This Row],[price]]*Table16[[#This Row],[quantity]]</f>
        <v>4801.28</v>
      </c>
    </row>
    <row r="9644" spans="1:9" x14ac:dyDescent="0.3">
      <c r="A9644" t="s">
        <v>11661</v>
      </c>
      <c r="B9644" t="s">
        <v>1929</v>
      </c>
      <c r="C9644" t="s">
        <v>2011</v>
      </c>
      <c r="D9644">
        <v>2</v>
      </c>
      <c r="E9644" s="16">
        <v>81.319999999999993</v>
      </c>
      <c r="F9644" s="1">
        <v>44280</v>
      </c>
      <c r="G9644" t="s">
        <v>2004</v>
      </c>
      <c r="H9644">
        <v>2</v>
      </c>
      <c r="I9644" s="12">
        <f>Table16[[#This Row],[price]]*Table16[[#This Row],[quantity]]</f>
        <v>162.63999999999999</v>
      </c>
    </row>
    <row r="9645" spans="1:9" x14ac:dyDescent="0.3">
      <c r="A9645" t="s">
        <v>11660</v>
      </c>
      <c r="B9645" t="s">
        <v>1929</v>
      </c>
      <c r="C9645" t="s">
        <v>2011</v>
      </c>
      <c r="D9645">
        <v>1</v>
      </c>
      <c r="E9645" s="16">
        <v>40.659999999999997</v>
      </c>
      <c r="F9645" s="1">
        <v>44457</v>
      </c>
      <c r="G9645" t="s">
        <v>2064</v>
      </c>
      <c r="H9645">
        <v>5</v>
      </c>
      <c r="I9645" s="12">
        <f>Table16[[#This Row],[price]]*Table16[[#This Row],[quantity]]</f>
        <v>40.659999999999997</v>
      </c>
    </row>
    <row r="9646" spans="1:9" x14ac:dyDescent="0.3">
      <c r="A9646" t="s">
        <v>11663</v>
      </c>
      <c r="B9646" t="s">
        <v>1929</v>
      </c>
      <c r="C9646" t="s">
        <v>2011</v>
      </c>
      <c r="D9646">
        <v>4</v>
      </c>
      <c r="E9646" s="16">
        <v>162.63999999999999</v>
      </c>
      <c r="F9646" s="1">
        <v>44467</v>
      </c>
      <c r="G9646" t="s">
        <v>2002</v>
      </c>
      <c r="H9646">
        <v>1</v>
      </c>
      <c r="I9646" s="12">
        <f>Table16[[#This Row],[price]]*Table16[[#This Row],[quantity]]</f>
        <v>650.55999999999995</v>
      </c>
    </row>
    <row r="9647" spans="1:9" x14ac:dyDescent="0.3">
      <c r="A9647" t="s">
        <v>11662</v>
      </c>
      <c r="B9647" t="s">
        <v>1929</v>
      </c>
      <c r="C9647" t="s">
        <v>2008</v>
      </c>
      <c r="D9647">
        <v>2</v>
      </c>
      <c r="E9647" s="16">
        <v>10.46</v>
      </c>
      <c r="F9647" s="1">
        <v>44481</v>
      </c>
      <c r="G9647" t="s">
        <v>2004</v>
      </c>
      <c r="H9647">
        <v>5</v>
      </c>
      <c r="I9647" s="12">
        <f>Table16[[#This Row],[price]]*Table16[[#This Row],[quantity]]</f>
        <v>20.92</v>
      </c>
    </row>
    <row r="9648" spans="1:9" x14ac:dyDescent="0.3">
      <c r="A9648" t="s">
        <v>11671</v>
      </c>
      <c r="B9648" t="s">
        <v>1930</v>
      </c>
      <c r="C9648" t="s">
        <v>2001</v>
      </c>
      <c r="D9648">
        <v>3</v>
      </c>
      <c r="E9648" s="16">
        <v>900.24</v>
      </c>
      <c r="F9648" s="1">
        <v>44305</v>
      </c>
      <c r="G9648" t="s">
        <v>2002</v>
      </c>
      <c r="H9648">
        <v>4</v>
      </c>
      <c r="I9648" s="12">
        <f>Table16[[#This Row],[price]]*Table16[[#This Row],[quantity]]</f>
        <v>2700.7200000000003</v>
      </c>
    </row>
    <row r="9649" spans="1:9" x14ac:dyDescent="0.3">
      <c r="A9649" t="s">
        <v>11664</v>
      </c>
      <c r="B9649" t="s">
        <v>1930</v>
      </c>
      <c r="C9649" t="s">
        <v>2001</v>
      </c>
      <c r="D9649">
        <v>4</v>
      </c>
      <c r="E9649" s="16">
        <v>1200.32</v>
      </c>
      <c r="F9649" s="1">
        <v>44400</v>
      </c>
      <c r="G9649" t="s">
        <v>2004</v>
      </c>
      <c r="H9649">
        <v>2</v>
      </c>
      <c r="I9649" s="12">
        <f>Table16[[#This Row],[price]]*Table16[[#This Row],[quantity]]</f>
        <v>4801.28</v>
      </c>
    </row>
    <row r="9650" spans="1:9" x14ac:dyDescent="0.3">
      <c r="A9650" t="s">
        <v>11669</v>
      </c>
      <c r="B9650" t="s">
        <v>1930</v>
      </c>
      <c r="C9650" t="s">
        <v>2008</v>
      </c>
      <c r="D9650">
        <v>1</v>
      </c>
      <c r="E9650" s="16">
        <v>5.23</v>
      </c>
      <c r="F9650" s="1">
        <v>44610</v>
      </c>
      <c r="G9650" t="s">
        <v>2027</v>
      </c>
      <c r="H9650">
        <v>1</v>
      </c>
      <c r="I9650" s="12">
        <f>Table16[[#This Row],[price]]*Table16[[#This Row],[quantity]]</f>
        <v>5.23</v>
      </c>
    </row>
    <row r="9651" spans="1:9" x14ac:dyDescent="0.3">
      <c r="A9651" t="s">
        <v>11666</v>
      </c>
      <c r="B9651" t="s">
        <v>1930</v>
      </c>
      <c r="C9651" t="s">
        <v>2011</v>
      </c>
      <c r="D9651">
        <v>3</v>
      </c>
      <c r="E9651" s="16">
        <v>121.98</v>
      </c>
      <c r="F9651" s="1">
        <v>44717</v>
      </c>
      <c r="G9651" t="s">
        <v>2004</v>
      </c>
      <c r="H9651">
        <v>4</v>
      </c>
      <c r="I9651" s="12">
        <f>Table16[[#This Row],[price]]*Table16[[#This Row],[quantity]]</f>
        <v>365.94</v>
      </c>
    </row>
    <row r="9652" spans="1:9" x14ac:dyDescent="0.3">
      <c r="A9652" t="s">
        <v>11670</v>
      </c>
      <c r="B9652" t="s">
        <v>1930</v>
      </c>
      <c r="C9652" t="s">
        <v>2001</v>
      </c>
      <c r="D9652">
        <v>4</v>
      </c>
      <c r="E9652" s="16">
        <v>1200.32</v>
      </c>
      <c r="F9652" s="1">
        <v>44757</v>
      </c>
      <c r="G9652" t="s">
        <v>2004</v>
      </c>
      <c r="H9652">
        <v>3</v>
      </c>
      <c r="I9652" s="12">
        <f>Table16[[#This Row],[price]]*Table16[[#This Row],[quantity]]</f>
        <v>4801.28</v>
      </c>
    </row>
    <row r="9653" spans="1:9" x14ac:dyDescent="0.3">
      <c r="A9653" t="s">
        <v>11668</v>
      </c>
      <c r="B9653" t="s">
        <v>1930</v>
      </c>
      <c r="C9653" t="s">
        <v>2015</v>
      </c>
      <c r="D9653">
        <v>2</v>
      </c>
      <c r="E9653" s="16">
        <v>1200.3399999999999</v>
      </c>
      <c r="F9653" s="1">
        <v>44899</v>
      </c>
      <c r="G9653" t="s">
        <v>2012</v>
      </c>
      <c r="H9653">
        <v>5</v>
      </c>
      <c r="I9653" s="12">
        <f>Table16[[#This Row],[price]]*Table16[[#This Row],[quantity]]</f>
        <v>2400.6799999999998</v>
      </c>
    </row>
    <row r="9654" spans="1:9" x14ac:dyDescent="0.3">
      <c r="A9654" t="s">
        <v>11667</v>
      </c>
      <c r="B9654" t="s">
        <v>1930</v>
      </c>
      <c r="C9654" t="s">
        <v>2001</v>
      </c>
      <c r="D9654">
        <v>4</v>
      </c>
      <c r="E9654" s="16">
        <v>1200.32</v>
      </c>
      <c r="F9654" s="1">
        <v>44904</v>
      </c>
      <c r="G9654" t="s">
        <v>2027</v>
      </c>
      <c r="H9654">
        <v>4</v>
      </c>
      <c r="I9654" s="12">
        <f>Table16[[#This Row],[price]]*Table16[[#This Row],[quantity]]</f>
        <v>4801.28</v>
      </c>
    </row>
    <row r="9655" spans="1:9" x14ac:dyDescent="0.3">
      <c r="A9655" t="s">
        <v>11665</v>
      </c>
      <c r="B9655" t="s">
        <v>1930</v>
      </c>
      <c r="C9655" t="s">
        <v>2006</v>
      </c>
      <c r="D9655">
        <v>4</v>
      </c>
      <c r="E9655" s="16">
        <v>60.6</v>
      </c>
      <c r="F9655" s="1">
        <v>44969</v>
      </c>
      <c r="G9655" t="s">
        <v>2002</v>
      </c>
      <c r="H9655">
        <v>2</v>
      </c>
      <c r="I9655" s="12">
        <f>Table16[[#This Row],[price]]*Table16[[#This Row],[quantity]]</f>
        <v>242.4</v>
      </c>
    </row>
    <row r="9656" spans="1:9" x14ac:dyDescent="0.3">
      <c r="A9656" t="s">
        <v>11672</v>
      </c>
      <c r="B9656" t="s">
        <v>1931</v>
      </c>
      <c r="C9656" t="s">
        <v>2024</v>
      </c>
      <c r="D9656">
        <v>3</v>
      </c>
      <c r="E9656" s="16">
        <v>107.52</v>
      </c>
      <c r="F9656" s="1">
        <v>44227</v>
      </c>
      <c r="G9656" t="s">
        <v>2064</v>
      </c>
      <c r="H9656">
        <v>5</v>
      </c>
      <c r="I9656" s="12">
        <f>Table16[[#This Row],[price]]*Table16[[#This Row],[quantity]]</f>
        <v>322.56</v>
      </c>
    </row>
    <row r="9657" spans="1:9" x14ac:dyDescent="0.3">
      <c r="A9657" t="s">
        <v>11673</v>
      </c>
      <c r="B9657" t="s">
        <v>1931</v>
      </c>
      <c r="C9657" t="s">
        <v>2001</v>
      </c>
      <c r="D9657">
        <v>5</v>
      </c>
      <c r="E9657" s="16">
        <v>1500.4</v>
      </c>
      <c r="F9657" s="1">
        <v>44322</v>
      </c>
      <c r="G9657" t="s">
        <v>2009</v>
      </c>
      <c r="H9657">
        <v>3</v>
      </c>
      <c r="I9657" s="12">
        <f>Table16[[#This Row],[price]]*Table16[[#This Row],[quantity]]</f>
        <v>7502</v>
      </c>
    </row>
    <row r="9658" spans="1:9" x14ac:dyDescent="0.3">
      <c r="A9658" t="s">
        <v>11674</v>
      </c>
      <c r="B9658" t="s">
        <v>1931</v>
      </c>
      <c r="C9658" t="s">
        <v>2011</v>
      </c>
      <c r="D9658">
        <v>3</v>
      </c>
      <c r="E9658" s="16">
        <v>121.98</v>
      </c>
      <c r="F9658" s="1">
        <v>44558</v>
      </c>
      <c r="G9658" t="s">
        <v>2002</v>
      </c>
      <c r="H9658">
        <v>3</v>
      </c>
      <c r="I9658" s="12">
        <f>Table16[[#This Row],[price]]*Table16[[#This Row],[quantity]]</f>
        <v>365.94</v>
      </c>
    </row>
    <row r="9659" spans="1:9" x14ac:dyDescent="0.3">
      <c r="A9659" t="s">
        <v>11676</v>
      </c>
      <c r="B9659" t="s">
        <v>1931</v>
      </c>
      <c r="C9659" t="s">
        <v>2001</v>
      </c>
      <c r="D9659">
        <v>3</v>
      </c>
      <c r="E9659" s="16">
        <v>900.24</v>
      </c>
      <c r="F9659" s="1">
        <v>44576</v>
      </c>
      <c r="G9659" t="s">
        <v>2027</v>
      </c>
      <c r="H9659">
        <v>5</v>
      </c>
      <c r="I9659" s="12">
        <f>Table16[[#This Row],[price]]*Table16[[#This Row],[quantity]]</f>
        <v>2700.7200000000003</v>
      </c>
    </row>
    <row r="9660" spans="1:9" x14ac:dyDescent="0.3">
      <c r="A9660" t="s">
        <v>11675</v>
      </c>
      <c r="B9660" t="s">
        <v>1931</v>
      </c>
      <c r="C9660" t="s">
        <v>2011</v>
      </c>
      <c r="D9660">
        <v>4</v>
      </c>
      <c r="E9660" s="16">
        <v>162.63999999999999</v>
      </c>
      <c r="F9660" s="1">
        <v>44951</v>
      </c>
      <c r="G9660" t="s">
        <v>2012</v>
      </c>
      <c r="H9660">
        <v>3</v>
      </c>
      <c r="I9660" s="12">
        <f>Table16[[#This Row],[price]]*Table16[[#This Row],[quantity]]</f>
        <v>650.55999999999995</v>
      </c>
    </row>
    <row r="9661" spans="1:9" x14ac:dyDescent="0.3">
      <c r="A9661" t="s">
        <v>11680</v>
      </c>
      <c r="B9661" t="s">
        <v>1932</v>
      </c>
      <c r="C9661" t="s">
        <v>2011</v>
      </c>
      <c r="D9661">
        <v>5</v>
      </c>
      <c r="E9661" s="16">
        <v>203.3</v>
      </c>
      <c r="F9661" s="1">
        <v>44330</v>
      </c>
      <c r="G9661" t="s">
        <v>2002</v>
      </c>
      <c r="H9661">
        <v>1</v>
      </c>
      <c r="I9661" s="12">
        <f>Table16[[#This Row],[price]]*Table16[[#This Row],[quantity]]</f>
        <v>1016.5</v>
      </c>
    </row>
    <row r="9662" spans="1:9" x14ac:dyDescent="0.3">
      <c r="A9662" t="s">
        <v>11678</v>
      </c>
      <c r="B9662" t="s">
        <v>1932</v>
      </c>
      <c r="C9662" t="s">
        <v>2006</v>
      </c>
      <c r="D9662">
        <v>1</v>
      </c>
      <c r="E9662" s="16">
        <v>15.15</v>
      </c>
      <c r="F9662" s="1">
        <v>44627</v>
      </c>
      <c r="G9662" t="s">
        <v>2041</v>
      </c>
      <c r="H9662">
        <v>2</v>
      </c>
      <c r="I9662" s="12">
        <f>Table16[[#This Row],[price]]*Table16[[#This Row],[quantity]]</f>
        <v>15.15</v>
      </c>
    </row>
    <row r="9663" spans="1:9" x14ac:dyDescent="0.3">
      <c r="A9663" t="s">
        <v>11683</v>
      </c>
      <c r="B9663" t="s">
        <v>1932</v>
      </c>
      <c r="C9663" t="s">
        <v>2015</v>
      </c>
      <c r="D9663">
        <v>2</v>
      </c>
      <c r="E9663" s="16">
        <v>1200.3399999999999</v>
      </c>
      <c r="F9663" s="1">
        <v>44679</v>
      </c>
      <c r="G9663" t="s">
        <v>2020</v>
      </c>
      <c r="H9663">
        <v>5</v>
      </c>
      <c r="I9663" s="12">
        <f>Table16[[#This Row],[price]]*Table16[[#This Row],[quantity]]</f>
        <v>2400.6799999999998</v>
      </c>
    </row>
    <row r="9664" spans="1:9" x14ac:dyDescent="0.3">
      <c r="A9664" t="s">
        <v>11677</v>
      </c>
      <c r="B9664" t="s">
        <v>1932</v>
      </c>
      <c r="C9664" t="s">
        <v>2008</v>
      </c>
      <c r="D9664">
        <v>1</v>
      </c>
      <c r="E9664" s="16">
        <v>5.23</v>
      </c>
      <c r="F9664" s="1">
        <v>44707</v>
      </c>
      <c r="G9664" t="s">
        <v>2027</v>
      </c>
      <c r="H9664">
        <v>2</v>
      </c>
      <c r="I9664" s="12">
        <f>Table16[[#This Row],[price]]*Table16[[#This Row],[quantity]]</f>
        <v>5.23</v>
      </c>
    </row>
    <row r="9665" spans="1:9" x14ac:dyDescent="0.3">
      <c r="A9665" t="s">
        <v>11679</v>
      </c>
      <c r="B9665" t="s">
        <v>1932</v>
      </c>
      <c r="C9665" t="s">
        <v>2015</v>
      </c>
      <c r="D9665">
        <v>3</v>
      </c>
      <c r="E9665" s="16">
        <v>1800.51</v>
      </c>
      <c r="F9665" s="1">
        <v>44755</v>
      </c>
      <c r="G9665" t="s">
        <v>2064</v>
      </c>
      <c r="H9665">
        <v>2</v>
      </c>
      <c r="I9665" s="12">
        <f>Table16[[#This Row],[price]]*Table16[[#This Row],[quantity]]</f>
        <v>5401.53</v>
      </c>
    </row>
    <row r="9666" spans="1:9" x14ac:dyDescent="0.3">
      <c r="A9666" t="s">
        <v>11681</v>
      </c>
      <c r="B9666" t="s">
        <v>1932</v>
      </c>
      <c r="C9666" t="s">
        <v>2008</v>
      </c>
      <c r="D9666">
        <v>5</v>
      </c>
      <c r="E9666" s="16">
        <v>26.15</v>
      </c>
      <c r="F9666" s="1">
        <v>44760</v>
      </c>
      <c r="G9666" t="s">
        <v>2064</v>
      </c>
      <c r="H9666">
        <v>1</v>
      </c>
      <c r="I9666" s="12">
        <f>Table16[[#This Row],[price]]*Table16[[#This Row],[quantity]]</f>
        <v>130.75</v>
      </c>
    </row>
    <row r="9667" spans="1:9" x14ac:dyDescent="0.3">
      <c r="A9667" t="s">
        <v>11682</v>
      </c>
      <c r="B9667" t="s">
        <v>1932</v>
      </c>
      <c r="C9667" t="s">
        <v>2024</v>
      </c>
      <c r="D9667">
        <v>2</v>
      </c>
      <c r="E9667" s="16">
        <v>71.680000000000007</v>
      </c>
      <c r="F9667" s="1">
        <v>44973</v>
      </c>
      <c r="G9667" t="s">
        <v>2004</v>
      </c>
      <c r="H9667">
        <v>2</v>
      </c>
      <c r="I9667" s="12">
        <f>Table16[[#This Row],[price]]*Table16[[#This Row],[quantity]]</f>
        <v>143.36000000000001</v>
      </c>
    </row>
    <row r="9668" spans="1:9" x14ac:dyDescent="0.3">
      <c r="A9668" t="s">
        <v>11687</v>
      </c>
      <c r="B9668" t="s">
        <v>1933</v>
      </c>
      <c r="C9668" t="s">
        <v>2008</v>
      </c>
      <c r="D9668">
        <v>5</v>
      </c>
      <c r="E9668" s="16">
        <v>26.15</v>
      </c>
      <c r="F9668" s="1">
        <v>44485</v>
      </c>
      <c r="G9668" t="s">
        <v>2041</v>
      </c>
      <c r="H9668">
        <v>4</v>
      </c>
      <c r="I9668" s="12">
        <f>Table16[[#This Row],[price]]*Table16[[#This Row],[quantity]]</f>
        <v>130.75</v>
      </c>
    </row>
    <row r="9669" spans="1:9" x14ac:dyDescent="0.3">
      <c r="A9669" t="s">
        <v>11684</v>
      </c>
      <c r="B9669" t="s">
        <v>1933</v>
      </c>
      <c r="C9669" t="s">
        <v>2008</v>
      </c>
      <c r="D9669">
        <v>2</v>
      </c>
      <c r="E9669" s="16">
        <v>10.46</v>
      </c>
      <c r="F9669" s="1">
        <v>44509</v>
      </c>
      <c r="G9669" t="s">
        <v>2027</v>
      </c>
      <c r="H9669">
        <v>4</v>
      </c>
      <c r="I9669" s="12">
        <f>Table16[[#This Row],[price]]*Table16[[#This Row],[quantity]]</f>
        <v>20.92</v>
      </c>
    </row>
    <row r="9670" spans="1:9" x14ac:dyDescent="0.3">
      <c r="A9670" t="s">
        <v>11688</v>
      </c>
      <c r="B9670" t="s">
        <v>1933</v>
      </c>
      <c r="C9670" t="s">
        <v>2001</v>
      </c>
      <c r="D9670">
        <v>4</v>
      </c>
      <c r="E9670" s="16">
        <v>1200.32</v>
      </c>
      <c r="F9670" s="1">
        <v>44619</v>
      </c>
      <c r="G9670" t="s">
        <v>2020</v>
      </c>
      <c r="H9670">
        <v>4</v>
      </c>
      <c r="I9670" s="12">
        <f>Table16[[#This Row],[price]]*Table16[[#This Row],[quantity]]</f>
        <v>4801.28</v>
      </c>
    </row>
    <row r="9671" spans="1:9" x14ac:dyDescent="0.3">
      <c r="A9671" t="s">
        <v>11685</v>
      </c>
      <c r="B9671" t="s">
        <v>1933</v>
      </c>
      <c r="C9671" t="s">
        <v>2001</v>
      </c>
      <c r="D9671">
        <v>5</v>
      </c>
      <c r="E9671" s="16">
        <v>1500.4</v>
      </c>
      <c r="F9671" s="1">
        <v>44682</v>
      </c>
      <c r="G9671" t="s">
        <v>2041</v>
      </c>
      <c r="H9671">
        <v>5</v>
      </c>
      <c r="I9671" s="12">
        <f>Table16[[#This Row],[price]]*Table16[[#This Row],[quantity]]</f>
        <v>7502</v>
      </c>
    </row>
    <row r="9672" spans="1:9" x14ac:dyDescent="0.3">
      <c r="A9672" t="s">
        <v>11686</v>
      </c>
      <c r="B9672" t="s">
        <v>1933</v>
      </c>
      <c r="C9672" t="s">
        <v>2024</v>
      </c>
      <c r="D9672">
        <v>2</v>
      </c>
      <c r="E9672" s="16">
        <v>71.680000000000007</v>
      </c>
      <c r="F9672" s="1">
        <v>44904</v>
      </c>
      <c r="G9672" t="s">
        <v>2027</v>
      </c>
      <c r="H9672">
        <v>1</v>
      </c>
      <c r="I9672" s="12">
        <f>Table16[[#This Row],[price]]*Table16[[#This Row],[quantity]]</f>
        <v>143.36000000000001</v>
      </c>
    </row>
    <row r="9673" spans="1:9" x14ac:dyDescent="0.3">
      <c r="A9673" t="s">
        <v>11689</v>
      </c>
      <c r="B9673" t="s">
        <v>1934</v>
      </c>
      <c r="C9673" t="s">
        <v>2011</v>
      </c>
      <c r="D9673">
        <v>1</v>
      </c>
      <c r="E9673" s="16">
        <v>40.659999999999997</v>
      </c>
      <c r="F9673" s="1">
        <v>44259</v>
      </c>
      <c r="G9673" t="s">
        <v>2004</v>
      </c>
      <c r="H9673">
        <v>4</v>
      </c>
      <c r="I9673" s="12">
        <f>Table16[[#This Row],[price]]*Table16[[#This Row],[quantity]]</f>
        <v>40.659999999999997</v>
      </c>
    </row>
    <row r="9674" spans="1:9" x14ac:dyDescent="0.3">
      <c r="A9674" t="s">
        <v>11691</v>
      </c>
      <c r="B9674" t="s">
        <v>1934</v>
      </c>
      <c r="C9674" t="s">
        <v>2008</v>
      </c>
      <c r="D9674">
        <v>5</v>
      </c>
      <c r="E9674" s="16">
        <v>26.15</v>
      </c>
      <c r="F9674" s="1">
        <v>44274</v>
      </c>
      <c r="G9674" t="s">
        <v>2004</v>
      </c>
      <c r="H9674">
        <v>2</v>
      </c>
      <c r="I9674" s="12">
        <f>Table16[[#This Row],[price]]*Table16[[#This Row],[quantity]]</f>
        <v>130.75</v>
      </c>
    </row>
    <row r="9675" spans="1:9" x14ac:dyDescent="0.3">
      <c r="A9675" t="s">
        <v>11692</v>
      </c>
      <c r="B9675" t="s">
        <v>1934</v>
      </c>
      <c r="C9675" t="s">
        <v>2057</v>
      </c>
      <c r="D9675">
        <v>3</v>
      </c>
      <c r="E9675" s="16">
        <v>35.19</v>
      </c>
      <c r="F9675" s="1">
        <v>44406</v>
      </c>
      <c r="G9675" t="s">
        <v>2058</v>
      </c>
      <c r="H9675">
        <v>3</v>
      </c>
      <c r="I9675" s="12">
        <f>Table16[[#This Row],[price]]*Table16[[#This Row],[quantity]]</f>
        <v>105.57</v>
      </c>
    </row>
    <row r="9676" spans="1:9" x14ac:dyDescent="0.3">
      <c r="A9676" t="s">
        <v>11690</v>
      </c>
      <c r="B9676" t="s">
        <v>1934</v>
      </c>
      <c r="C9676" t="s">
        <v>2006</v>
      </c>
      <c r="D9676">
        <v>5</v>
      </c>
      <c r="E9676" s="16">
        <v>75.75</v>
      </c>
      <c r="F9676" s="1">
        <v>44943</v>
      </c>
      <c r="G9676" t="s">
        <v>2027</v>
      </c>
      <c r="H9676">
        <v>5</v>
      </c>
      <c r="I9676" s="12">
        <f>Table16[[#This Row],[price]]*Table16[[#This Row],[quantity]]</f>
        <v>378.75</v>
      </c>
    </row>
    <row r="9677" spans="1:9" x14ac:dyDescent="0.3">
      <c r="A9677" t="s">
        <v>11695</v>
      </c>
      <c r="B9677" t="s">
        <v>1935</v>
      </c>
      <c r="C9677" t="s">
        <v>2024</v>
      </c>
      <c r="D9677">
        <v>4</v>
      </c>
      <c r="E9677" s="16">
        <v>143.36000000000001</v>
      </c>
      <c r="F9677" s="1">
        <v>44354</v>
      </c>
      <c r="G9677" t="s">
        <v>2002</v>
      </c>
      <c r="H9677">
        <v>3</v>
      </c>
      <c r="I9677" s="12">
        <f>Table16[[#This Row],[price]]*Table16[[#This Row],[quantity]]</f>
        <v>573.44000000000005</v>
      </c>
    </row>
    <row r="9678" spans="1:9" x14ac:dyDescent="0.3">
      <c r="A9678" t="s">
        <v>11693</v>
      </c>
      <c r="B9678" t="s">
        <v>1935</v>
      </c>
      <c r="C9678" t="s">
        <v>2057</v>
      </c>
      <c r="D9678">
        <v>4</v>
      </c>
      <c r="E9678" s="16">
        <v>46.92</v>
      </c>
      <c r="F9678" s="1">
        <v>44525</v>
      </c>
      <c r="G9678" t="s">
        <v>2002</v>
      </c>
      <c r="H9678">
        <v>4</v>
      </c>
      <c r="I9678" s="12">
        <f>Table16[[#This Row],[price]]*Table16[[#This Row],[quantity]]</f>
        <v>187.68</v>
      </c>
    </row>
    <row r="9679" spans="1:9" x14ac:dyDescent="0.3">
      <c r="A9679" t="s">
        <v>11696</v>
      </c>
      <c r="B9679" t="s">
        <v>1935</v>
      </c>
      <c r="C9679" t="s">
        <v>2008</v>
      </c>
      <c r="D9679">
        <v>1</v>
      </c>
      <c r="E9679" s="16">
        <v>5.23</v>
      </c>
      <c r="F9679" s="1">
        <v>44588</v>
      </c>
      <c r="G9679" t="s">
        <v>2027</v>
      </c>
      <c r="H9679">
        <v>4</v>
      </c>
      <c r="I9679" s="12">
        <f>Table16[[#This Row],[price]]*Table16[[#This Row],[quantity]]</f>
        <v>5.23</v>
      </c>
    </row>
    <row r="9680" spans="1:9" x14ac:dyDescent="0.3">
      <c r="A9680" t="s">
        <v>11694</v>
      </c>
      <c r="B9680" t="s">
        <v>1935</v>
      </c>
      <c r="C9680" t="s">
        <v>2024</v>
      </c>
      <c r="D9680">
        <v>3</v>
      </c>
      <c r="E9680" s="16">
        <v>107.52</v>
      </c>
      <c r="F9680" s="1">
        <v>44907</v>
      </c>
      <c r="G9680" t="s">
        <v>2002</v>
      </c>
      <c r="H9680">
        <v>2</v>
      </c>
      <c r="I9680" s="12">
        <f>Table16[[#This Row],[price]]*Table16[[#This Row],[quantity]]</f>
        <v>322.56</v>
      </c>
    </row>
    <row r="9681" spans="1:9" x14ac:dyDescent="0.3">
      <c r="A9681" t="s">
        <v>11699</v>
      </c>
      <c r="B9681" t="s">
        <v>1936</v>
      </c>
      <c r="C9681" t="s">
        <v>2001</v>
      </c>
      <c r="D9681">
        <v>2</v>
      </c>
      <c r="E9681" s="16">
        <v>600.16</v>
      </c>
      <c r="F9681" s="1">
        <v>44522</v>
      </c>
      <c r="G9681" t="s">
        <v>2020</v>
      </c>
      <c r="H9681">
        <v>4</v>
      </c>
      <c r="I9681" s="12">
        <f>Table16[[#This Row],[price]]*Table16[[#This Row],[quantity]]</f>
        <v>1200.32</v>
      </c>
    </row>
    <row r="9682" spans="1:9" x14ac:dyDescent="0.3">
      <c r="A9682" t="s">
        <v>11700</v>
      </c>
      <c r="B9682" t="s">
        <v>1936</v>
      </c>
      <c r="C9682" t="s">
        <v>2015</v>
      </c>
      <c r="D9682">
        <v>1</v>
      </c>
      <c r="E9682" s="16">
        <v>600.16999999999996</v>
      </c>
      <c r="F9682" s="1">
        <v>44890</v>
      </c>
      <c r="G9682" t="s">
        <v>2027</v>
      </c>
      <c r="H9682">
        <v>3</v>
      </c>
      <c r="I9682" s="12">
        <f>Table16[[#This Row],[price]]*Table16[[#This Row],[quantity]]</f>
        <v>600.16999999999996</v>
      </c>
    </row>
    <row r="9683" spans="1:9" x14ac:dyDescent="0.3">
      <c r="A9683" t="s">
        <v>11697</v>
      </c>
      <c r="B9683" t="s">
        <v>1936</v>
      </c>
      <c r="C9683" t="s">
        <v>2011</v>
      </c>
      <c r="D9683">
        <v>1</v>
      </c>
      <c r="E9683" s="16">
        <v>40.659999999999997</v>
      </c>
      <c r="F9683" s="1">
        <v>44950</v>
      </c>
      <c r="G9683" t="s">
        <v>2012</v>
      </c>
      <c r="H9683">
        <v>3</v>
      </c>
      <c r="I9683" s="12">
        <f>Table16[[#This Row],[price]]*Table16[[#This Row],[quantity]]</f>
        <v>40.659999999999997</v>
      </c>
    </row>
    <row r="9684" spans="1:9" x14ac:dyDescent="0.3">
      <c r="A9684" t="s">
        <v>11698</v>
      </c>
      <c r="B9684" t="s">
        <v>1936</v>
      </c>
      <c r="C9684" t="s">
        <v>2001</v>
      </c>
      <c r="D9684">
        <v>1</v>
      </c>
      <c r="E9684" s="16">
        <v>300.08</v>
      </c>
      <c r="F9684" s="1">
        <v>44951</v>
      </c>
      <c r="G9684" t="s">
        <v>2002</v>
      </c>
      <c r="H9684">
        <v>4</v>
      </c>
      <c r="I9684" s="12">
        <f>Table16[[#This Row],[price]]*Table16[[#This Row],[quantity]]</f>
        <v>300.08</v>
      </c>
    </row>
    <row r="9685" spans="1:9" x14ac:dyDescent="0.3">
      <c r="A9685" t="s">
        <v>11701</v>
      </c>
      <c r="B9685" t="s">
        <v>1937</v>
      </c>
      <c r="C9685" t="s">
        <v>2001</v>
      </c>
      <c r="D9685">
        <v>5</v>
      </c>
      <c r="E9685" s="16">
        <v>1500.4</v>
      </c>
      <c r="F9685" s="1">
        <v>44350</v>
      </c>
      <c r="G9685" t="s">
        <v>2004</v>
      </c>
      <c r="H9685">
        <v>1</v>
      </c>
      <c r="I9685" s="12">
        <f>Table16[[#This Row],[price]]*Table16[[#This Row],[quantity]]</f>
        <v>7502</v>
      </c>
    </row>
    <row r="9686" spans="1:9" x14ac:dyDescent="0.3">
      <c r="A9686" t="s">
        <v>11704</v>
      </c>
      <c r="B9686" t="s">
        <v>1937</v>
      </c>
      <c r="C9686" t="s">
        <v>2017</v>
      </c>
      <c r="D9686">
        <v>3</v>
      </c>
      <c r="E9686" s="16">
        <v>3150</v>
      </c>
      <c r="F9686" s="1">
        <v>44379</v>
      </c>
      <c r="G9686" t="s">
        <v>2027</v>
      </c>
      <c r="H9686">
        <v>2</v>
      </c>
      <c r="I9686" s="12">
        <f>Table16[[#This Row],[price]]*Table16[[#This Row],[quantity]]</f>
        <v>9450</v>
      </c>
    </row>
    <row r="9687" spans="1:9" x14ac:dyDescent="0.3">
      <c r="A9687" t="s">
        <v>11703</v>
      </c>
      <c r="B9687" t="s">
        <v>1937</v>
      </c>
      <c r="C9687" t="s">
        <v>2024</v>
      </c>
      <c r="D9687">
        <v>4</v>
      </c>
      <c r="E9687" s="16">
        <v>143.36000000000001</v>
      </c>
      <c r="F9687" s="1">
        <v>44597</v>
      </c>
      <c r="G9687" t="s">
        <v>2064</v>
      </c>
      <c r="H9687">
        <v>2</v>
      </c>
      <c r="I9687" s="12">
        <f>Table16[[#This Row],[price]]*Table16[[#This Row],[quantity]]</f>
        <v>573.44000000000005</v>
      </c>
    </row>
    <row r="9688" spans="1:9" x14ac:dyDescent="0.3">
      <c r="A9688" t="s">
        <v>11702</v>
      </c>
      <c r="B9688" t="s">
        <v>1937</v>
      </c>
      <c r="C9688" t="s">
        <v>2001</v>
      </c>
      <c r="D9688">
        <v>3</v>
      </c>
      <c r="E9688" s="16">
        <v>900.24</v>
      </c>
      <c r="F9688" s="1">
        <v>44618</v>
      </c>
      <c r="G9688" t="s">
        <v>2004</v>
      </c>
      <c r="H9688">
        <v>3</v>
      </c>
      <c r="I9688" s="12">
        <f>Table16[[#This Row],[price]]*Table16[[#This Row],[quantity]]</f>
        <v>2700.7200000000003</v>
      </c>
    </row>
    <row r="9689" spans="1:9" x14ac:dyDescent="0.3">
      <c r="A9689" t="s">
        <v>11706</v>
      </c>
      <c r="B9689" t="s">
        <v>1937</v>
      </c>
      <c r="C9689" t="s">
        <v>2008</v>
      </c>
      <c r="D9689">
        <v>2</v>
      </c>
      <c r="E9689" s="16">
        <v>10.46</v>
      </c>
      <c r="F9689" s="1">
        <v>44637</v>
      </c>
      <c r="G9689" t="s">
        <v>2027</v>
      </c>
      <c r="H9689">
        <v>5</v>
      </c>
      <c r="I9689" s="12">
        <f>Table16[[#This Row],[price]]*Table16[[#This Row],[quantity]]</f>
        <v>20.92</v>
      </c>
    </row>
    <row r="9690" spans="1:9" x14ac:dyDescent="0.3">
      <c r="A9690" t="s">
        <v>11705</v>
      </c>
      <c r="B9690" t="s">
        <v>1937</v>
      </c>
      <c r="C9690" t="s">
        <v>2001</v>
      </c>
      <c r="D9690">
        <v>2</v>
      </c>
      <c r="E9690" s="16">
        <v>600.16</v>
      </c>
      <c r="F9690" s="1">
        <v>44963</v>
      </c>
      <c r="G9690" t="s">
        <v>2020</v>
      </c>
      <c r="H9690">
        <v>4</v>
      </c>
      <c r="I9690" s="12">
        <f>Table16[[#This Row],[price]]*Table16[[#This Row],[quantity]]</f>
        <v>1200.32</v>
      </c>
    </row>
    <row r="9691" spans="1:9" x14ac:dyDescent="0.3">
      <c r="A9691" t="s">
        <v>11711</v>
      </c>
      <c r="B9691" t="s">
        <v>1938</v>
      </c>
      <c r="C9691" t="s">
        <v>2008</v>
      </c>
      <c r="D9691">
        <v>1</v>
      </c>
      <c r="E9691" s="16">
        <v>5.23</v>
      </c>
      <c r="F9691" s="1">
        <v>44406</v>
      </c>
      <c r="G9691" t="s">
        <v>2004</v>
      </c>
      <c r="H9691">
        <v>2</v>
      </c>
      <c r="I9691" s="12">
        <f>Table16[[#This Row],[price]]*Table16[[#This Row],[quantity]]</f>
        <v>5.23</v>
      </c>
    </row>
    <row r="9692" spans="1:9" x14ac:dyDescent="0.3">
      <c r="A9692" t="s">
        <v>11713</v>
      </c>
      <c r="B9692" t="s">
        <v>1938</v>
      </c>
      <c r="C9692" t="s">
        <v>2001</v>
      </c>
      <c r="D9692">
        <v>3</v>
      </c>
      <c r="E9692" s="16">
        <v>900.24</v>
      </c>
      <c r="F9692" s="1">
        <v>44434</v>
      </c>
      <c r="G9692" t="s">
        <v>2058</v>
      </c>
      <c r="H9692">
        <v>3</v>
      </c>
      <c r="I9692" s="12">
        <f>Table16[[#This Row],[price]]*Table16[[#This Row],[quantity]]</f>
        <v>2700.7200000000003</v>
      </c>
    </row>
    <row r="9693" spans="1:9" x14ac:dyDescent="0.3">
      <c r="A9693" t="s">
        <v>11712</v>
      </c>
      <c r="B9693" t="s">
        <v>1938</v>
      </c>
      <c r="C9693" t="s">
        <v>2024</v>
      </c>
      <c r="D9693">
        <v>1</v>
      </c>
      <c r="E9693" s="16">
        <v>35.840000000000003</v>
      </c>
      <c r="F9693" s="1">
        <v>44569</v>
      </c>
      <c r="G9693" t="s">
        <v>2012</v>
      </c>
      <c r="H9693">
        <v>4</v>
      </c>
      <c r="I9693" s="12">
        <f>Table16[[#This Row],[price]]*Table16[[#This Row],[quantity]]</f>
        <v>35.840000000000003</v>
      </c>
    </row>
    <row r="9694" spans="1:9" x14ac:dyDescent="0.3">
      <c r="A9694" t="s">
        <v>11709</v>
      </c>
      <c r="B9694" t="s">
        <v>1938</v>
      </c>
      <c r="C9694" t="s">
        <v>2011</v>
      </c>
      <c r="D9694">
        <v>4</v>
      </c>
      <c r="E9694" s="16">
        <v>162.63999999999999</v>
      </c>
      <c r="F9694" s="1">
        <v>44659</v>
      </c>
      <c r="G9694" t="s">
        <v>2041</v>
      </c>
      <c r="H9694">
        <v>3</v>
      </c>
      <c r="I9694" s="12">
        <f>Table16[[#This Row],[price]]*Table16[[#This Row],[quantity]]</f>
        <v>650.55999999999995</v>
      </c>
    </row>
    <row r="9695" spans="1:9" x14ac:dyDescent="0.3">
      <c r="A9695" t="s">
        <v>11708</v>
      </c>
      <c r="B9695" t="s">
        <v>1938</v>
      </c>
      <c r="C9695" t="s">
        <v>2001</v>
      </c>
      <c r="D9695">
        <v>5</v>
      </c>
      <c r="E9695" s="16">
        <v>1500.4</v>
      </c>
      <c r="F9695" s="1">
        <v>44698</v>
      </c>
      <c r="G9695" t="s">
        <v>2020</v>
      </c>
      <c r="H9695">
        <v>1</v>
      </c>
      <c r="I9695" s="12">
        <f>Table16[[#This Row],[price]]*Table16[[#This Row],[quantity]]</f>
        <v>7502</v>
      </c>
    </row>
    <row r="9696" spans="1:9" x14ac:dyDescent="0.3">
      <c r="A9696" t="s">
        <v>11710</v>
      </c>
      <c r="B9696" t="s">
        <v>1938</v>
      </c>
      <c r="C9696" t="s">
        <v>2017</v>
      </c>
      <c r="D9696">
        <v>3</v>
      </c>
      <c r="E9696" s="16">
        <v>3150</v>
      </c>
      <c r="F9696" s="1">
        <v>44827</v>
      </c>
      <c r="G9696" t="s">
        <v>2027</v>
      </c>
      <c r="H9696">
        <v>3</v>
      </c>
      <c r="I9696" s="12">
        <f>Table16[[#This Row],[price]]*Table16[[#This Row],[quantity]]</f>
        <v>9450</v>
      </c>
    </row>
    <row r="9697" spans="1:9" x14ac:dyDescent="0.3">
      <c r="A9697" t="s">
        <v>11707</v>
      </c>
      <c r="B9697" t="s">
        <v>1938</v>
      </c>
      <c r="C9697" t="s">
        <v>2008</v>
      </c>
      <c r="D9697">
        <v>5</v>
      </c>
      <c r="E9697" s="16">
        <v>26.15</v>
      </c>
      <c r="F9697" s="1">
        <v>44852</v>
      </c>
      <c r="G9697" t="s">
        <v>2020</v>
      </c>
      <c r="H9697">
        <v>2</v>
      </c>
      <c r="I9697" s="12">
        <f>Table16[[#This Row],[price]]*Table16[[#This Row],[quantity]]</f>
        <v>130.75</v>
      </c>
    </row>
    <row r="9698" spans="1:9" x14ac:dyDescent="0.3">
      <c r="A9698" t="s">
        <v>11719</v>
      </c>
      <c r="B9698" t="s">
        <v>1939</v>
      </c>
      <c r="C9698" t="s">
        <v>2011</v>
      </c>
      <c r="D9698">
        <v>2</v>
      </c>
      <c r="E9698" s="16">
        <v>81.319999999999993</v>
      </c>
      <c r="F9698" s="1">
        <v>44278</v>
      </c>
      <c r="G9698" t="s">
        <v>2064</v>
      </c>
      <c r="H9698">
        <v>2</v>
      </c>
      <c r="I9698" s="12">
        <f>Table16[[#This Row],[price]]*Table16[[#This Row],[quantity]]</f>
        <v>162.63999999999999</v>
      </c>
    </row>
    <row r="9699" spans="1:9" x14ac:dyDescent="0.3">
      <c r="A9699" t="s">
        <v>11717</v>
      </c>
      <c r="B9699" t="s">
        <v>1939</v>
      </c>
      <c r="C9699" t="s">
        <v>2001</v>
      </c>
      <c r="D9699">
        <v>4</v>
      </c>
      <c r="E9699" s="16">
        <v>1200.32</v>
      </c>
      <c r="F9699" s="1">
        <v>44339</v>
      </c>
      <c r="G9699" t="s">
        <v>2027</v>
      </c>
      <c r="H9699">
        <v>1</v>
      </c>
      <c r="I9699" s="12">
        <f>Table16[[#This Row],[price]]*Table16[[#This Row],[quantity]]</f>
        <v>4801.28</v>
      </c>
    </row>
    <row r="9700" spans="1:9" x14ac:dyDescent="0.3">
      <c r="A9700" t="s">
        <v>11714</v>
      </c>
      <c r="B9700" t="s">
        <v>1939</v>
      </c>
      <c r="C9700" t="s">
        <v>2008</v>
      </c>
      <c r="D9700">
        <v>5</v>
      </c>
      <c r="E9700" s="16">
        <v>26.15</v>
      </c>
      <c r="F9700" s="1">
        <v>44592</v>
      </c>
      <c r="G9700" t="s">
        <v>2004</v>
      </c>
      <c r="H9700">
        <v>2</v>
      </c>
      <c r="I9700" s="12">
        <f>Table16[[#This Row],[price]]*Table16[[#This Row],[quantity]]</f>
        <v>130.75</v>
      </c>
    </row>
    <row r="9701" spans="1:9" x14ac:dyDescent="0.3">
      <c r="A9701" t="s">
        <v>11716</v>
      </c>
      <c r="B9701" t="s">
        <v>1939</v>
      </c>
      <c r="C9701" t="s">
        <v>2024</v>
      </c>
      <c r="D9701">
        <v>4</v>
      </c>
      <c r="E9701" s="16">
        <v>143.36000000000001</v>
      </c>
      <c r="F9701" s="1">
        <v>44966</v>
      </c>
      <c r="G9701" t="s">
        <v>2018</v>
      </c>
      <c r="H9701">
        <v>2</v>
      </c>
      <c r="I9701" s="12">
        <f>Table16[[#This Row],[price]]*Table16[[#This Row],[quantity]]</f>
        <v>573.44000000000005</v>
      </c>
    </row>
    <row r="9702" spans="1:9" x14ac:dyDescent="0.3">
      <c r="A9702" t="s">
        <v>11718</v>
      </c>
      <c r="B9702" t="s">
        <v>1939</v>
      </c>
      <c r="C9702" t="s">
        <v>2011</v>
      </c>
      <c r="D9702">
        <v>3</v>
      </c>
      <c r="E9702" s="16">
        <v>121.98</v>
      </c>
      <c r="F9702" s="1">
        <v>44979</v>
      </c>
      <c r="G9702" t="s">
        <v>2020</v>
      </c>
      <c r="H9702">
        <v>3</v>
      </c>
      <c r="I9702" s="12">
        <f>Table16[[#This Row],[price]]*Table16[[#This Row],[quantity]]</f>
        <v>365.94</v>
      </c>
    </row>
    <row r="9703" spans="1:9" x14ac:dyDescent="0.3">
      <c r="A9703" t="s">
        <v>11715</v>
      </c>
      <c r="B9703" t="s">
        <v>1939</v>
      </c>
      <c r="C9703" t="s">
        <v>2001</v>
      </c>
      <c r="D9703">
        <v>3</v>
      </c>
      <c r="E9703" s="16">
        <v>900.24</v>
      </c>
      <c r="F9703" s="1">
        <v>44989</v>
      </c>
      <c r="G9703" t="s">
        <v>2002</v>
      </c>
      <c r="H9703">
        <v>3</v>
      </c>
      <c r="I9703" s="12">
        <f>Table16[[#This Row],[price]]*Table16[[#This Row],[quantity]]</f>
        <v>2700.7200000000003</v>
      </c>
    </row>
    <row r="9704" spans="1:9" x14ac:dyDescent="0.3">
      <c r="A9704" t="s">
        <v>11722</v>
      </c>
      <c r="B9704" t="s">
        <v>1940</v>
      </c>
      <c r="C9704" t="s">
        <v>2006</v>
      </c>
      <c r="D9704">
        <v>4</v>
      </c>
      <c r="E9704" s="16">
        <v>60.6</v>
      </c>
      <c r="F9704" s="1">
        <v>44284</v>
      </c>
      <c r="G9704" t="s">
        <v>2002</v>
      </c>
      <c r="H9704">
        <v>3</v>
      </c>
      <c r="I9704" s="12">
        <f>Table16[[#This Row],[price]]*Table16[[#This Row],[quantity]]</f>
        <v>242.4</v>
      </c>
    </row>
    <row r="9705" spans="1:9" x14ac:dyDescent="0.3">
      <c r="A9705" t="s">
        <v>11720</v>
      </c>
      <c r="B9705" t="s">
        <v>1940</v>
      </c>
      <c r="C9705" t="s">
        <v>2008</v>
      </c>
      <c r="D9705">
        <v>1</v>
      </c>
      <c r="E9705" s="16">
        <v>5.23</v>
      </c>
      <c r="F9705" s="1">
        <v>44497</v>
      </c>
      <c r="G9705" t="s">
        <v>2027</v>
      </c>
      <c r="H9705">
        <v>2</v>
      </c>
      <c r="I9705" s="12">
        <f>Table16[[#This Row],[price]]*Table16[[#This Row],[quantity]]</f>
        <v>5.23</v>
      </c>
    </row>
    <row r="9706" spans="1:9" x14ac:dyDescent="0.3">
      <c r="A9706" t="s">
        <v>11721</v>
      </c>
      <c r="B9706" t="s">
        <v>1940</v>
      </c>
      <c r="C9706" t="s">
        <v>2008</v>
      </c>
      <c r="D9706">
        <v>5</v>
      </c>
      <c r="E9706" s="16">
        <v>26.15</v>
      </c>
      <c r="F9706" s="1">
        <v>44712</v>
      </c>
      <c r="G9706" t="s">
        <v>2041</v>
      </c>
      <c r="H9706">
        <v>3</v>
      </c>
      <c r="I9706" s="12">
        <f>Table16[[#This Row],[price]]*Table16[[#This Row],[quantity]]</f>
        <v>130.75</v>
      </c>
    </row>
    <row r="9707" spans="1:9" x14ac:dyDescent="0.3">
      <c r="A9707" t="s">
        <v>11723</v>
      </c>
      <c r="B9707" t="s">
        <v>1940</v>
      </c>
      <c r="C9707" t="s">
        <v>2001</v>
      </c>
      <c r="D9707">
        <v>1</v>
      </c>
      <c r="E9707" s="16">
        <v>300.08</v>
      </c>
      <c r="F9707" s="1">
        <v>44888</v>
      </c>
      <c r="G9707" t="s">
        <v>2027</v>
      </c>
      <c r="H9707">
        <v>1</v>
      </c>
      <c r="I9707" s="12">
        <f>Table16[[#This Row],[price]]*Table16[[#This Row],[quantity]]</f>
        <v>300.08</v>
      </c>
    </row>
    <row r="9708" spans="1:9" x14ac:dyDescent="0.3">
      <c r="A9708" t="s">
        <v>11726</v>
      </c>
      <c r="B9708" t="s">
        <v>1941</v>
      </c>
      <c r="C9708" t="s">
        <v>2008</v>
      </c>
      <c r="D9708">
        <v>4</v>
      </c>
      <c r="E9708" s="16">
        <v>20.92</v>
      </c>
      <c r="F9708" s="1">
        <v>44249</v>
      </c>
      <c r="G9708" t="s">
        <v>2058</v>
      </c>
      <c r="H9708">
        <v>1</v>
      </c>
      <c r="I9708" s="12">
        <f>Table16[[#This Row],[price]]*Table16[[#This Row],[quantity]]</f>
        <v>83.68</v>
      </c>
    </row>
    <row r="9709" spans="1:9" x14ac:dyDescent="0.3">
      <c r="A9709" t="s">
        <v>11725</v>
      </c>
      <c r="B9709" t="s">
        <v>1941</v>
      </c>
      <c r="C9709" t="s">
        <v>2008</v>
      </c>
      <c r="D9709">
        <v>5</v>
      </c>
      <c r="E9709" s="16">
        <v>26.15</v>
      </c>
      <c r="F9709" s="1">
        <v>44603</v>
      </c>
      <c r="G9709" t="s">
        <v>2027</v>
      </c>
      <c r="H9709">
        <v>5</v>
      </c>
      <c r="I9709" s="12">
        <f>Table16[[#This Row],[price]]*Table16[[#This Row],[quantity]]</f>
        <v>130.75</v>
      </c>
    </row>
    <row r="9710" spans="1:9" x14ac:dyDescent="0.3">
      <c r="A9710" t="s">
        <v>11727</v>
      </c>
      <c r="B9710" t="s">
        <v>1941</v>
      </c>
      <c r="C9710" t="s">
        <v>2024</v>
      </c>
      <c r="D9710">
        <v>4</v>
      </c>
      <c r="E9710" s="16">
        <v>143.36000000000001</v>
      </c>
      <c r="F9710" s="1">
        <v>44716</v>
      </c>
      <c r="G9710" t="s">
        <v>2020</v>
      </c>
      <c r="H9710">
        <v>5</v>
      </c>
      <c r="I9710" s="12">
        <f>Table16[[#This Row],[price]]*Table16[[#This Row],[quantity]]</f>
        <v>573.44000000000005</v>
      </c>
    </row>
    <row r="9711" spans="1:9" x14ac:dyDescent="0.3">
      <c r="A9711" t="s">
        <v>11728</v>
      </c>
      <c r="B9711" t="s">
        <v>1941</v>
      </c>
      <c r="C9711" t="s">
        <v>2008</v>
      </c>
      <c r="D9711">
        <v>3</v>
      </c>
      <c r="E9711" s="16">
        <v>15.69</v>
      </c>
      <c r="F9711" s="1">
        <v>44914</v>
      </c>
      <c r="G9711" t="s">
        <v>2018</v>
      </c>
      <c r="H9711">
        <v>3</v>
      </c>
      <c r="I9711" s="12">
        <f>Table16[[#This Row],[price]]*Table16[[#This Row],[quantity]]</f>
        <v>47.07</v>
      </c>
    </row>
    <row r="9712" spans="1:9" x14ac:dyDescent="0.3">
      <c r="A9712" t="s">
        <v>11724</v>
      </c>
      <c r="B9712" t="s">
        <v>1941</v>
      </c>
      <c r="C9712" t="s">
        <v>2008</v>
      </c>
      <c r="D9712">
        <v>1</v>
      </c>
      <c r="E9712" s="16">
        <v>5.23</v>
      </c>
      <c r="F9712" s="1">
        <v>44927</v>
      </c>
      <c r="G9712" t="s">
        <v>2002</v>
      </c>
      <c r="H9712">
        <v>5</v>
      </c>
      <c r="I9712" s="12">
        <f>Table16[[#This Row],[price]]*Table16[[#This Row],[quantity]]</f>
        <v>5.23</v>
      </c>
    </row>
    <row r="9713" spans="1:9" x14ac:dyDescent="0.3">
      <c r="A9713" t="s">
        <v>11729</v>
      </c>
      <c r="B9713" t="s">
        <v>1941</v>
      </c>
      <c r="C9713" t="s">
        <v>2015</v>
      </c>
      <c r="D9713">
        <v>4</v>
      </c>
      <c r="E9713" s="16">
        <v>2400.6799999999998</v>
      </c>
      <c r="F9713" s="1">
        <v>44945</v>
      </c>
      <c r="G9713" t="s">
        <v>2020</v>
      </c>
      <c r="H9713">
        <v>5</v>
      </c>
      <c r="I9713" s="12">
        <f>Table16[[#This Row],[price]]*Table16[[#This Row],[quantity]]</f>
        <v>9602.7199999999993</v>
      </c>
    </row>
    <row r="9714" spans="1:9" x14ac:dyDescent="0.3">
      <c r="A9714" t="s">
        <v>11732</v>
      </c>
      <c r="B9714" t="s">
        <v>1942</v>
      </c>
      <c r="C9714" t="s">
        <v>2017</v>
      </c>
      <c r="D9714">
        <v>1</v>
      </c>
      <c r="E9714" s="16">
        <v>1050</v>
      </c>
      <c r="F9714" s="1">
        <v>44472</v>
      </c>
      <c r="G9714" t="s">
        <v>2009</v>
      </c>
      <c r="H9714">
        <v>5</v>
      </c>
      <c r="I9714" s="12">
        <f>Table16[[#This Row],[price]]*Table16[[#This Row],[quantity]]</f>
        <v>1050</v>
      </c>
    </row>
    <row r="9715" spans="1:9" x14ac:dyDescent="0.3">
      <c r="A9715" t="s">
        <v>11731</v>
      </c>
      <c r="B9715" t="s">
        <v>1942</v>
      </c>
      <c r="C9715" t="s">
        <v>2015</v>
      </c>
      <c r="D9715">
        <v>4</v>
      </c>
      <c r="E9715" s="16">
        <v>2400.6799999999998</v>
      </c>
      <c r="F9715" s="1">
        <v>44480</v>
      </c>
      <c r="G9715" t="s">
        <v>2018</v>
      </c>
      <c r="H9715">
        <v>2</v>
      </c>
      <c r="I9715" s="12">
        <f>Table16[[#This Row],[price]]*Table16[[#This Row],[quantity]]</f>
        <v>9602.7199999999993</v>
      </c>
    </row>
    <row r="9716" spans="1:9" x14ac:dyDescent="0.3">
      <c r="A9716" t="s">
        <v>11730</v>
      </c>
      <c r="B9716" t="s">
        <v>1942</v>
      </c>
      <c r="C9716" t="s">
        <v>2001</v>
      </c>
      <c r="D9716">
        <v>4</v>
      </c>
      <c r="E9716" s="16">
        <v>1200.32</v>
      </c>
      <c r="F9716" s="1">
        <v>44695</v>
      </c>
      <c r="G9716" t="s">
        <v>2058</v>
      </c>
      <c r="H9716">
        <v>5</v>
      </c>
      <c r="I9716" s="12">
        <f>Table16[[#This Row],[price]]*Table16[[#This Row],[quantity]]</f>
        <v>4801.28</v>
      </c>
    </row>
    <row r="9717" spans="1:9" x14ac:dyDescent="0.3">
      <c r="A9717" t="s">
        <v>11733</v>
      </c>
      <c r="B9717" t="s">
        <v>1942</v>
      </c>
      <c r="C9717" t="s">
        <v>2015</v>
      </c>
      <c r="D9717">
        <v>1</v>
      </c>
      <c r="E9717" s="16">
        <v>600.16999999999996</v>
      </c>
      <c r="F9717" s="1">
        <v>44760</v>
      </c>
      <c r="G9717" t="s">
        <v>2004</v>
      </c>
      <c r="H9717">
        <v>2</v>
      </c>
      <c r="I9717" s="12">
        <f>Table16[[#This Row],[price]]*Table16[[#This Row],[quantity]]</f>
        <v>600.16999999999996</v>
      </c>
    </row>
    <row r="9718" spans="1:9" x14ac:dyDescent="0.3">
      <c r="A9718" t="s">
        <v>11735</v>
      </c>
      <c r="B9718" t="s">
        <v>1942</v>
      </c>
      <c r="C9718" t="s">
        <v>2024</v>
      </c>
      <c r="D9718">
        <v>2</v>
      </c>
      <c r="E9718" s="16">
        <v>71.680000000000007</v>
      </c>
      <c r="F9718" s="1">
        <v>44854</v>
      </c>
      <c r="G9718" t="s">
        <v>2004</v>
      </c>
      <c r="H9718">
        <v>3</v>
      </c>
      <c r="I9718" s="12">
        <f>Table16[[#This Row],[price]]*Table16[[#This Row],[quantity]]</f>
        <v>143.36000000000001</v>
      </c>
    </row>
    <row r="9719" spans="1:9" x14ac:dyDescent="0.3">
      <c r="A9719" t="s">
        <v>11734</v>
      </c>
      <c r="B9719" t="s">
        <v>1942</v>
      </c>
      <c r="C9719" t="s">
        <v>2015</v>
      </c>
      <c r="D9719">
        <v>5</v>
      </c>
      <c r="E9719" s="16">
        <v>3000.85</v>
      </c>
      <c r="F9719" s="1">
        <v>44877</v>
      </c>
      <c r="G9719" t="s">
        <v>2009</v>
      </c>
      <c r="H9719">
        <v>2</v>
      </c>
      <c r="I9719" s="12">
        <f>Table16[[#This Row],[price]]*Table16[[#This Row],[quantity]]</f>
        <v>15004.25</v>
      </c>
    </row>
    <row r="9720" spans="1:9" x14ac:dyDescent="0.3">
      <c r="A9720" t="s">
        <v>11736</v>
      </c>
      <c r="B9720" t="s">
        <v>1943</v>
      </c>
      <c r="C9720" t="s">
        <v>2001</v>
      </c>
      <c r="D9720">
        <v>3</v>
      </c>
      <c r="E9720" s="16">
        <v>900.24</v>
      </c>
      <c r="F9720" s="1">
        <v>44504</v>
      </c>
      <c r="G9720" t="s">
        <v>2058</v>
      </c>
      <c r="H9720">
        <v>2</v>
      </c>
      <c r="I9720" s="12">
        <f>Table16[[#This Row],[price]]*Table16[[#This Row],[quantity]]</f>
        <v>2700.7200000000003</v>
      </c>
    </row>
    <row r="9721" spans="1:9" x14ac:dyDescent="0.3">
      <c r="A9721" t="s">
        <v>11737</v>
      </c>
      <c r="B9721" t="s">
        <v>1943</v>
      </c>
      <c r="C9721" t="s">
        <v>2015</v>
      </c>
      <c r="D9721">
        <v>3</v>
      </c>
      <c r="E9721" s="16">
        <v>1800.51</v>
      </c>
      <c r="F9721" s="1">
        <v>44803</v>
      </c>
      <c r="G9721" t="s">
        <v>2004</v>
      </c>
      <c r="H9721">
        <v>4</v>
      </c>
      <c r="I9721" s="12">
        <f>Table16[[#This Row],[price]]*Table16[[#This Row],[quantity]]</f>
        <v>5401.53</v>
      </c>
    </row>
    <row r="9722" spans="1:9" x14ac:dyDescent="0.3">
      <c r="A9722" t="s">
        <v>11739</v>
      </c>
      <c r="B9722" t="s">
        <v>1944</v>
      </c>
      <c r="C9722" t="s">
        <v>2006</v>
      </c>
      <c r="D9722">
        <v>2</v>
      </c>
      <c r="E9722" s="16">
        <v>30.3</v>
      </c>
      <c r="F9722" s="1">
        <v>44444</v>
      </c>
      <c r="G9722" t="s">
        <v>2064</v>
      </c>
      <c r="H9722">
        <v>1</v>
      </c>
      <c r="I9722" s="12">
        <f>Table16[[#This Row],[price]]*Table16[[#This Row],[quantity]]</f>
        <v>60.6</v>
      </c>
    </row>
    <row r="9723" spans="1:9" x14ac:dyDescent="0.3">
      <c r="A9723" t="s">
        <v>11738</v>
      </c>
      <c r="B9723" t="s">
        <v>1944</v>
      </c>
      <c r="C9723" t="s">
        <v>2006</v>
      </c>
      <c r="D9723">
        <v>3</v>
      </c>
      <c r="E9723" s="16">
        <v>45.45</v>
      </c>
      <c r="F9723" s="1">
        <v>44484</v>
      </c>
      <c r="G9723" t="s">
        <v>2002</v>
      </c>
      <c r="H9723">
        <v>3</v>
      </c>
      <c r="I9723" s="12">
        <f>Table16[[#This Row],[price]]*Table16[[#This Row],[quantity]]</f>
        <v>136.35000000000002</v>
      </c>
    </row>
    <row r="9724" spans="1:9" x14ac:dyDescent="0.3">
      <c r="A9724" t="s">
        <v>11741</v>
      </c>
      <c r="B9724" t="s">
        <v>1944</v>
      </c>
      <c r="C9724" t="s">
        <v>2001</v>
      </c>
      <c r="D9724">
        <v>3</v>
      </c>
      <c r="E9724" s="16">
        <v>900.24</v>
      </c>
      <c r="F9724" s="1">
        <v>44622</v>
      </c>
      <c r="G9724" t="s">
        <v>2002</v>
      </c>
      <c r="H9724">
        <v>4</v>
      </c>
      <c r="I9724" s="12">
        <f>Table16[[#This Row],[price]]*Table16[[#This Row],[quantity]]</f>
        <v>2700.7200000000003</v>
      </c>
    </row>
    <row r="9725" spans="1:9" x14ac:dyDescent="0.3">
      <c r="A9725" t="s">
        <v>11740</v>
      </c>
      <c r="B9725" t="s">
        <v>1944</v>
      </c>
      <c r="C9725" t="s">
        <v>2024</v>
      </c>
      <c r="D9725">
        <v>4</v>
      </c>
      <c r="E9725" s="16">
        <v>143.36000000000001</v>
      </c>
      <c r="F9725" s="1">
        <v>44635</v>
      </c>
      <c r="G9725" t="s">
        <v>2009</v>
      </c>
      <c r="H9725">
        <v>2</v>
      </c>
      <c r="I9725" s="12">
        <f>Table16[[#This Row],[price]]*Table16[[#This Row],[quantity]]</f>
        <v>573.44000000000005</v>
      </c>
    </row>
    <row r="9726" spans="1:9" x14ac:dyDescent="0.3">
      <c r="A9726" t="s">
        <v>11749</v>
      </c>
      <c r="B9726" t="s">
        <v>1945</v>
      </c>
      <c r="C9726" t="s">
        <v>2001</v>
      </c>
      <c r="D9726">
        <v>1</v>
      </c>
      <c r="E9726" s="16">
        <v>300.08</v>
      </c>
      <c r="F9726" s="1">
        <v>44263</v>
      </c>
      <c r="G9726" t="s">
        <v>2002</v>
      </c>
      <c r="H9726">
        <v>3</v>
      </c>
      <c r="I9726" s="12">
        <f>Table16[[#This Row],[price]]*Table16[[#This Row],[quantity]]</f>
        <v>300.08</v>
      </c>
    </row>
    <row r="9727" spans="1:9" x14ac:dyDescent="0.3">
      <c r="A9727" t="s">
        <v>11750</v>
      </c>
      <c r="B9727" t="s">
        <v>1945</v>
      </c>
      <c r="C9727" t="s">
        <v>2015</v>
      </c>
      <c r="D9727">
        <v>1</v>
      </c>
      <c r="E9727" s="16">
        <v>600.16999999999996</v>
      </c>
      <c r="F9727" s="1">
        <v>44354</v>
      </c>
      <c r="G9727" t="s">
        <v>2027</v>
      </c>
      <c r="H9727">
        <v>1</v>
      </c>
      <c r="I9727" s="12">
        <f>Table16[[#This Row],[price]]*Table16[[#This Row],[quantity]]</f>
        <v>600.16999999999996</v>
      </c>
    </row>
    <row r="9728" spans="1:9" x14ac:dyDescent="0.3">
      <c r="A9728" t="s">
        <v>11744</v>
      </c>
      <c r="B9728" t="s">
        <v>1945</v>
      </c>
      <c r="C9728" t="s">
        <v>2015</v>
      </c>
      <c r="D9728">
        <v>1</v>
      </c>
      <c r="E9728" s="16">
        <v>600.16999999999996</v>
      </c>
      <c r="F9728" s="1">
        <v>44541</v>
      </c>
      <c r="G9728" t="s">
        <v>2064</v>
      </c>
      <c r="H9728">
        <v>3</v>
      </c>
      <c r="I9728" s="12">
        <f>Table16[[#This Row],[price]]*Table16[[#This Row],[quantity]]</f>
        <v>600.16999999999996</v>
      </c>
    </row>
    <row r="9729" spans="1:9" x14ac:dyDescent="0.3">
      <c r="A9729" t="s">
        <v>11743</v>
      </c>
      <c r="B9729" t="s">
        <v>1945</v>
      </c>
      <c r="C9729" t="s">
        <v>2006</v>
      </c>
      <c r="D9729">
        <v>5</v>
      </c>
      <c r="E9729" s="16">
        <v>75.75</v>
      </c>
      <c r="F9729" s="1">
        <v>44545</v>
      </c>
      <c r="G9729" t="s">
        <v>2012</v>
      </c>
      <c r="H9729">
        <v>1</v>
      </c>
      <c r="I9729" s="12">
        <f>Table16[[#This Row],[price]]*Table16[[#This Row],[quantity]]</f>
        <v>378.75</v>
      </c>
    </row>
    <row r="9730" spans="1:9" x14ac:dyDescent="0.3">
      <c r="A9730" t="s">
        <v>11742</v>
      </c>
      <c r="B9730" t="s">
        <v>1945</v>
      </c>
      <c r="C9730" t="s">
        <v>2008</v>
      </c>
      <c r="D9730">
        <v>1</v>
      </c>
      <c r="E9730" s="16">
        <v>5.23</v>
      </c>
      <c r="F9730" s="1">
        <v>44571</v>
      </c>
      <c r="G9730" t="s">
        <v>2009</v>
      </c>
      <c r="H9730">
        <v>4</v>
      </c>
      <c r="I9730" s="12">
        <f>Table16[[#This Row],[price]]*Table16[[#This Row],[quantity]]</f>
        <v>5.23</v>
      </c>
    </row>
    <row r="9731" spans="1:9" x14ac:dyDescent="0.3">
      <c r="A9731" t="s">
        <v>11747</v>
      </c>
      <c r="B9731" t="s">
        <v>1945</v>
      </c>
      <c r="C9731" t="s">
        <v>2008</v>
      </c>
      <c r="D9731">
        <v>5</v>
      </c>
      <c r="E9731" s="16">
        <v>26.15</v>
      </c>
      <c r="F9731" s="1">
        <v>44655</v>
      </c>
      <c r="G9731" t="s">
        <v>2020</v>
      </c>
      <c r="H9731">
        <v>2</v>
      </c>
      <c r="I9731" s="12">
        <f>Table16[[#This Row],[price]]*Table16[[#This Row],[quantity]]</f>
        <v>130.75</v>
      </c>
    </row>
    <row r="9732" spans="1:9" x14ac:dyDescent="0.3">
      <c r="A9732" t="s">
        <v>11748</v>
      </c>
      <c r="B9732" t="s">
        <v>1945</v>
      </c>
      <c r="C9732" t="s">
        <v>2015</v>
      </c>
      <c r="D9732">
        <v>5</v>
      </c>
      <c r="E9732" s="16">
        <v>3000.85</v>
      </c>
      <c r="F9732" s="1">
        <v>44675</v>
      </c>
      <c r="G9732" t="s">
        <v>2004</v>
      </c>
      <c r="H9732">
        <v>4</v>
      </c>
      <c r="I9732" s="12">
        <f>Table16[[#This Row],[price]]*Table16[[#This Row],[quantity]]</f>
        <v>15004.25</v>
      </c>
    </row>
    <row r="9733" spans="1:9" x14ac:dyDescent="0.3">
      <c r="A9733" t="s">
        <v>11745</v>
      </c>
      <c r="B9733" t="s">
        <v>1945</v>
      </c>
      <c r="C9733" t="s">
        <v>2011</v>
      </c>
      <c r="D9733">
        <v>5</v>
      </c>
      <c r="E9733" s="16">
        <v>203.3</v>
      </c>
      <c r="F9733" s="1">
        <v>44852</v>
      </c>
      <c r="G9733" t="s">
        <v>2027</v>
      </c>
      <c r="H9733">
        <v>5</v>
      </c>
      <c r="I9733" s="12">
        <f>Table16[[#This Row],[price]]*Table16[[#This Row],[quantity]]</f>
        <v>1016.5</v>
      </c>
    </row>
    <row r="9734" spans="1:9" x14ac:dyDescent="0.3">
      <c r="A9734" t="s">
        <v>11752</v>
      </c>
      <c r="B9734" t="s">
        <v>1945</v>
      </c>
      <c r="C9734" t="s">
        <v>2001</v>
      </c>
      <c r="D9734">
        <v>5</v>
      </c>
      <c r="E9734" s="16">
        <v>1500.4</v>
      </c>
      <c r="F9734" s="1">
        <v>44872</v>
      </c>
      <c r="G9734" t="s">
        <v>2027</v>
      </c>
      <c r="H9734">
        <v>2</v>
      </c>
      <c r="I9734" s="12">
        <f>Table16[[#This Row],[price]]*Table16[[#This Row],[quantity]]</f>
        <v>7502</v>
      </c>
    </row>
    <row r="9735" spans="1:9" x14ac:dyDescent="0.3">
      <c r="A9735" t="s">
        <v>11751</v>
      </c>
      <c r="B9735" t="s">
        <v>1945</v>
      </c>
      <c r="C9735" t="s">
        <v>2011</v>
      </c>
      <c r="D9735">
        <v>4</v>
      </c>
      <c r="E9735" s="16">
        <v>162.63999999999999</v>
      </c>
      <c r="F9735" s="1">
        <v>44971</v>
      </c>
      <c r="G9735" t="s">
        <v>2002</v>
      </c>
      <c r="H9735">
        <v>1</v>
      </c>
      <c r="I9735" s="12">
        <f>Table16[[#This Row],[price]]*Table16[[#This Row],[quantity]]</f>
        <v>650.55999999999995</v>
      </c>
    </row>
    <row r="9736" spans="1:9" x14ac:dyDescent="0.3">
      <c r="A9736" t="s">
        <v>11746</v>
      </c>
      <c r="B9736" t="s">
        <v>1945</v>
      </c>
      <c r="C9736" t="s">
        <v>2001</v>
      </c>
      <c r="D9736">
        <v>4</v>
      </c>
      <c r="E9736" s="16">
        <v>1200.32</v>
      </c>
      <c r="F9736" s="1">
        <v>44983</v>
      </c>
      <c r="G9736" t="s">
        <v>2041</v>
      </c>
      <c r="H9736">
        <v>1</v>
      </c>
      <c r="I9736" s="12">
        <f>Table16[[#This Row],[price]]*Table16[[#This Row],[quantity]]</f>
        <v>4801.28</v>
      </c>
    </row>
    <row r="9737" spans="1:9" x14ac:dyDescent="0.3">
      <c r="A9737" t="s">
        <v>11753</v>
      </c>
      <c r="B9737" t="s">
        <v>1946</v>
      </c>
      <c r="C9737" t="s">
        <v>2001</v>
      </c>
      <c r="D9737">
        <v>3</v>
      </c>
      <c r="E9737" s="16">
        <v>900.24</v>
      </c>
      <c r="F9737" s="1">
        <v>44339</v>
      </c>
      <c r="G9737" t="s">
        <v>2002</v>
      </c>
      <c r="H9737">
        <v>2</v>
      </c>
      <c r="I9737" s="12">
        <f>Table16[[#This Row],[price]]*Table16[[#This Row],[quantity]]</f>
        <v>2700.7200000000003</v>
      </c>
    </row>
    <row r="9738" spans="1:9" x14ac:dyDescent="0.3">
      <c r="A9738" t="s">
        <v>11755</v>
      </c>
      <c r="B9738" t="s">
        <v>1946</v>
      </c>
      <c r="C9738" t="s">
        <v>2001</v>
      </c>
      <c r="D9738">
        <v>4</v>
      </c>
      <c r="E9738" s="16">
        <v>1200.32</v>
      </c>
      <c r="F9738" s="1">
        <v>44408</v>
      </c>
      <c r="G9738" t="s">
        <v>2018</v>
      </c>
      <c r="H9738">
        <v>4</v>
      </c>
      <c r="I9738" s="12">
        <f>Table16[[#This Row],[price]]*Table16[[#This Row],[quantity]]</f>
        <v>4801.28</v>
      </c>
    </row>
    <row r="9739" spans="1:9" x14ac:dyDescent="0.3">
      <c r="A9739" t="s">
        <v>11756</v>
      </c>
      <c r="B9739" t="s">
        <v>1946</v>
      </c>
      <c r="C9739" t="s">
        <v>2006</v>
      </c>
      <c r="D9739">
        <v>4</v>
      </c>
      <c r="E9739" s="16">
        <v>60.6</v>
      </c>
      <c r="F9739" s="1">
        <v>44461</v>
      </c>
      <c r="G9739" t="s">
        <v>2027</v>
      </c>
      <c r="H9739">
        <v>1</v>
      </c>
      <c r="I9739" s="12">
        <f>Table16[[#This Row],[price]]*Table16[[#This Row],[quantity]]</f>
        <v>242.4</v>
      </c>
    </row>
    <row r="9740" spans="1:9" x14ac:dyDescent="0.3">
      <c r="A9740" t="s">
        <v>11754</v>
      </c>
      <c r="B9740" t="s">
        <v>1946</v>
      </c>
      <c r="C9740" t="s">
        <v>2011</v>
      </c>
      <c r="D9740">
        <v>4</v>
      </c>
      <c r="E9740" s="16">
        <v>162.63999999999999</v>
      </c>
      <c r="F9740" s="1">
        <v>44882</v>
      </c>
      <c r="G9740" t="s">
        <v>2018</v>
      </c>
      <c r="H9740">
        <v>3</v>
      </c>
      <c r="I9740" s="12">
        <f>Table16[[#This Row],[price]]*Table16[[#This Row],[quantity]]</f>
        <v>650.55999999999995</v>
      </c>
    </row>
    <row r="9741" spans="1:9" x14ac:dyDescent="0.3">
      <c r="A9741" t="s">
        <v>11757</v>
      </c>
      <c r="B9741" t="s">
        <v>1947</v>
      </c>
      <c r="C9741" t="s">
        <v>2001</v>
      </c>
      <c r="D9741">
        <v>2</v>
      </c>
      <c r="E9741" s="16">
        <v>600.16</v>
      </c>
      <c r="F9741" s="1">
        <v>44289</v>
      </c>
      <c r="G9741" t="s">
        <v>2004</v>
      </c>
      <c r="H9741">
        <v>2</v>
      </c>
      <c r="I9741" s="12">
        <f>Table16[[#This Row],[price]]*Table16[[#This Row],[quantity]]</f>
        <v>1200.32</v>
      </c>
    </row>
    <row r="9742" spans="1:9" x14ac:dyDescent="0.3">
      <c r="A9742" t="s">
        <v>11758</v>
      </c>
      <c r="B9742" t="s">
        <v>1947</v>
      </c>
      <c r="C9742" t="s">
        <v>2015</v>
      </c>
      <c r="D9742">
        <v>5</v>
      </c>
      <c r="E9742" s="16">
        <v>3000.85</v>
      </c>
      <c r="F9742" s="1">
        <v>44337</v>
      </c>
      <c r="G9742" t="s">
        <v>2027</v>
      </c>
      <c r="H9742">
        <v>1</v>
      </c>
      <c r="I9742" s="12">
        <f>Table16[[#This Row],[price]]*Table16[[#This Row],[quantity]]</f>
        <v>15004.25</v>
      </c>
    </row>
    <row r="9743" spans="1:9" x14ac:dyDescent="0.3">
      <c r="A9743" t="s">
        <v>11759</v>
      </c>
      <c r="B9743" t="s">
        <v>1947</v>
      </c>
      <c r="C9743" t="s">
        <v>2001</v>
      </c>
      <c r="D9743">
        <v>3</v>
      </c>
      <c r="E9743" s="16">
        <v>900.24</v>
      </c>
      <c r="F9743" s="1">
        <v>44688</v>
      </c>
      <c r="G9743" t="s">
        <v>2004</v>
      </c>
      <c r="H9743">
        <v>3</v>
      </c>
      <c r="I9743" s="12">
        <f>Table16[[#This Row],[price]]*Table16[[#This Row],[quantity]]</f>
        <v>2700.7200000000003</v>
      </c>
    </row>
    <row r="9744" spans="1:9" x14ac:dyDescent="0.3">
      <c r="A9744" t="s">
        <v>11760</v>
      </c>
      <c r="B9744" t="s">
        <v>1947</v>
      </c>
      <c r="C9744" t="s">
        <v>2017</v>
      </c>
      <c r="D9744">
        <v>2</v>
      </c>
      <c r="E9744" s="16">
        <v>2100</v>
      </c>
      <c r="F9744" s="1">
        <v>44913</v>
      </c>
      <c r="G9744" t="s">
        <v>2002</v>
      </c>
      <c r="H9744">
        <v>3</v>
      </c>
      <c r="I9744" s="12">
        <f>Table16[[#This Row],[price]]*Table16[[#This Row],[quantity]]</f>
        <v>4200</v>
      </c>
    </row>
    <row r="9745" spans="1:9" x14ac:dyDescent="0.3">
      <c r="A9745" t="s">
        <v>11763</v>
      </c>
      <c r="B9745" t="s">
        <v>1948</v>
      </c>
      <c r="C9745" t="s">
        <v>2017</v>
      </c>
      <c r="D9745">
        <v>1</v>
      </c>
      <c r="E9745" s="16">
        <v>1050</v>
      </c>
      <c r="F9745" s="1">
        <v>44258</v>
      </c>
      <c r="G9745" t="s">
        <v>2002</v>
      </c>
      <c r="H9745">
        <v>5</v>
      </c>
      <c r="I9745" s="12">
        <f>Table16[[#This Row],[price]]*Table16[[#This Row],[quantity]]</f>
        <v>1050</v>
      </c>
    </row>
    <row r="9746" spans="1:9" x14ac:dyDescent="0.3">
      <c r="A9746" t="s">
        <v>11764</v>
      </c>
      <c r="B9746" t="s">
        <v>1948</v>
      </c>
      <c r="C9746" t="s">
        <v>2001</v>
      </c>
      <c r="D9746">
        <v>2</v>
      </c>
      <c r="E9746" s="16">
        <v>600.16</v>
      </c>
      <c r="F9746" s="1">
        <v>44394</v>
      </c>
      <c r="G9746" t="s">
        <v>2004</v>
      </c>
      <c r="H9746">
        <v>5</v>
      </c>
      <c r="I9746" s="12">
        <f>Table16[[#This Row],[price]]*Table16[[#This Row],[quantity]]</f>
        <v>1200.32</v>
      </c>
    </row>
    <row r="9747" spans="1:9" x14ac:dyDescent="0.3">
      <c r="A9747" t="s">
        <v>11762</v>
      </c>
      <c r="B9747" t="s">
        <v>1948</v>
      </c>
      <c r="C9747" t="s">
        <v>2011</v>
      </c>
      <c r="D9747">
        <v>2</v>
      </c>
      <c r="E9747" s="16">
        <v>81.319999999999993</v>
      </c>
      <c r="F9747" s="1">
        <v>44446</v>
      </c>
      <c r="G9747" t="s">
        <v>2002</v>
      </c>
      <c r="H9747">
        <v>1</v>
      </c>
      <c r="I9747" s="12">
        <f>Table16[[#This Row],[price]]*Table16[[#This Row],[quantity]]</f>
        <v>162.63999999999999</v>
      </c>
    </row>
    <row r="9748" spans="1:9" x14ac:dyDescent="0.3">
      <c r="A9748" t="s">
        <v>11765</v>
      </c>
      <c r="B9748" t="s">
        <v>1948</v>
      </c>
      <c r="C9748" t="s">
        <v>2001</v>
      </c>
      <c r="D9748">
        <v>3</v>
      </c>
      <c r="E9748" s="16">
        <v>900.24</v>
      </c>
      <c r="F9748" s="1">
        <v>44491</v>
      </c>
      <c r="G9748" t="s">
        <v>2004</v>
      </c>
      <c r="H9748">
        <v>4</v>
      </c>
      <c r="I9748" s="12">
        <f>Table16[[#This Row],[price]]*Table16[[#This Row],[quantity]]</f>
        <v>2700.7200000000003</v>
      </c>
    </row>
    <row r="9749" spans="1:9" x14ac:dyDescent="0.3">
      <c r="A9749" t="s">
        <v>11761</v>
      </c>
      <c r="B9749" t="s">
        <v>1948</v>
      </c>
      <c r="C9749" t="s">
        <v>2015</v>
      </c>
      <c r="D9749">
        <v>3</v>
      </c>
      <c r="E9749" s="16">
        <v>1800.51</v>
      </c>
      <c r="F9749" s="1">
        <v>44518</v>
      </c>
      <c r="G9749" t="s">
        <v>2002</v>
      </c>
      <c r="H9749">
        <v>4</v>
      </c>
      <c r="I9749" s="12">
        <f>Table16[[#This Row],[price]]*Table16[[#This Row],[quantity]]</f>
        <v>5401.53</v>
      </c>
    </row>
    <row r="9750" spans="1:9" x14ac:dyDescent="0.3">
      <c r="A9750" t="s">
        <v>11766</v>
      </c>
      <c r="B9750" t="s">
        <v>1948</v>
      </c>
      <c r="C9750" t="s">
        <v>2057</v>
      </c>
      <c r="D9750">
        <v>5</v>
      </c>
      <c r="E9750" s="16">
        <v>58.65</v>
      </c>
      <c r="F9750" s="1">
        <v>44560</v>
      </c>
      <c r="G9750" t="s">
        <v>2020</v>
      </c>
      <c r="H9750">
        <v>4</v>
      </c>
      <c r="I9750" s="12">
        <f>Table16[[#This Row],[price]]*Table16[[#This Row],[quantity]]</f>
        <v>293.25</v>
      </c>
    </row>
    <row r="9751" spans="1:9" x14ac:dyDescent="0.3">
      <c r="A9751" t="s">
        <v>11767</v>
      </c>
      <c r="B9751" t="s">
        <v>1948</v>
      </c>
      <c r="C9751" t="s">
        <v>2008</v>
      </c>
      <c r="D9751">
        <v>4</v>
      </c>
      <c r="E9751" s="16">
        <v>20.92</v>
      </c>
      <c r="F9751" s="1">
        <v>44865</v>
      </c>
      <c r="G9751" t="s">
        <v>2027</v>
      </c>
      <c r="H9751">
        <v>2</v>
      </c>
      <c r="I9751" s="12">
        <f>Table16[[#This Row],[price]]*Table16[[#This Row],[quantity]]</f>
        <v>83.68</v>
      </c>
    </row>
    <row r="9752" spans="1:9" x14ac:dyDescent="0.3">
      <c r="A9752" t="s">
        <v>11771</v>
      </c>
      <c r="B9752" t="s">
        <v>1949</v>
      </c>
      <c r="C9752" t="s">
        <v>2001</v>
      </c>
      <c r="D9752">
        <v>3</v>
      </c>
      <c r="E9752" s="16">
        <v>900.24</v>
      </c>
      <c r="F9752" s="1">
        <v>44695</v>
      </c>
      <c r="G9752" t="s">
        <v>2064</v>
      </c>
      <c r="H9752">
        <v>1</v>
      </c>
      <c r="I9752" s="12">
        <f>Table16[[#This Row],[price]]*Table16[[#This Row],[quantity]]</f>
        <v>2700.7200000000003</v>
      </c>
    </row>
    <row r="9753" spans="1:9" x14ac:dyDescent="0.3">
      <c r="A9753" t="s">
        <v>11769</v>
      </c>
      <c r="B9753" t="s">
        <v>1949</v>
      </c>
      <c r="C9753" t="s">
        <v>2006</v>
      </c>
      <c r="D9753">
        <v>3</v>
      </c>
      <c r="E9753" s="16">
        <v>45.45</v>
      </c>
      <c r="F9753" s="1">
        <v>44788</v>
      </c>
      <c r="G9753" t="s">
        <v>2058</v>
      </c>
      <c r="H9753">
        <v>5</v>
      </c>
      <c r="I9753" s="12">
        <f>Table16[[#This Row],[price]]*Table16[[#This Row],[quantity]]</f>
        <v>136.35000000000002</v>
      </c>
    </row>
    <row r="9754" spans="1:9" x14ac:dyDescent="0.3">
      <c r="A9754" t="s">
        <v>11770</v>
      </c>
      <c r="B9754" t="s">
        <v>1949</v>
      </c>
      <c r="C9754" t="s">
        <v>2001</v>
      </c>
      <c r="D9754">
        <v>4</v>
      </c>
      <c r="E9754" s="16">
        <v>1200.32</v>
      </c>
      <c r="F9754" s="1">
        <v>44824</v>
      </c>
      <c r="G9754" t="s">
        <v>2002</v>
      </c>
      <c r="H9754">
        <v>2</v>
      </c>
      <c r="I9754" s="12">
        <f>Table16[[#This Row],[price]]*Table16[[#This Row],[quantity]]</f>
        <v>4801.28</v>
      </c>
    </row>
    <row r="9755" spans="1:9" x14ac:dyDescent="0.3">
      <c r="A9755" t="s">
        <v>11768</v>
      </c>
      <c r="B9755" t="s">
        <v>1949</v>
      </c>
      <c r="C9755" t="s">
        <v>2001</v>
      </c>
      <c r="D9755">
        <v>4</v>
      </c>
      <c r="E9755" s="16">
        <v>1200.32</v>
      </c>
      <c r="F9755" s="1">
        <v>44830</v>
      </c>
      <c r="G9755" t="s">
        <v>2004</v>
      </c>
      <c r="H9755">
        <v>1</v>
      </c>
      <c r="I9755" s="12">
        <f>Table16[[#This Row],[price]]*Table16[[#This Row],[quantity]]</f>
        <v>4801.28</v>
      </c>
    </row>
    <row r="9756" spans="1:9" x14ac:dyDescent="0.3">
      <c r="A9756" t="s">
        <v>11777</v>
      </c>
      <c r="B9756" t="s">
        <v>1950</v>
      </c>
      <c r="C9756" t="s">
        <v>2001</v>
      </c>
      <c r="D9756">
        <v>4</v>
      </c>
      <c r="E9756" s="16">
        <v>1200.32</v>
      </c>
      <c r="F9756" s="1">
        <v>44533</v>
      </c>
      <c r="G9756" t="s">
        <v>2020</v>
      </c>
      <c r="H9756">
        <v>3</v>
      </c>
      <c r="I9756" s="12">
        <f>Table16[[#This Row],[price]]*Table16[[#This Row],[quantity]]</f>
        <v>4801.28</v>
      </c>
    </row>
    <row r="9757" spans="1:9" x14ac:dyDescent="0.3">
      <c r="A9757" t="s">
        <v>11773</v>
      </c>
      <c r="B9757" t="s">
        <v>1950</v>
      </c>
      <c r="C9757" t="s">
        <v>2001</v>
      </c>
      <c r="D9757">
        <v>1</v>
      </c>
      <c r="E9757" s="16">
        <v>300.08</v>
      </c>
      <c r="F9757" s="1">
        <v>44556</v>
      </c>
      <c r="G9757" t="s">
        <v>2020</v>
      </c>
      <c r="H9757">
        <v>2</v>
      </c>
      <c r="I9757" s="12">
        <f>Table16[[#This Row],[price]]*Table16[[#This Row],[quantity]]</f>
        <v>300.08</v>
      </c>
    </row>
    <row r="9758" spans="1:9" x14ac:dyDescent="0.3">
      <c r="A9758" t="s">
        <v>11774</v>
      </c>
      <c r="B9758" t="s">
        <v>1950</v>
      </c>
      <c r="C9758" t="s">
        <v>2024</v>
      </c>
      <c r="D9758">
        <v>1</v>
      </c>
      <c r="E9758" s="16">
        <v>35.840000000000003</v>
      </c>
      <c r="F9758" s="1">
        <v>44562</v>
      </c>
      <c r="G9758" t="s">
        <v>2020</v>
      </c>
      <c r="H9758">
        <v>3</v>
      </c>
      <c r="I9758" s="12">
        <f>Table16[[#This Row],[price]]*Table16[[#This Row],[quantity]]</f>
        <v>35.840000000000003</v>
      </c>
    </row>
    <row r="9759" spans="1:9" x14ac:dyDescent="0.3">
      <c r="A9759" t="s">
        <v>11772</v>
      </c>
      <c r="B9759" t="s">
        <v>1950</v>
      </c>
      <c r="C9759" t="s">
        <v>2015</v>
      </c>
      <c r="D9759">
        <v>5</v>
      </c>
      <c r="E9759" s="16">
        <v>3000.85</v>
      </c>
      <c r="F9759" s="1">
        <v>44633</v>
      </c>
      <c r="G9759" t="s">
        <v>2027</v>
      </c>
      <c r="H9759">
        <v>4</v>
      </c>
      <c r="I9759" s="12">
        <f>Table16[[#This Row],[price]]*Table16[[#This Row],[quantity]]</f>
        <v>15004.25</v>
      </c>
    </row>
    <row r="9760" spans="1:9" x14ac:dyDescent="0.3">
      <c r="A9760" t="s">
        <v>11776</v>
      </c>
      <c r="B9760" t="s">
        <v>1950</v>
      </c>
      <c r="C9760" t="s">
        <v>2001</v>
      </c>
      <c r="D9760">
        <v>5</v>
      </c>
      <c r="E9760" s="16">
        <v>1500.4</v>
      </c>
      <c r="F9760" s="1">
        <v>44825</v>
      </c>
      <c r="G9760" t="s">
        <v>2027</v>
      </c>
      <c r="H9760">
        <v>5</v>
      </c>
      <c r="I9760" s="12">
        <f>Table16[[#This Row],[price]]*Table16[[#This Row],[quantity]]</f>
        <v>7502</v>
      </c>
    </row>
    <row r="9761" spans="1:9" x14ac:dyDescent="0.3">
      <c r="A9761" t="s">
        <v>11775</v>
      </c>
      <c r="B9761" t="s">
        <v>1950</v>
      </c>
      <c r="C9761" t="s">
        <v>2001</v>
      </c>
      <c r="D9761">
        <v>1</v>
      </c>
      <c r="E9761" s="16">
        <v>300.08</v>
      </c>
      <c r="F9761" s="1">
        <v>44907</v>
      </c>
      <c r="G9761" t="s">
        <v>2064</v>
      </c>
      <c r="H9761">
        <v>2</v>
      </c>
      <c r="I9761" s="12">
        <f>Table16[[#This Row],[price]]*Table16[[#This Row],[quantity]]</f>
        <v>300.08</v>
      </c>
    </row>
    <row r="9762" spans="1:9" x14ac:dyDescent="0.3">
      <c r="A9762" t="s">
        <v>11778</v>
      </c>
      <c r="B9762" t="s">
        <v>1951</v>
      </c>
      <c r="C9762" t="s">
        <v>2001</v>
      </c>
      <c r="D9762">
        <v>3</v>
      </c>
      <c r="E9762" s="16">
        <v>900.24</v>
      </c>
      <c r="F9762" s="1">
        <v>44199</v>
      </c>
      <c r="G9762" t="s">
        <v>2027</v>
      </c>
      <c r="H9762">
        <v>5</v>
      </c>
      <c r="I9762" s="12">
        <f>Table16[[#This Row],[price]]*Table16[[#This Row],[quantity]]</f>
        <v>2700.7200000000003</v>
      </c>
    </row>
    <row r="9763" spans="1:9" x14ac:dyDescent="0.3">
      <c r="A9763" t="s">
        <v>11782</v>
      </c>
      <c r="B9763" t="s">
        <v>1951</v>
      </c>
      <c r="C9763" t="s">
        <v>2011</v>
      </c>
      <c r="D9763">
        <v>2</v>
      </c>
      <c r="E9763" s="16">
        <v>81.319999999999993</v>
      </c>
      <c r="F9763" s="1">
        <v>44208</v>
      </c>
      <c r="G9763" t="s">
        <v>2002</v>
      </c>
      <c r="H9763">
        <v>4</v>
      </c>
      <c r="I9763" s="12">
        <f>Table16[[#This Row],[price]]*Table16[[#This Row],[quantity]]</f>
        <v>162.63999999999999</v>
      </c>
    </row>
    <row r="9764" spans="1:9" x14ac:dyDescent="0.3">
      <c r="A9764" t="s">
        <v>11779</v>
      </c>
      <c r="B9764" t="s">
        <v>1951</v>
      </c>
      <c r="C9764" t="s">
        <v>2024</v>
      </c>
      <c r="D9764">
        <v>5</v>
      </c>
      <c r="E9764" s="16">
        <v>179.2</v>
      </c>
      <c r="F9764" s="1">
        <v>44522</v>
      </c>
      <c r="G9764" t="s">
        <v>2064</v>
      </c>
      <c r="H9764">
        <v>3</v>
      </c>
      <c r="I9764" s="12">
        <f>Table16[[#This Row],[price]]*Table16[[#This Row],[quantity]]</f>
        <v>896</v>
      </c>
    </row>
    <row r="9765" spans="1:9" x14ac:dyDescent="0.3">
      <c r="A9765" t="s">
        <v>11780</v>
      </c>
      <c r="B9765" t="s">
        <v>1951</v>
      </c>
      <c r="C9765" t="s">
        <v>2001</v>
      </c>
      <c r="D9765">
        <v>2</v>
      </c>
      <c r="E9765" s="16">
        <v>600.16</v>
      </c>
      <c r="F9765" s="1">
        <v>44771</v>
      </c>
      <c r="G9765" t="s">
        <v>2002</v>
      </c>
      <c r="H9765">
        <v>3</v>
      </c>
      <c r="I9765" s="12">
        <f>Table16[[#This Row],[price]]*Table16[[#This Row],[quantity]]</f>
        <v>1200.32</v>
      </c>
    </row>
    <row r="9766" spans="1:9" x14ac:dyDescent="0.3">
      <c r="A9766" t="s">
        <v>11781</v>
      </c>
      <c r="B9766" t="s">
        <v>1951</v>
      </c>
      <c r="C9766" t="s">
        <v>2015</v>
      </c>
      <c r="D9766">
        <v>5</v>
      </c>
      <c r="E9766" s="16">
        <v>3000.85</v>
      </c>
      <c r="F9766" s="1">
        <v>44862</v>
      </c>
      <c r="G9766" t="s">
        <v>2004</v>
      </c>
      <c r="H9766">
        <v>3</v>
      </c>
      <c r="I9766" s="12">
        <f>Table16[[#This Row],[price]]*Table16[[#This Row],[quantity]]</f>
        <v>15004.25</v>
      </c>
    </row>
    <row r="9767" spans="1:9" x14ac:dyDescent="0.3">
      <c r="A9767" t="s">
        <v>11783</v>
      </c>
      <c r="B9767" t="s">
        <v>1952</v>
      </c>
      <c r="C9767" t="s">
        <v>2001</v>
      </c>
      <c r="D9767">
        <v>5</v>
      </c>
      <c r="E9767" s="16">
        <v>1500.4</v>
      </c>
      <c r="F9767" s="1">
        <v>44776</v>
      </c>
      <c r="G9767" t="s">
        <v>2018</v>
      </c>
      <c r="H9767">
        <v>4</v>
      </c>
      <c r="I9767" s="12">
        <f>Table16[[#This Row],[price]]*Table16[[#This Row],[quantity]]</f>
        <v>7502</v>
      </c>
    </row>
    <row r="9768" spans="1:9" x14ac:dyDescent="0.3">
      <c r="A9768" t="s">
        <v>11784</v>
      </c>
      <c r="B9768" t="s">
        <v>1952</v>
      </c>
      <c r="C9768" t="s">
        <v>2024</v>
      </c>
      <c r="D9768">
        <v>2</v>
      </c>
      <c r="E9768" s="16">
        <v>71.680000000000007</v>
      </c>
      <c r="F9768" s="1">
        <v>44808</v>
      </c>
      <c r="G9768" t="s">
        <v>2002</v>
      </c>
      <c r="H9768">
        <v>2</v>
      </c>
      <c r="I9768" s="12">
        <f>Table16[[#This Row],[price]]*Table16[[#This Row],[quantity]]</f>
        <v>143.36000000000001</v>
      </c>
    </row>
    <row r="9769" spans="1:9" x14ac:dyDescent="0.3">
      <c r="A9769" t="s">
        <v>11789</v>
      </c>
      <c r="B9769" t="s">
        <v>1953</v>
      </c>
      <c r="C9769" t="s">
        <v>2006</v>
      </c>
      <c r="D9769">
        <v>1</v>
      </c>
      <c r="E9769" s="16">
        <v>15.15</v>
      </c>
      <c r="F9769" s="1">
        <v>44286</v>
      </c>
      <c r="G9769" t="s">
        <v>2018</v>
      </c>
      <c r="H9769">
        <v>4</v>
      </c>
      <c r="I9769" s="12">
        <f>Table16[[#This Row],[price]]*Table16[[#This Row],[quantity]]</f>
        <v>15.15</v>
      </c>
    </row>
    <row r="9770" spans="1:9" x14ac:dyDescent="0.3">
      <c r="A9770" t="s">
        <v>11790</v>
      </c>
      <c r="B9770" t="s">
        <v>1953</v>
      </c>
      <c r="C9770" t="s">
        <v>2017</v>
      </c>
      <c r="D9770">
        <v>1</v>
      </c>
      <c r="E9770" s="16">
        <v>1050</v>
      </c>
      <c r="F9770" s="1">
        <v>44315</v>
      </c>
      <c r="G9770" t="s">
        <v>2002</v>
      </c>
      <c r="H9770">
        <v>1</v>
      </c>
      <c r="I9770" s="12">
        <f>Table16[[#This Row],[price]]*Table16[[#This Row],[quantity]]</f>
        <v>1050</v>
      </c>
    </row>
    <row r="9771" spans="1:9" x14ac:dyDescent="0.3">
      <c r="A9771" t="s">
        <v>11785</v>
      </c>
      <c r="B9771" t="s">
        <v>1953</v>
      </c>
      <c r="C9771" t="s">
        <v>2006</v>
      </c>
      <c r="D9771">
        <v>1</v>
      </c>
      <c r="E9771" s="16">
        <v>15.15</v>
      </c>
      <c r="F9771" s="1">
        <v>44435</v>
      </c>
      <c r="G9771" t="s">
        <v>2012</v>
      </c>
      <c r="H9771">
        <v>4</v>
      </c>
      <c r="I9771" s="12">
        <f>Table16[[#This Row],[price]]*Table16[[#This Row],[quantity]]</f>
        <v>15.15</v>
      </c>
    </row>
    <row r="9772" spans="1:9" x14ac:dyDescent="0.3">
      <c r="A9772" t="s">
        <v>11791</v>
      </c>
      <c r="B9772" t="s">
        <v>1953</v>
      </c>
      <c r="C9772" t="s">
        <v>2015</v>
      </c>
      <c r="D9772">
        <v>4</v>
      </c>
      <c r="E9772" s="16">
        <v>2400.6799999999998</v>
      </c>
      <c r="F9772" s="1">
        <v>44450</v>
      </c>
      <c r="G9772" t="s">
        <v>2064</v>
      </c>
      <c r="H9772">
        <v>4</v>
      </c>
      <c r="I9772" s="12">
        <f>Table16[[#This Row],[price]]*Table16[[#This Row],[quantity]]</f>
        <v>9602.7199999999993</v>
      </c>
    </row>
    <row r="9773" spans="1:9" x14ac:dyDescent="0.3">
      <c r="A9773" t="s">
        <v>11786</v>
      </c>
      <c r="B9773" t="s">
        <v>1953</v>
      </c>
      <c r="C9773" t="s">
        <v>2006</v>
      </c>
      <c r="D9773">
        <v>4</v>
      </c>
      <c r="E9773" s="16">
        <v>60.6</v>
      </c>
      <c r="F9773" s="1">
        <v>44507</v>
      </c>
      <c r="G9773" t="s">
        <v>2018</v>
      </c>
      <c r="H9773">
        <v>1</v>
      </c>
      <c r="I9773" s="12">
        <f>Table16[[#This Row],[price]]*Table16[[#This Row],[quantity]]</f>
        <v>242.4</v>
      </c>
    </row>
    <row r="9774" spans="1:9" x14ac:dyDescent="0.3">
      <c r="A9774" t="s">
        <v>11788</v>
      </c>
      <c r="B9774" t="s">
        <v>1953</v>
      </c>
      <c r="C9774" t="s">
        <v>2024</v>
      </c>
      <c r="D9774">
        <v>1</v>
      </c>
      <c r="E9774" s="16">
        <v>35.840000000000003</v>
      </c>
      <c r="F9774" s="1">
        <v>44670</v>
      </c>
      <c r="G9774" t="s">
        <v>2002</v>
      </c>
      <c r="H9774">
        <v>1</v>
      </c>
      <c r="I9774" s="12">
        <f>Table16[[#This Row],[price]]*Table16[[#This Row],[quantity]]</f>
        <v>35.840000000000003</v>
      </c>
    </row>
    <row r="9775" spans="1:9" x14ac:dyDescent="0.3">
      <c r="A9775" t="s">
        <v>11787</v>
      </c>
      <c r="B9775" t="s">
        <v>1953</v>
      </c>
      <c r="C9775" t="s">
        <v>2008</v>
      </c>
      <c r="D9775">
        <v>3</v>
      </c>
      <c r="E9775" s="16">
        <v>15.69</v>
      </c>
      <c r="F9775" s="1">
        <v>44860</v>
      </c>
      <c r="G9775" t="s">
        <v>2004</v>
      </c>
      <c r="H9775">
        <v>1</v>
      </c>
      <c r="I9775" s="12">
        <f>Table16[[#This Row],[price]]*Table16[[#This Row],[quantity]]</f>
        <v>47.07</v>
      </c>
    </row>
    <row r="9776" spans="1:9" x14ac:dyDescent="0.3">
      <c r="A9776" t="s">
        <v>11795</v>
      </c>
      <c r="B9776" t="s">
        <v>1954</v>
      </c>
      <c r="C9776" t="s">
        <v>2011</v>
      </c>
      <c r="D9776">
        <v>4</v>
      </c>
      <c r="E9776" s="16">
        <v>162.63999999999999</v>
      </c>
      <c r="F9776" s="1">
        <v>44387</v>
      </c>
      <c r="G9776" t="s">
        <v>2064</v>
      </c>
      <c r="H9776">
        <v>5</v>
      </c>
      <c r="I9776" s="12">
        <f>Table16[[#This Row],[price]]*Table16[[#This Row],[quantity]]</f>
        <v>650.55999999999995</v>
      </c>
    </row>
    <row r="9777" spans="1:9" x14ac:dyDescent="0.3">
      <c r="A9777" t="s">
        <v>11794</v>
      </c>
      <c r="B9777" t="s">
        <v>1954</v>
      </c>
      <c r="C9777" t="s">
        <v>2001</v>
      </c>
      <c r="D9777">
        <v>4</v>
      </c>
      <c r="E9777" s="16">
        <v>1200.32</v>
      </c>
      <c r="F9777" s="1">
        <v>44770</v>
      </c>
      <c r="G9777" t="s">
        <v>2002</v>
      </c>
      <c r="H9777">
        <v>5</v>
      </c>
      <c r="I9777" s="12">
        <f>Table16[[#This Row],[price]]*Table16[[#This Row],[quantity]]</f>
        <v>4801.28</v>
      </c>
    </row>
    <row r="9778" spans="1:9" x14ac:dyDescent="0.3">
      <c r="A9778" t="s">
        <v>11792</v>
      </c>
      <c r="B9778" t="s">
        <v>1954</v>
      </c>
      <c r="C9778" t="s">
        <v>2008</v>
      </c>
      <c r="D9778">
        <v>4</v>
      </c>
      <c r="E9778" s="16">
        <v>20.92</v>
      </c>
      <c r="F9778" s="1">
        <v>44779</v>
      </c>
      <c r="G9778" t="s">
        <v>2002</v>
      </c>
      <c r="H9778">
        <v>1</v>
      </c>
      <c r="I9778" s="12">
        <f>Table16[[#This Row],[price]]*Table16[[#This Row],[quantity]]</f>
        <v>83.68</v>
      </c>
    </row>
    <row r="9779" spans="1:9" x14ac:dyDescent="0.3">
      <c r="A9779" t="s">
        <v>11793</v>
      </c>
      <c r="B9779" t="s">
        <v>1954</v>
      </c>
      <c r="C9779" t="s">
        <v>2001</v>
      </c>
      <c r="D9779">
        <v>5</v>
      </c>
      <c r="E9779" s="16">
        <v>1500.4</v>
      </c>
      <c r="F9779" s="1">
        <v>44849</v>
      </c>
      <c r="G9779" t="s">
        <v>2002</v>
      </c>
      <c r="H9779">
        <v>1</v>
      </c>
      <c r="I9779" s="12">
        <f>Table16[[#This Row],[price]]*Table16[[#This Row],[quantity]]</f>
        <v>7502</v>
      </c>
    </row>
    <row r="9780" spans="1:9" x14ac:dyDescent="0.3">
      <c r="A9780" t="s">
        <v>11796</v>
      </c>
      <c r="B9780" t="s">
        <v>1954</v>
      </c>
      <c r="C9780" t="s">
        <v>2011</v>
      </c>
      <c r="D9780">
        <v>1</v>
      </c>
      <c r="E9780" s="16">
        <v>40.659999999999997</v>
      </c>
      <c r="F9780" s="1">
        <v>44900</v>
      </c>
      <c r="G9780" t="s">
        <v>2027</v>
      </c>
      <c r="H9780">
        <v>3</v>
      </c>
      <c r="I9780" s="12">
        <f>Table16[[#This Row],[price]]*Table16[[#This Row],[quantity]]</f>
        <v>40.659999999999997</v>
      </c>
    </row>
    <row r="9781" spans="1:9" x14ac:dyDescent="0.3">
      <c r="A9781" t="s">
        <v>11802</v>
      </c>
      <c r="B9781" t="s">
        <v>1955</v>
      </c>
      <c r="C9781" t="s">
        <v>2011</v>
      </c>
      <c r="D9781">
        <v>3</v>
      </c>
      <c r="E9781" s="16">
        <v>121.98</v>
      </c>
      <c r="F9781" s="1">
        <v>44405</v>
      </c>
      <c r="G9781" t="s">
        <v>2002</v>
      </c>
      <c r="H9781">
        <v>4</v>
      </c>
      <c r="I9781" s="12">
        <f>Table16[[#This Row],[price]]*Table16[[#This Row],[quantity]]</f>
        <v>365.94</v>
      </c>
    </row>
    <row r="9782" spans="1:9" x14ac:dyDescent="0.3">
      <c r="A9782" t="s">
        <v>11798</v>
      </c>
      <c r="B9782" t="s">
        <v>1955</v>
      </c>
      <c r="C9782" t="s">
        <v>2024</v>
      </c>
      <c r="D9782">
        <v>4</v>
      </c>
      <c r="E9782" s="16">
        <v>143.36000000000001</v>
      </c>
      <c r="F9782" s="1">
        <v>44554</v>
      </c>
      <c r="G9782" t="s">
        <v>2004</v>
      </c>
      <c r="H9782">
        <v>4</v>
      </c>
      <c r="I9782" s="12">
        <f>Table16[[#This Row],[price]]*Table16[[#This Row],[quantity]]</f>
        <v>573.44000000000005</v>
      </c>
    </row>
    <row r="9783" spans="1:9" x14ac:dyDescent="0.3">
      <c r="A9783" t="s">
        <v>11799</v>
      </c>
      <c r="B9783" t="s">
        <v>1955</v>
      </c>
      <c r="C9783" t="s">
        <v>2024</v>
      </c>
      <c r="D9783">
        <v>1</v>
      </c>
      <c r="E9783" s="16">
        <v>35.840000000000003</v>
      </c>
      <c r="F9783" s="1">
        <v>44824</v>
      </c>
      <c r="G9783" t="s">
        <v>2058</v>
      </c>
      <c r="H9783">
        <v>5</v>
      </c>
      <c r="I9783" s="12">
        <f>Table16[[#This Row],[price]]*Table16[[#This Row],[quantity]]</f>
        <v>35.840000000000003</v>
      </c>
    </row>
    <row r="9784" spans="1:9" x14ac:dyDescent="0.3">
      <c r="A9784" t="s">
        <v>11800</v>
      </c>
      <c r="B9784" t="s">
        <v>1955</v>
      </c>
      <c r="C9784" t="s">
        <v>2001</v>
      </c>
      <c r="D9784">
        <v>5</v>
      </c>
      <c r="E9784" s="16">
        <v>1500.4</v>
      </c>
      <c r="F9784" s="1">
        <v>44836</v>
      </c>
      <c r="G9784" t="s">
        <v>2041</v>
      </c>
      <c r="H9784">
        <v>1</v>
      </c>
      <c r="I9784" s="12">
        <f>Table16[[#This Row],[price]]*Table16[[#This Row],[quantity]]</f>
        <v>7502</v>
      </c>
    </row>
    <row r="9785" spans="1:9" x14ac:dyDescent="0.3">
      <c r="A9785" t="s">
        <v>11797</v>
      </c>
      <c r="B9785" t="s">
        <v>1955</v>
      </c>
      <c r="C9785" t="s">
        <v>2001</v>
      </c>
      <c r="D9785">
        <v>2</v>
      </c>
      <c r="E9785" s="16">
        <v>600.16</v>
      </c>
      <c r="F9785" s="1">
        <v>44855</v>
      </c>
      <c r="G9785" t="s">
        <v>2027</v>
      </c>
      <c r="H9785">
        <v>3</v>
      </c>
      <c r="I9785" s="12">
        <f>Table16[[#This Row],[price]]*Table16[[#This Row],[quantity]]</f>
        <v>1200.32</v>
      </c>
    </row>
    <row r="9786" spans="1:9" x14ac:dyDescent="0.3">
      <c r="A9786" t="s">
        <v>11801</v>
      </c>
      <c r="B9786" t="s">
        <v>1955</v>
      </c>
      <c r="C9786" t="s">
        <v>2008</v>
      </c>
      <c r="D9786">
        <v>1</v>
      </c>
      <c r="E9786" s="16">
        <v>5.23</v>
      </c>
      <c r="F9786" s="1">
        <v>44956</v>
      </c>
      <c r="G9786" t="s">
        <v>2002</v>
      </c>
      <c r="H9786">
        <v>2</v>
      </c>
      <c r="I9786" s="12">
        <f>Table16[[#This Row],[price]]*Table16[[#This Row],[quantity]]</f>
        <v>5.23</v>
      </c>
    </row>
    <row r="9787" spans="1:9" x14ac:dyDescent="0.3">
      <c r="A9787" t="s">
        <v>11808</v>
      </c>
      <c r="B9787" t="s">
        <v>1956</v>
      </c>
      <c r="C9787" t="s">
        <v>2001</v>
      </c>
      <c r="D9787">
        <v>5</v>
      </c>
      <c r="E9787" s="16">
        <v>1500.4</v>
      </c>
      <c r="F9787" s="1">
        <v>44351</v>
      </c>
      <c r="G9787" t="s">
        <v>2027</v>
      </c>
      <c r="H9787">
        <v>5</v>
      </c>
      <c r="I9787" s="12">
        <f>Table16[[#This Row],[price]]*Table16[[#This Row],[quantity]]</f>
        <v>7502</v>
      </c>
    </row>
    <row r="9788" spans="1:9" x14ac:dyDescent="0.3">
      <c r="A9788" t="s">
        <v>11805</v>
      </c>
      <c r="B9788" t="s">
        <v>1956</v>
      </c>
      <c r="C9788" t="s">
        <v>2001</v>
      </c>
      <c r="D9788">
        <v>4</v>
      </c>
      <c r="E9788" s="16">
        <v>1200.32</v>
      </c>
      <c r="F9788" s="1">
        <v>44379</v>
      </c>
      <c r="G9788" t="s">
        <v>2012</v>
      </c>
      <c r="H9788">
        <v>5</v>
      </c>
      <c r="I9788" s="12">
        <f>Table16[[#This Row],[price]]*Table16[[#This Row],[quantity]]</f>
        <v>4801.28</v>
      </c>
    </row>
    <row r="9789" spans="1:9" x14ac:dyDescent="0.3">
      <c r="A9789" t="s">
        <v>11804</v>
      </c>
      <c r="B9789" t="s">
        <v>1956</v>
      </c>
      <c r="C9789" t="s">
        <v>2015</v>
      </c>
      <c r="D9789">
        <v>2</v>
      </c>
      <c r="E9789" s="16">
        <v>1200.3399999999999</v>
      </c>
      <c r="F9789" s="1">
        <v>44451</v>
      </c>
      <c r="G9789" t="s">
        <v>2002</v>
      </c>
      <c r="H9789">
        <v>4</v>
      </c>
      <c r="I9789" s="12">
        <f>Table16[[#This Row],[price]]*Table16[[#This Row],[quantity]]</f>
        <v>2400.6799999999998</v>
      </c>
    </row>
    <row r="9790" spans="1:9" x14ac:dyDescent="0.3">
      <c r="A9790" t="s">
        <v>11807</v>
      </c>
      <c r="B9790" t="s">
        <v>1956</v>
      </c>
      <c r="C9790" t="s">
        <v>2001</v>
      </c>
      <c r="D9790">
        <v>3</v>
      </c>
      <c r="E9790" s="16">
        <v>900.24</v>
      </c>
      <c r="F9790" s="1">
        <v>44554</v>
      </c>
      <c r="G9790" t="s">
        <v>2004</v>
      </c>
      <c r="H9790">
        <v>1</v>
      </c>
      <c r="I9790" s="12">
        <f>Table16[[#This Row],[price]]*Table16[[#This Row],[quantity]]</f>
        <v>2700.7200000000003</v>
      </c>
    </row>
    <row r="9791" spans="1:9" x14ac:dyDescent="0.3">
      <c r="A9791" t="s">
        <v>11809</v>
      </c>
      <c r="B9791" t="s">
        <v>1956</v>
      </c>
      <c r="C9791" t="s">
        <v>2001</v>
      </c>
      <c r="D9791">
        <v>5</v>
      </c>
      <c r="E9791" s="16">
        <v>1500.4</v>
      </c>
      <c r="F9791" s="1">
        <v>44577</v>
      </c>
      <c r="G9791" t="s">
        <v>2002</v>
      </c>
      <c r="H9791">
        <v>1</v>
      </c>
      <c r="I9791" s="12">
        <f>Table16[[#This Row],[price]]*Table16[[#This Row],[quantity]]</f>
        <v>7502</v>
      </c>
    </row>
    <row r="9792" spans="1:9" x14ac:dyDescent="0.3">
      <c r="A9792" t="s">
        <v>11806</v>
      </c>
      <c r="B9792" t="s">
        <v>1956</v>
      </c>
      <c r="C9792" t="s">
        <v>2001</v>
      </c>
      <c r="D9792">
        <v>4</v>
      </c>
      <c r="E9792" s="16">
        <v>1200.32</v>
      </c>
      <c r="F9792" s="1">
        <v>44747</v>
      </c>
      <c r="G9792" t="s">
        <v>2027</v>
      </c>
      <c r="H9792">
        <v>2</v>
      </c>
      <c r="I9792" s="12">
        <f>Table16[[#This Row],[price]]*Table16[[#This Row],[quantity]]</f>
        <v>4801.28</v>
      </c>
    </row>
    <row r="9793" spans="1:9" x14ac:dyDescent="0.3">
      <c r="A9793" t="s">
        <v>11810</v>
      </c>
      <c r="B9793" t="s">
        <v>1956</v>
      </c>
      <c r="C9793" t="s">
        <v>2008</v>
      </c>
      <c r="D9793">
        <v>3</v>
      </c>
      <c r="E9793" s="16">
        <v>15.69</v>
      </c>
      <c r="F9793" s="1">
        <v>44776</v>
      </c>
      <c r="G9793" t="s">
        <v>2064</v>
      </c>
      <c r="H9793">
        <v>4</v>
      </c>
      <c r="I9793" s="12">
        <f>Table16[[#This Row],[price]]*Table16[[#This Row],[quantity]]</f>
        <v>47.07</v>
      </c>
    </row>
    <row r="9794" spans="1:9" x14ac:dyDescent="0.3">
      <c r="A9794" t="s">
        <v>11803</v>
      </c>
      <c r="B9794" t="s">
        <v>1956</v>
      </c>
      <c r="C9794" t="s">
        <v>2011</v>
      </c>
      <c r="D9794">
        <v>2</v>
      </c>
      <c r="E9794" s="16">
        <v>81.319999999999993</v>
      </c>
      <c r="F9794" s="1">
        <v>44793</v>
      </c>
      <c r="G9794" t="s">
        <v>2020</v>
      </c>
      <c r="H9794">
        <v>1</v>
      </c>
      <c r="I9794" s="12">
        <f>Table16[[#This Row],[price]]*Table16[[#This Row],[quantity]]</f>
        <v>162.63999999999999</v>
      </c>
    </row>
    <row r="9795" spans="1:9" x14ac:dyDescent="0.3">
      <c r="A9795" t="s">
        <v>11813</v>
      </c>
      <c r="B9795" t="s">
        <v>1957</v>
      </c>
      <c r="C9795" t="s">
        <v>2015</v>
      </c>
      <c r="D9795">
        <v>4</v>
      </c>
      <c r="E9795" s="16">
        <v>2400.6799999999998</v>
      </c>
      <c r="F9795" s="1">
        <v>44466</v>
      </c>
      <c r="G9795" t="s">
        <v>2027</v>
      </c>
      <c r="H9795">
        <v>3</v>
      </c>
      <c r="I9795" s="12">
        <f>Table16[[#This Row],[price]]*Table16[[#This Row],[quantity]]</f>
        <v>9602.7199999999993</v>
      </c>
    </row>
    <row r="9796" spans="1:9" x14ac:dyDescent="0.3">
      <c r="A9796" t="s">
        <v>11811</v>
      </c>
      <c r="B9796" t="s">
        <v>1957</v>
      </c>
      <c r="C9796" t="s">
        <v>2011</v>
      </c>
      <c r="D9796">
        <v>4</v>
      </c>
      <c r="E9796" s="16">
        <v>162.63999999999999</v>
      </c>
      <c r="F9796" s="1">
        <v>44495</v>
      </c>
      <c r="G9796" t="s">
        <v>2004</v>
      </c>
      <c r="H9796">
        <v>5</v>
      </c>
      <c r="I9796" s="12">
        <f>Table16[[#This Row],[price]]*Table16[[#This Row],[quantity]]</f>
        <v>650.55999999999995</v>
      </c>
    </row>
    <row r="9797" spans="1:9" x14ac:dyDescent="0.3">
      <c r="A9797" t="s">
        <v>11814</v>
      </c>
      <c r="B9797" t="s">
        <v>1957</v>
      </c>
      <c r="C9797" t="s">
        <v>2015</v>
      </c>
      <c r="D9797">
        <v>4</v>
      </c>
      <c r="E9797" s="16">
        <v>2400.6799999999998</v>
      </c>
      <c r="F9797" s="1">
        <v>44536</v>
      </c>
      <c r="G9797" t="s">
        <v>2002</v>
      </c>
      <c r="H9797">
        <v>4</v>
      </c>
      <c r="I9797" s="12">
        <f>Table16[[#This Row],[price]]*Table16[[#This Row],[quantity]]</f>
        <v>9602.7199999999993</v>
      </c>
    </row>
    <row r="9798" spans="1:9" x14ac:dyDescent="0.3">
      <c r="A9798" t="s">
        <v>11812</v>
      </c>
      <c r="B9798" t="s">
        <v>1957</v>
      </c>
      <c r="C9798" t="s">
        <v>2011</v>
      </c>
      <c r="D9798">
        <v>2</v>
      </c>
      <c r="E9798" s="16">
        <v>81.319999999999993</v>
      </c>
      <c r="F9798" s="1">
        <v>44556</v>
      </c>
      <c r="G9798" t="s">
        <v>2002</v>
      </c>
      <c r="H9798">
        <v>3</v>
      </c>
      <c r="I9798" s="12">
        <f>Table16[[#This Row],[price]]*Table16[[#This Row],[quantity]]</f>
        <v>162.63999999999999</v>
      </c>
    </row>
    <row r="9799" spans="1:9" x14ac:dyDescent="0.3">
      <c r="A9799" t="s">
        <v>11815</v>
      </c>
      <c r="B9799" t="s">
        <v>1958</v>
      </c>
      <c r="C9799" t="s">
        <v>2008</v>
      </c>
      <c r="D9799">
        <v>3</v>
      </c>
      <c r="E9799" s="16">
        <v>15.69</v>
      </c>
      <c r="F9799" s="1">
        <v>44238</v>
      </c>
      <c r="G9799" t="s">
        <v>2004</v>
      </c>
      <c r="H9799">
        <v>5</v>
      </c>
      <c r="I9799" s="12">
        <f>Table16[[#This Row],[price]]*Table16[[#This Row],[quantity]]</f>
        <v>47.07</v>
      </c>
    </row>
    <row r="9800" spans="1:9" x14ac:dyDescent="0.3">
      <c r="A9800" t="s">
        <v>11816</v>
      </c>
      <c r="B9800" t="s">
        <v>1958</v>
      </c>
      <c r="C9800" t="s">
        <v>2015</v>
      </c>
      <c r="D9800">
        <v>4</v>
      </c>
      <c r="E9800" s="16">
        <v>2400.6799999999998</v>
      </c>
      <c r="F9800" s="1">
        <v>44312</v>
      </c>
      <c r="G9800" t="s">
        <v>2020</v>
      </c>
      <c r="H9800">
        <v>1</v>
      </c>
      <c r="I9800" s="12">
        <f>Table16[[#This Row],[price]]*Table16[[#This Row],[quantity]]</f>
        <v>9602.7199999999993</v>
      </c>
    </row>
    <row r="9801" spans="1:9" x14ac:dyDescent="0.3">
      <c r="A9801" t="s">
        <v>11817</v>
      </c>
      <c r="B9801" t="s">
        <v>1958</v>
      </c>
      <c r="C9801" t="s">
        <v>2001</v>
      </c>
      <c r="D9801">
        <v>4</v>
      </c>
      <c r="E9801" s="16">
        <v>1200.32</v>
      </c>
      <c r="F9801" s="1">
        <v>44583</v>
      </c>
      <c r="G9801" t="s">
        <v>2064</v>
      </c>
      <c r="H9801">
        <v>4</v>
      </c>
      <c r="I9801" s="12">
        <f>Table16[[#This Row],[price]]*Table16[[#This Row],[quantity]]</f>
        <v>4801.28</v>
      </c>
    </row>
    <row r="9802" spans="1:9" x14ac:dyDescent="0.3">
      <c r="A9802" t="s">
        <v>11818</v>
      </c>
      <c r="B9802" t="s">
        <v>1958</v>
      </c>
      <c r="C9802" t="s">
        <v>2001</v>
      </c>
      <c r="D9802">
        <v>1</v>
      </c>
      <c r="E9802" s="16">
        <v>300.08</v>
      </c>
      <c r="F9802" s="1">
        <v>44791</v>
      </c>
      <c r="G9802" t="s">
        <v>2064</v>
      </c>
      <c r="H9802">
        <v>4</v>
      </c>
      <c r="I9802" s="12">
        <f>Table16[[#This Row],[price]]*Table16[[#This Row],[quantity]]</f>
        <v>300.08</v>
      </c>
    </row>
    <row r="9803" spans="1:9" x14ac:dyDescent="0.3">
      <c r="A9803" t="s">
        <v>11823</v>
      </c>
      <c r="B9803" t="s">
        <v>1959</v>
      </c>
      <c r="C9803" t="s">
        <v>2015</v>
      </c>
      <c r="D9803">
        <v>4</v>
      </c>
      <c r="E9803" s="16">
        <v>2400.6799999999998</v>
      </c>
      <c r="F9803" s="1">
        <v>44419</v>
      </c>
      <c r="G9803" t="s">
        <v>2018</v>
      </c>
      <c r="H9803">
        <v>3</v>
      </c>
      <c r="I9803" s="12">
        <f>Table16[[#This Row],[price]]*Table16[[#This Row],[quantity]]</f>
        <v>9602.7199999999993</v>
      </c>
    </row>
    <row r="9804" spans="1:9" x14ac:dyDescent="0.3">
      <c r="A9804" t="s">
        <v>11819</v>
      </c>
      <c r="B9804" t="s">
        <v>1959</v>
      </c>
      <c r="C9804" t="s">
        <v>2006</v>
      </c>
      <c r="D9804">
        <v>1</v>
      </c>
      <c r="E9804" s="16">
        <v>15.15</v>
      </c>
      <c r="F9804" s="1">
        <v>44637</v>
      </c>
      <c r="G9804" t="s">
        <v>2020</v>
      </c>
      <c r="H9804">
        <v>5</v>
      </c>
      <c r="I9804" s="12">
        <f>Table16[[#This Row],[price]]*Table16[[#This Row],[quantity]]</f>
        <v>15.15</v>
      </c>
    </row>
    <row r="9805" spans="1:9" x14ac:dyDescent="0.3">
      <c r="A9805" t="s">
        <v>11820</v>
      </c>
      <c r="B9805" t="s">
        <v>1959</v>
      </c>
      <c r="C9805" t="s">
        <v>2001</v>
      </c>
      <c r="D9805">
        <v>2</v>
      </c>
      <c r="E9805" s="16">
        <v>600.16</v>
      </c>
      <c r="F9805" s="1">
        <v>44654</v>
      </c>
      <c r="G9805" t="s">
        <v>2012</v>
      </c>
      <c r="H9805">
        <v>1</v>
      </c>
      <c r="I9805" s="12">
        <f>Table16[[#This Row],[price]]*Table16[[#This Row],[quantity]]</f>
        <v>1200.32</v>
      </c>
    </row>
    <row r="9806" spans="1:9" x14ac:dyDescent="0.3">
      <c r="A9806" t="s">
        <v>11822</v>
      </c>
      <c r="B9806" t="s">
        <v>1959</v>
      </c>
      <c r="C9806" t="s">
        <v>2011</v>
      </c>
      <c r="D9806">
        <v>4</v>
      </c>
      <c r="E9806" s="16">
        <v>162.63999999999999</v>
      </c>
      <c r="F9806" s="1">
        <v>44872</v>
      </c>
      <c r="G9806" t="s">
        <v>2027</v>
      </c>
      <c r="H9806">
        <v>1</v>
      </c>
      <c r="I9806" s="12">
        <f>Table16[[#This Row],[price]]*Table16[[#This Row],[quantity]]</f>
        <v>650.55999999999995</v>
      </c>
    </row>
    <row r="9807" spans="1:9" x14ac:dyDescent="0.3">
      <c r="A9807" t="s">
        <v>11821</v>
      </c>
      <c r="B9807" t="s">
        <v>1959</v>
      </c>
      <c r="C9807" t="s">
        <v>2001</v>
      </c>
      <c r="D9807">
        <v>3</v>
      </c>
      <c r="E9807" s="16">
        <v>900.24</v>
      </c>
      <c r="F9807" s="1">
        <v>44987</v>
      </c>
      <c r="G9807" t="s">
        <v>2064</v>
      </c>
      <c r="H9807">
        <v>1</v>
      </c>
      <c r="I9807" s="12">
        <f>Table16[[#This Row],[price]]*Table16[[#This Row],[quantity]]</f>
        <v>2700.7200000000003</v>
      </c>
    </row>
    <row r="9808" spans="1:9" x14ac:dyDescent="0.3">
      <c r="A9808" t="s">
        <v>11826</v>
      </c>
      <c r="B9808" t="s">
        <v>1960</v>
      </c>
      <c r="C9808" t="s">
        <v>2011</v>
      </c>
      <c r="D9808">
        <v>2</v>
      </c>
      <c r="E9808" s="16">
        <v>81.319999999999993</v>
      </c>
      <c r="F9808" s="1">
        <v>44213</v>
      </c>
      <c r="G9808" t="s">
        <v>2020</v>
      </c>
      <c r="H9808">
        <v>5</v>
      </c>
      <c r="I9808" s="12">
        <f>Table16[[#This Row],[price]]*Table16[[#This Row],[quantity]]</f>
        <v>162.63999999999999</v>
      </c>
    </row>
    <row r="9809" spans="1:9" x14ac:dyDescent="0.3">
      <c r="A9809" t="s">
        <v>11825</v>
      </c>
      <c r="B9809" t="s">
        <v>1960</v>
      </c>
      <c r="C9809" t="s">
        <v>2024</v>
      </c>
      <c r="D9809">
        <v>3</v>
      </c>
      <c r="E9809" s="16">
        <v>107.52</v>
      </c>
      <c r="F9809" s="1">
        <v>44245</v>
      </c>
      <c r="G9809" t="s">
        <v>2020</v>
      </c>
      <c r="H9809">
        <v>1</v>
      </c>
      <c r="I9809" s="12">
        <f>Table16[[#This Row],[price]]*Table16[[#This Row],[quantity]]</f>
        <v>322.56</v>
      </c>
    </row>
    <row r="9810" spans="1:9" x14ac:dyDescent="0.3">
      <c r="A9810" t="s">
        <v>11830</v>
      </c>
      <c r="B9810" t="s">
        <v>1960</v>
      </c>
      <c r="C9810" t="s">
        <v>2057</v>
      </c>
      <c r="D9810">
        <v>3</v>
      </c>
      <c r="E9810" s="16">
        <v>35.19</v>
      </c>
      <c r="F9810" s="1">
        <v>44290</v>
      </c>
      <c r="G9810" t="s">
        <v>2027</v>
      </c>
      <c r="H9810">
        <v>5</v>
      </c>
      <c r="I9810" s="12">
        <f>Table16[[#This Row],[price]]*Table16[[#This Row],[quantity]]</f>
        <v>105.57</v>
      </c>
    </row>
    <row r="9811" spans="1:9" x14ac:dyDescent="0.3">
      <c r="A9811" t="s">
        <v>11828</v>
      </c>
      <c r="B9811" t="s">
        <v>1960</v>
      </c>
      <c r="C9811" t="s">
        <v>2011</v>
      </c>
      <c r="D9811">
        <v>4</v>
      </c>
      <c r="E9811" s="16">
        <v>162.63999999999999</v>
      </c>
      <c r="F9811" s="1">
        <v>44321</v>
      </c>
      <c r="G9811" t="s">
        <v>2004</v>
      </c>
      <c r="H9811">
        <v>5</v>
      </c>
      <c r="I9811" s="12">
        <f>Table16[[#This Row],[price]]*Table16[[#This Row],[quantity]]</f>
        <v>650.55999999999995</v>
      </c>
    </row>
    <row r="9812" spans="1:9" x14ac:dyDescent="0.3">
      <c r="A9812" t="s">
        <v>11827</v>
      </c>
      <c r="B9812" t="s">
        <v>1960</v>
      </c>
      <c r="C9812" t="s">
        <v>2001</v>
      </c>
      <c r="D9812">
        <v>2</v>
      </c>
      <c r="E9812" s="16">
        <v>600.16</v>
      </c>
      <c r="F9812" s="1">
        <v>44471</v>
      </c>
      <c r="G9812" t="s">
        <v>2004</v>
      </c>
      <c r="H9812">
        <v>1</v>
      </c>
      <c r="I9812" s="12">
        <f>Table16[[#This Row],[price]]*Table16[[#This Row],[quantity]]</f>
        <v>1200.32</v>
      </c>
    </row>
    <row r="9813" spans="1:9" x14ac:dyDescent="0.3">
      <c r="A9813" t="s">
        <v>11829</v>
      </c>
      <c r="B9813" t="s">
        <v>1960</v>
      </c>
      <c r="C9813" t="s">
        <v>2017</v>
      </c>
      <c r="D9813">
        <v>1</v>
      </c>
      <c r="E9813" s="16">
        <v>1050</v>
      </c>
      <c r="F9813" s="1">
        <v>44774</v>
      </c>
      <c r="G9813" t="s">
        <v>2004</v>
      </c>
      <c r="H9813">
        <v>4</v>
      </c>
      <c r="I9813" s="12">
        <f>Table16[[#This Row],[price]]*Table16[[#This Row],[quantity]]</f>
        <v>1050</v>
      </c>
    </row>
    <row r="9814" spans="1:9" x14ac:dyDescent="0.3">
      <c r="A9814" t="s">
        <v>11824</v>
      </c>
      <c r="B9814" t="s">
        <v>1960</v>
      </c>
      <c r="C9814" t="s">
        <v>2006</v>
      </c>
      <c r="D9814">
        <v>2</v>
      </c>
      <c r="E9814" s="16">
        <v>30.3</v>
      </c>
      <c r="F9814" s="1">
        <v>44839</v>
      </c>
      <c r="G9814" t="s">
        <v>2020</v>
      </c>
      <c r="H9814">
        <v>4</v>
      </c>
      <c r="I9814" s="12">
        <f>Table16[[#This Row],[price]]*Table16[[#This Row],[quantity]]</f>
        <v>60.6</v>
      </c>
    </row>
    <row r="9815" spans="1:9" x14ac:dyDescent="0.3">
      <c r="A9815" t="s">
        <v>11833</v>
      </c>
      <c r="B9815" t="s">
        <v>1961</v>
      </c>
      <c r="C9815" t="s">
        <v>2001</v>
      </c>
      <c r="D9815">
        <v>2</v>
      </c>
      <c r="E9815" s="16">
        <v>600.16</v>
      </c>
      <c r="F9815" s="1">
        <v>44408</v>
      </c>
      <c r="G9815" t="s">
        <v>2064</v>
      </c>
      <c r="H9815">
        <v>5</v>
      </c>
      <c r="I9815" s="12">
        <f>Table16[[#This Row],[price]]*Table16[[#This Row],[quantity]]</f>
        <v>1200.32</v>
      </c>
    </row>
    <row r="9816" spans="1:9" x14ac:dyDescent="0.3">
      <c r="A9816" t="s">
        <v>11832</v>
      </c>
      <c r="B9816" t="s">
        <v>1961</v>
      </c>
      <c r="C9816" t="s">
        <v>2001</v>
      </c>
      <c r="D9816">
        <v>1</v>
      </c>
      <c r="E9816" s="16">
        <v>300.08</v>
      </c>
      <c r="F9816" s="1">
        <v>44559</v>
      </c>
      <c r="G9816" t="s">
        <v>2004</v>
      </c>
      <c r="H9816">
        <v>4</v>
      </c>
      <c r="I9816" s="12">
        <f>Table16[[#This Row],[price]]*Table16[[#This Row],[quantity]]</f>
        <v>300.08</v>
      </c>
    </row>
    <row r="9817" spans="1:9" x14ac:dyDescent="0.3">
      <c r="A9817" t="s">
        <v>11831</v>
      </c>
      <c r="B9817" t="s">
        <v>1961</v>
      </c>
      <c r="C9817" t="s">
        <v>2001</v>
      </c>
      <c r="D9817">
        <v>3</v>
      </c>
      <c r="E9817" s="16">
        <v>900.24</v>
      </c>
      <c r="F9817" s="1">
        <v>44692</v>
      </c>
      <c r="G9817" t="s">
        <v>2064</v>
      </c>
      <c r="H9817">
        <v>5</v>
      </c>
      <c r="I9817" s="12">
        <f>Table16[[#This Row],[price]]*Table16[[#This Row],[quantity]]</f>
        <v>2700.7200000000003</v>
      </c>
    </row>
    <row r="9818" spans="1:9" x14ac:dyDescent="0.3">
      <c r="A9818" t="s">
        <v>11834</v>
      </c>
      <c r="B9818" t="s">
        <v>1961</v>
      </c>
      <c r="C9818" t="s">
        <v>2001</v>
      </c>
      <c r="D9818">
        <v>2</v>
      </c>
      <c r="E9818" s="16">
        <v>600.16</v>
      </c>
      <c r="F9818" s="1">
        <v>44916</v>
      </c>
      <c r="G9818" t="s">
        <v>2064</v>
      </c>
      <c r="H9818">
        <v>3</v>
      </c>
      <c r="I9818" s="12">
        <f>Table16[[#This Row],[price]]*Table16[[#This Row],[quantity]]</f>
        <v>1200.32</v>
      </c>
    </row>
    <row r="9819" spans="1:9" x14ac:dyDescent="0.3">
      <c r="A9819" t="s">
        <v>11838</v>
      </c>
      <c r="B9819" t="s">
        <v>1962</v>
      </c>
      <c r="C9819" t="s">
        <v>2001</v>
      </c>
      <c r="D9819">
        <v>4</v>
      </c>
      <c r="E9819" s="16">
        <v>1200.32</v>
      </c>
      <c r="F9819" s="1">
        <v>44322</v>
      </c>
      <c r="G9819" t="s">
        <v>2064</v>
      </c>
      <c r="H9819">
        <v>3</v>
      </c>
      <c r="I9819" s="12">
        <f>Table16[[#This Row],[price]]*Table16[[#This Row],[quantity]]</f>
        <v>4801.28</v>
      </c>
    </row>
    <row r="9820" spans="1:9" x14ac:dyDescent="0.3">
      <c r="A9820" t="s">
        <v>11837</v>
      </c>
      <c r="B9820" t="s">
        <v>1962</v>
      </c>
      <c r="C9820" t="s">
        <v>2008</v>
      </c>
      <c r="D9820">
        <v>1</v>
      </c>
      <c r="E9820" s="16">
        <v>5.23</v>
      </c>
      <c r="F9820" s="1">
        <v>44544</v>
      </c>
      <c r="G9820" t="s">
        <v>2027</v>
      </c>
      <c r="H9820">
        <v>3</v>
      </c>
      <c r="I9820" s="12">
        <f>Table16[[#This Row],[price]]*Table16[[#This Row],[quantity]]</f>
        <v>5.23</v>
      </c>
    </row>
    <row r="9821" spans="1:9" x14ac:dyDescent="0.3">
      <c r="A9821" t="s">
        <v>11839</v>
      </c>
      <c r="B9821" t="s">
        <v>1962</v>
      </c>
      <c r="C9821" t="s">
        <v>2011</v>
      </c>
      <c r="D9821">
        <v>3</v>
      </c>
      <c r="E9821" s="16">
        <v>121.98</v>
      </c>
      <c r="F9821" s="1">
        <v>44822</v>
      </c>
      <c r="G9821" t="s">
        <v>2002</v>
      </c>
      <c r="H9821">
        <v>2</v>
      </c>
      <c r="I9821" s="12">
        <f>Table16[[#This Row],[price]]*Table16[[#This Row],[quantity]]</f>
        <v>365.94</v>
      </c>
    </row>
    <row r="9822" spans="1:9" x14ac:dyDescent="0.3">
      <c r="A9822" t="s">
        <v>11835</v>
      </c>
      <c r="B9822" t="s">
        <v>1962</v>
      </c>
      <c r="C9822" t="s">
        <v>2008</v>
      </c>
      <c r="D9822">
        <v>5</v>
      </c>
      <c r="E9822" s="16">
        <v>26.15</v>
      </c>
      <c r="F9822" s="1">
        <v>44853</v>
      </c>
      <c r="G9822" t="s">
        <v>2020</v>
      </c>
      <c r="H9822">
        <v>2</v>
      </c>
      <c r="I9822" s="12">
        <f>Table16[[#This Row],[price]]*Table16[[#This Row],[quantity]]</f>
        <v>130.75</v>
      </c>
    </row>
    <row r="9823" spans="1:9" x14ac:dyDescent="0.3">
      <c r="A9823" t="s">
        <v>11836</v>
      </c>
      <c r="B9823" t="s">
        <v>1962</v>
      </c>
      <c r="C9823" t="s">
        <v>2015</v>
      </c>
      <c r="D9823">
        <v>2</v>
      </c>
      <c r="E9823" s="16">
        <v>1200.3399999999999</v>
      </c>
      <c r="F9823" s="1">
        <v>44921</v>
      </c>
      <c r="G9823" t="s">
        <v>2064</v>
      </c>
      <c r="H9823">
        <v>1</v>
      </c>
      <c r="I9823" s="12">
        <f>Table16[[#This Row],[price]]*Table16[[#This Row],[quantity]]</f>
        <v>2400.6799999999998</v>
      </c>
    </row>
    <row r="9824" spans="1:9" x14ac:dyDescent="0.3">
      <c r="A9824" t="s">
        <v>11842</v>
      </c>
      <c r="B9824" t="s">
        <v>1963</v>
      </c>
      <c r="C9824" t="s">
        <v>2011</v>
      </c>
      <c r="D9824">
        <v>5</v>
      </c>
      <c r="E9824" s="16">
        <v>203.3</v>
      </c>
      <c r="F9824" s="1">
        <v>44276</v>
      </c>
      <c r="G9824" t="s">
        <v>2018</v>
      </c>
      <c r="H9824">
        <v>1</v>
      </c>
      <c r="I9824" s="12">
        <f>Table16[[#This Row],[price]]*Table16[[#This Row],[quantity]]</f>
        <v>1016.5</v>
      </c>
    </row>
    <row r="9825" spans="1:9" x14ac:dyDescent="0.3">
      <c r="A9825" t="s">
        <v>11841</v>
      </c>
      <c r="B9825" t="s">
        <v>1963</v>
      </c>
      <c r="C9825" t="s">
        <v>2011</v>
      </c>
      <c r="D9825">
        <v>3</v>
      </c>
      <c r="E9825" s="16">
        <v>121.98</v>
      </c>
      <c r="F9825" s="1">
        <v>44378</v>
      </c>
      <c r="G9825" t="s">
        <v>2002</v>
      </c>
      <c r="H9825">
        <v>1</v>
      </c>
      <c r="I9825" s="12">
        <f>Table16[[#This Row],[price]]*Table16[[#This Row],[quantity]]</f>
        <v>365.94</v>
      </c>
    </row>
    <row r="9826" spans="1:9" x14ac:dyDescent="0.3">
      <c r="A9826" t="s">
        <v>11843</v>
      </c>
      <c r="B9826" t="s">
        <v>1963</v>
      </c>
      <c r="C9826" t="s">
        <v>2001</v>
      </c>
      <c r="D9826">
        <v>1</v>
      </c>
      <c r="E9826" s="16">
        <v>300.08</v>
      </c>
      <c r="F9826" s="1">
        <v>44551</v>
      </c>
      <c r="G9826" t="s">
        <v>2009</v>
      </c>
      <c r="H9826">
        <v>3</v>
      </c>
      <c r="I9826" s="12">
        <f>Table16[[#This Row],[price]]*Table16[[#This Row],[quantity]]</f>
        <v>300.08</v>
      </c>
    </row>
    <row r="9827" spans="1:9" x14ac:dyDescent="0.3">
      <c r="A9827" t="s">
        <v>11840</v>
      </c>
      <c r="B9827" t="s">
        <v>1963</v>
      </c>
      <c r="C9827" t="s">
        <v>2017</v>
      </c>
      <c r="D9827">
        <v>4</v>
      </c>
      <c r="E9827" s="16">
        <v>4200</v>
      </c>
      <c r="F9827" s="1">
        <v>44921</v>
      </c>
      <c r="G9827" t="s">
        <v>2004</v>
      </c>
      <c r="H9827">
        <v>1</v>
      </c>
      <c r="I9827" s="12">
        <f>Table16[[#This Row],[price]]*Table16[[#This Row],[quantity]]</f>
        <v>16800</v>
      </c>
    </row>
    <row r="9828" spans="1:9" x14ac:dyDescent="0.3">
      <c r="A9828" t="s">
        <v>11847</v>
      </c>
      <c r="B9828" t="s">
        <v>1964</v>
      </c>
      <c r="C9828" t="s">
        <v>2001</v>
      </c>
      <c r="D9828">
        <v>1</v>
      </c>
      <c r="E9828" s="16">
        <v>300.08</v>
      </c>
      <c r="F9828" s="1">
        <v>44375</v>
      </c>
      <c r="G9828" t="s">
        <v>2004</v>
      </c>
      <c r="H9828">
        <v>1</v>
      </c>
      <c r="I9828" s="12">
        <f>Table16[[#This Row],[price]]*Table16[[#This Row],[quantity]]</f>
        <v>300.08</v>
      </c>
    </row>
    <row r="9829" spans="1:9" x14ac:dyDescent="0.3">
      <c r="A9829" t="s">
        <v>11845</v>
      </c>
      <c r="B9829" t="s">
        <v>1964</v>
      </c>
      <c r="C9829" t="s">
        <v>2017</v>
      </c>
      <c r="D9829">
        <v>3</v>
      </c>
      <c r="E9829" s="16">
        <v>3150</v>
      </c>
      <c r="F9829" s="1">
        <v>44382</v>
      </c>
      <c r="G9829" t="s">
        <v>2058</v>
      </c>
      <c r="H9829">
        <v>4</v>
      </c>
      <c r="I9829" s="12">
        <f>Table16[[#This Row],[price]]*Table16[[#This Row],[quantity]]</f>
        <v>9450</v>
      </c>
    </row>
    <row r="9830" spans="1:9" x14ac:dyDescent="0.3">
      <c r="A9830" t="s">
        <v>11846</v>
      </c>
      <c r="B9830" t="s">
        <v>1964</v>
      </c>
      <c r="C9830" t="s">
        <v>2001</v>
      </c>
      <c r="D9830">
        <v>4</v>
      </c>
      <c r="E9830" s="16">
        <v>1200.32</v>
      </c>
      <c r="F9830" s="1">
        <v>44414</v>
      </c>
      <c r="G9830" t="s">
        <v>2027</v>
      </c>
      <c r="H9830">
        <v>1</v>
      </c>
      <c r="I9830" s="12">
        <f>Table16[[#This Row],[price]]*Table16[[#This Row],[quantity]]</f>
        <v>4801.28</v>
      </c>
    </row>
    <row r="9831" spans="1:9" x14ac:dyDescent="0.3">
      <c r="A9831" t="s">
        <v>11844</v>
      </c>
      <c r="B9831" t="s">
        <v>1964</v>
      </c>
      <c r="C9831" t="s">
        <v>2057</v>
      </c>
      <c r="D9831">
        <v>2</v>
      </c>
      <c r="E9831" s="16">
        <v>23.46</v>
      </c>
      <c r="F9831" s="1">
        <v>44680</v>
      </c>
      <c r="G9831" t="s">
        <v>2004</v>
      </c>
      <c r="H9831">
        <v>2</v>
      </c>
      <c r="I9831" s="12">
        <f>Table16[[#This Row],[price]]*Table16[[#This Row],[quantity]]</f>
        <v>46.92</v>
      </c>
    </row>
    <row r="9832" spans="1:9" x14ac:dyDescent="0.3">
      <c r="A9832" t="s">
        <v>11850</v>
      </c>
      <c r="B9832" t="s">
        <v>1964</v>
      </c>
      <c r="C9832" t="s">
        <v>2024</v>
      </c>
      <c r="D9832">
        <v>5</v>
      </c>
      <c r="E9832" s="16">
        <v>179.2</v>
      </c>
      <c r="F9832" s="1">
        <v>44736</v>
      </c>
      <c r="G9832" t="s">
        <v>2002</v>
      </c>
      <c r="H9832">
        <v>5</v>
      </c>
      <c r="I9832" s="12">
        <f>Table16[[#This Row],[price]]*Table16[[#This Row],[quantity]]</f>
        <v>896</v>
      </c>
    </row>
    <row r="9833" spans="1:9" x14ac:dyDescent="0.3">
      <c r="A9833" t="s">
        <v>11849</v>
      </c>
      <c r="B9833" t="s">
        <v>1964</v>
      </c>
      <c r="C9833" t="s">
        <v>2001</v>
      </c>
      <c r="D9833">
        <v>4</v>
      </c>
      <c r="E9833" s="16">
        <v>1200.32</v>
      </c>
      <c r="F9833" s="1">
        <v>44849</v>
      </c>
      <c r="G9833" t="s">
        <v>2041</v>
      </c>
      <c r="H9833">
        <v>4</v>
      </c>
      <c r="I9833" s="12">
        <f>Table16[[#This Row],[price]]*Table16[[#This Row],[quantity]]</f>
        <v>4801.28</v>
      </c>
    </row>
    <row r="9834" spans="1:9" x14ac:dyDescent="0.3">
      <c r="A9834" t="s">
        <v>11848</v>
      </c>
      <c r="B9834" t="s">
        <v>1964</v>
      </c>
      <c r="C9834" t="s">
        <v>2057</v>
      </c>
      <c r="D9834">
        <v>1</v>
      </c>
      <c r="E9834" s="16">
        <v>11.73</v>
      </c>
      <c r="F9834" s="1">
        <v>44953</v>
      </c>
      <c r="G9834" t="s">
        <v>2002</v>
      </c>
      <c r="H9834">
        <v>3</v>
      </c>
      <c r="I9834" s="12">
        <f>Table16[[#This Row],[price]]*Table16[[#This Row],[quantity]]</f>
        <v>11.73</v>
      </c>
    </row>
    <row r="9835" spans="1:9" x14ac:dyDescent="0.3">
      <c r="A9835" t="s">
        <v>11857</v>
      </c>
      <c r="B9835" t="s">
        <v>1965</v>
      </c>
      <c r="C9835" t="s">
        <v>2001</v>
      </c>
      <c r="D9835">
        <v>4</v>
      </c>
      <c r="E9835" s="16">
        <v>1200.32</v>
      </c>
      <c r="F9835" s="1">
        <v>44673</v>
      </c>
      <c r="G9835" t="s">
        <v>2012</v>
      </c>
      <c r="H9835">
        <v>4</v>
      </c>
      <c r="I9835" s="12">
        <f>Table16[[#This Row],[price]]*Table16[[#This Row],[quantity]]</f>
        <v>4801.28</v>
      </c>
    </row>
    <row r="9836" spans="1:9" x14ac:dyDescent="0.3">
      <c r="A9836" t="s">
        <v>11853</v>
      </c>
      <c r="B9836" t="s">
        <v>1965</v>
      </c>
      <c r="C9836" t="s">
        <v>2006</v>
      </c>
      <c r="D9836">
        <v>2</v>
      </c>
      <c r="E9836" s="16">
        <v>30.3</v>
      </c>
      <c r="F9836" s="1">
        <v>44686</v>
      </c>
      <c r="G9836" t="s">
        <v>2009</v>
      </c>
      <c r="H9836">
        <v>4</v>
      </c>
      <c r="I9836" s="12">
        <f>Table16[[#This Row],[price]]*Table16[[#This Row],[quantity]]</f>
        <v>60.6</v>
      </c>
    </row>
    <row r="9837" spans="1:9" x14ac:dyDescent="0.3">
      <c r="A9837" t="s">
        <v>11851</v>
      </c>
      <c r="B9837" t="s">
        <v>1965</v>
      </c>
      <c r="C9837" t="s">
        <v>2011</v>
      </c>
      <c r="D9837">
        <v>1</v>
      </c>
      <c r="E9837" s="16">
        <v>40.659999999999997</v>
      </c>
      <c r="F9837" s="1">
        <v>44736</v>
      </c>
      <c r="G9837" t="s">
        <v>2064</v>
      </c>
      <c r="H9837">
        <v>2</v>
      </c>
      <c r="I9837" s="12">
        <f>Table16[[#This Row],[price]]*Table16[[#This Row],[quantity]]</f>
        <v>40.659999999999997</v>
      </c>
    </row>
    <row r="9838" spans="1:9" x14ac:dyDescent="0.3">
      <c r="A9838" t="s">
        <v>11855</v>
      </c>
      <c r="B9838" t="s">
        <v>1965</v>
      </c>
      <c r="C9838" t="s">
        <v>2006</v>
      </c>
      <c r="D9838">
        <v>2</v>
      </c>
      <c r="E9838" s="16">
        <v>30.3</v>
      </c>
      <c r="F9838" s="1">
        <v>44795</v>
      </c>
      <c r="G9838" t="s">
        <v>2041</v>
      </c>
      <c r="H9838">
        <v>2</v>
      </c>
      <c r="I9838" s="12">
        <f>Table16[[#This Row],[price]]*Table16[[#This Row],[quantity]]</f>
        <v>60.6</v>
      </c>
    </row>
    <row r="9839" spans="1:9" x14ac:dyDescent="0.3">
      <c r="A9839" t="s">
        <v>11854</v>
      </c>
      <c r="B9839" t="s">
        <v>1965</v>
      </c>
      <c r="C9839" t="s">
        <v>2011</v>
      </c>
      <c r="D9839">
        <v>4</v>
      </c>
      <c r="E9839" s="16">
        <v>162.63999999999999</v>
      </c>
      <c r="F9839" s="1">
        <v>44833</v>
      </c>
      <c r="G9839" t="s">
        <v>2004</v>
      </c>
      <c r="H9839">
        <v>4</v>
      </c>
      <c r="I9839" s="12">
        <f>Table16[[#This Row],[price]]*Table16[[#This Row],[quantity]]</f>
        <v>650.55999999999995</v>
      </c>
    </row>
    <row r="9840" spans="1:9" x14ac:dyDescent="0.3">
      <c r="A9840" t="s">
        <v>11858</v>
      </c>
      <c r="B9840" t="s">
        <v>1965</v>
      </c>
      <c r="C9840" t="s">
        <v>2001</v>
      </c>
      <c r="D9840">
        <v>5</v>
      </c>
      <c r="E9840" s="16">
        <v>1500.4</v>
      </c>
      <c r="F9840" s="1">
        <v>44874</v>
      </c>
      <c r="G9840" t="s">
        <v>2004</v>
      </c>
      <c r="H9840">
        <v>2</v>
      </c>
      <c r="I9840" s="12">
        <f>Table16[[#This Row],[price]]*Table16[[#This Row],[quantity]]</f>
        <v>7502</v>
      </c>
    </row>
    <row r="9841" spans="1:9" x14ac:dyDescent="0.3">
      <c r="A9841" t="s">
        <v>11856</v>
      </c>
      <c r="B9841" t="s">
        <v>1965</v>
      </c>
      <c r="C9841" t="s">
        <v>2011</v>
      </c>
      <c r="D9841">
        <v>5</v>
      </c>
      <c r="E9841" s="16">
        <v>203.3</v>
      </c>
      <c r="F9841" s="1">
        <v>44906</v>
      </c>
      <c r="G9841" t="s">
        <v>2004</v>
      </c>
      <c r="H9841">
        <v>3</v>
      </c>
      <c r="I9841" s="12">
        <f>Table16[[#This Row],[price]]*Table16[[#This Row],[quantity]]</f>
        <v>1016.5</v>
      </c>
    </row>
    <row r="9842" spans="1:9" x14ac:dyDescent="0.3">
      <c r="A9842" t="s">
        <v>11852</v>
      </c>
      <c r="B9842" t="s">
        <v>1965</v>
      </c>
      <c r="C9842" t="s">
        <v>2001</v>
      </c>
      <c r="D9842">
        <v>1</v>
      </c>
      <c r="E9842" s="16">
        <v>300.08</v>
      </c>
      <c r="F9842" s="1">
        <v>44967</v>
      </c>
      <c r="G9842" t="s">
        <v>2012</v>
      </c>
      <c r="H9842">
        <v>3</v>
      </c>
      <c r="I9842" s="12">
        <f>Table16[[#This Row],[price]]*Table16[[#This Row],[quantity]]</f>
        <v>300.08</v>
      </c>
    </row>
    <row r="9843" spans="1:9" x14ac:dyDescent="0.3">
      <c r="A9843" t="s">
        <v>11862</v>
      </c>
      <c r="B9843" t="s">
        <v>1966</v>
      </c>
      <c r="C9843" t="s">
        <v>2001</v>
      </c>
      <c r="D9843">
        <v>5</v>
      </c>
      <c r="E9843" s="16">
        <v>1500.4</v>
      </c>
      <c r="F9843" s="1">
        <v>44260</v>
      </c>
      <c r="G9843" t="s">
        <v>2018</v>
      </c>
      <c r="H9843">
        <v>3</v>
      </c>
      <c r="I9843" s="12">
        <f>Table16[[#This Row],[price]]*Table16[[#This Row],[quantity]]</f>
        <v>7502</v>
      </c>
    </row>
    <row r="9844" spans="1:9" x14ac:dyDescent="0.3">
      <c r="A9844" t="s">
        <v>11859</v>
      </c>
      <c r="B9844" t="s">
        <v>1966</v>
      </c>
      <c r="C9844" t="s">
        <v>2008</v>
      </c>
      <c r="D9844">
        <v>2</v>
      </c>
      <c r="E9844" s="16">
        <v>10.46</v>
      </c>
      <c r="F9844" s="1">
        <v>44647</v>
      </c>
      <c r="G9844" t="s">
        <v>2004</v>
      </c>
      <c r="H9844">
        <v>1</v>
      </c>
      <c r="I9844" s="12">
        <f>Table16[[#This Row],[price]]*Table16[[#This Row],[quantity]]</f>
        <v>20.92</v>
      </c>
    </row>
    <row r="9845" spans="1:9" x14ac:dyDescent="0.3">
      <c r="A9845" t="s">
        <v>11860</v>
      </c>
      <c r="B9845" t="s">
        <v>1966</v>
      </c>
      <c r="C9845" t="s">
        <v>2011</v>
      </c>
      <c r="D9845">
        <v>1</v>
      </c>
      <c r="E9845" s="16">
        <v>40.659999999999997</v>
      </c>
      <c r="F9845" s="1">
        <v>44804</v>
      </c>
      <c r="G9845" t="s">
        <v>2004</v>
      </c>
      <c r="H9845">
        <v>4</v>
      </c>
      <c r="I9845" s="12">
        <f>Table16[[#This Row],[price]]*Table16[[#This Row],[quantity]]</f>
        <v>40.659999999999997</v>
      </c>
    </row>
    <row r="9846" spans="1:9" x14ac:dyDescent="0.3">
      <c r="A9846" t="s">
        <v>11863</v>
      </c>
      <c r="B9846" t="s">
        <v>1966</v>
      </c>
      <c r="C9846" t="s">
        <v>2006</v>
      </c>
      <c r="D9846">
        <v>1</v>
      </c>
      <c r="E9846" s="16">
        <v>15.15</v>
      </c>
      <c r="F9846" s="1">
        <v>44837</v>
      </c>
      <c r="G9846" t="s">
        <v>2002</v>
      </c>
      <c r="H9846">
        <v>4</v>
      </c>
      <c r="I9846" s="12">
        <f>Table16[[#This Row],[price]]*Table16[[#This Row],[quantity]]</f>
        <v>15.15</v>
      </c>
    </row>
    <row r="9847" spans="1:9" x14ac:dyDescent="0.3">
      <c r="A9847" t="s">
        <v>11861</v>
      </c>
      <c r="B9847" t="s">
        <v>1966</v>
      </c>
      <c r="C9847" t="s">
        <v>2001</v>
      </c>
      <c r="D9847">
        <v>2</v>
      </c>
      <c r="E9847" s="16">
        <v>600.16</v>
      </c>
      <c r="F9847" s="1">
        <v>44956</v>
      </c>
      <c r="G9847" t="s">
        <v>2027</v>
      </c>
      <c r="H9847">
        <v>2</v>
      </c>
      <c r="I9847" s="12">
        <f>Table16[[#This Row],[price]]*Table16[[#This Row],[quantity]]</f>
        <v>1200.32</v>
      </c>
    </row>
    <row r="9848" spans="1:9" x14ac:dyDescent="0.3">
      <c r="A9848" t="s">
        <v>11865</v>
      </c>
      <c r="B9848" t="s">
        <v>1967</v>
      </c>
      <c r="C9848" t="s">
        <v>2057</v>
      </c>
      <c r="D9848">
        <v>2</v>
      </c>
      <c r="E9848" s="16">
        <v>23.46</v>
      </c>
      <c r="F9848" s="1">
        <v>44347</v>
      </c>
      <c r="G9848" t="s">
        <v>2027</v>
      </c>
      <c r="H9848">
        <v>4</v>
      </c>
      <c r="I9848" s="12">
        <f>Table16[[#This Row],[price]]*Table16[[#This Row],[quantity]]</f>
        <v>46.92</v>
      </c>
    </row>
    <row r="9849" spans="1:9" x14ac:dyDescent="0.3">
      <c r="A9849" t="s">
        <v>11864</v>
      </c>
      <c r="B9849" t="s">
        <v>1967</v>
      </c>
      <c r="C9849" t="s">
        <v>2001</v>
      </c>
      <c r="D9849">
        <v>3</v>
      </c>
      <c r="E9849" s="16">
        <v>900.24</v>
      </c>
      <c r="F9849" s="1">
        <v>44912</v>
      </c>
      <c r="G9849" t="s">
        <v>2004</v>
      </c>
      <c r="H9849">
        <v>1</v>
      </c>
      <c r="I9849" s="12">
        <f>Table16[[#This Row],[price]]*Table16[[#This Row],[quantity]]</f>
        <v>2700.7200000000003</v>
      </c>
    </row>
    <row r="9850" spans="1:9" x14ac:dyDescent="0.3">
      <c r="A9850" t="s">
        <v>11867</v>
      </c>
      <c r="B9850" t="s">
        <v>1968</v>
      </c>
      <c r="C9850" t="s">
        <v>2011</v>
      </c>
      <c r="D9850">
        <v>5</v>
      </c>
      <c r="E9850" s="16">
        <v>203.3</v>
      </c>
      <c r="F9850" s="1">
        <v>44515</v>
      </c>
      <c r="G9850" t="s">
        <v>2002</v>
      </c>
      <c r="H9850">
        <v>1</v>
      </c>
      <c r="I9850" s="12">
        <f>Table16[[#This Row],[price]]*Table16[[#This Row],[quantity]]</f>
        <v>1016.5</v>
      </c>
    </row>
    <row r="9851" spans="1:9" x14ac:dyDescent="0.3">
      <c r="A9851" t="s">
        <v>11868</v>
      </c>
      <c r="B9851" t="s">
        <v>1968</v>
      </c>
      <c r="C9851" t="s">
        <v>2024</v>
      </c>
      <c r="D9851">
        <v>4</v>
      </c>
      <c r="E9851" s="16">
        <v>143.36000000000001</v>
      </c>
      <c r="F9851" s="1">
        <v>44588</v>
      </c>
      <c r="G9851" t="s">
        <v>2041</v>
      </c>
      <c r="H9851">
        <v>2</v>
      </c>
      <c r="I9851" s="12">
        <f>Table16[[#This Row],[price]]*Table16[[#This Row],[quantity]]</f>
        <v>573.44000000000005</v>
      </c>
    </row>
    <row r="9852" spans="1:9" x14ac:dyDescent="0.3">
      <c r="A9852" t="s">
        <v>11869</v>
      </c>
      <c r="B9852" t="s">
        <v>1968</v>
      </c>
      <c r="C9852" t="s">
        <v>2024</v>
      </c>
      <c r="D9852">
        <v>3</v>
      </c>
      <c r="E9852" s="16">
        <v>107.52</v>
      </c>
      <c r="F9852" s="1">
        <v>44774</v>
      </c>
      <c r="G9852" t="s">
        <v>2009</v>
      </c>
      <c r="H9852">
        <v>4</v>
      </c>
      <c r="I9852" s="12">
        <f>Table16[[#This Row],[price]]*Table16[[#This Row],[quantity]]</f>
        <v>322.56</v>
      </c>
    </row>
    <row r="9853" spans="1:9" x14ac:dyDescent="0.3">
      <c r="A9853" t="s">
        <v>11866</v>
      </c>
      <c r="B9853" t="s">
        <v>1968</v>
      </c>
      <c r="C9853" t="s">
        <v>2011</v>
      </c>
      <c r="D9853">
        <v>1</v>
      </c>
      <c r="E9853" s="16">
        <v>40.659999999999997</v>
      </c>
      <c r="F9853" s="1">
        <v>44812</v>
      </c>
      <c r="G9853" t="s">
        <v>2002</v>
      </c>
      <c r="H9853">
        <v>5</v>
      </c>
      <c r="I9853" s="12">
        <f>Table16[[#This Row],[price]]*Table16[[#This Row],[quantity]]</f>
        <v>40.659999999999997</v>
      </c>
    </row>
    <row r="9854" spans="1:9" x14ac:dyDescent="0.3">
      <c r="A9854" t="s">
        <v>11872</v>
      </c>
      <c r="B9854" t="s">
        <v>1969</v>
      </c>
      <c r="C9854" t="s">
        <v>2017</v>
      </c>
      <c r="D9854">
        <v>3</v>
      </c>
      <c r="E9854" s="16">
        <v>3150</v>
      </c>
      <c r="F9854" s="1">
        <v>44284</v>
      </c>
      <c r="G9854" t="s">
        <v>2027</v>
      </c>
      <c r="H9854">
        <v>5</v>
      </c>
      <c r="I9854" s="12">
        <f>Table16[[#This Row],[price]]*Table16[[#This Row],[quantity]]</f>
        <v>9450</v>
      </c>
    </row>
    <row r="9855" spans="1:9" x14ac:dyDescent="0.3">
      <c r="A9855" t="s">
        <v>11874</v>
      </c>
      <c r="B9855" t="s">
        <v>1969</v>
      </c>
      <c r="C9855" t="s">
        <v>2001</v>
      </c>
      <c r="D9855">
        <v>2</v>
      </c>
      <c r="E9855" s="16">
        <v>600.16</v>
      </c>
      <c r="F9855" s="1">
        <v>44404</v>
      </c>
      <c r="G9855" t="s">
        <v>2027</v>
      </c>
      <c r="H9855">
        <v>3</v>
      </c>
      <c r="I9855" s="12">
        <f>Table16[[#This Row],[price]]*Table16[[#This Row],[quantity]]</f>
        <v>1200.32</v>
      </c>
    </row>
    <row r="9856" spans="1:9" x14ac:dyDescent="0.3">
      <c r="A9856" t="s">
        <v>11873</v>
      </c>
      <c r="B9856" t="s">
        <v>1969</v>
      </c>
      <c r="C9856" t="s">
        <v>2008</v>
      </c>
      <c r="D9856">
        <v>4</v>
      </c>
      <c r="E9856" s="16">
        <v>20.92</v>
      </c>
      <c r="F9856" s="1">
        <v>44456</v>
      </c>
      <c r="G9856" t="s">
        <v>2064</v>
      </c>
      <c r="H9856">
        <v>1</v>
      </c>
      <c r="I9856" s="12">
        <f>Table16[[#This Row],[price]]*Table16[[#This Row],[quantity]]</f>
        <v>83.68</v>
      </c>
    </row>
    <row r="9857" spans="1:9" x14ac:dyDescent="0.3">
      <c r="A9857" t="s">
        <v>11871</v>
      </c>
      <c r="B9857" t="s">
        <v>1969</v>
      </c>
      <c r="C9857" t="s">
        <v>2008</v>
      </c>
      <c r="D9857">
        <v>4</v>
      </c>
      <c r="E9857" s="16">
        <v>20.92</v>
      </c>
      <c r="F9857" s="1">
        <v>44486</v>
      </c>
      <c r="G9857" t="s">
        <v>2004</v>
      </c>
      <c r="H9857">
        <v>3</v>
      </c>
      <c r="I9857" s="12">
        <f>Table16[[#This Row],[price]]*Table16[[#This Row],[quantity]]</f>
        <v>83.68</v>
      </c>
    </row>
    <row r="9858" spans="1:9" x14ac:dyDescent="0.3">
      <c r="A9858" t="s">
        <v>11870</v>
      </c>
      <c r="B9858" t="s">
        <v>1969</v>
      </c>
      <c r="C9858" t="s">
        <v>2015</v>
      </c>
      <c r="D9858">
        <v>4</v>
      </c>
      <c r="E9858" s="16">
        <v>2400.6799999999998</v>
      </c>
      <c r="F9858" s="1">
        <v>44798</v>
      </c>
      <c r="G9858" t="s">
        <v>2004</v>
      </c>
      <c r="H9858">
        <v>5</v>
      </c>
      <c r="I9858" s="12">
        <f>Table16[[#This Row],[price]]*Table16[[#This Row],[quantity]]</f>
        <v>9602.7199999999993</v>
      </c>
    </row>
    <row r="9859" spans="1:9" x14ac:dyDescent="0.3">
      <c r="A9859" t="s">
        <v>11875</v>
      </c>
      <c r="B9859" t="s">
        <v>1970</v>
      </c>
      <c r="C9859" t="s">
        <v>2001</v>
      </c>
      <c r="D9859">
        <v>3</v>
      </c>
      <c r="E9859" s="16">
        <v>900.24</v>
      </c>
      <c r="F9859" s="1">
        <v>44373</v>
      </c>
      <c r="G9859" t="s">
        <v>2002</v>
      </c>
      <c r="H9859">
        <v>5</v>
      </c>
      <c r="I9859" s="12">
        <f>Table16[[#This Row],[price]]*Table16[[#This Row],[quantity]]</f>
        <v>2700.7200000000003</v>
      </c>
    </row>
    <row r="9860" spans="1:9" x14ac:dyDescent="0.3">
      <c r="A9860" t="s">
        <v>11876</v>
      </c>
      <c r="B9860" t="s">
        <v>1970</v>
      </c>
      <c r="C9860" t="s">
        <v>2057</v>
      </c>
      <c r="D9860">
        <v>2</v>
      </c>
      <c r="E9860" s="16">
        <v>23.46</v>
      </c>
      <c r="F9860" s="1">
        <v>44482</v>
      </c>
      <c r="G9860" t="s">
        <v>2027</v>
      </c>
      <c r="H9860">
        <v>3</v>
      </c>
      <c r="I9860" s="12">
        <f>Table16[[#This Row],[price]]*Table16[[#This Row],[quantity]]</f>
        <v>46.92</v>
      </c>
    </row>
    <row r="9861" spans="1:9" x14ac:dyDescent="0.3">
      <c r="A9861" t="s">
        <v>11882</v>
      </c>
      <c r="B9861" t="s">
        <v>1971</v>
      </c>
      <c r="C9861" t="s">
        <v>2015</v>
      </c>
      <c r="D9861">
        <v>1</v>
      </c>
      <c r="E9861" s="16">
        <v>600.16999999999996</v>
      </c>
      <c r="F9861" s="1">
        <v>44222</v>
      </c>
      <c r="G9861" t="s">
        <v>2002</v>
      </c>
      <c r="H9861">
        <v>2</v>
      </c>
      <c r="I9861" s="12">
        <f>Table16[[#This Row],[price]]*Table16[[#This Row],[quantity]]</f>
        <v>600.16999999999996</v>
      </c>
    </row>
    <row r="9862" spans="1:9" x14ac:dyDescent="0.3">
      <c r="A9862" t="s">
        <v>11881</v>
      </c>
      <c r="B9862" t="s">
        <v>1971</v>
      </c>
      <c r="C9862" t="s">
        <v>2001</v>
      </c>
      <c r="D9862">
        <v>4</v>
      </c>
      <c r="E9862" s="16">
        <v>1200.32</v>
      </c>
      <c r="F9862" s="1">
        <v>44252</v>
      </c>
      <c r="G9862" t="s">
        <v>2018</v>
      </c>
      <c r="H9862">
        <v>1</v>
      </c>
      <c r="I9862" s="12">
        <f>Table16[[#This Row],[price]]*Table16[[#This Row],[quantity]]</f>
        <v>4801.28</v>
      </c>
    </row>
    <row r="9863" spans="1:9" x14ac:dyDescent="0.3">
      <c r="A9863" t="s">
        <v>11877</v>
      </c>
      <c r="B9863" t="s">
        <v>1971</v>
      </c>
      <c r="C9863" t="s">
        <v>2024</v>
      </c>
      <c r="D9863">
        <v>2</v>
      </c>
      <c r="E9863" s="16">
        <v>71.680000000000007</v>
      </c>
      <c r="F9863" s="1">
        <v>44575</v>
      </c>
      <c r="G9863" t="s">
        <v>2002</v>
      </c>
      <c r="H9863">
        <v>5</v>
      </c>
      <c r="I9863" s="12">
        <f>Table16[[#This Row],[price]]*Table16[[#This Row],[quantity]]</f>
        <v>143.36000000000001</v>
      </c>
    </row>
    <row r="9864" spans="1:9" x14ac:dyDescent="0.3">
      <c r="A9864" t="s">
        <v>11879</v>
      </c>
      <c r="B9864" t="s">
        <v>1971</v>
      </c>
      <c r="C9864" t="s">
        <v>2015</v>
      </c>
      <c r="D9864">
        <v>5</v>
      </c>
      <c r="E9864" s="16">
        <v>3000.85</v>
      </c>
      <c r="F9864" s="1">
        <v>44750</v>
      </c>
      <c r="G9864" t="s">
        <v>2004</v>
      </c>
      <c r="H9864">
        <v>4</v>
      </c>
      <c r="I9864" s="12">
        <f>Table16[[#This Row],[price]]*Table16[[#This Row],[quantity]]</f>
        <v>15004.25</v>
      </c>
    </row>
    <row r="9865" spans="1:9" x14ac:dyDescent="0.3">
      <c r="A9865" t="s">
        <v>11878</v>
      </c>
      <c r="B9865" t="s">
        <v>1971</v>
      </c>
      <c r="C9865" t="s">
        <v>2015</v>
      </c>
      <c r="D9865">
        <v>5</v>
      </c>
      <c r="E9865" s="16">
        <v>3000.85</v>
      </c>
      <c r="F9865" s="1">
        <v>44931</v>
      </c>
      <c r="G9865" t="s">
        <v>2002</v>
      </c>
      <c r="H9865">
        <v>2</v>
      </c>
      <c r="I9865" s="12">
        <f>Table16[[#This Row],[price]]*Table16[[#This Row],[quantity]]</f>
        <v>15004.25</v>
      </c>
    </row>
    <row r="9866" spans="1:9" x14ac:dyDescent="0.3">
      <c r="A9866" t="s">
        <v>11880</v>
      </c>
      <c r="B9866" t="s">
        <v>1971</v>
      </c>
      <c r="C9866" t="s">
        <v>2006</v>
      </c>
      <c r="D9866">
        <v>1</v>
      </c>
      <c r="E9866" s="16">
        <v>15.15</v>
      </c>
      <c r="F9866" s="1">
        <v>44958</v>
      </c>
      <c r="G9866" t="s">
        <v>2002</v>
      </c>
      <c r="H9866">
        <v>1</v>
      </c>
      <c r="I9866" s="12">
        <f>Table16[[#This Row],[price]]*Table16[[#This Row],[quantity]]</f>
        <v>15.15</v>
      </c>
    </row>
    <row r="9867" spans="1:9" x14ac:dyDescent="0.3">
      <c r="A9867" t="s">
        <v>11885</v>
      </c>
      <c r="B9867" t="s">
        <v>1972</v>
      </c>
      <c r="C9867" t="s">
        <v>2001</v>
      </c>
      <c r="D9867">
        <v>1</v>
      </c>
      <c r="E9867" s="16">
        <v>300.08</v>
      </c>
      <c r="F9867" s="1">
        <v>44341</v>
      </c>
      <c r="G9867" t="s">
        <v>2027</v>
      </c>
      <c r="H9867">
        <v>5</v>
      </c>
      <c r="I9867" s="12">
        <f>Table16[[#This Row],[price]]*Table16[[#This Row],[quantity]]</f>
        <v>300.08</v>
      </c>
    </row>
    <row r="9868" spans="1:9" x14ac:dyDescent="0.3">
      <c r="A9868" t="s">
        <v>11883</v>
      </c>
      <c r="B9868" t="s">
        <v>1972</v>
      </c>
      <c r="C9868" t="s">
        <v>2011</v>
      </c>
      <c r="D9868">
        <v>5</v>
      </c>
      <c r="E9868" s="16">
        <v>203.3</v>
      </c>
      <c r="F9868" s="1">
        <v>44585</v>
      </c>
      <c r="G9868" t="s">
        <v>2009</v>
      </c>
      <c r="H9868">
        <v>4</v>
      </c>
      <c r="I9868" s="12">
        <f>Table16[[#This Row],[price]]*Table16[[#This Row],[quantity]]</f>
        <v>1016.5</v>
      </c>
    </row>
    <row r="9869" spans="1:9" x14ac:dyDescent="0.3">
      <c r="A9869" t="s">
        <v>11886</v>
      </c>
      <c r="B9869" t="s">
        <v>1972</v>
      </c>
      <c r="C9869" t="s">
        <v>2001</v>
      </c>
      <c r="D9869">
        <v>1</v>
      </c>
      <c r="E9869" s="16">
        <v>300.08</v>
      </c>
      <c r="F9869" s="1">
        <v>44699</v>
      </c>
      <c r="G9869" t="s">
        <v>2004</v>
      </c>
      <c r="H9869">
        <v>1</v>
      </c>
      <c r="I9869" s="12">
        <f>Table16[[#This Row],[price]]*Table16[[#This Row],[quantity]]</f>
        <v>300.08</v>
      </c>
    </row>
    <row r="9870" spans="1:9" x14ac:dyDescent="0.3">
      <c r="A9870" t="s">
        <v>11884</v>
      </c>
      <c r="B9870" t="s">
        <v>1972</v>
      </c>
      <c r="C9870" t="s">
        <v>2024</v>
      </c>
      <c r="D9870">
        <v>4</v>
      </c>
      <c r="E9870" s="16">
        <v>143.36000000000001</v>
      </c>
      <c r="F9870" s="1">
        <v>44815</v>
      </c>
      <c r="G9870" t="s">
        <v>2018</v>
      </c>
      <c r="H9870">
        <v>4</v>
      </c>
      <c r="I9870" s="12">
        <f>Table16[[#This Row],[price]]*Table16[[#This Row],[quantity]]</f>
        <v>573.44000000000005</v>
      </c>
    </row>
    <row r="9871" spans="1:9" x14ac:dyDescent="0.3">
      <c r="A9871" t="s">
        <v>11887</v>
      </c>
      <c r="B9871" t="s">
        <v>1972</v>
      </c>
      <c r="C9871" t="s">
        <v>2017</v>
      </c>
      <c r="D9871">
        <v>5</v>
      </c>
      <c r="E9871" s="16">
        <v>5250</v>
      </c>
      <c r="F9871" s="1">
        <v>44979</v>
      </c>
      <c r="G9871" t="s">
        <v>2018</v>
      </c>
      <c r="H9871">
        <v>5</v>
      </c>
      <c r="I9871" s="12">
        <f>Table16[[#This Row],[price]]*Table16[[#This Row],[quantity]]</f>
        <v>26250</v>
      </c>
    </row>
    <row r="9872" spans="1:9" x14ac:dyDescent="0.3">
      <c r="A9872" t="s">
        <v>11892</v>
      </c>
      <c r="B9872" t="s">
        <v>1973</v>
      </c>
      <c r="C9872" t="s">
        <v>2008</v>
      </c>
      <c r="D9872">
        <v>3</v>
      </c>
      <c r="E9872" s="16">
        <v>15.69</v>
      </c>
      <c r="F9872" s="1">
        <v>44335</v>
      </c>
      <c r="G9872" t="s">
        <v>2004</v>
      </c>
      <c r="H9872">
        <v>5</v>
      </c>
      <c r="I9872" s="12">
        <f>Table16[[#This Row],[price]]*Table16[[#This Row],[quantity]]</f>
        <v>47.07</v>
      </c>
    </row>
    <row r="9873" spans="1:9" x14ac:dyDescent="0.3">
      <c r="A9873" t="s">
        <v>11891</v>
      </c>
      <c r="B9873" t="s">
        <v>1973</v>
      </c>
      <c r="C9873" t="s">
        <v>2024</v>
      </c>
      <c r="D9873">
        <v>4</v>
      </c>
      <c r="E9873" s="16">
        <v>143.36000000000001</v>
      </c>
      <c r="F9873" s="1">
        <v>44446</v>
      </c>
      <c r="G9873" t="s">
        <v>2064</v>
      </c>
      <c r="H9873">
        <v>3</v>
      </c>
      <c r="I9873" s="12">
        <f>Table16[[#This Row],[price]]*Table16[[#This Row],[quantity]]</f>
        <v>573.44000000000005</v>
      </c>
    </row>
    <row r="9874" spans="1:9" x14ac:dyDescent="0.3">
      <c r="A9874" t="s">
        <v>11889</v>
      </c>
      <c r="B9874" t="s">
        <v>1973</v>
      </c>
      <c r="C9874" t="s">
        <v>2057</v>
      </c>
      <c r="D9874">
        <v>3</v>
      </c>
      <c r="E9874" s="16">
        <v>35.19</v>
      </c>
      <c r="F9874" s="1">
        <v>44457</v>
      </c>
      <c r="G9874" t="s">
        <v>2004</v>
      </c>
      <c r="H9874">
        <v>4</v>
      </c>
      <c r="I9874" s="12">
        <f>Table16[[#This Row],[price]]*Table16[[#This Row],[quantity]]</f>
        <v>105.57</v>
      </c>
    </row>
    <row r="9875" spans="1:9" x14ac:dyDescent="0.3">
      <c r="A9875" t="s">
        <v>11890</v>
      </c>
      <c r="B9875" t="s">
        <v>1973</v>
      </c>
      <c r="C9875" t="s">
        <v>2001</v>
      </c>
      <c r="D9875">
        <v>3</v>
      </c>
      <c r="E9875" s="16">
        <v>900.24</v>
      </c>
      <c r="F9875" s="1">
        <v>44598</v>
      </c>
      <c r="G9875" t="s">
        <v>2004</v>
      </c>
      <c r="H9875">
        <v>2</v>
      </c>
      <c r="I9875" s="12">
        <f>Table16[[#This Row],[price]]*Table16[[#This Row],[quantity]]</f>
        <v>2700.7200000000003</v>
      </c>
    </row>
    <row r="9876" spans="1:9" x14ac:dyDescent="0.3">
      <c r="A9876" t="s">
        <v>11888</v>
      </c>
      <c r="B9876" t="s">
        <v>1973</v>
      </c>
      <c r="C9876" t="s">
        <v>2011</v>
      </c>
      <c r="D9876">
        <v>3</v>
      </c>
      <c r="E9876" s="16">
        <v>121.98</v>
      </c>
      <c r="F9876" s="1">
        <v>44623</v>
      </c>
      <c r="G9876" t="s">
        <v>2027</v>
      </c>
      <c r="H9876">
        <v>5</v>
      </c>
      <c r="I9876" s="12">
        <f>Table16[[#This Row],[price]]*Table16[[#This Row],[quantity]]</f>
        <v>365.94</v>
      </c>
    </row>
    <row r="9877" spans="1:9" x14ac:dyDescent="0.3">
      <c r="A9877" t="s">
        <v>11897</v>
      </c>
      <c r="B9877" t="s">
        <v>1974</v>
      </c>
      <c r="C9877" t="s">
        <v>2001</v>
      </c>
      <c r="D9877">
        <v>1</v>
      </c>
      <c r="E9877" s="16">
        <v>300.08</v>
      </c>
      <c r="F9877" s="1">
        <v>44306</v>
      </c>
      <c r="G9877" t="s">
        <v>2020</v>
      </c>
      <c r="H9877">
        <v>4</v>
      </c>
      <c r="I9877" s="12">
        <f>Table16[[#This Row],[price]]*Table16[[#This Row],[quantity]]</f>
        <v>300.08</v>
      </c>
    </row>
    <row r="9878" spans="1:9" x14ac:dyDescent="0.3">
      <c r="A9878" t="s">
        <v>11893</v>
      </c>
      <c r="B9878" t="s">
        <v>1974</v>
      </c>
      <c r="C9878" t="s">
        <v>2017</v>
      </c>
      <c r="D9878">
        <v>2</v>
      </c>
      <c r="E9878" s="16">
        <v>2100</v>
      </c>
      <c r="F9878" s="1">
        <v>44534</v>
      </c>
      <c r="G9878" t="s">
        <v>2002</v>
      </c>
      <c r="H9878">
        <v>2</v>
      </c>
      <c r="I9878" s="12">
        <f>Table16[[#This Row],[price]]*Table16[[#This Row],[quantity]]</f>
        <v>4200</v>
      </c>
    </row>
    <row r="9879" spans="1:9" x14ac:dyDescent="0.3">
      <c r="A9879" t="s">
        <v>11896</v>
      </c>
      <c r="B9879" t="s">
        <v>1974</v>
      </c>
      <c r="C9879" t="s">
        <v>2011</v>
      </c>
      <c r="D9879">
        <v>2</v>
      </c>
      <c r="E9879" s="16">
        <v>81.319999999999993</v>
      </c>
      <c r="F9879" s="1">
        <v>44618</v>
      </c>
      <c r="G9879" t="s">
        <v>2027</v>
      </c>
      <c r="H9879">
        <v>1</v>
      </c>
      <c r="I9879" s="12">
        <f>Table16[[#This Row],[price]]*Table16[[#This Row],[quantity]]</f>
        <v>162.63999999999999</v>
      </c>
    </row>
    <row r="9880" spans="1:9" x14ac:dyDescent="0.3">
      <c r="A9880" t="s">
        <v>11894</v>
      </c>
      <c r="B9880" t="s">
        <v>1974</v>
      </c>
      <c r="C9880" t="s">
        <v>2011</v>
      </c>
      <c r="D9880">
        <v>4</v>
      </c>
      <c r="E9880" s="16">
        <v>162.63999999999999</v>
      </c>
      <c r="F9880" s="1">
        <v>44760</v>
      </c>
      <c r="G9880" t="s">
        <v>2027</v>
      </c>
      <c r="H9880">
        <v>3</v>
      </c>
      <c r="I9880" s="12">
        <f>Table16[[#This Row],[price]]*Table16[[#This Row],[quantity]]</f>
        <v>650.55999999999995</v>
      </c>
    </row>
    <row r="9881" spans="1:9" x14ac:dyDescent="0.3">
      <c r="A9881" t="s">
        <v>11895</v>
      </c>
      <c r="B9881" t="s">
        <v>1974</v>
      </c>
      <c r="C9881" t="s">
        <v>2001</v>
      </c>
      <c r="D9881">
        <v>3</v>
      </c>
      <c r="E9881" s="16">
        <v>900.24</v>
      </c>
      <c r="F9881" s="1">
        <v>44915</v>
      </c>
      <c r="G9881" t="s">
        <v>2041</v>
      </c>
      <c r="H9881">
        <v>3</v>
      </c>
      <c r="I9881" s="12">
        <f>Table16[[#This Row],[price]]*Table16[[#This Row],[quantity]]</f>
        <v>2700.7200000000003</v>
      </c>
    </row>
    <row r="9882" spans="1:9" x14ac:dyDescent="0.3">
      <c r="A9882" t="s">
        <v>11901</v>
      </c>
      <c r="B9882" t="s">
        <v>1975</v>
      </c>
      <c r="C9882" t="s">
        <v>2001</v>
      </c>
      <c r="D9882">
        <v>4</v>
      </c>
      <c r="E9882" s="16">
        <v>1200.32</v>
      </c>
      <c r="F9882" s="1">
        <v>44307</v>
      </c>
      <c r="G9882" t="s">
        <v>2004</v>
      </c>
      <c r="H9882">
        <v>2</v>
      </c>
      <c r="I9882" s="12">
        <f>Table16[[#This Row],[price]]*Table16[[#This Row],[quantity]]</f>
        <v>4801.28</v>
      </c>
    </row>
    <row r="9883" spans="1:9" x14ac:dyDescent="0.3">
      <c r="A9883" t="s">
        <v>11898</v>
      </c>
      <c r="B9883" t="s">
        <v>1975</v>
      </c>
      <c r="C9883" t="s">
        <v>2024</v>
      </c>
      <c r="D9883">
        <v>4</v>
      </c>
      <c r="E9883" s="16">
        <v>143.36000000000001</v>
      </c>
      <c r="F9883" s="1">
        <v>44540</v>
      </c>
      <c r="G9883" t="s">
        <v>2009</v>
      </c>
      <c r="H9883">
        <v>1</v>
      </c>
      <c r="I9883" s="12">
        <f>Table16[[#This Row],[price]]*Table16[[#This Row],[quantity]]</f>
        <v>573.44000000000005</v>
      </c>
    </row>
    <row r="9884" spans="1:9" x14ac:dyDescent="0.3">
      <c r="A9884" t="s">
        <v>11900</v>
      </c>
      <c r="B9884" t="s">
        <v>1975</v>
      </c>
      <c r="C9884" t="s">
        <v>2015</v>
      </c>
      <c r="D9884">
        <v>3</v>
      </c>
      <c r="E9884" s="16">
        <v>1800.51</v>
      </c>
      <c r="F9884" s="1">
        <v>44945</v>
      </c>
      <c r="G9884" t="s">
        <v>2058</v>
      </c>
      <c r="H9884">
        <v>4</v>
      </c>
      <c r="I9884" s="12">
        <f>Table16[[#This Row],[price]]*Table16[[#This Row],[quantity]]</f>
        <v>5401.53</v>
      </c>
    </row>
    <row r="9885" spans="1:9" x14ac:dyDescent="0.3">
      <c r="A9885" t="s">
        <v>11899</v>
      </c>
      <c r="B9885" t="s">
        <v>1975</v>
      </c>
      <c r="C9885" t="s">
        <v>2015</v>
      </c>
      <c r="D9885">
        <v>3</v>
      </c>
      <c r="E9885" s="16">
        <v>1800.51</v>
      </c>
      <c r="F9885" s="1">
        <v>44950</v>
      </c>
      <c r="G9885" t="s">
        <v>2027</v>
      </c>
      <c r="H9885">
        <v>2</v>
      </c>
      <c r="I9885" s="12">
        <f>Table16[[#This Row],[price]]*Table16[[#This Row],[quantity]]</f>
        <v>5401.53</v>
      </c>
    </row>
    <row r="9886" spans="1:9" x14ac:dyDescent="0.3">
      <c r="A9886" t="s">
        <v>11902</v>
      </c>
      <c r="B9886" t="s">
        <v>1976</v>
      </c>
      <c r="C9886" t="s">
        <v>2001</v>
      </c>
      <c r="D9886">
        <v>2</v>
      </c>
      <c r="E9886" s="16">
        <v>600.16</v>
      </c>
      <c r="F9886" s="1">
        <v>44778</v>
      </c>
      <c r="G9886" t="s">
        <v>2027</v>
      </c>
      <c r="H9886">
        <v>1</v>
      </c>
      <c r="I9886" s="12">
        <f>Table16[[#This Row],[price]]*Table16[[#This Row],[quantity]]</f>
        <v>1200.32</v>
      </c>
    </row>
    <row r="9887" spans="1:9" x14ac:dyDescent="0.3">
      <c r="A9887" t="s">
        <v>11903</v>
      </c>
      <c r="B9887" t="s">
        <v>1976</v>
      </c>
      <c r="C9887" t="s">
        <v>2001</v>
      </c>
      <c r="D9887">
        <v>2</v>
      </c>
      <c r="E9887" s="16">
        <v>600.16</v>
      </c>
      <c r="F9887" s="1">
        <v>44854</v>
      </c>
      <c r="G9887" t="s">
        <v>2041</v>
      </c>
      <c r="H9887">
        <v>3</v>
      </c>
      <c r="I9887" s="12">
        <f>Table16[[#This Row],[price]]*Table16[[#This Row],[quantity]]</f>
        <v>1200.32</v>
      </c>
    </row>
    <row r="9888" spans="1:9" x14ac:dyDescent="0.3">
      <c r="A9888" t="s">
        <v>11904</v>
      </c>
      <c r="B9888" t="s">
        <v>1976</v>
      </c>
      <c r="C9888" t="s">
        <v>2001</v>
      </c>
      <c r="D9888">
        <v>5</v>
      </c>
      <c r="E9888" s="16">
        <v>1500.4</v>
      </c>
      <c r="F9888" s="1">
        <v>44909</v>
      </c>
      <c r="G9888" t="s">
        <v>2058</v>
      </c>
      <c r="H9888">
        <v>5</v>
      </c>
      <c r="I9888" s="12">
        <f>Table16[[#This Row],[price]]*Table16[[#This Row],[quantity]]</f>
        <v>7502</v>
      </c>
    </row>
    <row r="9889" spans="1:9" x14ac:dyDescent="0.3">
      <c r="A9889" t="s">
        <v>11907</v>
      </c>
      <c r="B9889" t="s">
        <v>1977</v>
      </c>
      <c r="C9889" t="s">
        <v>2001</v>
      </c>
      <c r="D9889">
        <v>3</v>
      </c>
      <c r="E9889" s="16">
        <v>900.24</v>
      </c>
      <c r="F9889" s="1">
        <v>44231</v>
      </c>
      <c r="G9889" t="s">
        <v>2020</v>
      </c>
      <c r="H9889">
        <v>4</v>
      </c>
      <c r="I9889" s="12">
        <f>Table16[[#This Row],[price]]*Table16[[#This Row],[quantity]]</f>
        <v>2700.7200000000003</v>
      </c>
    </row>
    <row r="9890" spans="1:9" x14ac:dyDescent="0.3">
      <c r="A9890" t="s">
        <v>11905</v>
      </c>
      <c r="B9890" t="s">
        <v>1977</v>
      </c>
      <c r="C9890" t="s">
        <v>2008</v>
      </c>
      <c r="D9890">
        <v>1</v>
      </c>
      <c r="E9890" s="16">
        <v>5.23</v>
      </c>
      <c r="F9890" s="1">
        <v>44367</v>
      </c>
      <c r="G9890" t="s">
        <v>2027</v>
      </c>
      <c r="H9890">
        <v>4</v>
      </c>
      <c r="I9890" s="12">
        <f>Table16[[#This Row],[price]]*Table16[[#This Row],[quantity]]</f>
        <v>5.23</v>
      </c>
    </row>
    <row r="9891" spans="1:9" x14ac:dyDescent="0.3">
      <c r="A9891" t="s">
        <v>11906</v>
      </c>
      <c r="B9891" t="s">
        <v>1977</v>
      </c>
      <c r="C9891" t="s">
        <v>2057</v>
      </c>
      <c r="D9891">
        <v>4</v>
      </c>
      <c r="E9891" s="16">
        <v>46.92</v>
      </c>
      <c r="F9891" s="1">
        <v>44395</v>
      </c>
      <c r="G9891" t="s">
        <v>2027</v>
      </c>
      <c r="H9891">
        <v>4</v>
      </c>
      <c r="I9891" s="12">
        <f>Table16[[#This Row],[price]]*Table16[[#This Row],[quantity]]</f>
        <v>187.68</v>
      </c>
    </row>
    <row r="9892" spans="1:9" x14ac:dyDescent="0.3">
      <c r="A9892" t="s">
        <v>11909</v>
      </c>
      <c r="B9892" t="s">
        <v>1978</v>
      </c>
      <c r="C9892" t="s">
        <v>2008</v>
      </c>
      <c r="D9892">
        <v>5</v>
      </c>
      <c r="E9892" s="16">
        <v>26.15</v>
      </c>
      <c r="F9892" s="1">
        <v>44394</v>
      </c>
      <c r="G9892" t="s">
        <v>2009</v>
      </c>
      <c r="H9892">
        <v>5</v>
      </c>
      <c r="I9892" s="12">
        <f>Table16[[#This Row],[price]]*Table16[[#This Row],[quantity]]</f>
        <v>130.75</v>
      </c>
    </row>
    <row r="9893" spans="1:9" x14ac:dyDescent="0.3">
      <c r="A9893" t="s">
        <v>11911</v>
      </c>
      <c r="B9893" t="s">
        <v>1978</v>
      </c>
      <c r="C9893" t="s">
        <v>2001</v>
      </c>
      <c r="D9893">
        <v>5</v>
      </c>
      <c r="E9893" s="16">
        <v>1500.4</v>
      </c>
      <c r="F9893" s="1">
        <v>44469</v>
      </c>
      <c r="G9893" t="s">
        <v>2009</v>
      </c>
      <c r="H9893">
        <v>5</v>
      </c>
      <c r="I9893" s="12">
        <f>Table16[[#This Row],[price]]*Table16[[#This Row],[quantity]]</f>
        <v>7502</v>
      </c>
    </row>
    <row r="9894" spans="1:9" x14ac:dyDescent="0.3">
      <c r="A9894" t="s">
        <v>11910</v>
      </c>
      <c r="B9894" t="s">
        <v>1978</v>
      </c>
      <c r="C9894" t="s">
        <v>2006</v>
      </c>
      <c r="D9894">
        <v>2</v>
      </c>
      <c r="E9894" s="16">
        <v>30.3</v>
      </c>
      <c r="F9894" s="1">
        <v>44917</v>
      </c>
      <c r="G9894" t="s">
        <v>2002</v>
      </c>
      <c r="H9894">
        <v>1</v>
      </c>
      <c r="I9894" s="12">
        <f>Table16[[#This Row],[price]]*Table16[[#This Row],[quantity]]</f>
        <v>60.6</v>
      </c>
    </row>
    <row r="9895" spans="1:9" x14ac:dyDescent="0.3">
      <c r="A9895" t="s">
        <v>11908</v>
      </c>
      <c r="B9895" t="s">
        <v>1978</v>
      </c>
      <c r="C9895" t="s">
        <v>2015</v>
      </c>
      <c r="D9895">
        <v>1</v>
      </c>
      <c r="E9895" s="16">
        <v>600.16999999999996</v>
      </c>
      <c r="F9895" s="1">
        <v>44939</v>
      </c>
      <c r="G9895" t="s">
        <v>2041</v>
      </c>
      <c r="H9895">
        <v>5</v>
      </c>
      <c r="I9895" s="12">
        <f>Table16[[#This Row],[price]]*Table16[[#This Row],[quantity]]</f>
        <v>600.16999999999996</v>
      </c>
    </row>
    <row r="9896" spans="1:9" x14ac:dyDescent="0.3">
      <c r="A9896" t="s">
        <v>11912</v>
      </c>
      <c r="B9896" t="s">
        <v>1978</v>
      </c>
      <c r="C9896" t="s">
        <v>2057</v>
      </c>
      <c r="D9896">
        <v>2</v>
      </c>
      <c r="E9896" s="16">
        <v>23.46</v>
      </c>
      <c r="F9896" s="1">
        <v>44983</v>
      </c>
      <c r="G9896" t="s">
        <v>2027</v>
      </c>
      <c r="H9896">
        <v>1</v>
      </c>
      <c r="I9896" s="12">
        <f>Table16[[#This Row],[price]]*Table16[[#This Row],[quantity]]</f>
        <v>46.92</v>
      </c>
    </row>
    <row r="9897" spans="1:9" x14ac:dyDescent="0.3">
      <c r="A9897" t="s">
        <v>11915</v>
      </c>
      <c r="B9897" t="s">
        <v>1979</v>
      </c>
      <c r="C9897" t="s">
        <v>2008</v>
      </c>
      <c r="D9897">
        <v>5</v>
      </c>
      <c r="E9897" s="16">
        <v>26.15</v>
      </c>
      <c r="F9897" s="1">
        <v>44478</v>
      </c>
      <c r="G9897" t="s">
        <v>2027</v>
      </c>
      <c r="H9897">
        <v>3</v>
      </c>
      <c r="I9897" s="12">
        <f>Table16[[#This Row],[price]]*Table16[[#This Row],[quantity]]</f>
        <v>130.75</v>
      </c>
    </row>
    <row r="9898" spans="1:9" x14ac:dyDescent="0.3">
      <c r="A9898" t="s">
        <v>11916</v>
      </c>
      <c r="B9898" t="s">
        <v>1979</v>
      </c>
      <c r="C9898" t="s">
        <v>2011</v>
      </c>
      <c r="D9898">
        <v>2</v>
      </c>
      <c r="E9898" s="16">
        <v>81.319999999999993</v>
      </c>
      <c r="F9898" s="1">
        <v>44497</v>
      </c>
      <c r="G9898" t="s">
        <v>2002</v>
      </c>
      <c r="H9898">
        <v>2</v>
      </c>
      <c r="I9898" s="12">
        <f>Table16[[#This Row],[price]]*Table16[[#This Row],[quantity]]</f>
        <v>162.63999999999999</v>
      </c>
    </row>
    <row r="9899" spans="1:9" x14ac:dyDescent="0.3">
      <c r="A9899" t="s">
        <v>11913</v>
      </c>
      <c r="B9899" t="s">
        <v>1979</v>
      </c>
      <c r="C9899" t="s">
        <v>2001</v>
      </c>
      <c r="D9899">
        <v>4</v>
      </c>
      <c r="E9899" s="16">
        <v>1200.32</v>
      </c>
      <c r="F9899" s="1">
        <v>44721</v>
      </c>
      <c r="G9899" t="s">
        <v>2027</v>
      </c>
      <c r="H9899">
        <v>3</v>
      </c>
      <c r="I9899" s="12">
        <f>Table16[[#This Row],[price]]*Table16[[#This Row],[quantity]]</f>
        <v>4801.28</v>
      </c>
    </row>
    <row r="9900" spans="1:9" x14ac:dyDescent="0.3">
      <c r="A9900" t="s">
        <v>11917</v>
      </c>
      <c r="B9900" t="s">
        <v>1979</v>
      </c>
      <c r="C9900" t="s">
        <v>2008</v>
      </c>
      <c r="D9900">
        <v>5</v>
      </c>
      <c r="E9900" s="16">
        <v>26.15</v>
      </c>
      <c r="F9900" s="1">
        <v>44756</v>
      </c>
      <c r="G9900" t="s">
        <v>2027</v>
      </c>
      <c r="H9900">
        <v>2</v>
      </c>
      <c r="I9900" s="12">
        <f>Table16[[#This Row],[price]]*Table16[[#This Row],[quantity]]</f>
        <v>130.75</v>
      </c>
    </row>
    <row r="9901" spans="1:9" x14ac:dyDescent="0.3">
      <c r="A9901" t="s">
        <v>11914</v>
      </c>
      <c r="B9901" t="s">
        <v>1979</v>
      </c>
      <c r="C9901" t="s">
        <v>2001</v>
      </c>
      <c r="D9901">
        <v>5</v>
      </c>
      <c r="E9901" s="16">
        <v>1500.4</v>
      </c>
      <c r="F9901" s="1">
        <v>44966</v>
      </c>
      <c r="G9901" t="s">
        <v>2058</v>
      </c>
      <c r="H9901">
        <v>5</v>
      </c>
      <c r="I9901" s="12">
        <f>Table16[[#This Row],[price]]*Table16[[#This Row],[quantity]]</f>
        <v>7502</v>
      </c>
    </row>
    <row r="9902" spans="1:9" x14ac:dyDescent="0.3">
      <c r="A9902" t="s">
        <v>11920</v>
      </c>
      <c r="B9902" t="s">
        <v>1980</v>
      </c>
      <c r="C9902" t="s">
        <v>2011</v>
      </c>
      <c r="D9902">
        <v>1</v>
      </c>
      <c r="E9902" s="16">
        <v>40.659999999999997</v>
      </c>
      <c r="F9902" s="1">
        <v>44286</v>
      </c>
      <c r="G9902" t="s">
        <v>2009</v>
      </c>
      <c r="H9902">
        <v>5</v>
      </c>
      <c r="I9902" s="12">
        <f>Table16[[#This Row],[price]]*Table16[[#This Row],[quantity]]</f>
        <v>40.659999999999997</v>
      </c>
    </row>
    <row r="9903" spans="1:9" x14ac:dyDescent="0.3">
      <c r="A9903" t="s">
        <v>11923</v>
      </c>
      <c r="B9903" t="s">
        <v>1980</v>
      </c>
      <c r="C9903" t="s">
        <v>2001</v>
      </c>
      <c r="D9903">
        <v>1</v>
      </c>
      <c r="E9903" s="16">
        <v>300.08</v>
      </c>
      <c r="F9903" s="1">
        <v>44462</v>
      </c>
      <c r="G9903" t="s">
        <v>2027</v>
      </c>
      <c r="H9903">
        <v>4</v>
      </c>
      <c r="I9903" s="12">
        <f>Table16[[#This Row],[price]]*Table16[[#This Row],[quantity]]</f>
        <v>300.08</v>
      </c>
    </row>
    <row r="9904" spans="1:9" x14ac:dyDescent="0.3">
      <c r="A9904" t="s">
        <v>11922</v>
      </c>
      <c r="B9904" t="s">
        <v>1980</v>
      </c>
      <c r="C9904" t="s">
        <v>2008</v>
      </c>
      <c r="D9904">
        <v>1</v>
      </c>
      <c r="E9904" s="16">
        <v>5.23</v>
      </c>
      <c r="F9904" s="1">
        <v>44600</v>
      </c>
      <c r="G9904" t="s">
        <v>2004</v>
      </c>
      <c r="H9904">
        <v>5</v>
      </c>
      <c r="I9904" s="12">
        <f>Table16[[#This Row],[price]]*Table16[[#This Row],[quantity]]</f>
        <v>5.23</v>
      </c>
    </row>
    <row r="9905" spans="1:9" x14ac:dyDescent="0.3">
      <c r="A9905" t="s">
        <v>11918</v>
      </c>
      <c r="B9905" t="s">
        <v>1980</v>
      </c>
      <c r="C9905" t="s">
        <v>2001</v>
      </c>
      <c r="D9905">
        <v>3</v>
      </c>
      <c r="E9905" s="16">
        <v>900.24</v>
      </c>
      <c r="F9905" s="1">
        <v>44711</v>
      </c>
      <c r="G9905" t="s">
        <v>2020</v>
      </c>
      <c r="H9905">
        <v>2</v>
      </c>
      <c r="I9905" s="12">
        <f>Table16[[#This Row],[price]]*Table16[[#This Row],[quantity]]</f>
        <v>2700.7200000000003</v>
      </c>
    </row>
    <row r="9906" spans="1:9" x14ac:dyDescent="0.3">
      <c r="A9906" t="s">
        <v>11924</v>
      </c>
      <c r="B9906" t="s">
        <v>1980</v>
      </c>
      <c r="C9906" t="s">
        <v>2001</v>
      </c>
      <c r="D9906">
        <v>3</v>
      </c>
      <c r="E9906" s="16">
        <v>900.24</v>
      </c>
      <c r="F9906" s="1">
        <v>44754</v>
      </c>
      <c r="G9906" t="s">
        <v>2020</v>
      </c>
      <c r="H9906">
        <v>5</v>
      </c>
      <c r="I9906" s="12">
        <f>Table16[[#This Row],[price]]*Table16[[#This Row],[quantity]]</f>
        <v>2700.7200000000003</v>
      </c>
    </row>
    <row r="9907" spans="1:9" x14ac:dyDescent="0.3">
      <c r="A9907" t="s">
        <v>11919</v>
      </c>
      <c r="B9907" t="s">
        <v>1980</v>
      </c>
      <c r="C9907" t="s">
        <v>2008</v>
      </c>
      <c r="D9907">
        <v>1</v>
      </c>
      <c r="E9907" s="16">
        <v>5.23</v>
      </c>
      <c r="F9907" s="1">
        <v>44796</v>
      </c>
      <c r="G9907" t="s">
        <v>2027</v>
      </c>
      <c r="H9907">
        <v>2</v>
      </c>
      <c r="I9907" s="12">
        <f>Table16[[#This Row],[price]]*Table16[[#This Row],[quantity]]</f>
        <v>5.23</v>
      </c>
    </row>
    <row r="9908" spans="1:9" x14ac:dyDescent="0.3">
      <c r="A9908" t="s">
        <v>11921</v>
      </c>
      <c r="B9908" t="s">
        <v>1980</v>
      </c>
      <c r="C9908" t="s">
        <v>2011</v>
      </c>
      <c r="D9908">
        <v>3</v>
      </c>
      <c r="E9908" s="16">
        <v>121.98</v>
      </c>
      <c r="F9908" s="1">
        <v>44907</v>
      </c>
      <c r="G9908" t="s">
        <v>2064</v>
      </c>
      <c r="H9908">
        <v>1</v>
      </c>
      <c r="I9908" s="12">
        <f>Table16[[#This Row],[price]]*Table16[[#This Row],[quantity]]</f>
        <v>365.94</v>
      </c>
    </row>
    <row r="9909" spans="1:9" x14ac:dyDescent="0.3">
      <c r="A9909" t="s">
        <v>11925</v>
      </c>
      <c r="B9909" t="s">
        <v>1981</v>
      </c>
      <c r="C9909" t="s">
        <v>2008</v>
      </c>
      <c r="D9909">
        <v>1</v>
      </c>
      <c r="E9909" s="16">
        <v>5.23</v>
      </c>
      <c r="F9909" s="1">
        <v>44497</v>
      </c>
      <c r="G9909" t="s">
        <v>2027</v>
      </c>
      <c r="H9909">
        <v>4</v>
      </c>
      <c r="I9909" s="12">
        <f>Table16[[#This Row],[price]]*Table16[[#This Row],[quantity]]</f>
        <v>5.23</v>
      </c>
    </row>
    <row r="9910" spans="1:9" x14ac:dyDescent="0.3">
      <c r="A9910" t="s">
        <v>11926</v>
      </c>
      <c r="B9910" t="s">
        <v>1981</v>
      </c>
      <c r="C9910" t="s">
        <v>2011</v>
      </c>
      <c r="D9910">
        <v>3</v>
      </c>
      <c r="E9910" s="16">
        <v>121.98</v>
      </c>
      <c r="F9910" s="1">
        <v>44970</v>
      </c>
      <c r="G9910" t="s">
        <v>2027</v>
      </c>
      <c r="H9910">
        <v>3</v>
      </c>
      <c r="I9910" s="12">
        <f>Table16[[#This Row],[price]]*Table16[[#This Row],[quantity]]</f>
        <v>365.94</v>
      </c>
    </row>
    <row r="9911" spans="1:9" x14ac:dyDescent="0.3">
      <c r="A9911" t="s">
        <v>11930</v>
      </c>
      <c r="B9911" t="s">
        <v>1982</v>
      </c>
      <c r="C9911" t="s">
        <v>2015</v>
      </c>
      <c r="D9911">
        <v>4</v>
      </c>
      <c r="E9911" s="16">
        <v>2400.6799999999998</v>
      </c>
      <c r="F9911" s="1">
        <v>44241</v>
      </c>
      <c r="G9911" t="s">
        <v>2009</v>
      </c>
      <c r="H9911">
        <v>3</v>
      </c>
      <c r="I9911" s="12">
        <f>Table16[[#This Row],[price]]*Table16[[#This Row],[quantity]]</f>
        <v>9602.7199999999993</v>
      </c>
    </row>
    <row r="9912" spans="1:9" x14ac:dyDescent="0.3">
      <c r="A9912" t="s">
        <v>11929</v>
      </c>
      <c r="B9912" t="s">
        <v>1982</v>
      </c>
      <c r="C9912" t="s">
        <v>2017</v>
      </c>
      <c r="D9912">
        <v>5</v>
      </c>
      <c r="E9912" s="16">
        <v>5250</v>
      </c>
      <c r="F9912" s="1">
        <v>44475</v>
      </c>
      <c r="G9912" t="s">
        <v>2020</v>
      </c>
      <c r="H9912">
        <v>4</v>
      </c>
      <c r="I9912" s="12">
        <f>Table16[[#This Row],[price]]*Table16[[#This Row],[quantity]]</f>
        <v>26250</v>
      </c>
    </row>
    <row r="9913" spans="1:9" x14ac:dyDescent="0.3">
      <c r="A9913" t="s">
        <v>11931</v>
      </c>
      <c r="B9913" t="s">
        <v>1982</v>
      </c>
      <c r="C9913" t="s">
        <v>2008</v>
      </c>
      <c r="D9913">
        <v>3</v>
      </c>
      <c r="E9913" s="16">
        <v>15.69</v>
      </c>
      <c r="F9913" s="1">
        <v>44854</v>
      </c>
      <c r="G9913" t="s">
        <v>2064</v>
      </c>
      <c r="H9913">
        <v>5</v>
      </c>
      <c r="I9913" s="12">
        <f>Table16[[#This Row],[price]]*Table16[[#This Row],[quantity]]</f>
        <v>47.07</v>
      </c>
    </row>
    <row r="9914" spans="1:9" x14ac:dyDescent="0.3">
      <c r="A9914" t="s">
        <v>11927</v>
      </c>
      <c r="B9914" t="s">
        <v>1982</v>
      </c>
      <c r="C9914" t="s">
        <v>2008</v>
      </c>
      <c r="D9914">
        <v>2</v>
      </c>
      <c r="E9914" s="16">
        <v>10.46</v>
      </c>
      <c r="F9914" s="1">
        <v>44932</v>
      </c>
      <c r="G9914" t="s">
        <v>2020</v>
      </c>
      <c r="H9914">
        <v>2</v>
      </c>
      <c r="I9914" s="12">
        <f>Table16[[#This Row],[price]]*Table16[[#This Row],[quantity]]</f>
        <v>20.92</v>
      </c>
    </row>
    <row r="9915" spans="1:9" x14ac:dyDescent="0.3">
      <c r="A9915" t="s">
        <v>11928</v>
      </c>
      <c r="B9915" t="s">
        <v>1982</v>
      </c>
      <c r="C9915" t="s">
        <v>2001</v>
      </c>
      <c r="D9915">
        <v>2</v>
      </c>
      <c r="E9915" s="16">
        <v>600.16</v>
      </c>
      <c r="F9915" s="1">
        <v>44989</v>
      </c>
      <c r="G9915" t="s">
        <v>2020</v>
      </c>
      <c r="H9915">
        <v>1</v>
      </c>
      <c r="I9915" s="12">
        <f>Table16[[#This Row],[price]]*Table16[[#This Row],[quantity]]</f>
        <v>1200.32</v>
      </c>
    </row>
    <row r="9916" spans="1:9" x14ac:dyDescent="0.3">
      <c r="A9916" t="s">
        <v>11932</v>
      </c>
      <c r="B9916" t="s">
        <v>1983</v>
      </c>
      <c r="C9916" t="s">
        <v>2008</v>
      </c>
      <c r="D9916">
        <v>2</v>
      </c>
      <c r="E9916" s="16">
        <v>10.46</v>
      </c>
      <c r="F9916" s="1">
        <v>44206</v>
      </c>
      <c r="G9916" t="s">
        <v>2020</v>
      </c>
      <c r="H9916">
        <v>1</v>
      </c>
      <c r="I9916" s="12">
        <f>Table16[[#This Row],[price]]*Table16[[#This Row],[quantity]]</f>
        <v>20.92</v>
      </c>
    </row>
    <row r="9917" spans="1:9" x14ac:dyDescent="0.3">
      <c r="A9917" t="s">
        <v>11934</v>
      </c>
      <c r="B9917" t="s">
        <v>1983</v>
      </c>
      <c r="C9917" t="s">
        <v>2015</v>
      </c>
      <c r="D9917">
        <v>3</v>
      </c>
      <c r="E9917" s="16">
        <v>1800.51</v>
      </c>
      <c r="F9917" s="1">
        <v>44523</v>
      </c>
      <c r="G9917" t="s">
        <v>2064</v>
      </c>
      <c r="H9917">
        <v>3</v>
      </c>
      <c r="I9917" s="12">
        <f>Table16[[#This Row],[price]]*Table16[[#This Row],[quantity]]</f>
        <v>5401.53</v>
      </c>
    </row>
    <row r="9918" spans="1:9" x14ac:dyDescent="0.3">
      <c r="A9918" t="s">
        <v>11935</v>
      </c>
      <c r="B9918" t="s">
        <v>1983</v>
      </c>
      <c r="C9918" t="s">
        <v>2001</v>
      </c>
      <c r="D9918">
        <v>1</v>
      </c>
      <c r="E9918" s="16">
        <v>300.08</v>
      </c>
      <c r="F9918" s="1">
        <v>44895</v>
      </c>
      <c r="G9918" t="s">
        <v>2064</v>
      </c>
      <c r="H9918">
        <v>4</v>
      </c>
      <c r="I9918" s="12">
        <f>Table16[[#This Row],[price]]*Table16[[#This Row],[quantity]]</f>
        <v>300.08</v>
      </c>
    </row>
    <row r="9919" spans="1:9" x14ac:dyDescent="0.3">
      <c r="A9919" t="s">
        <v>11933</v>
      </c>
      <c r="B9919" t="s">
        <v>1983</v>
      </c>
      <c r="C9919" t="s">
        <v>2024</v>
      </c>
      <c r="D9919">
        <v>3</v>
      </c>
      <c r="E9919" s="16">
        <v>107.52</v>
      </c>
      <c r="F9919" s="1">
        <v>44952</v>
      </c>
      <c r="G9919" t="s">
        <v>2027</v>
      </c>
      <c r="H9919">
        <v>4</v>
      </c>
      <c r="I9919" s="12">
        <f>Table16[[#This Row],[price]]*Table16[[#This Row],[quantity]]</f>
        <v>322.56</v>
      </c>
    </row>
    <row r="9920" spans="1:9" x14ac:dyDescent="0.3">
      <c r="A9920" t="s">
        <v>11936</v>
      </c>
      <c r="B9920" t="s">
        <v>1984</v>
      </c>
      <c r="C9920" t="s">
        <v>2015</v>
      </c>
      <c r="D9920">
        <v>2</v>
      </c>
      <c r="E9920" s="16">
        <v>1200.3399999999999</v>
      </c>
      <c r="F9920" s="1">
        <v>44700</v>
      </c>
      <c r="G9920" t="s">
        <v>2004</v>
      </c>
      <c r="H9920">
        <v>1</v>
      </c>
      <c r="I9920" s="12">
        <f>Table16[[#This Row],[price]]*Table16[[#This Row],[quantity]]</f>
        <v>2400.6799999999998</v>
      </c>
    </row>
    <row r="9921" spans="1:9" x14ac:dyDescent="0.3">
      <c r="A9921" t="s">
        <v>11937</v>
      </c>
      <c r="B9921" t="s">
        <v>1984</v>
      </c>
      <c r="C9921" t="s">
        <v>2015</v>
      </c>
      <c r="D9921">
        <v>2</v>
      </c>
      <c r="E9921" s="16">
        <v>1200.3399999999999</v>
      </c>
      <c r="F9921" s="1">
        <v>44909</v>
      </c>
      <c r="G9921" t="s">
        <v>2002</v>
      </c>
      <c r="H9921">
        <v>4</v>
      </c>
      <c r="I9921" s="12">
        <f>Table16[[#This Row],[price]]*Table16[[#This Row],[quantity]]</f>
        <v>2400.6799999999998</v>
      </c>
    </row>
    <row r="9922" spans="1:9" x14ac:dyDescent="0.3">
      <c r="A9922" t="s">
        <v>11939</v>
      </c>
      <c r="B9922" t="s">
        <v>1985</v>
      </c>
      <c r="C9922" t="s">
        <v>2001</v>
      </c>
      <c r="D9922">
        <v>1</v>
      </c>
      <c r="E9922" s="16">
        <v>300.08</v>
      </c>
      <c r="F9922" s="1">
        <v>44202</v>
      </c>
      <c r="G9922" t="s">
        <v>2004</v>
      </c>
      <c r="H9922">
        <v>3</v>
      </c>
      <c r="I9922" s="12">
        <f>Table16[[#This Row],[price]]*Table16[[#This Row],[quantity]]</f>
        <v>300.08</v>
      </c>
    </row>
    <row r="9923" spans="1:9" x14ac:dyDescent="0.3">
      <c r="A9923" t="s">
        <v>11940</v>
      </c>
      <c r="B9923" t="s">
        <v>1985</v>
      </c>
      <c r="C9923" t="s">
        <v>2001</v>
      </c>
      <c r="D9923">
        <v>3</v>
      </c>
      <c r="E9923" s="16">
        <v>900.24</v>
      </c>
      <c r="F9923" s="1">
        <v>44205</v>
      </c>
      <c r="G9923" t="s">
        <v>2018</v>
      </c>
      <c r="H9923">
        <v>3</v>
      </c>
      <c r="I9923" s="12">
        <f>Table16[[#This Row],[price]]*Table16[[#This Row],[quantity]]</f>
        <v>2700.7200000000003</v>
      </c>
    </row>
    <row r="9924" spans="1:9" x14ac:dyDescent="0.3">
      <c r="A9924" t="s">
        <v>11943</v>
      </c>
      <c r="B9924" t="s">
        <v>1985</v>
      </c>
      <c r="C9924" t="s">
        <v>2015</v>
      </c>
      <c r="D9924">
        <v>2</v>
      </c>
      <c r="E9924" s="16">
        <v>1200.3399999999999</v>
      </c>
      <c r="F9924" s="1">
        <v>44325</v>
      </c>
      <c r="G9924" t="s">
        <v>2018</v>
      </c>
      <c r="H9924">
        <v>2</v>
      </c>
      <c r="I9924" s="12">
        <f>Table16[[#This Row],[price]]*Table16[[#This Row],[quantity]]</f>
        <v>2400.6799999999998</v>
      </c>
    </row>
    <row r="9925" spans="1:9" x14ac:dyDescent="0.3">
      <c r="A9925" t="s">
        <v>11938</v>
      </c>
      <c r="B9925" t="s">
        <v>1985</v>
      </c>
      <c r="C9925" t="s">
        <v>2006</v>
      </c>
      <c r="D9925">
        <v>1</v>
      </c>
      <c r="E9925" s="16">
        <v>15.15</v>
      </c>
      <c r="F9925" s="1">
        <v>44332</v>
      </c>
      <c r="G9925" t="s">
        <v>2004</v>
      </c>
      <c r="H9925">
        <v>3</v>
      </c>
      <c r="I9925" s="12">
        <f>Table16[[#This Row],[price]]*Table16[[#This Row],[quantity]]</f>
        <v>15.15</v>
      </c>
    </row>
    <row r="9926" spans="1:9" x14ac:dyDescent="0.3">
      <c r="A9926" t="s">
        <v>11941</v>
      </c>
      <c r="B9926" t="s">
        <v>1985</v>
      </c>
      <c r="C9926" t="s">
        <v>2024</v>
      </c>
      <c r="D9926">
        <v>5</v>
      </c>
      <c r="E9926" s="16">
        <v>179.2</v>
      </c>
      <c r="F9926" s="1">
        <v>44356</v>
      </c>
      <c r="G9926" t="s">
        <v>2018</v>
      </c>
      <c r="H9926">
        <v>1</v>
      </c>
      <c r="I9926" s="12">
        <f>Table16[[#This Row],[price]]*Table16[[#This Row],[quantity]]</f>
        <v>896</v>
      </c>
    </row>
    <row r="9927" spans="1:9" x14ac:dyDescent="0.3">
      <c r="A9927" t="s">
        <v>11942</v>
      </c>
      <c r="B9927" t="s">
        <v>1985</v>
      </c>
      <c r="C9927" t="s">
        <v>2015</v>
      </c>
      <c r="D9927">
        <v>4</v>
      </c>
      <c r="E9927" s="16">
        <v>2400.6799999999998</v>
      </c>
      <c r="F9927" s="1">
        <v>44359</v>
      </c>
      <c r="G9927" t="s">
        <v>2064</v>
      </c>
      <c r="H9927">
        <v>1</v>
      </c>
      <c r="I9927" s="12">
        <f>Table16[[#This Row],[price]]*Table16[[#This Row],[quantity]]</f>
        <v>9602.7199999999993</v>
      </c>
    </row>
    <row r="9928" spans="1:9" x14ac:dyDescent="0.3">
      <c r="A9928" t="s">
        <v>11951</v>
      </c>
      <c r="B9928" t="s">
        <v>1986</v>
      </c>
      <c r="C9928" t="s">
        <v>2001</v>
      </c>
      <c r="D9928">
        <v>2</v>
      </c>
      <c r="E9928" s="16">
        <v>600.16</v>
      </c>
      <c r="F9928" s="1">
        <v>44268</v>
      </c>
      <c r="G9928" t="s">
        <v>2012</v>
      </c>
      <c r="H9928">
        <v>4</v>
      </c>
      <c r="I9928" s="12">
        <f>Table16[[#This Row],[price]]*Table16[[#This Row],[quantity]]</f>
        <v>1200.32</v>
      </c>
    </row>
    <row r="9929" spans="1:9" x14ac:dyDescent="0.3">
      <c r="A9929" t="s">
        <v>11948</v>
      </c>
      <c r="B9929" t="s">
        <v>1986</v>
      </c>
      <c r="C9929" t="s">
        <v>2011</v>
      </c>
      <c r="D9929">
        <v>2</v>
      </c>
      <c r="E9929" s="16">
        <v>81.319999999999993</v>
      </c>
      <c r="F9929" s="1">
        <v>44386</v>
      </c>
      <c r="G9929" t="s">
        <v>2018</v>
      </c>
      <c r="H9929">
        <v>5</v>
      </c>
      <c r="I9929" s="12">
        <f>Table16[[#This Row],[price]]*Table16[[#This Row],[quantity]]</f>
        <v>162.63999999999999</v>
      </c>
    </row>
    <row r="9930" spans="1:9" x14ac:dyDescent="0.3">
      <c r="A9930" t="s">
        <v>11944</v>
      </c>
      <c r="B9930" t="s">
        <v>1986</v>
      </c>
      <c r="C9930" t="s">
        <v>2001</v>
      </c>
      <c r="D9930">
        <v>4</v>
      </c>
      <c r="E9930" s="16">
        <v>1200.32</v>
      </c>
      <c r="F9930" s="1">
        <v>44459</v>
      </c>
      <c r="G9930" t="s">
        <v>2018</v>
      </c>
      <c r="H9930">
        <v>5</v>
      </c>
      <c r="I9930" s="12">
        <f>Table16[[#This Row],[price]]*Table16[[#This Row],[quantity]]</f>
        <v>4801.28</v>
      </c>
    </row>
    <row r="9931" spans="1:9" x14ac:dyDescent="0.3">
      <c r="A9931" t="s">
        <v>11950</v>
      </c>
      <c r="B9931" t="s">
        <v>1986</v>
      </c>
      <c r="C9931" t="s">
        <v>2001</v>
      </c>
      <c r="D9931">
        <v>4</v>
      </c>
      <c r="E9931" s="16">
        <v>1200.32</v>
      </c>
      <c r="F9931" s="1">
        <v>44461</v>
      </c>
      <c r="G9931" t="s">
        <v>2027</v>
      </c>
      <c r="H9931">
        <v>4</v>
      </c>
      <c r="I9931" s="12">
        <f>Table16[[#This Row],[price]]*Table16[[#This Row],[quantity]]</f>
        <v>4801.28</v>
      </c>
    </row>
    <row r="9932" spans="1:9" x14ac:dyDescent="0.3">
      <c r="A9932" t="s">
        <v>11952</v>
      </c>
      <c r="B9932" t="s">
        <v>1986</v>
      </c>
      <c r="C9932" t="s">
        <v>2011</v>
      </c>
      <c r="D9932">
        <v>2</v>
      </c>
      <c r="E9932" s="16">
        <v>81.319999999999993</v>
      </c>
      <c r="F9932" s="1">
        <v>44730</v>
      </c>
      <c r="G9932" t="s">
        <v>2020</v>
      </c>
      <c r="H9932">
        <v>5</v>
      </c>
      <c r="I9932" s="12">
        <f>Table16[[#This Row],[price]]*Table16[[#This Row],[quantity]]</f>
        <v>162.63999999999999</v>
      </c>
    </row>
    <row r="9933" spans="1:9" x14ac:dyDescent="0.3">
      <c r="A9933" t="s">
        <v>11947</v>
      </c>
      <c r="B9933" t="s">
        <v>1986</v>
      </c>
      <c r="C9933" t="s">
        <v>2008</v>
      </c>
      <c r="D9933">
        <v>5</v>
      </c>
      <c r="E9933" s="16">
        <v>26.15</v>
      </c>
      <c r="F9933" s="1">
        <v>44812</v>
      </c>
      <c r="G9933" t="s">
        <v>2027</v>
      </c>
      <c r="H9933">
        <v>3</v>
      </c>
      <c r="I9933" s="12">
        <f>Table16[[#This Row],[price]]*Table16[[#This Row],[quantity]]</f>
        <v>130.75</v>
      </c>
    </row>
    <row r="9934" spans="1:9" x14ac:dyDescent="0.3">
      <c r="A9934" t="s">
        <v>11946</v>
      </c>
      <c r="B9934" t="s">
        <v>1986</v>
      </c>
      <c r="C9934" t="s">
        <v>2008</v>
      </c>
      <c r="D9934">
        <v>3</v>
      </c>
      <c r="E9934" s="16">
        <v>15.69</v>
      </c>
      <c r="F9934" s="1">
        <v>44830</v>
      </c>
      <c r="G9934" t="s">
        <v>2002</v>
      </c>
      <c r="H9934">
        <v>1</v>
      </c>
      <c r="I9934" s="12">
        <f>Table16[[#This Row],[price]]*Table16[[#This Row],[quantity]]</f>
        <v>47.07</v>
      </c>
    </row>
    <row r="9935" spans="1:9" x14ac:dyDescent="0.3">
      <c r="A9935" t="s">
        <v>11949</v>
      </c>
      <c r="B9935" t="s">
        <v>1986</v>
      </c>
      <c r="C9935" t="s">
        <v>2015</v>
      </c>
      <c r="D9935">
        <v>2</v>
      </c>
      <c r="E9935" s="16">
        <v>1200.3399999999999</v>
      </c>
      <c r="F9935" s="1">
        <v>44967</v>
      </c>
      <c r="G9935" t="s">
        <v>2002</v>
      </c>
      <c r="H9935">
        <v>4</v>
      </c>
      <c r="I9935" s="12">
        <f>Table16[[#This Row],[price]]*Table16[[#This Row],[quantity]]</f>
        <v>2400.6799999999998</v>
      </c>
    </row>
    <row r="9936" spans="1:9" x14ac:dyDescent="0.3">
      <c r="A9936" t="s">
        <v>11945</v>
      </c>
      <c r="B9936" t="s">
        <v>1986</v>
      </c>
      <c r="C9936" t="s">
        <v>2015</v>
      </c>
      <c r="D9936">
        <v>4</v>
      </c>
      <c r="E9936" s="16">
        <v>2400.6799999999998</v>
      </c>
      <c r="F9936" s="1">
        <v>44990</v>
      </c>
      <c r="G9936" t="s">
        <v>2064</v>
      </c>
      <c r="H9936">
        <v>2</v>
      </c>
      <c r="I9936" s="12">
        <f>Table16[[#This Row],[price]]*Table16[[#This Row],[quantity]]</f>
        <v>9602.7199999999993</v>
      </c>
    </row>
    <row r="9937" spans="1:9" x14ac:dyDescent="0.3">
      <c r="A9937" t="s">
        <v>11954</v>
      </c>
      <c r="B9937" t="s">
        <v>1987</v>
      </c>
      <c r="C9937" t="s">
        <v>2011</v>
      </c>
      <c r="D9937">
        <v>5</v>
      </c>
      <c r="E9937" s="16">
        <v>203.3</v>
      </c>
      <c r="F9937" s="1">
        <v>44243</v>
      </c>
      <c r="G9937" t="s">
        <v>2020</v>
      </c>
      <c r="H9937">
        <v>1</v>
      </c>
      <c r="I9937" s="12">
        <f>Table16[[#This Row],[price]]*Table16[[#This Row],[quantity]]</f>
        <v>1016.5</v>
      </c>
    </row>
    <row r="9938" spans="1:9" x14ac:dyDescent="0.3">
      <c r="A9938" t="s">
        <v>11955</v>
      </c>
      <c r="B9938" t="s">
        <v>1987</v>
      </c>
      <c r="C9938" t="s">
        <v>2001</v>
      </c>
      <c r="D9938">
        <v>2</v>
      </c>
      <c r="E9938" s="16">
        <v>600.16</v>
      </c>
      <c r="F9938" s="1">
        <v>44307</v>
      </c>
      <c r="G9938" t="s">
        <v>2002</v>
      </c>
      <c r="H9938">
        <v>4</v>
      </c>
      <c r="I9938" s="12">
        <f>Table16[[#This Row],[price]]*Table16[[#This Row],[quantity]]</f>
        <v>1200.32</v>
      </c>
    </row>
    <row r="9939" spans="1:9" x14ac:dyDescent="0.3">
      <c r="A9939" t="s">
        <v>11956</v>
      </c>
      <c r="B9939" t="s">
        <v>1987</v>
      </c>
      <c r="C9939" t="s">
        <v>2015</v>
      </c>
      <c r="D9939">
        <v>5</v>
      </c>
      <c r="E9939" s="16">
        <v>3000.85</v>
      </c>
      <c r="F9939" s="1">
        <v>44332</v>
      </c>
      <c r="G9939" t="s">
        <v>2020</v>
      </c>
      <c r="H9939">
        <v>3</v>
      </c>
      <c r="I9939" s="12">
        <f>Table16[[#This Row],[price]]*Table16[[#This Row],[quantity]]</f>
        <v>15004.25</v>
      </c>
    </row>
    <row r="9940" spans="1:9" x14ac:dyDescent="0.3">
      <c r="A9940" t="s">
        <v>11957</v>
      </c>
      <c r="B9940" t="s">
        <v>1987</v>
      </c>
      <c r="C9940" t="s">
        <v>2015</v>
      </c>
      <c r="D9940">
        <v>3</v>
      </c>
      <c r="E9940" s="16">
        <v>1800.51</v>
      </c>
      <c r="F9940" s="1">
        <v>44647</v>
      </c>
      <c r="G9940" t="s">
        <v>2004</v>
      </c>
      <c r="H9940">
        <v>4</v>
      </c>
      <c r="I9940" s="12">
        <f>Table16[[#This Row],[price]]*Table16[[#This Row],[quantity]]</f>
        <v>5401.53</v>
      </c>
    </row>
    <row r="9941" spans="1:9" x14ac:dyDescent="0.3">
      <c r="A9941" t="s">
        <v>11953</v>
      </c>
      <c r="B9941" t="s">
        <v>1987</v>
      </c>
      <c r="C9941" t="s">
        <v>2015</v>
      </c>
      <c r="D9941">
        <v>3</v>
      </c>
      <c r="E9941" s="16">
        <v>1800.51</v>
      </c>
      <c r="F9941" s="1">
        <v>44837</v>
      </c>
      <c r="G9941" t="s">
        <v>2002</v>
      </c>
      <c r="H9941">
        <v>2</v>
      </c>
      <c r="I9941" s="12">
        <f>Table16[[#This Row],[price]]*Table16[[#This Row],[quantity]]</f>
        <v>5401.53</v>
      </c>
    </row>
    <row r="9942" spans="1:9" x14ac:dyDescent="0.3">
      <c r="A9942" t="s">
        <v>11958</v>
      </c>
      <c r="B9942" t="s">
        <v>1987</v>
      </c>
      <c r="C9942" t="s">
        <v>2008</v>
      </c>
      <c r="D9942">
        <v>3</v>
      </c>
      <c r="E9942" s="16">
        <v>15.69</v>
      </c>
      <c r="F9942" s="1">
        <v>44918</v>
      </c>
      <c r="G9942" t="s">
        <v>2027</v>
      </c>
      <c r="H9942">
        <v>4</v>
      </c>
      <c r="I9942" s="12">
        <f>Table16[[#This Row],[price]]*Table16[[#This Row],[quantity]]</f>
        <v>47.07</v>
      </c>
    </row>
    <row r="9943" spans="1:9" x14ac:dyDescent="0.3">
      <c r="A9943" t="s">
        <v>11962</v>
      </c>
      <c r="B9943" t="s">
        <v>1988</v>
      </c>
      <c r="C9943" t="s">
        <v>2001</v>
      </c>
      <c r="D9943">
        <v>2</v>
      </c>
      <c r="E9943" s="16">
        <v>600.16</v>
      </c>
      <c r="F9943" s="1">
        <v>44210</v>
      </c>
      <c r="G9943" t="s">
        <v>2020</v>
      </c>
      <c r="H9943">
        <v>1</v>
      </c>
      <c r="I9943" s="12">
        <f>Table16[[#This Row],[price]]*Table16[[#This Row],[quantity]]</f>
        <v>1200.32</v>
      </c>
    </row>
    <row r="9944" spans="1:9" x14ac:dyDescent="0.3">
      <c r="A9944" t="s">
        <v>11959</v>
      </c>
      <c r="B9944" t="s">
        <v>1988</v>
      </c>
      <c r="C9944" t="s">
        <v>2017</v>
      </c>
      <c r="D9944">
        <v>2</v>
      </c>
      <c r="E9944" s="16">
        <v>2100</v>
      </c>
      <c r="F9944" s="1">
        <v>44248</v>
      </c>
      <c r="G9944" t="s">
        <v>2020</v>
      </c>
      <c r="H9944">
        <v>3</v>
      </c>
      <c r="I9944" s="12">
        <f>Table16[[#This Row],[price]]*Table16[[#This Row],[quantity]]</f>
        <v>4200</v>
      </c>
    </row>
    <row r="9945" spans="1:9" x14ac:dyDescent="0.3">
      <c r="A9945" t="s">
        <v>11961</v>
      </c>
      <c r="B9945" t="s">
        <v>1988</v>
      </c>
      <c r="C9945" t="s">
        <v>2008</v>
      </c>
      <c r="D9945">
        <v>5</v>
      </c>
      <c r="E9945" s="16">
        <v>26.15</v>
      </c>
      <c r="F9945" s="1">
        <v>44342</v>
      </c>
      <c r="G9945" t="s">
        <v>2020</v>
      </c>
      <c r="H9945">
        <v>1</v>
      </c>
      <c r="I9945" s="12">
        <f>Table16[[#This Row],[price]]*Table16[[#This Row],[quantity]]</f>
        <v>130.75</v>
      </c>
    </row>
    <row r="9946" spans="1:9" x14ac:dyDescent="0.3">
      <c r="A9946" t="s">
        <v>11960</v>
      </c>
      <c r="B9946" t="s">
        <v>1988</v>
      </c>
      <c r="C9946" t="s">
        <v>2015</v>
      </c>
      <c r="D9946">
        <v>3</v>
      </c>
      <c r="E9946" s="16">
        <v>1800.51</v>
      </c>
      <c r="F9946" s="1">
        <v>44472</v>
      </c>
      <c r="G9946" t="s">
        <v>2002</v>
      </c>
      <c r="H9946">
        <v>2</v>
      </c>
      <c r="I9946" s="12">
        <f>Table16[[#This Row],[price]]*Table16[[#This Row],[quantity]]</f>
        <v>5401.53</v>
      </c>
    </row>
    <row r="9947" spans="1:9" x14ac:dyDescent="0.3">
      <c r="A9947" t="s">
        <v>11964</v>
      </c>
      <c r="B9947" t="s">
        <v>1988</v>
      </c>
      <c r="C9947" t="s">
        <v>2006</v>
      </c>
      <c r="D9947">
        <v>3</v>
      </c>
      <c r="E9947" s="16">
        <v>45.45</v>
      </c>
      <c r="F9947" s="1">
        <v>44709</v>
      </c>
      <c r="G9947" t="s">
        <v>2002</v>
      </c>
      <c r="H9947">
        <v>3</v>
      </c>
      <c r="I9947" s="12">
        <f>Table16[[#This Row],[price]]*Table16[[#This Row],[quantity]]</f>
        <v>136.35000000000002</v>
      </c>
    </row>
    <row r="9948" spans="1:9" x14ac:dyDescent="0.3">
      <c r="A9948" t="s">
        <v>11963</v>
      </c>
      <c r="B9948" t="s">
        <v>1988</v>
      </c>
      <c r="C9948" t="s">
        <v>2015</v>
      </c>
      <c r="D9948">
        <v>3</v>
      </c>
      <c r="E9948" s="16">
        <v>1800.51</v>
      </c>
      <c r="F9948" s="1">
        <v>44789</v>
      </c>
      <c r="G9948" t="s">
        <v>2004</v>
      </c>
      <c r="H9948">
        <v>2</v>
      </c>
      <c r="I9948" s="12">
        <f>Table16[[#This Row],[price]]*Table16[[#This Row],[quantity]]</f>
        <v>5401.53</v>
      </c>
    </row>
    <row r="9949" spans="1:9" x14ac:dyDescent="0.3">
      <c r="A9949" t="s">
        <v>11965</v>
      </c>
      <c r="B9949" t="s">
        <v>1988</v>
      </c>
      <c r="C9949" t="s">
        <v>2011</v>
      </c>
      <c r="D9949">
        <v>1</v>
      </c>
      <c r="E9949" s="16">
        <v>40.659999999999997</v>
      </c>
      <c r="F9949" s="1">
        <v>44905</v>
      </c>
      <c r="G9949" t="s">
        <v>2012</v>
      </c>
      <c r="H9949">
        <v>3</v>
      </c>
      <c r="I9949" s="12">
        <f>Table16[[#This Row],[price]]*Table16[[#This Row],[quantity]]</f>
        <v>40.659999999999997</v>
      </c>
    </row>
    <row r="9950" spans="1:9" x14ac:dyDescent="0.3">
      <c r="A9950" t="s">
        <v>11966</v>
      </c>
      <c r="B9950" t="s">
        <v>1989</v>
      </c>
      <c r="C9950" t="s">
        <v>2001</v>
      </c>
      <c r="D9950">
        <v>4</v>
      </c>
      <c r="E9950" s="16">
        <v>1200.32</v>
      </c>
      <c r="F9950" s="1">
        <v>44216</v>
      </c>
      <c r="G9950" t="s">
        <v>2018</v>
      </c>
      <c r="H9950">
        <v>2</v>
      </c>
      <c r="I9950" s="12">
        <f>Table16[[#This Row],[price]]*Table16[[#This Row],[quantity]]</f>
        <v>4801.28</v>
      </c>
    </row>
    <row r="9951" spans="1:9" x14ac:dyDescent="0.3">
      <c r="A9951" t="s">
        <v>11969</v>
      </c>
      <c r="B9951" t="s">
        <v>1989</v>
      </c>
      <c r="C9951" t="s">
        <v>2001</v>
      </c>
      <c r="D9951">
        <v>2</v>
      </c>
      <c r="E9951" s="16">
        <v>600.16</v>
      </c>
      <c r="F9951" s="1">
        <v>44238</v>
      </c>
      <c r="G9951" t="s">
        <v>2020</v>
      </c>
      <c r="H9951">
        <v>2</v>
      </c>
      <c r="I9951" s="12">
        <f>Table16[[#This Row],[price]]*Table16[[#This Row],[quantity]]</f>
        <v>1200.32</v>
      </c>
    </row>
    <row r="9952" spans="1:9" x14ac:dyDescent="0.3">
      <c r="A9952" t="s">
        <v>11968</v>
      </c>
      <c r="B9952" t="s">
        <v>1989</v>
      </c>
      <c r="C9952" t="s">
        <v>2015</v>
      </c>
      <c r="D9952">
        <v>5</v>
      </c>
      <c r="E9952" s="16">
        <v>3000.85</v>
      </c>
      <c r="F9952" s="1">
        <v>44552</v>
      </c>
      <c r="G9952" t="s">
        <v>2027</v>
      </c>
      <c r="H9952">
        <v>4</v>
      </c>
      <c r="I9952" s="12">
        <f>Table16[[#This Row],[price]]*Table16[[#This Row],[quantity]]</f>
        <v>15004.25</v>
      </c>
    </row>
    <row r="9953" spans="1:9" x14ac:dyDescent="0.3">
      <c r="A9953" t="s">
        <v>11971</v>
      </c>
      <c r="B9953" t="s">
        <v>1989</v>
      </c>
      <c r="C9953" t="s">
        <v>2011</v>
      </c>
      <c r="D9953">
        <v>2</v>
      </c>
      <c r="E9953" s="16">
        <v>81.319999999999993</v>
      </c>
      <c r="F9953" s="1">
        <v>44588</v>
      </c>
      <c r="G9953" t="s">
        <v>2002</v>
      </c>
      <c r="H9953">
        <v>4</v>
      </c>
      <c r="I9953" s="12">
        <f>Table16[[#This Row],[price]]*Table16[[#This Row],[quantity]]</f>
        <v>162.63999999999999</v>
      </c>
    </row>
    <row r="9954" spans="1:9" x14ac:dyDescent="0.3">
      <c r="A9954" t="s">
        <v>11970</v>
      </c>
      <c r="B9954" t="s">
        <v>1989</v>
      </c>
      <c r="C9954" t="s">
        <v>2057</v>
      </c>
      <c r="D9954">
        <v>3</v>
      </c>
      <c r="E9954" s="16">
        <v>35.19</v>
      </c>
      <c r="F9954" s="1">
        <v>44644</v>
      </c>
      <c r="G9954" t="s">
        <v>2027</v>
      </c>
      <c r="H9954">
        <v>5</v>
      </c>
      <c r="I9954" s="12">
        <f>Table16[[#This Row],[price]]*Table16[[#This Row],[quantity]]</f>
        <v>105.57</v>
      </c>
    </row>
    <row r="9955" spans="1:9" x14ac:dyDescent="0.3">
      <c r="A9955" t="s">
        <v>11967</v>
      </c>
      <c r="B9955" t="s">
        <v>1989</v>
      </c>
      <c r="C9955" t="s">
        <v>2001</v>
      </c>
      <c r="D9955">
        <v>2</v>
      </c>
      <c r="E9955" s="16">
        <v>600.16</v>
      </c>
      <c r="F9955" s="1">
        <v>44980</v>
      </c>
      <c r="G9955" t="s">
        <v>2020</v>
      </c>
      <c r="H9955">
        <v>1</v>
      </c>
      <c r="I9955" s="12">
        <f>Table16[[#This Row],[price]]*Table16[[#This Row],[quantity]]</f>
        <v>1200.32</v>
      </c>
    </row>
    <row r="9956" spans="1:9" x14ac:dyDescent="0.3">
      <c r="A9956" t="s">
        <v>11972</v>
      </c>
      <c r="B9956" t="s">
        <v>1990</v>
      </c>
      <c r="C9956" t="s">
        <v>2006</v>
      </c>
      <c r="D9956">
        <v>2</v>
      </c>
      <c r="E9956" s="16">
        <v>30.3</v>
      </c>
      <c r="F9956" s="1">
        <v>44617</v>
      </c>
      <c r="G9956" t="s">
        <v>2027</v>
      </c>
      <c r="H9956">
        <v>1</v>
      </c>
      <c r="I9956" s="12">
        <f>Table16[[#This Row],[price]]*Table16[[#This Row],[quantity]]</f>
        <v>60.6</v>
      </c>
    </row>
    <row r="9957" spans="1:9" x14ac:dyDescent="0.3">
      <c r="A9957" t="s">
        <v>11973</v>
      </c>
      <c r="B9957" t="s">
        <v>1990</v>
      </c>
      <c r="C9957" t="s">
        <v>2001</v>
      </c>
      <c r="D9957">
        <v>4</v>
      </c>
      <c r="E9957" s="16">
        <v>1200.32</v>
      </c>
      <c r="F9957" s="1">
        <v>44948</v>
      </c>
      <c r="G9957" t="s">
        <v>2020</v>
      </c>
      <c r="H9957">
        <v>2</v>
      </c>
      <c r="I9957" s="12">
        <f>Table16[[#This Row],[price]]*Table16[[#This Row],[quantity]]</f>
        <v>4801.28</v>
      </c>
    </row>
    <row r="9958" spans="1:9" x14ac:dyDescent="0.3">
      <c r="A9958" t="s">
        <v>11975</v>
      </c>
      <c r="B9958" t="s">
        <v>1991</v>
      </c>
      <c r="C9958" t="s">
        <v>2001</v>
      </c>
      <c r="D9958">
        <v>2</v>
      </c>
      <c r="E9958" s="16">
        <v>600.16</v>
      </c>
      <c r="F9958" s="1">
        <v>44350</v>
      </c>
      <c r="G9958" t="s">
        <v>2004</v>
      </c>
      <c r="H9958">
        <v>2</v>
      </c>
      <c r="I9958" s="12">
        <f>Table16[[#This Row],[price]]*Table16[[#This Row],[quantity]]</f>
        <v>1200.32</v>
      </c>
    </row>
    <row r="9959" spans="1:9" x14ac:dyDescent="0.3">
      <c r="A9959" t="s">
        <v>11974</v>
      </c>
      <c r="B9959" t="s">
        <v>1991</v>
      </c>
      <c r="C9959" t="s">
        <v>2057</v>
      </c>
      <c r="D9959">
        <v>5</v>
      </c>
      <c r="E9959" s="16">
        <v>58.65</v>
      </c>
      <c r="F9959" s="1">
        <v>44774</v>
      </c>
      <c r="G9959" t="s">
        <v>2058</v>
      </c>
      <c r="H9959">
        <v>2</v>
      </c>
      <c r="I9959" s="12">
        <f>Table16[[#This Row],[price]]*Table16[[#This Row],[quantity]]</f>
        <v>293.25</v>
      </c>
    </row>
    <row r="9960" spans="1:9" x14ac:dyDescent="0.3">
      <c r="A9960" t="s">
        <v>11976</v>
      </c>
      <c r="B9960" t="s">
        <v>1991</v>
      </c>
      <c r="C9960" t="s">
        <v>2006</v>
      </c>
      <c r="D9960">
        <v>3</v>
      </c>
      <c r="E9960" s="16">
        <v>45.45</v>
      </c>
      <c r="F9960" s="1">
        <v>44910</v>
      </c>
      <c r="G9960" t="s">
        <v>2018</v>
      </c>
      <c r="H9960">
        <v>1</v>
      </c>
      <c r="I9960" s="12">
        <f>Table16[[#This Row],[price]]*Table16[[#This Row],[quantity]]</f>
        <v>136.35000000000002</v>
      </c>
    </row>
    <row r="9961" spans="1:9" x14ac:dyDescent="0.3">
      <c r="A9961" t="s">
        <v>11980</v>
      </c>
      <c r="B9961" t="s">
        <v>1992</v>
      </c>
      <c r="C9961" t="s">
        <v>2001</v>
      </c>
      <c r="D9961">
        <v>5</v>
      </c>
      <c r="E9961" s="16">
        <v>1500.4</v>
      </c>
      <c r="F9961" s="1">
        <v>44350</v>
      </c>
      <c r="G9961" t="s">
        <v>2064</v>
      </c>
      <c r="H9961">
        <v>5</v>
      </c>
      <c r="I9961" s="12">
        <f>Table16[[#This Row],[price]]*Table16[[#This Row],[quantity]]</f>
        <v>7502</v>
      </c>
    </row>
    <row r="9962" spans="1:9" x14ac:dyDescent="0.3">
      <c r="A9962" t="s">
        <v>11981</v>
      </c>
      <c r="B9962" t="s">
        <v>1992</v>
      </c>
      <c r="C9962" t="s">
        <v>2024</v>
      </c>
      <c r="D9962">
        <v>4</v>
      </c>
      <c r="E9962" s="16">
        <v>143.36000000000001</v>
      </c>
      <c r="F9962" s="1">
        <v>44394</v>
      </c>
      <c r="G9962" t="s">
        <v>2004</v>
      </c>
      <c r="H9962">
        <v>3</v>
      </c>
      <c r="I9962" s="12">
        <f>Table16[[#This Row],[price]]*Table16[[#This Row],[quantity]]</f>
        <v>573.44000000000005</v>
      </c>
    </row>
    <row r="9963" spans="1:9" x14ac:dyDescent="0.3">
      <c r="A9963" t="s">
        <v>11979</v>
      </c>
      <c r="B9963" t="s">
        <v>1992</v>
      </c>
      <c r="C9963" t="s">
        <v>2008</v>
      </c>
      <c r="D9963">
        <v>3</v>
      </c>
      <c r="E9963" s="16">
        <v>15.69</v>
      </c>
      <c r="F9963" s="1">
        <v>44449</v>
      </c>
      <c r="G9963" t="s">
        <v>2009</v>
      </c>
      <c r="H9963">
        <v>1</v>
      </c>
      <c r="I9963" s="12">
        <f>Table16[[#This Row],[price]]*Table16[[#This Row],[quantity]]</f>
        <v>47.07</v>
      </c>
    </row>
    <row r="9964" spans="1:9" x14ac:dyDescent="0.3">
      <c r="A9964" t="s">
        <v>11978</v>
      </c>
      <c r="B9964" t="s">
        <v>1992</v>
      </c>
      <c r="C9964" t="s">
        <v>2001</v>
      </c>
      <c r="D9964">
        <v>2</v>
      </c>
      <c r="E9964" s="16">
        <v>600.16</v>
      </c>
      <c r="F9964" s="1">
        <v>44773</v>
      </c>
      <c r="G9964" t="s">
        <v>2004</v>
      </c>
      <c r="H9964">
        <v>2</v>
      </c>
      <c r="I9964" s="12">
        <f>Table16[[#This Row],[price]]*Table16[[#This Row],[quantity]]</f>
        <v>1200.32</v>
      </c>
    </row>
    <row r="9965" spans="1:9" x14ac:dyDescent="0.3">
      <c r="A9965" t="s">
        <v>11982</v>
      </c>
      <c r="B9965" t="s">
        <v>1992</v>
      </c>
      <c r="C9965" t="s">
        <v>2024</v>
      </c>
      <c r="D9965">
        <v>1</v>
      </c>
      <c r="E9965" s="16">
        <v>35.840000000000003</v>
      </c>
      <c r="F9965" s="1">
        <v>44884</v>
      </c>
      <c r="G9965" t="s">
        <v>2009</v>
      </c>
      <c r="H9965">
        <v>3</v>
      </c>
      <c r="I9965" s="12">
        <f>Table16[[#This Row],[price]]*Table16[[#This Row],[quantity]]</f>
        <v>35.840000000000003</v>
      </c>
    </row>
    <row r="9966" spans="1:9" x14ac:dyDescent="0.3">
      <c r="A9966" t="s">
        <v>11977</v>
      </c>
      <c r="B9966" t="s">
        <v>1992</v>
      </c>
      <c r="C9966" t="s">
        <v>2057</v>
      </c>
      <c r="D9966">
        <v>3</v>
      </c>
      <c r="E9966" s="16">
        <v>35.19</v>
      </c>
      <c r="F9966" s="1">
        <v>44895</v>
      </c>
      <c r="G9966" t="s">
        <v>2002</v>
      </c>
      <c r="H9966">
        <v>1</v>
      </c>
      <c r="I9966" s="12">
        <f>Table16[[#This Row],[price]]*Table16[[#This Row],[quantity]]</f>
        <v>105.57</v>
      </c>
    </row>
    <row r="9967" spans="1:9" x14ac:dyDescent="0.3">
      <c r="A9967" t="s">
        <v>11984</v>
      </c>
      <c r="B9967" t="s">
        <v>1993</v>
      </c>
      <c r="C9967" t="s">
        <v>2006</v>
      </c>
      <c r="D9967">
        <v>5</v>
      </c>
      <c r="E9967" s="16">
        <v>75.75</v>
      </c>
      <c r="F9967" s="1">
        <v>44439</v>
      </c>
      <c r="G9967" t="s">
        <v>2004</v>
      </c>
      <c r="H9967">
        <v>1</v>
      </c>
      <c r="I9967" s="12">
        <f>Table16[[#This Row],[price]]*Table16[[#This Row],[quantity]]</f>
        <v>378.75</v>
      </c>
    </row>
    <row r="9968" spans="1:9" x14ac:dyDescent="0.3">
      <c r="A9968" t="s">
        <v>11985</v>
      </c>
      <c r="B9968" t="s">
        <v>1993</v>
      </c>
      <c r="C9968" t="s">
        <v>2015</v>
      </c>
      <c r="D9968">
        <v>3</v>
      </c>
      <c r="E9968" s="16">
        <v>1800.51</v>
      </c>
      <c r="F9968" s="1">
        <v>44667</v>
      </c>
      <c r="G9968" t="s">
        <v>2004</v>
      </c>
      <c r="H9968">
        <v>3</v>
      </c>
      <c r="I9968" s="12">
        <f>Table16[[#This Row],[price]]*Table16[[#This Row],[quantity]]</f>
        <v>5401.53</v>
      </c>
    </row>
    <row r="9969" spans="1:9" x14ac:dyDescent="0.3">
      <c r="A9969" t="s">
        <v>11983</v>
      </c>
      <c r="B9969" t="s">
        <v>1993</v>
      </c>
      <c r="C9969" t="s">
        <v>2001</v>
      </c>
      <c r="D9969">
        <v>5</v>
      </c>
      <c r="E9969" s="16">
        <v>1500.4</v>
      </c>
      <c r="F9969" s="1">
        <v>44901</v>
      </c>
      <c r="G9969" t="s">
        <v>2064</v>
      </c>
      <c r="H9969">
        <v>5</v>
      </c>
      <c r="I9969" s="12">
        <f>Table16[[#This Row],[price]]*Table16[[#This Row],[quantity]]</f>
        <v>7502</v>
      </c>
    </row>
    <row r="9970" spans="1:9" x14ac:dyDescent="0.3">
      <c r="A9970" t="s">
        <v>11988</v>
      </c>
      <c r="B9970" t="s">
        <v>1994</v>
      </c>
      <c r="C9970" t="s">
        <v>2024</v>
      </c>
      <c r="D9970">
        <v>2</v>
      </c>
      <c r="E9970" s="16">
        <v>71.680000000000007</v>
      </c>
      <c r="F9970" s="1">
        <v>44849</v>
      </c>
      <c r="G9970" t="s">
        <v>2012</v>
      </c>
      <c r="H9970">
        <v>1</v>
      </c>
      <c r="I9970" s="12">
        <f>Table16[[#This Row],[price]]*Table16[[#This Row],[quantity]]</f>
        <v>143.36000000000001</v>
      </c>
    </row>
    <row r="9971" spans="1:9" x14ac:dyDescent="0.3">
      <c r="A9971" t="s">
        <v>11987</v>
      </c>
      <c r="B9971" t="s">
        <v>1994</v>
      </c>
      <c r="C9971" t="s">
        <v>2015</v>
      </c>
      <c r="D9971">
        <v>1</v>
      </c>
      <c r="E9971" s="16">
        <v>600.16999999999996</v>
      </c>
      <c r="F9971" s="1">
        <v>44899</v>
      </c>
      <c r="G9971" t="s">
        <v>2009</v>
      </c>
      <c r="H9971">
        <v>5</v>
      </c>
      <c r="I9971" s="12">
        <f>Table16[[#This Row],[price]]*Table16[[#This Row],[quantity]]</f>
        <v>600.16999999999996</v>
      </c>
    </row>
    <row r="9972" spans="1:9" x14ac:dyDescent="0.3">
      <c r="A9972" t="s">
        <v>11986</v>
      </c>
      <c r="B9972" t="s">
        <v>1994</v>
      </c>
      <c r="C9972" t="s">
        <v>2001</v>
      </c>
      <c r="D9972">
        <v>4</v>
      </c>
      <c r="E9972" s="16">
        <v>1200.32</v>
      </c>
      <c r="F9972" s="1">
        <v>44992</v>
      </c>
      <c r="G9972" t="s">
        <v>2004</v>
      </c>
      <c r="H9972">
        <v>2</v>
      </c>
      <c r="I9972" s="12">
        <f>Table16[[#This Row],[price]]*Table16[[#This Row],[quantity]]</f>
        <v>4801.28</v>
      </c>
    </row>
    <row r="9973" spans="1:9" x14ac:dyDescent="0.3">
      <c r="A9973" t="s">
        <v>11990</v>
      </c>
      <c r="B9973" t="s">
        <v>1995</v>
      </c>
      <c r="C9973" t="s">
        <v>2001</v>
      </c>
      <c r="D9973">
        <v>1</v>
      </c>
      <c r="E9973" s="16">
        <v>300.08</v>
      </c>
      <c r="F9973" s="1">
        <v>44374</v>
      </c>
      <c r="G9973" t="s">
        <v>2012</v>
      </c>
      <c r="H9973">
        <v>3</v>
      </c>
      <c r="I9973" s="12">
        <f>Table16[[#This Row],[price]]*Table16[[#This Row],[quantity]]</f>
        <v>300.08</v>
      </c>
    </row>
    <row r="9974" spans="1:9" x14ac:dyDescent="0.3">
      <c r="A9974" t="s">
        <v>11992</v>
      </c>
      <c r="B9974" t="s">
        <v>1995</v>
      </c>
      <c r="C9974" t="s">
        <v>2001</v>
      </c>
      <c r="D9974">
        <v>1</v>
      </c>
      <c r="E9974" s="16">
        <v>300.08</v>
      </c>
      <c r="F9974" s="1">
        <v>44427</v>
      </c>
      <c r="G9974" t="s">
        <v>2058</v>
      </c>
      <c r="H9974">
        <v>4</v>
      </c>
      <c r="I9974" s="12">
        <f>Table16[[#This Row],[price]]*Table16[[#This Row],[quantity]]</f>
        <v>300.08</v>
      </c>
    </row>
    <row r="9975" spans="1:9" x14ac:dyDescent="0.3">
      <c r="A9975" t="s">
        <v>11991</v>
      </c>
      <c r="B9975" t="s">
        <v>1995</v>
      </c>
      <c r="C9975" t="s">
        <v>2015</v>
      </c>
      <c r="D9975">
        <v>4</v>
      </c>
      <c r="E9975" s="16">
        <v>2400.6799999999998</v>
      </c>
      <c r="F9975" s="1">
        <v>44768</v>
      </c>
      <c r="G9975" t="s">
        <v>2004</v>
      </c>
      <c r="H9975">
        <v>5</v>
      </c>
      <c r="I9975" s="12">
        <f>Table16[[#This Row],[price]]*Table16[[#This Row],[quantity]]</f>
        <v>9602.7199999999993</v>
      </c>
    </row>
    <row r="9976" spans="1:9" x14ac:dyDescent="0.3">
      <c r="A9976" t="s">
        <v>11993</v>
      </c>
      <c r="B9976" t="s">
        <v>1995</v>
      </c>
      <c r="C9976" t="s">
        <v>2008</v>
      </c>
      <c r="D9976">
        <v>2</v>
      </c>
      <c r="E9976" s="16">
        <v>10.46</v>
      </c>
      <c r="F9976" s="1">
        <v>44831</v>
      </c>
      <c r="G9976" t="s">
        <v>2002</v>
      </c>
      <c r="H9976">
        <v>3</v>
      </c>
      <c r="I9976" s="12">
        <f>Table16[[#This Row],[price]]*Table16[[#This Row],[quantity]]</f>
        <v>20.92</v>
      </c>
    </row>
    <row r="9977" spans="1:9" x14ac:dyDescent="0.3">
      <c r="A9977" t="s">
        <v>11989</v>
      </c>
      <c r="B9977" t="s">
        <v>1995</v>
      </c>
      <c r="C9977" t="s">
        <v>2001</v>
      </c>
      <c r="D9977">
        <v>5</v>
      </c>
      <c r="E9977" s="16">
        <v>1500.4</v>
      </c>
      <c r="F9977" s="1">
        <v>44850</v>
      </c>
      <c r="G9977" t="s">
        <v>2064</v>
      </c>
      <c r="H9977">
        <v>3</v>
      </c>
      <c r="I9977" s="12">
        <f>Table16[[#This Row],[price]]*Table16[[#This Row],[quantity]]</f>
        <v>7502</v>
      </c>
    </row>
    <row r="9978" spans="1:9" x14ac:dyDescent="0.3">
      <c r="A9978" t="s">
        <v>11994</v>
      </c>
      <c r="B9978" t="s">
        <v>1996</v>
      </c>
      <c r="C9978" t="s">
        <v>2006</v>
      </c>
      <c r="D9978">
        <v>5</v>
      </c>
      <c r="E9978" s="16">
        <v>75.75</v>
      </c>
      <c r="F9978" s="1">
        <v>44240</v>
      </c>
      <c r="G9978" t="s">
        <v>2018</v>
      </c>
      <c r="H9978">
        <v>2</v>
      </c>
      <c r="I9978" s="12">
        <f>Table16[[#This Row],[price]]*Table16[[#This Row],[quantity]]</f>
        <v>378.75</v>
      </c>
    </row>
    <row r="9979" spans="1:9" x14ac:dyDescent="0.3">
      <c r="A9979" t="s">
        <v>11997</v>
      </c>
      <c r="B9979" t="s">
        <v>1996</v>
      </c>
      <c r="C9979" t="s">
        <v>2011</v>
      </c>
      <c r="D9979">
        <v>1</v>
      </c>
      <c r="E9979" s="16">
        <v>40.659999999999997</v>
      </c>
      <c r="F9979" s="1">
        <v>44304</v>
      </c>
      <c r="G9979" t="s">
        <v>2064</v>
      </c>
      <c r="H9979">
        <v>2</v>
      </c>
      <c r="I9979" s="12">
        <f>Table16[[#This Row],[price]]*Table16[[#This Row],[quantity]]</f>
        <v>40.659999999999997</v>
      </c>
    </row>
    <row r="9980" spans="1:9" x14ac:dyDescent="0.3">
      <c r="A9980" t="s">
        <v>11996</v>
      </c>
      <c r="B9980" t="s">
        <v>1996</v>
      </c>
      <c r="C9980" t="s">
        <v>2001</v>
      </c>
      <c r="D9980">
        <v>4</v>
      </c>
      <c r="E9980" s="16">
        <v>1200.32</v>
      </c>
      <c r="F9980" s="1">
        <v>44394</v>
      </c>
      <c r="G9980" t="s">
        <v>2004</v>
      </c>
      <c r="H9980">
        <v>1</v>
      </c>
      <c r="I9980" s="12">
        <f>Table16[[#This Row],[price]]*Table16[[#This Row],[quantity]]</f>
        <v>4801.28</v>
      </c>
    </row>
    <row r="9981" spans="1:9" x14ac:dyDescent="0.3">
      <c r="A9981" t="s">
        <v>11995</v>
      </c>
      <c r="B9981" t="s">
        <v>1996</v>
      </c>
      <c r="C9981" t="s">
        <v>2011</v>
      </c>
      <c r="D9981">
        <v>3</v>
      </c>
      <c r="E9981" s="16">
        <v>121.98</v>
      </c>
      <c r="F9981" s="1">
        <v>44729</v>
      </c>
      <c r="G9981" t="s">
        <v>2027</v>
      </c>
      <c r="H9981">
        <v>2</v>
      </c>
      <c r="I9981" s="12">
        <f>Table16[[#This Row],[price]]*Table16[[#This Row],[quantity]]</f>
        <v>365.94</v>
      </c>
    </row>
    <row r="9982" spans="1:9" x14ac:dyDescent="0.3">
      <c r="A9982" t="s">
        <v>11999</v>
      </c>
      <c r="B9982" t="s">
        <v>1996</v>
      </c>
      <c r="C9982" t="s">
        <v>2015</v>
      </c>
      <c r="D9982">
        <v>1</v>
      </c>
      <c r="E9982" s="16">
        <v>600.16999999999996</v>
      </c>
      <c r="F9982" s="1">
        <v>44735</v>
      </c>
      <c r="G9982" t="s">
        <v>2004</v>
      </c>
      <c r="H9982">
        <v>2</v>
      </c>
      <c r="I9982" s="12">
        <f>Table16[[#This Row],[price]]*Table16[[#This Row],[quantity]]</f>
        <v>600.16999999999996</v>
      </c>
    </row>
    <row r="9983" spans="1:9" x14ac:dyDescent="0.3">
      <c r="A9983" t="s">
        <v>11998</v>
      </c>
      <c r="B9983" t="s">
        <v>1996</v>
      </c>
      <c r="C9983" t="s">
        <v>2001</v>
      </c>
      <c r="D9983">
        <v>1</v>
      </c>
      <c r="E9983" s="16">
        <v>300.08</v>
      </c>
      <c r="F9983" s="1">
        <v>44870</v>
      </c>
      <c r="G9983" t="s">
        <v>2002</v>
      </c>
      <c r="H9983">
        <v>5</v>
      </c>
      <c r="I9983" s="12">
        <f>Table16[[#This Row],[price]]*Table16[[#This Row],[quantity]]</f>
        <v>300.08</v>
      </c>
    </row>
    <row r="9984" spans="1:9" x14ac:dyDescent="0.3">
      <c r="A9984" t="s">
        <v>12000</v>
      </c>
      <c r="B9984" t="s">
        <v>1997</v>
      </c>
      <c r="C9984" t="s">
        <v>2011</v>
      </c>
      <c r="D9984">
        <v>4</v>
      </c>
      <c r="E9984" s="16">
        <v>162.63999999999999</v>
      </c>
      <c r="F9984" s="1">
        <v>44346</v>
      </c>
      <c r="G9984" t="s">
        <v>2002</v>
      </c>
      <c r="H9984">
        <v>5</v>
      </c>
      <c r="I9984" s="12">
        <f>Table16[[#This Row],[price]]*Table16[[#This Row],[quantity]]</f>
        <v>650.55999999999995</v>
      </c>
    </row>
    <row r="9985" spans="1:9" x14ac:dyDescent="0.3">
      <c r="A9985" t="s">
        <v>12002</v>
      </c>
      <c r="B9985" t="s">
        <v>1997</v>
      </c>
      <c r="C9985" t="s">
        <v>2008</v>
      </c>
      <c r="D9985">
        <v>3</v>
      </c>
      <c r="E9985" s="16">
        <v>15.69</v>
      </c>
      <c r="F9985" s="1">
        <v>44722</v>
      </c>
      <c r="G9985" t="s">
        <v>2064</v>
      </c>
      <c r="H9985">
        <v>5</v>
      </c>
      <c r="I9985" s="12">
        <f>Table16[[#This Row],[price]]*Table16[[#This Row],[quantity]]</f>
        <v>47.07</v>
      </c>
    </row>
    <row r="9986" spans="1:9" x14ac:dyDescent="0.3">
      <c r="A9986" t="s">
        <v>12001</v>
      </c>
      <c r="B9986" t="s">
        <v>1997</v>
      </c>
      <c r="C9986" t="s">
        <v>2015</v>
      </c>
      <c r="D9986">
        <v>5</v>
      </c>
      <c r="E9986" s="16">
        <v>3000.85</v>
      </c>
      <c r="F9986" s="1">
        <v>44735</v>
      </c>
      <c r="G9986" t="s">
        <v>2064</v>
      </c>
      <c r="H9986">
        <v>3</v>
      </c>
      <c r="I9986" s="12">
        <f>Table16[[#This Row],[price]]*Table16[[#This Row],[quantity]]</f>
        <v>15004.25</v>
      </c>
    </row>
    <row r="9987" spans="1:9" x14ac:dyDescent="0.3">
      <c r="A9987" t="s">
        <v>12003</v>
      </c>
      <c r="B9987" t="s">
        <v>1998</v>
      </c>
      <c r="C9987" t="s">
        <v>2008</v>
      </c>
      <c r="D9987">
        <v>5</v>
      </c>
      <c r="E9987" s="16">
        <v>26.15</v>
      </c>
      <c r="F9987" s="1">
        <v>44346</v>
      </c>
      <c r="G9987" t="s">
        <v>2027</v>
      </c>
      <c r="H9987">
        <v>4</v>
      </c>
      <c r="I9987" s="12">
        <f>Table16[[#This Row],[price]]*Table16[[#This Row],[quantity]]</f>
        <v>130.75</v>
      </c>
    </row>
    <row r="9988" spans="1:9" x14ac:dyDescent="0.3">
      <c r="A9988" t="s">
        <v>12005</v>
      </c>
      <c r="B9988" t="s">
        <v>1998</v>
      </c>
      <c r="C9988" t="s">
        <v>2008</v>
      </c>
      <c r="D9988">
        <v>1</v>
      </c>
      <c r="E9988" s="16">
        <v>5.23</v>
      </c>
      <c r="F9988" s="1">
        <v>44368</v>
      </c>
      <c r="G9988" t="s">
        <v>2002</v>
      </c>
      <c r="H9988">
        <v>5</v>
      </c>
      <c r="I9988" s="12">
        <f>Table16[[#This Row],[price]]*Table16[[#This Row],[quantity]]</f>
        <v>5.23</v>
      </c>
    </row>
    <row r="9989" spans="1:9" x14ac:dyDescent="0.3">
      <c r="A9989" t="s">
        <v>12007</v>
      </c>
      <c r="B9989" t="s">
        <v>1998</v>
      </c>
      <c r="C9989" t="s">
        <v>2001</v>
      </c>
      <c r="D9989">
        <v>4</v>
      </c>
      <c r="E9989" s="16">
        <v>1200.32</v>
      </c>
      <c r="F9989" s="1">
        <v>44372</v>
      </c>
      <c r="G9989" t="s">
        <v>2027</v>
      </c>
      <c r="H9989">
        <v>2</v>
      </c>
      <c r="I9989" s="12">
        <f>Table16[[#This Row],[price]]*Table16[[#This Row],[quantity]]</f>
        <v>4801.28</v>
      </c>
    </row>
    <row r="9990" spans="1:9" x14ac:dyDescent="0.3">
      <c r="A9990" t="s">
        <v>12010</v>
      </c>
      <c r="B9990" t="s">
        <v>1998</v>
      </c>
      <c r="C9990" t="s">
        <v>2001</v>
      </c>
      <c r="D9990">
        <v>4</v>
      </c>
      <c r="E9990" s="16">
        <v>1200.32</v>
      </c>
      <c r="F9990" s="1">
        <v>44375</v>
      </c>
      <c r="G9990" t="s">
        <v>2004</v>
      </c>
      <c r="H9990">
        <v>5</v>
      </c>
      <c r="I9990" s="12">
        <f>Table16[[#This Row],[price]]*Table16[[#This Row],[quantity]]</f>
        <v>4801.28</v>
      </c>
    </row>
    <row r="9991" spans="1:9" x14ac:dyDescent="0.3">
      <c r="A9991" t="s">
        <v>12006</v>
      </c>
      <c r="B9991" t="s">
        <v>1998</v>
      </c>
      <c r="C9991" t="s">
        <v>2015</v>
      </c>
      <c r="D9991">
        <v>4</v>
      </c>
      <c r="E9991" s="16">
        <v>2400.6799999999998</v>
      </c>
      <c r="F9991" s="1">
        <v>44408</v>
      </c>
      <c r="G9991" t="s">
        <v>2012</v>
      </c>
      <c r="H9991">
        <v>4</v>
      </c>
      <c r="I9991" s="12">
        <f>Table16[[#This Row],[price]]*Table16[[#This Row],[quantity]]</f>
        <v>9602.7199999999993</v>
      </c>
    </row>
    <row r="9992" spans="1:9" x14ac:dyDescent="0.3">
      <c r="A9992" t="s">
        <v>12009</v>
      </c>
      <c r="B9992" t="s">
        <v>1998</v>
      </c>
      <c r="C9992" t="s">
        <v>2001</v>
      </c>
      <c r="D9992">
        <v>4</v>
      </c>
      <c r="E9992" s="16">
        <v>1200.32</v>
      </c>
      <c r="F9992" s="1">
        <v>44434</v>
      </c>
      <c r="G9992" t="s">
        <v>2064</v>
      </c>
      <c r="H9992">
        <v>3</v>
      </c>
      <c r="I9992" s="12">
        <f>Table16[[#This Row],[price]]*Table16[[#This Row],[quantity]]</f>
        <v>4801.28</v>
      </c>
    </row>
    <row r="9993" spans="1:9" x14ac:dyDescent="0.3">
      <c r="A9993" t="s">
        <v>12004</v>
      </c>
      <c r="B9993" t="s">
        <v>1998</v>
      </c>
      <c r="C9993" t="s">
        <v>2001</v>
      </c>
      <c r="D9993">
        <v>4</v>
      </c>
      <c r="E9993" s="16">
        <v>1200.32</v>
      </c>
      <c r="F9993" s="1">
        <v>44571</v>
      </c>
      <c r="G9993" t="s">
        <v>2058</v>
      </c>
      <c r="H9993">
        <v>2</v>
      </c>
      <c r="I9993" s="12">
        <f>Table16[[#This Row],[price]]*Table16[[#This Row],[quantity]]</f>
        <v>4801.28</v>
      </c>
    </row>
    <row r="9994" spans="1:9" x14ac:dyDescent="0.3">
      <c r="A9994" t="s">
        <v>12008</v>
      </c>
      <c r="B9994" t="s">
        <v>1998</v>
      </c>
      <c r="C9994" t="s">
        <v>2024</v>
      </c>
      <c r="D9994">
        <v>3</v>
      </c>
      <c r="E9994" s="16">
        <v>107.52</v>
      </c>
      <c r="F9994" s="1">
        <v>44872</v>
      </c>
      <c r="G9994" t="s">
        <v>2004</v>
      </c>
      <c r="H9994">
        <v>1</v>
      </c>
      <c r="I9994" s="12">
        <f>Table16[[#This Row],[price]]*Table16[[#This Row],[quantity]]</f>
        <v>322.56</v>
      </c>
    </row>
    <row r="9995" spans="1:9" x14ac:dyDescent="0.3">
      <c r="A9995" t="s">
        <v>12016</v>
      </c>
      <c r="B9995" t="s">
        <v>1999</v>
      </c>
      <c r="C9995" t="s">
        <v>2001</v>
      </c>
      <c r="D9995">
        <v>4</v>
      </c>
      <c r="E9995" s="16">
        <v>1200.32</v>
      </c>
      <c r="F9995" s="1">
        <v>44261</v>
      </c>
      <c r="G9995" t="s">
        <v>2020</v>
      </c>
      <c r="H9995">
        <v>4</v>
      </c>
      <c r="I9995" s="12">
        <f>Table16[[#This Row],[price]]*Table16[[#This Row],[quantity]]</f>
        <v>4801.28</v>
      </c>
    </row>
    <row r="9996" spans="1:9" x14ac:dyDescent="0.3">
      <c r="A9996" t="s">
        <v>12014</v>
      </c>
      <c r="B9996" t="s">
        <v>1999</v>
      </c>
      <c r="C9996" t="s">
        <v>2024</v>
      </c>
      <c r="D9996">
        <v>3</v>
      </c>
      <c r="E9996" s="16">
        <v>107.52</v>
      </c>
      <c r="F9996" s="1">
        <v>44419</v>
      </c>
      <c r="G9996" t="s">
        <v>2002</v>
      </c>
      <c r="H9996">
        <v>1</v>
      </c>
      <c r="I9996" s="12">
        <f>Table16[[#This Row],[price]]*Table16[[#This Row],[quantity]]</f>
        <v>322.56</v>
      </c>
    </row>
    <row r="9997" spans="1:9" x14ac:dyDescent="0.3">
      <c r="A9997" t="s">
        <v>12015</v>
      </c>
      <c r="B9997" t="s">
        <v>1999</v>
      </c>
      <c r="C9997" t="s">
        <v>2015</v>
      </c>
      <c r="D9997">
        <v>1</v>
      </c>
      <c r="E9997" s="16">
        <v>600.16999999999996</v>
      </c>
      <c r="F9997" s="1">
        <v>44468</v>
      </c>
      <c r="G9997" t="s">
        <v>2041</v>
      </c>
      <c r="H9997">
        <v>5</v>
      </c>
      <c r="I9997" s="12">
        <f>Table16[[#This Row],[price]]*Table16[[#This Row],[quantity]]</f>
        <v>600.16999999999996</v>
      </c>
    </row>
    <row r="9998" spans="1:9" x14ac:dyDescent="0.3">
      <c r="A9998" t="s">
        <v>12012</v>
      </c>
      <c r="B9998" t="s">
        <v>1999</v>
      </c>
      <c r="C9998" t="s">
        <v>2006</v>
      </c>
      <c r="D9998">
        <v>2</v>
      </c>
      <c r="E9998" s="16">
        <v>30.3</v>
      </c>
      <c r="F9998" s="1">
        <v>44675</v>
      </c>
      <c r="G9998" t="s">
        <v>2018</v>
      </c>
      <c r="H9998">
        <v>1</v>
      </c>
      <c r="I9998" s="12">
        <f>Table16[[#This Row],[price]]*Table16[[#This Row],[quantity]]</f>
        <v>60.6</v>
      </c>
    </row>
    <row r="9999" spans="1:9" x14ac:dyDescent="0.3">
      <c r="A9999" t="s">
        <v>12011</v>
      </c>
      <c r="B9999" t="s">
        <v>1999</v>
      </c>
      <c r="C9999" t="s">
        <v>2024</v>
      </c>
      <c r="D9999">
        <v>3</v>
      </c>
      <c r="E9999" s="16">
        <v>107.52</v>
      </c>
      <c r="F9999" s="1">
        <v>44726</v>
      </c>
      <c r="G9999" t="s">
        <v>2012</v>
      </c>
      <c r="H9999">
        <v>5</v>
      </c>
      <c r="I9999" s="12">
        <f>Table16[[#This Row],[price]]*Table16[[#This Row],[quantity]]</f>
        <v>322.56</v>
      </c>
    </row>
    <row r="10000" spans="1:9" x14ac:dyDescent="0.3">
      <c r="A10000" t="s">
        <v>12017</v>
      </c>
      <c r="B10000" t="s">
        <v>1999</v>
      </c>
      <c r="C10000" t="s">
        <v>2001</v>
      </c>
      <c r="D10000">
        <v>2</v>
      </c>
      <c r="E10000" s="16">
        <v>600.16</v>
      </c>
      <c r="F10000" s="1">
        <v>44800</v>
      </c>
      <c r="G10000" t="s">
        <v>2020</v>
      </c>
      <c r="H10000">
        <v>1</v>
      </c>
      <c r="I10000" s="12">
        <f>Table16[[#This Row],[price]]*Table16[[#This Row],[quantity]]</f>
        <v>1200.32</v>
      </c>
    </row>
    <row r="10001" spans="1:9" x14ac:dyDescent="0.3">
      <c r="A10001" t="s">
        <v>12013</v>
      </c>
      <c r="B10001" t="s">
        <v>1999</v>
      </c>
      <c r="C10001" t="s">
        <v>2001</v>
      </c>
      <c r="D10001">
        <v>5</v>
      </c>
      <c r="E10001" s="16">
        <v>1500.4</v>
      </c>
      <c r="F10001" s="1">
        <v>44950</v>
      </c>
      <c r="G10001" t="s">
        <v>2020</v>
      </c>
      <c r="H10001">
        <v>4</v>
      </c>
      <c r="I10001" s="12">
        <f>Table16[[#This Row],[price]]*Table16[[#This Row],[quantity]]</f>
        <v>7502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C911C-F73A-40AD-BF27-6BFD05E7D1F9}">
  <dimension ref="A1:P2001"/>
  <sheetViews>
    <sheetView workbookViewId="0">
      <selection activeCell="G1" sqref="G1"/>
    </sheetView>
  </sheetViews>
  <sheetFormatPr defaultRowHeight="14.4" x14ac:dyDescent="0.3"/>
  <cols>
    <col min="1" max="1" width="14" customWidth="1"/>
    <col min="2" max="2" width="9.6640625" customWidth="1"/>
    <col min="4" max="4" width="18.109375" customWidth="1"/>
    <col min="5" max="5" width="21.5546875" bestFit="1" customWidth="1"/>
    <col min="6" max="6" width="21.109375" customWidth="1"/>
    <col min="7" max="8" width="21.6640625" style="21" customWidth="1"/>
    <col min="9" max="9" width="21.33203125" bestFit="1" customWidth="1"/>
    <col min="10" max="10" width="25.21875" bestFit="1" customWidth="1"/>
    <col min="11" max="11" width="20.33203125" customWidth="1"/>
    <col min="12" max="12" width="25.33203125" bestFit="1" customWidth="1"/>
    <col min="13" max="13" width="25.88671875" customWidth="1"/>
    <col min="14" max="14" width="19" customWidth="1"/>
    <col min="15" max="15" width="20" customWidth="1"/>
    <col min="16" max="16" width="24.44140625" customWidth="1"/>
    <col min="17" max="17" width="20.109375" customWidth="1"/>
  </cols>
  <sheetData>
    <row r="1" spans="1:16" x14ac:dyDescent="0.3">
      <c r="A1" s="2" t="s">
        <v>12019</v>
      </c>
      <c r="B1" s="2" t="s">
        <v>12027</v>
      </c>
      <c r="C1" s="2" t="s">
        <v>12028</v>
      </c>
      <c r="D1" s="2" t="s">
        <v>12029</v>
      </c>
      <c r="E1" s="2" t="s">
        <v>12030</v>
      </c>
      <c r="F1" s="14" t="s">
        <v>12031</v>
      </c>
      <c r="G1" s="19" t="s">
        <v>12032</v>
      </c>
      <c r="H1" s="19" t="s">
        <v>12033</v>
      </c>
      <c r="I1" s="2" t="s">
        <v>12034</v>
      </c>
      <c r="J1" s="2" t="s">
        <v>12035</v>
      </c>
      <c r="K1" s="2" t="s">
        <v>12036</v>
      </c>
      <c r="L1" s="2" t="s">
        <v>12037</v>
      </c>
      <c r="M1" s="2" t="s">
        <v>12038</v>
      </c>
      <c r="N1" t="s">
        <v>12039</v>
      </c>
    </row>
    <row r="2" spans="1:16" x14ac:dyDescent="0.3">
      <c r="A2" s="2" t="s">
        <v>0</v>
      </c>
      <c r="B2" s="2" t="s">
        <v>12040</v>
      </c>
      <c r="C2" s="2">
        <v>22</v>
      </c>
      <c r="D2" s="2" t="s">
        <v>12041</v>
      </c>
      <c r="E2" s="2">
        <f>COUNTIF(Table16[customer_id],Table13[[#This Row],[customer_id]])</f>
        <v>5</v>
      </c>
      <c r="F2" s="13">
        <f>SUMIFS(Table16[Purchase_history],Table16[customer_id],Table13[[#This Row],[customer_id]])</f>
        <v>12815.119999999999</v>
      </c>
      <c r="G2" s="20">
        <v>44210</v>
      </c>
      <c r="H2" s="21">
        <v>44827</v>
      </c>
      <c r="I2" s="15">
        <f>(Table134[[#This Row],[Last_Day]]-Table134[[#This Row],[First_Day]]+1)/365</f>
        <v>1.6931506849315068</v>
      </c>
      <c r="J2" s="59">
        <f>Table134[[#This Row],[number_of_purchases]]/Table134[[#This Row],[customer_total_years]]</f>
        <v>2.9530744336569579</v>
      </c>
      <c r="K2" s="13">
        <f>Table134[[#This Row],[purchase_history]]/Table134[[#This Row],[number_of_purchases]]</f>
        <v>2563.0239999999999</v>
      </c>
      <c r="L2" s="2">
        <f>IF(YEAR(Table134[[#This Row],[Last_Day]])=2021,5,IF(YEAR(Table134[[#This Row],[Last_Day]])=2022,7,IF(YEAR(Table134[[#This Row],[Last_Day]])=2023,10,"Không xác định")))</f>
        <v>7</v>
      </c>
      <c r="M2" s="15">
        <f>Table134[[#This Row],[avg_number_of_purchases]]*Table1345[[#This Row],[avg_purchase_value]]*Table1345[[#This Row],[expected_lifespan]]</f>
        <v>52981.604530744335</v>
      </c>
      <c r="N2" t="s">
        <v>12042</v>
      </c>
    </row>
    <row r="3" spans="1:16" x14ac:dyDescent="0.3">
      <c r="A3" s="2" t="s">
        <v>1</v>
      </c>
      <c r="B3" s="2" t="s">
        <v>12040</v>
      </c>
      <c r="C3" s="2">
        <v>24</v>
      </c>
      <c r="D3" s="2" t="s">
        <v>12043</v>
      </c>
      <c r="E3" s="2">
        <f>COUNTIF(Table16[customer_id],Table13[[#This Row],[customer_id]])</f>
        <v>5</v>
      </c>
      <c r="F3" s="13">
        <f>SUMIFS(Table16[Purchase_history],Table16[customer_id],Table13[[#This Row],[customer_id]])</f>
        <v>36283.43</v>
      </c>
      <c r="G3" s="20">
        <v>44203</v>
      </c>
      <c r="H3" s="21">
        <v>44822</v>
      </c>
      <c r="I3" s="15">
        <f>(Table134[[#This Row],[Last_Day]]-Table134[[#This Row],[First_Day]]+1)/365</f>
        <v>1.6986301369863013</v>
      </c>
      <c r="J3" s="59">
        <f>Table134[[#This Row],[number_of_purchases]]/Table134[[#This Row],[customer_total_years]]</f>
        <v>2.9435483870967745</v>
      </c>
      <c r="K3" s="13">
        <f>Table134[[#This Row],[purchase_history]]/Table134[[#This Row],[number_of_purchases]]</f>
        <v>7256.6859999999997</v>
      </c>
      <c r="L3" s="2">
        <f>IF(YEAR(Table134[[#This Row],[Last_Day]])=2021,5,IF(YEAR(Table134[[#This Row],[Last_Day]])=2022,7,IF(YEAR(Table134[[#This Row],[Last_Day]])=2023,10,"Không xác định")))</f>
        <v>7</v>
      </c>
      <c r="M3" s="15">
        <f>Table134[[#This Row],[avg_number_of_purchases]]*Table1345[[#This Row],[avg_purchase_value]]*Table1345[[#This Row],[expected_lifespan]]</f>
        <v>149522.8445967742</v>
      </c>
      <c r="N3" t="s">
        <v>12044</v>
      </c>
    </row>
    <row r="4" spans="1:16" x14ac:dyDescent="0.3">
      <c r="A4" s="2" t="s">
        <v>2</v>
      </c>
      <c r="B4" s="2" t="s">
        <v>12045</v>
      </c>
      <c r="C4" s="2">
        <v>48</v>
      </c>
      <c r="D4" s="2" t="s">
        <v>12043</v>
      </c>
      <c r="E4" s="2">
        <f>COUNTIF(Table16[customer_id],Table13[[#This Row],[customer_id]])</f>
        <v>3</v>
      </c>
      <c r="F4" s="13">
        <f>SUMIFS(Table16[Purchase_history],Table16[customer_id],Table13[[#This Row],[customer_id]])</f>
        <v>1354.75</v>
      </c>
      <c r="G4" s="20">
        <v>44321</v>
      </c>
      <c r="H4" s="21">
        <v>44831</v>
      </c>
      <c r="I4" s="15">
        <f>(Table134[[#This Row],[Last_Day]]-Table134[[#This Row],[First_Day]]+1)/365</f>
        <v>1.4</v>
      </c>
      <c r="J4" s="59">
        <f>Table134[[#This Row],[number_of_purchases]]/Table134[[#This Row],[customer_total_years]]</f>
        <v>2.1428571428571428</v>
      </c>
      <c r="K4" s="13">
        <f>Table134[[#This Row],[purchase_history]]/Table134[[#This Row],[number_of_purchases]]</f>
        <v>451.58333333333331</v>
      </c>
      <c r="L4" s="2">
        <f>IF(YEAR(Table134[[#This Row],[Last_Day]])=2021,5,IF(YEAR(Table134[[#This Row],[Last_Day]])=2022,7,IF(YEAR(Table134[[#This Row],[Last_Day]])=2023,10,"Không xác định")))</f>
        <v>7</v>
      </c>
      <c r="M4" s="15">
        <f>Table134[[#This Row],[avg_number_of_purchases]]*Table1345[[#This Row],[avg_purchase_value]]*Table1345[[#This Row],[expected_lifespan]]</f>
        <v>6773.7499999999991</v>
      </c>
      <c r="N4" t="s">
        <v>12046</v>
      </c>
    </row>
    <row r="5" spans="1:16" x14ac:dyDescent="0.3">
      <c r="A5" s="2" t="s">
        <v>3</v>
      </c>
      <c r="B5" s="2" t="s">
        <v>12045</v>
      </c>
      <c r="C5" s="2">
        <v>33</v>
      </c>
      <c r="D5" s="2" t="s">
        <v>12043</v>
      </c>
      <c r="E5" s="2">
        <f>COUNTIF(Table16[customer_id],Table13[[#This Row],[customer_id]])</f>
        <v>4</v>
      </c>
      <c r="F5" s="13">
        <f>SUMIFS(Table16[Purchase_history],Table16[customer_id],Table13[[#This Row],[customer_id]])</f>
        <v>7828.92</v>
      </c>
      <c r="G5" s="20">
        <v>44311</v>
      </c>
      <c r="H5" s="21">
        <v>44585</v>
      </c>
      <c r="I5" s="15">
        <f>(Table134[[#This Row],[Last_Day]]-Table134[[#This Row],[First_Day]]+1)/365</f>
        <v>0.75342465753424659</v>
      </c>
      <c r="J5" s="59">
        <f>Table134[[#This Row],[number_of_purchases]]/Table134[[#This Row],[customer_total_years]]</f>
        <v>5.3090909090909086</v>
      </c>
      <c r="K5" s="13">
        <f>Table134[[#This Row],[purchase_history]]/Table134[[#This Row],[number_of_purchases]]</f>
        <v>1957.23</v>
      </c>
      <c r="L5" s="2">
        <f>IF(YEAR(Table134[[#This Row],[Last_Day]])=2021,5,IF(YEAR(Table134[[#This Row],[Last_Day]])=2022,7,IF(YEAR(Table134[[#This Row],[Last_Day]])=2023,10,"Không xác định")))</f>
        <v>7</v>
      </c>
      <c r="M5" s="15">
        <f>Table134[[#This Row],[avg_number_of_purchases]]*Table1345[[#This Row],[avg_purchase_value]]*Table1345[[#This Row],[expected_lifespan]]</f>
        <v>72737.784</v>
      </c>
      <c r="N5" t="s">
        <v>12047</v>
      </c>
    </row>
    <row r="6" spans="1:16" x14ac:dyDescent="0.3">
      <c r="A6" s="2" t="s">
        <v>4</v>
      </c>
      <c r="B6" s="2" t="s">
        <v>12040</v>
      </c>
      <c r="C6" s="2">
        <v>38</v>
      </c>
      <c r="D6" s="2" t="s">
        <v>12041</v>
      </c>
      <c r="E6" s="2">
        <f>COUNTIF(Table16[customer_id],Table13[[#This Row],[customer_id]])</f>
        <v>4</v>
      </c>
      <c r="F6" s="13">
        <f>SUMIFS(Table16[Purchase_history],Table16[customer_id],Table13[[#This Row],[customer_id]])</f>
        <v>9826.58</v>
      </c>
      <c r="G6" s="20">
        <v>44444</v>
      </c>
      <c r="H6" s="21">
        <v>44877</v>
      </c>
      <c r="I6" s="15">
        <f>(Table134[[#This Row],[Last_Day]]-Table134[[#This Row],[First_Day]]+1)/365</f>
        <v>1.189041095890411</v>
      </c>
      <c r="J6" s="59">
        <f>Table134[[#This Row],[number_of_purchases]]/Table134[[#This Row],[customer_total_years]]</f>
        <v>3.3640552995391704</v>
      </c>
      <c r="K6" s="13">
        <f>Table134[[#This Row],[purchase_history]]/Table134[[#This Row],[number_of_purchases]]</f>
        <v>2456.645</v>
      </c>
      <c r="L6" s="2">
        <f>IF(YEAR(Table134[[#This Row],[Last_Day]])=2021,5,IF(YEAR(Table134[[#This Row],[Last_Day]])=2022,7,IF(YEAR(Table134[[#This Row],[Last_Day]])=2023,10,"Không xác định")))</f>
        <v>7</v>
      </c>
      <c r="M6" s="15">
        <f>Table134[[#This Row],[avg_number_of_purchases]]*Table1345[[#This Row],[avg_purchase_value]]*Table1345[[#This Row],[expected_lifespan]]</f>
        <v>57850.027419354839</v>
      </c>
      <c r="N6" t="s">
        <v>12048</v>
      </c>
    </row>
    <row r="7" spans="1:16" x14ac:dyDescent="0.3">
      <c r="A7" s="2" t="s">
        <v>5</v>
      </c>
      <c r="B7" s="2" t="s">
        <v>12040</v>
      </c>
      <c r="C7" s="2">
        <v>53</v>
      </c>
      <c r="D7" s="2" t="s">
        <v>12043</v>
      </c>
      <c r="E7" s="2">
        <f>COUNTIF(Table16[customer_id],Table13[[#This Row],[customer_id]])</f>
        <v>6</v>
      </c>
      <c r="F7" s="13">
        <f>SUMIFS(Table16[Purchase_history],Table16[customer_id],Table13[[#This Row],[customer_id]])</f>
        <v>10196.689999999999</v>
      </c>
      <c r="G7" s="20">
        <v>44438</v>
      </c>
      <c r="H7" s="21">
        <v>44953</v>
      </c>
      <c r="I7" s="15">
        <f>(Table134[[#This Row],[Last_Day]]-Table134[[#This Row],[First_Day]]+1)/365</f>
        <v>1.4136986301369863</v>
      </c>
      <c r="J7" s="59">
        <f>Table134[[#This Row],[number_of_purchases]]/Table134[[#This Row],[customer_total_years]]</f>
        <v>4.2441860465116283</v>
      </c>
      <c r="K7" s="13">
        <f>Table134[[#This Row],[purchase_history]]/Table134[[#This Row],[number_of_purchases]]</f>
        <v>1699.448333333333</v>
      </c>
      <c r="L7" s="2">
        <f>IF(YEAR(Table134[[#This Row],[Last_Day]])=2021,5,IF(YEAR(Table134[[#This Row],[Last_Day]])=2022,7,IF(YEAR(Table134[[#This Row],[Last_Day]])=2023,10,"Không xác định")))</f>
        <v>10</v>
      </c>
      <c r="M7" s="15">
        <f>Table134[[#This Row],[avg_number_of_purchases]]*Table1345[[#This Row],[avg_purchase_value]]*Table1345[[#This Row],[expected_lifespan]]</f>
        <v>72127.749031007741</v>
      </c>
      <c r="N7" t="s">
        <v>12046</v>
      </c>
    </row>
    <row r="8" spans="1:16" x14ac:dyDescent="0.3">
      <c r="A8" s="2" t="s">
        <v>6</v>
      </c>
      <c r="B8" s="2" t="s">
        <v>12040</v>
      </c>
      <c r="C8" s="2">
        <v>66</v>
      </c>
      <c r="D8" s="2" t="s">
        <v>12049</v>
      </c>
      <c r="E8" s="2">
        <f>COUNTIF(Table16[customer_id],Table13[[#This Row],[customer_id]])</f>
        <v>4</v>
      </c>
      <c r="F8" s="13">
        <f>SUMIFS(Table16[Purchase_history],Table16[customer_id],Table13[[#This Row],[customer_id]])</f>
        <v>1515.5699999999997</v>
      </c>
      <c r="G8" s="20">
        <v>44371</v>
      </c>
      <c r="H8" s="21">
        <v>44885</v>
      </c>
      <c r="I8" s="15">
        <f>(Table134[[#This Row],[Last_Day]]-Table134[[#This Row],[First_Day]]+1)/365</f>
        <v>1.4109589041095891</v>
      </c>
      <c r="J8" s="59">
        <f>Table134[[#This Row],[number_of_purchases]]/Table134[[#This Row],[customer_total_years]]</f>
        <v>2.8349514563106792</v>
      </c>
      <c r="K8" s="13">
        <f>Table134[[#This Row],[purchase_history]]/Table134[[#This Row],[number_of_purchases]]</f>
        <v>378.89249999999993</v>
      </c>
      <c r="L8" s="2">
        <f>IF(YEAR(Table134[[#This Row],[Last_Day]])=2021,5,IF(YEAR(Table134[[#This Row],[Last_Day]])=2022,7,IF(YEAR(Table134[[#This Row],[Last_Day]])=2023,10,"Không xác định")))</f>
        <v>7</v>
      </c>
      <c r="M8" s="15">
        <f>Table134[[#This Row],[avg_number_of_purchases]]*Table1345[[#This Row],[avg_purchase_value]]*Table1345[[#This Row],[expected_lifespan]]</f>
        <v>7518.9929126213565</v>
      </c>
      <c r="N8" t="s">
        <v>12044</v>
      </c>
    </row>
    <row r="9" spans="1:16" x14ac:dyDescent="0.3">
      <c r="A9" s="2" t="s">
        <v>7</v>
      </c>
      <c r="B9" s="2" t="s">
        <v>12040</v>
      </c>
      <c r="C9" s="2">
        <v>41</v>
      </c>
      <c r="D9" s="2" t="s">
        <v>12049</v>
      </c>
      <c r="E9" s="2">
        <f>COUNTIF(Table16[customer_id],Table13[[#This Row],[customer_id]])</f>
        <v>4</v>
      </c>
      <c r="F9" s="13">
        <f>SUMIFS(Table16[Purchase_history],Table16[customer_id],Table13[[#This Row],[customer_id]])</f>
        <v>19255.809999999998</v>
      </c>
      <c r="G9" s="20">
        <v>44284</v>
      </c>
      <c r="H9" s="21">
        <v>44917</v>
      </c>
      <c r="I9" s="15">
        <f>(Table134[[#This Row],[Last_Day]]-Table134[[#This Row],[First_Day]]+1)/365</f>
        <v>1.736986301369863</v>
      </c>
      <c r="J9" s="59">
        <f>Table134[[#This Row],[number_of_purchases]]/Table134[[#This Row],[customer_total_years]]</f>
        <v>2.3028391167192428</v>
      </c>
      <c r="K9" s="13">
        <f>Table134[[#This Row],[purchase_history]]/Table134[[#This Row],[number_of_purchases]]</f>
        <v>4813.9524999999994</v>
      </c>
      <c r="L9" s="2">
        <f>IF(YEAR(Table134[[#This Row],[Last_Day]])=2021,5,IF(YEAR(Table134[[#This Row],[Last_Day]])=2022,7,IF(YEAR(Table134[[#This Row],[Last_Day]])=2023,10,"Không xác định")))</f>
        <v>7</v>
      </c>
      <c r="M9" s="15">
        <f>Table134[[#This Row],[avg_number_of_purchases]]*Table1345[[#This Row],[avg_purchase_value]]*Table1345[[#This Row],[expected_lifespan]]</f>
        <v>77600.306861198726</v>
      </c>
      <c r="N9" t="s">
        <v>12042</v>
      </c>
    </row>
    <row r="10" spans="1:16" ht="16.8" x14ac:dyDescent="0.3">
      <c r="A10" s="2" t="s">
        <v>8</v>
      </c>
      <c r="B10" s="2" t="s">
        <v>12040</v>
      </c>
      <c r="C10" s="2">
        <v>19</v>
      </c>
      <c r="D10" s="2" t="s">
        <v>12041</v>
      </c>
      <c r="E10" s="2">
        <f>COUNTIF(Table16[customer_id],Table13[[#This Row],[customer_id]])</f>
        <v>6</v>
      </c>
      <c r="F10" s="13">
        <f>SUMIFS(Table16[Purchase_history],Table16[customer_id],Table13[[#This Row],[customer_id]])</f>
        <v>25001.03</v>
      </c>
      <c r="G10" s="20">
        <v>44326</v>
      </c>
      <c r="H10" s="21">
        <v>44837</v>
      </c>
      <c r="I10" s="15">
        <f>(Table134[[#This Row],[Last_Day]]-Table134[[#This Row],[First_Day]]+1)/365</f>
        <v>1.4027397260273973</v>
      </c>
      <c r="J10" s="59">
        <f>Table134[[#This Row],[number_of_purchases]]/Table134[[#This Row],[customer_total_years]]</f>
        <v>4.27734375</v>
      </c>
      <c r="K10" s="13">
        <f>Table134[[#This Row],[purchase_history]]/Table134[[#This Row],[number_of_purchases]]</f>
        <v>4166.8383333333331</v>
      </c>
      <c r="L10" s="2">
        <f>IF(YEAR(Table134[[#This Row],[Last_Day]])=2021,5,IF(YEAR(Table134[[#This Row],[Last_Day]])=2022,7,IF(YEAR(Table134[[#This Row],[Last_Day]])=2023,10,"Không xác định")))</f>
        <v>7</v>
      </c>
      <c r="M10" s="15">
        <f>Table134[[#This Row],[avg_number_of_purchases]]*Table1345[[#This Row],[avg_purchase_value]]*Table1345[[#This Row],[expected_lifespan]]</f>
        <v>124760.99931640623</v>
      </c>
      <c r="N10" t="s">
        <v>12042</v>
      </c>
      <c r="P10" s="58"/>
    </row>
    <row r="11" spans="1:16" ht="16.8" x14ac:dyDescent="0.3">
      <c r="A11" s="2" t="s">
        <v>9</v>
      </c>
      <c r="B11" s="2" t="s">
        <v>12040</v>
      </c>
      <c r="C11" s="2">
        <v>31</v>
      </c>
      <c r="D11" s="2" t="s">
        <v>12049</v>
      </c>
      <c r="E11" s="2">
        <f>COUNTIF(Table16[customer_id],Table13[[#This Row],[customer_id]])</f>
        <v>5</v>
      </c>
      <c r="F11" s="13">
        <f>SUMIFS(Table16[Purchase_history],Table16[customer_id],Table13[[#This Row],[customer_id]])</f>
        <v>3916.19</v>
      </c>
      <c r="G11" s="20">
        <v>44379</v>
      </c>
      <c r="H11" s="21">
        <v>44944</v>
      </c>
      <c r="I11" s="15">
        <f>(Table134[[#This Row],[Last_Day]]-Table134[[#This Row],[First_Day]]+1)/365</f>
        <v>1.5506849315068494</v>
      </c>
      <c r="J11" s="59">
        <f>Table134[[#This Row],[number_of_purchases]]/Table134[[#This Row],[customer_total_years]]</f>
        <v>3.2243816254416959</v>
      </c>
      <c r="K11" s="13">
        <f>Table134[[#This Row],[purchase_history]]/Table134[[#This Row],[number_of_purchases]]</f>
        <v>783.23800000000006</v>
      </c>
      <c r="L11" s="2">
        <f>IF(YEAR(Table134[[#This Row],[Last_Day]])=2021,5,IF(YEAR(Table134[[#This Row],[Last_Day]])=2022,7,IF(YEAR(Table134[[#This Row],[Last_Day]])=2023,10,"Không xác định")))</f>
        <v>10</v>
      </c>
      <c r="M11" s="15">
        <f>Table134[[#This Row],[avg_number_of_purchases]]*Table1345[[#This Row],[avg_purchase_value]]*Table1345[[#This Row],[expected_lifespan]]</f>
        <v>25254.582155477034</v>
      </c>
      <c r="N11" t="s">
        <v>12044</v>
      </c>
      <c r="P11" s="58"/>
    </row>
    <row r="12" spans="1:16" ht="16.8" x14ac:dyDescent="0.3">
      <c r="A12" s="2" t="s">
        <v>10</v>
      </c>
      <c r="B12" s="2" t="s">
        <v>12045</v>
      </c>
      <c r="C12" s="2">
        <v>35</v>
      </c>
      <c r="D12" s="2" t="s">
        <v>12043</v>
      </c>
      <c r="E12" s="2">
        <f>COUNTIF(Table16[customer_id],Table13[[#This Row],[customer_id]])</f>
        <v>2</v>
      </c>
      <c r="F12" s="13">
        <f>SUMIFS(Table16[Purchase_history],Table16[customer_id],Table13[[#This Row],[customer_id]])</f>
        <v>2779.43</v>
      </c>
      <c r="G12" s="20">
        <v>44368</v>
      </c>
      <c r="H12" s="21">
        <v>44572</v>
      </c>
      <c r="I12" s="15">
        <f>(Table134[[#This Row],[Last_Day]]-Table134[[#This Row],[First_Day]]+1)/365</f>
        <v>0.56164383561643838</v>
      </c>
      <c r="J12" s="59">
        <f>Table134[[#This Row],[number_of_purchases]]/Table134[[#This Row],[customer_total_years]]</f>
        <v>3.5609756097560976</v>
      </c>
      <c r="K12" s="13">
        <f>Table134[[#This Row],[purchase_history]]/Table134[[#This Row],[number_of_purchases]]</f>
        <v>1389.7149999999999</v>
      </c>
      <c r="L12" s="2">
        <f>IF(YEAR(Table134[[#This Row],[Last_Day]])=2021,5,IF(YEAR(Table134[[#This Row],[Last_Day]])=2022,7,IF(YEAR(Table134[[#This Row],[Last_Day]])=2023,10,"Không xác định")))</f>
        <v>7</v>
      </c>
      <c r="M12" s="15">
        <f>Table134[[#This Row],[avg_number_of_purchases]]*Table1345[[#This Row],[avg_purchase_value]]*Table1345[[#This Row],[expected_lifespan]]</f>
        <v>34641.188536585367</v>
      </c>
      <c r="N12" t="s">
        <v>12044</v>
      </c>
      <c r="P12" s="58"/>
    </row>
    <row r="13" spans="1:16" ht="16.8" x14ac:dyDescent="0.3">
      <c r="A13" s="2" t="s">
        <v>11</v>
      </c>
      <c r="B13" s="2" t="s">
        <v>12040</v>
      </c>
      <c r="C13" s="2">
        <v>60</v>
      </c>
      <c r="D13" s="2" t="s">
        <v>12043</v>
      </c>
      <c r="E13" s="2">
        <f>COUNTIF(Table16[customer_id],Table13[[#This Row],[customer_id]])</f>
        <v>7</v>
      </c>
      <c r="F13" s="13">
        <f>SUMIFS(Table16[Purchase_history],Table16[customer_id],Table13[[#This Row],[customer_id]])</f>
        <v>38453.920000000006</v>
      </c>
      <c r="G13" s="20">
        <v>44356</v>
      </c>
      <c r="H13" s="21">
        <v>44956</v>
      </c>
      <c r="I13" s="15">
        <f>(Table134[[#This Row],[Last_Day]]-Table134[[#This Row],[First_Day]]+1)/365</f>
        <v>1.6465753424657534</v>
      </c>
      <c r="J13" s="59">
        <f>Table134[[#This Row],[number_of_purchases]]/Table134[[#This Row],[customer_total_years]]</f>
        <v>4.2512479201331113</v>
      </c>
      <c r="K13" s="13">
        <f>Table134[[#This Row],[purchase_history]]/Table134[[#This Row],[number_of_purchases]]</f>
        <v>5493.4171428571435</v>
      </c>
      <c r="L13" s="2">
        <f>IF(YEAR(Table134[[#This Row],[Last_Day]])=2021,5,IF(YEAR(Table134[[#This Row],[Last_Day]])=2022,7,IF(YEAR(Table134[[#This Row],[Last_Day]])=2023,10,"Không xác định")))</f>
        <v>10</v>
      </c>
      <c r="M13" s="15">
        <f>Table134[[#This Row],[avg_number_of_purchases]]*Table1345[[#This Row],[avg_purchase_value]]*Table1345[[#This Row],[expected_lifespan]]</f>
        <v>233538.78202995009</v>
      </c>
      <c r="N13" t="s">
        <v>12042</v>
      </c>
      <c r="P13" s="58"/>
    </row>
    <row r="14" spans="1:16" x14ac:dyDescent="0.3">
      <c r="A14" s="2" t="s">
        <v>12</v>
      </c>
      <c r="B14" s="2" t="s">
        <v>12045</v>
      </c>
      <c r="C14" s="2">
        <v>41</v>
      </c>
      <c r="D14" s="2" t="s">
        <v>12041</v>
      </c>
      <c r="E14" s="2">
        <f>COUNTIF(Table16[customer_id],Table13[[#This Row],[customer_id]])</f>
        <v>4</v>
      </c>
      <c r="F14" s="13">
        <f>SUMIFS(Table16[Purchase_history],Table16[customer_id],Table13[[#This Row],[customer_id]])</f>
        <v>1723.18</v>
      </c>
      <c r="G14" s="20">
        <v>44599</v>
      </c>
      <c r="H14" s="21">
        <v>44987</v>
      </c>
      <c r="I14" s="15">
        <f>(Table134[[#This Row],[Last_Day]]-Table134[[#This Row],[First_Day]]+1)/365</f>
        <v>1.0657534246575342</v>
      </c>
      <c r="J14" s="59">
        <f>Table134[[#This Row],[number_of_purchases]]/Table134[[#This Row],[customer_total_years]]</f>
        <v>3.7532133676092547</v>
      </c>
      <c r="K14" s="13">
        <f>Table134[[#This Row],[purchase_history]]/Table134[[#This Row],[number_of_purchases]]</f>
        <v>430.79500000000002</v>
      </c>
      <c r="L14" s="2">
        <f>IF(YEAR(Table134[[#This Row],[Last_Day]])=2021,5,IF(YEAR(Table134[[#This Row],[Last_Day]])=2022,7,IF(YEAR(Table134[[#This Row],[Last_Day]])=2023,10,"Không xác định")))</f>
        <v>10</v>
      </c>
      <c r="M14" s="15">
        <f>Table134[[#This Row],[avg_number_of_purchases]]*Table1345[[#This Row],[avg_purchase_value]]*Table1345[[#This Row],[expected_lifespan]]</f>
        <v>16168.65552699229</v>
      </c>
      <c r="N14" t="s">
        <v>12048</v>
      </c>
    </row>
    <row r="15" spans="1:16" x14ac:dyDescent="0.3">
      <c r="A15" s="2" t="s">
        <v>13</v>
      </c>
      <c r="B15" s="2" t="s">
        <v>12045</v>
      </c>
      <c r="C15" s="2">
        <v>25</v>
      </c>
      <c r="D15" s="2" t="s">
        <v>12041</v>
      </c>
      <c r="E15" s="2">
        <f>COUNTIF(Table16[customer_id],Table13[[#This Row],[customer_id]])</f>
        <v>4</v>
      </c>
      <c r="F15" s="13">
        <f>SUMIFS(Table16[Purchase_history],Table16[customer_id],Table13[[#This Row],[customer_id]])</f>
        <v>9262.0300000000007</v>
      </c>
      <c r="G15" s="20">
        <v>44356</v>
      </c>
      <c r="H15" s="21">
        <v>44822</v>
      </c>
      <c r="I15" s="15">
        <f>(Table134[[#This Row],[Last_Day]]-Table134[[#This Row],[First_Day]]+1)/365</f>
        <v>1.2794520547945205</v>
      </c>
      <c r="J15" s="59">
        <f>Table134[[#This Row],[number_of_purchases]]/Table134[[#This Row],[customer_total_years]]</f>
        <v>3.126338329764454</v>
      </c>
      <c r="K15" s="13">
        <f>Table134[[#This Row],[purchase_history]]/Table134[[#This Row],[number_of_purchases]]</f>
        <v>2315.5075000000002</v>
      </c>
      <c r="L15" s="2">
        <f>IF(YEAR(Table134[[#This Row],[Last_Day]])=2021,5,IF(YEAR(Table134[[#This Row],[Last_Day]])=2022,7,IF(YEAR(Table134[[#This Row],[Last_Day]])=2023,10,"Không xác định")))</f>
        <v>7</v>
      </c>
      <c r="M15" s="15">
        <f>Table134[[#This Row],[avg_number_of_purchases]]*Table1345[[#This Row],[avg_purchase_value]]*Table1345[[#This Row],[expected_lifespan]]</f>
        <v>50673.418950749474</v>
      </c>
      <c r="N15" t="s">
        <v>12044</v>
      </c>
    </row>
    <row r="16" spans="1:16" x14ac:dyDescent="0.3">
      <c r="A16" s="2" t="s">
        <v>14</v>
      </c>
      <c r="B16" s="2" t="s">
        <v>12040</v>
      </c>
      <c r="C16" s="2">
        <v>28</v>
      </c>
      <c r="D16" s="2" t="s">
        <v>12043</v>
      </c>
      <c r="E16" s="2">
        <f>COUNTIF(Table16[customer_id],Table13[[#This Row],[customer_id]])</f>
        <v>5</v>
      </c>
      <c r="F16" s="13">
        <f>SUMIFS(Table16[Purchase_history],Table16[customer_id],Table13[[#This Row],[customer_id]])</f>
        <v>16201.81</v>
      </c>
      <c r="G16" s="20">
        <v>44270</v>
      </c>
      <c r="H16" s="21">
        <v>44985</v>
      </c>
      <c r="I16" s="15">
        <f>(Table134[[#This Row],[Last_Day]]-Table134[[#This Row],[First_Day]]+1)/365</f>
        <v>1.9616438356164383</v>
      </c>
      <c r="J16" s="59">
        <f>Table134[[#This Row],[number_of_purchases]]/Table134[[#This Row],[customer_total_years]]</f>
        <v>2.5488826815642458</v>
      </c>
      <c r="K16" s="13">
        <f>Table134[[#This Row],[purchase_history]]/Table134[[#This Row],[number_of_purchases]]</f>
        <v>3240.3620000000001</v>
      </c>
      <c r="L16" s="2">
        <f>IF(YEAR(Table134[[#This Row],[Last_Day]])=2021,5,IF(YEAR(Table134[[#This Row],[Last_Day]])=2022,7,IF(YEAR(Table134[[#This Row],[Last_Day]])=2023,10,"Không xác định")))</f>
        <v>10</v>
      </c>
      <c r="M16" s="15">
        <f>Table134[[#This Row],[avg_number_of_purchases]]*Table1345[[#This Row],[avg_purchase_value]]*Table1345[[#This Row],[expected_lifespan]]</f>
        <v>82593.025837988826</v>
      </c>
      <c r="N16" t="s">
        <v>12044</v>
      </c>
    </row>
    <row r="17" spans="1:14" x14ac:dyDescent="0.3">
      <c r="A17" s="2" t="s">
        <v>15</v>
      </c>
      <c r="B17" s="2" t="s">
        <v>12040</v>
      </c>
      <c r="C17" s="2">
        <v>54</v>
      </c>
      <c r="D17" s="2" t="s">
        <v>12043</v>
      </c>
      <c r="E17" s="2">
        <f>COUNTIF(Table16[customer_id],Table13[[#This Row],[customer_id]])</f>
        <v>6</v>
      </c>
      <c r="F17" s="13">
        <f>SUMIFS(Table16[Purchase_history],Table16[customer_id],Table13[[#This Row],[customer_id]])</f>
        <v>16720.169999999998</v>
      </c>
      <c r="G17" s="20">
        <v>44212</v>
      </c>
      <c r="H17" s="21">
        <v>44908</v>
      </c>
      <c r="I17" s="15">
        <f>(Table134[[#This Row],[Last_Day]]-Table134[[#This Row],[First_Day]]+1)/365</f>
        <v>1.9095890410958904</v>
      </c>
      <c r="J17" s="59">
        <f>Table134[[#This Row],[number_of_purchases]]/Table134[[#This Row],[customer_total_years]]</f>
        <v>3.1420373027259685</v>
      </c>
      <c r="K17" s="13">
        <f>Table134[[#This Row],[purchase_history]]/Table134[[#This Row],[number_of_purchases]]</f>
        <v>2786.6949999999997</v>
      </c>
      <c r="L17" s="2">
        <f>IF(YEAR(Table134[[#This Row],[Last_Day]])=2021,5,IF(YEAR(Table134[[#This Row],[Last_Day]])=2022,7,IF(YEAR(Table134[[#This Row],[Last_Day]])=2023,10,"Không xác định")))</f>
        <v>7</v>
      </c>
      <c r="M17" s="15">
        <f>Table134[[#This Row],[avg_number_of_purchases]]*Table1345[[#This Row],[avg_purchase_value]]*Table1345[[#This Row],[expected_lifespan]]</f>
        <v>61291.297489239594</v>
      </c>
      <c r="N17" t="s">
        <v>12046</v>
      </c>
    </row>
    <row r="18" spans="1:14" x14ac:dyDescent="0.3">
      <c r="A18" s="2" t="s">
        <v>16</v>
      </c>
      <c r="B18" s="2" t="s">
        <v>12045</v>
      </c>
      <c r="C18" s="2">
        <v>29</v>
      </c>
      <c r="D18" s="2" t="s">
        <v>12043</v>
      </c>
      <c r="E18" s="2">
        <f>COUNTIF(Table16[customer_id],Table13[[#This Row],[customer_id]])</f>
        <v>4</v>
      </c>
      <c r="F18" s="13">
        <f>SUMIFS(Table16[Purchase_history],Table16[customer_id],Table13[[#This Row],[customer_id]])</f>
        <v>20189.29</v>
      </c>
      <c r="G18" s="20">
        <v>44286</v>
      </c>
      <c r="H18" s="21">
        <v>44983</v>
      </c>
      <c r="I18" s="15">
        <f>(Table134[[#This Row],[Last_Day]]-Table134[[#This Row],[First_Day]]+1)/365</f>
        <v>1.9123287671232876</v>
      </c>
      <c r="J18" s="59">
        <f>Table134[[#This Row],[number_of_purchases]]/Table134[[#This Row],[customer_total_years]]</f>
        <v>2.0916905444126077</v>
      </c>
      <c r="K18" s="13">
        <f>Table134[[#This Row],[purchase_history]]/Table134[[#This Row],[number_of_purchases]]</f>
        <v>5047.3225000000002</v>
      </c>
      <c r="L18" s="2">
        <f>IF(YEAR(Table134[[#This Row],[Last_Day]])=2021,5,IF(YEAR(Table134[[#This Row],[Last_Day]])=2022,7,IF(YEAR(Table134[[#This Row],[Last_Day]])=2023,10,"Không xác định")))</f>
        <v>10</v>
      </c>
      <c r="M18" s="15">
        <f>Table134[[#This Row],[avg_number_of_purchases]]*Table1345[[#This Row],[avg_purchase_value]]*Table1345[[#This Row],[expected_lifespan]]</f>
        <v>105574.36747851004</v>
      </c>
      <c r="N18" t="s">
        <v>12046</v>
      </c>
    </row>
    <row r="19" spans="1:14" x14ac:dyDescent="0.3">
      <c r="A19" s="2" t="s">
        <v>17</v>
      </c>
      <c r="B19" s="2" t="s">
        <v>12045</v>
      </c>
      <c r="C19" s="2">
        <v>38</v>
      </c>
      <c r="D19" s="2" t="s">
        <v>12049</v>
      </c>
      <c r="E19" s="2">
        <f>COUNTIF(Table16[customer_id],Table13[[#This Row],[customer_id]])</f>
        <v>5</v>
      </c>
      <c r="F19" s="13">
        <f>SUMIFS(Table16[Purchase_history],Table16[customer_id],Table13[[#This Row],[customer_id]])</f>
        <v>6300.5599999999995</v>
      </c>
      <c r="G19" s="20">
        <v>44225</v>
      </c>
      <c r="H19" s="21">
        <v>44643</v>
      </c>
      <c r="I19" s="15">
        <f>(Table134[[#This Row],[Last_Day]]-Table134[[#This Row],[First_Day]]+1)/365</f>
        <v>1.1479452054794521</v>
      </c>
      <c r="J19" s="59">
        <f>Table134[[#This Row],[number_of_purchases]]/Table134[[#This Row],[customer_total_years]]</f>
        <v>4.3556085918854412</v>
      </c>
      <c r="K19" s="13">
        <f>Table134[[#This Row],[purchase_history]]/Table134[[#This Row],[number_of_purchases]]</f>
        <v>1260.1119999999999</v>
      </c>
      <c r="L19" s="2">
        <f>IF(YEAR(Table134[[#This Row],[Last_Day]])=2021,5,IF(YEAR(Table134[[#This Row],[Last_Day]])=2022,7,IF(YEAR(Table134[[#This Row],[Last_Day]])=2023,10,"Không xác định")))</f>
        <v>7</v>
      </c>
      <c r="M19" s="15">
        <f>Table134[[#This Row],[avg_number_of_purchases]]*Table1345[[#This Row],[avg_purchase_value]]*Table1345[[#This Row],[expected_lifespan]]</f>
        <v>38419.88257756563</v>
      </c>
      <c r="N19" t="s">
        <v>12042</v>
      </c>
    </row>
    <row r="20" spans="1:14" x14ac:dyDescent="0.3">
      <c r="A20" s="2" t="s">
        <v>18</v>
      </c>
      <c r="B20" s="2" t="s">
        <v>12040</v>
      </c>
      <c r="C20" s="2">
        <v>26</v>
      </c>
      <c r="D20" s="2" t="s">
        <v>12043</v>
      </c>
      <c r="E20" s="2">
        <f>COUNTIF(Table16[customer_id],Table13[[#This Row],[customer_id]])</f>
        <v>4</v>
      </c>
      <c r="F20" s="13">
        <f>SUMIFS(Table16[Purchase_history],Table16[customer_id],Table13[[#This Row],[customer_id]])</f>
        <v>5610.6599999999989</v>
      </c>
      <c r="G20" s="20">
        <v>44203</v>
      </c>
      <c r="H20" s="21">
        <v>44428</v>
      </c>
      <c r="I20" s="15">
        <f>(Table134[[#This Row],[Last_Day]]-Table134[[#This Row],[First_Day]]+1)/365</f>
        <v>0.61917808219178083</v>
      </c>
      <c r="J20" s="59">
        <f>Table134[[#This Row],[number_of_purchases]]/Table134[[#This Row],[customer_total_years]]</f>
        <v>6.4601769911504423</v>
      </c>
      <c r="K20" s="13">
        <f>Table134[[#This Row],[purchase_history]]/Table134[[#This Row],[number_of_purchases]]</f>
        <v>1402.6649999999997</v>
      </c>
      <c r="L20" s="2">
        <f>IF(YEAR(Table134[[#This Row],[Last_Day]])=2021,5,IF(YEAR(Table134[[#This Row],[Last_Day]])=2022,7,IF(YEAR(Table134[[#This Row],[Last_Day]])=2023,10,"Không xác định")))</f>
        <v>5</v>
      </c>
      <c r="M20" s="15">
        <f>Table134[[#This Row],[avg_number_of_purchases]]*Table1345[[#This Row],[avg_purchase_value]]*Table1345[[#This Row],[expected_lifespan]]</f>
        <v>45307.320796460175</v>
      </c>
      <c r="N20" t="s">
        <v>12042</v>
      </c>
    </row>
    <row r="21" spans="1:14" x14ac:dyDescent="0.3">
      <c r="A21" s="2" t="s">
        <v>19</v>
      </c>
      <c r="B21" s="2" t="s">
        <v>12040</v>
      </c>
      <c r="C21" s="2">
        <v>40</v>
      </c>
      <c r="D21" s="2" t="s">
        <v>12049</v>
      </c>
      <c r="E21" s="2">
        <f>COUNTIF(Table16[customer_id],Table13[[#This Row],[customer_id]])</f>
        <v>3</v>
      </c>
      <c r="F21" s="13">
        <f>SUMIFS(Table16[Purchase_history],Table16[customer_id],Table13[[#This Row],[customer_id]])</f>
        <v>2910.4300000000003</v>
      </c>
      <c r="G21" s="20">
        <v>44220</v>
      </c>
      <c r="H21" s="21">
        <v>44483</v>
      </c>
      <c r="I21" s="15">
        <f>(Table134[[#This Row],[Last_Day]]-Table134[[#This Row],[First_Day]]+1)/365</f>
        <v>0.72328767123287674</v>
      </c>
      <c r="J21" s="59">
        <f>Table134[[#This Row],[number_of_purchases]]/Table134[[#This Row],[customer_total_years]]</f>
        <v>4.1477272727272725</v>
      </c>
      <c r="K21" s="13">
        <f>Table134[[#This Row],[purchase_history]]/Table134[[#This Row],[number_of_purchases]]</f>
        <v>970.14333333333343</v>
      </c>
      <c r="L21" s="2">
        <f>IF(YEAR(Table134[[#This Row],[Last_Day]])=2021,5,IF(YEAR(Table134[[#This Row],[Last_Day]])=2022,7,IF(YEAR(Table134[[#This Row],[Last_Day]])=2023,10,"Không xác định")))</f>
        <v>5</v>
      </c>
      <c r="M21" s="15">
        <f>Table134[[#This Row],[avg_number_of_purchases]]*Table1345[[#This Row],[avg_purchase_value]]*Table1345[[#This Row],[expected_lifespan]]</f>
        <v>20119.44981060606</v>
      </c>
      <c r="N21" t="s">
        <v>12048</v>
      </c>
    </row>
    <row r="22" spans="1:14" x14ac:dyDescent="0.3">
      <c r="A22" s="2" t="s">
        <v>20</v>
      </c>
      <c r="B22" s="2" t="s">
        <v>12045</v>
      </c>
      <c r="C22" s="2">
        <v>41</v>
      </c>
      <c r="D22" s="2" t="s">
        <v>12041</v>
      </c>
      <c r="E22" s="2">
        <f>COUNTIF(Table16[customer_id],Table13[[#This Row],[customer_id]])</f>
        <v>6</v>
      </c>
      <c r="F22" s="13">
        <f>SUMIFS(Table16[Purchase_history],Table16[customer_id],Table13[[#This Row],[customer_id]])</f>
        <v>6904.7099999999991</v>
      </c>
      <c r="G22" s="20">
        <v>44206</v>
      </c>
      <c r="H22" s="21">
        <v>44630</v>
      </c>
      <c r="I22" s="15">
        <f>(Table134[[#This Row],[Last_Day]]-Table134[[#This Row],[First_Day]]+1)/365</f>
        <v>1.1643835616438356</v>
      </c>
      <c r="J22" s="59">
        <f>Table134[[#This Row],[number_of_purchases]]/Table134[[#This Row],[customer_total_years]]</f>
        <v>5.1529411764705886</v>
      </c>
      <c r="K22" s="13">
        <f>Table134[[#This Row],[purchase_history]]/Table134[[#This Row],[number_of_purchases]]</f>
        <v>1150.7849999999999</v>
      </c>
      <c r="L22" s="2">
        <f>IF(YEAR(Table134[[#This Row],[Last_Day]])=2021,5,IF(YEAR(Table134[[#This Row],[Last_Day]])=2022,7,IF(YEAR(Table134[[#This Row],[Last_Day]])=2023,10,"Không xác định")))</f>
        <v>7</v>
      </c>
      <c r="M22" s="15">
        <f>Table134[[#This Row],[avg_number_of_purchases]]*Table1345[[#This Row],[avg_purchase_value]]*Table1345[[#This Row],[expected_lifespan]]</f>
        <v>41509.491882352937</v>
      </c>
      <c r="N22" t="s">
        <v>12044</v>
      </c>
    </row>
    <row r="23" spans="1:14" x14ac:dyDescent="0.3">
      <c r="A23" s="2" t="s">
        <v>21</v>
      </c>
      <c r="B23" s="2" t="s">
        <v>12045</v>
      </c>
      <c r="C23" s="2">
        <v>61</v>
      </c>
      <c r="D23" s="2" t="s">
        <v>12043</v>
      </c>
      <c r="E23" s="2">
        <f>COUNTIF(Table16[customer_id],Table13[[#This Row],[customer_id]])</f>
        <v>7</v>
      </c>
      <c r="F23" s="13">
        <f>SUMIFS(Table16[Purchase_history],Table16[customer_id],Table13[[#This Row],[customer_id]])</f>
        <v>23472.11</v>
      </c>
      <c r="G23" s="20">
        <v>44312</v>
      </c>
      <c r="H23" s="21">
        <v>44813</v>
      </c>
      <c r="I23" s="15">
        <f>(Table134[[#This Row],[Last_Day]]-Table134[[#This Row],[First_Day]]+1)/365</f>
        <v>1.3753424657534246</v>
      </c>
      <c r="J23" s="59">
        <f>Table134[[#This Row],[number_of_purchases]]/Table134[[#This Row],[customer_total_years]]</f>
        <v>5.0896414342629486</v>
      </c>
      <c r="K23" s="13">
        <f>Table134[[#This Row],[purchase_history]]/Table134[[#This Row],[number_of_purchases]]</f>
        <v>3353.1585714285716</v>
      </c>
      <c r="L23" s="2">
        <f>IF(YEAR(Table134[[#This Row],[Last_Day]])=2021,5,IF(YEAR(Table134[[#This Row],[Last_Day]])=2022,7,IF(YEAR(Table134[[#This Row],[Last_Day]])=2023,10,"Không xác định")))</f>
        <v>7</v>
      </c>
      <c r="M23" s="15">
        <f>Table134[[#This Row],[avg_number_of_purchases]]*Table1345[[#This Row],[avg_purchase_value]]*Table1345[[#This Row],[expected_lifespan]]</f>
        <v>119464.6236055777</v>
      </c>
      <c r="N23" t="s">
        <v>12046</v>
      </c>
    </row>
    <row r="24" spans="1:14" x14ac:dyDescent="0.3">
      <c r="A24" s="2" t="s">
        <v>22</v>
      </c>
      <c r="B24" s="2" t="s">
        <v>12040</v>
      </c>
      <c r="C24" s="2">
        <v>29</v>
      </c>
      <c r="D24" s="2" t="s">
        <v>12043</v>
      </c>
      <c r="E24" s="2">
        <f>COUNTIF(Table16[customer_id],Table13[[#This Row],[customer_id]])</f>
        <v>4</v>
      </c>
      <c r="F24" s="13">
        <f>SUMIFS(Table16[Purchase_history],Table16[customer_id],Table13[[#This Row],[customer_id]])</f>
        <v>1382.4399999999998</v>
      </c>
      <c r="G24" s="20">
        <v>44448</v>
      </c>
      <c r="H24" s="21">
        <v>44885</v>
      </c>
      <c r="I24" s="15">
        <f>(Table134[[#This Row],[Last_Day]]-Table134[[#This Row],[First_Day]]+1)/365</f>
        <v>1.2</v>
      </c>
      <c r="J24" s="59">
        <f>Table134[[#This Row],[number_of_purchases]]/Table134[[#This Row],[customer_total_years]]</f>
        <v>3.3333333333333335</v>
      </c>
      <c r="K24" s="13">
        <f>Table134[[#This Row],[purchase_history]]/Table134[[#This Row],[number_of_purchases]]</f>
        <v>345.60999999999996</v>
      </c>
      <c r="L24" s="2">
        <f>IF(YEAR(Table134[[#This Row],[Last_Day]])=2021,5,IF(YEAR(Table134[[#This Row],[Last_Day]])=2022,7,IF(YEAR(Table134[[#This Row],[Last_Day]])=2023,10,"Không xác định")))</f>
        <v>7</v>
      </c>
      <c r="M24" s="15">
        <f>Table134[[#This Row],[avg_number_of_purchases]]*Table1345[[#This Row],[avg_purchase_value]]*Table1345[[#This Row],[expected_lifespan]]</f>
        <v>8064.2333333333336</v>
      </c>
      <c r="N24" t="s">
        <v>12042</v>
      </c>
    </row>
    <row r="25" spans="1:14" x14ac:dyDescent="0.3">
      <c r="A25" s="2" t="s">
        <v>23</v>
      </c>
      <c r="B25" s="2" t="s">
        <v>12040</v>
      </c>
      <c r="C25" s="2">
        <v>42</v>
      </c>
      <c r="D25" s="2" t="s">
        <v>12043</v>
      </c>
      <c r="E25" s="2">
        <f>COUNTIF(Table16[customer_id],Table13[[#This Row],[customer_id]])</f>
        <v>4</v>
      </c>
      <c r="F25" s="13">
        <f>SUMIFS(Table16[Purchase_history],Table16[customer_id],Table13[[#This Row],[customer_id]])</f>
        <v>4194.43</v>
      </c>
      <c r="G25" s="20">
        <v>44270</v>
      </c>
      <c r="H25" s="21">
        <v>44764</v>
      </c>
      <c r="I25" s="15">
        <f>(Table134[[#This Row],[Last_Day]]-Table134[[#This Row],[First_Day]]+1)/365</f>
        <v>1.3561643835616439</v>
      </c>
      <c r="J25" s="59">
        <f>Table134[[#This Row],[number_of_purchases]]/Table134[[#This Row],[customer_total_years]]</f>
        <v>2.9494949494949494</v>
      </c>
      <c r="K25" s="13">
        <f>Table134[[#This Row],[purchase_history]]/Table134[[#This Row],[number_of_purchases]]</f>
        <v>1048.6075000000001</v>
      </c>
      <c r="L25" s="2">
        <f>IF(YEAR(Table134[[#This Row],[Last_Day]])=2021,5,IF(YEAR(Table134[[#This Row],[Last_Day]])=2022,7,IF(YEAR(Table134[[#This Row],[Last_Day]])=2023,10,"Không xác định")))</f>
        <v>7</v>
      </c>
      <c r="M25" s="15">
        <f>Table134[[#This Row],[avg_number_of_purchases]]*Table1345[[#This Row],[avg_purchase_value]]*Table1345[[#This Row],[expected_lifespan]]</f>
        <v>21650.037676767679</v>
      </c>
      <c r="N25" t="s">
        <v>12046</v>
      </c>
    </row>
    <row r="26" spans="1:14" x14ac:dyDescent="0.3">
      <c r="A26" s="2" t="s">
        <v>24</v>
      </c>
      <c r="B26" s="2" t="s">
        <v>12040</v>
      </c>
      <c r="C26" s="2">
        <v>60</v>
      </c>
      <c r="D26" s="2" t="s">
        <v>12043</v>
      </c>
      <c r="E26" s="2">
        <f>COUNTIF(Table16[customer_id],Table13[[#This Row],[customer_id]])</f>
        <v>5</v>
      </c>
      <c r="F26" s="13">
        <f>SUMIFS(Table16[Purchase_history],Table16[customer_id],Table13[[#This Row],[customer_id]])</f>
        <v>20219.27</v>
      </c>
      <c r="G26" s="20">
        <v>44238</v>
      </c>
      <c r="H26" s="21">
        <v>44992</v>
      </c>
      <c r="I26" s="15">
        <f>(Table134[[#This Row],[Last_Day]]-Table134[[#This Row],[First_Day]]+1)/365</f>
        <v>2.0684931506849313</v>
      </c>
      <c r="J26" s="59">
        <f>Table134[[#This Row],[number_of_purchases]]/Table134[[#This Row],[customer_total_years]]</f>
        <v>2.4172185430463577</v>
      </c>
      <c r="K26" s="13">
        <f>Table134[[#This Row],[purchase_history]]/Table134[[#This Row],[number_of_purchases]]</f>
        <v>4043.8540000000003</v>
      </c>
      <c r="L26" s="2">
        <f>IF(YEAR(Table134[[#This Row],[Last_Day]])=2021,5,IF(YEAR(Table134[[#This Row],[Last_Day]])=2022,7,IF(YEAR(Table134[[#This Row],[Last_Day]])=2023,10,"Không xác định")))</f>
        <v>10</v>
      </c>
      <c r="M26" s="15">
        <f>Table134[[#This Row],[avg_number_of_purchases]]*Table1345[[#This Row],[avg_purchase_value]]*Table1345[[#This Row],[expected_lifespan]]</f>
        <v>97748.788741721874</v>
      </c>
      <c r="N26" t="s">
        <v>12042</v>
      </c>
    </row>
    <row r="27" spans="1:14" x14ac:dyDescent="0.3">
      <c r="A27" s="2" t="s">
        <v>25</v>
      </c>
      <c r="B27" s="2" t="s">
        <v>12045</v>
      </c>
      <c r="C27" s="2">
        <v>34</v>
      </c>
      <c r="D27" s="2" t="s">
        <v>12049</v>
      </c>
      <c r="E27" s="2">
        <f>COUNTIF(Table16[customer_id],Table13[[#This Row],[customer_id]])</f>
        <v>8</v>
      </c>
      <c r="F27" s="13">
        <f>SUMIFS(Table16[Purchase_history],Table16[customer_id],Table13[[#This Row],[customer_id]])</f>
        <v>32393.64</v>
      </c>
      <c r="G27" s="20">
        <v>44199</v>
      </c>
      <c r="H27" s="21">
        <v>44731</v>
      </c>
      <c r="I27" s="15">
        <f>(Table134[[#This Row],[Last_Day]]-Table134[[#This Row],[First_Day]]+1)/365</f>
        <v>1.4602739726027398</v>
      </c>
      <c r="J27" s="59">
        <f>Table134[[#This Row],[number_of_purchases]]/Table134[[#This Row],[customer_total_years]]</f>
        <v>5.4784240150093808</v>
      </c>
      <c r="K27" s="13">
        <f>Table134[[#This Row],[purchase_history]]/Table134[[#This Row],[number_of_purchases]]</f>
        <v>4049.2049999999999</v>
      </c>
      <c r="L27" s="2">
        <f>IF(YEAR(Table134[[#This Row],[Last_Day]])=2021,5,IF(YEAR(Table134[[#This Row],[Last_Day]])=2022,7,IF(YEAR(Table134[[#This Row],[Last_Day]])=2023,10,"Không xác định")))</f>
        <v>7</v>
      </c>
      <c r="M27" s="15">
        <f>Table134[[#This Row],[avg_number_of_purchases]]*Table1345[[#This Row],[avg_purchase_value]]*Table1345[[#This Row],[expected_lifespan]]</f>
        <v>155282.83339587241</v>
      </c>
      <c r="N27" t="s">
        <v>12048</v>
      </c>
    </row>
    <row r="28" spans="1:14" x14ac:dyDescent="0.3">
      <c r="A28" s="2" t="s">
        <v>26</v>
      </c>
      <c r="B28" s="2" t="s">
        <v>12040</v>
      </c>
      <c r="C28" s="2">
        <v>41</v>
      </c>
      <c r="D28" s="2" t="s">
        <v>12041</v>
      </c>
      <c r="E28" s="2">
        <f>COUNTIF(Table16[customer_id],Table13[[#This Row],[customer_id]])</f>
        <v>4</v>
      </c>
      <c r="F28" s="13">
        <f>SUMIFS(Table16[Purchase_history],Table16[customer_id],Table13[[#This Row],[customer_id]])</f>
        <v>8102.2499999999991</v>
      </c>
      <c r="G28" s="20">
        <v>44255</v>
      </c>
      <c r="H28" s="21">
        <v>44983</v>
      </c>
      <c r="I28" s="15">
        <f>(Table134[[#This Row],[Last_Day]]-Table134[[#This Row],[First_Day]]+1)/365</f>
        <v>1.9972602739726026</v>
      </c>
      <c r="J28" s="59">
        <f>Table134[[#This Row],[number_of_purchases]]/Table134[[#This Row],[customer_total_years]]</f>
        <v>2.0027434842249656</v>
      </c>
      <c r="K28" s="13">
        <f>Table134[[#This Row],[purchase_history]]/Table134[[#This Row],[number_of_purchases]]</f>
        <v>2025.5624999999998</v>
      </c>
      <c r="L28" s="2">
        <f>IF(YEAR(Table134[[#This Row],[Last_Day]])=2021,5,IF(YEAR(Table134[[#This Row],[Last_Day]])=2022,7,IF(YEAR(Table134[[#This Row],[Last_Day]])=2023,10,"Không xác định")))</f>
        <v>10</v>
      </c>
      <c r="M28" s="15">
        <f>Table134[[#This Row],[avg_number_of_purchases]]*Table1345[[#This Row],[avg_purchase_value]]*Table1345[[#This Row],[expected_lifespan]]</f>
        <v>40566.820987654311</v>
      </c>
      <c r="N28" t="s">
        <v>12047</v>
      </c>
    </row>
    <row r="29" spans="1:14" x14ac:dyDescent="0.3">
      <c r="A29" s="2" t="s">
        <v>27</v>
      </c>
      <c r="B29" s="2" t="s">
        <v>12045</v>
      </c>
      <c r="C29" s="2">
        <v>69</v>
      </c>
      <c r="D29" s="2" t="s">
        <v>12043</v>
      </c>
      <c r="E29" s="2">
        <f>COUNTIF(Table16[customer_id],Table13[[#This Row],[customer_id]])</f>
        <v>3</v>
      </c>
      <c r="F29" s="13">
        <f>SUMIFS(Table16[Purchase_history],Table16[customer_id],Table13[[#This Row],[customer_id]])</f>
        <v>13802.559999999998</v>
      </c>
      <c r="G29" s="20">
        <v>44239</v>
      </c>
      <c r="H29" s="21">
        <v>44837</v>
      </c>
      <c r="I29" s="15">
        <f>(Table134[[#This Row],[Last_Day]]-Table134[[#This Row],[First_Day]]+1)/365</f>
        <v>1.6410958904109589</v>
      </c>
      <c r="J29" s="59">
        <f>Table134[[#This Row],[number_of_purchases]]/Table134[[#This Row],[customer_total_years]]</f>
        <v>1.8280467445742905</v>
      </c>
      <c r="K29" s="13">
        <f>Table134[[#This Row],[purchase_history]]/Table134[[#This Row],[number_of_purchases]]</f>
        <v>4600.8533333333326</v>
      </c>
      <c r="L29" s="2">
        <f>IF(YEAR(Table134[[#This Row],[Last_Day]])=2021,5,IF(YEAR(Table134[[#This Row],[Last_Day]])=2022,7,IF(YEAR(Table134[[#This Row],[Last_Day]])=2023,10,"Không xác định")))</f>
        <v>7</v>
      </c>
      <c r="M29" s="15">
        <f>Table134[[#This Row],[avg_number_of_purchases]]*Table1345[[#This Row],[avg_purchase_value]]*Table1345[[#This Row],[expected_lifespan]]</f>
        <v>58874.024707846394</v>
      </c>
      <c r="N29" t="s">
        <v>12048</v>
      </c>
    </row>
    <row r="30" spans="1:14" x14ac:dyDescent="0.3">
      <c r="A30" s="2" t="s">
        <v>28</v>
      </c>
      <c r="B30" s="2" t="s">
        <v>12040</v>
      </c>
      <c r="C30" s="2">
        <v>51</v>
      </c>
      <c r="D30" s="2" t="s">
        <v>12041</v>
      </c>
      <c r="E30" s="2">
        <f>COUNTIF(Table16[customer_id],Table13[[#This Row],[customer_id]])</f>
        <v>6</v>
      </c>
      <c r="F30" s="13">
        <f>SUMIFS(Table16[Purchase_history],Table16[customer_id],Table13[[#This Row],[customer_id]])</f>
        <v>7754.62</v>
      </c>
      <c r="G30" s="20">
        <v>44268</v>
      </c>
      <c r="H30" s="21">
        <v>44828</v>
      </c>
      <c r="I30" s="15">
        <f>(Table134[[#This Row],[Last_Day]]-Table134[[#This Row],[First_Day]]+1)/365</f>
        <v>1.536986301369863</v>
      </c>
      <c r="J30" s="59">
        <f>Table134[[#This Row],[number_of_purchases]]/Table134[[#This Row],[customer_total_years]]</f>
        <v>3.9037433155080214</v>
      </c>
      <c r="K30" s="13">
        <f>Table134[[#This Row],[purchase_history]]/Table134[[#This Row],[number_of_purchases]]</f>
        <v>1292.4366666666667</v>
      </c>
      <c r="L30" s="2">
        <f>IF(YEAR(Table134[[#This Row],[Last_Day]])=2021,5,IF(YEAR(Table134[[#This Row],[Last_Day]])=2022,7,IF(YEAR(Table134[[#This Row],[Last_Day]])=2023,10,"Không xác định")))</f>
        <v>7</v>
      </c>
      <c r="M30" s="15">
        <f>Table134[[#This Row],[avg_number_of_purchases]]*Table1345[[#This Row],[avg_purchase_value]]*Table1345[[#This Row],[expected_lifespan]]</f>
        <v>35317.386987522281</v>
      </c>
      <c r="N30" t="s">
        <v>12042</v>
      </c>
    </row>
    <row r="31" spans="1:14" x14ac:dyDescent="0.3">
      <c r="A31" s="2" t="s">
        <v>29</v>
      </c>
      <c r="B31" s="2" t="s">
        <v>12045</v>
      </c>
      <c r="C31" s="2">
        <v>42</v>
      </c>
      <c r="D31" s="2" t="s">
        <v>12041</v>
      </c>
      <c r="E31" s="2">
        <f>COUNTIF(Table16[customer_id],Table13[[#This Row],[customer_id]])</f>
        <v>6</v>
      </c>
      <c r="F31" s="13">
        <f>SUMIFS(Table16[Purchase_history],Table16[customer_id],Table13[[#This Row],[customer_id]])</f>
        <v>8472.48</v>
      </c>
      <c r="G31" s="20">
        <v>44306</v>
      </c>
      <c r="H31" s="21">
        <v>44795</v>
      </c>
      <c r="I31" s="15">
        <f>(Table134[[#This Row],[Last_Day]]-Table134[[#This Row],[First_Day]]+1)/365</f>
        <v>1.3424657534246576</v>
      </c>
      <c r="J31" s="59">
        <f>Table134[[#This Row],[number_of_purchases]]/Table134[[#This Row],[customer_total_years]]</f>
        <v>4.4693877551020407</v>
      </c>
      <c r="K31" s="13">
        <f>Table134[[#This Row],[purchase_history]]/Table134[[#This Row],[number_of_purchases]]</f>
        <v>1412.08</v>
      </c>
      <c r="L31" s="2">
        <f>IF(YEAR(Table134[[#This Row],[Last_Day]])=2021,5,IF(YEAR(Table134[[#This Row],[Last_Day]])=2022,7,IF(YEAR(Table134[[#This Row],[Last_Day]])=2023,10,"Không xác định")))</f>
        <v>7</v>
      </c>
      <c r="M31" s="15">
        <f>Table134[[#This Row],[avg_number_of_purchases]]*Table1345[[#This Row],[avg_purchase_value]]*Table1345[[#This Row],[expected_lifespan]]</f>
        <v>44177.931428571421</v>
      </c>
      <c r="N31" t="s">
        <v>12046</v>
      </c>
    </row>
    <row r="32" spans="1:14" x14ac:dyDescent="0.3">
      <c r="A32" s="2" t="s">
        <v>30</v>
      </c>
      <c r="B32" s="2" t="s">
        <v>12040</v>
      </c>
      <c r="C32" s="2">
        <v>46</v>
      </c>
      <c r="D32" s="2" t="s">
        <v>12043</v>
      </c>
      <c r="E32" s="2">
        <f>COUNTIF(Table16[customer_id],Table13[[#This Row],[customer_id]])</f>
        <v>2</v>
      </c>
      <c r="F32" s="13">
        <f>SUMIFS(Table16[Purchase_history],Table16[customer_id],Table13[[#This Row],[customer_id]])</f>
        <v>1205.55</v>
      </c>
      <c r="G32" s="20">
        <v>44247</v>
      </c>
      <c r="H32" s="21">
        <v>44726</v>
      </c>
      <c r="I32" s="15">
        <f>(Table134[[#This Row],[Last_Day]]-Table134[[#This Row],[First_Day]]+1)/365</f>
        <v>1.3150684931506849</v>
      </c>
      <c r="J32" s="59">
        <f>Table134[[#This Row],[number_of_purchases]]/Table134[[#This Row],[customer_total_years]]</f>
        <v>1.5208333333333335</v>
      </c>
      <c r="K32" s="13">
        <f>Table134[[#This Row],[purchase_history]]/Table134[[#This Row],[number_of_purchases]]</f>
        <v>602.77499999999998</v>
      </c>
      <c r="L32" s="2">
        <f>IF(YEAR(Table134[[#This Row],[Last_Day]])=2021,5,IF(YEAR(Table134[[#This Row],[Last_Day]])=2022,7,IF(YEAR(Table134[[#This Row],[Last_Day]])=2023,10,"Không xác định")))</f>
        <v>7</v>
      </c>
      <c r="M32" s="15">
        <f>Table134[[#This Row],[avg_number_of_purchases]]*Table1345[[#This Row],[avg_purchase_value]]*Table1345[[#This Row],[expected_lifespan]]</f>
        <v>6417.0421875000011</v>
      </c>
      <c r="N32" t="s">
        <v>12042</v>
      </c>
    </row>
    <row r="33" spans="1:14" x14ac:dyDescent="0.3">
      <c r="A33" s="2" t="s">
        <v>31</v>
      </c>
      <c r="B33" s="2" t="s">
        <v>12040</v>
      </c>
      <c r="C33" s="2">
        <v>32</v>
      </c>
      <c r="D33" s="2" t="s">
        <v>12049</v>
      </c>
      <c r="E33" s="2">
        <f>COUNTIF(Table16[customer_id],Table13[[#This Row],[customer_id]])</f>
        <v>3</v>
      </c>
      <c r="F33" s="13">
        <f>SUMIFS(Table16[Purchase_history],Table16[customer_id],Table13[[#This Row],[customer_id]])</f>
        <v>6001.6100000000006</v>
      </c>
      <c r="G33" s="20">
        <v>44269</v>
      </c>
      <c r="H33" s="21">
        <v>44872</v>
      </c>
      <c r="I33" s="15">
        <f>(Table134[[#This Row],[Last_Day]]-Table134[[#This Row],[First_Day]]+1)/365</f>
        <v>1.6547945205479453</v>
      </c>
      <c r="J33" s="59">
        <f>Table134[[#This Row],[number_of_purchases]]/Table134[[#This Row],[customer_total_years]]</f>
        <v>1.8129139072847682</v>
      </c>
      <c r="K33" s="13">
        <f>Table134[[#This Row],[purchase_history]]/Table134[[#This Row],[number_of_purchases]]</f>
        <v>2000.5366666666669</v>
      </c>
      <c r="L33" s="2">
        <f>IF(YEAR(Table134[[#This Row],[Last_Day]])=2021,5,IF(YEAR(Table134[[#This Row],[Last_Day]])=2022,7,IF(YEAR(Table134[[#This Row],[Last_Day]])=2023,10,"Không xác định")))</f>
        <v>7</v>
      </c>
      <c r="M33" s="15">
        <f>Table134[[#This Row],[avg_number_of_purchases]]*Table1345[[#This Row],[avg_purchase_value]]*Table1345[[#This Row],[expected_lifespan]]</f>
        <v>25387.60521523179</v>
      </c>
      <c r="N33" t="s">
        <v>12047</v>
      </c>
    </row>
    <row r="34" spans="1:14" x14ac:dyDescent="0.3">
      <c r="A34" s="2" t="s">
        <v>32</v>
      </c>
      <c r="B34" s="2" t="s">
        <v>12040</v>
      </c>
      <c r="C34" s="2">
        <v>18</v>
      </c>
      <c r="D34" s="2" t="s">
        <v>12041</v>
      </c>
      <c r="E34" s="2">
        <f>COUNTIF(Table16[customer_id],Table13[[#This Row],[customer_id]])</f>
        <v>6</v>
      </c>
      <c r="F34" s="13">
        <f>SUMIFS(Table16[Purchase_history],Table16[customer_id],Table13[[#This Row],[customer_id]])</f>
        <v>25116.94</v>
      </c>
      <c r="G34" s="20">
        <v>44219</v>
      </c>
      <c r="H34" s="21">
        <v>44611</v>
      </c>
      <c r="I34" s="15">
        <f>(Table134[[#This Row],[Last_Day]]-Table134[[#This Row],[First_Day]]+1)/365</f>
        <v>1.0767123287671232</v>
      </c>
      <c r="J34" s="59">
        <f>Table134[[#This Row],[number_of_purchases]]/Table134[[#This Row],[customer_total_years]]</f>
        <v>5.5725190839694658</v>
      </c>
      <c r="K34" s="13">
        <f>Table134[[#This Row],[purchase_history]]/Table134[[#This Row],[number_of_purchases]]</f>
        <v>4186.1566666666668</v>
      </c>
      <c r="L34" s="2">
        <f>IF(YEAR(Table134[[#This Row],[Last_Day]])=2021,5,IF(YEAR(Table134[[#This Row],[Last_Day]])=2022,7,IF(YEAR(Table134[[#This Row],[Last_Day]])=2023,10,"Không xác định")))</f>
        <v>7</v>
      </c>
      <c r="M34" s="15">
        <f>Table134[[#This Row],[avg_number_of_purchases]]*Table1345[[#This Row],[avg_purchase_value]]*Table1345[[#This Row],[expected_lifespan]]</f>
        <v>163292.06539440205</v>
      </c>
      <c r="N34" t="s">
        <v>12048</v>
      </c>
    </row>
    <row r="35" spans="1:14" x14ac:dyDescent="0.3">
      <c r="A35" s="2" t="s">
        <v>33</v>
      </c>
      <c r="B35" s="2" t="s">
        <v>12045</v>
      </c>
      <c r="C35" s="2">
        <v>69</v>
      </c>
      <c r="D35" s="2" t="s">
        <v>12043</v>
      </c>
      <c r="E35" s="2">
        <f>COUNTIF(Table16[customer_id],Table13[[#This Row],[customer_id]])</f>
        <v>5</v>
      </c>
      <c r="F35" s="13">
        <f>SUMIFS(Table16[Purchase_history],Table16[customer_id],Table13[[#This Row],[customer_id]])</f>
        <v>10561.6</v>
      </c>
      <c r="G35" s="20">
        <v>44253</v>
      </c>
      <c r="H35" s="21">
        <v>44775</v>
      </c>
      <c r="I35" s="15">
        <f>(Table134[[#This Row],[Last_Day]]-Table134[[#This Row],[First_Day]]+1)/365</f>
        <v>1.4328767123287671</v>
      </c>
      <c r="J35" s="59">
        <f>Table134[[#This Row],[number_of_purchases]]/Table134[[#This Row],[customer_total_years]]</f>
        <v>3.4894837476099427</v>
      </c>
      <c r="K35" s="13">
        <f>Table134[[#This Row],[purchase_history]]/Table134[[#This Row],[number_of_purchases]]</f>
        <v>2112.3200000000002</v>
      </c>
      <c r="L35" s="2">
        <f>IF(YEAR(Table134[[#This Row],[Last_Day]])=2021,5,IF(YEAR(Table134[[#This Row],[Last_Day]])=2022,7,IF(YEAR(Table134[[#This Row],[Last_Day]])=2023,10,"Không xác định")))</f>
        <v>7</v>
      </c>
      <c r="M35" s="15">
        <f>Table134[[#This Row],[avg_number_of_purchases]]*Table1345[[#This Row],[avg_purchase_value]]*Table1345[[#This Row],[expected_lifespan]]</f>
        <v>51596.344168260039</v>
      </c>
      <c r="N35" t="s">
        <v>12044</v>
      </c>
    </row>
    <row r="36" spans="1:14" x14ac:dyDescent="0.3">
      <c r="A36" s="2" t="s">
        <v>34</v>
      </c>
      <c r="B36" s="2" t="s">
        <v>12045</v>
      </c>
      <c r="C36" s="2">
        <v>36</v>
      </c>
      <c r="D36" s="2" t="s">
        <v>12043</v>
      </c>
      <c r="E36" s="2">
        <f>COUNTIF(Table16[customer_id],Table13[[#This Row],[customer_id]])</f>
        <v>3</v>
      </c>
      <c r="F36" s="13">
        <f>SUMIFS(Table16[Purchase_history],Table16[customer_id],Table13[[#This Row],[customer_id]])</f>
        <v>7842.74</v>
      </c>
      <c r="G36" s="20">
        <v>44386</v>
      </c>
      <c r="H36" s="21">
        <v>44667</v>
      </c>
      <c r="I36" s="15">
        <f>(Table134[[#This Row],[Last_Day]]-Table134[[#This Row],[First_Day]]+1)/365</f>
        <v>0.77260273972602744</v>
      </c>
      <c r="J36" s="59">
        <f>Table134[[#This Row],[number_of_purchases]]/Table134[[#This Row],[customer_total_years]]</f>
        <v>3.8829787234042552</v>
      </c>
      <c r="K36" s="13">
        <f>Table134[[#This Row],[purchase_history]]/Table134[[#This Row],[number_of_purchases]]</f>
        <v>2614.2466666666664</v>
      </c>
      <c r="L36" s="2">
        <f>IF(YEAR(Table134[[#This Row],[Last_Day]])=2021,5,IF(YEAR(Table134[[#This Row],[Last_Day]])=2022,7,IF(YEAR(Table134[[#This Row],[Last_Day]])=2023,10,"Không xác định")))</f>
        <v>7</v>
      </c>
      <c r="M36" s="15">
        <f>Table134[[#This Row],[avg_number_of_purchases]]*Table1345[[#This Row],[avg_purchase_value]]*Table1345[[#This Row],[expected_lifespan]]</f>
        <v>71057.449290780132</v>
      </c>
      <c r="N36" t="s">
        <v>12042</v>
      </c>
    </row>
    <row r="37" spans="1:14" x14ac:dyDescent="0.3">
      <c r="A37" s="2" t="s">
        <v>35</v>
      </c>
      <c r="B37" s="2" t="s">
        <v>12040</v>
      </c>
      <c r="C37" s="2">
        <v>36</v>
      </c>
      <c r="D37" s="2" t="s">
        <v>12043</v>
      </c>
      <c r="E37" s="2">
        <f>COUNTIF(Table16[customer_id],Table13[[#This Row],[customer_id]])</f>
        <v>6</v>
      </c>
      <c r="F37" s="13">
        <f>SUMIFS(Table16[Purchase_history],Table16[customer_id],Table13[[#This Row],[customer_id]])</f>
        <v>10357.709999999999</v>
      </c>
      <c r="G37" s="20">
        <v>44197</v>
      </c>
      <c r="H37" s="21">
        <v>44850</v>
      </c>
      <c r="I37" s="15">
        <f>(Table134[[#This Row],[Last_Day]]-Table134[[#This Row],[First_Day]]+1)/365</f>
        <v>1.7917808219178082</v>
      </c>
      <c r="J37" s="59">
        <f>Table134[[#This Row],[number_of_purchases]]/Table134[[#This Row],[customer_total_years]]</f>
        <v>3.3486238532110093</v>
      </c>
      <c r="K37" s="13">
        <f>Table134[[#This Row],[purchase_history]]/Table134[[#This Row],[number_of_purchases]]</f>
        <v>1726.2849999999999</v>
      </c>
      <c r="L37" s="2">
        <f>IF(YEAR(Table134[[#This Row],[Last_Day]])=2021,5,IF(YEAR(Table134[[#This Row],[Last_Day]])=2022,7,IF(YEAR(Table134[[#This Row],[Last_Day]])=2023,10,"Không xác định")))</f>
        <v>7</v>
      </c>
      <c r="M37" s="15">
        <f>Table134[[#This Row],[avg_number_of_purchases]]*Table1345[[#This Row],[avg_purchase_value]]*Table1345[[#This Row],[expected_lifespan]]</f>
        <v>40464.753899082571</v>
      </c>
      <c r="N37" t="s">
        <v>12044</v>
      </c>
    </row>
    <row r="38" spans="1:14" x14ac:dyDescent="0.3">
      <c r="A38" s="2" t="s">
        <v>36</v>
      </c>
      <c r="B38" s="2" t="s">
        <v>12040</v>
      </c>
      <c r="C38" s="2">
        <v>41</v>
      </c>
      <c r="D38" s="2" t="s">
        <v>12043</v>
      </c>
      <c r="E38" s="2">
        <f>COUNTIF(Table16[customer_id],Table13[[#This Row],[customer_id]])</f>
        <v>8</v>
      </c>
      <c r="F38" s="13">
        <f>SUMIFS(Table16[Purchase_history],Table16[customer_id],Table13[[#This Row],[customer_id]])</f>
        <v>9237.24</v>
      </c>
      <c r="G38" s="20">
        <v>44495</v>
      </c>
      <c r="H38" s="21">
        <v>44980</v>
      </c>
      <c r="I38" s="15">
        <f>(Table134[[#This Row],[Last_Day]]-Table134[[#This Row],[First_Day]]+1)/365</f>
        <v>1.3315068493150686</v>
      </c>
      <c r="J38" s="59">
        <f>Table134[[#This Row],[number_of_purchases]]/Table134[[#This Row],[customer_total_years]]</f>
        <v>6.0082304526748969</v>
      </c>
      <c r="K38" s="13">
        <f>Table134[[#This Row],[purchase_history]]/Table134[[#This Row],[number_of_purchases]]</f>
        <v>1154.655</v>
      </c>
      <c r="L38" s="2">
        <f>IF(YEAR(Table134[[#This Row],[Last_Day]])=2021,5,IF(YEAR(Table134[[#This Row],[Last_Day]])=2022,7,IF(YEAR(Table134[[#This Row],[Last_Day]])=2023,10,"Không xác định")))</f>
        <v>10</v>
      </c>
      <c r="M38" s="15">
        <f>Table134[[#This Row],[avg_number_of_purchases]]*Table1345[[#This Row],[avg_purchase_value]]*Table1345[[#This Row],[expected_lifespan]]</f>
        <v>69374.333333333328</v>
      </c>
      <c r="N38" t="s">
        <v>12042</v>
      </c>
    </row>
    <row r="39" spans="1:14" x14ac:dyDescent="0.3">
      <c r="A39" s="2" t="s">
        <v>37</v>
      </c>
      <c r="B39" s="2" t="s">
        <v>12040</v>
      </c>
      <c r="C39" s="2">
        <v>55</v>
      </c>
      <c r="D39" s="2" t="s">
        <v>12049</v>
      </c>
      <c r="E39" s="2">
        <f>COUNTIF(Table16[customer_id],Table13[[#This Row],[customer_id]])</f>
        <v>7</v>
      </c>
      <c r="F39" s="13">
        <f>SUMIFS(Table16[Purchase_history],Table16[customer_id],Table13[[#This Row],[customer_id]])</f>
        <v>9881.32</v>
      </c>
      <c r="G39" s="20">
        <v>44236</v>
      </c>
      <c r="H39" s="21">
        <v>44903</v>
      </c>
      <c r="I39" s="15">
        <f>(Table134[[#This Row],[Last_Day]]-Table134[[#This Row],[First_Day]]+1)/365</f>
        <v>1.8301369863013699</v>
      </c>
      <c r="J39" s="59">
        <f>Table134[[#This Row],[number_of_purchases]]/Table134[[#This Row],[customer_total_years]]</f>
        <v>3.8248502994011977</v>
      </c>
      <c r="K39" s="13">
        <f>Table134[[#This Row],[purchase_history]]/Table134[[#This Row],[number_of_purchases]]</f>
        <v>1411.6171428571429</v>
      </c>
      <c r="L39" s="2">
        <f>IF(YEAR(Table134[[#This Row],[Last_Day]])=2021,5,IF(YEAR(Table134[[#This Row],[Last_Day]])=2022,7,IF(YEAR(Table134[[#This Row],[Last_Day]])=2023,10,"Không xác định")))</f>
        <v>7</v>
      </c>
      <c r="M39" s="15">
        <f>Table134[[#This Row],[avg_number_of_purchases]]*Table1345[[#This Row],[avg_purchase_value]]*Table1345[[#This Row],[expected_lifespan]]</f>
        <v>37794.56976047904</v>
      </c>
      <c r="N39" t="s">
        <v>12044</v>
      </c>
    </row>
    <row r="40" spans="1:14" x14ac:dyDescent="0.3">
      <c r="A40" s="2" t="s">
        <v>38</v>
      </c>
      <c r="B40" s="2" t="s">
        <v>12040</v>
      </c>
      <c r="C40" s="2">
        <v>55</v>
      </c>
      <c r="D40" s="2" t="s">
        <v>12041</v>
      </c>
      <c r="E40" s="2">
        <f>COUNTIF(Table16[customer_id],Table13[[#This Row],[customer_id]])</f>
        <v>4</v>
      </c>
      <c r="F40" s="13">
        <f>SUMIFS(Table16[Purchase_history],Table16[customer_id],Table13[[#This Row],[customer_id]])</f>
        <v>53590.66</v>
      </c>
      <c r="G40" s="20">
        <v>44263</v>
      </c>
      <c r="H40" s="21">
        <v>44941</v>
      </c>
      <c r="I40" s="15">
        <f>(Table134[[#This Row],[Last_Day]]-Table134[[#This Row],[First_Day]]+1)/365</f>
        <v>1.8602739726027397</v>
      </c>
      <c r="J40" s="59">
        <f>Table134[[#This Row],[number_of_purchases]]/Table134[[#This Row],[customer_total_years]]</f>
        <v>2.150220913107511</v>
      </c>
      <c r="K40" s="13">
        <f>Table134[[#This Row],[purchase_history]]/Table134[[#This Row],[number_of_purchases]]</f>
        <v>13397.665000000001</v>
      </c>
      <c r="L40" s="2">
        <f>IF(YEAR(Table134[[#This Row],[Last_Day]])=2021,5,IF(YEAR(Table134[[#This Row],[Last_Day]])=2022,7,IF(YEAR(Table134[[#This Row],[Last_Day]])=2023,10,"Không xác định")))</f>
        <v>10</v>
      </c>
      <c r="M40" s="15">
        <f>Table134[[#This Row],[avg_number_of_purchases]]*Table1345[[#This Row],[avg_purchase_value]]*Table1345[[#This Row],[expected_lifespan]]</f>
        <v>288079.39469808544</v>
      </c>
      <c r="N40" t="s">
        <v>12044</v>
      </c>
    </row>
    <row r="41" spans="1:14" x14ac:dyDescent="0.3">
      <c r="A41" s="2" t="s">
        <v>39</v>
      </c>
      <c r="B41" s="2" t="s">
        <v>12040</v>
      </c>
      <c r="C41" s="2">
        <v>51</v>
      </c>
      <c r="D41" s="2" t="s">
        <v>12041</v>
      </c>
      <c r="E41" s="2">
        <f>COUNTIF(Table16[customer_id],Table13[[#This Row],[customer_id]])</f>
        <v>5</v>
      </c>
      <c r="F41" s="13">
        <f>SUMIFS(Table16[Purchase_history],Table16[customer_id],Table13[[#This Row],[customer_id]])</f>
        <v>1295.8799999999999</v>
      </c>
      <c r="G41" s="20">
        <v>44449</v>
      </c>
      <c r="H41" s="21">
        <v>44837</v>
      </c>
      <c r="I41" s="15">
        <f>(Table134[[#This Row],[Last_Day]]-Table134[[#This Row],[First_Day]]+1)/365</f>
        <v>1.0657534246575342</v>
      </c>
      <c r="J41" s="59">
        <f>Table134[[#This Row],[number_of_purchases]]/Table134[[#This Row],[customer_total_years]]</f>
        <v>4.6915167095115686</v>
      </c>
      <c r="K41" s="13">
        <f>Table134[[#This Row],[purchase_history]]/Table134[[#This Row],[number_of_purchases]]</f>
        <v>259.17599999999999</v>
      </c>
      <c r="L41" s="2">
        <f>IF(YEAR(Table134[[#This Row],[Last_Day]])=2021,5,IF(YEAR(Table134[[#This Row],[Last_Day]])=2022,7,IF(YEAR(Table134[[#This Row],[Last_Day]])=2023,10,"Không xác định")))</f>
        <v>7</v>
      </c>
      <c r="M41" s="15">
        <f>Table134[[#This Row],[avg_number_of_purchases]]*Table1345[[#This Row],[avg_purchase_value]]*Table1345[[#This Row],[expected_lifespan]]</f>
        <v>8511.4997429305931</v>
      </c>
      <c r="N41" t="s">
        <v>12042</v>
      </c>
    </row>
    <row r="42" spans="1:14" x14ac:dyDescent="0.3">
      <c r="A42" s="2" t="s">
        <v>40</v>
      </c>
      <c r="B42" s="2" t="s">
        <v>12045</v>
      </c>
      <c r="C42" s="2">
        <v>67</v>
      </c>
      <c r="D42" s="2" t="s">
        <v>12043</v>
      </c>
      <c r="E42" s="2">
        <f>COUNTIF(Table16[customer_id],Table13[[#This Row],[customer_id]])</f>
        <v>4</v>
      </c>
      <c r="F42" s="13">
        <f>SUMIFS(Table16[Purchase_history],Table16[customer_id],Table13[[#This Row],[customer_id]])</f>
        <v>29081.32</v>
      </c>
      <c r="G42" s="20">
        <v>44485</v>
      </c>
      <c r="H42" s="21">
        <v>44973</v>
      </c>
      <c r="I42" s="15">
        <f>(Table134[[#This Row],[Last_Day]]-Table134[[#This Row],[First_Day]]+1)/365</f>
        <v>1.3397260273972602</v>
      </c>
      <c r="J42" s="59">
        <f>Table134[[#This Row],[number_of_purchases]]/Table134[[#This Row],[customer_total_years]]</f>
        <v>2.9856850715746424</v>
      </c>
      <c r="K42" s="13">
        <f>Table134[[#This Row],[purchase_history]]/Table134[[#This Row],[number_of_purchases]]</f>
        <v>7270.33</v>
      </c>
      <c r="L42" s="2">
        <f>IF(YEAR(Table134[[#This Row],[Last_Day]])=2021,5,IF(YEAR(Table134[[#This Row],[Last_Day]])=2022,7,IF(YEAR(Table134[[#This Row],[Last_Day]])=2023,10,"Không xác định")))</f>
        <v>10</v>
      </c>
      <c r="M42" s="15">
        <f>Table134[[#This Row],[avg_number_of_purchases]]*Table1345[[#This Row],[avg_purchase_value]]*Table1345[[#This Row],[expected_lifespan]]</f>
        <v>217069.15746421268</v>
      </c>
      <c r="N42" t="s">
        <v>12046</v>
      </c>
    </row>
    <row r="43" spans="1:14" x14ac:dyDescent="0.3">
      <c r="A43" s="2" t="s">
        <v>41</v>
      </c>
      <c r="B43" s="2" t="s">
        <v>12040</v>
      </c>
      <c r="C43" s="2">
        <v>18</v>
      </c>
      <c r="D43" s="2" t="s">
        <v>12049</v>
      </c>
      <c r="E43" s="2">
        <f>COUNTIF(Table16[customer_id],Table13[[#This Row],[customer_id]])</f>
        <v>6</v>
      </c>
      <c r="F43" s="13">
        <f>SUMIFS(Table16[Purchase_history],Table16[customer_id],Table13[[#This Row],[customer_id]])</f>
        <v>2043.6</v>
      </c>
      <c r="G43" s="20">
        <v>44245</v>
      </c>
      <c r="H43" s="21">
        <v>44455</v>
      </c>
      <c r="I43" s="15">
        <f>(Table134[[#This Row],[Last_Day]]-Table134[[#This Row],[First_Day]]+1)/365</f>
        <v>0.57808219178082187</v>
      </c>
      <c r="J43" s="59">
        <f>Table134[[#This Row],[number_of_purchases]]/Table134[[#This Row],[customer_total_years]]</f>
        <v>10.37914691943128</v>
      </c>
      <c r="K43" s="13">
        <f>Table134[[#This Row],[purchase_history]]/Table134[[#This Row],[number_of_purchases]]</f>
        <v>340.59999999999997</v>
      </c>
      <c r="L43" s="2">
        <f>IF(YEAR(Table134[[#This Row],[Last_Day]])=2021,5,IF(YEAR(Table134[[#This Row],[Last_Day]])=2022,7,IF(YEAR(Table134[[#This Row],[Last_Day]])=2023,10,"Không xác định")))</f>
        <v>5</v>
      </c>
      <c r="M43" s="15">
        <f>Table134[[#This Row],[avg_number_of_purchases]]*Table1345[[#This Row],[avg_purchase_value]]*Table1345[[#This Row],[expected_lifespan]]</f>
        <v>17675.687203791465</v>
      </c>
      <c r="N43" t="s">
        <v>12048</v>
      </c>
    </row>
    <row r="44" spans="1:14" x14ac:dyDescent="0.3">
      <c r="A44" s="2" t="s">
        <v>42</v>
      </c>
      <c r="B44" s="2" t="s">
        <v>12040</v>
      </c>
      <c r="C44" s="2">
        <v>57</v>
      </c>
      <c r="D44" s="2" t="s">
        <v>12043</v>
      </c>
      <c r="E44" s="2">
        <f>COUNTIF(Table16[customer_id],Table13[[#This Row],[customer_id]])</f>
        <v>1</v>
      </c>
      <c r="F44" s="13">
        <f>SUMIFS(Table16[Purchase_history],Table16[customer_id],Table13[[#This Row],[customer_id]])</f>
        <v>130.75</v>
      </c>
      <c r="G44" s="20">
        <v>44871</v>
      </c>
      <c r="H44" s="21">
        <v>44871</v>
      </c>
      <c r="I44" s="15">
        <f>(Table134[[#This Row],[Last_Day]]-Table134[[#This Row],[First_Day]]+1)/365</f>
        <v>2.7397260273972603E-3</v>
      </c>
      <c r="J44" s="59">
        <f>Table134[[#This Row],[number_of_purchases]]/Table134[[#This Row],[customer_total_years]]</f>
        <v>365</v>
      </c>
      <c r="K44" s="13">
        <f>Table134[[#This Row],[purchase_history]]/Table134[[#This Row],[number_of_purchases]]</f>
        <v>130.75</v>
      </c>
      <c r="L44" s="2">
        <f>IF(YEAR(Table134[[#This Row],[Last_Day]])=2021,5,IF(YEAR(Table134[[#This Row],[Last_Day]])=2022,7,IF(YEAR(Table134[[#This Row],[Last_Day]])=2023,10,"Không xác định")))</f>
        <v>7</v>
      </c>
      <c r="M44" s="15">
        <f>Table134[[#This Row],[avg_number_of_purchases]]*Table1345[[#This Row],[avg_purchase_value]]*Table1345[[#This Row],[expected_lifespan]]</f>
        <v>334066.25</v>
      </c>
      <c r="N44" t="s">
        <v>12042</v>
      </c>
    </row>
    <row r="45" spans="1:14" x14ac:dyDescent="0.3">
      <c r="A45" s="2" t="s">
        <v>43</v>
      </c>
      <c r="B45" s="2" t="s">
        <v>12045</v>
      </c>
      <c r="C45" s="2">
        <v>39</v>
      </c>
      <c r="D45" s="2" t="s">
        <v>12041</v>
      </c>
      <c r="E45" s="2">
        <f>COUNTIF(Table16[customer_id],Table13[[#This Row],[customer_id]])</f>
        <v>6</v>
      </c>
      <c r="F45" s="13">
        <f>SUMIFS(Table16[Purchase_history],Table16[customer_id],Table13[[#This Row],[customer_id]])</f>
        <v>16942.100000000002</v>
      </c>
      <c r="G45" s="20">
        <v>44475</v>
      </c>
      <c r="H45" s="21">
        <v>44873</v>
      </c>
      <c r="I45" s="15">
        <f>(Table134[[#This Row],[Last_Day]]-Table134[[#This Row],[First_Day]]+1)/365</f>
        <v>1.0931506849315069</v>
      </c>
      <c r="J45" s="59">
        <f>Table134[[#This Row],[number_of_purchases]]/Table134[[#This Row],[customer_total_years]]</f>
        <v>5.488721804511278</v>
      </c>
      <c r="K45" s="13">
        <f>Table134[[#This Row],[purchase_history]]/Table134[[#This Row],[number_of_purchases]]</f>
        <v>2823.6833333333338</v>
      </c>
      <c r="L45" s="2">
        <f>IF(YEAR(Table134[[#This Row],[Last_Day]])=2021,5,IF(YEAR(Table134[[#This Row],[Last_Day]])=2022,7,IF(YEAR(Table134[[#This Row],[Last_Day]])=2023,10,"Không xác định")))</f>
        <v>7</v>
      </c>
      <c r="M45" s="15">
        <f>Table134[[#This Row],[avg_number_of_purchases]]*Table1345[[#This Row],[avg_purchase_value]]*Table1345[[#This Row],[expected_lifespan]]</f>
        <v>108488.8859649123</v>
      </c>
      <c r="N45" t="s">
        <v>12046</v>
      </c>
    </row>
    <row r="46" spans="1:14" x14ac:dyDescent="0.3">
      <c r="A46" s="2" t="s">
        <v>44</v>
      </c>
      <c r="B46" s="2" t="s">
        <v>12040</v>
      </c>
      <c r="C46" s="2">
        <v>56</v>
      </c>
      <c r="D46" s="2" t="s">
        <v>12041</v>
      </c>
      <c r="E46" s="2">
        <f>COUNTIF(Table16[customer_id],Table13[[#This Row],[customer_id]])</f>
        <v>8</v>
      </c>
      <c r="F46" s="13">
        <f>SUMIFS(Table16[Purchase_history],Table16[customer_id],Table13[[#This Row],[customer_id]])</f>
        <v>4422.2</v>
      </c>
      <c r="G46" s="20">
        <v>44207</v>
      </c>
      <c r="H46" s="21">
        <v>44919</v>
      </c>
      <c r="I46" s="15">
        <f>(Table134[[#This Row],[Last_Day]]-Table134[[#This Row],[First_Day]]+1)/365</f>
        <v>1.9534246575342467</v>
      </c>
      <c r="J46" s="59">
        <f>Table134[[#This Row],[number_of_purchases]]/Table134[[#This Row],[customer_total_years]]</f>
        <v>4.0953716690042077</v>
      </c>
      <c r="K46" s="13">
        <f>Table134[[#This Row],[purchase_history]]/Table134[[#This Row],[number_of_purchases]]</f>
        <v>552.77499999999998</v>
      </c>
      <c r="L46" s="2">
        <f>IF(YEAR(Table134[[#This Row],[Last_Day]])=2021,5,IF(YEAR(Table134[[#This Row],[Last_Day]])=2022,7,IF(YEAR(Table134[[#This Row],[Last_Day]])=2023,10,"Không xác định")))</f>
        <v>7</v>
      </c>
      <c r="M46" s="15">
        <f>Table134[[#This Row],[avg_number_of_purchases]]*Table1345[[#This Row],[avg_purchase_value]]*Table1345[[#This Row],[expected_lifespan]]</f>
        <v>15846.733520336606</v>
      </c>
      <c r="N46" t="s">
        <v>12048</v>
      </c>
    </row>
    <row r="47" spans="1:14" x14ac:dyDescent="0.3">
      <c r="A47" s="2" t="s">
        <v>45</v>
      </c>
      <c r="B47" s="2" t="s">
        <v>12040</v>
      </c>
      <c r="C47" s="2">
        <v>68</v>
      </c>
      <c r="D47" s="2" t="s">
        <v>12041</v>
      </c>
      <c r="E47" s="2">
        <f>COUNTIF(Table16[customer_id],Table13[[#This Row],[customer_id]])</f>
        <v>9</v>
      </c>
      <c r="F47" s="13">
        <f>SUMIFS(Table16[Purchase_history],Table16[customer_id],Table13[[#This Row],[customer_id]])</f>
        <v>32012.53</v>
      </c>
      <c r="G47" s="20">
        <v>44308</v>
      </c>
      <c r="H47" s="21">
        <v>44971</v>
      </c>
      <c r="I47" s="15">
        <f>(Table134[[#This Row],[Last_Day]]-Table134[[#This Row],[First_Day]]+1)/365</f>
        <v>1.8191780821917809</v>
      </c>
      <c r="J47" s="59">
        <f>Table134[[#This Row],[number_of_purchases]]/Table134[[#This Row],[customer_total_years]]</f>
        <v>4.947289156626506</v>
      </c>
      <c r="K47" s="13">
        <f>Table134[[#This Row],[purchase_history]]/Table134[[#This Row],[number_of_purchases]]</f>
        <v>3556.9477777777774</v>
      </c>
      <c r="L47" s="2">
        <f>IF(YEAR(Table134[[#This Row],[Last_Day]])=2021,5,IF(YEAR(Table134[[#This Row],[Last_Day]])=2022,7,IF(YEAR(Table134[[#This Row],[Last_Day]])=2023,10,"Không xác định")))</f>
        <v>10</v>
      </c>
      <c r="M47" s="15">
        <f>Table134[[#This Row],[avg_number_of_purchases]]*Table1345[[#This Row],[avg_purchase_value]]*Table1345[[#This Row],[expected_lifespan]]</f>
        <v>175972.49171686743</v>
      </c>
      <c r="N47" t="s">
        <v>12048</v>
      </c>
    </row>
    <row r="48" spans="1:14" x14ac:dyDescent="0.3">
      <c r="A48" s="2" t="s">
        <v>46</v>
      </c>
      <c r="B48" s="2" t="s">
        <v>12040</v>
      </c>
      <c r="C48" s="2">
        <v>65</v>
      </c>
      <c r="D48" s="2" t="s">
        <v>12043</v>
      </c>
      <c r="E48" s="2">
        <f>COUNTIF(Table16[customer_id],Table13[[#This Row],[customer_id]])</f>
        <v>3</v>
      </c>
      <c r="F48" s="13">
        <f>SUMIFS(Table16[Purchase_history],Table16[customer_id],Table13[[#This Row],[customer_id]])</f>
        <v>8162.77</v>
      </c>
      <c r="G48" s="20">
        <v>44271</v>
      </c>
      <c r="H48" s="21">
        <v>44938</v>
      </c>
      <c r="I48" s="15">
        <f>(Table134[[#This Row],[Last_Day]]-Table134[[#This Row],[First_Day]]+1)/365</f>
        <v>1.8301369863013699</v>
      </c>
      <c r="J48" s="59">
        <f>Table134[[#This Row],[number_of_purchases]]/Table134[[#This Row],[customer_total_years]]</f>
        <v>1.6392215568862276</v>
      </c>
      <c r="K48" s="13">
        <f>Table134[[#This Row],[purchase_history]]/Table134[[#This Row],[number_of_purchases]]</f>
        <v>2720.9233333333336</v>
      </c>
      <c r="L48" s="2">
        <f>IF(YEAR(Table134[[#This Row],[Last_Day]])=2021,5,IF(YEAR(Table134[[#This Row],[Last_Day]])=2022,7,IF(YEAR(Table134[[#This Row],[Last_Day]])=2023,10,"Không xác định")))</f>
        <v>10</v>
      </c>
      <c r="M48" s="15">
        <f>Table134[[#This Row],[avg_number_of_purchases]]*Table1345[[#This Row],[avg_purchase_value]]*Table1345[[#This Row],[expected_lifespan]]</f>
        <v>44601.961826347317</v>
      </c>
      <c r="N48" t="s">
        <v>12046</v>
      </c>
    </row>
    <row r="49" spans="1:14" x14ac:dyDescent="0.3">
      <c r="A49" s="2" t="s">
        <v>47</v>
      </c>
      <c r="B49" s="2" t="s">
        <v>12040</v>
      </c>
      <c r="C49" s="2">
        <v>63</v>
      </c>
      <c r="D49" s="2" t="s">
        <v>12041</v>
      </c>
      <c r="E49" s="2">
        <f>COUNTIF(Table16[customer_id],Table13[[#This Row],[customer_id]])</f>
        <v>3</v>
      </c>
      <c r="F49" s="13">
        <f>SUMIFS(Table16[Purchase_history],Table16[customer_id],Table13[[#This Row],[customer_id]])</f>
        <v>28466.82</v>
      </c>
      <c r="G49" s="20">
        <v>44209</v>
      </c>
      <c r="H49" s="21">
        <v>44970</v>
      </c>
      <c r="I49" s="15">
        <f>(Table134[[#This Row],[Last_Day]]-Table134[[#This Row],[First_Day]]+1)/365</f>
        <v>2.0876712328767124</v>
      </c>
      <c r="J49" s="59">
        <f>Table134[[#This Row],[number_of_purchases]]/Table134[[#This Row],[customer_total_years]]</f>
        <v>1.4370078740157479</v>
      </c>
      <c r="K49" s="13">
        <f>Table134[[#This Row],[purchase_history]]/Table134[[#This Row],[number_of_purchases]]</f>
        <v>9488.94</v>
      </c>
      <c r="L49" s="2">
        <f>IF(YEAR(Table134[[#This Row],[Last_Day]])=2021,5,IF(YEAR(Table134[[#This Row],[Last_Day]])=2022,7,IF(YEAR(Table134[[#This Row],[Last_Day]])=2023,10,"Không xác định")))</f>
        <v>10</v>
      </c>
      <c r="M49" s="15">
        <f>Table134[[#This Row],[avg_number_of_purchases]]*Table1345[[#This Row],[avg_purchase_value]]*Table1345[[#This Row],[expected_lifespan]]</f>
        <v>136356.81496062991</v>
      </c>
      <c r="N49" t="s">
        <v>12044</v>
      </c>
    </row>
    <row r="50" spans="1:14" x14ac:dyDescent="0.3">
      <c r="A50" s="2" t="s">
        <v>48</v>
      </c>
      <c r="B50" s="2" t="s">
        <v>12040</v>
      </c>
      <c r="C50" s="2">
        <v>23</v>
      </c>
      <c r="D50" s="2" t="s">
        <v>12043</v>
      </c>
      <c r="E50" s="2">
        <f>COUNTIF(Table16[customer_id],Table13[[#This Row],[customer_id]])</f>
        <v>5</v>
      </c>
      <c r="F50" s="13">
        <f>SUMIFS(Table16[Purchase_history],Table16[customer_id],Table13[[#This Row],[customer_id]])</f>
        <v>25554.29</v>
      </c>
      <c r="G50" s="20">
        <v>44321</v>
      </c>
      <c r="H50" s="21">
        <v>44800</v>
      </c>
      <c r="I50" s="15">
        <f>(Table134[[#This Row],[Last_Day]]-Table134[[#This Row],[First_Day]]+1)/365</f>
        <v>1.3150684931506849</v>
      </c>
      <c r="J50" s="59">
        <f>Table134[[#This Row],[number_of_purchases]]/Table134[[#This Row],[customer_total_years]]</f>
        <v>3.8020833333333335</v>
      </c>
      <c r="K50" s="13">
        <f>Table134[[#This Row],[purchase_history]]/Table134[[#This Row],[number_of_purchases]]</f>
        <v>5110.8580000000002</v>
      </c>
      <c r="L50" s="2">
        <f>IF(YEAR(Table134[[#This Row],[Last_Day]])=2021,5,IF(YEAR(Table134[[#This Row],[Last_Day]])=2022,7,IF(YEAR(Table134[[#This Row],[Last_Day]])=2023,10,"Không xác định")))</f>
        <v>7</v>
      </c>
      <c r="M50" s="15">
        <f>Table134[[#This Row],[avg_number_of_purchases]]*Table1345[[#This Row],[avg_purchase_value]]*Table1345[[#This Row],[expected_lifespan]]</f>
        <v>136023.35614583336</v>
      </c>
      <c r="N50" t="s">
        <v>12048</v>
      </c>
    </row>
    <row r="51" spans="1:14" x14ac:dyDescent="0.3">
      <c r="A51" s="2" t="s">
        <v>49</v>
      </c>
      <c r="B51" s="2" t="s">
        <v>12045</v>
      </c>
      <c r="C51" s="2">
        <v>45</v>
      </c>
      <c r="D51" s="2" t="s">
        <v>12041</v>
      </c>
      <c r="E51" s="2">
        <f>COUNTIF(Table16[customer_id],Table13[[#This Row],[customer_id]])</f>
        <v>6</v>
      </c>
      <c r="F51" s="13">
        <f>SUMIFS(Table16[Purchase_history],Table16[customer_id],Table13[[#This Row],[customer_id]])</f>
        <v>1935.1299999999999</v>
      </c>
      <c r="G51" s="20">
        <v>44406</v>
      </c>
      <c r="H51" s="21">
        <v>44989</v>
      </c>
      <c r="I51" s="15">
        <f>(Table134[[#This Row],[Last_Day]]-Table134[[#This Row],[First_Day]]+1)/365</f>
        <v>1.6</v>
      </c>
      <c r="J51" s="59">
        <f>Table134[[#This Row],[number_of_purchases]]/Table134[[#This Row],[customer_total_years]]</f>
        <v>3.75</v>
      </c>
      <c r="K51" s="13">
        <f>Table134[[#This Row],[purchase_history]]/Table134[[#This Row],[number_of_purchases]]</f>
        <v>322.52166666666665</v>
      </c>
      <c r="L51" s="2">
        <f>IF(YEAR(Table134[[#This Row],[Last_Day]])=2021,5,IF(YEAR(Table134[[#This Row],[Last_Day]])=2022,7,IF(YEAR(Table134[[#This Row],[Last_Day]])=2023,10,"Không xác định")))</f>
        <v>10</v>
      </c>
      <c r="M51" s="15">
        <f>Table134[[#This Row],[avg_number_of_purchases]]*Table1345[[#This Row],[avg_purchase_value]]*Table1345[[#This Row],[expected_lifespan]]</f>
        <v>12094.5625</v>
      </c>
      <c r="N51" t="s">
        <v>12046</v>
      </c>
    </row>
    <row r="52" spans="1:14" x14ac:dyDescent="0.3">
      <c r="A52" s="2" t="s">
        <v>50</v>
      </c>
      <c r="B52" s="2" t="s">
        <v>12040</v>
      </c>
      <c r="C52" s="2">
        <v>22</v>
      </c>
      <c r="D52" s="2" t="s">
        <v>12041</v>
      </c>
      <c r="E52" s="2">
        <f>COUNTIF(Table16[customer_id],Table13[[#This Row],[customer_id]])</f>
        <v>5</v>
      </c>
      <c r="F52" s="13">
        <f>SUMIFS(Table16[Purchase_history],Table16[customer_id],Table13[[#This Row],[customer_id]])</f>
        <v>1825.8600000000001</v>
      </c>
      <c r="G52" s="20">
        <v>44478</v>
      </c>
      <c r="H52" s="21">
        <v>44972</v>
      </c>
      <c r="I52" s="15">
        <f>(Table134[[#This Row],[Last_Day]]-Table134[[#This Row],[First_Day]]+1)/365</f>
        <v>1.3561643835616439</v>
      </c>
      <c r="J52" s="59">
        <f>Table134[[#This Row],[number_of_purchases]]/Table134[[#This Row],[customer_total_years]]</f>
        <v>3.6868686868686864</v>
      </c>
      <c r="K52" s="13">
        <f>Table134[[#This Row],[purchase_history]]/Table134[[#This Row],[number_of_purchases]]</f>
        <v>365.17200000000003</v>
      </c>
      <c r="L52" s="2">
        <f>IF(YEAR(Table134[[#This Row],[Last_Day]])=2021,5,IF(YEAR(Table134[[#This Row],[Last_Day]])=2022,7,IF(YEAR(Table134[[#This Row],[Last_Day]])=2023,10,"Không xác định")))</f>
        <v>10</v>
      </c>
      <c r="M52" s="15">
        <f>Table134[[#This Row],[avg_number_of_purchases]]*Table1345[[#This Row],[avg_purchase_value]]*Table1345[[#This Row],[expected_lifespan]]</f>
        <v>13463.412121212121</v>
      </c>
      <c r="N52" t="s">
        <v>12044</v>
      </c>
    </row>
    <row r="53" spans="1:14" x14ac:dyDescent="0.3">
      <c r="A53" s="2" t="s">
        <v>51</v>
      </c>
      <c r="B53" s="2" t="s">
        <v>12045</v>
      </c>
      <c r="C53" s="2">
        <v>49</v>
      </c>
      <c r="D53" s="2" t="s">
        <v>12049</v>
      </c>
      <c r="E53" s="2">
        <f>COUNTIF(Table16[customer_id],Table13[[#This Row],[customer_id]])</f>
        <v>4</v>
      </c>
      <c r="F53" s="13">
        <f>SUMIFS(Table16[Purchase_history],Table16[customer_id],Table13[[#This Row],[customer_id]])</f>
        <v>22937.08</v>
      </c>
      <c r="G53" s="20">
        <v>44272</v>
      </c>
      <c r="H53" s="21">
        <v>44888</v>
      </c>
      <c r="I53" s="15">
        <f>(Table134[[#This Row],[Last_Day]]-Table134[[#This Row],[First_Day]]+1)/365</f>
        <v>1.6904109589041096</v>
      </c>
      <c r="J53" s="59">
        <f>Table134[[#This Row],[number_of_purchases]]/Table134[[#This Row],[customer_total_years]]</f>
        <v>2.3662884927066452</v>
      </c>
      <c r="K53" s="13">
        <f>Table134[[#This Row],[purchase_history]]/Table134[[#This Row],[number_of_purchases]]</f>
        <v>5734.27</v>
      </c>
      <c r="L53" s="2">
        <f>IF(YEAR(Table134[[#This Row],[Last_Day]])=2021,5,IF(YEAR(Table134[[#This Row],[Last_Day]])=2022,7,IF(YEAR(Table134[[#This Row],[Last_Day]])=2023,10,"Không xác định")))</f>
        <v>7</v>
      </c>
      <c r="M53" s="15">
        <f>Table134[[#This Row],[avg_number_of_purchases]]*Table1345[[#This Row],[avg_purchase_value]]*Table1345[[#This Row],[expected_lifespan]]</f>
        <v>94982.559805510537</v>
      </c>
      <c r="N53" t="s">
        <v>12046</v>
      </c>
    </row>
    <row r="54" spans="1:14" x14ac:dyDescent="0.3">
      <c r="A54" s="2" t="s">
        <v>52</v>
      </c>
      <c r="B54" s="2" t="s">
        <v>12045</v>
      </c>
      <c r="C54" s="2">
        <v>52</v>
      </c>
      <c r="D54" s="2" t="s">
        <v>12049</v>
      </c>
      <c r="E54" s="2">
        <f>COUNTIF(Table16[customer_id],Table13[[#This Row],[customer_id]])</f>
        <v>5</v>
      </c>
      <c r="F54" s="13">
        <f>SUMIFS(Table16[Purchase_history],Table16[customer_id],Table13[[#This Row],[customer_id]])</f>
        <v>16101.07</v>
      </c>
      <c r="G54" s="20">
        <v>44224</v>
      </c>
      <c r="H54" s="21">
        <v>44696</v>
      </c>
      <c r="I54" s="15">
        <f>(Table134[[#This Row],[Last_Day]]-Table134[[#This Row],[First_Day]]+1)/365</f>
        <v>1.295890410958904</v>
      </c>
      <c r="J54" s="59">
        <f>Table134[[#This Row],[number_of_purchases]]/Table134[[#This Row],[customer_total_years]]</f>
        <v>3.8583509513742076</v>
      </c>
      <c r="K54" s="13">
        <f>Table134[[#This Row],[purchase_history]]/Table134[[#This Row],[number_of_purchases]]</f>
        <v>3220.2139999999999</v>
      </c>
      <c r="L54" s="2">
        <f>IF(YEAR(Table134[[#This Row],[Last_Day]])=2021,5,IF(YEAR(Table134[[#This Row],[Last_Day]])=2022,7,IF(YEAR(Table134[[#This Row],[Last_Day]])=2023,10,"Không xác định")))</f>
        <v>7</v>
      </c>
      <c r="M54" s="15">
        <f>Table134[[#This Row],[avg_number_of_purchases]]*Table1345[[#This Row],[avg_purchase_value]]*Table1345[[#This Row],[expected_lifespan]]</f>
        <v>86973.010253699802</v>
      </c>
      <c r="N54" t="s">
        <v>12046</v>
      </c>
    </row>
    <row r="55" spans="1:14" x14ac:dyDescent="0.3">
      <c r="A55" s="2" t="s">
        <v>53</v>
      </c>
      <c r="B55" s="2" t="s">
        <v>12045</v>
      </c>
      <c r="C55" s="2">
        <v>35</v>
      </c>
      <c r="D55" s="2" t="s">
        <v>12049</v>
      </c>
      <c r="E55" s="2">
        <f>COUNTIF(Table16[customer_id],Table13[[#This Row],[customer_id]])</f>
        <v>5</v>
      </c>
      <c r="F55" s="13">
        <f>SUMIFS(Table16[Purchase_history],Table16[customer_id],Table13[[#This Row],[customer_id]])</f>
        <v>6550.6099999999988</v>
      </c>
      <c r="G55" s="20">
        <v>44231</v>
      </c>
      <c r="H55" s="21">
        <v>44741</v>
      </c>
      <c r="I55" s="15">
        <f>(Table134[[#This Row],[Last_Day]]-Table134[[#This Row],[First_Day]]+1)/365</f>
        <v>1.4</v>
      </c>
      <c r="J55" s="59">
        <f>Table134[[#This Row],[number_of_purchases]]/Table134[[#This Row],[customer_total_years]]</f>
        <v>3.5714285714285716</v>
      </c>
      <c r="K55" s="13">
        <f>Table134[[#This Row],[purchase_history]]/Table134[[#This Row],[number_of_purchases]]</f>
        <v>1310.1219999999998</v>
      </c>
      <c r="L55" s="2">
        <f>IF(YEAR(Table134[[#This Row],[Last_Day]])=2021,5,IF(YEAR(Table134[[#This Row],[Last_Day]])=2022,7,IF(YEAR(Table134[[#This Row],[Last_Day]])=2023,10,"Không xác định")))</f>
        <v>7</v>
      </c>
      <c r="M55" s="15">
        <f>Table134[[#This Row],[avg_number_of_purchases]]*Table1345[[#This Row],[avg_purchase_value]]*Table1345[[#This Row],[expected_lifespan]]</f>
        <v>32753.05</v>
      </c>
      <c r="N55" t="s">
        <v>12042</v>
      </c>
    </row>
    <row r="56" spans="1:14" x14ac:dyDescent="0.3">
      <c r="A56" s="2" t="s">
        <v>54</v>
      </c>
      <c r="B56" s="2" t="s">
        <v>12040</v>
      </c>
      <c r="C56" s="2">
        <v>49</v>
      </c>
      <c r="D56" s="2" t="s">
        <v>12043</v>
      </c>
      <c r="E56" s="2">
        <f>COUNTIF(Table16[customer_id],Table13[[#This Row],[customer_id]])</f>
        <v>4</v>
      </c>
      <c r="F56" s="13">
        <f>SUMIFS(Table16[Purchase_history],Table16[customer_id],Table13[[#This Row],[customer_id]])</f>
        <v>9953.4699999999993</v>
      </c>
      <c r="G56" s="20">
        <v>44376</v>
      </c>
      <c r="H56" s="21">
        <v>44928</v>
      </c>
      <c r="I56" s="15">
        <f>(Table134[[#This Row],[Last_Day]]-Table134[[#This Row],[First_Day]]+1)/365</f>
        <v>1.515068493150685</v>
      </c>
      <c r="J56" s="59">
        <f>Table134[[#This Row],[number_of_purchases]]/Table134[[#This Row],[customer_total_years]]</f>
        <v>2.6401446654611211</v>
      </c>
      <c r="K56" s="13">
        <f>Table134[[#This Row],[purchase_history]]/Table134[[#This Row],[number_of_purchases]]</f>
        <v>2488.3674999999998</v>
      </c>
      <c r="L56" s="2">
        <f>IF(YEAR(Table134[[#This Row],[Last_Day]])=2021,5,IF(YEAR(Table134[[#This Row],[Last_Day]])=2022,7,IF(YEAR(Table134[[#This Row],[Last_Day]])=2023,10,"Không xác định")))</f>
        <v>10</v>
      </c>
      <c r="M56" s="15">
        <f>Table134[[#This Row],[avg_number_of_purchases]]*Table1345[[#This Row],[avg_purchase_value]]*Table1345[[#This Row],[expected_lifespan]]</f>
        <v>65696.501808318266</v>
      </c>
      <c r="N56" t="s">
        <v>12046</v>
      </c>
    </row>
    <row r="57" spans="1:14" x14ac:dyDescent="0.3">
      <c r="A57" s="2" t="s">
        <v>55</v>
      </c>
      <c r="B57" s="2" t="s">
        <v>12040</v>
      </c>
      <c r="C57" s="2">
        <v>45</v>
      </c>
      <c r="D57" s="2" t="s">
        <v>12041</v>
      </c>
      <c r="E57" s="2">
        <f>COUNTIF(Table16[customer_id],Table13[[#This Row],[customer_id]])</f>
        <v>13</v>
      </c>
      <c r="F57" s="13">
        <f>SUMIFS(Table16[Purchase_history],Table16[customer_id],Table13[[#This Row],[customer_id]])</f>
        <v>47766.890000000007</v>
      </c>
      <c r="G57" s="20">
        <v>44226</v>
      </c>
      <c r="H57" s="21">
        <v>44953</v>
      </c>
      <c r="I57" s="15">
        <f>(Table134[[#This Row],[Last_Day]]-Table134[[#This Row],[First_Day]]+1)/365</f>
        <v>1.9945205479452055</v>
      </c>
      <c r="J57" s="59">
        <f>Table134[[#This Row],[number_of_purchases]]/Table134[[#This Row],[customer_total_years]]</f>
        <v>6.5178571428571423</v>
      </c>
      <c r="K57" s="13">
        <f>Table134[[#This Row],[purchase_history]]/Table134[[#This Row],[number_of_purchases]]</f>
        <v>3674.3761538461545</v>
      </c>
      <c r="L57" s="2">
        <f>IF(YEAR(Table134[[#This Row],[Last_Day]])=2021,5,IF(YEAR(Table134[[#This Row],[Last_Day]])=2022,7,IF(YEAR(Table134[[#This Row],[Last_Day]])=2023,10,"Không xác định")))</f>
        <v>10</v>
      </c>
      <c r="M57" s="15">
        <f>Table134[[#This Row],[avg_number_of_purchases]]*Table1345[[#This Row],[avg_purchase_value]]*Table1345[[#This Row],[expected_lifespan]]</f>
        <v>239490.58859890111</v>
      </c>
      <c r="N57" t="s">
        <v>12048</v>
      </c>
    </row>
    <row r="58" spans="1:14" x14ac:dyDescent="0.3">
      <c r="A58" s="2" t="s">
        <v>56</v>
      </c>
      <c r="B58" s="2" t="s">
        <v>12045</v>
      </c>
      <c r="C58" s="2">
        <v>37</v>
      </c>
      <c r="D58" s="2" t="s">
        <v>12041</v>
      </c>
      <c r="E58" s="2">
        <f>COUNTIF(Table16[customer_id],Table13[[#This Row],[customer_id]])</f>
        <v>5</v>
      </c>
      <c r="F58" s="13">
        <f>SUMIFS(Table16[Purchase_history],Table16[customer_id],Table13[[#This Row],[customer_id]])</f>
        <v>11547.57</v>
      </c>
      <c r="G58" s="20">
        <v>44241</v>
      </c>
      <c r="H58" s="21">
        <v>44763</v>
      </c>
      <c r="I58" s="15">
        <f>(Table134[[#This Row],[Last_Day]]-Table134[[#This Row],[First_Day]]+1)/365</f>
        <v>1.4328767123287671</v>
      </c>
      <c r="J58" s="59">
        <f>Table134[[#This Row],[number_of_purchases]]/Table134[[#This Row],[customer_total_years]]</f>
        <v>3.4894837476099427</v>
      </c>
      <c r="K58" s="13">
        <f>Table134[[#This Row],[purchase_history]]/Table134[[#This Row],[number_of_purchases]]</f>
        <v>2309.5140000000001</v>
      </c>
      <c r="L58" s="2">
        <f>IF(YEAR(Table134[[#This Row],[Last_Day]])=2021,5,IF(YEAR(Table134[[#This Row],[Last_Day]])=2022,7,IF(YEAR(Table134[[#This Row],[Last_Day]])=2023,10,"Không xác định")))</f>
        <v>7</v>
      </c>
      <c r="M58" s="15">
        <f>Table134[[#This Row],[avg_number_of_purchases]]*Table1345[[#This Row],[avg_purchase_value]]*Table1345[[#This Row],[expected_lifespan]]</f>
        <v>56413.080975143414</v>
      </c>
      <c r="N58" t="s">
        <v>12042</v>
      </c>
    </row>
    <row r="59" spans="1:14" x14ac:dyDescent="0.3">
      <c r="A59" s="2" t="s">
        <v>57</v>
      </c>
      <c r="B59" s="2" t="s">
        <v>12040</v>
      </c>
      <c r="C59" s="2">
        <v>58</v>
      </c>
      <c r="D59" s="2" t="s">
        <v>12041</v>
      </c>
      <c r="E59" s="2">
        <f>COUNTIF(Table16[customer_id],Table13[[#This Row],[customer_id]])</f>
        <v>4</v>
      </c>
      <c r="F59" s="13">
        <f>SUMIFS(Table16[Purchase_history],Table16[customer_id],Table13[[#This Row],[customer_id]])</f>
        <v>32641.22</v>
      </c>
      <c r="G59" s="20">
        <v>44212</v>
      </c>
      <c r="H59" s="21">
        <v>44906</v>
      </c>
      <c r="I59" s="15">
        <f>(Table134[[#This Row],[Last_Day]]-Table134[[#This Row],[First_Day]]+1)/365</f>
        <v>1.904109589041096</v>
      </c>
      <c r="J59" s="59">
        <f>Table134[[#This Row],[number_of_purchases]]/Table134[[#This Row],[customer_total_years]]</f>
        <v>2.1007194244604315</v>
      </c>
      <c r="K59" s="13">
        <f>Table134[[#This Row],[purchase_history]]/Table134[[#This Row],[number_of_purchases]]</f>
        <v>8160.3050000000003</v>
      </c>
      <c r="L59" s="2">
        <f>IF(YEAR(Table134[[#This Row],[Last_Day]])=2021,5,IF(YEAR(Table134[[#This Row],[Last_Day]])=2022,7,IF(YEAR(Table134[[#This Row],[Last_Day]])=2023,10,"Không xác định")))</f>
        <v>7</v>
      </c>
      <c r="M59" s="15">
        <f>Table134[[#This Row],[avg_number_of_purchases]]*Table1345[[#This Row],[avg_purchase_value]]*Table1345[[#This Row],[expected_lifespan]]</f>
        <v>119997.57856115108</v>
      </c>
      <c r="N59" t="s">
        <v>12046</v>
      </c>
    </row>
    <row r="60" spans="1:14" x14ac:dyDescent="0.3">
      <c r="A60" s="2" t="s">
        <v>58</v>
      </c>
      <c r="B60" s="2" t="s">
        <v>12045</v>
      </c>
      <c r="C60" s="2">
        <v>23</v>
      </c>
      <c r="D60" s="2" t="s">
        <v>12041</v>
      </c>
      <c r="E60" s="2">
        <f>COUNTIF(Table16[customer_id],Table13[[#This Row],[customer_id]])</f>
        <v>5</v>
      </c>
      <c r="F60" s="13">
        <f>SUMIFS(Table16[Purchase_history],Table16[customer_id],Table13[[#This Row],[customer_id]])</f>
        <v>2551.5800000000004</v>
      </c>
      <c r="G60" s="20">
        <v>44265</v>
      </c>
      <c r="H60" s="21">
        <v>44975</v>
      </c>
      <c r="I60" s="15">
        <f>(Table134[[#This Row],[Last_Day]]-Table134[[#This Row],[First_Day]]+1)/365</f>
        <v>1.9479452054794522</v>
      </c>
      <c r="J60" s="59">
        <f>Table134[[#This Row],[number_of_purchases]]/Table134[[#This Row],[customer_total_years]]</f>
        <v>2.5668073136427565</v>
      </c>
      <c r="K60" s="13">
        <f>Table134[[#This Row],[purchase_history]]/Table134[[#This Row],[number_of_purchases]]</f>
        <v>510.31600000000009</v>
      </c>
      <c r="L60" s="2">
        <f>IF(YEAR(Table134[[#This Row],[Last_Day]])=2021,5,IF(YEAR(Table134[[#This Row],[Last_Day]])=2022,7,IF(YEAR(Table134[[#This Row],[Last_Day]])=2023,10,"Không xác định")))</f>
        <v>10</v>
      </c>
      <c r="M60" s="15">
        <f>Table134[[#This Row],[avg_number_of_purchases]]*Table1345[[#This Row],[avg_purchase_value]]*Table1345[[#This Row],[expected_lifespan]]</f>
        <v>13098.82841068917</v>
      </c>
      <c r="N60" t="s">
        <v>12048</v>
      </c>
    </row>
    <row r="61" spans="1:14" x14ac:dyDescent="0.3">
      <c r="A61" s="2" t="s">
        <v>59</v>
      </c>
      <c r="B61" s="2" t="s">
        <v>12040</v>
      </c>
      <c r="C61" s="2">
        <v>38</v>
      </c>
      <c r="D61" s="2" t="s">
        <v>12049</v>
      </c>
      <c r="E61" s="2">
        <f>COUNTIF(Table16[customer_id],Table13[[#This Row],[customer_id]])</f>
        <v>4</v>
      </c>
      <c r="F61" s="13">
        <f>SUMIFS(Table16[Purchase_history],Table16[customer_id],Table13[[#This Row],[customer_id]])</f>
        <v>15916.23</v>
      </c>
      <c r="G61" s="20">
        <v>44241</v>
      </c>
      <c r="H61" s="21">
        <v>44639</v>
      </c>
      <c r="I61" s="15">
        <f>(Table134[[#This Row],[Last_Day]]-Table134[[#This Row],[First_Day]]+1)/365</f>
        <v>1.0931506849315069</v>
      </c>
      <c r="J61" s="59">
        <f>Table134[[#This Row],[number_of_purchases]]/Table134[[#This Row],[customer_total_years]]</f>
        <v>3.659147869674185</v>
      </c>
      <c r="K61" s="13">
        <f>Table134[[#This Row],[purchase_history]]/Table134[[#This Row],[number_of_purchases]]</f>
        <v>3979.0574999999999</v>
      </c>
      <c r="L61" s="2">
        <f>IF(YEAR(Table134[[#This Row],[Last_Day]])=2021,5,IF(YEAR(Table134[[#This Row],[Last_Day]])=2022,7,IF(YEAR(Table134[[#This Row],[Last_Day]])=2023,10,"Không xác định")))</f>
        <v>7</v>
      </c>
      <c r="M61" s="15">
        <f>Table134[[#This Row],[avg_number_of_purchases]]*Table1345[[#This Row],[avg_purchase_value]]*Table1345[[#This Row],[expected_lifespan]]</f>
        <v>101919.71842105262</v>
      </c>
      <c r="N61" t="s">
        <v>12044</v>
      </c>
    </row>
    <row r="62" spans="1:14" x14ac:dyDescent="0.3">
      <c r="A62" s="2" t="s">
        <v>60</v>
      </c>
      <c r="B62" s="2" t="s">
        <v>12040</v>
      </c>
      <c r="C62" s="2">
        <v>66</v>
      </c>
      <c r="D62" s="2" t="s">
        <v>12043</v>
      </c>
      <c r="E62" s="2">
        <f>COUNTIF(Table16[customer_id],Table13[[#This Row],[customer_id]])</f>
        <v>3</v>
      </c>
      <c r="F62" s="13">
        <f>SUMIFS(Table16[Purchase_history],Table16[customer_id],Table13[[#This Row],[customer_id]])</f>
        <v>3366.7400000000002</v>
      </c>
      <c r="G62" s="20">
        <v>44823</v>
      </c>
      <c r="H62" s="21">
        <v>44933</v>
      </c>
      <c r="I62" s="15">
        <f>(Table134[[#This Row],[Last_Day]]-Table134[[#This Row],[First_Day]]+1)/365</f>
        <v>0.30410958904109592</v>
      </c>
      <c r="J62" s="59">
        <f>Table134[[#This Row],[number_of_purchases]]/Table134[[#This Row],[customer_total_years]]</f>
        <v>9.8648648648648631</v>
      </c>
      <c r="K62" s="13">
        <f>Table134[[#This Row],[purchase_history]]/Table134[[#This Row],[number_of_purchases]]</f>
        <v>1122.2466666666667</v>
      </c>
      <c r="L62" s="2">
        <f>IF(YEAR(Table134[[#This Row],[Last_Day]])=2021,5,IF(YEAR(Table134[[#This Row],[Last_Day]])=2022,7,IF(YEAR(Table134[[#This Row],[Last_Day]])=2023,10,"Không xác định")))</f>
        <v>10</v>
      </c>
      <c r="M62" s="15">
        <f>Table134[[#This Row],[avg_number_of_purchases]]*Table1345[[#This Row],[avg_purchase_value]]*Table1345[[#This Row],[expected_lifespan]]</f>
        <v>110708.11711711709</v>
      </c>
      <c r="N62" t="s">
        <v>12042</v>
      </c>
    </row>
    <row r="63" spans="1:14" x14ac:dyDescent="0.3">
      <c r="A63" s="2" t="s">
        <v>61</v>
      </c>
      <c r="B63" s="2" t="s">
        <v>12045</v>
      </c>
      <c r="C63" s="2">
        <v>50</v>
      </c>
      <c r="D63" s="2" t="s">
        <v>12041</v>
      </c>
      <c r="E63" s="2">
        <f>COUNTIF(Table16[customer_id],Table13[[#This Row],[customer_id]])</f>
        <v>6</v>
      </c>
      <c r="F63" s="13">
        <f>SUMIFS(Table16[Purchase_history],Table16[customer_id],Table13[[#This Row],[customer_id]])</f>
        <v>15086.159999999998</v>
      </c>
      <c r="G63" s="20">
        <v>44251</v>
      </c>
      <c r="H63" s="21">
        <v>44857</v>
      </c>
      <c r="I63" s="15">
        <f>(Table134[[#This Row],[Last_Day]]-Table134[[#This Row],[First_Day]]+1)/365</f>
        <v>1.6630136986301369</v>
      </c>
      <c r="J63" s="59">
        <f>Table134[[#This Row],[number_of_purchases]]/Table134[[#This Row],[customer_total_years]]</f>
        <v>3.6079077429983526</v>
      </c>
      <c r="K63" s="13">
        <f>Table134[[#This Row],[purchase_history]]/Table134[[#This Row],[number_of_purchases]]</f>
        <v>2514.3599999999997</v>
      </c>
      <c r="L63" s="2">
        <f>IF(YEAR(Table134[[#This Row],[Last_Day]])=2021,5,IF(YEAR(Table134[[#This Row],[Last_Day]])=2022,7,IF(YEAR(Table134[[#This Row],[Last_Day]])=2023,10,"Không xác định")))</f>
        <v>7</v>
      </c>
      <c r="M63" s="15">
        <f>Table134[[#This Row],[avg_number_of_purchases]]*Table1345[[#This Row],[avg_purchase_value]]*Table1345[[#This Row],[expected_lifespan]]</f>
        <v>63501.052388797354</v>
      </c>
      <c r="N63" t="s">
        <v>12042</v>
      </c>
    </row>
    <row r="64" spans="1:14" x14ac:dyDescent="0.3">
      <c r="A64" s="2" t="s">
        <v>62</v>
      </c>
      <c r="B64" s="2" t="s">
        <v>12045</v>
      </c>
      <c r="C64" s="2">
        <v>38</v>
      </c>
      <c r="D64" s="2" t="s">
        <v>12043</v>
      </c>
      <c r="E64" s="2">
        <f>COUNTIF(Table16[customer_id],Table13[[#This Row],[customer_id]])</f>
        <v>2</v>
      </c>
      <c r="F64" s="13">
        <f>SUMIFS(Table16[Purchase_history],Table16[customer_id],Table13[[#This Row],[customer_id]])</f>
        <v>1147.25</v>
      </c>
      <c r="G64" s="20">
        <v>44794</v>
      </c>
      <c r="H64" s="21">
        <v>44855</v>
      </c>
      <c r="I64" s="15">
        <f>(Table134[[#This Row],[Last_Day]]-Table134[[#This Row],[First_Day]]+1)/365</f>
        <v>0.16986301369863013</v>
      </c>
      <c r="J64" s="59">
        <f>Table134[[#This Row],[number_of_purchases]]/Table134[[#This Row],[customer_total_years]]</f>
        <v>11.774193548387098</v>
      </c>
      <c r="K64" s="13">
        <f>Table134[[#This Row],[purchase_history]]/Table134[[#This Row],[number_of_purchases]]</f>
        <v>573.625</v>
      </c>
      <c r="L64" s="2">
        <f>IF(YEAR(Table134[[#This Row],[Last_Day]])=2021,5,IF(YEAR(Table134[[#This Row],[Last_Day]])=2022,7,IF(YEAR(Table134[[#This Row],[Last_Day]])=2023,10,"Không xác định")))</f>
        <v>7</v>
      </c>
      <c r="M64" s="15">
        <f>Table134[[#This Row],[avg_number_of_purchases]]*Table1345[[#This Row],[avg_purchase_value]]*Table1345[[#This Row],[expected_lifespan]]</f>
        <v>47277.802419354848</v>
      </c>
      <c r="N64" t="s">
        <v>12048</v>
      </c>
    </row>
    <row r="65" spans="1:14" x14ac:dyDescent="0.3">
      <c r="A65" s="2" t="s">
        <v>63</v>
      </c>
      <c r="B65" s="2" t="s">
        <v>12045</v>
      </c>
      <c r="C65" s="2">
        <v>49</v>
      </c>
      <c r="D65" s="2" t="s">
        <v>12043</v>
      </c>
      <c r="E65" s="2">
        <f>COUNTIF(Table16[customer_id],Table13[[#This Row],[customer_id]])</f>
        <v>7</v>
      </c>
      <c r="F65" s="13">
        <f>SUMIFS(Table16[Purchase_history],Table16[customer_id],Table13[[#This Row],[customer_id]])</f>
        <v>31068.26</v>
      </c>
      <c r="G65" s="20">
        <v>44385</v>
      </c>
      <c r="H65" s="21">
        <v>44825</v>
      </c>
      <c r="I65" s="15">
        <f>(Table134[[#This Row],[Last_Day]]-Table134[[#This Row],[First_Day]]+1)/365</f>
        <v>1.2082191780821918</v>
      </c>
      <c r="J65" s="59">
        <f>Table134[[#This Row],[number_of_purchases]]/Table134[[#This Row],[customer_total_years]]</f>
        <v>5.7936507936507935</v>
      </c>
      <c r="K65" s="13">
        <f>Table134[[#This Row],[purchase_history]]/Table134[[#This Row],[number_of_purchases]]</f>
        <v>4438.3228571428572</v>
      </c>
      <c r="L65" s="2">
        <f>IF(YEAR(Table134[[#This Row],[Last_Day]])=2021,5,IF(YEAR(Table134[[#This Row],[Last_Day]])=2022,7,IF(YEAR(Table134[[#This Row],[Last_Day]])=2023,10,"Không xác định")))</f>
        <v>7</v>
      </c>
      <c r="M65" s="15">
        <f>Table134[[#This Row],[avg_number_of_purchases]]*Table1345[[#This Row],[avg_purchase_value]]*Table1345[[#This Row],[expected_lifespan]]</f>
        <v>179998.64920634922</v>
      </c>
      <c r="N65" t="s">
        <v>12042</v>
      </c>
    </row>
    <row r="66" spans="1:14" x14ac:dyDescent="0.3">
      <c r="A66" s="2" t="s">
        <v>64</v>
      </c>
      <c r="B66" s="2" t="s">
        <v>12045</v>
      </c>
      <c r="C66" s="2">
        <v>67</v>
      </c>
      <c r="D66" s="2" t="s">
        <v>12041</v>
      </c>
      <c r="E66" s="2">
        <f>COUNTIF(Table16[customer_id],Table13[[#This Row],[customer_id]])</f>
        <v>5</v>
      </c>
      <c r="F66" s="13">
        <f>SUMIFS(Table16[Purchase_history],Table16[customer_id],Table13[[#This Row],[customer_id]])</f>
        <v>8786.0399999999991</v>
      </c>
      <c r="G66" s="20">
        <v>44268</v>
      </c>
      <c r="H66" s="21">
        <v>44853</v>
      </c>
      <c r="I66" s="15">
        <f>(Table134[[#This Row],[Last_Day]]-Table134[[#This Row],[First_Day]]+1)/365</f>
        <v>1.6054794520547946</v>
      </c>
      <c r="J66" s="59">
        <f>Table134[[#This Row],[number_of_purchases]]/Table134[[#This Row],[customer_total_years]]</f>
        <v>3.1143344709897609</v>
      </c>
      <c r="K66" s="13">
        <f>Table134[[#This Row],[purchase_history]]/Table134[[#This Row],[number_of_purchases]]</f>
        <v>1757.2079999999999</v>
      </c>
      <c r="L66" s="2">
        <f>IF(YEAR(Table134[[#This Row],[Last_Day]])=2021,5,IF(YEAR(Table134[[#This Row],[Last_Day]])=2022,7,IF(YEAR(Table134[[#This Row],[Last_Day]])=2023,10,"Không xác định")))</f>
        <v>7</v>
      </c>
      <c r="M66" s="15">
        <f>Table134[[#This Row],[avg_number_of_purchases]]*Table1345[[#This Row],[avg_purchase_value]]*Table1345[[#This Row],[expected_lifespan]]</f>
        <v>38307.734129692828</v>
      </c>
      <c r="N66" t="s">
        <v>12042</v>
      </c>
    </row>
    <row r="67" spans="1:14" x14ac:dyDescent="0.3">
      <c r="A67" s="2" t="s">
        <v>65</v>
      </c>
      <c r="B67" s="2" t="s">
        <v>12045</v>
      </c>
      <c r="C67" s="2">
        <v>23</v>
      </c>
      <c r="D67" s="2" t="s">
        <v>12049</v>
      </c>
      <c r="E67" s="2">
        <f>COUNTIF(Table16[customer_id],Table13[[#This Row],[customer_id]])</f>
        <v>6</v>
      </c>
      <c r="F67" s="13">
        <f>SUMIFS(Table16[Purchase_history],Table16[customer_id],Table13[[#This Row],[customer_id]])</f>
        <v>33959.69</v>
      </c>
      <c r="G67" s="20">
        <v>44197</v>
      </c>
      <c r="H67" s="21">
        <v>44783</v>
      </c>
      <c r="I67" s="15">
        <f>(Table134[[#This Row],[Last_Day]]-Table134[[#This Row],[First_Day]]+1)/365</f>
        <v>1.6082191780821917</v>
      </c>
      <c r="J67" s="59">
        <f>Table134[[#This Row],[number_of_purchases]]/Table134[[#This Row],[customer_total_years]]</f>
        <v>3.7308347529812607</v>
      </c>
      <c r="K67" s="13">
        <f>Table134[[#This Row],[purchase_history]]/Table134[[#This Row],[number_of_purchases]]</f>
        <v>5659.9483333333337</v>
      </c>
      <c r="L67" s="2">
        <f>IF(YEAR(Table134[[#This Row],[Last_Day]])=2021,5,IF(YEAR(Table134[[#This Row],[Last_Day]])=2022,7,IF(YEAR(Table134[[#This Row],[Last_Day]])=2023,10,"Không xác định")))</f>
        <v>7</v>
      </c>
      <c r="M67" s="15">
        <f>Table134[[#This Row],[avg_number_of_purchases]]*Table1345[[#This Row],[avg_purchase_value]]*Table1345[[#This Row],[expected_lifespan]]</f>
        <v>147814.32359454856</v>
      </c>
      <c r="N67" t="s">
        <v>12048</v>
      </c>
    </row>
    <row r="68" spans="1:14" x14ac:dyDescent="0.3">
      <c r="A68" s="2" t="s">
        <v>66</v>
      </c>
      <c r="B68" s="2" t="s">
        <v>12045</v>
      </c>
      <c r="C68" s="2">
        <v>26</v>
      </c>
      <c r="D68" s="2" t="s">
        <v>12041</v>
      </c>
      <c r="E68" s="2">
        <f>COUNTIF(Table16[customer_id],Table13[[#This Row],[customer_id]])</f>
        <v>9</v>
      </c>
      <c r="F68" s="13">
        <f>SUMIFS(Table16[Purchase_history],Table16[customer_id],Table13[[#This Row],[customer_id]])</f>
        <v>19242.489999999998</v>
      </c>
      <c r="G68" s="20">
        <v>44285</v>
      </c>
      <c r="H68" s="21">
        <v>44878</v>
      </c>
      <c r="I68" s="15">
        <f>(Table134[[#This Row],[Last_Day]]-Table134[[#This Row],[First_Day]]+1)/365</f>
        <v>1.6273972602739726</v>
      </c>
      <c r="J68" s="59">
        <f>Table134[[#This Row],[number_of_purchases]]/Table134[[#This Row],[customer_total_years]]</f>
        <v>5.5303030303030303</v>
      </c>
      <c r="K68" s="13">
        <f>Table134[[#This Row],[purchase_history]]/Table134[[#This Row],[number_of_purchases]]</f>
        <v>2138.054444444444</v>
      </c>
      <c r="L68" s="2">
        <f>IF(YEAR(Table134[[#This Row],[Last_Day]])=2021,5,IF(YEAR(Table134[[#This Row],[Last_Day]])=2022,7,IF(YEAR(Table134[[#This Row],[Last_Day]])=2023,10,"Không xác định")))</f>
        <v>7</v>
      </c>
      <c r="M68" s="15">
        <f>Table134[[#This Row],[avg_number_of_purchases]]*Table1345[[#This Row],[avg_purchase_value]]*Table1345[[#This Row],[expected_lifespan]]</f>
        <v>82768.622811447785</v>
      </c>
      <c r="N68" t="s">
        <v>12048</v>
      </c>
    </row>
    <row r="69" spans="1:14" x14ac:dyDescent="0.3">
      <c r="A69" s="2" t="s">
        <v>67</v>
      </c>
      <c r="B69" s="2" t="s">
        <v>12040</v>
      </c>
      <c r="C69" s="2">
        <v>41</v>
      </c>
      <c r="D69" s="2" t="s">
        <v>12043</v>
      </c>
      <c r="E69" s="2">
        <f>COUNTIF(Table16[customer_id],Table13[[#This Row],[customer_id]])</f>
        <v>5</v>
      </c>
      <c r="F69" s="13">
        <f>SUMIFS(Table16[Purchase_history],Table16[customer_id],Table13[[#This Row],[customer_id]])</f>
        <v>41462.78</v>
      </c>
      <c r="G69" s="20">
        <v>44248</v>
      </c>
      <c r="H69" s="21">
        <v>44918</v>
      </c>
      <c r="I69" s="15">
        <f>(Table134[[#This Row],[Last_Day]]-Table134[[#This Row],[First_Day]]+1)/365</f>
        <v>1.8383561643835618</v>
      </c>
      <c r="J69" s="59">
        <f>Table134[[#This Row],[number_of_purchases]]/Table134[[#This Row],[customer_total_years]]</f>
        <v>2.7198211624441133</v>
      </c>
      <c r="K69" s="13">
        <f>Table134[[#This Row],[purchase_history]]/Table134[[#This Row],[number_of_purchases]]</f>
        <v>8292.5560000000005</v>
      </c>
      <c r="L69" s="2">
        <f>IF(YEAR(Table134[[#This Row],[Last_Day]])=2021,5,IF(YEAR(Table134[[#This Row],[Last_Day]])=2022,7,IF(YEAR(Table134[[#This Row],[Last_Day]])=2023,10,"Không xác định")))</f>
        <v>7</v>
      </c>
      <c r="M69" s="15">
        <f>Table134[[#This Row],[avg_number_of_purchases]]*Table1345[[#This Row],[avg_purchase_value]]*Table1345[[#This Row],[expected_lifespan]]</f>
        <v>157879.88509687036</v>
      </c>
      <c r="N69" t="s">
        <v>12042</v>
      </c>
    </row>
    <row r="70" spans="1:14" x14ac:dyDescent="0.3">
      <c r="A70" s="2" t="s">
        <v>68</v>
      </c>
      <c r="B70" s="2" t="s">
        <v>12040</v>
      </c>
      <c r="C70" s="2">
        <v>67</v>
      </c>
      <c r="D70" s="2" t="s">
        <v>12049</v>
      </c>
      <c r="E70" s="2">
        <f>COUNTIF(Table16[customer_id],Table13[[#This Row],[customer_id]])</f>
        <v>8</v>
      </c>
      <c r="F70" s="13">
        <f>SUMIFS(Table16[Purchase_history],Table16[customer_id],Table13[[#This Row],[customer_id]])</f>
        <v>21241.360000000001</v>
      </c>
      <c r="G70" s="20">
        <v>44322</v>
      </c>
      <c r="H70" s="21">
        <v>44935</v>
      </c>
      <c r="I70" s="15">
        <f>(Table134[[#This Row],[Last_Day]]-Table134[[#This Row],[First_Day]]+1)/365</f>
        <v>1.6821917808219178</v>
      </c>
      <c r="J70" s="59">
        <f>Table134[[#This Row],[number_of_purchases]]/Table134[[#This Row],[customer_total_years]]</f>
        <v>4.7557003257328994</v>
      </c>
      <c r="K70" s="13">
        <f>Table134[[#This Row],[purchase_history]]/Table134[[#This Row],[number_of_purchases]]</f>
        <v>2655.17</v>
      </c>
      <c r="L70" s="2">
        <f>IF(YEAR(Table134[[#This Row],[Last_Day]])=2021,5,IF(YEAR(Table134[[#This Row],[Last_Day]])=2022,7,IF(YEAR(Table134[[#This Row],[Last_Day]])=2023,10,"Không xác định")))</f>
        <v>10</v>
      </c>
      <c r="M70" s="15">
        <f>Table134[[#This Row],[avg_number_of_purchases]]*Table1345[[#This Row],[avg_purchase_value]]*Table1345[[#This Row],[expected_lifespan]]</f>
        <v>126271.92833876223</v>
      </c>
      <c r="N70" t="s">
        <v>12047</v>
      </c>
    </row>
    <row r="71" spans="1:14" x14ac:dyDescent="0.3">
      <c r="A71" s="2" t="s">
        <v>69</v>
      </c>
      <c r="B71" s="2" t="s">
        <v>12040</v>
      </c>
      <c r="C71" s="2">
        <v>20</v>
      </c>
      <c r="D71" s="2" t="s">
        <v>12041</v>
      </c>
      <c r="E71" s="2">
        <f>COUNTIF(Table16[customer_id],Table13[[#This Row],[customer_id]])</f>
        <v>5</v>
      </c>
      <c r="F71" s="13">
        <f>SUMIFS(Table16[Purchase_history],Table16[customer_id],Table13[[#This Row],[customer_id]])</f>
        <v>3240.85</v>
      </c>
      <c r="G71" s="20">
        <v>44353</v>
      </c>
      <c r="H71" s="21">
        <v>44909</v>
      </c>
      <c r="I71" s="15">
        <f>(Table134[[#This Row],[Last_Day]]-Table134[[#This Row],[First_Day]]+1)/365</f>
        <v>1.526027397260274</v>
      </c>
      <c r="J71" s="59">
        <f>Table134[[#This Row],[number_of_purchases]]/Table134[[#This Row],[customer_total_years]]</f>
        <v>3.2764811490125672</v>
      </c>
      <c r="K71" s="13">
        <f>Table134[[#This Row],[purchase_history]]/Table134[[#This Row],[number_of_purchases]]</f>
        <v>648.16999999999996</v>
      </c>
      <c r="L71" s="2">
        <f>IF(YEAR(Table134[[#This Row],[Last_Day]])=2021,5,IF(YEAR(Table134[[#This Row],[Last_Day]])=2022,7,IF(YEAR(Table134[[#This Row],[Last_Day]])=2023,10,"Không xác định")))</f>
        <v>7</v>
      </c>
      <c r="M71" s="15">
        <f>Table134[[#This Row],[avg_number_of_purchases]]*Table1345[[#This Row],[avg_purchase_value]]*Table1345[[#This Row],[expected_lifespan]]</f>
        <v>14866.017504488329</v>
      </c>
      <c r="N71" t="s">
        <v>12046</v>
      </c>
    </row>
    <row r="72" spans="1:14" x14ac:dyDescent="0.3">
      <c r="A72" s="2" t="s">
        <v>70</v>
      </c>
      <c r="B72" s="2" t="s">
        <v>12040</v>
      </c>
      <c r="C72" s="2">
        <v>21</v>
      </c>
      <c r="D72" s="2" t="s">
        <v>12043</v>
      </c>
      <c r="E72" s="2">
        <f>COUNTIF(Table16[customer_id],Table13[[#This Row],[customer_id]])</f>
        <v>2</v>
      </c>
      <c r="F72" s="13">
        <f>SUMIFS(Table16[Purchase_history],Table16[customer_id],Table13[[#This Row],[customer_id]])</f>
        <v>12903.529999999999</v>
      </c>
      <c r="G72" s="20">
        <v>44280</v>
      </c>
      <c r="H72" s="21">
        <v>44476</v>
      </c>
      <c r="I72" s="15">
        <f>(Table134[[#This Row],[Last_Day]]-Table134[[#This Row],[First_Day]]+1)/365</f>
        <v>0.53972602739726028</v>
      </c>
      <c r="J72" s="59">
        <f>Table134[[#This Row],[number_of_purchases]]/Table134[[#This Row],[customer_total_years]]</f>
        <v>3.7055837563451774</v>
      </c>
      <c r="K72" s="13">
        <f>Table134[[#This Row],[purchase_history]]/Table134[[#This Row],[number_of_purchases]]</f>
        <v>6451.7649999999994</v>
      </c>
      <c r="L72" s="2">
        <f>IF(YEAR(Table134[[#This Row],[Last_Day]])=2021,5,IF(YEAR(Table134[[#This Row],[Last_Day]])=2022,7,IF(YEAR(Table134[[#This Row],[Last_Day]])=2023,10,"Không xác định")))</f>
        <v>5</v>
      </c>
      <c r="M72" s="15">
        <f>Table134[[#This Row],[avg_number_of_purchases]]*Table1345[[#This Row],[avg_purchase_value]]*Table1345[[#This Row],[expected_lifespan]]</f>
        <v>119537.77791878171</v>
      </c>
      <c r="N72" t="s">
        <v>12042</v>
      </c>
    </row>
    <row r="73" spans="1:14" x14ac:dyDescent="0.3">
      <c r="A73" s="2" t="s">
        <v>71</v>
      </c>
      <c r="B73" s="2" t="s">
        <v>12040</v>
      </c>
      <c r="C73" s="2">
        <v>41</v>
      </c>
      <c r="D73" s="2" t="s">
        <v>12043</v>
      </c>
      <c r="E73" s="2">
        <f>COUNTIF(Table16[customer_id],Table13[[#This Row],[customer_id]])</f>
        <v>7</v>
      </c>
      <c r="F73" s="13">
        <f>SUMIFS(Table16[Purchase_history],Table16[customer_id],Table13[[#This Row],[customer_id]])</f>
        <v>28151.85</v>
      </c>
      <c r="G73" s="20">
        <v>44257</v>
      </c>
      <c r="H73" s="21">
        <v>44806</v>
      </c>
      <c r="I73" s="15">
        <f>(Table134[[#This Row],[Last_Day]]-Table134[[#This Row],[First_Day]]+1)/365</f>
        <v>1.5068493150684932</v>
      </c>
      <c r="J73" s="59">
        <f>Table134[[#This Row],[number_of_purchases]]/Table134[[#This Row],[customer_total_years]]</f>
        <v>4.6454545454545455</v>
      </c>
      <c r="K73" s="13">
        <f>Table134[[#This Row],[purchase_history]]/Table134[[#This Row],[number_of_purchases]]</f>
        <v>4021.6928571428571</v>
      </c>
      <c r="L73" s="2">
        <f>IF(YEAR(Table134[[#This Row],[Last_Day]])=2021,5,IF(YEAR(Table134[[#This Row],[Last_Day]])=2022,7,IF(YEAR(Table134[[#This Row],[Last_Day]])=2023,10,"Không xác định")))</f>
        <v>7</v>
      </c>
      <c r="M73" s="15">
        <f>Table134[[#This Row],[avg_number_of_purchases]]*Table1345[[#This Row],[avg_purchase_value]]*Table1345[[#This Row],[expected_lifespan]]</f>
        <v>130778.13954545453</v>
      </c>
      <c r="N73" t="s">
        <v>12042</v>
      </c>
    </row>
    <row r="74" spans="1:14" x14ac:dyDescent="0.3">
      <c r="A74" s="2" t="s">
        <v>72</v>
      </c>
      <c r="B74" s="2" t="s">
        <v>12040</v>
      </c>
      <c r="C74" s="2">
        <v>50</v>
      </c>
      <c r="D74" s="2" t="s">
        <v>12043</v>
      </c>
      <c r="E74" s="2">
        <f>COUNTIF(Table16[customer_id],Table13[[#This Row],[customer_id]])</f>
        <v>5</v>
      </c>
      <c r="F74" s="13">
        <f>SUMIFS(Table16[Purchase_history],Table16[customer_id],Table13[[#This Row],[customer_id]])</f>
        <v>23121.489999999998</v>
      </c>
      <c r="G74" s="20">
        <v>44283</v>
      </c>
      <c r="H74" s="21">
        <v>44978</v>
      </c>
      <c r="I74" s="15">
        <f>(Table134[[#This Row],[Last_Day]]-Table134[[#This Row],[First_Day]]+1)/365</f>
        <v>1.9068493150684931</v>
      </c>
      <c r="J74" s="59">
        <f>Table134[[#This Row],[number_of_purchases]]/Table134[[#This Row],[customer_total_years]]</f>
        <v>2.6221264367816093</v>
      </c>
      <c r="K74" s="13">
        <f>Table134[[#This Row],[purchase_history]]/Table134[[#This Row],[number_of_purchases]]</f>
        <v>4624.2979999999998</v>
      </c>
      <c r="L74" s="2">
        <f>IF(YEAR(Table134[[#This Row],[Last_Day]])=2021,5,IF(YEAR(Table134[[#This Row],[Last_Day]])=2022,7,IF(YEAR(Table134[[#This Row],[Last_Day]])=2023,10,"Không xác định")))</f>
        <v>10</v>
      </c>
      <c r="M74" s="15">
        <f>Table134[[#This Row],[avg_number_of_purchases]]*Table1345[[#This Row],[avg_purchase_value]]*Table1345[[#This Row],[expected_lifespan]]</f>
        <v>121254.94037356322</v>
      </c>
      <c r="N74" t="s">
        <v>12046</v>
      </c>
    </row>
    <row r="75" spans="1:14" x14ac:dyDescent="0.3">
      <c r="A75" s="2" t="s">
        <v>73</v>
      </c>
      <c r="B75" s="2" t="s">
        <v>12045</v>
      </c>
      <c r="C75" s="2">
        <v>46</v>
      </c>
      <c r="D75" s="2" t="s">
        <v>12043</v>
      </c>
      <c r="E75" s="2">
        <f>COUNTIF(Table16[customer_id],Table13[[#This Row],[customer_id]])</f>
        <v>2</v>
      </c>
      <c r="F75" s="13">
        <f>SUMIFS(Table16[Purchase_history],Table16[customer_id],Table13[[#This Row],[customer_id]])</f>
        <v>5101.3599999999997</v>
      </c>
      <c r="G75" s="20">
        <v>44492</v>
      </c>
      <c r="H75" s="21">
        <v>44945</v>
      </c>
      <c r="I75" s="15">
        <f>(Table134[[#This Row],[Last_Day]]-Table134[[#This Row],[First_Day]]+1)/365</f>
        <v>1.2438356164383562</v>
      </c>
      <c r="J75" s="59">
        <f>Table134[[#This Row],[number_of_purchases]]/Table134[[#This Row],[customer_total_years]]</f>
        <v>1.6079295154185023</v>
      </c>
      <c r="K75" s="13">
        <f>Table134[[#This Row],[purchase_history]]/Table134[[#This Row],[number_of_purchases]]</f>
        <v>2550.6799999999998</v>
      </c>
      <c r="L75" s="2">
        <f>IF(YEAR(Table134[[#This Row],[Last_Day]])=2021,5,IF(YEAR(Table134[[#This Row],[Last_Day]])=2022,7,IF(YEAR(Table134[[#This Row],[Last_Day]])=2023,10,"Không xác định")))</f>
        <v>10</v>
      </c>
      <c r="M75" s="15">
        <f>Table134[[#This Row],[avg_number_of_purchases]]*Table1345[[#This Row],[avg_purchase_value]]*Table1345[[#This Row],[expected_lifespan]]</f>
        <v>41013.136563876651</v>
      </c>
      <c r="N75" t="s">
        <v>12048</v>
      </c>
    </row>
    <row r="76" spans="1:14" x14ac:dyDescent="0.3">
      <c r="A76" s="2" t="s">
        <v>74</v>
      </c>
      <c r="B76" s="2" t="s">
        <v>12045</v>
      </c>
      <c r="C76" s="2">
        <v>21</v>
      </c>
      <c r="D76" s="2" t="s">
        <v>12049</v>
      </c>
      <c r="E76" s="2">
        <f>COUNTIF(Table16[customer_id],Table13[[#This Row],[customer_id]])</f>
        <v>4</v>
      </c>
      <c r="F76" s="13">
        <f>SUMIFS(Table16[Purchase_history],Table16[customer_id],Table13[[#This Row],[customer_id]])</f>
        <v>25507.18</v>
      </c>
      <c r="G76" s="20">
        <v>44290</v>
      </c>
      <c r="H76" s="21">
        <v>44880</v>
      </c>
      <c r="I76" s="15">
        <f>(Table134[[#This Row],[Last_Day]]-Table134[[#This Row],[First_Day]]+1)/365</f>
        <v>1.6191780821917807</v>
      </c>
      <c r="J76" s="59">
        <f>Table134[[#This Row],[number_of_purchases]]/Table134[[#This Row],[customer_total_years]]</f>
        <v>2.4703891708967851</v>
      </c>
      <c r="K76" s="13">
        <f>Table134[[#This Row],[purchase_history]]/Table134[[#This Row],[number_of_purchases]]</f>
        <v>6376.7950000000001</v>
      </c>
      <c r="L76" s="2">
        <f>IF(YEAR(Table134[[#This Row],[Last_Day]])=2021,5,IF(YEAR(Table134[[#This Row],[Last_Day]])=2022,7,IF(YEAR(Table134[[#This Row],[Last_Day]])=2023,10,"Không xác định")))</f>
        <v>7</v>
      </c>
      <c r="M76" s="15">
        <f>Table134[[#This Row],[avg_number_of_purchases]]*Table1345[[#This Row],[avg_purchase_value]]*Table1345[[#This Row],[expected_lifespan]]</f>
        <v>110272.15719120136</v>
      </c>
      <c r="N76" t="s">
        <v>12048</v>
      </c>
    </row>
    <row r="77" spans="1:14" x14ac:dyDescent="0.3">
      <c r="A77" s="2" t="s">
        <v>75</v>
      </c>
      <c r="B77" s="2" t="s">
        <v>12040</v>
      </c>
      <c r="C77" s="2">
        <v>53</v>
      </c>
      <c r="D77" s="2" t="s">
        <v>12041</v>
      </c>
      <c r="E77" s="2">
        <f>COUNTIF(Table16[customer_id],Table13[[#This Row],[customer_id]])</f>
        <v>9</v>
      </c>
      <c r="F77" s="13">
        <f>SUMIFS(Table16[Purchase_history],Table16[customer_id],Table13[[#This Row],[customer_id]])</f>
        <v>2430.8599999999997</v>
      </c>
      <c r="G77" s="20">
        <v>44235</v>
      </c>
      <c r="H77" s="21">
        <v>44986</v>
      </c>
      <c r="I77" s="15">
        <f>(Table134[[#This Row],[Last_Day]]-Table134[[#This Row],[First_Day]]+1)/365</f>
        <v>2.0602739726027397</v>
      </c>
      <c r="J77" s="59">
        <f>Table134[[#This Row],[number_of_purchases]]/Table134[[#This Row],[customer_total_years]]</f>
        <v>4.3683510638297873</v>
      </c>
      <c r="K77" s="13">
        <f>Table134[[#This Row],[purchase_history]]/Table134[[#This Row],[number_of_purchases]]</f>
        <v>270.09555555555551</v>
      </c>
      <c r="L77" s="2">
        <f>IF(YEAR(Table134[[#This Row],[Last_Day]])=2021,5,IF(YEAR(Table134[[#This Row],[Last_Day]])=2022,7,IF(YEAR(Table134[[#This Row],[Last_Day]])=2023,10,"Không xác định")))</f>
        <v>10</v>
      </c>
      <c r="M77" s="15">
        <f>Table134[[#This Row],[avg_number_of_purchases]]*Table1345[[#This Row],[avg_purchase_value]]*Table1345[[#This Row],[expected_lifespan]]</f>
        <v>11798.722074468082</v>
      </c>
      <c r="N77" t="s">
        <v>12042</v>
      </c>
    </row>
    <row r="78" spans="1:14" x14ac:dyDescent="0.3">
      <c r="A78" s="2" t="s">
        <v>76</v>
      </c>
      <c r="B78" s="2" t="s">
        <v>12045</v>
      </c>
      <c r="C78" s="2">
        <v>25</v>
      </c>
      <c r="D78" s="2" t="s">
        <v>12041</v>
      </c>
      <c r="E78" s="2">
        <f>COUNTIF(Table16[customer_id],Table13[[#This Row],[customer_id]])</f>
        <v>7</v>
      </c>
      <c r="F78" s="13">
        <f>SUMIFS(Table16[Purchase_history],Table16[customer_id],Table13[[#This Row],[customer_id]])</f>
        <v>17048.559999999998</v>
      </c>
      <c r="G78" s="20">
        <v>44348</v>
      </c>
      <c r="H78" s="21">
        <v>44766</v>
      </c>
      <c r="I78" s="15">
        <f>(Table134[[#This Row],[Last_Day]]-Table134[[#This Row],[First_Day]]+1)/365</f>
        <v>1.1479452054794521</v>
      </c>
      <c r="J78" s="59">
        <f>Table134[[#This Row],[number_of_purchases]]/Table134[[#This Row],[customer_total_years]]</f>
        <v>6.0978520286396174</v>
      </c>
      <c r="K78" s="13">
        <f>Table134[[#This Row],[purchase_history]]/Table134[[#This Row],[number_of_purchases]]</f>
        <v>2435.508571428571</v>
      </c>
      <c r="L78" s="2">
        <f>IF(YEAR(Table134[[#This Row],[Last_Day]])=2021,5,IF(YEAR(Table134[[#This Row],[Last_Day]])=2022,7,IF(YEAR(Table134[[#This Row],[Last_Day]])=2023,10,"Không xác định")))</f>
        <v>7</v>
      </c>
      <c r="M78" s="15">
        <f>Table134[[#This Row],[avg_number_of_purchases]]*Table1345[[#This Row],[avg_purchase_value]]*Table1345[[#This Row],[expected_lifespan]]</f>
        <v>103959.59618138422</v>
      </c>
      <c r="N78" t="s">
        <v>12047</v>
      </c>
    </row>
    <row r="79" spans="1:14" x14ac:dyDescent="0.3">
      <c r="A79" s="2" t="s">
        <v>77</v>
      </c>
      <c r="B79" s="2" t="s">
        <v>12040</v>
      </c>
      <c r="C79" s="2">
        <v>64</v>
      </c>
      <c r="D79" s="2" t="s">
        <v>12049</v>
      </c>
      <c r="E79" s="2">
        <f>COUNTIF(Table16[customer_id],Table13[[#This Row],[customer_id]])</f>
        <v>9</v>
      </c>
      <c r="F79" s="13">
        <f>SUMIFS(Table16[Purchase_history],Table16[customer_id],Table13[[#This Row],[customer_id]])</f>
        <v>34607.86</v>
      </c>
      <c r="G79" s="20">
        <v>44211</v>
      </c>
      <c r="H79" s="21">
        <v>44780</v>
      </c>
      <c r="I79" s="15">
        <f>(Table134[[#This Row],[Last_Day]]-Table134[[#This Row],[First_Day]]+1)/365</f>
        <v>1.5616438356164384</v>
      </c>
      <c r="J79" s="59">
        <f>Table134[[#This Row],[number_of_purchases]]/Table134[[#This Row],[customer_total_years]]</f>
        <v>5.7631578947368416</v>
      </c>
      <c r="K79" s="13">
        <f>Table134[[#This Row],[purchase_history]]/Table134[[#This Row],[number_of_purchases]]</f>
        <v>3845.3177777777778</v>
      </c>
      <c r="L79" s="2">
        <f>IF(YEAR(Table134[[#This Row],[Last_Day]])=2021,5,IF(YEAR(Table134[[#This Row],[Last_Day]])=2022,7,IF(YEAR(Table134[[#This Row],[Last_Day]])=2023,10,"Không xác định")))</f>
        <v>7</v>
      </c>
      <c r="M79" s="15">
        <f>Table134[[#This Row],[avg_number_of_purchases]]*Table1345[[#This Row],[avg_purchase_value]]*Table1345[[#This Row],[expected_lifespan]]</f>
        <v>155128.2145614035</v>
      </c>
      <c r="N79" t="s">
        <v>12047</v>
      </c>
    </row>
    <row r="80" spans="1:14" x14ac:dyDescent="0.3">
      <c r="A80" s="2" t="s">
        <v>78</v>
      </c>
      <c r="B80" s="2" t="s">
        <v>12040</v>
      </c>
      <c r="C80" s="2">
        <v>24</v>
      </c>
      <c r="D80" s="2" t="s">
        <v>12043</v>
      </c>
      <c r="E80" s="2">
        <f>COUNTIF(Table16[customer_id],Table13[[#This Row],[customer_id]])</f>
        <v>5</v>
      </c>
      <c r="F80" s="13">
        <f>SUMIFS(Table16[Purchase_history],Table16[customer_id],Table13[[#This Row],[customer_id]])</f>
        <v>3574.24</v>
      </c>
      <c r="G80" s="20">
        <v>44279</v>
      </c>
      <c r="H80" s="21">
        <v>44702</v>
      </c>
      <c r="I80" s="15">
        <f>(Table134[[#This Row],[Last_Day]]-Table134[[#This Row],[First_Day]]+1)/365</f>
        <v>1.1616438356164382</v>
      </c>
      <c r="J80" s="59">
        <f>Table134[[#This Row],[number_of_purchases]]/Table134[[#This Row],[customer_total_years]]</f>
        <v>4.3042452830188687</v>
      </c>
      <c r="K80" s="13">
        <f>Table134[[#This Row],[purchase_history]]/Table134[[#This Row],[number_of_purchases]]</f>
        <v>714.84799999999996</v>
      </c>
      <c r="L80" s="2">
        <f>IF(YEAR(Table134[[#This Row],[Last_Day]])=2021,5,IF(YEAR(Table134[[#This Row],[Last_Day]])=2022,7,IF(YEAR(Table134[[#This Row],[Last_Day]])=2023,10,"Không xác định")))</f>
        <v>7</v>
      </c>
      <c r="M80" s="15">
        <f>Table134[[#This Row],[avg_number_of_purchases]]*Table1345[[#This Row],[avg_purchase_value]]*Table1345[[#This Row],[expected_lifespan]]</f>
        <v>21538.167924528305</v>
      </c>
      <c r="N80" t="s">
        <v>12047</v>
      </c>
    </row>
    <row r="81" spans="1:14" x14ac:dyDescent="0.3">
      <c r="A81" s="2" t="s">
        <v>79</v>
      </c>
      <c r="B81" s="2" t="s">
        <v>12045</v>
      </c>
      <c r="C81" s="2">
        <v>40</v>
      </c>
      <c r="D81" s="2" t="s">
        <v>12043</v>
      </c>
      <c r="E81" s="2">
        <f>COUNTIF(Table16[customer_id],Table13[[#This Row],[customer_id]])</f>
        <v>12</v>
      </c>
      <c r="F81" s="13">
        <f>SUMIFS(Table16[Purchase_history],Table16[customer_id],Table13[[#This Row],[customer_id]])</f>
        <v>56363.530000000006</v>
      </c>
      <c r="G81" s="20">
        <v>44322</v>
      </c>
      <c r="H81" s="21">
        <v>44868</v>
      </c>
      <c r="I81" s="15">
        <f>(Table134[[#This Row],[Last_Day]]-Table134[[#This Row],[First_Day]]+1)/365</f>
        <v>1.4986301369863013</v>
      </c>
      <c r="J81" s="59">
        <f>Table134[[#This Row],[number_of_purchases]]/Table134[[#This Row],[customer_total_years]]</f>
        <v>8.0073126142595985</v>
      </c>
      <c r="K81" s="13">
        <f>Table134[[#This Row],[purchase_history]]/Table134[[#This Row],[number_of_purchases]]</f>
        <v>4696.9608333333335</v>
      </c>
      <c r="L81" s="2">
        <f>IF(YEAR(Table134[[#This Row],[Last_Day]])=2021,5,IF(YEAR(Table134[[#This Row],[Last_Day]])=2022,7,IF(YEAR(Table134[[#This Row],[Last_Day]])=2023,10,"Không xác định")))</f>
        <v>7</v>
      </c>
      <c r="M81" s="15">
        <f>Table134[[#This Row],[avg_number_of_purchases]]*Table1345[[#This Row],[avg_purchase_value]]*Table1345[[#This Row],[expected_lifespan]]</f>
        <v>263270.23610603297</v>
      </c>
      <c r="N81" t="s">
        <v>12042</v>
      </c>
    </row>
    <row r="82" spans="1:14" x14ac:dyDescent="0.3">
      <c r="A82" s="2" t="s">
        <v>80</v>
      </c>
      <c r="B82" s="2" t="s">
        <v>12040</v>
      </c>
      <c r="C82" s="2">
        <v>30</v>
      </c>
      <c r="D82" s="2" t="s">
        <v>12041</v>
      </c>
      <c r="E82" s="2">
        <f>COUNTIF(Table16[customer_id],Table13[[#This Row],[customer_id]])</f>
        <v>2</v>
      </c>
      <c r="F82" s="13">
        <f>SUMIFS(Table16[Purchase_history],Table16[customer_id],Table13[[#This Row],[customer_id]])</f>
        <v>261.5</v>
      </c>
      <c r="G82" s="20">
        <v>44221</v>
      </c>
      <c r="H82" s="21">
        <v>44567</v>
      </c>
      <c r="I82" s="15">
        <f>(Table134[[#This Row],[Last_Day]]-Table134[[#This Row],[First_Day]]+1)/365</f>
        <v>0.9506849315068493</v>
      </c>
      <c r="J82" s="59">
        <f>Table134[[#This Row],[number_of_purchases]]/Table134[[#This Row],[customer_total_years]]</f>
        <v>2.1037463976945245</v>
      </c>
      <c r="K82" s="13">
        <f>Table134[[#This Row],[purchase_history]]/Table134[[#This Row],[number_of_purchases]]</f>
        <v>130.75</v>
      </c>
      <c r="L82" s="2">
        <f>IF(YEAR(Table134[[#This Row],[Last_Day]])=2021,5,IF(YEAR(Table134[[#This Row],[Last_Day]])=2022,7,IF(YEAR(Table134[[#This Row],[Last_Day]])=2023,10,"Không xác định")))</f>
        <v>7</v>
      </c>
      <c r="M82" s="15">
        <f>Table134[[#This Row],[avg_number_of_purchases]]*Table1345[[#This Row],[avg_purchase_value]]*Table1345[[#This Row],[expected_lifespan]]</f>
        <v>1925.4538904899136</v>
      </c>
      <c r="N82" t="s">
        <v>12044</v>
      </c>
    </row>
    <row r="83" spans="1:14" x14ac:dyDescent="0.3">
      <c r="A83" s="2" t="s">
        <v>81</v>
      </c>
      <c r="B83" s="2" t="s">
        <v>12045</v>
      </c>
      <c r="C83" s="2">
        <v>47</v>
      </c>
      <c r="D83" s="2" t="s">
        <v>12041</v>
      </c>
      <c r="E83" s="2">
        <f>COUNTIF(Table16[customer_id],Table13[[#This Row],[customer_id]])</f>
        <v>5</v>
      </c>
      <c r="F83" s="13">
        <f>SUMIFS(Table16[Purchase_history],Table16[customer_id],Table13[[#This Row],[customer_id]])</f>
        <v>7997.7799999999988</v>
      </c>
      <c r="G83" s="20">
        <v>44264</v>
      </c>
      <c r="H83" s="21">
        <v>44810</v>
      </c>
      <c r="I83" s="15">
        <f>(Table134[[#This Row],[Last_Day]]-Table134[[#This Row],[First_Day]]+1)/365</f>
        <v>1.4986301369863013</v>
      </c>
      <c r="J83" s="59">
        <f>Table134[[#This Row],[number_of_purchases]]/Table134[[#This Row],[customer_total_years]]</f>
        <v>3.3363802559414992</v>
      </c>
      <c r="K83" s="13">
        <f>Table134[[#This Row],[purchase_history]]/Table134[[#This Row],[number_of_purchases]]</f>
        <v>1599.5559999999998</v>
      </c>
      <c r="L83" s="2">
        <f>IF(YEAR(Table134[[#This Row],[Last_Day]])=2021,5,IF(YEAR(Table134[[#This Row],[Last_Day]])=2022,7,IF(YEAR(Table134[[#This Row],[Last_Day]])=2023,10,"Không xác định")))</f>
        <v>7</v>
      </c>
      <c r="M83" s="15">
        <f>Table134[[#This Row],[avg_number_of_purchases]]*Table1345[[#This Row],[avg_purchase_value]]*Table1345[[#This Row],[expected_lifespan]]</f>
        <v>37357.089396709322</v>
      </c>
      <c r="N83" t="s">
        <v>12046</v>
      </c>
    </row>
    <row r="84" spans="1:14" x14ac:dyDescent="0.3">
      <c r="A84" s="2" t="s">
        <v>82</v>
      </c>
      <c r="B84" s="2" t="s">
        <v>12040</v>
      </c>
      <c r="C84" s="2">
        <v>67</v>
      </c>
      <c r="D84" s="2" t="s">
        <v>12043</v>
      </c>
      <c r="E84" s="2">
        <f>COUNTIF(Table16[customer_id],Table13[[#This Row],[customer_id]])</f>
        <v>6</v>
      </c>
      <c r="F84" s="13">
        <f>SUMIFS(Table16[Purchase_history],Table16[customer_id],Table13[[#This Row],[customer_id]])</f>
        <v>18057.3</v>
      </c>
      <c r="G84" s="20">
        <v>44290</v>
      </c>
      <c r="H84" s="21">
        <v>44751</v>
      </c>
      <c r="I84" s="15">
        <f>(Table134[[#This Row],[Last_Day]]-Table134[[#This Row],[First_Day]]+1)/365</f>
        <v>1.2657534246575342</v>
      </c>
      <c r="J84" s="59">
        <f>Table134[[#This Row],[number_of_purchases]]/Table134[[#This Row],[customer_total_years]]</f>
        <v>4.7402597402597406</v>
      </c>
      <c r="K84" s="13">
        <f>Table134[[#This Row],[purchase_history]]/Table134[[#This Row],[number_of_purchases]]</f>
        <v>3009.5499999999997</v>
      </c>
      <c r="L84" s="2">
        <f>IF(YEAR(Table134[[#This Row],[Last_Day]])=2021,5,IF(YEAR(Table134[[#This Row],[Last_Day]])=2022,7,IF(YEAR(Table134[[#This Row],[Last_Day]])=2023,10,"Không xác định")))</f>
        <v>7</v>
      </c>
      <c r="M84" s="15">
        <f>Table134[[#This Row],[avg_number_of_purchases]]*Table1345[[#This Row],[avg_purchase_value]]*Table1345[[#This Row],[expected_lifespan]]</f>
        <v>99862.340909090912</v>
      </c>
      <c r="N84" t="s">
        <v>12048</v>
      </c>
    </row>
    <row r="85" spans="1:14" x14ac:dyDescent="0.3">
      <c r="A85" s="2" t="s">
        <v>83</v>
      </c>
      <c r="B85" s="2" t="s">
        <v>12045</v>
      </c>
      <c r="C85" s="2">
        <v>30</v>
      </c>
      <c r="D85" s="2" t="s">
        <v>12049</v>
      </c>
      <c r="E85" s="2">
        <f>COUNTIF(Table16[customer_id],Table13[[#This Row],[customer_id]])</f>
        <v>5</v>
      </c>
      <c r="F85" s="13">
        <f>SUMIFS(Table16[Purchase_history],Table16[customer_id],Table13[[#This Row],[customer_id]])</f>
        <v>7942.3799999999992</v>
      </c>
      <c r="G85" s="20">
        <v>44469</v>
      </c>
      <c r="H85" s="21">
        <v>44737</v>
      </c>
      <c r="I85" s="15">
        <f>(Table134[[#This Row],[Last_Day]]-Table134[[#This Row],[First_Day]]+1)/365</f>
        <v>0.73698630136986298</v>
      </c>
      <c r="J85" s="59">
        <f>Table134[[#This Row],[number_of_purchases]]/Table134[[#This Row],[customer_total_years]]</f>
        <v>6.7843866171003722</v>
      </c>
      <c r="K85" s="13">
        <f>Table134[[#This Row],[purchase_history]]/Table134[[#This Row],[number_of_purchases]]</f>
        <v>1588.4759999999999</v>
      </c>
      <c r="L85" s="2">
        <f>IF(YEAR(Table134[[#This Row],[Last_Day]])=2021,5,IF(YEAR(Table134[[#This Row],[Last_Day]])=2022,7,IF(YEAR(Table134[[#This Row],[Last_Day]])=2023,10,"Không xác định")))</f>
        <v>7</v>
      </c>
      <c r="M85" s="15">
        <f>Table134[[#This Row],[avg_number_of_purchases]]*Table1345[[#This Row],[avg_purchase_value]]*Table1345[[#This Row],[expected_lifespan]]</f>
        <v>75437.847211895918</v>
      </c>
      <c r="N85" t="s">
        <v>12046</v>
      </c>
    </row>
    <row r="86" spans="1:14" x14ac:dyDescent="0.3">
      <c r="A86" s="2" t="s">
        <v>84</v>
      </c>
      <c r="B86" s="2" t="s">
        <v>12040</v>
      </c>
      <c r="C86" s="2">
        <v>35</v>
      </c>
      <c r="D86" s="2" t="s">
        <v>12041</v>
      </c>
      <c r="E86" s="2">
        <f>COUNTIF(Table16[customer_id],Table13[[#This Row],[customer_id]])</f>
        <v>4</v>
      </c>
      <c r="F86" s="13">
        <f>SUMIFS(Table16[Purchase_history],Table16[customer_id],Table13[[#This Row],[customer_id]])</f>
        <v>4917.6899999999996</v>
      </c>
      <c r="G86" s="20">
        <v>44416</v>
      </c>
      <c r="H86" s="21">
        <v>44853</v>
      </c>
      <c r="I86" s="15">
        <f>(Table134[[#This Row],[Last_Day]]-Table134[[#This Row],[First_Day]]+1)/365</f>
        <v>1.2</v>
      </c>
      <c r="J86" s="59">
        <f>Table134[[#This Row],[number_of_purchases]]/Table134[[#This Row],[customer_total_years]]</f>
        <v>3.3333333333333335</v>
      </c>
      <c r="K86" s="13">
        <f>Table134[[#This Row],[purchase_history]]/Table134[[#This Row],[number_of_purchases]]</f>
        <v>1229.4224999999999</v>
      </c>
      <c r="L86" s="2">
        <f>IF(YEAR(Table134[[#This Row],[Last_Day]])=2021,5,IF(YEAR(Table134[[#This Row],[Last_Day]])=2022,7,IF(YEAR(Table134[[#This Row],[Last_Day]])=2023,10,"Không xác định")))</f>
        <v>7</v>
      </c>
      <c r="M86" s="15">
        <f>Table134[[#This Row],[avg_number_of_purchases]]*Table1345[[#This Row],[avg_purchase_value]]*Table1345[[#This Row],[expected_lifespan]]</f>
        <v>28686.524999999998</v>
      </c>
      <c r="N86" t="s">
        <v>12048</v>
      </c>
    </row>
    <row r="87" spans="1:14" x14ac:dyDescent="0.3">
      <c r="A87" s="2" t="s">
        <v>85</v>
      </c>
      <c r="B87" s="2" t="s">
        <v>12040</v>
      </c>
      <c r="C87" s="2">
        <v>56</v>
      </c>
      <c r="D87" s="2" t="s">
        <v>12041</v>
      </c>
      <c r="E87" s="2">
        <f>COUNTIF(Table16[customer_id],Table13[[#This Row],[customer_id]])</f>
        <v>3</v>
      </c>
      <c r="F87" s="13">
        <f>SUMIFS(Table16[Purchase_history],Table16[customer_id],Table13[[#This Row],[customer_id]])</f>
        <v>1052.3399999999999</v>
      </c>
      <c r="G87" s="20">
        <v>44429</v>
      </c>
      <c r="H87" s="21">
        <v>44923</v>
      </c>
      <c r="I87" s="15">
        <f>(Table134[[#This Row],[Last_Day]]-Table134[[#This Row],[First_Day]]+1)/365</f>
        <v>1.3561643835616439</v>
      </c>
      <c r="J87" s="59">
        <f>Table134[[#This Row],[number_of_purchases]]/Table134[[#This Row],[customer_total_years]]</f>
        <v>2.2121212121212119</v>
      </c>
      <c r="K87" s="13">
        <f>Table134[[#This Row],[purchase_history]]/Table134[[#This Row],[number_of_purchases]]</f>
        <v>350.78</v>
      </c>
      <c r="L87" s="2">
        <f>IF(YEAR(Table134[[#This Row],[Last_Day]])=2021,5,IF(YEAR(Table134[[#This Row],[Last_Day]])=2022,7,IF(YEAR(Table134[[#This Row],[Last_Day]])=2023,10,"Không xác định")))</f>
        <v>7</v>
      </c>
      <c r="M87" s="15">
        <f>Table134[[#This Row],[avg_number_of_purchases]]*Table1345[[#This Row],[avg_purchase_value]]*Table1345[[#This Row],[expected_lifespan]]</f>
        <v>5431.7751515151513</v>
      </c>
      <c r="N87" t="s">
        <v>12044</v>
      </c>
    </row>
    <row r="88" spans="1:14" x14ac:dyDescent="0.3">
      <c r="A88" s="2" t="s">
        <v>86</v>
      </c>
      <c r="B88" s="2" t="s">
        <v>12040</v>
      </c>
      <c r="C88" s="2">
        <v>32</v>
      </c>
      <c r="D88" s="2" t="s">
        <v>12041</v>
      </c>
      <c r="E88" s="2">
        <f>COUNTIF(Table16[customer_id],Table13[[#This Row],[customer_id]])</f>
        <v>8</v>
      </c>
      <c r="F88" s="13">
        <f>SUMIFS(Table16[Purchase_history],Table16[customer_id],Table13[[#This Row],[customer_id]])</f>
        <v>37420.85</v>
      </c>
      <c r="G88" s="20">
        <v>44259</v>
      </c>
      <c r="H88" s="21">
        <v>44941</v>
      </c>
      <c r="I88" s="15">
        <f>(Table134[[#This Row],[Last_Day]]-Table134[[#This Row],[First_Day]]+1)/365</f>
        <v>1.8712328767123287</v>
      </c>
      <c r="J88" s="59">
        <f>Table134[[#This Row],[number_of_purchases]]/Table134[[#This Row],[customer_total_years]]</f>
        <v>4.2752562225475845</v>
      </c>
      <c r="K88" s="13">
        <f>Table134[[#This Row],[purchase_history]]/Table134[[#This Row],[number_of_purchases]]</f>
        <v>4677.6062499999998</v>
      </c>
      <c r="L88" s="2">
        <f>IF(YEAR(Table134[[#This Row],[Last_Day]])=2021,5,IF(YEAR(Table134[[#This Row],[Last_Day]])=2022,7,IF(YEAR(Table134[[#This Row],[Last_Day]])=2023,10,"Không xác định")))</f>
        <v>10</v>
      </c>
      <c r="M88" s="15">
        <f>Table134[[#This Row],[avg_number_of_purchases]]*Table1345[[#This Row],[avg_purchase_value]]*Table1345[[#This Row],[expected_lifespan]]</f>
        <v>199979.6522693997</v>
      </c>
      <c r="N88" t="s">
        <v>12042</v>
      </c>
    </row>
    <row r="89" spans="1:14" x14ac:dyDescent="0.3">
      <c r="A89" s="2" t="s">
        <v>87</v>
      </c>
      <c r="B89" s="2" t="s">
        <v>12040</v>
      </c>
      <c r="C89" s="2">
        <v>58</v>
      </c>
      <c r="D89" s="2" t="s">
        <v>12049</v>
      </c>
      <c r="E89" s="2">
        <f>COUNTIF(Table16[customer_id],Table13[[#This Row],[customer_id]])</f>
        <v>6</v>
      </c>
      <c r="F89" s="13">
        <f>SUMIFS(Table16[Purchase_history],Table16[customer_id],Table13[[#This Row],[customer_id]])</f>
        <v>5332.44</v>
      </c>
      <c r="G89" s="20">
        <v>44231</v>
      </c>
      <c r="H89" s="21">
        <v>44644</v>
      </c>
      <c r="I89" s="15">
        <f>(Table134[[#This Row],[Last_Day]]-Table134[[#This Row],[First_Day]]+1)/365</f>
        <v>1.1342465753424658</v>
      </c>
      <c r="J89" s="59">
        <f>Table134[[#This Row],[number_of_purchases]]/Table134[[#This Row],[customer_total_years]]</f>
        <v>5.2898550724637685</v>
      </c>
      <c r="K89" s="13">
        <f>Table134[[#This Row],[purchase_history]]/Table134[[#This Row],[number_of_purchases]]</f>
        <v>888.7399999999999</v>
      </c>
      <c r="L89" s="2">
        <f>IF(YEAR(Table134[[#This Row],[Last_Day]])=2021,5,IF(YEAR(Table134[[#This Row],[Last_Day]])=2022,7,IF(YEAR(Table134[[#This Row],[Last_Day]])=2023,10,"Không xác định")))</f>
        <v>7</v>
      </c>
      <c r="M89" s="15">
        <f>Table134[[#This Row],[avg_number_of_purchases]]*Table1345[[#This Row],[avg_purchase_value]]*Table1345[[#This Row],[expected_lifespan]]</f>
        <v>32909.14057971014</v>
      </c>
      <c r="N89" t="s">
        <v>12042</v>
      </c>
    </row>
    <row r="90" spans="1:14" x14ac:dyDescent="0.3">
      <c r="A90" s="2" t="s">
        <v>88</v>
      </c>
      <c r="B90" s="2" t="s">
        <v>12045</v>
      </c>
      <c r="C90" s="2">
        <v>28</v>
      </c>
      <c r="D90" s="2" t="s">
        <v>12049</v>
      </c>
      <c r="E90" s="2">
        <f>COUNTIF(Table16[customer_id],Table13[[#This Row],[customer_id]])</f>
        <v>3</v>
      </c>
      <c r="F90" s="13">
        <f>SUMIFS(Table16[Purchase_history],Table16[customer_id],Table13[[#This Row],[customer_id]])</f>
        <v>5406.6799999999994</v>
      </c>
      <c r="G90" s="20">
        <v>44402</v>
      </c>
      <c r="H90" s="21">
        <v>44962</v>
      </c>
      <c r="I90" s="15">
        <f>(Table134[[#This Row],[Last_Day]]-Table134[[#This Row],[First_Day]]+1)/365</f>
        <v>1.536986301369863</v>
      </c>
      <c r="J90" s="59">
        <f>Table134[[#This Row],[number_of_purchases]]/Table134[[#This Row],[customer_total_years]]</f>
        <v>1.9518716577540107</v>
      </c>
      <c r="K90" s="13">
        <f>Table134[[#This Row],[purchase_history]]/Table134[[#This Row],[number_of_purchases]]</f>
        <v>1802.2266666666665</v>
      </c>
      <c r="L90" s="2">
        <f>IF(YEAR(Table134[[#This Row],[Last_Day]])=2021,5,IF(YEAR(Table134[[#This Row],[Last_Day]])=2022,7,IF(YEAR(Table134[[#This Row],[Last_Day]])=2023,10,"Không xác định")))</f>
        <v>10</v>
      </c>
      <c r="M90" s="15">
        <f>Table134[[#This Row],[avg_number_of_purchases]]*Table1345[[#This Row],[avg_purchase_value]]*Table1345[[#This Row],[expected_lifespan]]</f>
        <v>35177.151515151512</v>
      </c>
      <c r="N90" t="s">
        <v>12044</v>
      </c>
    </row>
    <row r="91" spans="1:14" x14ac:dyDescent="0.3">
      <c r="A91" s="2" t="s">
        <v>89</v>
      </c>
      <c r="B91" s="2" t="s">
        <v>12045</v>
      </c>
      <c r="C91" s="2">
        <v>38</v>
      </c>
      <c r="D91" s="2" t="s">
        <v>12043</v>
      </c>
      <c r="E91" s="2">
        <f>COUNTIF(Table16[customer_id],Table13[[#This Row],[customer_id]])</f>
        <v>4</v>
      </c>
      <c r="F91" s="13">
        <f>SUMIFS(Table16[Purchase_history],Table16[customer_id],Table13[[#This Row],[customer_id]])</f>
        <v>31366.510000000002</v>
      </c>
      <c r="G91" s="20">
        <v>44424</v>
      </c>
      <c r="H91" s="21">
        <v>44944</v>
      </c>
      <c r="I91" s="15">
        <f>(Table134[[#This Row],[Last_Day]]-Table134[[#This Row],[First_Day]]+1)/365</f>
        <v>1.4273972602739726</v>
      </c>
      <c r="J91" s="59">
        <f>Table134[[#This Row],[number_of_purchases]]/Table134[[#This Row],[customer_total_years]]</f>
        <v>2.8023032629558542</v>
      </c>
      <c r="K91" s="13">
        <f>Table134[[#This Row],[purchase_history]]/Table134[[#This Row],[number_of_purchases]]</f>
        <v>7841.6275000000005</v>
      </c>
      <c r="L91" s="2">
        <f>IF(YEAR(Table134[[#This Row],[Last_Day]])=2021,5,IF(YEAR(Table134[[#This Row],[Last_Day]])=2022,7,IF(YEAR(Table134[[#This Row],[Last_Day]])=2023,10,"Không xác định")))</f>
        <v>10</v>
      </c>
      <c r="M91" s="15">
        <f>Table134[[#This Row],[avg_number_of_purchases]]*Table1345[[#This Row],[avg_purchase_value]]*Table1345[[#This Row],[expected_lifespan]]</f>
        <v>219746.18330134358</v>
      </c>
      <c r="N91" t="s">
        <v>12042</v>
      </c>
    </row>
    <row r="92" spans="1:14" x14ac:dyDescent="0.3">
      <c r="A92" s="2" t="s">
        <v>90</v>
      </c>
      <c r="B92" s="2" t="s">
        <v>12045</v>
      </c>
      <c r="C92" s="2">
        <v>31</v>
      </c>
      <c r="D92" s="2" t="s">
        <v>12043</v>
      </c>
      <c r="E92" s="2">
        <f>COUNTIF(Table16[customer_id],Table13[[#This Row],[customer_id]])</f>
        <v>4</v>
      </c>
      <c r="F92" s="13">
        <f>SUMIFS(Table16[Purchase_history],Table16[customer_id],Table13[[#This Row],[customer_id]])</f>
        <v>1339.44</v>
      </c>
      <c r="G92" s="20">
        <v>44221</v>
      </c>
      <c r="H92" s="21">
        <v>44818</v>
      </c>
      <c r="I92" s="15">
        <f>(Table134[[#This Row],[Last_Day]]-Table134[[#This Row],[First_Day]]+1)/365</f>
        <v>1.6383561643835616</v>
      </c>
      <c r="J92" s="59">
        <f>Table134[[#This Row],[number_of_purchases]]/Table134[[#This Row],[customer_total_years]]</f>
        <v>2.4414715719063547</v>
      </c>
      <c r="K92" s="13">
        <f>Table134[[#This Row],[purchase_history]]/Table134[[#This Row],[number_of_purchases]]</f>
        <v>334.86</v>
      </c>
      <c r="L92" s="2">
        <f>IF(YEAR(Table134[[#This Row],[Last_Day]])=2021,5,IF(YEAR(Table134[[#This Row],[Last_Day]])=2022,7,IF(YEAR(Table134[[#This Row],[Last_Day]])=2023,10,"Không xác định")))</f>
        <v>7</v>
      </c>
      <c r="M92" s="15">
        <f>Table134[[#This Row],[avg_number_of_purchases]]*Table1345[[#This Row],[avg_purchase_value]]*Table1345[[#This Row],[expected_lifespan]]</f>
        <v>5722.8581939799333</v>
      </c>
      <c r="N92" t="s">
        <v>12048</v>
      </c>
    </row>
    <row r="93" spans="1:14" x14ac:dyDescent="0.3">
      <c r="A93" s="2" t="s">
        <v>91</v>
      </c>
      <c r="B93" s="2" t="s">
        <v>12045</v>
      </c>
      <c r="C93" s="2">
        <v>36</v>
      </c>
      <c r="D93" s="2" t="s">
        <v>12049</v>
      </c>
      <c r="E93" s="2">
        <f>COUNTIF(Table16[customer_id],Table13[[#This Row],[customer_id]])</f>
        <v>7</v>
      </c>
      <c r="F93" s="13">
        <f>SUMIFS(Table16[Purchase_history],Table16[customer_id],Table13[[#This Row],[customer_id]])</f>
        <v>15622.209999999997</v>
      </c>
      <c r="G93" s="20">
        <v>44397</v>
      </c>
      <c r="H93" s="21">
        <v>44978</v>
      </c>
      <c r="I93" s="15">
        <f>(Table134[[#This Row],[Last_Day]]-Table134[[#This Row],[First_Day]]+1)/365</f>
        <v>1.5945205479452054</v>
      </c>
      <c r="J93" s="59">
        <f>Table134[[#This Row],[number_of_purchases]]/Table134[[#This Row],[customer_total_years]]</f>
        <v>4.3900343642611688</v>
      </c>
      <c r="K93" s="13">
        <f>Table134[[#This Row],[purchase_history]]/Table134[[#This Row],[number_of_purchases]]</f>
        <v>2231.7442857142855</v>
      </c>
      <c r="L93" s="2">
        <f>IF(YEAR(Table134[[#This Row],[Last_Day]])=2021,5,IF(YEAR(Table134[[#This Row],[Last_Day]])=2022,7,IF(YEAR(Table134[[#This Row],[Last_Day]])=2023,10,"Không xác định")))</f>
        <v>10</v>
      </c>
      <c r="M93" s="15">
        <f>Table134[[#This Row],[avg_number_of_purchases]]*Table1345[[#This Row],[avg_purchase_value]]*Table1345[[#This Row],[expected_lifespan]]</f>
        <v>97974.341065292101</v>
      </c>
      <c r="N93" t="s">
        <v>12042</v>
      </c>
    </row>
    <row r="94" spans="1:14" x14ac:dyDescent="0.3">
      <c r="A94" s="2" t="s">
        <v>92</v>
      </c>
      <c r="B94" s="2" t="s">
        <v>12040</v>
      </c>
      <c r="C94" s="2">
        <v>34</v>
      </c>
      <c r="D94" s="2" t="s">
        <v>12049</v>
      </c>
      <c r="E94" s="2">
        <f>COUNTIF(Table16[customer_id],Table13[[#This Row],[customer_id]])</f>
        <v>5</v>
      </c>
      <c r="F94" s="13">
        <f>SUMIFS(Table16[Purchase_history],Table16[customer_id],Table13[[#This Row],[customer_id]])</f>
        <v>27302.809999999998</v>
      </c>
      <c r="G94" s="20">
        <v>44439</v>
      </c>
      <c r="H94" s="21">
        <v>44930</v>
      </c>
      <c r="I94" s="15">
        <f>(Table134[[#This Row],[Last_Day]]-Table134[[#This Row],[First_Day]]+1)/365</f>
        <v>1.3479452054794521</v>
      </c>
      <c r="J94" s="59">
        <f>Table134[[#This Row],[number_of_purchases]]/Table134[[#This Row],[customer_total_years]]</f>
        <v>3.7093495934959351</v>
      </c>
      <c r="K94" s="13">
        <f>Table134[[#This Row],[purchase_history]]/Table134[[#This Row],[number_of_purchases]]</f>
        <v>5460.5619999999999</v>
      </c>
      <c r="L94" s="2">
        <f>IF(YEAR(Table134[[#This Row],[Last_Day]])=2021,5,IF(YEAR(Table134[[#This Row],[Last_Day]])=2022,7,IF(YEAR(Table134[[#This Row],[Last_Day]])=2023,10,"Không xác định")))</f>
        <v>10</v>
      </c>
      <c r="M94" s="15">
        <f>Table134[[#This Row],[avg_number_of_purchases]]*Table1345[[#This Row],[avg_purchase_value]]*Table1345[[#This Row],[expected_lifespan]]</f>
        <v>202551.3343495935</v>
      </c>
      <c r="N94" t="s">
        <v>12044</v>
      </c>
    </row>
    <row r="95" spans="1:14" x14ac:dyDescent="0.3">
      <c r="A95" s="2" t="s">
        <v>93</v>
      </c>
      <c r="B95" s="2" t="s">
        <v>12040</v>
      </c>
      <c r="C95" s="2">
        <v>21</v>
      </c>
      <c r="D95" s="2" t="s">
        <v>12043</v>
      </c>
      <c r="E95" s="2">
        <f>COUNTIF(Table16[customer_id],Table13[[#This Row],[customer_id]])</f>
        <v>3</v>
      </c>
      <c r="F95" s="13">
        <f>SUMIFS(Table16[Purchase_history],Table16[customer_id],Table13[[#This Row],[customer_id]])</f>
        <v>119.75000000000001</v>
      </c>
      <c r="G95" s="20">
        <v>44501</v>
      </c>
      <c r="H95" s="21">
        <v>44944</v>
      </c>
      <c r="I95" s="15">
        <f>(Table134[[#This Row],[Last_Day]]-Table134[[#This Row],[First_Day]]+1)/365</f>
        <v>1.2164383561643837</v>
      </c>
      <c r="J95" s="59">
        <f>Table134[[#This Row],[number_of_purchases]]/Table134[[#This Row],[customer_total_years]]</f>
        <v>2.4662162162162158</v>
      </c>
      <c r="K95" s="13">
        <f>Table134[[#This Row],[purchase_history]]/Table134[[#This Row],[number_of_purchases]]</f>
        <v>39.916666666666671</v>
      </c>
      <c r="L95" s="2">
        <f>IF(YEAR(Table134[[#This Row],[Last_Day]])=2021,5,IF(YEAR(Table134[[#This Row],[Last_Day]])=2022,7,IF(YEAR(Table134[[#This Row],[Last_Day]])=2023,10,"Không xác định")))</f>
        <v>10</v>
      </c>
      <c r="M95" s="15">
        <f>Table134[[#This Row],[avg_number_of_purchases]]*Table1345[[#This Row],[avg_purchase_value]]*Table1345[[#This Row],[expected_lifespan]]</f>
        <v>984.43130630630617</v>
      </c>
      <c r="N95" t="s">
        <v>12048</v>
      </c>
    </row>
    <row r="96" spans="1:14" x14ac:dyDescent="0.3">
      <c r="A96" s="2" t="s">
        <v>94</v>
      </c>
      <c r="B96" s="2" t="s">
        <v>12040</v>
      </c>
      <c r="C96" s="2">
        <v>56</v>
      </c>
      <c r="D96" s="2" t="s">
        <v>12043</v>
      </c>
      <c r="E96" s="2">
        <f>COUNTIF(Table16[customer_id],Table13[[#This Row],[customer_id]])</f>
        <v>5</v>
      </c>
      <c r="F96" s="13">
        <f>SUMIFS(Table16[Purchase_history],Table16[customer_id],Table13[[#This Row],[customer_id]])</f>
        <v>3254.31</v>
      </c>
      <c r="G96" s="20">
        <v>44441</v>
      </c>
      <c r="H96" s="21">
        <v>44838</v>
      </c>
      <c r="I96" s="15">
        <f>(Table134[[#This Row],[Last_Day]]-Table134[[#This Row],[First_Day]]+1)/365</f>
        <v>1.0904109589041096</v>
      </c>
      <c r="J96" s="59">
        <f>Table134[[#This Row],[number_of_purchases]]/Table134[[#This Row],[customer_total_years]]</f>
        <v>4.5854271356783922</v>
      </c>
      <c r="K96" s="13">
        <f>Table134[[#This Row],[purchase_history]]/Table134[[#This Row],[number_of_purchases]]</f>
        <v>650.86199999999997</v>
      </c>
      <c r="L96" s="2">
        <f>IF(YEAR(Table134[[#This Row],[Last_Day]])=2021,5,IF(YEAR(Table134[[#This Row],[Last_Day]])=2022,7,IF(YEAR(Table134[[#This Row],[Last_Day]])=2023,10,"Không xác định")))</f>
        <v>7</v>
      </c>
      <c r="M96" s="15">
        <f>Table134[[#This Row],[avg_number_of_purchases]]*Table1345[[#This Row],[avg_purchase_value]]*Table1345[[#This Row],[expected_lifespan]]</f>
        <v>20891.361934673369</v>
      </c>
      <c r="N96" t="s">
        <v>12044</v>
      </c>
    </row>
    <row r="97" spans="1:14" x14ac:dyDescent="0.3">
      <c r="A97" s="2" t="s">
        <v>95</v>
      </c>
      <c r="B97" s="2" t="s">
        <v>12040</v>
      </c>
      <c r="C97" s="2">
        <v>35</v>
      </c>
      <c r="D97" s="2" t="s">
        <v>12041</v>
      </c>
      <c r="E97" s="2">
        <f>COUNTIF(Table16[customer_id],Table13[[#This Row],[customer_id]])</f>
        <v>4</v>
      </c>
      <c r="F97" s="13">
        <f>SUMIFS(Table16[Purchase_history],Table16[customer_id],Table13[[#This Row],[customer_id]])</f>
        <v>3867.4900000000002</v>
      </c>
      <c r="G97" s="20">
        <v>44307</v>
      </c>
      <c r="H97" s="21">
        <v>44811</v>
      </c>
      <c r="I97" s="15">
        <f>(Table134[[#This Row],[Last_Day]]-Table134[[#This Row],[First_Day]]+1)/365</f>
        <v>1.3835616438356164</v>
      </c>
      <c r="J97" s="59">
        <f>Table134[[#This Row],[number_of_purchases]]/Table134[[#This Row],[customer_total_years]]</f>
        <v>2.891089108910891</v>
      </c>
      <c r="K97" s="13">
        <f>Table134[[#This Row],[purchase_history]]/Table134[[#This Row],[number_of_purchases]]</f>
        <v>966.87250000000006</v>
      </c>
      <c r="L97" s="2">
        <f>IF(YEAR(Table134[[#This Row],[Last_Day]])=2021,5,IF(YEAR(Table134[[#This Row],[Last_Day]])=2022,7,IF(YEAR(Table134[[#This Row],[Last_Day]])=2023,10,"Không xác định")))</f>
        <v>7</v>
      </c>
      <c r="M97" s="15">
        <f>Table134[[#This Row],[avg_number_of_purchases]]*Table1345[[#This Row],[avg_purchase_value]]*Table1345[[#This Row],[expected_lifespan]]</f>
        <v>19567.201881188117</v>
      </c>
      <c r="N97" t="s">
        <v>12042</v>
      </c>
    </row>
    <row r="98" spans="1:14" x14ac:dyDescent="0.3">
      <c r="A98" s="2" t="s">
        <v>96</v>
      </c>
      <c r="B98" s="2" t="s">
        <v>12040</v>
      </c>
      <c r="C98" s="2">
        <v>21</v>
      </c>
      <c r="D98" s="2" t="s">
        <v>12049</v>
      </c>
      <c r="E98" s="2">
        <f>COUNTIF(Table16[customer_id],Table13[[#This Row],[customer_id]])</f>
        <v>4</v>
      </c>
      <c r="F98" s="13">
        <f>SUMIFS(Table16[Purchase_history],Table16[customer_id],Table13[[#This Row],[customer_id]])</f>
        <v>8714.0499999999993</v>
      </c>
      <c r="G98" s="20">
        <v>44226</v>
      </c>
      <c r="H98" s="21">
        <v>44813</v>
      </c>
      <c r="I98" s="15">
        <f>(Table134[[#This Row],[Last_Day]]-Table134[[#This Row],[First_Day]]+1)/365</f>
        <v>1.6109589041095891</v>
      </c>
      <c r="J98" s="59">
        <f>Table134[[#This Row],[number_of_purchases]]/Table134[[#This Row],[customer_total_years]]</f>
        <v>2.4829931972789114</v>
      </c>
      <c r="K98" s="13">
        <f>Table134[[#This Row],[purchase_history]]/Table134[[#This Row],[number_of_purchases]]</f>
        <v>2178.5124999999998</v>
      </c>
      <c r="L98" s="2">
        <f>IF(YEAR(Table134[[#This Row],[Last_Day]])=2021,5,IF(YEAR(Table134[[#This Row],[Last_Day]])=2022,7,IF(YEAR(Table134[[#This Row],[Last_Day]])=2023,10,"Không xác định")))</f>
        <v>7</v>
      </c>
      <c r="M98" s="15">
        <f>Table134[[#This Row],[avg_number_of_purchases]]*Table1345[[#This Row],[avg_purchase_value]]*Table1345[[#This Row],[expected_lifespan]]</f>
        <v>37864.622023809519</v>
      </c>
      <c r="N98" t="s">
        <v>12042</v>
      </c>
    </row>
    <row r="99" spans="1:14" x14ac:dyDescent="0.3">
      <c r="A99" s="2" t="s">
        <v>97</v>
      </c>
      <c r="B99" s="2" t="s">
        <v>12045</v>
      </c>
      <c r="C99" s="2">
        <v>37</v>
      </c>
      <c r="D99" s="2" t="s">
        <v>12043</v>
      </c>
      <c r="E99" s="2">
        <f>COUNTIF(Table16[customer_id],Table13[[#This Row],[customer_id]])</f>
        <v>8</v>
      </c>
      <c r="F99" s="13">
        <f>SUMIFS(Table16[Purchase_history],Table16[customer_id],Table13[[#This Row],[customer_id]])</f>
        <v>8547.75</v>
      </c>
      <c r="G99" s="20">
        <v>44275</v>
      </c>
      <c r="H99" s="21">
        <v>44982</v>
      </c>
      <c r="I99" s="15">
        <f>(Table134[[#This Row],[Last_Day]]-Table134[[#This Row],[First_Day]]+1)/365</f>
        <v>1.9397260273972603</v>
      </c>
      <c r="J99" s="59">
        <f>Table134[[#This Row],[number_of_purchases]]/Table134[[#This Row],[customer_total_years]]</f>
        <v>4.1242937853107344</v>
      </c>
      <c r="K99" s="13">
        <f>Table134[[#This Row],[purchase_history]]/Table134[[#This Row],[number_of_purchases]]</f>
        <v>1068.46875</v>
      </c>
      <c r="L99" s="2">
        <f>IF(YEAR(Table134[[#This Row],[Last_Day]])=2021,5,IF(YEAR(Table134[[#This Row],[Last_Day]])=2022,7,IF(YEAR(Table134[[#This Row],[Last_Day]])=2023,10,"Không xác định")))</f>
        <v>10</v>
      </c>
      <c r="M99" s="15">
        <f>Table134[[#This Row],[avg_number_of_purchases]]*Table1345[[#This Row],[avg_purchase_value]]*Table1345[[#This Row],[expected_lifespan]]</f>
        <v>44066.790254237283</v>
      </c>
      <c r="N99" t="s">
        <v>12046</v>
      </c>
    </row>
    <row r="100" spans="1:14" x14ac:dyDescent="0.3">
      <c r="A100" s="2" t="s">
        <v>98</v>
      </c>
      <c r="B100" s="2" t="s">
        <v>12045</v>
      </c>
      <c r="C100" s="2">
        <v>30</v>
      </c>
      <c r="D100" s="2" t="s">
        <v>12043</v>
      </c>
      <c r="E100" s="2">
        <f>COUNTIF(Table16[customer_id],Table13[[#This Row],[customer_id]])</f>
        <v>5</v>
      </c>
      <c r="F100" s="13">
        <f>SUMIFS(Table16[Purchase_history],Table16[customer_id],Table13[[#This Row],[customer_id]])</f>
        <v>10449.08</v>
      </c>
      <c r="G100" s="20">
        <v>44370</v>
      </c>
      <c r="H100" s="21">
        <v>44884</v>
      </c>
      <c r="I100" s="15">
        <f>(Table134[[#This Row],[Last_Day]]-Table134[[#This Row],[First_Day]]+1)/365</f>
        <v>1.4109589041095891</v>
      </c>
      <c r="J100" s="59">
        <f>Table134[[#This Row],[number_of_purchases]]/Table134[[#This Row],[customer_total_years]]</f>
        <v>3.5436893203883493</v>
      </c>
      <c r="K100" s="13">
        <f>Table134[[#This Row],[purchase_history]]/Table134[[#This Row],[number_of_purchases]]</f>
        <v>2089.8159999999998</v>
      </c>
      <c r="L100" s="2">
        <f>IF(YEAR(Table134[[#This Row],[Last_Day]])=2021,5,IF(YEAR(Table134[[#This Row],[Last_Day]])=2022,7,IF(YEAR(Table134[[#This Row],[Last_Day]])=2023,10,"Không xác định")))</f>
        <v>7</v>
      </c>
      <c r="M100" s="15">
        <f>Table134[[#This Row],[avg_number_of_purchases]]*Table1345[[#This Row],[avg_purchase_value]]*Table1345[[#This Row],[expected_lifespan]]</f>
        <v>51839.61048543689</v>
      </c>
      <c r="N100" t="s">
        <v>12042</v>
      </c>
    </row>
    <row r="101" spans="1:14" x14ac:dyDescent="0.3">
      <c r="A101" s="2" t="s">
        <v>99</v>
      </c>
      <c r="B101" s="2" t="s">
        <v>12045</v>
      </c>
      <c r="C101" s="2">
        <v>26</v>
      </c>
      <c r="D101" s="2" t="s">
        <v>12043</v>
      </c>
      <c r="E101" s="2">
        <f>COUNTIF(Table16[customer_id],Table13[[#This Row],[customer_id]])</f>
        <v>5</v>
      </c>
      <c r="F101" s="13">
        <f>SUMIFS(Table16[Purchase_history],Table16[customer_id],Table13[[#This Row],[customer_id]])</f>
        <v>11409.000000000002</v>
      </c>
      <c r="G101" s="20">
        <v>44234</v>
      </c>
      <c r="H101" s="21">
        <v>44969</v>
      </c>
      <c r="I101" s="15">
        <f>(Table134[[#This Row],[Last_Day]]-Table134[[#This Row],[First_Day]]+1)/365</f>
        <v>2.0164383561643837</v>
      </c>
      <c r="J101" s="59">
        <f>Table134[[#This Row],[number_of_purchases]]/Table134[[#This Row],[customer_total_years]]</f>
        <v>2.4796195652173911</v>
      </c>
      <c r="K101" s="13">
        <f>Table134[[#This Row],[purchase_history]]/Table134[[#This Row],[number_of_purchases]]</f>
        <v>2281.8000000000002</v>
      </c>
      <c r="L101" s="2">
        <f>IF(YEAR(Table134[[#This Row],[Last_Day]])=2021,5,IF(YEAR(Table134[[#This Row],[Last_Day]])=2022,7,IF(YEAR(Table134[[#This Row],[Last_Day]])=2023,10,"Không xác định")))</f>
        <v>10</v>
      </c>
      <c r="M101" s="15">
        <f>Table134[[#This Row],[avg_number_of_purchases]]*Table1345[[#This Row],[avg_purchase_value]]*Table1345[[#This Row],[expected_lifespan]]</f>
        <v>56579.95923913044</v>
      </c>
      <c r="N101" t="s">
        <v>12044</v>
      </c>
    </row>
    <row r="102" spans="1:14" x14ac:dyDescent="0.3">
      <c r="A102" s="2" t="s">
        <v>100</v>
      </c>
      <c r="B102" s="2" t="s">
        <v>12040</v>
      </c>
      <c r="C102" s="2">
        <v>21</v>
      </c>
      <c r="D102" s="2" t="s">
        <v>12041</v>
      </c>
      <c r="E102" s="2">
        <f>COUNTIF(Table16[customer_id],Table13[[#This Row],[customer_id]])</f>
        <v>8</v>
      </c>
      <c r="F102" s="13">
        <f>SUMIFS(Table16[Purchase_history],Table16[customer_id],Table13[[#This Row],[customer_id]])</f>
        <v>15888.869999999999</v>
      </c>
      <c r="G102" s="20">
        <v>44364</v>
      </c>
      <c r="H102" s="21">
        <v>44915</v>
      </c>
      <c r="I102" s="15">
        <f>(Table134[[#This Row],[Last_Day]]-Table134[[#This Row],[First_Day]]+1)/365</f>
        <v>1.5123287671232877</v>
      </c>
      <c r="J102" s="59">
        <f>Table134[[#This Row],[number_of_purchases]]/Table134[[#This Row],[customer_total_years]]</f>
        <v>5.2898550724637685</v>
      </c>
      <c r="K102" s="13">
        <f>Table134[[#This Row],[purchase_history]]/Table134[[#This Row],[number_of_purchases]]</f>
        <v>1986.1087499999999</v>
      </c>
      <c r="L102" s="2">
        <f>IF(YEAR(Table134[[#This Row],[Last_Day]])=2021,5,IF(YEAR(Table134[[#This Row],[Last_Day]])=2022,7,IF(YEAR(Table134[[#This Row],[Last_Day]])=2023,10,"Không xác định")))</f>
        <v>7</v>
      </c>
      <c r="M102" s="15">
        <f>Table134[[#This Row],[avg_number_of_purchases]]*Table1345[[#This Row],[avg_purchase_value]]*Table1345[[#This Row],[expected_lifespan]]</f>
        <v>73543.592119565219</v>
      </c>
      <c r="N102" t="s">
        <v>12042</v>
      </c>
    </row>
    <row r="103" spans="1:14" x14ac:dyDescent="0.3">
      <c r="A103" s="2" t="s">
        <v>101</v>
      </c>
      <c r="B103" s="2" t="s">
        <v>12040</v>
      </c>
      <c r="C103" s="2">
        <v>68</v>
      </c>
      <c r="D103" s="2" t="s">
        <v>12043</v>
      </c>
      <c r="E103" s="2">
        <f>COUNTIF(Table16[customer_id],Table13[[#This Row],[customer_id]])</f>
        <v>4</v>
      </c>
      <c r="F103" s="13">
        <f>SUMIFS(Table16[Purchase_history],Table16[customer_id],Table13[[#This Row],[customer_id]])</f>
        <v>8757.9599999999991</v>
      </c>
      <c r="G103" s="20">
        <v>44304</v>
      </c>
      <c r="H103" s="21">
        <v>44783</v>
      </c>
      <c r="I103" s="15">
        <f>(Table134[[#This Row],[Last_Day]]-Table134[[#This Row],[First_Day]]+1)/365</f>
        <v>1.3150684931506849</v>
      </c>
      <c r="J103" s="59">
        <f>Table134[[#This Row],[number_of_purchases]]/Table134[[#This Row],[customer_total_years]]</f>
        <v>3.041666666666667</v>
      </c>
      <c r="K103" s="13">
        <f>Table134[[#This Row],[purchase_history]]/Table134[[#This Row],[number_of_purchases]]</f>
        <v>2189.4899999999998</v>
      </c>
      <c r="L103" s="2">
        <f>IF(YEAR(Table134[[#This Row],[Last_Day]])=2021,5,IF(YEAR(Table134[[#This Row],[Last_Day]])=2022,7,IF(YEAR(Table134[[#This Row],[Last_Day]])=2023,10,"Không xác định")))</f>
        <v>7</v>
      </c>
      <c r="M103" s="15">
        <f>Table134[[#This Row],[avg_number_of_purchases]]*Table1345[[#This Row],[avg_purchase_value]]*Table1345[[#This Row],[expected_lifespan]]</f>
        <v>46617.891250000001</v>
      </c>
      <c r="N103" t="s">
        <v>12048</v>
      </c>
    </row>
    <row r="104" spans="1:14" x14ac:dyDescent="0.3">
      <c r="A104" s="2" t="s">
        <v>102</v>
      </c>
      <c r="B104" s="2" t="s">
        <v>12040</v>
      </c>
      <c r="C104" s="2">
        <v>61</v>
      </c>
      <c r="D104" s="2" t="s">
        <v>12043</v>
      </c>
      <c r="E104" s="2">
        <f>COUNTIF(Table16[customer_id],Table13[[#This Row],[customer_id]])</f>
        <v>10</v>
      </c>
      <c r="F104" s="13">
        <f>SUMIFS(Table16[Purchase_history],Table16[customer_id],Table13[[#This Row],[customer_id]])</f>
        <v>18537.77</v>
      </c>
      <c r="G104" s="20">
        <v>44214</v>
      </c>
      <c r="H104" s="21">
        <v>44915</v>
      </c>
      <c r="I104" s="15">
        <f>(Table134[[#This Row],[Last_Day]]-Table134[[#This Row],[First_Day]]+1)/365</f>
        <v>1.9232876712328768</v>
      </c>
      <c r="J104" s="59">
        <f>Table134[[#This Row],[number_of_purchases]]/Table134[[#This Row],[customer_total_years]]</f>
        <v>5.199430199430199</v>
      </c>
      <c r="K104" s="13">
        <f>Table134[[#This Row],[purchase_history]]/Table134[[#This Row],[number_of_purchases]]</f>
        <v>1853.777</v>
      </c>
      <c r="L104" s="2">
        <f>IF(YEAR(Table134[[#This Row],[Last_Day]])=2021,5,IF(YEAR(Table134[[#This Row],[Last_Day]])=2022,7,IF(YEAR(Table134[[#This Row],[Last_Day]])=2023,10,"Không xác định")))</f>
        <v>7</v>
      </c>
      <c r="M104" s="15">
        <f>Table134[[#This Row],[avg_number_of_purchases]]*Table1345[[#This Row],[avg_purchase_value]]*Table1345[[#This Row],[expected_lifespan]]</f>
        <v>67470.088817663811</v>
      </c>
      <c r="N104" t="s">
        <v>12047</v>
      </c>
    </row>
    <row r="105" spans="1:14" x14ac:dyDescent="0.3">
      <c r="A105" s="2" t="s">
        <v>103</v>
      </c>
      <c r="B105" s="2" t="s">
        <v>12040</v>
      </c>
      <c r="C105" s="2">
        <v>53</v>
      </c>
      <c r="D105" s="2" t="s">
        <v>12041</v>
      </c>
      <c r="E105" s="2">
        <f>COUNTIF(Table16[customer_id],Table13[[#This Row],[customer_id]])</f>
        <v>6</v>
      </c>
      <c r="F105" s="13">
        <f>SUMIFS(Table16[Purchase_history],Table16[customer_id],Table13[[#This Row],[customer_id]])</f>
        <v>12361.329999999998</v>
      </c>
      <c r="G105" s="20">
        <v>44348</v>
      </c>
      <c r="H105" s="21">
        <v>44844</v>
      </c>
      <c r="I105" s="15">
        <f>(Table134[[#This Row],[Last_Day]]-Table134[[#This Row],[First_Day]]+1)/365</f>
        <v>1.3616438356164384</v>
      </c>
      <c r="J105" s="59">
        <f>Table134[[#This Row],[number_of_purchases]]/Table134[[#This Row],[customer_total_years]]</f>
        <v>4.4064386317907447</v>
      </c>
      <c r="K105" s="13">
        <f>Table134[[#This Row],[purchase_history]]/Table134[[#This Row],[number_of_purchases]]</f>
        <v>2060.2216666666664</v>
      </c>
      <c r="L105" s="2">
        <f>IF(YEAR(Table134[[#This Row],[Last_Day]])=2021,5,IF(YEAR(Table134[[#This Row],[Last_Day]])=2022,7,IF(YEAR(Table134[[#This Row],[Last_Day]])=2023,10,"Không xác định")))</f>
        <v>7</v>
      </c>
      <c r="M105" s="15">
        <f>Table134[[#This Row],[avg_number_of_purchases]]*Table1345[[#This Row],[avg_purchase_value]]*Table1345[[#This Row],[expected_lifespan]]</f>
        <v>63547.682394366195</v>
      </c>
      <c r="N105" t="s">
        <v>12044</v>
      </c>
    </row>
    <row r="106" spans="1:14" x14ac:dyDescent="0.3">
      <c r="A106" s="2" t="s">
        <v>104</v>
      </c>
      <c r="B106" s="2" t="s">
        <v>12040</v>
      </c>
      <c r="C106" s="2">
        <v>69</v>
      </c>
      <c r="D106" s="2" t="s">
        <v>12043</v>
      </c>
      <c r="E106" s="2">
        <f>COUNTIF(Table16[customer_id],Table13[[#This Row],[customer_id]])</f>
        <v>10</v>
      </c>
      <c r="F106" s="13">
        <f>SUMIFS(Table16[Purchase_history],Table16[customer_id],Table13[[#This Row],[customer_id]])</f>
        <v>47800.649999999994</v>
      </c>
      <c r="G106" s="20">
        <v>44205</v>
      </c>
      <c r="H106" s="21">
        <v>44977</v>
      </c>
      <c r="I106" s="15">
        <f>(Table134[[#This Row],[Last_Day]]-Table134[[#This Row],[First_Day]]+1)/365</f>
        <v>2.117808219178082</v>
      </c>
      <c r="J106" s="59">
        <f>Table134[[#This Row],[number_of_purchases]]/Table134[[#This Row],[customer_total_years]]</f>
        <v>4.7218628719275557</v>
      </c>
      <c r="K106" s="13">
        <f>Table134[[#This Row],[purchase_history]]/Table134[[#This Row],[number_of_purchases]]</f>
        <v>4780.0649999999996</v>
      </c>
      <c r="L106" s="2">
        <f>IF(YEAR(Table134[[#This Row],[Last_Day]])=2021,5,IF(YEAR(Table134[[#This Row],[Last_Day]])=2022,7,IF(YEAR(Table134[[#This Row],[Last_Day]])=2023,10,"Không xác định")))</f>
        <v>10</v>
      </c>
      <c r="M106" s="15">
        <f>Table134[[#This Row],[avg_number_of_purchases]]*Table1345[[#This Row],[avg_purchase_value]]*Table1345[[#This Row],[expected_lifespan]]</f>
        <v>225708.1144890039</v>
      </c>
      <c r="N106" t="s">
        <v>12044</v>
      </c>
    </row>
    <row r="107" spans="1:14" x14ac:dyDescent="0.3">
      <c r="A107" s="2" t="s">
        <v>105</v>
      </c>
      <c r="B107" s="2" t="s">
        <v>12045</v>
      </c>
      <c r="C107" s="2">
        <v>22</v>
      </c>
      <c r="D107" s="2" t="s">
        <v>12041</v>
      </c>
      <c r="E107" s="2">
        <f>COUNTIF(Table16[customer_id],Table13[[#This Row],[customer_id]])</f>
        <v>4</v>
      </c>
      <c r="F107" s="13">
        <f>SUMIFS(Table16[Purchase_history],Table16[customer_id],Table13[[#This Row],[customer_id]])</f>
        <v>13869.539999999999</v>
      </c>
      <c r="G107" s="20">
        <v>44337</v>
      </c>
      <c r="H107" s="21">
        <v>44727</v>
      </c>
      <c r="I107" s="15">
        <f>(Table134[[#This Row],[Last_Day]]-Table134[[#This Row],[First_Day]]+1)/365</f>
        <v>1.0712328767123287</v>
      </c>
      <c r="J107" s="59">
        <f>Table134[[#This Row],[number_of_purchases]]/Table134[[#This Row],[customer_total_years]]</f>
        <v>3.7340153452685425</v>
      </c>
      <c r="K107" s="13">
        <f>Table134[[#This Row],[purchase_history]]/Table134[[#This Row],[number_of_purchases]]</f>
        <v>3467.3849999999998</v>
      </c>
      <c r="L107" s="2">
        <f>IF(YEAR(Table134[[#This Row],[Last_Day]])=2021,5,IF(YEAR(Table134[[#This Row],[Last_Day]])=2022,7,IF(YEAR(Table134[[#This Row],[Last_Day]])=2023,10,"Không xác định")))</f>
        <v>7</v>
      </c>
      <c r="M107" s="15">
        <f>Table134[[#This Row],[avg_number_of_purchases]]*Table1345[[#This Row],[avg_purchase_value]]*Table1345[[#This Row],[expected_lifespan]]</f>
        <v>90630.881585677751</v>
      </c>
      <c r="N107" t="s">
        <v>12044</v>
      </c>
    </row>
    <row r="108" spans="1:14" x14ac:dyDescent="0.3">
      <c r="A108" s="2" t="s">
        <v>106</v>
      </c>
      <c r="B108" s="2" t="s">
        <v>12040</v>
      </c>
      <c r="C108" s="2">
        <v>23</v>
      </c>
      <c r="D108" s="2" t="s">
        <v>12043</v>
      </c>
      <c r="E108" s="2">
        <f>COUNTIF(Table16[customer_id],Table13[[#This Row],[customer_id]])</f>
        <v>6</v>
      </c>
      <c r="F108" s="13">
        <f>SUMIFS(Table16[Purchase_history],Table16[customer_id],Table13[[#This Row],[customer_id]])</f>
        <v>5830.9</v>
      </c>
      <c r="G108" s="20">
        <v>44256</v>
      </c>
      <c r="H108" s="21">
        <v>44746</v>
      </c>
      <c r="I108" s="15">
        <f>(Table134[[#This Row],[Last_Day]]-Table134[[#This Row],[First_Day]]+1)/365</f>
        <v>1.3452054794520547</v>
      </c>
      <c r="J108" s="59">
        <f>Table134[[#This Row],[number_of_purchases]]/Table134[[#This Row],[customer_total_years]]</f>
        <v>4.460285132382892</v>
      </c>
      <c r="K108" s="13">
        <f>Table134[[#This Row],[purchase_history]]/Table134[[#This Row],[number_of_purchases]]</f>
        <v>971.81666666666661</v>
      </c>
      <c r="L108" s="2">
        <f>IF(YEAR(Table134[[#This Row],[Last_Day]])=2021,5,IF(YEAR(Table134[[#This Row],[Last_Day]])=2022,7,IF(YEAR(Table134[[#This Row],[Last_Day]])=2023,10,"Không xác định")))</f>
        <v>7</v>
      </c>
      <c r="M108" s="15">
        <f>Table134[[#This Row],[avg_number_of_purchases]]*Table1345[[#This Row],[avg_purchase_value]]*Table1345[[#This Row],[expected_lifespan]]</f>
        <v>30342.056008146639</v>
      </c>
      <c r="N108" t="s">
        <v>12047</v>
      </c>
    </row>
    <row r="109" spans="1:14" x14ac:dyDescent="0.3">
      <c r="A109" s="2" t="s">
        <v>107</v>
      </c>
      <c r="B109" s="2" t="s">
        <v>12040</v>
      </c>
      <c r="C109" s="2">
        <v>46</v>
      </c>
      <c r="D109" s="2" t="s">
        <v>12043</v>
      </c>
      <c r="E109" s="2">
        <f>COUNTIF(Table16[customer_id],Table13[[#This Row],[customer_id]])</f>
        <v>4</v>
      </c>
      <c r="F109" s="13">
        <f>SUMIFS(Table16[Purchase_history],Table16[customer_id],Table13[[#This Row],[customer_id]])</f>
        <v>10740.96</v>
      </c>
      <c r="G109" s="20">
        <v>44208</v>
      </c>
      <c r="H109" s="21">
        <v>44852</v>
      </c>
      <c r="I109" s="15">
        <f>(Table134[[#This Row],[Last_Day]]-Table134[[#This Row],[First_Day]]+1)/365</f>
        <v>1.7671232876712328</v>
      </c>
      <c r="J109" s="59">
        <f>Table134[[#This Row],[number_of_purchases]]/Table134[[#This Row],[customer_total_years]]</f>
        <v>2.2635658914728682</v>
      </c>
      <c r="K109" s="13">
        <f>Table134[[#This Row],[purchase_history]]/Table134[[#This Row],[number_of_purchases]]</f>
        <v>2685.24</v>
      </c>
      <c r="L109" s="2">
        <f>IF(YEAR(Table134[[#This Row],[Last_Day]])=2021,5,IF(YEAR(Table134[[#This Row],[Last_Day]])=2022,7,IF(YEAR(Table134[[#This Row],[Last_Day]])=2023,10,"Không xác định")))</f>
        <v>7</v>
      </c>
      <c r="M109" s="15">
        <f>Table134[[#This Row],[avg_number_of_purchases]]*Table1345[[#This Row],[avg_purchase_value]]*Table1345[[#This Row],[expected_lifespan]]</f>
        <v>42547.523720930229</v>
      </c>
      <c r="N109" t="s">
        <v>12047</v>
      </c>
    </row>
    <row r="110" spans="1:14" x14ac:dyDescent="0.3">
      <c r="A110" s="2" t="s">
        <v>108</v>
      </c>
      <c r="B110" s="2" t="s">
        <v>12045</v>
      </c>
      <c r="C110" s="2">
        <v>51</v>
      </c>
      <c r="D110" s="2" t="s">
        <v>12043</v>
      </c>
      <c r="E110" s="2">
        <f>COUNTIF(Table16[customer_id],Table13[[#This Row],[customer_id]])</f>
        <v>5</v>
      </c>
      <c r="F110" s="13">
        <f>SUMIFS(Table16[Purchase_history],Table16[customer_id],Table13[[#This Row],[customer_id]])</f>
        <v>28507.760000000002</v>
      </c>
      <c r="G110" s="20">
        <v>44260</v>
      </c>
      <c r="H110" s="21">
        <v>44921</v>
      </c>
      <c r="I110" s="15">
        <f>(Table134[[#This Row],[Last_Day]]-Table134[[#This Row],[First_Day]]+1)/365</f>
        <v>1.8136986301369864</v>
      </c>
      <c r="J110" s="59">
        <f>Table134[[#This Row],[number_of_purchases]]/Table134[[#This Row],[customer_total_years]]</f>
        <v>2.7567975830815707</v>
      </c>
      <c r="K110" s="13">
        <f>Table134[[#This Row],[purchase_history]]/Table134[[#This Row],[number_of_purchases]]</f>
        <v>5701.5520000000006</v>
      </c>
      <c r="L110" s="2">
        <f>IF(YEAR(Table134[[#This Row],[Last_Day]])=2021,5,IF(YEAR(Table134[[#This Row],[Last_Day]])=2022,7,IF(YEAR(Table134[[#This Row],[Last_Day]])=2023,10,"Không xác định")))</f>
        <v>7</v>
      </c>
      <c r="M110" s="15">
        <f>Table134[[#This Row],[avg_number_of_purchases]]*Table1345[[#This Row],[avg_purchase_value]]*Table1345[[#This Row],[expected_lifespan]]</f>
        <v>110026.17341389728</v>
      </c>
      <c r="N110" t="s">
        <v>12042</v>
      </c>
    </row>
    <row r="111" spans="1:14" x14ac:dyDescent="0.3">
      <c r="A111" s="2" t="s">
        <v>109</v>
      </c>
      <c r="B111" s="2" t="s">
        <v>12040</v>
      </c>
      <c r="C111" s="2">
        <v>36</v>
      </c>
      <c r="D111" s="2" t="s">
        <v>12043</v>
      </c>
      <c r="E111" s="2">
        <f>COUNTIF(Table16[customer_id],Table13[[#This Row],[customer_id]])</f>
        <v>3</v>
      </c>
      <c r="F111" s="13">
        <f>SUMIFS(Table16[Purchase_history],Table16[customer_id],Table13[[#This Row],[customer_id]])</f>
        <v>621.07999999999993</v>
      </c>
      <c r="G111" s="20">
        <v>44753</v>
      </c>
      <c r="H111" s="21">
        <v>44975</v>
      </c>
      <c r="I111" s="15">
        <f>(Table134[[#This Row],[Last_Day]]-Table134[[#This Row],[First_Day]]+1)/365</f>
        <v>0.61095890410958908</v>
      </c>
      <c r="J111" s="59">
        <f>Table134[[#This Row],[number_of_purchases]]/Table134[[#This Row],[customer_total_years]]</f>
        <v>4.9103139013452912</v>
      </c>
      <c r="K111" s="13">
        <f>Table134[[#This Row],[purchase_history]]/Table134[[#This Row],[number_of_purchases]]</f>
        <v>207.02666666666664</v>
      </c>
      <c r="L111" s="2">
        <f>IF(YEAR(Table134[[#This Row],[Last_Day]])=2021,5,IF(YEAR(Table134[[#This Row],[Last_Day]])=2022,7,IF(YEAR(Table134[[#This Row],[Last_Day]])=2023,10,"Không xác định")))</f>
        <v>10</v>
      </c>
      <c r="M111" s="15">
        <f>Table134[[#This Row],[avg_number_of_purchases]]*Table1345[[#This Row],[avg_purchase_value]]*Table1345[[#This Row],[expected_lifespan]]</f>
        <v>10165.659192825111</v>
      </c>
      <c r="N111" t="s">
        <v>12048</v>
      </c>
    </row>
    <row r="112" spans="1:14" x14ac:dyDescent="0.3">
      <c r="A112" s="2" t="s">
        <v>110</v>
      </c>
      <c r="B112" s="2" t="s">
        <v>12040</v>
      </c>
      <c r="C112" s="2">
        <v>40</v>
      </c>
      <c r="D112" s="2" t="s">
        <v>12043</v>
      </c>
      <c r="E112" s="2">
        <f>COUNTIF(Table16[customer_id],Table13[[#This Row],[customer_id]])</f>
        <v>6</v>
      </c>
      <c r="F112" s="13">
        <f>SUMIFS(Table16[Purchase_history],Table16[customer_id],Table13[[#This Row],[customer_id]])</f>
        <v>23396.789999999997</v>
      </c>
      <c r="G112" s="20">
        <v>44223</v>
      </c>
      <c r="H112" s="21">
        <v>44932</v>
      </c>
      <c r="I112" s="15">
        <f>(Table134[[#This Row],[Last_Day]]-Table134[[#This Row],[First_Day]]+1)/365</f>
        <v>1.9452054794520548</v>
      </c>
      <c r="J112" s="59">
        <f>Table134[[#This Row],[number_of_purchases]]/Table134[[#This Row],[customer_total_years]]</f>
        <v>3.084507042253521</v>
      </c>
      <c r="K112" s="13">
        <f>Table134[[#This Row],[purchase_history]]/Table134[[#This Row],[number_of_purchases]]</f>
        <v>3899.4649999999997</v>
      </c>
      <c r="L112" s="2">
        <f>IF(YEAR(Table134[[#This Row],[Last_Day]])=2021,5,IF(YEAR(Table134[[#This Row],[Last_Day]])=2022,7,IF(YEAR(Table134[[#This Row],[Last_Day]])=2023,10,"Không xác định")))</f>
        <v>10</v>
      </c>
      <c r="M112" s="15">
        <f>Table134[[#This Row],[avg_number_of_purchases]]*Table1345[[#This Row],[avg_purchase_value]]*Table1345[[#This Row],[expected_lifespan]]</f>
        <v>120279.27253521126</v>
      </c>
      <c r="N112" t="s">
        <v>12047</v>
      </c>
    </row>
    <row r="113" spans="1:14" x14ac:dyDescent="0.3">
      <c r="A113" s="2" t="s">
        <v>111</v>
      </c>
      <c r="B113" s="2" t="s">
        <v>12040</v>
      </c>
      <c r="C113" s="2">
        <v>40</v>
      </c>
      <c r="D113" s="2" t="s">
        <v>12041</v>
      </c>
      <c r="E113" s="2">
        <f>COUNTIF(Table16[customer_id],Table13[[#This Row],[customer_id]])</f>
        <v>7</v>
      </c>
      <c r="F113" s="13">
        <f>SUMIFS(Table16[Purchase_history],Table16[customer_id],Table13[[#This Row],[customer_id]])</f>
        <v>20120.690000000002</v>
      </c>
      <c r="G113" s="20">
        <v>44241</v>
      </c>
      <c r="H113" s="21">
        <v>44773</v>
      </c>
      <c r="I113" s="15">
        <f>(Table134[[#This Row],[Last_Day]]-Table134[[#This Row],[First_Day]]+1)/365</f>
        <v>1.4602739726027398</v>
      </c>
      <c r="J113" s="59">
        <f>Table134[[#This Row],[number_of_purchases]]/Table134[[#This Row],[customer_total_years]]</f>
        <v>4.7936210131332082</v>
      </c>
      <c r="K113" s="13">
        <f>Table134[[#This Row],[purchase_history]]/Table134[[#This Row],[number_of_purchases]]</f>
        <v>2874.3842857142859</v>
      </c>
      <c r="L113" s="2">
        <f>IF(YEAR(Table134[[#This Row],[Last_Day]])=2021,5,IF(YEAR(Table134[[#This Row],[Last_Day]])=2022,7,IF(YEAR(Table134[[#This Row],[Last_Day]])=2023,10,"Không xác định")))</f>
        <v>7</v>
      </c>
      <c r="M113" s="15">
        <f>Table134[[#This Row],[avg_number_of_purchases]]*Table1345[[#This Row],[avg_purchase_value]]*Table1345[[#This Row],[expected_lifespan]]</f>
        <v>96450.962382739206</v>
      </c>
      <c r="N113" t="s">
        <v>12042</v>
      </c>
    </row>
    <row r="114" spans="1:14" x14ac:dyDescent="0.3">
      <c r="A114" s="2" t="s">
        <v>112</v>
      </c>
      <c r="B114" s="2" t="s">
        <v>12040</v>
      </c>
      <c r="C114" s="2">
        <v>63</v>
      </c>
      <c r="D114" s="2" t="s">
        <v>12041</v>
      </c>
      <c r="E114" s="2">
        <f>COUNTIF(Table16[customer_id],Table13[[#This Row],[customer_id]])</f>
        <v>5</v>
      </c>
      <c r="F114" s="13">
        <f>SUMIFS(Table16[Purchase_history],Table16[customer_id],Table13[[#This Row],[customer_id]])</f>
        <v>8490.58</v>
      </c>
      <c r="G114" s="20">
        <v>44220</v>
      </c>
      <c r="H114" s="21">
        <v>44875</v>
      </c>
      <c r="I114" s="15">
        <f>(Table134[[#This Row],[Last_Day]]-Table134[[#This Row],[First_Day]]+1)/365</f>
        <v>1.7972602739726027</v>
      </c>
      <c r="J114" s="59">
        <f>Table134[[#This Row],[number_of_purchases]]/Table134[[#This Row],[customer_total_years]]</f>
        <v>2.7820121951219514</v>
      </c>
      <c r="K114" s="13">
        <f>Table134[[#This Row],[purchase_history]]/Table134[[#This Row],[number_of_purchases]]</f>
        <v>1698.116</v>
      </c>
      <c r="L114" s="2">
        <f>IF(YEAR(Table134[[#This Row],[Last_Day]])=2021,5,IF(YEAR(Table134[[#This Row],[Last_Day]])=2022,7,IF(YEAR(Table134[[#This Row],[Last_Day]])=2023,10,"Không xác định")))</f>
        <v>7</v>
      </c>
      <c r="M114" s="15">
        <f>Table134[[#This Row],[avg_number_of_purchases]]*Table1345[[#This Row],[avg_purchase_value]]*Table1345[[#This Row],[expected_lifespan]]</f>
        <v>33069.255945121957</v>
      </c>
      <c r="N114" t="s">
        <v>12046</v>
      </c>
    </row>
    <row r="115" spans="1:14" x14ac:dyDescent="0.3">
      <c r="A115" s="2" t="s">
        <v>113</v>
      </c>
      <c r="B115" s="2" t="s">
        <v>12040</v>
      </c>
      <c r="C115" s="2">
        <v>22</v>
      </c>
      <c r="D115" s="2" t="s">
        <v>12041</v>
      </c>
      <c r="E115" s="2">
        <f>COUNTIF(Table16[customer_id],Table13[[#This Row],[customer_id]])</f>
        <v>4</v>
      </c>
      <c r="F115" s="13">
        <f>SUMIFS(Table16[Purchase_history],Table16[customer_id],Table13[[#This Row],[customer_id]])</f>
        <v>1728.64</v>
      </c>
      <c r="G115" s="20">
        <v>44200</v>
      </c>
      <c r="H115" s="21">
        <v>44959</v>
      </c>
      <c r="I115" s="15">
        <f>(Table134[[#This Row],[Last_Day]]-Table134[[#This Row],[First_Day]]+1)/365</f>
        <v>2.0821917808219177</v>
      </c>
      <c r="J115" s="59">
        <f>Table134[[#This Row],[number_of_purchases]]/Table134[[#This Row],[customer_total_years]]</f>
        <v>1.9210526315789476</v>
      </c>
      <c r="K115" s="13">
        <f>Table134[[#This Row],[purchase_history]]/Table134[[#This Row],[number_of_purchases]]</f>
        <v>432.16</v>
      </c>
      <c r="L115" s="2">
        <f>IF(YEAR(Table134[[#This Row],[Last_Day]])=2021,5,IF(YEAR(Table134[[#This Row],[Last_Day]])=2022,7,IF(YEAR(Table134[[#This Row],[Last_Day]])=2023,10,"Không xác định")))</f>
        <v>10</v>
      </c>
      <c r="M115" s="15">
        <f>Table134[[#This Row],[avg_number_of_purchases]]*Table1345[[#This Row],[avg_purchase_value]]*Table1345[[#This Row],[expected_lifespan]]</f>
        <v>8302.0210526315805</v>
      </c>
      <c r="N115" t="s">
        <v>12044</v>
      </c>
    </row>
    <row r="116" spans="1:14" x14ac:dyDescent="0.3">
      <c r="A116" s="2" t="s">
        <v>114</v>
      </c>
      <c r="B116" s="2" t="s">
        <v>12040</v>
      </c>
      <c r="C116" s="2">
        <v>68</v>
      </c>
      <c r="D116" s="2" t="s">
        <v>12041</v>
      </c>
      <c r="E116" s="2">
        <f>COUNTIF(Table16[customer_id],Table13[[#This Row],[customer_id]])</f>
        <v>2</v>
      </c>
      <c r="F116" s="13">
        <f>SUMIFS(Table16[Purchase_history],Table16[customer_id],Table13[[#This Row],[customer_id]])</f>
        <v>2563.3199999999997</v>
      </c>
      <c r="G116" s="20">
        <v>44422</v>
      </c>
      <c r="H116" s="21">
        <v>44941</v>
      </c>
      <c r="I116" s="15">
        <f>(Table134[[#This Row],[Last_Day]]-Table134[[#This Row],[First_Day]]+1)/365</f>
        <v>1.4246575342465753</v>
      </c>
      <c r="J116" s="59">
        <f>Table134[[#This Row],[number_of_purchases]]/Table134[[#This Row],[customer_total_years]]</f>
        <v>1.403846153846154</v>
      </c>
      <c r="K116" s="13">
        <f>Table134[[#This Row],[purchase_history]]/Table134[[#This Row],[number_of_purchases]]</f>
        <v>1281.6599999999999</v>
      </c>
      <c r="L116" s="2">
        <f>IF(YEAR(Table134[[#This Row],[Last_Day]])=2021,5,IF(YEAR(Table134[[#This Row],[Last_Day]])=2022,7,IF(YEAR(Table134[[#This Row],[Last_Day]])=2023,10,"Không xác định")))</f>
        <v>10</v>
      </c>
      <c r="M116" s="15">
        <f>Table134[[#This Row],[avg_number_of_purchases]]*Table1345[[#This Row],[avg_purchase_value]]*Table1345[[#This Row],[expected_lifespan]]</f>
        <v>17992.534615384615</v>
      </c>
      <c r="N116" t="s">
        <v>12046</v>
      </c>
    </row>
    <row r="117" spans="1:14" x14ac:dyDescent="0.3">
      <c r="A117" s="2" t="s">
        <v>115</v>
      </c>
      <c r="B117" s="2" t="s">
        <v>12045</v>
      </c>
      <c r="C117" s="2">
        <v>40</v>
      </c>
      <c r="D117" s="2" t="s">
        <v>12041</v>
      </c>
      <c r="E117" s="2">
        <f>COUNTIF(Table16[customer_id],Table13[[#This Row],[customer_id]])</f>
        <v>5</v>
      </c>
      <c r="F117" s="13">
        <f>SUMIFS(Table16[Purchase_history],Table16[customer_id],Table13[[#This Row],[customer_id]])</f>
        <v>4116.08</v>
      </c>
      <c r="G117" s="20">
        <v>44519</v>
      </c>
      <c r="H117" s="21">
        <v>44898</v>
      </c>
      <c r="I117" s="15">
        <f>(Table134[[#This Row],[Last_Day]]-Table134[[#This Row],[First_Day]]+1)/365</f>
        <v>1.0410958904109588</v>
      </c>
      <c r="J117" s="59">
        <f>Table134[[#This Row],[number_of_purchases]]/Table134[[#This Row],[customer_total_years]]</f>
        <v>4.802631578947369</v>
      </c>
      <c r="K117" s="13">
        <f>Table134[[#This Row],[purchase_history]]/Table134[[#This Row],[number_of_purchases]]</f>
        <v>823.21600000000001</v>
      </c>
      <c r="L117" s="2">
        <f>IF(YEAR(Table134[[#This Row],[Last_Day]])=2021,5,IF(YEAR(Table134[[#This Row],[Last_Day]])=2022,7,IF(YEAR(Table134[[#This Row],[Last_Day]])=2023,10,"Không xác định")))</f>
        <v>7</v>
      </c>
      <c r="M117" s="15">
        <f>Table134[[#This Row],[avg_number_of_purchases]]*Table1345[[#This Row],[avg_purchase_value]]*Table1345[[#This Row],[expected_lifespan]]</f>
        <v>27675.222105263161</v>
      </c>
      <c r="N117" t="s">
        <v>12046</v>
      </c>
    </row>
    <row r="118" spans="1:14" x14ac:dyDescent="0.3">
      <c r="A118" s="2" t="s">
        <v>116</v>
      </c>
      <c r="B118" s="2" t="s">
        <v>12040</v>
      </c>
      <c r="C118" s="2">
        <v>44</v>
      </c>
      <c r="D118" s="2" t="s">
        <v>12043</v>
      </c>
      <c r="E118" s="2">
        <f>COUNTIF(Table16[customer_id],Table13[[#This Row],[customer_id]])</f>
        <v>5</v>
      </c>
      <c r="F118" s="13">
        <f>SUMIFS(Table16[Purchase_history],Table16[customer_id],Table13[[#This Row],[customer_id]])</f>
        <v>1533.78</v>
      </c>
      <c r="G118" s="20">
        <v>44280</v>
      </c>
      <c r="H118" s="21">
        <v>44865</v>
      </c>
      <c r="I118" s="15">
        <f>(Table134[[#This Row],[Last_Day]]-Table134[[#This Row],[First_Day]]+1)/365</f>
        <v>1.6054794520547946</v>
      </c>
      <c r="J118" s="59">
        <f>Table134[[#This Row],[number_of_purchases]]/Table134[[#This Row],[customer_total_years]]</f>
        <v>3.1143344709897609</v>
      </c>
      <c r="K118" s="13">
        <f>Table134[[#This Row],[purchase_history]]/Table134[[#This Row],[number_of_purchases]]</f>
        <v>306.75599999999997</v>
      </c>
      <c r="L118" s="2">
        <f>IF(YEAR(Table134[[#This Row],[Last_Day]])=2021,5,IF(YEAR(Table134[[#This Row],[Last_Day]])=2022,7,IF(YEAR(Table134[[#This Row],[Last_Day]])=2023,10,"Không xác định")))</f>
        <v>7</v>
      </c>
      <c r="M118" s="15">
        <f>Table134[[#This Row],[avg_number_of_purchases]]*Table1345[[#This Row],[avg_purchase_value]]*Table1345[[#This Row],[expected_lifespan]]</f>
        <v>6687.3854948805456</v>
      </c>
      <c r="N118" t="s">
        <v>12047</v>
      </c>
    </row>
    <row r="119" spans="1:14" x14ac:dyDescent="0.3">
      <c r="A119" s="2" t="s">
        <v>117</v>
      </c>
      <c r="B119" s="2" t="s">
        <v>12045</v>
      </c>
      <c r="C119" s="2">
        <v>38</v>
      </c>
      <c r="D119" s="2" t="s">
        <v>12041</v>
      </c>
      <c r="E119" s="2">
        <f>COUNTIF(Table16[customer_id],Table13[[#This Row],[customer_id]])</f>
        <v>3</v>
      </c>
      <c r="F119" s="13">
        <f>SUMIFS(Table16[Purchase_history],Table16[customer_id],Table13[[#This Row],[customer_id]])</f>
        <v>1070.1300000000001</v>
      </c>
      <c r="G119" s="20">
        <v>44359</v>
      </c>
      <c r="H119" s="21">
        <v>44872</v>
      </c>
      <c r="I119" s="15">
        <f>(Table134[[#This Row],[Last_Day]]-Table134[[#This Row],[First_Day]]+1)/365</f>
        <v>1.4082191780821918</v>
      </c>
      <c r="J119" s="59">
        <f>Table134[[#This Row],[number_of_purchases]]/Table134[[#This Row],[customer_total_years]]</f>
        <v>2.1303501945525292</v>
      </c>
      <c r="K119" s="13">
        <f>Table134[[#This Row],[purchase_history]]/Table134[[#This Row],[number_of_purchases]]</f>
        <v>356.71000000000004</v>
      </c>
      <c r="L119" s="2">
        <f>IF(YEAR(Table134[[#This Row],[Last_Day]])=2021,5,IF(YEAR(Table134[[#This Row],[Last_Day]])=2022,7,IF(YEAR(Table134[[#This Row],[Last_Day]])=2023,10,"Không xác định")))</f>
        <v>7</v>
      </c>
      <c r="M119" s="15">
        <f>Table134[[#This Row],[avg_number_of_purchases]]*Table1345[[#This Row],[avg_purchase_value]]*Table1345[[#This Row],[expected_lifespan]]</f>
        <v>5319.4205252918291</v>
      </c>
      <c r="N119" t="s">
        <v>12044</v>
      </c>
    </row>
    <row r="120" spans="1:14" x14ac:dyDescent="0.3">
      <c r="A120" s="2" t="s">
        <v>118</v>
      </c>
      <c r="B120" s="2" t="s">
        <v>12045</v>
      </c>
      <c r="C120" s="2">
        <v>22</v>
      </c>
      <c r="D120" s="2" t="s">
        <v>12043</v>
      </c>
      <c r="E120" s="2">
        <f>COUNTIF(Table16[customer_id],Table13[[#This Row],[customer_id]])</f>
        <v>5</v>
      </c>
      <c r="F120" s="13">
        <f>SUMIFS(Table16[Purchase_history],Table16[customer_id],Table13[[#This Row],[customer_id]])</f>
        <v>5423.96</v>
      </c>
      <c r="G120" s="20">
        <v>44442</v>
      </c>
      <c r="H120" s="21">
        <v>44851</v>
      </c>
      <c r="I120" s="15">
        <f>(Table134[[#This Row],[Last_Day]]-Table134[[#This Row],[First_Day]]+1)/365</f>
        <v>1.1232876712328768</v>
      </c>
      <c r="J120" s="59">
        <f>Table134[[#This Row],[number_of_purchases]]/Table134[[#This Row],[customer_total_years]]</f>
        <v>4.4512195121951219</v>
      </c>
      <c r="K120" s="13">
        <f>Table134[[#This Row],[purchase_history]]/Table134[[#This Row],[number_of_purchases]]</f>
        <v>1084.7919999999999</v>
      </c>
      <c r="L120" s="2">
        <f>IF(YEAR(Table134[[#This Row],[Last_Day]])=2021,5,IF(YEAR(Table134[[#This Row],[Last_Day]])=2022,7,IF(YEAR(Table134[[#This Row],[Last_Day]])=2023,10,"Không xác định")))</f>
        <v>7</v>
      </c>
      <c r="M120" s="15">
        <f>Table134[[#This Row],[avg_number_of_purchases]]*Table1345[[#This Row],[avg_purchase_value]]*Table1345[[#This Row],[expected_lifespan]]</f>
        <v>33800.531219512195</v>
      </c>
      <c r="N120" t="s">
        <v>12047</v>
      </c>
    </row>
    <row r="121" spans="1:14" x14ac:dyDescent="0.3">
      <c r="A121" s="2" t="s">
        <v>119</v>
      </c>
      <c r="B121" s="2" t="s">
        <v>12040</v>
      </c>
      <c r="C121" s="2">
        <v>55</v>
      </c>
      <c r="D121" s="2" t="s">
        <v>12043</v>
      </c>
      <c r="E121" s="2">
        <f>COUNTIF(Table16[customer_id],Table13[[#This Row],[customer_id]])</f>
        <v>7</v>
      </c>
      <c r="F121" s="13">
        <f>SUMIFS(Table16[Purchase_history],Table16[customer_id],Table13[[#This Row],[customer_id]])</f>
        <v>9703.7200000000012</v>
      </c>
      <c r="G121" s="20">
        <v>44354</v>
      </c>
      <c r="H121" s="21">
        <v>44961</v>
      </c>
      <c r="I121" s="15">
        <f>(Table134[[#This Row],[Last_Day]]-Table134[[#This Row],[First_Day]]+1)/365</f>
        <v>1.6657534246575343</v>
      </c>
      <c r="J121" s="59">
        <f>Table134[[#This Row],[number_of_purchases]]/Table134[[#This Row],[customer_total_years]]</f>
        <v>4.2023026315789469</v>
      </c>
      <c r="K121" s="13">
        <f>Table134[[#This Row],[purchase_history]]/Table134[[#This Row],[number_of_purchases]]</f>
        <v>1386.2457142857145</v>
      </c>
      <c r="L121" s="2">
        <f>IF(YEAR(Table134[[#This Row],[Last_Day]])=2021,5,IF(YEAR(Table134[[#This Row],[Last_Day]])=2022,7,IF(YEAR(Table134[[#This Row],[Last_Day]])=2023,10,"Không xác định")))</f>
        <v>10</v>
      </c>
      <c r="M121" s="15">
        <f>Table134[[#This Row],[avg_number_of_purchases]]*Table1345[[#This Row],[avg_purchase_value]]*Table1345[[#This Row],[expected_lifespan]]</f>
        <v>58254.240131578947</v>
      </c>
      <c r="N121" t="s">
        <v>12047</v>
      </c>
    </row>
    <row r="122" spans="1:14" x14ac:dyDescent="0.3">
      <c r="A122" s="2" t="s">
        <v>120</v>
      </c>
      <c r="B122" s="2" t="s">
        <v>12040</v>
      </c>
      <c r="C122" s="2">
        <v>30</v>
      </c>
      <c r="D122" s="2" t="s">
        <v>12043</v>
      </c>
      <c r="E122" s="2">
        <f>COUNTIF(Table16[customer_id],Table13[[#This Row],[customer_id]])</f>
        <v>3</v>
      </c>
      <c r="F122" s="13">
        <f>SUMIFS(Table16[Purchase_history],Table16[customer_id],Table13[[#This Row],[customer_id]])</f>
        <v>2539.3799999999997</v>
      </c>
      <c r="G122" s="20">
        <v>44300</v>
      </c>
      <c r="H122" s="21">
        <v>44792</v>
      </c>
      <c r="I122" s="15">
        <f>(Table134[[#This Row],[Last_Day]]-Table134[[#This Row],[First_Day]]+1)/365</f>
        <v>1.3506849315068492</v>
      </c>
      <c r="J122" s="59">
        <f>Table134[[#This Row],[number_of_purchases]]/Table134[[#This Row],[customer_total_years]]</f>
        <v>2.2210953346855984</v>
      </c>
      <c r="K122" s="13">
        <f>Table134[[#This Row],[purchase_history]]/Table134[[#This Row],[number_of_purchases]]</f>
        <v>846.45999999999992</v>
      </c>
      <c r="L122" s="2">
        <f>IF(YEAR(Table134[[#This Row],[Last_Day]])=2021,5,IF(YEAR(Table134[[#This Row],[Last_Day]])=2022,7,IF(YEAR(Table134[[#This Row],[Last_Day]])=2023,10,"Không xác định")))</f>
        <v>7</v>
      </c>
      <c r="M122" s="15">
        <f>Table134[[#This Row],[avg_number_of_purchases]]*Table1345[[#This Row],[avg_purchase_value]]*Table1345[[#This Row],[expected_lifespan]]</f>
        <v>13160.4784989858</v>
      </c>
      <c r="N122" t="s">
        <v>12047</v>
      </c>
    </row>
    <row r="123" spans="1:14" x14ac:dyDescent="0.3">
      <c r="A123" s="2" t="s">
        <v>121</v>
      </c>
      <c r="B123" s="2" t="s">
        <v>12040</v>
      </c>
      <c r="C123" s="2">
        <v>23</v>
      </c>
      <c r="D123" s="2" t="s">
        <v>12041</v>
      </c>
      <c r="E123" s="2">
        <f>COUNTIF(Table16[customer_id],Table13[[#This Row],[customer_id]])</f>
        <v>3</v>
      </c>
      <c r="F123" s="13">
        <f>SUMIFS(Table16[Purchase_history],Table16[customer_id],Table13[[#This Row],[customer_id]])</f>
        <v>192.32999999999998</v>
      </c>
      <c r="G123" s="20">
        <v>44269</v>
      </c>
      <c r="H123" s="21">
        <v>44746</v>
      </c>
      <c r="I123" s="15">
        <f>(Table134[[#This Row],[Last_Day]]-Table134[[#This Row],[First_Day]]+1)/365</f>
        <v>1.3095890410958904</v>
      </c>
      <c r="J123" s="59">
        <f>Table134[[#This Row],[number_of_purchases]]/Table134[[#This Row],[customer_total_years]]</f>
        <v>2.2907949790794979</v>
      </c>
      <c r="K123" s="13">
        <f>Table134[[#This Row],[purchase_history]]/Table134[[#This Row],[number_of_purchases]]</f>
        <v>64.11</v>
      </c>
      <c r="L123" s="2">
        <f>IF(YEAR(Table134[[#This Row],[Last_Day]])=2021,5,IF(YEAR(Table134[[#This Row],[Last_Day]])=2022,7,IF(YEAR(Table134[[#This Row],[Last_Day]])=2023,10,"Không xác định")))</f>
        <v>7</v>
      </c>
      <c r="M123" s="15">
        <f>Table134[[#This Row],[avg_number_of_purchases]]*Table1345[[#This Row],[avg_purchase_value]]*Table1345[[#This Row],[expected_lifespan]]</f>
        <v>1028.0400627615063</v>
      </c>
      <c r="N123" t="s">
        <v>12046</v>
      </c>
    </row>
    <row r="124" spans="1:14" x14ac:dyDescent="0.3">
      <c r="A124" s="2" t="s">
        <v>122</v>
      </c>
      <c r="B124" s="2" t="s">
        <v>12040</v>
      </c>
      <c r="C124" s="2">
        <v>64</v>
      </c>
      <c r="D124" s="2" t="s">
        <v>12041</v>
      </c>
      <c r="E124" s="2">
        <f>COUNTIF(Table16[customer_id],Table13[[#This Row],[customer_id]])</f>
        <v>3</v>
      </c>
      <c r="F124" s="13">
        <f>SUMIFS(Table16[Purchase_history],Table16[customer_id],Table13[[#This Row],[customer_id]])</f>
        <v>17253.310000000001</v>
      </c>
      <c r="G124" s="20">
        <v>44354</v>
      </c>
      <c r="H124" s="21">
        <v>44764</v>
      </c>
      <c r="I124" s="15">
        <f>(Table134[[#This Row],[Last_Day]]-Table134[[#This Row],[First_Day]]+1)/365</f>
        <v>1.1260273972602739</v>
      </c>
      <c r="J124" s="59">
        <f>Table134[[#This Row],[number_of_purchases]]/Table134[[#This Row],[customer_total_years]]</f>
        <v>2.664233576642336</v>
      </c>
      <c r="K124" s="13">
        <f>Table134[[#This Row],[purchase_history]]/Table134[[#This Row],[number_of_purchases]]</f>
        <v>5751.1033333333335</v>
      </c>
      <c r="L124" s="2">
        <f>IF(YEAR(Table134[[#This Row],[Last_Day]])=2021,5,IF(YEAR(Table134[[#This Row],[Last_Day]])=2022,7,IF(YEAR(Table134[[#This Row],[Last_Day]])=2023,10,"Không xác định")))</f>
        <v>7</v>
      </c>
      <c r="M124" s="15">
        <f>Table134[[#This Row],[avg_number_of_purchases]]*Table1345[[#This Row],[avg_purchase_value]]*Table1345[[#This Row],[expected_lifespan]]</f>
        <v>107255.97822384429</v>
      </c>
      <c r="N124" t="s">
        <v>12042</v>
      </c>
    </row>
    <row r="125" spans="1:14" x14ac:dyDescent="0.3">
      <c r="A125" s="2" t="s">
        <v>123</v>
      </c>
      <c r="B125" s="2" t="s">
        <v>12045</v>
      </c>
      <c r="C125" s="2">
        <v>55</v>
      </c>
      <c r="D125" s="2" t="s">
        <v>12041</v>
      </c>
      <c r="E125" s="2">
        <f>COUNTIF(Table16[customer_id],Table13[[#This Row],[customer_id]])</f>
        <v>4</v>
      </c>
      <c r="F125" s="13">
        <f>SUMIFS(Table16[Purchase_history],Table16[customer_id],Table13[[#This Row],[customer_id]])</f>
        <v>6740.5000000000009</v>
      </c>
      <c r="G125" s="20">
        <v>44249</v>
      </c>
      <c r="H125" s="21">
        <v>44948</v>
      </c>
      <c r="I125" s="15">
        <f>(Table134[[#This Row],[Last_Day]]-Table134[[#This Row],[First_Day]]+1)/365</f>
        <v>1.9178082191780821</v>
      </c>
      <c r="J125" s="59">
        <f>Table134[[#This Row],[number_of_purchases]]/Table134[[#This Row],[customer_total_years]]</f>
        <v>2.0857142857142859</v>
      </c>
      <c r="K125" s="13">
        <f>Table134[[#This Row],[purchase_history]]/Table134[[#This Row],[number_of_purchases]]</f>
        <v>1685.1250000000002</v>
      </c>
      <c r="L125" s="2">
        <f>IF(YEAR(Table134[[#This Row],[Last_Day]])=2021,5,IF(YEAR(Table134[[#This Row],[Last_Day]])=2022,7,IF(YEAR(Table134[[#This Row],[Last_Day]])=2023,10,"Không xác định")))</f>
        <v>10</v>
      </c>
      <c r="M125" s="15">
        <f>Table134[[#This Row],[avg_number_of_purchases]]*Table1345[[#This Row],[avg_purchase_value]]*Table1345[[#This Row],[expected_lifespan]]</f>
        <v>35146.89285714287</v>
      </c>
      <c r="N125" t="s">
        <v>12044</v>
      </c>
    </row>
    <row r="126" spans="1:14" x14ac:dyDescent="0.3">
      <c r="A126" s="2" t="s">
        <v>124</v>
      </c>
      <c r="B126" s="2" t="s">
        <v>12040</v>
      </c>
      <c r="C126" s="2">
        <v>41</v>
      </c>
      <c r="D126" s="2" t="s">
        <v>12041</v>
      </c>
      <c r="E126" s="2">
        <f>COUNTIF(Table16[customer_id],Table13[[#This Row],[customer_id]])</f>
        <v>6</v>
      </c>
      <c r="F126" s="13">
        <f>SUMIFS(Table16[Purchase_history],Table16[customer_id],Table13[[#This Row],[customer_id]])</f>
        <v>13483.199999999999</v>
      </c>
      <c r="G126" s="20">
        <v>44655</v>
      </c>
      <c r="H126" s="21">
        <v>44985</v>
      </c>
      <c r="I126" s="15">
        <f>(Table134[[#This Row],[Last_Day]]-Table134[[#This Row],[First_Day]]+1)/365</f>
        <v>0.9068493150684932</v>
      </c>
      <c r="J126" s="59">
        <f>Table134[[#This Row],[number_of_purchases]]/Table134[[#This Row],[customer_total_years]]</f>
        <v>6.6163141993957701</v>
      </c>
      <c r="K126" s="13">
        <f>Table134[[#This Row],[purchase_history]]/Table134[[#This Row],[number_of_purchases]]</f>
        <v>2247.1999999999998</v>
      </c>
      <c r="L126" s="2">
        <f>IF(YEAR(Table134[[#This Row],[Last_Day]])=2021,5,IF(YEAR(Table134[[#This Row],[Last_Day]])=2022,7,IF(YEAR(Table134[[#This Row],[Last_Day]])=2023,10,"Không xác định")))</f>
        <v>10</v>
      </c>
      <c r="M126" s="15">
        <f>Table134[[#This Row],[avg_number_of_purchases]]*Table1345[[#This Row],[avg_purchase_value]]*Table1345[[#This Row],[expected_lifespan]]</f>
        <v>148681.81268882175</v>
      </c>
      <c r="N126" t="s">
        <v>12047</v>
      </c>
    </row>
    <row r="127" spans="1:14" x14ac:dyDescent="0.3">
      <c r="A127" s="2" t="s">
        <v>125</v>
      </c>
      <c r="B127" s="2" t="s">
        <v>12040</v>
      </c>
      <c r="C127" s="2">
        <v>33</v>
      </c>
      <c r="D127" s="2" t="s">
        <v>12041</v>
      </c>
      <c r="E127" s="2">
        <f>COUNTIF(Table16[customer_id],Table13[[#This Row],[customer_id]])</f>
        <v>3</v>
      </c>
      <c r="F127" s="13">
        <f>SUMIFS(Table16[Purchase_history],Table16[customer_id],Table13[[#This Row],[customer_id]])</f>
        <v>9985.8799999999992</v>
      </c>
      <c r="G127" s="20">
        <v>44218</v>
      </c>
      <c r="H127" s="21">
        <v>44915</v>
      </c>
      <c r="I127" s="15">
        <f>(Table134[[#This Row],[Last_Day]]-Table134[[#This Row],[First_Day]]+1)/365</f>
        <v>1.9123287671232876</v>
      </c>
      <c r="J127" s="59">
        <f>Table134[[#This Row],[number_of_purchases]]/Table134[[#This Row],[customer_total_years]]</f>
        <v>1.5687679083094557</v>
      </c>
      <c r="K127" s="13">
        <f>Table134[[#This Row],[purchase_history]]/Table134[[#This Row],[number_of_purchases]]</f>
        <v>3328.6266666666666</v>
      </c>
      <c r="L127" s="2">
        <f>IF(YEAR(Table134[[#This Row],[Last_Day]])=2021,5,IF(YEAR(Table134[[#This Row],[Last_Day]])=2022,7,IF(YEAR(Table134[[#This Row],[Last_Day]])=2023,10,"Không xác định")))</f>
        <v>7</v>
      </c>
      <c r="M127" s="15">
        <f>Table134[[#This Row],[avg_number_of_purchases]]*Table1345[[#This Row],[avg_purchase_value]]*Table1345[[#This Row],[expected_lifespan]]</f>
        <v>36552.898853868195</v>
      </c>
      <c r="N127" t="s">
        <v>12042</v>
      </c>
    </row>
    <row r="128" spans="1:14" x14ac:dyDescent="0.3">
      <c r="A128" s="2" t="s">
        <v>126</v>
      </c>
      <c r="B128" s="2" t="s">
        <v>12040</v>
      </c>
      <c r="C128" s="2">
        <v>58</v>
      </c>
      <c r="D128" s="2" t="s">
        <v>12049</v>
      </c>
      <c r="E128" s="2">
        <f>COUNTIF(Table16[customer_id],Table13[[#This Row],[customer_id]])</f>
        <v>4</v>
      </c>
      <c r="F128" s="13">
        <f>SUMIFS(Table16[Purchase_history],Table16[customer_id],Table13[[#This Row],[customer_id]])</f>
        <v>3006.04</v>
      </c>
      <c r="G128" s="20">
        <v>44262</v>
      </c>
      <c r="H128" s="21">
        <v>44910</v>
      </c>
      <c r="I128" s="15">
        <f>(Table134[[#This Row],[Last_Day]]-Table134[[#This Row],[First_Day]]+1)/365</f>
        <v>1.7780821917808218</v>
      </c>
      <c r="J128" s="59">
        <f>Table134[[#This Row],[number_of_purchases]]/Table134[[#This Row],[customer_total_years]]</f>
        <v>2.2496147919876734</v>
      </c>
      <c r="K128" s="13">
        <f>Table134[[#This Row],[purchase_history]]/Table134[[#This Row],[number_of_purchases]]</f>
        <v>751.51</v>
      </c>
      <c r="L128" s="2">
        <f>IF(YEAR(Table134[[#This Row],[Last_Day]])=2021,5,IF(YEAR(Table134[[#This Row],[Last_Day]])=2022,7,IF(YEAR(Table134[[#This Row],[Last_Day]])=2023,10,"Không xác định")))</f>
        <v>7</v>
      </c>
      <c r="M128" s="15">
        <f>Table134[[#This Row],[avg_number_of_purchases]]*Table1345[[#This Row],[avg_purchase_value]]*Table1345[[#This Row],[expected_lifespan]]</f>
        <v>11834.256086286596</v>
      </c>
      <c r="N128" t="s">
        <v>12042</v>
      </c>
    </row>
    <row r="129" spans="1:14" x14ac:dyDescent="0.3">
      <c r="A129" s="2" t="s">
        <v>127</v>
      </c>
      <c r="B129" s="2" t="s">
        <v>12045</v>
      </c>
      <c r="C129" s="2">
        <v>68</v>
      </c>
      <c r="D129" s="2" t="s">
        <v>12043</v>
      </c>
      <c r="E129" s="2">
        <f>COUNTIF(Table16[customer_id],Table13[[#This Row],[customer_id]])</f>
        <v>4</v>
      </c>
      <c r="F129" s="13">
        <f>SUMIFS(Table16[Purchase_history],Table16[customer_id],Table13[[#This Row],[customer_id]])</f>
        <v>20705.61</v>
      </c>
      <c r="G129" s="20">
        <v>44762</v>
      </c>
      <c r="H129" s="21">
        <v>44843</v>
      </c>
      <c r="I129" s="15">
        <f>(Table134[[#This Row],[Last_Day]]-Table134[[#This Row],[First_Day]]+1)/365</f>
        <v>0.22465753424657534</v>
      </c>
      <c r="J129" s="59">
        <f>Table134[[#This Row],[number_of_purchases]]/Table134[[#This Row],[customer_total_years]]</f>
        <v>17.804878048780488</v>
      </c>
      <c r="K129" s="13">
        <f>Table134[[#This Row],[purchase_history]]/Table134[[#This Row],[number_of_purchases]]</f>
        <v>5176.4025000000001</v>
      </c>
      <c r="L129" s="2">
        <f>IF(YEAR(Table134[[#This Row],[Last_Day]])=2021,5,IF(YEAR(Table134[[#This Row],[Last_Day]])=2022,7,IF(YEAR(Table134[[#This Row],[Last_Day]])=2023,10,"Không xác định")))</f>
        <v>7</v>
      </c>
      <c r="M129" s="15">
        <f>Table134[[#This Row],[avg_number_of_purchases]]*Table1345[[#This Row],[avg_purchase_value]]*Table1345[[#This Row],[expected_lifespan]]</f>
        <v>645156.50670731708</v>
      </c>
      <c r="N129" t="s">
        <v>12044</v>
      </c>
    </row>
    <row r="130" spans="1:14" x14ac:dyDescent="0.3">
      <c r="A130" s="2" t="s">
        <v>128</v>
      </c>
      <c r="B130" s="2" t="s">
        <v>12040</v>
      </c>
      <c r="C130" s="2">
        <v>67</v>
      </c>
      <c r="D130" s="2" t="s">
        <v>12049</v>
      </c>
      <c r="E130" s="2">
        <f>COUNTIF(Table16[customer_id],Table13[[#This Row],[customer_id]])</f>
        <v>9</v>
      </c>
      <c r="F130" s="13">
        <f>SUMIFS(Table16[Purchase_history],Table16[customer_id],Table13[[#This Row],[customer_id]])</f>
        <v>16750.809999999998</v>
      </c>
      <c r="G130" s="20">
        <v>44337</v>
      </c>
      <c r="H130" s="21">
        <v>44984</v>
      </c>
      <c r="I130" s="15">
        <f>(Table134[[#This Row],[Last_Day]]-Table134[[#This Row],[First_Day]]+1)/365</f>
        <v>1.7753424657534247</v>
      </c>
      <c r="J130" s="59">
        <f>Table134[[#This Row],[number_of_purchases]]/Table134[[#This Row],[customer_total_years]]</f>
        <v>5.0694444444444446</v>
      </c>
      <c r="K130" s="13">
        <f>Table134[[#This Row],[purchase_history]]/Table134[[#This Row],[number_of_purchases]]</f>
        <v>1861.2011111111108</v>
      </c>
      <c r="L130" s="2">
        <f>IF(YEAR(Table134[[#This Row],[Last_Day]])=2021,5,IF(YEAR(Table134[[#This Row],[Last_Day]])=2022,7,IF(YEAR(Table134[[#This Row],[Last_Day]])=2023,10,"Không xác định")))</f>
        <v>10</v>
      </c>
      <c r="M130" s="15">
        <f>Table134[[#This Row],[avg_number_of_purchases]]*Table1345[[#This Row],[avg_purchase_value]]*Table1345[[#This Row],[expected_lifespan]]</f>
        <v>94352.556327160477</v>
      </c>
      <c r="N130" t="s">
        <v>12048</v>
      </c>
    </row>
    <row r="131" spans="1:14" x14ac:dyDescent="0.3">
      <c r="A131" s="2" t="s">
        <v>129</v>
      </c>
      <c r="B131" s="2" t="s">
        <v>12040</v>
      </c>
      <c r="C131" s="2">
        <v>60</v>
      </c>
      <c r="D131" s="2" t="s">
        <v>12049</v>
      </c>
      <c r="E131" s="2">
        <f>COUNTIF(Table16[customer_id],Table13[[#This Row],[customer_id]])</f>
        <v>7</v>
      </c>
      <c r="F131" s="13">
        <f>SUMIFS(Table16[Purchase_history],Table16[customer_id],Table13[[#This Row],[customer_id]])</f>
        <v>20886.66</v>
      </c>
      <c r="G131" s="20">
        <v>44332</v>
      </c>
      <c r="H131" s="21">
        <v>44908</v>
      </c>
      <c r="I131" s="15">
        <f>(Table134[[#This Row],[Last_Day]]-Table134[[#This Row],[First_Day]]+1)/365</f>
        <v>1.5808219178082192</v>
      </c>
      <c r="J131" s="59">
        <f>Table134[[#This Row],[number_of_purchases]]/Table134[[#This Row],[customer_total_years]]</f>
        <v>4.4280762564991329</v>
      </c>
      <c r="K131" s="13">
        <f>Table134[[#This Row],[purchase_history]]/Table134[[#This Row],[number_of_purchases]]</f>
        <v>2983.8085714285712</v>
      </c>
      <c r="L131" s="2">
        <f>IF(YEAR(Table134[[#This Row],[Last_Day]])=2021,5,IF(YEAR(Table134[[#This Row],[Last_Day]])=2022,7,IF(YEAR(Table134[[#This Row],[Last_Day]])=2023,10,"Không xác định")))</f>
        <v>7</v>
      </c>
      <c r="M131" s="15">
        <f>Table134[[#This Row],[avg_number_of_purchases]]*Table1345[[#This Row],[avg_purchase_value]]*Table1345[[#This Row],[expected_lifespan]]</f>
        <v>92487.723223570181</v>
      </c>
      <c r="N131" t="s">
        <v>12042</v>
      </c>
    </row>
    <row r="132" spans="1:14" x14ac:dyDescent="0.3">
      <c r="A132" s="2" t="s">
        <v>130</v>
      </c>
      <c r="B132" s="2" t="s">
        <v>12040</v>
      </c>
      <c r="C132" s="2">
        <v>37</v>
      </c>
      <c r="D132" s="2" t="s">
        <v>12049</v>
      </c>
      <c r="E132" s="2">
        <f>COUNTIF(Table16[customer_id],Table13[[#This Row],[customer_id]])</f>
        <v>6</v>
      </c>
      <c r="F132" s="13">
        <f>SUMIFS(Table16[Purchase_history],Table16[customer_id],Table13[[#This Row],[customer_id]])</f>
        <v>13939.79</v>
      </c>
      <c r="G132" s="20">
        <v>44294</v>
      </c>
      <c r="H132" s="21">
        <v>44723</v>
      </c>
      <c r="I132" s="15">
        <f>(Table134[[#This Row],[Last_Day]]-Table134[[#This Row],[First_Day]]+1)/365</f>
        <v>1.178082191780822</v>
      </c>
      <c r="J132" s="59">
        <f>Table134[[#This Row],[number_of_purchases]]/Table134[[#This Row],[customer_total_years]]</f>
        <v>5.0930232558139537</v>
      </c>
      <c r="K132" s="13">
        <f>Table134[[#This Row],[purchase_history]]/Table134[[#This Row],[number_of_purchases]]</f>
        <v>2323.2983333333336</v>
      </c>
      <c r="L132" s="2">
        <f>IF(YEAR(Table134[[#This Row],[Last_Day]])=2021,5,IF(YEAR(Table134[[#This Row],[Last_Day]])=2022,7,IF(YEAR(Table134[[#This Row],[Last_Day]])=2023,10,"Không xác định")))</f>
        <v>7</v>
      </c>
      <c r="M132" s="15">
        <f>Table134[[#This Row],[avg_number_of_purchases]]*Table1345[[#This Row],[avg_purchase_value]]*Table1345[[#This Row],[expected_lifespan]]</f>
        <v>82828.287093023275</v>
      </c>
      <c r="N132" t="s">
        <v>12044</v>
      </c>
    </row>
    <row r="133" spans="1:14" x14ac:dyDescent="0.3">
      <c r="A133" s="2" t="s">
        <v>131</v>
      </c>
      <c r="B133" s="2" t="s">
        <v>12040</v>
      </c>
      <c r="C133" s="2">
        <v>50</v>
      </c>
      <c r="D133" s="2" t="s">
        <v>12041</v>
      </c>
      <c r="E133" s="2">
        <f>COUNTIF(Table16[customer_id],Table13[[#This Row],[customer_id]])</f>
        <v>7</v>
      </c>
      <c r="F133" s="13">
        <f>SUMIFS(Table16[Purchase_history],Table16[customer_id],Table13[[#This Row],[customer_id]])</f>
        <v>11002.93</v>
      </c>
      <c r="G133" s="20">
        <v>44308</v>
      </c>
      <c r="H133" s="21">
        <v>44878</v>
      </c>
      <c r="I133" s="15">
        <f>(Table134[[#This Row],[Last_Day]]-Table134[[#This Row],[First_Day]]+1)/365</f>
        <v>1.5643835616438355</v>
      </c>
      <c r="J133" s="59">
        <f>Table134[[#This Row],[number_of_purchases]]/Table134[[#This Row],[customer_total_years]]</f>
        <v>4.4746059544658499</v>
      </c>
      <c r="K133" s="13">
        <f>Table134[[#This Row],[purchase_history]]/Table134[[#This Row],[number_of_purchases]]</f>
        <v>1571.8471428571429</v>
      </c>
      <c r="L133" s="2">
        <f>IF(YEAR(Table134[[#This Row],[Last_Day]])=2021,5,IF(YEAR(Table134[[#This Row],[Last_Day]])=2022,7,IF(YEAR(Table134[[#This Row],[Last_Day]])=2023,10,"Không xác định")))</f>
        <v>7</v>
      </c>
      <c r="M133" s="15">
        <f>Table134[[#This Row],[avg_number_of_purchases]]*Table1345[[#This Row],[avg_purchase_value]]*Table1345[[#This Row],[expected_lifespan]]</f>
        <v>49233.776094570938</v>
      </c>
      <c r="N133" t="s">
        <v>12042</v>
      </c>
    </row>
    <row r="134" spans="1:14" x14ac:dyDescent="0.3">
      <c r="A134" s="2" t="s">
        <v>132</v>
      </c>
      <c r="B134" s="2" t="s">
        <v>12040</v>
      </c>
      <c r="C134" s="2">
        <v>49</v>
      </c>
      <c r="D134" s="2" t="s">
        <v>12049</v>
      </c>
      <c r="E134" s="2">
        <f>COUNTIF(Table16[customer_id],Table13[[#This Row],[customer_id]])</f>
        <v>3</v>
      </c>
      <c r="F134" s="13">
        <f>SUMIFS(Table16[Purchase_history],Table16[customer_id],Table13[[#This Row],[customer_id]])</f>
        <v>2326.25</v>
      </c>
      <c r="G134" s="20">
        <v>44469</v>
      </c>
      <c r="H134" s="21">
        <v>44918</v>
      </c>
      <c r="I134" s="15">
        <f>(Table134[[#This Row],[Last_Day]]-Table134[[#This Row],[First_Day]]+1)/365</f>
        <v>1.2328767123287672</v>
      </c>
      <c r="J134" s="59">
        <f>Table134[[#This Row],[number_of_purchases]]/Table134[[#This Row],[customer_total_years]]</f>
        <v>2.4333333333333331</v>
      </c>
      <c r="K134" s="13">
        <f>Table134[[#This Row],[purchase_history]]/Table134[[#This Row],[number_of_purchases]]</f>
        <v>775.41666666666663</v>
      </c>
      <c r="L134" s="2">
        <f>IF(YEAR(Table134[[#This Row],[Last_Day]])=2021,5,IF(YEAR(Table134[[#This Row],[Last_Day]])=2022,7,IF(YEAR(Table134[[#This Row],[Last_Day]])=2023,10,"Không xác định")))</f>
        <v>7</v>
      </c>
      <c r="M134" s="15">
        <f>Table134[[#This Row],[avg_number_of_purchases]]*Table1345[[#This Row],[avg_purchase_value]]*Table1345[[#This Row],[expected_lifespan]]</f>
        <v>13207.930555555553</v>
      </c>
      <c r="N134" t="s">
        <v>12046</v>
      </c>
    </row>
    <row r="135" spans="1:14" x14ac:dyDescent="0.3">
      <c r="A135" s="2" t="s">
        <v>133</v>
      </c>
      <c r="B135" s="2" t="s">
        <v>12045</v>
      </c>
      <c r="C135" s="2">
        <v>63</v>
      </c>
      <c r="D135" s="2" t="s">
        <v>12041</v>
      </c>
      <c r="E135" s="2">
        <f>COUNTIF(Table16[customer_id],Table13[[#This Row],[customer_id]])</f>
        <v>9</v>
      </c>
      <c r="F135" s="13">
        <f>SUMIFS(Table16[Purchase_history],Table16[customer_id],Table13[[#This Row],[customer_id]])</f>
        <v>18025.88</v>
      </c>
      <c r="G135" s="20">
        <v>44208</v>
      </c>
      <c r="H135" s="21">
        <v>44930</v>
      </c>
      <c r="I135" s="15">
        <f>(Table134[[#This Row],[Last_Day]]-Table134[[#This Row],[First_Day]]+1)/365</f>
        <v>1.9808219178082191</v>
      </c>
      <c r="J135" s="59">
        <f>Table134[[#This Row],[number_of_purchases]]/Table134[[#This Row],[customer_total_years]]</f>
        <v>4.5435684647302903</v>
      </c>
      <c r="K135" s="13">
        <f>Table134[[#This Row],[purchase_history]]/Table134[[#This Row],[number_of_purchases]]</f>
        <v>2002.8755555555556</v>
      </c>
      <c r="L135" s="2">
        <f>IF(YEAR(Table134[[#This Row],[Last_Day]])=2021,5,IF(YEAR(Table134[[#This Row],[Last_Day]])=2022,7,IF(YEAR(Table134[[#This Row],[Last_Day]])=2023,10,"Không xác định")))</f>
        <v>10</v>
      </c>
      <c r="M135" s="15">
        <f>Table134[[#This Row],[avg_number_of_purchases]]*Table1345[[#This Row],[avg_purchase_value]]*Table1345[[#This Row],[expected_lifespan]]</f>
        <v>91002.022130013822</v>
      </c>
      <c r="N135" t="s">
        <v>12047</v>
      </c>
    </row>
    <row r="136" spans="1:14" x14ac:dyDescent="0.3">
      <c r="A136" s="2" t="s">
        <v>134</v>
      </c>
      <c r="B136" s="2" t="s">
        <v>12045</v>
      </c>
      <c r="C136" s="2">
        <v>60</v>
      </c>
      <c r="D136" s="2" t="s">
        <v>12043</v>
      </c>
      <c r="E136" s="2">
        <f>COUNTIF(Table16[customer_id],Table13[[#This Row],[customer_id]])</f>
        <v>6</v>
      </c>
      <c r="F136" s="13">
        <f>SUMIFS(Table16[Purchase_history],Table16[customer_id],Table13[[#This Row],[customer_id]])</f>
        <v>4947.57</v>
      </c>
      <c r="G136" s="20">
        <v>44215</v>
      </c>
      <c r="H136" s="21">
        <v>44891</v>
      </c>
      <c r="I136" s="15">
        <f>(Table134[[#This Row],[Last_Day]]-Table134[[#This Row],[First_Day]]+1)/365</f>
        <v>1.8547945205479452</v>
      </c>
      <c r="J136" s="59">
        <f>Table134[[#This Row],[number_of_purchases]]/Table134[[#This Row],[customer_total_years]]</f>
        <v>3.2348596750369274</v>
      </c>
      <c r="K136" s="13">
        <f>Table134[[#This Row],[purchase_history]]/Table134[[#This Row],[number_of_purchases]]</f>
        <v>824.59499999999991</v>
      </c>
      <c r="L136" s="2">
        <f>IF(YEAR(Table134[[#This Row],[Last_Day]])=2021,5,IF(YEAR(Table134[[#This Row],[Last_Day]])=2022,7,IF(YEAR(Table134[[#This Row],[Last_Day]])=2023,10,"Không xác định")))</f>
        <v>7</v>
      </c>
      <c r="M136" s="15">
        <f>Table134[[#This Row],[avg_number_of_purchases]]*Table1345[[#This Row],[avg_purchase_value]]*Table1345[[#This Row],[expected_lifespan]]</f>
        <v>18672.143796159522</v>
      </c>
      <c r="N136" t="s">
        <v>12042</v>
      </c>
    </row>
    <row r="137" spans="1:14" x14ac:dyDescent="0.3">
      <c r="A137" s="2" t="s">
        <v>135</v>
      </c>
      <c r="B137" s="2" t="s">
        <v>12045</v>
      </c>
      <c r="C137" s="2">
        <v>28</v>
      </c>
      <c r="D137" s="2" t="s">
        <v>12041</v>
      </c>
      <c r="E137" s="2">
        <f>COUNTIF(Table16[customer_id],Table13[[#This Row],[customer_id]])</f>
        <v>6</v>
      </c>
      <c r="F137" s="13">
        <f>SUMIFS(Table16[Purchase_history],Table16[customer_id],Table13[[#This Row],[customer_id]])</f>
        <v>16158.46</v>
      </c>
      <c r="G137" s="20">
        <v>44355</v>
      </c>
      <c r="H137" s="21">
        <v>44908</v>
      </c>
      <c r="I137" s="15">
        <f>(Table134[[#This Row],[Last_Day]]-Table134[[#This Row],[First_Day]]+1)/365</f>
        <v>1.5178082191780822</v>
      </c>
      <c r="J137" s="59">
        <f>Table134[[#This Row],[number_of_purchases]]/Table134[[#This Row],[customer_total_years]]</f>
        <v>3.953068592057762</v>
      </c>
      <c r="K137" s="13">
        <f>Table134[[#This Row],[purchase_history]]/Table134[[#This Row],[number_of_purchases]]</f>
        <v>2693.0766666666664</v>
      </c>
      <c r="L137" s="2">
        <f>IF(YEAR(Table134[[#This Row],[Last_Day]])=2021,5,IF(YEAR(Table134[[#This Row],[Last_Day]])=2022,7,IF(YEAR(Table134[[#This Row],[Last_Day]])=2023,10,"Không xác định")))</f>
        <v>7</v>
      </c>
      <c r="M137" s="15">
        <f>Table134[[#This Row],[avg_number_of_purchases]]*Table1345[[#This Row],[avg_purchase_value]]*Table1345[[#This Row],[expected_lifespan]]</f>
        <v>74521.417509025268</v>
      </c>
      <c r="N137" t="s">
        <v>12042</v>
      </c>
    </row>
    <row r="138" spans="1:14" x14ac:dyDescent="0.3">
      <c r="A138" s="2" t="s">
        <v>136</v>
      </c>
      <c r="B138" s="2" t="s">
        <v>12040</v>
      </c>
      <c r="C138" s="2">
        <v>49</v>
      </c>
      <c r="D138" s="2" t="s">
        <v>12043</v>
      </c>
      <c r="E138" s="2">
        <f>COUNTIF(Table16[customer_id],Table13[[#This Row],[customer_id]])</f>
        <v>7</v>
      </c>
      <c r="F138" s="13">
        <f>SUMIFS(Table16[Purchase_history],Table16[customer_id],Table13[[#This Row],[customer_id]])</f>
        <v>20015.63</v>
      </c>
      <c r="G138" s="20">
        <v>44303</v>
      </c>
      <c r="H138" s="21">
        <v>44948</v>
      </c>
      <c r="I138" s="15">
        <f>(Table134[[#This Row],[Last_Day]]-Table134[[#This Row],[First_Day]]+1)/365</f>
        <v>1.7698630136986302</v>
      </c>
      <c r="J138" s="59">
        <f>Table134[[#This Row],[number_of_purchases]]/Table134[[#This Row],[customer_total_years]]</f>
        <v>3.9551083591331269</v>
      </c>
      <c r="K138" s="13">
        <f>Table134[[#This Row],[purchase_history]]/Table134[[#This Row],[number_of_purchases]]</f>
        <v>2859.3757142857144</v>
      </c>
      <c r="L138" s="2">
        <f>IF(YEAR(Table134[[#This Row],[Last_Day]])=2021,5,IF(YEAR(Table134[[#This Row],[Last_Day]])=2022,7,IF(YEAR(Table134[[#This Row],[Last_Day]])=2023,10,"Không xác định")))</f>
        <v>10</v>
      </c>
      <c r="M138" s="15">
        <f>Table134[[#This Row],[avg_number_of_purchases]]*Table1345[[#This Row],[avg_purchase_value]]*Table1345[[#This Row],[expected_lifespan]]</f>
        <v>113091.40789473684</v>
      </c>
      <c r="N138" t="s">
        <v>12042</v>
      </c>
    </row>
    <row r="139" spans="1:14" x14ac:dyDescent="0.3">
      <c r="A139" s="2" t="s">
        <v>137</v>
      </c>
      <c r="B139" s="2" t="s">
        <v>12040</v>
      </c>
      <c r="C139" s="2">
        <v>20</v>
      </c>
      <c r="D139" s="2" t="s">
        <v>12049</v>
      </c>
      <c r="E139" s="2">
        <f>COUNTIF(Table16[customer_id],Table13[[#This Row],[customer_id]])</f>
        <v>7</v>
      </c>
      <c r="F139" s="13">
        <f>SUMIFS(Table16[Purchase_history],Table16[customer_id],Table13[[#This Row],[customer_id]])</f>
        <v>23985.47</v>
      </c>
      <c r="G139" s="20">
        <v>44532</v>
      </c>
      <c r="H139" s="21">
        <v>44953</v>
      </c>
      <c r="I139" s="15">
        <f>(Table134[[#This Row],[Last_Day]]-Table134[[#This Row],[First_Day]]+1)/365</f>
        <v>1.1561643835616437</v>
      </c>
      <c r="J139" s="59">
        <f>Table134[[#This Row],[number_of_purchases]]/Table134[[#This Row],[customer_total_years]]</f>
        <v>6.0545023696682465</v>
      </c>
      <c r="K139" s="13">
        <f>Table134[[#This Row],[purchase_history]]/Table134[[#This Row],[number_of_purchases]]</f>
        <v>3426.4957142857143</v>
      </c>
      <c r="L139" s="2">
        <f>IF(YEAR(Table134[[#This Row],[Last_Day]])=2021,5,IF(YEAR(Table134[[#This Row],[Last_Day]])=2022,7,IF(YEAR(Table134[[#This Row],[Last_Day]])=2023,10,"Không xác định")))</f>
        <v>10</v>
      </c>
      <c r="M139" s="15">
        <f>Table134[[#This Row],[avg_number_of_purchases]]*Table1345[[#This Row],[avg_purchase_value]]*Table1345[[#This Row],[expected_lifespan]]</f>
        <v>207457.26421800948</v>
      </c>
      <c r="N139" t="s">
        <v>12046</v>
      </c>
    </row>
    <row r="140" spans="1:14" x14ac:dyDescent="0.3">
      <c r="A140" s="2" t="s">
        <v>138</v>
      </c>
      <c r="B140" s="2" t="s">
        <v>12045</v>
      </c>
      <c r="C140" s="2">
        <v>55</v>
      </c>
      <c r="D140" s="2" t="s">
        <v>12043</v>
      </c>
      <c r="E140" s="2">
        <f>COUNTIF(Table16[customer_id],Table13[[#This Row],[customer_id]])</f>
        <v>5</v>
      </c>
      <c r="F140" s="13">
        <f>SUMIFS(Table16[Purchase_history],Table16[customer_id],Table13[[#This Row],[customer_id]])</f>
        <v>13248.69</v>
      </c>
      <c r="G140" s="20">
        <v>44283</v>
      </c>
      <c r="H140" s="21">
        <v>44514</v>
      </c>
      <c r="I140" s="15">
        <f>(Table134[[#This Row],[Last_Day]]-Table134[[#This Row],[First_Day]]+1)/365</f>
        <v>0.63561643835616444</v>
      </c>
      <c r="J140" s="59">
        <f>Table134[[#This Row],[number_of_purchases]]/Table134[[#This Row],[customer_total_years]]</f>
        <v>7.8663793103448265</v>
      </c>
      <c r="K140" s="13">
        <f>Table134[[#This Row],[purchase_history]]/Table134[[#This Row],[number_of_purchases]]</f>
        <v>2649.7380000000003</v>
      </c>
      <c r="L140" s="2">
        <f>IF(YEAR(Table134[[#This Row],[Last_Day]])=2021,5,IF(YEAR(Table134[[#This Row],[Last_Day]])=2022,7,IF(YEAR(Table134[[#This Row],[Last_Day]])=2023,10,"Không xác định")))</f>
        <v>5</v>
      </c>
      <c r="M140" s="15">
        <f>Table134[[#This Row],[avg_number_of_purchases]]*Table1345[[#This Row],[avg_purchase_value]]*Table1345[[#This Row],[expected_lifespan]]</f>
        <v>104219.22090517241</v>
      </c>
      <c r="N140" t="s">
        <v>12048</v>
      </c>
    </row>
    <row r="141" spans="1:14" x14ac:dyDescent="0.3">
      <c r="A141" s="2" t="s">
        <v>139</v>
      </c>
      <c r="B141" s="2" t="s">
        <v>12040</v>
      </c>
      <c r="C141" s="2">
        <v>65</v>
      </c>
      <c r="D141" s="2" t="s">
        <v>12041</v>
      </c>
      <c r="E141" s="2">
        <f>COUNTIF(Table16[customer_id],Table13[[#This Row],[customer_id]])</f>
        <v>4</v>
      </c>
      <c r="F141" s="13">
        <f>SUMIFS(Table16[Purchase_history],Table16[customer_id],Table13[[#This Row],[customer_id]])</f>
        <v>3213.84</v>
      </c>
      <c r="G141" s="20">
        <v>44282</v>
      </c>
      <c r="H141" s="21">
        <v>44860</v>
      </c>
      <c r="I141" s="15">
        <f>(Table134[[#This Row],[Last_Day]]-Table134[[#This Row],[First_Day]]+1)/365</f>
        <v>1.5863013698630137</v>
      </c>
      <c r="J141" s="59">
        <f>Table134[[#This Row],[number_of_purchases]]/Table134[[#This Row],[customer_total_years]]</f>
        <v>2.5215889464594126</v>
      </c>
      <c r="K141" s="13">
        <f>Table134[[#This Row],[purchase_history]]/Table134[[#This Row],[number_of_purchases]]</f>
        <v>803.46</v>
      </c>
      <c r="L141" s="2">
        <f>IF(YEAR(Table134[[#This Row],[Last_Day]])=2021,5,IF(YEAR(Table134[[#This Row],[Last_Day]])=2022,7,IF(YEAR(Table134[[#This Row],[Last_Day]])=2023,10,"Không xác định")))</f>
        <v>7</v>
      </c>
      <c r="M141" s="15">
        <f>Table134[[#This Row],[avg_number_of_purchases]]*Table1345[[#This Row],[avg_purchase_value]]*Table1345[[#This Row],[expected_lifespan]]</f>
        <v>14181.970984455958</v>
      </c>
      <c r="N141" t="s">
        <v>12042</v>
      </c>
    </row>
    <row r="142" spans="1:14" x14ac:dyDescent="0.3">
      <c r="A142" s="2" t="s">
        <v>140</v>
      </c>
      <c r="B142" s="2" t="s">
        <v>12040</v>
      </c>
      <c r="C142" s="2">
        <v>58</v>
      </c>
      <c r="D142" s="2" t="s">
        <v>12041</v>
      </c>
      <c r="E142" s="2">
        <f>COUNTIF(Table16[customer_id],Table13[[#This Row],[customer_id]])</f>
        <v>2</v>
      </c>
      <c r="F142" s="13">
        <f>SUMIFS(Table16[Purchase_history],Table16[customer_id],Table13[[#This Row],[customer_id]])</f>
        <v>3717.2200000000003</v>
      </c>
      <c r="G142" s="20">
        <v>44313</v>
      </c>
      <c r="H142" s="21">
        <v>44630</v>
      </c>
      <c r="I142" s="15">
        <f>(Table134[[#This Row],[Last_Day]]-Table134[[#This Row],[First_Day]]+1)/365</f>
        <v>0.87123287671232874</v>
      </c>
      <c r="J142" s="59">
        <f>Table134[[#This Row],[number_of_purchases]]/Table134[[#This Row],[customer_total_years]]</f>
        <v>2.2955974842767297</v>
      </c>
      <c r="K142" s="13">
        <f>Table134[[#This Row],[purchase_history]]/Table134[[#This Row],[number_of_purchases]]</f>
        <v>1858.6100000000001</v>
      </c>
      <c r="L142" s="2">
        <f>IF(YEAR(Table134[[#This Row],[Last_Day]])=2021,5,IF(YEAR(Table134[[#This Row],[Last_Day]])=2022,7,IF(YEAR(Table134[[#This Row],[Last_Day]])=2023,10,"Không xác định")))</f>
        <v>7</v>
      </c>
      <c r="M142" s="15">
        <f>Table134[[#This Row],[avg_number_of_purchases]]*Table1345[[#This Row],[avg_purchase_value]]*Table1345[[#This Row],[expected_lifespan]]</f>
        <v>29866.343081761013</v>
      </c>
      <c r="N142" t="s">
        <v>12046</v>
      </c>
    </row>
    <row r="143" spans="1:14" x14ac:dyDescent="0.3">
      <c r="A143" s="2" t="s">
        <v>141</v>
      </c>
      <c r="B143" s="2" t="s">
        <v>12040</v>
      </c>
      <c r="C143" s="2">
        <v>19</v>
      </c>
      <c r="D143" s="2" t="s">
        <v>12041</v>
      </c>
      <c r="E143" s="2">
        <f>COUNTIF(Table16[customer_id],Table13[[#This Row],[customer_id]])</f>
        <v>3</v>
      </c>
      <c r="F143" s="13">
        <f>SUMIFS(Table16[Purchase_history],Table16[customer_id],Table13[[#This Row],[customer_id]])</f>
        <v>1501.3000000000002</v>
      </c>
      <c r="G143" s="20">
        <v>44248</v>
      </c>
      <c r="H143" s="21">
        <v>44700</v>
      </c>
      <c r="I143" s="15">
        <f>(Table134[[#This Row],[Last_Day]]-Table134[[#This Row],[First_Day]]+1)/365</f>
        <v>1.2410958904109588</v>
      </c>
      <c r="J143" s="59">
        <f>Table134[[#This Row],[number_of_purchases]]/Table134[[#This Row],[customer_total_years]]</f>
        <v>2.4172185430463577</v>
      </c>
      <c r="K143" s="13">
        <f>Table134[[#This Row],[purchase_history]]/Table134[[#This Row],[number_of_purchases]]</f>
        <v>500.43333333333339</v>
      </c>
      <c r="L143" s="2">
        <f>IF(YEAR(Table134[[#This Row],[Last_Day]])=2021,5,IF(YEAR(Table134[[#This Row],[Last_Day]])=2022,7,IF(YEAR(Table134[[#This Row],[Last_Day]])=2023,10,"Không xác định")))</f>
        <v>7</v>
      </c>
      <c r="M143" s="15">
        <f>Table134[[#This Row],[avg_number_of_purchases]]*Table1345[[#This Row],[avg_purchase_value]]*Table1345[[#This Row],[expected_lifespan]]</f>
        <v>8467.5971302428279</v>
      </c>
      <c r="N143" t="s">
        <v>12048</v>
      </c>
    </row>
    <row r="144" spans="1:14" x14ac:dyDescent="0.3">
      <c r="A144" s="2" t="s">
        <v>142</v>
      </c>
      <c r="B144" s="2" t="s">
        <v>12040</v>
      </c>
      <c r="C144" s="2">
        <v>44</v>
      </c>
      <c r="D144" s="2" t="s">
        <v>12043</v>
      </c>
      <c r="E144" s="2">
        <f>COUNTIF(Table16[customer_id],Table13[[#This Row],[customer_id]])</f>
        <v>6</v>
      </c>
      <c r="F144" s="13">
        <f>SUMIFS(Table16[Purchase_history],Table16[customer_id],Table13[[#This Row],[customer_id]])</f>
        <v>8565.6099999999988</v>
      </c>
      <c r="G144" s="20">
        <v>44294</v>
      </c>
      <c r="H144" s="21">
        <v>44878</v>
      </c>
      <c r="I144" s="15">
        <f>(Table134[[#This Row],[Last_Day]]-Table134[[#This Row],[First_Day]]+1)/365</f>
        <v>1.6027397260273972</v>
      </c>
      <c r="J144" s="59">
        <f>Table134[[#This Row],[number_of_purchases]]/Table134[[#This Row],[customer_total_years]]</f>
        <v>3.7435897435897436</v>
      </c>
      <c r="K144" s="13">
        <f>Table134[[#This Row],[purchase_history]]/Table134[[#This Row],[number_of_purchases]]</f>
        <v>1427.6016666666665</v>
      </c>
      <c r="L144" s="2">
        <f>IF(YEAR(Table134[[#This Row],[Last_Day]])=2021,5,IF(YEAR(Table134[[#This Row],[Last_Day]])=2022,7,IF(YEAR(Table134[[#This Row],[Last_Day]])=2023,10,"Không xác định")))</f>
        <v>7</v>
      </c>
      <c r="M144" s="15">
        <f>Table134[[#This Row],[avg_number_of_purchases]]*Table1345[[#This Row],[avg_purchase_value]]*Table1345[[#This Row],[expected_lifespan]]</f>
        <v>37410.484700854693</v>
      </c>
      <c r="N144" t="s">
        <v>12044</v>
      </c>
    </row>
    <row r="145" spans="1:14" x14ac:dyDescent="0.3">
      <c r="A145" s="2" t="s">
        <v>143</v>
      </c>
      <c r="B145" s="2" t="s">
        <v>12040</v>
      </c>
      <c r="C145" s="2">
        <v>20</v>
      </c>
      <c r="D145" s="2" t="s">
        <v>12043</v>
      </c>
      <c r="E145" s="2">
        <f>COUNTIF(Table16[customer_id],Table13[[#This Row],[customer_id]])</f>
        <v>7</v>
      </c>
      <c r="F145" s="13">
        <f>SUMIFS(Table16[Purchase_history],Table16[customer_id],Table13[[#This Row],[customer_id]])</f>
        <v>29790.22</v>
      </c>
      <c r="G145" s="20">
        <v>44225</v>
      </c>
      <c r="H145" s="21">
        <v>44990</v>
      </c>
      <c r="I145" s="15">
        <f>(Table134[[#This Row],[Last_Day]]-Table134[[#This Row],[First_Day]]+1)/365</f>
        <v>2.0986301369863014</v>
      </c>
      <c r="J145" s="59">
        <f>Table134[[#This Row],[number_of_purchases]]/Table134[[#This Row],[customer_total_years]]</f>
        <v>3.3355091383812008</v>
      </c>
      <c r="K145" s="13">
        <f>Table134[[#This Row],[purchase_history]]/Table134[[#This Row],[number_of_purchases]]</f>
        <v>4255.7457142857147</v>
      </c>
      <c r="L145" s="2">
        <f>IF(YEAR(Table134[[#This Row],[Last_Day]])=2021,5,IF(YEAR(Table134[[#This Row],[Last_Day]])=2022,7,IF(YEAR(Table134[[#This Row],[Last_Day]])=2023,10,"Không xác định")))</f>
        <v>10</v>
      </c>
      <c r="M145" s="15">
        <f>Table134[[#This Row],[avg_number_of_purchases]]*Table1345[[#This Row],[avg_purchase_value]]*Table1345[[#This Row],[expected_lifespan]]</f>
        <v>141950.78720626631</v>
      </c>
      <c r="N145" t="s">
        <v>12042</v>
      </c>
    </row>
    <row r="146" spans="1:14" x14ac:dyDescent="0.3">
      <c r="A146" s="2" t="s">
        <v>144</v>
      </c>
      <c r="B146" s="2" t="s">
        <v>12045</v>
      </c>
      <c r="C146" s="2">
        <v>57</v>
      </c>
      <c r="D146" s="2" t="s">
        <v>12041</v>
      </c>
      <c r="E146" s="2">
        <f>COUNTIF(Table16[customer_id],Table13[[#This Row],[customer_id]])</f>
        <v>7</v>
      </c>
      <c r="F146" s="13">
        <f>SUMIFS(Table16[Purchase_history],Table16[customer_id],Table13[[#This Row],[customer_id]])</f>
        <v>25807.1</v>
      </c>
      <c r="G146" s="20">
        <v>44340</v>
      </c>
      <c r="H146" s="21">
        <v>44794</v>
      </c>
      <c r="I146" s="15">
        <f>(Table134[[#This Row],[Last_Day]]-Table134[[#This Row],[First_Day]]+1)/365</f>
        <v>1.2465753424657535</v>
      </c>
      <c r="J146" s="59">
        <f>Table134[[#This Row],[number_of_purchases]]/Table134[[#This Row],[customer_total_years]]</f>
        <v>5.615384615384615</v>
      </c>
      <c r="K146" s="13">
        <f>Table134[[#This Row],[purchase_history]]/Table134[[#This Row],[number_of_purchases]]</f>
        <v>3686.7285714285713</v>
      </c>
      <c r="L146" s="2">
        <f>IF(YEAR(Table134[[#This Row],[Last_Day]])=2021,5,IF(YEAR(Table134[[#This Row],[Last_Day]])=2022,7,IF(YEAR(Table134[[#This Row],[Last_Day]])=2023,10,"Không xác định")))</f>
        <v>7</v>
      </c>
      <c r="M146" s="15">
        <f>Table134[[#This Row],[avg_number_of_purchases]]*Table1345[[#This Row],[avg_purchase_value]]*Table1345[[#This Row],[expected_lifespan]]</f>
        <v>144916.79230769229</v>
      </c>
      <c r="N146" t="s">
        <v>12047</v>
      </c>
    </row>
    <row r="147" spans="1:14" x14ac:dyDescent="0.3">
      <c r="A147" s="2" t="s">
        <v>145</v>
      </c>
      <c r="B147" s="2" t="s">
        <v>12040</v>
      </c>
      <c r="C147" s="2">
        <v>44</v>
      </c>
      <c r="D147" s="2" t="s">
        <v>12049</v>
      </c>
      <c r="E147" s="2">
        <f>COUNTIF(Table16[customer_id],Table13[[#This Row],[customer_id]])</f>
        <v>9</v>
      </c>
      <c r="F147" s="13">
        <f>SUMIFS(Table16[Purchase_history],Table16[customer_id],Table13[[#This Row],[customer_id]])</f>
        <v>7908.119999999999</v>
      </c>
      <c r="G147" s="20">
        <v>44207</v>
      </c>
      <c r="H147" s="21">
        <v>44889</v>
      </c>
      <c r="I147" s="15">
        <f>(Table134[[#This Row],[Last_Day]]-Table134[[#This Row],[First_Day]]+1)/365</f>
        <v>1.8712328767123287</v>
      </c>
      <c r="J147" s="59">
        <f>Table134[[#This Row],[number_of_purchases]]/Table134[[#This Row],[customer_total_years]]</f>
        <v>4.8096632503660324</v>
      </c>
      <c r="K147" s="13">
        <f>Table134[[#This Row],[purchase_history]]/Table134[[#This Row],[number_of_purchases]]</f>
        <v>878.67999999999984</v>
      </c>
      <c r="L147" s="2">
        <f>IF(YEAR(Table134[[#This Row],[Last_Day]])=2021,5,IF(YEAR(Table134[[#This Row],[Last_Day]])=2022,7,IF(YEAR(Table134[[#This Row],[Last_Day]])=2023,10,"Không xác định")))</f>
        <v>7</v>
      </c>
      <c r="M147" s="15">
        <f>Table134[[#This Row],[avg_number_of_purchases]]*Table1345[[#This Row],[avg_purchase_value]]*Table1345[[#This Row],[expected_lifespan]]</f>
        <v>29583.084333821374</v>
      </c>
      <c r="N147" t="s">
        <v>12047</v>
      </c>
    </row>
    <row r="148" spans="1:14" x14ac:dyDescent="0.3">
      <c r="A148" s="2" t="s">
        <v>146</v>
      </c>
      <c r="B148" s="2" t="s">
        <v>12040</v>
      </c>
      <c r="C148" s="2">
        <v>22</v>
      </c>
      <c r="D148" s="2" t="s">
        <v>12041</v>
      </c>
      <c r="E148" s="2">
        <f>COUNTIF(Table16[customer_id],Table13[[#This Row],[customer_id]])</f>
        <v>3</v>
      </c>
      <c r="F148" s="13">
        <f>SUMIFS(Table16[Purchase_history],Table16[customer_id],Table13[[#This Row],[customer_id]])</f>
        <v>2816.99</v>
      </c>
      <c r="G148" s="20">
        <v>44394</v>
      </c>
      <c r="H148" s="21">
        <v>44873</v>
      </c>
      <c r="I148" s="15">
        <f>(Table134[[#This Row],[Last_Day]]-Table134[[#This Row],[First_Day]]+1)/365</f>
        <v>1.3150684931506849</v>
      </c>
      <c r="J148" s="59">
        <f>Table134[[#This Row],[number_of_purchases]]/Table134[[#This Row],[customer_total_years]]</f>
        <v>2.28125</v>
      </c>
      <c r="K148" s="13">
        <f>Table134[[#This Row],[purchase_history]]/Table134[[#This Row],[number_of_purchases]]</f>
        <v>938.99666666666656</v>
      </c>
      <c r="L148" s="2">
        <f>IF(YEAR(Table134[[#This Row],[Last_Day]])=2021,5,IF(YEAR(Table134[[#This Row],[Last_Day]])=2022,7,IF(YEAR(Table134[[#This Row],[Last_Day]])=2023,10,"Không xác định")))</f>
        <v>7</v>
      </c>
      <c r="M148" s="15">
        <f>Table134[[#This Row],[avg_number_of_purchases]]*Table1345[[#This Row],[avg_purchase_value]]*Table1345[[#This Row],[expected_lifespan]]</f>
        <v>14994.60302083333</v>
      </c>
      <c r="N148" t="s">
        <v>12046</v>
      </c>
    </row>
    <row r="149" spans="1:14" x14ac:dyDescent="0.3">
      <c r="A149" s="2" t="s">
        <v>147</v>
      </c>
      <c r="B149" s="2" t="s">
        <v>12045</v>
      </c>
      <c r="C149" s="2">
        <v>49</v>
      </c>
      <c r="D149" s="2" t="s">
        <v>12049</v>
      </c>
      <c r="E149" s="2">
        <f>COUNTIF(Table16[customer_id],Table13[[#This Row],[customer_id]])</f>
        <v>6</v>
      </c>
      <c r="F149" s="13">
        <f>SUMIFS(Table16[Purchase_history],Table16[customer_id],Table13[[#This Row],[customer_id]])</f>
        <v>10537.25</v>
      </c>
      <c r="G149" s="20">
        <v>44201</v>
      </c>
      <c r="H149" s="21">
        <v>44879</v>
      </c>
      <c r="I149" s="15">
        <f>(Table134[[#This Row],[Last_Day]]-Table134[[#This Row],[First_Day]]+1)/365</f>
        <v>1.8602739726027397</v>
      </c>
      <c r="J149" s="59">
        <f>Table134[[#This Row],[number_of_purchases]]/Table134[[#This Row],[customer_total_years]]</f>
        <v>3.2253313696612667</v>
      </c>
      <c r="K149" s="13">
        <f>Table134[[#This Row],[purchase_history]]/Table134[[#This Row],[number_of_purchases]]</f>
        <v>1756.2083333333333</v>
      </c>
      <c r="L149" s="2">
        <f>IF(YEAR(Table134[[#This Row],[Last_Day]])=2021,5,IF(YEAR(Table134[[#This Row],[Last_Day]])=2022,7,IF(YEAR(Table134[[#This Row],[Last_Day]])=2023,10,"Không xác định")))</f>
        <v>7</v>
      </c>
      <c r="M149" s="15">
        <f>Table134[[#This Row],[avg_number_of_purchases]]*Table1345[[#This Row],[avg_purchase_value]]*Table1345[[#This Row],[expected_lifespan]]</f>
        <v>39650.476804123711</v>
      </c>
      <c r="N149" t="s">
        <v>12044</v>
      </c>
    </row>
    <row r="150" spans="1:14" x14ac:dyDescent="0.3">
      <c r="A150" s="2" t="s">
        <v>148</v>
      </c>
      <c r="B150" s="2" t="s">
        <v>12045</v>
      </c>
      <c r="C150" s="2">
        <v>66</v>
      </c>
      <c r="D150" s="2" t="s">
        <v>12043</v>
      </c>
      <c r="E150" s="2">
        <f>COUNTIF(Table16[customer_id],Table13[[#This Row],[customer_id]])</f>
        <v>4</v>
      </c>
      <c r="F150" s="13">
        <f>SUMIFS(Table16[Purchase_history],Table16[customer_id],Table13[[#This Row],[customer_id]])</f>
        <v>5914.56</v>
      </c>
      <c r="G150" s="20">
        <v>44229</v>
      </c>
      <c r="H150" s="21">
        <v>44829</v>
      </c>
      <c r="I150" s="15">
        <f>(Table134[[#This Row],[Last_Day]]-Table134[[#This Row],[First_Day]]+1)/365</f>
        <v>1.6465753424657534</v>
      </c>
      <c r="J150" s="59">
        <f>Table134[[#This Row],[number_of_purchases]]/Table134[[#This Row],[customer_total_years]]</f>
        <v>2.4292845257903495</v>
      </c>
      <c r="K150" s="13">
        <f>Table134[[#This Row],[purchase_history]]/Table134[[#This Row],[number_of_purchases]]</f>
        <v>1478.64</v>
      </c>
      <c r="L150" s="2">
        <f>IF(YEAR(Table134[[#This Row],[Last_Day]])=2021,5,IF(YEAR(Table134[[#This Row],[Last_Day]])=2022,7,IF(YEAR(Table134[[#This Row],[Last_Day]])=2023,10,"Không xác định")))</f>
        <v>7</v>
      </c>
      <c r="M150" s="15">
        <f>Table134[[#This Row],[avg_number_of_purchases]]*Table1345[[#This Row],[avg_purchase_value]]*Table1345[[#This Row],[expected_lifespan]]</f>
        <v>25144.2608985025</v>
      </c>
      <c r="N150" t="s">
        <v>12046</v>
      </c>
    </row>
    <row r="151" spans="1:14" x14ac:dyDescent="0.3">
      <c r="A151" s="2" t="s">
        <v>149</v>
      </c>
      <c r="B151" s="2" t="s">
        <v>12040</v>
      </c>
      <c r="C151" s="2">
        <v>46</v>
      </c>
      <c r="D151" s="2" t="s">
        <v>12043</v>
      </c>
      <c r="E151" s="2">
        <f>COUNTIF(Table16[customer_id],Table13[[#This Row],[customer_id]])</f>
        <v>4</v>
      </c>
      <c r="F151" s="13">
        <f>SUMIFS(Table16[Purchase_history],Table16[customer_id],Table13[[#This Row],[customer_id]])</f>
        <v>17155.210000000003</v>
      </c>
      <c r="G151" s="20">
        <v>44217</v>
      </c>
      <c r="H151" s="21">
        <v>44981</v>
      </c>
      <c r="I151" s="15">
        <f>(Table134[[#This Row],[Last_Day]]-Table134[[#This Row],[First_Day]]+1)/365</f>
        <v>2.095890410958904</v>
      </c>
      <c r="J151" s="59">
        <f>Table134[[#This Row],[number_of_purchases]]/Table134[[#This Row],[customer_total_years]]</f>
        <v>1.9084967320261439</v>
      </c>
      <c r="K151" s="13">
        <f>Table134[[#This Row],[purchase_history]]/Table134[[#This Row],[number_of_purchases]]</f>
        <v>4288.8025000000007</v>
      </c>
      <c r="L151" s="2">
        <f>IF(YEAR(Table134[[#This Row],[Last_Day]])=2021,5,IF(YEAR(Table134[[#This Row],[Last_Day]])=2022,7,IF(YEAR(Table134[[#This Row],[Last_Day]])=2023,10,"Không xác định")))</f>
        <v>10</v>
      </c>
      <c r="M151" s="15">
        <f>Table134[[#This Row],[avg_number_of_purchases]]*Table1345[[#This Row],[avg_purchase_value]]*Table1345[[#This Row],[expected_lifespan]]</f>
        <v>81851.655555555568</v>
      </c>
      <c r="N151" t="s">
        <v>12044</v>
      </c>
    </row>
    <row r="152" spans="1:14" x14ac:dyDescent="0.3">
      <c r="A152" s="2" t="s">
        <v>150</v>
      </c>
      <c r="B152" s="2" t="s">
        <v>12045</v>
      </c>
      <c r="C152" s="2">
        <v>28</v>
      </c>
      <c r="D152" s="2" t="s">
        <v>12049</v>
      </c>
      <c r="E152" s="2">
        <f>COUNTIF(Table16[customer_id],Table13[[#This Row],[customer_id]])</f>
        <v>5</v>
      </c>
      <c r="F152" s="13">
        <f>SUMIFS(Table16[Purchase_history],Table16[customer_id],Table13[[#This Row],[customer_id]])</f>
        <v>4044.11</v>
      </c>
      <c r="G152" s="20">
        <v>44329</v>
      </c>
      <c r="H152" s="21">
        <v>44925</v>
      </c>
      <c r="I152" s="15">
        <f>(Table134[[#This Row],[Last_Day]]-Table134[[#This Row],[First_Day]]+1)/365</f>
        <v>1.6356164383561644</v>
      </c>
      <c r="J152" s="59">
        <f>Table134[[#This Row],[number_of_purchases]]/Table134[[#This Row],[customer_total_years]]</f>
        <v>3.0569514237855944</v>
      </c>
      <c r="K152" s="13">
        <f>Table134[[#This Row],[purchase_history]]/Table134[[#This Row],[number_of_purchases]]</f>
        <v>808.822</v>
      </c>
      <c r="L152" s="2">
        <f>IF(YEAR(Table134[[#This Row],[Last_Day]])=2021,5,IF(YEAR(Table134[[#This Row],[Last_Day]])=2022,7,IF(YEAR(Table134[[#This Row],[Last_Day]])=2023,10,"Không xác định")))</f>
        <v>7</v>
      </c>
      <c r="M152" s="15">
        <f>Table134[[#This Row],[avg_number_of_purchases]]*Table1345[[#This Row],[avg_purchase_value]]*Table1345[[#This Row],[expected_lifespan]]</f>
        <v>17307.706951423785</v>
      </c>
      <c r="N152" t="s">
        <v>12046</v>
      </c>
    </row>
    <row r="153" spans="1:14" x14ac:dyDescent="0.3">
      <c r="A153" s="2" t="s">
        <v>151</v>
      </c>
      <c r="B153" s="2" t="s">
        <v>12040</v>
      </c>
      <c r="C153" s="2">
        <v>28</v>
      </c>
      <c r="D153" s="2" t="s">
        <v>12043</v>
      </c>
      <c r="E153" s="2">
        <f>COUNTIF(Table16[customer_id],Table13[[#This Row],[customer_id]])</f>
        <v>3</v>
      </c>
      <c r="F153" s="13">
        <f>SUMIFS(Table16[Purchase_history],Table16[customer_id],Table13[[#This Row],[customer_id]])</f>
        <v>8102.17</v>
      </c>
      <c r="G153" s="20">
        <v>44495</v>
      </c>
      <c r="H153" s="21">
        <v>44620</v>
      </c>
      <c r="I153" s="15">
        <f>(Table134[[#This Row],[Last_Day]]-Table134[[#This Row],[First_Day]]+1)/365</f>
        <v>0.34520547945205482</v>
      </c>
      <c r="J153" s="59">
        <f>Table134[[#This Row],[number_of_purchases]]/Table134[[#This Row],[customer_total_years]]</f>
        <v>8.6904761904761898</v>
      </c>
      <c r="K153" s="13">
        <f>Table134[[#This Row],[purchase_history]]/Table134[[#This Row],[number_of_purchases]]</f>
        <v>2700.7233333333334</v>
      </c>
      <c r="L153" s="2">
        <f>IF(YEAR(Table134[[#This Row],[Last_Day]])=2021,5,IF(YEAR(Table134[[#This Row],[Last_Day]])=2022,7,IF(YEAR(Table134[[#This Row],[Last_Day]])=2023,10,"Không xác định")))</f>
        <v>7</v>
      </c>
      <c r="M153" s="15">
        <f>Table134[[#This Row],[avg_number_of_purchases]]*Table1345[[#This Row],[avg_purchase_value]]*Table1345[[#This Row],[expected_lifespan]]</f>
        <v>164294.00277777776</v>
      </c>
      <c r="N153" t="s">
        <v>12042</v>
      </c>
    </row>
    <row r="154" spans="1:14" x14ac:dyDescent="0.3">
      <c r="A154" s="2" t="s">
        <v>152</v>
      </c>
      <c r="B154" s="2" t="s">
        <v>12040</v>
      </c>
      <c r="C154" s="2">
        <v>59</v>
      </c>
      <c r="D154" s="2" t="s">
        <v>12043</v>
      </c>
      <c r="E154" s="2">
        <f>COUNTIF(Table16[customer_id],Table13[[#This Row],[customer_id]])</f>
        <v>5</v>
      </c>
      <c r="F154" s="13">
        <f>SUMIFS(Table16[Purchase_history],Table16[customer_id],Table13[[#This Row],[customer_id]])</f>
        <v>2771.47</v>
      </c>
      <c r="G154" s="20">
        <v>44276</v>
      </c>
      <c r="H154" s="21">
        <v>44712</v>
      </c>
      <c r="I154" s="15">
        <f>(Table134[[#This Row],[Last_Day]]-Table134[[#This Row],[First_Day]]+1)/365</f>
        <v>1.1972602739726028</v>
      </c>
      <c r="J154" s="59">
        <f>Table134[[#This Row],[number_of_purchases]]/Table134[[#This Row],[customer_total_years]]</f>
        <v>4.1762013729977117</v>
      </c>
      <c r="K154" s="13">
        <f>Table134[[#This Row],[purchase_history]]/Table134[[#This Row],[number_of_purchases]]</f>
        <v>554.29399999999998</v>
      </c>
      <c r="L154" s="2">
        <f>IF(YEAR(Table134[[#This Row],[Last_Day]])=2021,5,IF(YEAR(Table134[[#This Row],[Last_Day]])=2022,7,IF(YEAR(Table134[[#This Row],[Last_Day]])=2023,10,"Không xác định")))</f>
        <v>7</v>
      </c>
      <c r="M154" s="15">
        <f>Table134[[#This Row],[avg_number_of_purchases]]*Table1345[[#This Row],[avg_purchase_value]]*Table1345[[#This Row],[expected_lifespan]]</f>
        <v>16203.903546910755</v>
      </c>
      <c r="N154" t="s">
        <v>12044</v>
      </c>
    </row>
    <row r="155" spans="1:14" x14ac:dyDescent="0.3">
      <c r="A155" s="2" t="s">
        <v>153</v>
      </c>
      <c r="B155" s="2" t="s">
        <v>12045</v>
      </c>
      <c r="C155" s="2">
        <v>19</v>
      </c>
      <c r="D155" s="2" t="s">
        <v>12041</v>
      </c>
      <c r="E155" s="2">
        <f>COUNTIF(Table16[customer_id],Table13[[#This Row],[customer_id]])</f>
        <v>2</v>
      </c>
      <c r="F155" s="13">
        <f>SUMIFS(Table16[Purchase_history],Table16[customer_id],Table13[[#This Row],[customer_id]])</f>
        <v>340.74</v>
      </c>
      <c r="G155" s="20">
        <v>44389</v>
      </c>
      <c r="H155" s="21">
        <v>44729</v>
      </c>
      <c r="I155" s="15">
        <f>(Table134[[#This Row],[Last_Day]]-Table134[[#This Row],[First_Day]]+1)/365</f>
        <v>0.9342465753424658</v>
      </c>
      <c r="J155" s="59">
        <f>Table134[[#This Row],[number_of_purchases]]/Table134[[#This Row],[customer_total_years]]</f>
        <v>2.1407624633431084</v>
      </c>
      <c r="K155" s="13">
        <f>Table134[[#This Row],[purchase_history]]/Table134[[#This Row],[number_of_purchases]]</f>
        <v>170.37</v>
      </c>
      <c r="L155" s="2">
        <f>IF(YEAR(Table134[[#This Row],[Last_Day]])=2021,5,IF(YEAR(Table134[[#This Row],[Last_Day]])=2022,7,IF(YEAR(Table134[[#This Row],[Last_Day]])=2023,10,"Không xác định")))</f>
        <v>7</v>
      </c>
      <c r="M155" s="15">
        <f>Table134[[#This Row],[avg_number_of_purchases]]*Table1345[[#This Row],[avg_purchase_value]]*Table1345[[#This Row],[expected_lifespan]]</f>
        <v>2553.0519061583577</v>
      </c>
      <c r="N155" t="s">
        <v>12046</v>
      </c>
    </row>
    <row r="156" spans="1:14" x14ac:dyDescent="0.3">
      <c r="A156" s="2" t="s">
        <v>154</v>
      </c>
      <c r="B156" s="2" t="s">
        <v>12045</v>
      </c>
      <c r="C156" s="2">
        <v>59</v>
      </c>
      <c r="D156" s="2" t="s">
        <v>12043</v>
      </c>
      <c r="E156" s="2">
        <f>COUNTIF(Table16[customer_id],Table13[[#This Row],[customer_id]])</f>
        <v>6</v>
      </c>
      <c r="F156" s="13">
        <f>SUMIFS(Table16[Purchase_history],Table16[customer_id],Table13[[#This Row],[customer_id]])</f>
        <v>11335.630000000001</v>
      </c>
      <c r="G156" s="20">
        <v>44238</v>
      </c>
      <c r="H156" s="21">
        <v>44992</v>
      </c>
      <c r="I156" s="15">
        <f>(Table134[[#This Row],[Last_Day]]-Table134[[#This Row],[First_Day]]+1)/365</f>
        <v>2.0684931506849313</v>
      </c>
      <c r="J156" s="59">
        <f>Table134[[#This Row],[number_of_purchases]]/Table134[[#This Row],[customer_total_years]]</f>
        <v>2.9006622516556293</v>
      </c>
      <c r="K156" s="13">
        <f>Table134[[#This Row],[purchase_history]]/Table134[[#This Row],[number_of_purchases]]</f>
        <v>1889.2716666666668</v>
      </c>
      <c r="L156" s="2">
        <f>IF(YEAR(Table134[[#This Row],[Last_Day]])=2021,5,IF(YEAR(Table134[[#This Row],[Last_Day]])=2022,7,IF(YEAR(Table134[[#This Row],[Last_Day]])=2023,10,"Không xác định")))</f>
        <v>10</v>
      </c>
      <c r="M156" s="15">
        <f>Table134[[#This Row],[avg_number_of_purchases]]*Table1345[[#This Row],[avg_purchase_value]]*Table1345[[#This Row],[expected_lifespan]]</f>
        <v>54801.390066225169</v>
      </c>
      <c r="N156" t="s">
        <v>12046</v>
      </c>
    </row>
    <row r="157" spans="1:14" x14ac:dyDescent="0.3">
      <c r="A157" s="2" t="s">
        <v>155</v>
      </c>
      <c r="B157" s="2" t="s">
        <v>12045</v>
      </c>
      <c r="C157" s="2">
        <v>20</v>
      </c>
      <c r="D157" s="2" t="s">
        <v>12049</v>
      </c>
      <c r="E157" s="2">
        <f>COUNTIF(Table16[customer_id],Table13[[#This Row],[customer_id]])</f>
        <v>7</v>
      </c>
      <c r="F157" s="13">
        <f>SUMIFS(Table16[Purchase_history],Table16[customer_id],Table13[[#This Row],[customer_id]])</f>
        <v>11384.369999999999</v>
      </c>
      <c r="G157" s="20">
        <v>44272</v>
      </c>
      <c r="H157" s="21">
        <v>44910</v>
      </c>
      <c r="I157" s="15">
        <f>(Table134[[#This Row],[Last_Day]]-Table134[[#This Row],[First_Day]]+1)/365</f>
        <v>1.7506849315068493</v>
      </c>
      <c r="J157" s="59">
        <f>Table134[[#This Row],[number_of_purchases]]/Table134[[#This Row],[customer_total_years]]</f>
        <v>3.9984350547730827</v>
      </c>
      <c r="K157" s="13">
        <f>Table134[[#This Row],[purchase_history]]/Table134[[#This Row],[number_of_purchases]]</f>
        <v>1626.3385714285712</v>
      </c>
      <c r="L157" s="2">
        <f>IF(YEAR(Table134[[#This Row],[Last_Day]])=2021,5,IF(YEAR(Table134[[#This Row],[Last_Day]])=2022,7,IF(YEAR(Table134[[#This Row],[Last_Day]])=2023,10,"Không xác định")))</f>
        <v>7</v>
      </c>
      <c r="M157" s="15">
        <f>Table134[[#This Row],[avg_number_of_purchases]]*Table1345[[#This Row],[avg_purchase_value]]*Table1345[[#This Row],[expected_lifespan]]</f>
        <v>45519.664084507029</v>
      </c>
      <c r="N157" t="s">
        <v>12046</v>
      </c>
    </row>
    <row r="158" spans="1:14" x14ac:dyDescent="0.3">
      <c r="A158" s="2" t="s">
        <v>156</v>
      </c>
      <c r="B158" s="2" t="s">
        <v>12040</v>
      </c>
      <c r="C158" s="2">
        <v>41</v>
      </c>
      <c r="D158" s="2" t="s">
        <v>12041</v>
      </c>
      <c r="E158" s="2">
        <f>COUNTIF(Table16[customer_id],Table13[[#This Row],[customer_id]])</f>
        <v>4</v>
      </c>
      <c r="F158" s="13">
        <f>SUMIFS(Table16[Purchase_history],Table16[customer_id],Table13[[#This Row],[customer_id]])</f>
        <v>7868.02</v>
      </c>
      <c r="G158" s="20">
        <v>44521</v>
      </c>
      <c r="H158" s="21">
        <v>44916</v>
      </c>
      <c r="I158" s="15">
        <f>(Table134[[#This Row],[Last_Day]]-Table134[[#This Row],[First_Day]]+1)/365</f>
        <v>1.0849315068493151</v>
      </c>
      <c r="J158" s="59">
        <f>Table134[[#This Row],[number_of_purchases]]/Table134[[#This Row],[customer_total_years]]</f>
        <v>3.6868686868686869</v>
      </c>
      <c r="K158" s="13">
        <f>Table134[[#This Row],[purchase_history]]/Table134[[#This Row],[number_of_purchases]]</f>
        <v>1967.0050000000001</v>
      </c>
      <c r="L158" s="2">
        <f>IF(YEAR(Table134[[#This Row],[Last_Day]])=2021,5,IF(YEAR(Table134[[#This Row],[Last_Day]])=2022,7,IF(YEAR(Table134[[#This Row],[Last_Day]])=2023,10,"Không xác định")))</f>
        <v>7</v>
      </c>
      <c r="M158" s="15">
        <f>Table134[[#This Row],[avg_number_of_purchases]]*Table1345[[#This Row],[avg_purchase_value]]*Table1345[[#This Row],[expected_lifespan]]</f>
        <v>50764.623989898988</v>
      </c>
      <c r="N158" t="s">
        <v>12047</v>
      </c>
    </row>
    <row r="159" spans="1:14" x14ac:dyDescent="0.3">
      <c r="A159" s="2" t="s">
        <v>157</v>
      </c>
      <c r="B159" s="2" t="s">
        <v>12040</v>
      </c>
      <c r="C159" s="2">
        <v>21</v>
      </c>
      <c r="D159" s="2" t="s">
        <v>12043</v>
      </c>
      <c r="E159" s="2">
        <f>COUNTIF(Table16[customer_id],Table13[[#This Row],[customer_id]])</f>
        <v>6</v>
      </c>
      <c r="F159" s="13">
        <f>SUMIFS(Table16[Purchase_history],Table16[customer_id],Table13[[#This Row],[customer_id]])</f>
        <v>2241.65</v>
      </c>
      <c r="G159" s="20">
        <v>44574</v>
      </c>
      <c r="H159" s="21">
        <v>44929</v>
      </c>
      <c r="I159" s="15">
        <f>(Table134[[#This Row],[Last_Day]]-Table134[[#This Row],[First_Day]]+1)/365</f>
        <v>0.97534246575342465</v>
      </c>
      <c r="J159" s="59">
        <f>Table134[[#This Row],[number_of_purchases]]/Table134[[#This Row],[customer_total_years]]</f>
        <v>6.1516853932584272</v>
      </c>
      <c r="K159" s="13">
        <f>Table134[[#This Row],[purchase_history]]/Table134[[#This Row],[number_of_purchases]]</f>
        <v>373.60833333333335</v>
      </c>
      <c r="L159" s="2">
        <f>IF(YEAR(Table134[[#This Row],[Last_Day]])=2021,5,IF(YEAR(Table134[[#This Row],[Last_Day]])=2022,7,IF(YEAR(Table134[[#This Row],[Last_Day]])=2023,10,"Không xác định")))</f>
        <v>10</v>
      </c>
      <c r="M159" s="15">
        <f>Table134[[#This Row],[avg_number_of_purchases]]*Table1345[[#This Row],[avg_purchase_value]]*Table1345[[#This Row],[expected_lifespan]]</f>
        <v>22983.209269662926</v>
      </c>
      <c r="N159" t="s">
        <v>12048</v>
      </c>
    </row>
    <row r="160" spans="1:14" x14ac:dyDescent="0.3">
      <c r="A160" s="2" t="s">
        <v>158</v>
      </c>
      <c r="B160" s="2" t="s">
        <v>12040</v>
      </c>
      <c r="C160" s="2">
        <v>41</v>
      </c>
      <c r="D160" s="2" t="s">
        <v>12043</v>
      </c>
      <c r="E160" s="2">
        <f>COUNTIF(Table16[customer_id],Table13[[#This Row],[customer_id]])</f>
        <v>3</v>
      </c>
      <c r="F160" s="13">
        <f>SUMIFS(Table16[Purchase_history],Table16[customer_id],Table13[[#This Row],[customer_id]])</f>
        <v>1168</v>
      </c>
      <c r="G160" s="20">
        <v>44225</v>
      </c>
      <c r="H160" s="21">
        <v>44949</v>
      </c>
      <c r="I160" s="15">
        <f>(Table134[[#This Row],[Last_Day]]-Table134[[#This Row],[First_Day]]+1)/365</f>
        <v>1.9863013698630136</v>
      </c>
      <c r="J160" s="59">
        <f>Table134[[#This Row],[number_of_purchases]]/Table134[[#This Row],[customer_total_years]]</f>
        <v>1.510344827586207</v>
      </c>
      <c r="K160" s="13">
        <f>Table134[[#This Row],[purchase_history]]/Table134[[#This Row],[number_of_purchases]]</f>
        <v>389.33333333333331</v>
      </c>
      <c r="L160" s="2">
        <f>IF(YEAR(Table134[[#This Row],[Last_Day]])=2021,5,IF(YEAR(Table134[[#This Row],[Last_Day]])=2022,7,IF(YEAR(Table134[[#This Row],[Last_Day]])=2023,10,"Không xác định")))</f>
        <v>10</v>
      </c>
      <c r="M160" s="15">
        <f>Table134[[#This Row],[avg_number_of_purchases]]*Table1345[[#This Row],[avg_purchase_value]]*Table1345[[#This Row],[expected_lifespan]]</f>
        <v>5880.2758620689656</v>
      </c>
      <c r="N160" t="s">
        <v>12047</v>
      </c>
    </row>
    <row r="161" spans="1:14" x14ac:dyDescent="0.3">
      <c r="A161" s="2" t="s">
        <v>159</v>
      </c>
      <c r="B161" s="2" t="s">
        <v>12045</v>
      </c>
      <c r="C161" s="2">
        <v>59</v>
      </c>
      <c r="D161" s="2" t="s">
        <v>12043</v>
      </c>
      <c r="E161" s="2">
        <f>COUNTIF(Table16[customer_id],Table13[[#This Row],[customer_id]])</f>
        <v>4</v>
      </c>
      <c r="F161" s="13">
        <f>SUMIFS(Table16[Purchase_history],Table16[customer_id],Table13[[#This Row],[customer_id]])</f>
        <v>2179.08</v>
      </c>
      <c r="G161" s="20">
        <v>44288</v>
      </c>
      <c r="H161" s="21">
        <v>44925</v>
      </c>
      <c r="I161" s="15">
        <f>(Table134[[#This Row],[Last_Day]]-Table134[[#This Row],[First_Day]]+1)/365</f>
        <v>1.747945205479452</v>
      </c>
      <c r="J161" s="59">
        <f>Table134[[#This Row],[number_of_purchases]]/Table134[[#This Row],[customer_total_years]]</f>
        <v>2.2884012539184955</v>
      </c>
      <c r="K161" s="13">
        <f>Table134[[#This Row],[purchase_history]]/Table134[[#This Row],[number_of_purchases]]</f>
        <v>544.77</v>
      </c>
      <c r="L161" s="2">
        <f>IF(YEAR(Table134[[#This Row],[Last_Day]])=2021,5,IF(YEAR(Table134[[#This Row],[Last_Day]])=2022,7,IF(YEAR(Table134[[#This Row],[Last_Day]])=2023,10,"Không xác định")))</f>
        <v>7</v>
      </c>
      <c r="M161" s="15">
        <f>Table134[[#This Row],[avg_number_of_purchases]]*Table1345[[#This Row],[avg_purchase_value]]*Table1345[[#This Row],[expected_lifespan]]</f>
        <v>8726.5664576802519</v>
      </c>
      <c r="N161" t="s">
        <v>12046</v>
      </c>
    </row>
    <row r="162" spans="1:14" x14ac:dyDescent="0.3">
      <c r="A162" s="2" t="s">
        <v>160</v>
      </c>
      <c r="B162" s="2" t="s">
        <v>12045</v>
      </c>
      <c r="C162" s="2">
        <v>40</v>
      </c>
      <c r="D162" s="2" t="s">
        <v>12049</v>
      </c>
      <c r="E162" s="2">
        <f>COUNTIF(Table16[customer_id],Table13[[#This Row],[customer_id]])</f>
        <v>6</v>
      </c>
      <c r="F162" s="13">
        <f>SUMIFS(Table16[Purchase_history],Table16[customer_id],Table13[[#This Row],[customer_id]])</f>
        <v>9403.2799999999988</v>
      </c>
      <c r="G162" s="20">
        <v>44212</v>
      </c>
      <c r="H162" s="21">
        <v>44929</v>
      </c>
      <c r="I162" s="15">
        <f>(Table134[[#This Row],[Last_Day]]-Table134[[#This Row],[First_Day]]+1)/365</f>
        <v>1.9671232876712328</v>
      </c>
      <c r="J162" s="59">
        <f>Table134[[#This Row],[number_of_purchases]]/Table134[[#This Row],[customer_total_years]]</f>
        <v>3.0501392757660168</v>
      </c>
      <c r="K162" s="13">
        <f>Table134[[#This Row],[purchase_history]]/Table134[[#This Row],[number_of_purchases]]</f>
        <v>1567.2133333333331</v>
      </c>
      <c r="L162" s="2">
        <f>IF(YEAR(Table134[[#This Row],[Last_Day]])=2021,5,IF(YEAR(Table134[[#This Row],[Last_Day]])=2022,7,IF(YEAR(Table134[[#This Row],[Last_Day]])=2023,10,"Không xác định")))</f>
        <v>10</v>
      </c>
      <c r="M162" s="15">
        <f>Table134[[#This Row],[avg_number_of_purchases]]*Table1345[[#This Row],[avg_purchase_value]]*Table1345[[#This Row],[expected_lifespan]]</f>
        <v>47802.189415041779</v>
      </c>
      <c r="N162" t="s">
        <v>12046</v>
      </c>
    </row>
    <row r="163" spans="1:14" x14ac:dyDescent="0.3">
      <c r="A163" s="2" t="s">
        <v>161</v>
      </c>
      <c r="B163" s="2" t="s">
        <v>12040</v>
      </c>
      <c r="C163" s="2">
        <v>27</v>
      </c>
      <c r="D163" s="2" t="s">
        <v>12043</v>
      </c>
      <c r="E163" s="2">
        <f>COUNTIF(Table16[customer_id],Table13[[#This Row],[customer_id]])</f>
        <v>5</v>
      </c>
      <c r="F163" s="13">
        <f>SUMIFS(Table16[Purchase_history],Table16[customer_id],Table13[[#This Row],[customer_id]])</f>
        <v>3570.94</v>
      </c>
      <c r="G163" s="20">
        <v>44317</v>
      </c>
      <c r="H163" s="21">
        <v>44745</v>
      </c>
      <c r="I163" s="15">
        <f>(Table134[[#This Row],[Last_Day]]-Table134[[#This Row],[First_Day]]+1)/365</f>
        <v>1.1753424657534246</v>
      </c>
      <c r="J163" s="59">
        <f>Table134[[#This Row],[number_of_purchases]]/Table134[[#This Row],[customer_total_years]]</f>
        <v>4.2540792540792545</v>
      </c>
      <c r="K163" s="13">
        <f>Table134[[#This Row],[purchase_history]]/Table134[[#This Row],[number_of_purchases]]</f>
        <v>714.18799999999999</v>
      </c>
      <c r="L163" s="2">
        <f>IF(YEAR(Table134[[#This Row],[Last_Day]])=2021,5,IF(YEAR(Table134[[#This Row],[Last_Day]])=2022,7,IF(YEAR(Table134[[#This Row],[Last_Day]])=2023,10,"Không xác định")))</f>
        <v>7</v>
      </c>
      <c r="M163" s="15">
        <f>Table134[[#This Row],[avg_number_of_purchases]]*Table1345[[#This Row],[avg_purchase_value]]*Table1345[[#This Row],[expected_lifespan]]</f>
        <v>21267.486480186482</v>
      </c>
      <c r="N163" t="s">
        <v>12044</v>
      </c>
    </row>
    <row r="164" spans="1:14" x14ac:dyDescent="0.3">
      <c r="A164" s="2" t="s">
        <v>162</v>
      </c>
      <c r="B164" s="2" t="s">
        <v>12040</v>
      </c>
      <c r="C164" s="2">
        <v>41</v>
      </c>
      <c r="D164" s="2" t="s">
        <v>12049</v>
      </c>
      <c r="E164" s="2">
        <f>COUNTIF(Table16[customer_id],Table13[[#This Row],[customer_id]])</f>
        <v>6</v>
      </c>
      <c r="F164" s="13">
        <f>SUMIFS(Table16[Purchase_history],Table16[customer_id],Table13[[#This Row],[customer_id]])</f>
        <v>3943.09</v>
      </c>
      <c r="G164" s="20">
        <v>44237</v>
      </c>
      <c r="H164" s="21">
        <v>44931</v>
      </c>
      <c r="I164" s="15">
        <f>(Table134[[#This Row],[Last_Day]]-Table134[[#This Row],[First_Day]]+1)/365</f>
        <v>1.904109589041096</v>
      </c>
      <c r="J164" s="59">
        <f>Table134[[#This Row],[number_of_purchases]]/Table134[[#This Row],[customer_total_years]]</f>
        <v>3.1510791366906474</v>
      </c>
      <c r="K164" s="13">
        <f>Table134[[#This Row],[purchase_history]]/Table134[[#This Row],[number_of_purchases]]</f>
        <v>657.18166666666673</v>
      </c>
      <c r="L164" s="2">
        <f>IF(YEAR(Table134[[#This Row],[Last_Day]])=2021,5,IF(YEAR(Table134[[#This Row],[Last_Day]])=2022,7,IF(YEAR(Table134[[#This Row],[Last_Day]])=2023,10,"Không xác định")))</f>
        <v>10</v>
      </c>
      <c r="M164" s="15">
        <f>Table134[[#This Row],[avg_number_of_purchases]]*Table1345[[#This Row],[avg_purchase_value]]*Table1345[[#This Row],[expected_lifespan]]</f>
        <v>20708.314388489212</v>
      </c>
      <c r="N164" t="s">
        <v>12042</v>
      </c>
    </row>
    <row r="165" spans="1:14" x14ac:dyDescent="0.3">
      <c r="A165" s="2" t="s">
        <v>163</v>
      </c>
      <c r="B165" s="2" t="s">
        <v>12040</v>
      </c>
      <c r="C165" s="2">
        <v>58</v>
      </c>
      <c r="D165" s="2" t="s">
        <v>12049</v>
      </c>
      <c r="E165" s="2">
        <f>COUNTIF(Table16[customer_id],Table13[[#This Row],[customer_id]])</f>
        <v>9</v>
      </c>
      <c r="F165" s="13">
        <f>SUMIFS(Table16[Purchase_history],Table16[customer_id],Table13[[#This Row],[customer_id]])</f>
        <v>16817.93</v>
      </c>
      <c r="G165" s="20">
        <v>44258</v>
      </c>
      <c r="H165" s="21">
        <v>44973</v>
      </c>
      <c r="I165" s="15">
        <f>(Table134[[#This Row],[Last_Day]]-Table134[[#This Row],[First_Day]]+1)/365</f>
        <v>1.9616438356164383</v>
      </c>
      <c r="J165" s="59">
        <f>Table134[[#This Row],[number_of_purchases]]/Table134[[#This Row],[customer_total_years]]</f>
        <v>4.5879888268156428</v>
      </c>
      <c r="K165" s="13">
        <f>Table134[[#This Row],[purchase_history]]/Table134[[#This Row],[number_of_purchases]]</f>
        <v>1868.6588888888889</v>
      </c>
      <c r="L165" s="2">
        <f>IF(YEAR(Table134[[#This Row],[Last_Day]])=2021,5,IF(YEAR(Table134[[#This Row],[Last_Day]])=2022,7,IF(YEAR(Table134[[#This Row],[Last_Day]])=2023,10,"Không xác định")))</f>
        <v>10</v>
      </c>
      <c r="M165" s="15">
        <f>Table134[[#This Row],[avg_number_of_purchases]]*Table1345[[#This Row],[avg_purchase_value]]*Table1345[[#This Row],[expected_lifespan]]</f>
        <v>85733.861033519555</v>
      </c>
      <c r="N165" t="s">
        <v>12048</v>
      </c>
    </row>
    <row r="166" spans="1:14" x14ac:dyDescent="0.3">
      <c r="A166" s="2" t="s">
        <v>164</v>
      </c>
      <c r="B166" s="2" t="s">
        <v>12040</v>
      </c>
      <c r="C166" s="2">
        <v>32</v>
      </c>
      <c r="D166" s="2" t="s">
        <v>12043</v>
      </c>
      <c r="E166" s="2">
        <f>COUNTIF(Table16[customer_id],Table13[[#This Row],[customer_id]])</f>
        <v>4</v>
      </c>
      <c r="F166" s="13">
        <f>SUMIFS(Table16[Purchase_history],Table16[customer_id],Table13[[#This Row],[customer_id]])</f>
        <v>2883.23</v>
      </c>
      <c r="G166" s="20">
        <v>44430</v>
      </c>
      <c r="H166" s="21">
        <v>44963</v>
      </c>
      <c r="I166" s="15">
        <f>(Table134[[#This Row],[Last_Day]]-Table134[[#This Row],[First_Day]]+1)/365</f>
        <v>1.463013698630137</v>
      </c>
      <c r="J166" s="59">
        <f>Table134[[#This Row],[number_of_purchases]]/Table134[[#This Row],[customer_total_years]]</f>
        <v>2.7340823970037453</v>
      </c>
      <c r="K166" s="13">
        <f>Table134[[#This Row],[purchase_history]]/Table134[[#This Row],[number_of_purchases]]</f>
        <v>720.8075</v>
      </c>
      <c r="L166" s="2">
        <f>IF(YEAR(Table134[[#This Row],[Last_Day]])=2021,5,IF(YEAR(Table134[[#This Row],[Last_Day]])=2022,7,IF(YEAR(Table134[[#This Row],[Last_Day]])=2023,10,"Không xác định")))</f>
        <v>10</v>
      </c>
      <c r="M166" s="15">
        <f>Table134[[#This Row],[avg_number_of_purchases]]*Table1345[[#This Row],[avg_purchase_value]]*Table1345[[#This Row],[expected_lifespan]]</f>
        <v>19707.470973782772</v>
      </c>
      <c r="N166" t="s">
        <v>12042</v>
      </c>
    </row>
    <row r="167" spans="1:14" x14ac:dyDescent="0.3">
      <c r="A167" s="2" t="s">
        <v>165</v>
      </c>
      <c r="B167" s="2" t="s">
        <v>12045</v>
      </c>
      <c r="C167" s="2">
        <v>25</v>
      </c>
      <c r="D167" s="2" t="s">
        <v>12043</v>
      </c>
      <c r="E167" s="2">
        <f>COUNTIF(Table16[customer_id],Table13[[#This Row],[customer_id]])</f>
        <v>5</v>
      </c>
      <c r="F167" s="13">
        <f>SUMIFS(Table16[Purchase_history],Table16[customer_id],Table13[[#This Row],[customer_id]])</f>
        <v>3443.88</v>
      </c>
      <c r="G167" s="20">
        <v>44201</v>
      </c>
      <c r="H167" s="21">
        <v>44985</v>
      </c>
      <c r="I167" s="15">
        <f>(Table134[[#This Row],[Last_Day]]-Table134[[#This Row],[First_Day]]+1)/365</f>
        <v>2.1506849315068495</v>
      </c>
      <c r="J167" s="59">
        <f>Table134[[#This Row],[number_of_purchases]]/Table134[[#This Row],[customer_total_years]]</f>
        <v>2.3248407643312099</v>
      </c>
      <c r="K167" s="13">
        <f>Table134[[#This Row],[purchase_history]]/Table134[[#This Row],[number_of_purchases]]</f>
        <v>688.77600000000007</v>
      </c>
      <c r="L167" s="2">
        <f>IF(YEAR(Table134[[#This Row],[Last_Day]])=2021,5,IF(YEAR(Table134[[#This Row],[Last_Day]])=2022,7,IF(YEAR(Table134[[#This Row],[Last_Day]])=2023,10,"Không xác định")))</f>
        <v>10</v>
      </c>
      <c r="M167" s="15">
        <f>Table134[[#This Row],[avg_number_of_purchases]]*Table1345[[#This Row],[avg_purchase_value]]*Table1345[[#This Row],[expected_lifespan]]</f>
        <v>16012.945222929937</v>
      </c>
      <c r="N167" t="s">
        <v>12044</v>
      </c>
    </row>
    <row r="168" spans="1:14" x14ac:dyDescent="0.3">
      <c r="A168" s="2" t="s">
        <v>166</v>
      </c>
      <c r="B168" s="2" t="s">
        <v>12045</v>
      </c>
      <c r="C168" s="2">
        <v>18</v>
      </c>
      <c r="D168" s="2" t="s">
        <v>12049</v>
      </c>
      <c r="E168" s="2">
        <f>COUNTIF(Table16[customer_id],Table13[[#This Row],[customer_id]])</f>
        <v>8</v>
      </c>
      <c r="F168" s="13">
        <f>SUMIFS(Table16[Purchase_history],Table16[customer_id],Table13[[#This Row],[customer_id]])</f>
        <v>10682.82</v>
      </c>
      <c r="G168" s="20">
        <v>44224</v>
      </c>
      <c r="H168" s="21">
        <v>44945</v>
      </c>
      <c r="I168" s="15">
        <f>(Table134[[#This Row],[Last_Day]]-Table134[[#This Row],[First_Day]]+1)/365</f>
        <v>1.978082191780822</v>
      </c>
      <c r="J168" s="59">
        <f>Table134[[#This Row],[number_of_purchases]]/Table134[[#This Row],[customer_total_years]]</f>
        <v>4.0443213296398888</v>
      </c>
      <c r="K168" s="13">
        <f>Table134[[#This Row],[purchase_history]]/Table134[[#This Row],[number_of_purchases]]</f>
        <v>1335.3525</v>
      </c>
      <c r="L168" s="2">
        <f>IF(YEAR(Table134[[#This Row],[Last_Day]])=2021,5,IF(YEAR(Table134[[#This Row],[Last_Day]])=2022,7,IF(YEAR(Table134[[#This Row],[Last_Day]])=2023,10,"Không xác định")))</f>
        <v>10</v>
      </c>
      <c r="M168" s="15">
        <f>Table134[[#This Row],[avg_number_of_purchases]]*Table1345[[#This Row],[avg_purchase_value]]*Table1345[[#This Row],[expected_lifespan]]</f>
        <v>54005.945983379497</v>
      </c>
      <c r="N168" t="s">
        <v>12046</v>
      </c>
    </row>
    <row r="169" spans="1:14" x14ac:dyDescent="0.3">
      <c r="A169" s="2" t="s">
        <v>167</v>
      </c>
      <c r="B169" s="2" t="s">
        <v>12040</v>
      </c>
      <c r="C169" s="2">
        <v>33</v>
      </c>
      <c r="D169" s="2" t="s">
        <v>12049</v>
      </c>
      <c r="E169" s="2">
        <f>COUNTIF(Table16[customer_id],Table13[[#This Row],[customer_id]])</f>
        <v>5</v>
      </c>
      <c r="F169" s="13">
        <f>SUMIFS(Table16[Purchase_history],Table16[customer_id],Table13[[#This Row],[customer_id]])</f>
        <v>6891.45</v>
      </c>
      <c r="G169" s="20">
        <v>44198</v>
      </c>
      <c r="H169" s="21">
        <v>44878</v>
      </c>
      <c r="I169" s="15">
        <f>(Table134[[#This Row],[Last_Day]]-Table134[[#This Row],[First_Day]]+1)/365</f>
        <v>1.8657534246575342</v>
      </c>
      <c r="J169" s="59">
        <f>Table134[[#This Row],[number_of_purchases]]/Table134[[#This Row],[customer_total_years]]</f>
        <v>2.6798825256975038</v>
      </c>
      <c r="K169" s="13">
        <f>Table134[[#This Row],[purchase_history]]/Table134[[#This Row],[number_of_purchases]]</f>
        <v>1378.29</v>
      </c>
      <c r="L169" s="2">
        <f>IF(YEAR(Table134[[#This Row],[Last_Day]])=2021,5,IF(YEAR(Table134[[#This Row],[Last_Day]])=2022,7,IF(YEAR(Table134[[#This Row],[Last_Day]])=2023,10,"Không xác định")))</f>
        <v>7</v>
      </c>
      <c r="M169" s="15">
        <f>Table134[[#This Row],[avg_number_of_purchases]]*Table1345[[#This Row],[avg_purchase_value]]*Table1345[[#This Row],[expected_lifespan]]</f>
        <v>25855.587004405286</v>
      </c>
      <c r="N169" t="s">
        <v>12046</v>
      </c>
    </row>
    <row r="170" spans="1:14" x14ac:dyDescent="0.3">
      <c r="A170" s="2" t="s">
        <v>168</v>
      </c>
      <c r="B170" s="2" t="s">
        <v>12045</v>
      </c>
      <c r="C170" s="2">
        <v>33</v>
      </c>
      <c r="D170" s="2" t="s">
        <v>12043</v>
      </c>
      <c r="E170" s="2">
        <f>COUNTIF(Table16[customer_id],Table13[[#This Row],[customer_id]])</f>
        <v>4</v>
      </c>
      <c r="F170" s="13">
        <f>SUMIFS(Table16[Purchase_history],Table16[customer_id],Table13[[#This Row],[customer_id]])</f>
        <v>29595.93</v>
      </c>
      <c r="G170" s="20">
        <v>44198</v>
      </c>
      <c r="H170" s="21">
        <v>44598</v>
      </c>
      <c r="I170" s="15">
        <f>(Table134[[#This Row],[Last_Day]]-Table134[[#This Row],[First_Day]]+1)/365</f>
        <v>1.0986301369863014</v>
      </c>
      <c r="J170" s="59">
        <f>Table134[[#This Row],[number_of_purchases]]/Table134[[#This Row],[customer_total_years]]</f>
        <v>3.6408977556109723</v>
      </c>
      <c r="K170" s="13">
        <f>Table134[[#This Row],[purchase_history]]/Table134[[#This Row],[number_of_purchases]]</f>
        <v>7398.9825000000001</v>
      </c>
      <c r="L170" s="2">
        <f>IF(YEAR(Table134[[#This Row],[Last_Day]])=2021,5,IF(YEAR(Table134[[#This Row],[Last_Day]])=2022,7,IF(YEAR(Table134[[#This Row],[Last_Day]])=2023,10,"Không xác định")))</f>
        <v>7</v>
      </c>
      <c r="M170" s="15">
        <f>Table134[[#This Row],[avg_number_of_purchases]]*Table1345[[#This Row],[avg_purchase_value]]*Table1345[[#This Row],[expected_lifespan]]</f>
        <v>188572.57144638401</v>
      </c>
      <c r="N170" t="s">
        <v>12042</v>
      </c>
    </row>
    <row r="171" spans="1:14" x14ac:dyDescent="0.3">
      <c r="A171" s="2" t="s">
        <v>169</v>
      </c>
      <c r="B171" s="2" t="s">
        <v>12040</v>
      </c>
      <c r="C171" s="2">
        <v>54</v>
      </c>
      <c r="D171" s="2" t="s">
        <v>12041</v>
      </c>
      <c r="E171" s="2">
        <f>COUNTIF(Table16[customer_id],Table13[[#This Row],[customer_id]])</f>
        <v>5</v>
      </c>
      <c r="F171" s="13">
        <f>SUMIFS(Table16[Purchase_history],Table16[customer_id],Table13[[#This Row],[customer_id]])</f>
        <v>25420.350000000002</v>
      </c>
      <c r="G171" s="20">
        <v>44244</v>
      </c>
      <c r="H171" s="21">
        <v>44981</v>
      </c>
      <c r="I171" s="15">
        <f>(Table134[[#This Row],[Last_Day]]-Table134[[#This Row],[First_Day]]+1)/365</f>
        <v>2.021917808219178</v>
      </c>
      <c r="J171" s="59">
        <f>Table134[[#This Row],[number_of_purchases]]/Table134[[#This Row],[customer_total_years]]</f>
        <v>2.47289972899729</v>
      </c>
      <c r="K171" s="13">
        <f>Table134[[#This Row],[purchase_history]]/Table134[[#This Row],[number_of_purchases]]</f>
        <v>5084.0700000000006</v>
      </c>
      <c r="L171" s="2">
        <f>IF(YEAR(Table134[[#This Row],[Last_Day]])=2021,5,IF(YEAR(Table134[[#This Row],[Last_Day]])=2022,7,IF(YEAR(Table134[[#This Row],[Last_Day]])=2023,10,"Không xác định")))</f>
        <v>10</v>
      </c>
      <c r="M171" s="15">
        <f>Table134[[#This Row],[avg_number_of_purchases]]*Table1345[[#This Row],[avg_purchase_value]]*Table1345[[#This Row],[expected_lifespan]]</f>
        <v>125723.95325203253</v>
      </c>
      <c r="N171" t="s">
        <v>12042</v>
      </c>
    </row>
    <row r="172" spans="1:14" x14ac:dyDescent="0.3">
      <c r="A172" s="2" t="s">
        <v>170</v>
      </c>
      <c r="B172" s="2" t="s">
        <v>12045</v>
      </c>
      <c r="C172" s="2">
        <v>54</v>
      </c>
      <c r="D172" s="2" t="s">
        <v>12041</v>
      </c>
      <c r="E172" s="2">
        <f>COUNTIF(Table16[customer_id],Table13[[#This Row],[customer_id]])</f>
        <v>3</v>
      </c>
      <c r="F172" s="13">
        <f>SUMIFS(Table16[Purchase_history],Table16[customer_id],Table13[[#This Row],[customer_id]])</f>
        <v>19936.28</v>
      </c>
      <c r="G172" s="20">
        <v>44248</v>
      </c>
      <c r="H172" s="21">
        <v>44935</v>
      </c>
      <c r="I172" s="15">
        <f>(Table134[[#This Row],[Last_Day]]-Table134[[#This Row],[First_Day]]+1)/365</f>
        <v>1.8849315068493151</v>
      </c>
      <c r="J172" s="59">
        <f>Table134[[#This Row],[number_of_purchases]]/Table134[[#This Row],[customer_total_years]]</f>
        <v>1.5915697674418605</v>
      </c>
      <c r="K172" s="13">
        <f>Table134[[#This Row],[purchase_history]]/Table134[[#This Row],[number_of_purchases]]</f>
        <v>6645.4266666666663</v>
      </c>
      <c r="L172" s="2">
        <f>IF(YEAR(Table134[[#This Row],[Last_Day]])=2021,5,IF(YEAR(Table134[[#This Row],[Last_Day]])=2022,7,IF(YEAR(Table134[[#This Row],[Last_Day]])=2023,10,"Không xác định")))</f>
        <v>10</v>
      </c>
      <c r="M172" s="15">
        <f>Table134[[#This Row],[avg_number_of_purchases]]*Table1345[[#This Row],[avg_purchase_value]]*Table1345[[#This Row],[expected_lifespan]]</f>
        <v>105766.60174418605</v>
      </c>
      <c r="N172" t="s">
        <v>12048</v>
      </c>
    </row>
    <row r="173" spans="1:14" x14ac:dyDescent="0.3">
      <c r="A173" s="2" t="s">
        <v>171</v>
      </c>
      <c r="B173" s="2" t="s">
        <v>12045</v>
      </c>
      <c r="C173" s="2">
        <v>60</v>
      </c>
      <c r="D173" s="2" t="s">
        <v>12041</v>
      </c>
      <c r="E173" s="2">
        <f>COUNTIF(Table16[customer_id],Table13[[#This Row],[customer_id]])</f>
        <v>6</v>
      </c>
      <c r="F173" s="13">
        <f>SUMIFS(Table16[Purchase_history],Table16[customer_id],Table13[[#This Row],[customer_id]])</f>
        <v>3826.0600000000004</v>
      </c>
      <c r="G173" s="20">
        <v>44272</v>
      </c>
      <c r="H173" s="21">
        <v>44742</v>
      </c>
      <c r="I173" s="15">
        <f>(Table134[[#This Row],[Last_Day]]-Table134[[#This Row],[First_Day]]+1)/365</f>
        <v>1.2904109589041095</v>
      </c>
      <c r="J173" s="59">
        <f>Table134[[#This Row],[number_of_purchases]]/Table134[[#This Row],[customer_total_years]]</f>
        <v>4.6496815286624207</v>
      </c>
      <c r="K173" s="13">
        <f>Table134[[#This Row],[purchase_history]]/Table134[[#This Row],[number_of_purchases]]</f>
        <v>637.67666666666673</v>
      </c>
      <c r="L173" s="2">
        <f>IF(YEAR(Table134[[#This Row],[Last_Day]])=2021,5,IF(YEAR(Table134[[#This Row],[Last_Day]])=2022,7,IF(YEAR(Table134[[#This Row],[Last_Day]])=2023,10,"Không xác định")))</f>
        <v>7</v>
      </c>
      <c r="M173" s="15">
        <f>Table134[[#This Row],[avg_number_of_purchases]]*Table1345[[#This Row],[avg_purchase_value]]*Table1345[[#This Row],[expected_lifespan]]</f>
        <v>20754.953927813167</v>
      </c>
      <c r="N173" t="s">
        <v>12042</v>
      </c>
    </row>
    <row r="174" spans="1:14" x14ac:dyDescent="0.3">
      <c r="A174" s="2" t="s">
        <v>172</v>
      </c>
      <c r="B174" s="2" t="s">
        <v>12045</v>
      </c>
      <c r="C174" s="2">
        <v>59</v>
      </c>
      <c r="D174" s="2" t="s">
        <v>12043</v>
      </c>
      <c r="E174" s="2">
        <f>COUNTIF(Table16[customer_id],Table13[[#This Row],[customer_id]])</f>
        <v>3</v>
      </c>
      <c r="F174" s="13">
        <f>SUMIFS(Table16[Purchase_history],Table16[customer_id],Table13[[#This Row],[customer_id]])</f>
        <v>1271.0700000000002</v>
      </c>
      <c r="G174" s="20">
        <v>44377</v>
      </c>
      <c r="H174" s="21">
        <v>44807</v>
      </c>
      <c r="I174" s="15">
        <f>(Table134[[#This Row],[Last_Day]]-Table134[[#This Row],[First_Day]]+1)/365</f>
        <v>1.1808219178082191</v>
      </c>
      <c r="J174" s="59">
        <f>Table134[[#This Row],[number_of_purchases]]/Table134[[#This Row],[customer_total_years]]</f>
        <v>2.5406032482598611</v>
      </c>
      <c r="K174" s="13">
        <f>Table134[[#This Row],[purchase_history]]/Table134[[#This Row],[number_of_purchases]]</f>
        <v>423.69000000000005</v>
      </c>
      <c r="L174" s="2">
        <f>IF(YEAR(Table134[[#This Row],[Last_Day]])=2021,5,IF(YEAR(Table134[[#This Row],[Last_Day]])=2022,7,IF(YEAR(Table134[[#This Row],[Last_Day]])=2023,10,"Không xác định")))</f>
        <v>7</v>
      </c>
      <c r="M174" s="15">
        <f>Table134[[#This Row],[avg_number_of_purchases]]*Table1345[[#This Row],[avg_purchase_value]]*Table1345[[#This Row],[expected_lifespan]]</f>
        <v>7534.9973317865442</v>
      </c>
      <c r="N174" t="s">
        <v>12048</v>
      </c>
    </row>
    <row r="175" spans="1:14" x14ac:dyDescent="0.3">
      <c r="A175" s="2" t="s">
        <v>173</v>
      </c>
      <c r="B175" s="2" t="s">
        <v>12040</v>
      </c>
      <c r="C175" s="2">
        <v>24</v>
      </c>
      <c r="D175" s="2" t="s">
        <v>12043</v>
      </c>
      <c r="E175" s="2">
        <f>COUNTIF(Table16[customer_id],Table13[[#This Row],[customer_id]])</f>
        <v>7</v>
      </c>
      <c r="F175" s="13">
        <f>SUMIFS(Table16[Purchase_history],Table16[customer_id],Table13[[#This Row],[customer_id]])</f>
        <v>14324.09</v>
      </c>
      <c r="G175" s="20">
        <v>44364</v>
      </c>
      <c r="H175" s="21">
        <v>44928</v>
      </c>
      <c r="I175" s="15">
        <f>(Table134[[#This Row],[Last_Day]]-Table134[[#This Row],[First_Day]]+1)/365</f>
        <v>1.547945205479452</v>
      </c>
      <c r="J175" s="59">
        <f>Table134[[#This Row],[number_of_purchases]]/Table134[[#This Row],[customer_total_years]]</f>
        <v>4.5221238938053094</v>
      </c>
      <c r="K175" s="13">
        <f>Table134[[#This Row],[purchase_history]]/Table134[[#This Row],[number_of_purchases]]</f>
        <v>2046.2985714285714</v>
      </c>
      <c r="L175" s="2">
        <f>IF(YEAR(Table134[[#This Row],[Last_Day]])=2021,5,IF(YEAR(Table134[[#This Row],[Last_Day]])=2022,7,IF(YEAR(Table134[[#This Row],[Last_Day]])=2023,10,"Không xác định")))</f>
        <v>10</v>
      </c>
      <c r="M175" s="15">
        <f>Table134[[#This Row],[avg_number_of_purchases]]*Table1345[[#This Row],[avg_purchase_value]]*Table1345[[#This Row],[expected_lifespan]]</f>
        <v>92536.15663716814</v>
      </c>
      <c r="N175" t="s">
        <v>12046</v>
      </c>
    </row>
    <row r="176" spans="1:14" x14ac:dyDescent="0.3">
      <c r="A176" s="2" t="s">
        <v>174</v>
      </c>
      <c r="B176" s="2" t="s">
        <v>12040</v>
      </c>
      <c r="C176" s="2">
        <v>41</v>
      </c>
      <c r="D176" s="2" t="s">
        <v>12043</v>
      </c>
      <c r="E176" s="2">
        <f>COUNTIF(Table16[customer_id],Table13[[#This Row],[customer_id]])</f>
        <v>7</v>
      </c>
      <c r="F176" s="13">
        <f>SUMIFS(Table16[Purchase_history],Table16[customer_id],Table13[[#This Row],[customer_id]])</f>
        <v>40489.810000000005</v>
      </c>
      <c r="G176" s="20">
        <v>44315</v>
      </c>
      <c r="H176" s="21">
        <v>44796</v>
      </c>
      <c r="I176" s="15">
        <f>(Table134[[#This Row],[Last_Day]]-Table134[[#This Row],[First_Day]]+1)/365</f>
        <v>1.3205479452054794</v>
      </c>
      <c r="J176" s="59">
        <f>Table134[[#This Row],[number_of_purchases]]/Table134[[#This Row],[customer_total_years]]</f>
        <v>5.3008298755186729</v>
      </c>
      <c r="K176" s="13">
        <f>Table134[[#This Row],[purchase_history]]/Table134[[#This Row],[number_of_purchases]]</f>
        <v>5784.2585714285724</v>
      </c>
      <c r="L176" s="2">
        <f>IF(YEAR(Table134[[#This Row],[Last_Day]])=2021,5,IF(YEAR(Table134[[#This Row],[Last_Day]])=2022,7,IF(YEAR(Table134[[#This Row],[Last_Day]])=2023,10,"Không xác định")))</f>
        <v>7</v>
      </c>
      <c r="M176" s="15">
        <f>Table134[[#This Row],[avg_number_of_purchases]]*Table1345[[#This Row],[avg_purchase_value]]*Table1345[[#This Row],[expected_lifespan]]</f>
        <v>214629.59450207476</v>
      </c>
      <c r="N176" t="s">
        <v>12044</v>
      </c>
    </row>
    <row r="177" spans="1:14" x14ac:dyDescent="0.3">
      <c r="A177" s="2" t="s">
        <v>175</v>
      </c>
      <c r="B177" s="2" t="s">
        <v>12045</v>
      </c>
      <c r="C177" s="2">
        <v>52</v>
      </c>
      <c r="D177" s="2" t="s">
        <v>12043</v>
      </c>
      <c r="E177" s="2">
        <f>COUNTIF(Table16[customer_id],Table13[[#This Row],[customer_id]])</f>
        <v>6</v>
      </c>
      <c r="F177" s="13">
        <f>SUMIFS(Table16[Purchase_history],Table16[customer_id],Table13[[#This Row],[customer_id]])</f>
        <v>10214.449999999999</v>
      </c>
      <c r="G177" s="20">
        <v>44266</v>
      </c>
      <c r="H177" s="21">
        <v>44866</v>
      </c>
      <c r="I177" s="15">
        <f>(Table134[[#This Row],[Last_Day]]-Table134[[#This Row],[First_Day]]+1)/365</f>
        <v>1.6465753424657534</v>
      </c>
      <c r="J177" s="59">
        <f>Table134[[#This Row],[number_of_purchases]]/Table134[[#This Row],[customer_total_years]]</f>
        <v>3.643926788685524</v>
      </c>
      <c r="K177" s="13">
        <f>Table134[[#This Row],[purchase_history]]/Table134[[#This Row],[number_of_purchases]]</f>
        <v>1702.4083333333331</v>
      </c>
      <c r="L177" s="2">
        <f>IF(YEAR(Table134[[#This Row],[Last_Day]])=2021,5,IF(YEAR(Table134[[#This Row],[Last_Day]])=2022,7,IF(YEAR(Table134[[#This Row],[Last_Day]])=2023,10,"Không xác định")))</f>
        <v>7</v>
      </c>
      <c r="M177" s="15">
        <f>Table134[[#This Row],[avg_number_of_purchases]]*Table1345[[#This Row],[avg_purchase_value]]*Table1345[[#This Row],[expected_lifespan]]</f>
        <v>43424.159317803656</v>
      </c>
      <c r="N177" t="s">
        <v>12047</v>
      </c>
    </row>
    <row r="178" spans="1:14" x14ac:dyDescent="0.3">
      <c r="A178" s="2" t="s">
        <v>176</v>
      </c>
      <c r="B178" s="2" t="s">
        <v>12045</v>
      </c>
      <c r="C178" s="2">
        <v>29</v>
      </c>
      <c r="D178" s="2" t="s">
        <v>12043</v>
      </c>
      <c r="E178" s="2">
        <f>COUNTIF(Table16[customer_id],Table13[[#This Row],[customer_id]])</f>
        <v>2</v>
      </c>
      <c r="F178" s="13">
        <f>SUMIFS(Table16[Purchase_history],Table16[customer_id],Table13[[#This Row],[customer_id]])</f>
        <v>1247.3899999999999</v>
      </c>
      <c r="G178" s="20">
        <v>44400</v>
      </c>
      <c r="H178" s="21">
        <v>44784</v>
      </c>
      <c r="I178" s="15">
        <f>(Table134[[#This Row],[Last_Day]]-Table134[[#This Row],[First_Day]]+1)/365</f>
        <v>1.0547945205479452</v>
      </c>
      <c r="J178" s="59">
        <f>Table134[[#This Row],[number_of_purchases]]/Table134[[#This Row],[customer_total_years]]</f>
        <v>1.8961038961038961</v>
      </c>
      <c r="K178" s="13">
        <f>Table134[[#This Row],[purchase_history]]/Table134[[#This Row],[number_of_purchases]]</f>
        <v>623.69499999999994</v>
      </c>
      <c r="L178" s="2">
        <f>IF(YEAR(Table134[[#This Row],[Last_Day]])=2021,5,IF(YEAR(Table134[[#This Row],[Last_Day]])=2022,7,IF(YEAR(Table134[[#This Row],[Last_Day]])=2023,10,"Không xác định")))</f>
        <v>7</v>
      </c>
      <c r="M178" s="15">
        <f>Table134[[#This Row],[avg_number_of_purchases]]*Table1345[[#This Row],[avg_purchase_value]]*Table1345[[#This Row],[expected_lifespan]]</f>
        <v>8278.1336363636347</v>
      </c>
      <c r="N178" t="s">
        <v>12044</v>
      </c>
    </row>
    <row r="179" spans="1:14" x14ac:dyDescent="0.3">
      <c r="A179" s="2" t="s">
        <v>177</v>
      </c>
      <c r="B179" s="2" t="s">
        <v>12045</v>
      </c>
      <c r="C179" s="2">
        <v>50</v>
      </c>
      <c r="D179" s="2" t="s">
        <v>12041</v>
      </c>
      <c r="E179" s="2">
        <f>COUNTIF(Table16[customer_id],Table13[[#This Row],[customer_id]])</f>
        <v>5</v>
      </c>
      <c r="F179" s="13">
        <f>SUMIFS(Table16[Purchase_history],Table16[customer_id],Table13[[#This Row],[customer_id]])</f>
        <v>8245.52</v>
      </c>
      <c r="G179" s="20">
        <v>44228</v>
      </c>
      <c r="H179" s="21">
        <v>44565</v>
      </c>
      <c r="I179" s="15">
        <f>(Table134[[#This Row],[Last_Day]]-Table134[[#This Row],[First_Day]]+1)/365</f>
        <v>0.92602739726027394</v>
      </c>
      <c r="J179" s="59">
        <f>Table134[[#This Row],[number_of_purchases]]/Table134[[#This Row],[customer_total_years]]</f>
        <v>5.3994082840236688</v>
      </c>
      <c r="K179" s="13">
        <f>Table134[[#This Row],[purchase_history]]/Table134[[#This Row],[number_of_purchases]]</f>
        <v>1649.104</v>
      </c>
      <c r="L179" s="2">
        <f>IF(YEAR(Table134[[#This Row],[Last_Day]])=2021,5,IF(YEAR(Table134[[#This Row],[Last_Day]])=2022,7,IF(YEAR(Table134[[#This Row],[Last_Day]])=2023,10,"Không xác định")))</f>
        <v>7</v>
      </c>
      <c r="M179" s="15">
        <f>Table134[[#This Row],[avg_number_of_purchases]]*Table1345[[#This Row],[avg_purchase_value]]*Table1345[[#This Row],[expected_lifespan]]</f>
        <v>62329.300591715975</v>
      </c>
      <c r="N179" t="s">
        <v>12048</v>
      </c>
    </row>
    <row r="180" spans="1:14" x14ac:dyDescent="0.3">
      <c r="A180" s="2" t="s">
        <v>178</v>
      </c>
      <c r="B180" s="2" t="s">
        <v>12040</v>
      </c>
      <c r="C180" s="2">
        <v>48</v>
      </c>
      <c r="D180" s="2" t="s">
        <v>12043</v>
      </c>
      <c r="E180" s="2">
        <f>COUNTIF(Table16[customer_id],Table13[[#This Row],[customer_id]])</f>
        <v>4</v>
      </c>
      <c r="F180" s="13">
        <f>SUMIFS(Table16[Purchase_history],Table16[customer_id],Table13[[#This Row],[customer_id]])</f>
        <v>8541.36</v>
      </c>
      <c r="G180" s="20">
        <v>44324</v>
      </c>
      <c r="H180" s="21">
        <v>44922</v>
      </c>
      <c r="I180" s="15">
        <f>(Table134[[#This Row],[Last_Day]]-Table134[[#This Row],[First_Day]]+1)/365</f>
        <v>1.6410958904109589</v>
      </c>
      <c r="J180" s="59">
        <f>Table134[[#This Row],[number_of_purchases]]/Table134[[#This Row],[customer_total_years]]</f>
        <v>2.4373956594323873</v>
      </c>
      <c r="K180" s="13">
        <f>Table134[[#This Row],[purchase_history]]/Table134[[#This Row],[number_of_purchases]]</f>
        <v>2135.34</v>
      </c>
      <c r="L180" s="2">
        <f>IF(YEAR(Table134[[#This Row],[Last_Day]])=2021,5,IF(YEAR(Table134[[#This Row],[Last_Day]])=2022,7,IF(YEAR(Table134[[#This Row],[Last_Day]])=2023,10,"Không xác định")))</f>
        <v>7</v>
      </c>
      <c r="M180" s="15">
        <f>Table134[[#This Row],[avg_number_of_purchases]]*Table1345[[#This Row],[avg_purchase_value]]*Table1345[[#This Row],[expected_lifespan]]</f>
        <v>36432.679131886478</v>
      </c>
      <c r="N180" t="s">
        <v>12042</v>
      </c>
    </row>
    <row r="181" spans="1:14" x14ac:dyDescent="0.3">
      <c r="A181" s="2" t="s">
        <v>179</v>
      </c>
      <c r="B181" s="2" t="s">
        <v>12040</v>
      </c>
      <c r="C181" s="2">
        <v>25</v>
      </c>
      <c r="D181" s="2" t="s">
        <v>12041</v>
      </c>
      <c r="E181" s="2">
        <f>COUNTIF(Table16[customer_id],Table13[[#This Row],[customer_id]])</f>
        <v>4</v>
      </c>
      <c r="F181" s="13">
        <f>SUMIFS(Table16[Purchase_history],Table16[customer_id],Table13[[#This Row],[customer_id]])</f>
        <v>8551.15</v>
      </c>
      <c r="G181" s="20">
        <v>44218</v>
      </c>
      <c r="H181" s="21">
        <v>44949</v>
      </c>
      <c r="I181" s="15">
        <f>(Table134[[#This Row],[Last_Day]]-Table134[[#This Row],[First_Day]]+1)/365</f>
        <v>2.0054794520547947</v>
      </c>
      <c r="J181" s="59">
        <f>Table134[[#This Row],[number_of_purchases]]/Table134[[#This Row],[customer_total_years]]</f>
        <v>1.9945355191256828</v>
      </c>
      <c r="K181" s="13">
        <f>Table134[[#This Row],[purchase_history]]/Table134[[#This Row],[number_of_purchases]]</f>
        <v>2137.7874999999999</v>
      </c>
      <c r="L181" s="2">
        <f>IF(YEAR(Table134[[#This Row],[Last_Day]])=2021,5,IF(YEAR(Table134[[#This Row],[Last_Day]])=2022,7,IF(YEAR(Table134[[#This Row],[Last_Day]])=2023,10,"Không xác định")))</f>
        <v>10</v>
      </c>
      <c r="M181" s="15">
        <f>Table134[[#This Row],[avg_number_of_purchases]]*Table1345[[#This Row],[avg_purchase_value]]*Table1345[[#This Row],[expected_lifespan]]</f>
        <v>42638.931010928951</v>
      </c>
      <c r="N181" t="s">
        <v>12044</v>
      </c>
    </row>
    <row r="182" spans="1:14" x14ac:dyDescent="0.3">
      <c r="A182" s="2" t="s">
        <v>180</v>
      </c>
      <c r="B182" s="2" t="s">
        <v>12045</v>
      </c>
      <c r="C182" s="2">
        <v>38</v>
      </c>
      <c r="D182" s="2" t="s">
        <v>12041</v>
      </c>
      <c r="E182" s="2">
        <f>COUNTIF(Table16[customer_id],Table13[[#This Row],[customer_id]])</f>
        <v>6</v>
      </c>
      <c r="F182" s="13">
        <f>SUMIFS(Table16[Purchase_history],Table16[customer_id],Table13[[#This Row],[customer_id]])</f>
        <v>9505.7000000000007</v>
      </c>
      <c r="G182" s="20">
        <v>44461</v>
      </c>
      <c r="H182" s="21">
        <v>44964</v>
      </c>
      <c r="I182" s="15">
        <f>(Table134[[#This Row],[Last_Day]]-Table134[[#This Row],[First_Day]]+1)/365</f>
        <v>1.3808219178082193</v>
      </c>
      <c r="J182" s="59">
        <f>Table134[[#This Row],[number_of_purchases]]/Table134[[#This Row],[customer_total_years]]</f>
        <v>4.3452380952380949</v>
      </c>
      <c r="K182" s="13">
        <f>Table134[[#This Row],[purchase_history]]/Table134[[#This Row],[number_of_purchases]]</f>
        <v>1584.2833333333335</v>
      </c>
      <c r="L182" s="2">
        <f>IF(YEAR(Table134[[#This Row],[Last_Day]])=2021,5,IF(YEAR(Table134[[#This Row],[Last_Day]])=2022,7,IF(YEAR(Table134[[#This Row],[Last_Day]])=2023,10,"Không xác định")))</f>
        <v>10</v>
      </c>
      <c r="M182" s="15">
        <f>Table134[[#This Row],[avg_number_of_purchases]]*Table1345[[#This Row],[avg_purchase_value]]*Table1345[[#This Row],[expected_lifespan]]</f>
        <v>68840.882936507944</v>
      </c>
      <c r="N182" t="s">
        <v>12048</v>
      </c>
    </row>
    <row r="183" spans="1:14" x14ac:dyDescent="0.3">
      <c r="A183" s="2" t="s">
        <v>181</v>
      </c>
      <c r="B183" s="2" t="s">
        <v>12040</v>
      </c>
      <c r="C183" s="2">
        <v>37</v>
      </c>
      <c r="D183" s="2" t="s">
        <v>12043</v>
      </c>
      <c r="E183" s="2">
        <f>COUNTIF(Table16[customer_id],Table13[[#This Row],[customer_id]])</f>
        <v>3</v>
      </c>
      <c r="F183" s="13">
        <f>SUMIFS(Table16[Purchase_history],Table16[customer_id],Table13[[#This Row],[customer_id]])</f>
        <v>814.83999999999992</v>
      </c>
      <c r="G183" s="20">
        <v>44334</v>
      </c>
      <c r="H183" s="21">
        <v>44945</v>
      </c>
      <c r="I183" s="15">
        <f>(Table134[[#This Row],[Last_Day]]-Table134[[#This Row],[First_Day]]+1)/365</f>
        <v>1.6767123287671233</v>
      </c>
      <c r="J183" s="59">
        <f>Table134[[#This Row],[number_of_purchases]]/Table134[[#This Row],[customer_total_years]]</f>
        <v>1.7892156862745099</v>
      </c>
      <c r="K183" s="13">
        <f>Table134[[#This Row],[purchase_history]]/Table134[[#This Row],[number_of_purchases]]</f>
        <v>271.61333333333329</v>
      </c>
      <c r="L183" s="2">
        <f>IF(YEAR(Table134[[#This Row],[Last_Day]])=2021,5,IF(YEAR(Table134[[#This Row],[Last_Day]])=2022,7,IF(YEAR(Table134[[#This Row],[Last_Day]])=2023,10,"Không xác định")))</f>
        <v>10</v>
      </c>
      <c r="M183" s="15">
        <f>Table134[[#This Row],[avg_number_of_purchases]]*Table1345[[#This Row],[avg_purchase_value]]*Table1345[[#This Row],[expected_lifespan]]</f>
        <v>4859.7483660130711</v>
      </c>
      <c r="N183" t="s">
        <v>12046</v>
      </c>
    </row>
    <row r="184" spans="1:14" x14ac:dyDescent="0.3">
      <c r="A184" s="2" t="s">
        <v>182</v>
      </c>
      <c r="B184" s="2" t="s">
        <v>12040</v>
      </c>
      <c r="C184" s="2">
        <v>34</v>
      </c>
      <c r="D184" s="2" t="s">
        <v>12049</v>
      </c>
      <c r="E184" s="2">
        <f>COUNTIF(Table16[customer_id],Table13[[#This Row],[customer_id]])</f>
        <v>7</v>
      </c>
      <c r="F184" s="13">
        <f>SUMIFS(Table16[Purchase_history],Table16[customer_id],Table13[[#This Row],[customer_id]])</f>
        <v>22199.98</v>
      </c>
      <c r="G184" s="20">
        <v>44349</v>
      </c>
      <c r="H184" s="21">
        <v>44686</v>
      </c>
      <c r="I184" s="15">
        <f>(Table134[[#This Row],[Last_Day]]-Table134[[#This Row],[First_Day]]+1)/365</f>
        <v>0.92602739726027394</v>
      </c>
      <c r="J184" s="59">
        <f>Table134[[#This Row],[number_of_purchases]]/Table134[[#This Row],[customer_total_years]]</f>
        <v>7.559171597633136</v>
      </c>
      <c r="K184" s="13">
        <f>Table134[[#This Row],[purchase_history]]/Table134[[#This Row],[number_of_purchases]]</f>
        <v>3171.4257142857141</v>
      </c>
      <c r="L184" s="2">
        <f>IF(YEAR(Table134[[#This Row],[Last_Day]])=2021,5,IF(YEAR(Table134[[#This Row],[Last_Day]])=2022,7,IF(YEAR(Table134[[#This Row],[Last_Day]])=2023,10,"Không xác định")))</f>
        <v>7</v>
      </c>
      <c r="M184" s="15">
        <f>Table134[[#This Row],[avg_number_of_purchases]]*Table1345[[#This Row],[avg_purchase_value]]*Table1345[[#This Row],[expected_lifespan]]</f>
        <v>167813.45828402365</v>
      </c>
      <c r="N184" t="s">
        <v>12044</v>
      </c>
    </row>
    <row r="185" spans="1:14" x14ac:dyDescent="0.3">
      <c r="A185" s="2" t="s">
        <v>183</v>
      </c>
      <c r="B185" s="2" t="s">
        <v>12045</v>
      </c>
      <c r="C185" s="2">
        <v>48</v>
      </c>
      <c r="D185" s="2" t="s">
        <v>12041</v>
      </c>
      <c r="E185" s="2">
        <f>COUNTIF(Table16[customer_id],Table13[[#This Row],[customer_id]])</f>
        <v>4</v>
      </c>
      <c r="F185" s="13">
        <f>SUMIFS(Table16[Purchase_history],Table16[customer_id],Table13[[#This Row],[customer_id]])</f>
        <v>3117.0699999999997</v>
      </c>
      <c r="G185" s="20">
        <v>44284</v>
      </c>
      <c r="H185" s="21">
        <v>44919</v>
      </c>
      <c r="I185" s="15">
        <f>(Table134[[#This Row],[Last_Day]]-Table134[[#This Row],[First_Day]]+1)/365</f>
        <v>1.7424657534246575</v>
      </c>
      <c r="J185" s="59">
        <f>Table134[[#This Row],[number_of_purchases]]/Table134[[#This Row],[customer_total_years]]</f>
        <v>2.2955974842767297</v>
      </c>
      <c r="K185" s="13">
        <f>Table134[[#This Row],[purchase_history]]/Table134[[#This Row],[number_of_purchases]]</f>
        <v>779.26749999999993</v>
      </c>
      <c r="L185" s="2">
        <f>IF(YEAR(Table134[[#This Row],[Last_Day]])=2021,5,IF(YEAR(Table134[[#This Row],[Last_Day]])=2022,7,IF(YEAR(Table134[[#This Row],[Last_Day]])=2023,10,"Không xác định")))</f>
        <v>7</v>
      </c>
      <c r="M185" s="15">
        <f>Table134[[#This Row],[avg_number_of_purchases]]*Table1345[[#This Row],[avg_purchase_value]]*Table1345[[#This Row],[expected_lifespan]]</f>
        <v>12522.191588050315</v>
      </c>
      <c r="N185" t="s">
        <v>12042</v>
      </c>
    </row>
    <row r="186" spans="1:14" x14ac:dyDescent="0.3">
      <c r="A186" s="2" t="s">
        <v>184</v>
      </c>
      <c r="B186" s="2" t="s">
        <v>12045</v>
      </c>
      <c r="C186" s="2">
        <v>25</v>
      </c>
      <c r="D186" s="2" t="s">
        <v>12043</v>
      </c>
      <c r="E186" s="2">
        <f>COUNTIF(Table16[customer_id],Table13[[#This Row],[customer_id]])</f>
        <v>4</v>
      </c>
      <c r="F186" s="13">
        <f>SUMIFS(Table16[Purchase_history],Table16[customer_id],Table13[[#This Row],[customer_id]])</f>
        <v>5067.3</v>
      </c>
      <c r="G186" s="20">
        <v>44283</v>
      </c>
      <c r="H186" s="21">
        <v>44851</v>
      </c>
      <c r="I186" s="15">
        <f>(Table134[[#This Row],[Last_Day]]-Table134[[#This Row],[First_Day]]+1)/365</f>
        <v>1.558904109589041</v>
      </c>
      <c r="J186" s="59">
        <f>Table134[[#This Row],[number_of_purchases]]/Table134[[#This Row],[customer_total_years]]</f>
        <v>2.5659050966608086</v>
      </c>
      <c r="K186" s="13">
        <f>Table134[[#This Row],[purchase_history]]/Table134[[#This Row],[number_of_purchases]]</f>
        <v>1266.825</v>
      </c>
      <c r="L186" s="2">
        <f>IF(YEAR(Table134[[#This Row],[Last_Day]])=2021,5,IF(YEAR(Table134[[#This Row],[Last_Day]])=2022,7,IF(YEAR(Table134[[#This Row],[Last_Day]])=2023,10,"Không xác định")))</f>
        <v>7</v>
      </c>
      <c r="M186" s="15">
        <f>Table134[[#This Row],[avg_number_of_purchases]]*Table1345[[#This Row],[avg_purchase_value]]*Table1345[[#This Row],[expected_lifespan]]</f>
        <v>22753.869068541302</v>
      </c>
      <c r="N186" t="s">
        <v>12047</v>
      </c>
    </row>
    <row r="187" spans="1:14" x14ac:dyDescent="0.3">
      <c r="A187" s="2" t="s">
        <v>185</v>
      </c>
      <c r="B187" s="2" t="s">
        <v>12040</v>
      </c>
      <c r="C187" s="2">
        <v>35</v>
      </c>
      <c r="D187" s="2" t="s">
        <v>12043</v>
      </c>
      <c r="E187" s="2">
        <f>COUNTIF(Table16[customer_id],Table13[[#This Row],[customer_id]])</f>
        <v>6</v>
      </c>
      <c r="F187" s="13">
        <f>SUMIFS(Table16[Purchase_history],Table16[customer_id],Table13[[#This Row],[customer_id]])</f>
        <v>19941.739999999998</v>
      </c>
      <c r="G187" s="20">
        <v>44503</v>
      </c>
      <c r="H187" s="21">
        <v>44983</v>
      </c>
      <c r="I187" s="15">
        <f>(Table134[[#This Row],[Last_Day]]-Table134[[#This Row],[First_Day]]+1)/365</f>
        <v>1.3178082191780822</v>
      </c>
      <c r="J187" s="59">
        <f>Table134[[#This Row],[number_of_purchases]]/Table134[[#This Row],[customer_total_years]]</f>
        <v>4.5530145530145525</v>
      </c>
      <c r="K187" s="13">
        <f>Table134[[#This Row],[purchase_history]]/Table134[[#This Row],[number_of_purchases]]</f>
        <v>3323.623333333333</v>
      </c>
      <c r="L187" s="2">
        <f>IF(YEAR(Table134[[#This Row],[Last_Day]])=2021,5,IF(YEAR(Table134[[#This Row],[Last_Day]])=2022,7,IF(YEAR(Table134[[#This Row],[Last_Day]])=2023,10,"Không xác định")))</f>
        <v>10</v>
      </c>
      <c r="M187" s="15">
        <f>Table134[[#This Row],[avg_number_of_purchases]]*Table1345[[#This Row],[avg_purchase_value]]*Table1345[[#This Row],[expected_lifespan]]</f>
        <v>151325.05405405402</v>
      </c>
      <c r="N187" t="s">
        <v>12048</v>
      </c>
    </row>
    <row r="188" spans="1:14" x14ac:dyDescent="0.3">
      <c r="A188" s="2" t="s">
        <v>186</v>
      </c>
      <c r="B188" s="2" t="s">
        <v>12040</v>
      </c>
      <c r="C188" s="2">
        <v>45</v>
      </c>
      <c r="D188" s="2" t="s">
        <v>12041</v>
      </c>
      <c r="E188" s="2">
        <f>COUNTIF(Table16[customer_id],Table13[[#This Row],[customer_id]])</f>
        <v>6</v>
      </c>
      <c r="F188" s="13">
        <f>SUMIFS(Table16[Purchase_history],Table16[customer_id],Table13[[#This Row],[customer_id]])</f>
        <v>26839.82</v>
      </c>
      <c r="G188" s="20">
        <v>44204</v>
      </c>
      <c r="H188" s="21">
        <v>44990</v>
      </c>
      <c r="I188" s="15">
        <f>(Table134[[#This Row],[Last_Day]]-Table134[[#This Row],[First_Day]]+1)/365</f>
        <v>2.1561643835616437</v>
      </c>
      <c r="J188" s="59">
        <f>Table134[[#This Row],[number_of_purchases]]/Table134[[#This Row],[customer_total_years]]</f>
        <v>2.7827191867852608</v>
      </c>
      <c r="K188" s="13">
        <f>Table134[[#This Row],[purchase_history]]/Table134[[#This Row],[number_of_purchases]]</f>
        <v>4473.3033333333333</v>
      </c>
      <c r="L188" s="2">
        <f>IF(YEAR(Table134[[#This Row],[Last_Day]])=2021,5,IF(YEAR(Table134[[#This Row],[Last_Day]])=2022,7,IF(YEAR(Table134[[#This Row],[Last_Day]])=2023,10,"Không xác định")))</f>
        <v>10</v>
      </c>
      <c r="M188" s="15">
        <f>Table134[[#This Row],[avg_number_of_purchases]]*Table1345[[#This Row],[avg_purchase_value]]*Table1345[[#This Row],[expected_lifespan]]</f>
        <v>124479.47013977129</v>
      </c>
      <c r="N188" t="s">
        <v>12044</v>
      </c>
    </row>
    <row r="189" spans="1:14" x14ac:dyDescent="0.3">
      <c r="A189" s="2" t="s">
        <v>187</v>
      </c>
      <c r="B189" s="2" t="s">
        <v>12045</v>
      </c>
      <c r="C189" s="2">
        <v>57</v>
      </c>
      <c r="D189" s="2" t="s">
        <v>12041</v>
      </c>
      <c r="E189" s="2">
        <f>COUNTIF(Table16[customer_id],Table13[[#This Row],[customer_id]])</f>
        <v>4</v>
      </c>
      <c r="F189" s="13">
        <f>SUMIFS(Table16[Purchase_history],Table16[customer_id],Table13[[#This Row],[customer_id]])</f>
        <v>647.56999999999994</v>
      </c>
      <c r="G189" s="20">
        <v>44412</v>
      </c>
      <c r="H189" s="21">
        <v>44804</v>
      </c>
      <c r="I189" s="15">
        <f>(Table134[[#This Row],[Last_Day]]-Table134[[#This Row],[First_Day]]+1)/365</f>
        <v>1.0767123287671232</v>
      </c>
      <c r="J189" s="59">
        <f>Table134[[#This Row],[number_of_purchases]]/Table134[[#This Row],[customer_total_years]]</f>
        <v>3.7150127226463106</v>
      </c>
      <c r="K189" s="13">
        <f>Table134[[#This Row],[purchase_history]]/Table134[[#This Row],[number_of_purchases]]</f>
        <v>161.89249999999998</v>
      </c>
      <c r="L189" s="2">
        <f>IF(YEAR(Table134[[#This Row],[Last_Day]])=2021,5,IF(YEAR(Table134[[#This Row],[Last_Day]])=2022,7,IF(YEAR(Table134[[#This Row],[Last_Day]])=2023,10,"Không xác định")))</f>
        <v>7</v>
      </c>
      <c r="M189" s="15">
        <f>Table134[[#This Row],[avg_number_of_purchases]]*Table1345[[#This Row],[avg_purchase_value]]*Table1345[[#This Row],[expected_lifespan]]</f>
        <v>4210.0288804071242</v>
      </c>
      <c r="N189" t="s">
        <v>12046</v>
      </c>
    </row>
    <row r="190" spans="1:14" x14ac:dyDescent="0.3">
      <c r="A190" s="2" t="s">
        <v>188</v>
      </c>
      <c r="B190" s="2" t="s">
        <v>12045</v>
      </c>
      <c r="C190" s="2">
        <v>27</v>
      </c>
      <c r="D190" s="2" t="s">
        <v>12043</v>
      </c>
      <c r="E190" s="2">
        <f>COUNTIF(Table16[customer_id],Table13[[#This Row],[customer_id]])</f>
        <v>5</v>
      </c>
      <c r="F190" s="13">
        <f>SUMIFS(Table16[Purchase_history],Table16[customer_id],Table13[[#This Row],[customer_id]])</f>
        <v>5361.03</v>
      </c>
      <c r="G190" s="20">
        <v>44293</v>
      </c>
      <c r="H190" s="21">
        <v>44887</v>
      </c>
      <c r="I190" s="15">
        <f>(Table134[[#This Row],[Last_Day]]-Table134[[#This Row],[First_Day]]+1)/365</f>
        <v>1.6301369863013699</v>
      </c>
      <c r="J190" s="59">
        <f>Table134[[#This Row],[number_of_purchases]]/Table134[[#This Row],[customer_total_years]]</f>
        <v>3.0672268907563023</v>
      </c>
      <c r="K190" s="13">
        <f>Table134[[#This Row],[purchase_history]]/Table134[[#This Row],[number_of_purchases]]</f>
        <v>1072.2059999999999</v>
      </c>
      <c r="L190" s="2">
        <f>IF(YEAR(Table134[[#This Row],[Last_Day]])=2021,5,IF(YEAR(Table134[[#This Row],[Last_Day]])=2022,7,IF(YEAR(Table134[[#This Row],[Last_Day]])=2023,10,"Không xác định")))</f>
        <v>7</v>
      </c>
      <c r="M190" s="15">
        <f>Table134[[#This Row],[avg_number_of_purchases]]*Table1345[[#This Row],[avg_purchase_value]]*Table1345[[#This Row],[expected_lifespan]]</f>
        <v>23020.893529411762</v>
      </c>
      <c r="N190" t="s">
        <v>12048</v>
      </c>
    </row>
    <row r="191" spans="1:14" x14ac:dyDescent="0.3">
      <c r="A191" s="2" t="s">
        <v>189</v>
      </c>
      <c r="B191" s="2" t="s">
        <v>12040</v>
      </c>
      <c r="C191" s="2">
        <v>22</v>
      </c>
      <c r="D191" s="2" t="s">
        <v>12043</v>
      </c>
      <c r="E191" s="2">
        <f>COUNTIF(Table16[customer_id],Table13[[#This Row],[customer_id]])</f>
        <v>8</v>
      </c>
      <c r="F191" s="13">
        <f>SUMIFS(Table16[Purchase_history],Table16[customer_id],Table13[[#This Row],[customer_id]])</f>
        <v>28553.920000000002</v>
      </c>
      <c r="G191" s="20">
        <v>44198</v>
      </c>
      <c r="H191" s="21">
        <v>44989</v>
      </c>
      <c r="I191" s="15">
        <f>(Table134[[#This Row],[Last_Day]]-Table134[[#This Row],[First_Day]]+1)/365</f>
        <v>2.1698630136986301</v>
      </c>
      <c r="J191" s="59">
        <f>Table134[[#This Row],[number_of_purchases]]/Table134[[#This Row],[customer_total_years]]</f>
        <v>3.6868686868686869</v>
      </c>
      <c r="K191" s="13">
        <f>Table134[[#This Row],[purchase_history]]/Table134[[#This Row],[number_of_purchases]]</f>
        <v>3569.2400000000002</v>
      </c>
      <c r="L191" s="2">
        <f>IF(YEAR(Table134[[#This Row],[Last_Day]])=2021,5,IF(YEAR(Table134[[#This Row],[Last_Day]])=2022,7,IF(YEAR(Table134[[#This Row],[Last_Day]])=2023,10,"Không xác định")))</f>
        <v>10</v>
      </c>
      <c r="M191" s="15">
        <f>Table134[[#This Row],[avg_number_of_purchases]]*Table1345[[#This Row],[avg_purchase_value]]*Table1345[[#This Row],[expected_lifespan]]</f>
        <v>131593.19191919192</v>
      </c>
      <c r="N191" t="s">
        <v>12044</v>
      </c>
    </row>
    <row r="192" spans="1:14" x14ac:dyDescent="0.3">
      <c r="A192" s="2" t="s">
        <v>190</v>
      </c>
      <c r="B192" s="2" t="s">
        <v>12040</v>
      </c>
      <c r="C192" s="2">
        <v>26</v>
      </c>
      <c r="D192" s="2" t="s">
        <v>12049</v>
      </c>
      <c r="E192" s="2">
        <f>COUNTIF(Table16[customer_id],Table13[[#This Row],[customer_id]])</f>
        <v>5</v>
      </c>
      <c r="F192" s="13">
        <f>SUMIFS(Table16[Purchase_history],Table16[customer_id],Table13[[#This Row],[customer_id]])</f>
        <v>2217.9500000000003</v>
      </c>
      <c r="G192" s="20">
        <v>44226</v>
      </c>
      <c r="H192" s="21">
        <v>44990</v>
      </c>
      <c r="I192" s="15">
        <f>(Table134[[#This Row],[Last_Day]]-Table134[[#This Row],[First_Day]]+1)/365</f>
        <v>2.095890410958904</v>
      </c>
      <c r="J192" s="59">
        <f>Table134[[#This Row],[number_of_purchases]]/Table134[[#This Row],[customer_total_years]]</f>
        <v>2.3856209150326797</v>
      </c>
      <c r="K192" s="13">
        <f>Table134[[#This Row],[purchase_history]]/Table134[[#This Row],[number_of_purchases]]</f>
        <v>443.59000000000003</v>
      </c>
      <c r="L192" s="2">
        <f>IF(YEAR(Table134[[#This Row],[Last_Day]])=2021,5,IF(YEAR(Table134[[#This Row],[Last_Day]])=2022,7,IF(YEAR(Table134[[#This Row],[Last_Day]])=2023,10,"Không xác định")))</f>
        <v>10</v>
      </c>
      <c r="M192" s="15">
        <f>Table134[[#This Row],[avg_number_of_purchases]]*Table1345[[#This Row],[avg_purchase_value]]*Table1345[[#This Row],[expected_lifespan]]</f>
        <v>10582.375816993464</v>
      </c>
      <c r="N192" t="s">
        <v>12042</v>
      </c>
    </row>
    <row r="193" spans="1:14" x14ac:dyDescent="0.3">
      <c r="A193" s="2" t="s">
        <v>191</v>
      </c>
      <c r="B193" s="2" t="s">
        <v>12045</v>
      </c>
      <c r="C193" s="2">
        <v>69</v>
      </c>
      <c r="D193" s="2" t="s">
        <v>12041</v>
      </c>
      <c r="E193" s="2">
        <f>COUNTIF(Table16[customer_id],Table13[[#This Row],[customer_id]])</f>
        <v>7</v>
      </c>
      <c r="F193" s="13">
        <f>SUMIFS(Table16[Purchase_history],Table16[customer_id],Table13[[#This Row],[customer_id]])</f>
        <v>2664.12</v>
      </c>
      <c r="G193" s="20">
        <v>44362</v>
      </c>
      <c r="H193" s="21">
        <v>44884</v>
      </c>
      <c r="I193" s="15">
        <f>(Table134[[#This Row],[Last_Day]]-Table134[[#This Row],[First_Day]]+1)/365</f>
        <v>1.4328767123287671</v>
      </c>
      <c r="J193" s="59">
        <f>Table134[[#This Row],[number_of_purchases]]/Table134[[#This Row],[customer_total_years]]</f>
        <v>4.8852772466539198</v>
      </c>
      <c r="K193" s="13">
        <f>Table134[[#This Row],[purchase_history]]/Table134[[#This Row],[number_of_purchases]]</f>
        <v>380.58857142857141</v>
      </c>
      <c r="L193" s="2">
        <f>IF(YEAR(Table134[[#This Row],[Last_Day]])=2021,5,IF(YEAR(Table134[[#This Row],[Last_Day]])=2022,7,IF(YEAR(Table134[[#This Row],[Last_Day]])=2023,10,"Không xác định")))</f>
        <v>7</v>
      </c>
      <c r="M193" s="15">
        <f>Table134[[#This Row],[avg_number_of_purchases]]*Table1345[[#This Row],[avg_purchase_value]]*Table1345[[#This Row],[expected_lifespan]]</f>
        <v>13014.964818355642</v>
      </c>
      <c r="N193" t="s">
        <v>12044</v>
      </c>
    </row>
    <row r="194" spans="1:14" x14ac:dyDescent="0.3">
      <c r="A194" s="2" t="s">
        <v>192</v>
      </c>
      <c r="B194" s="2" t="s">
        <v>12040</v>
      </c>
      <c r="C194" s="2">
        <v>18</v>
      </c>
      <c r="D194" s="2" t="s">
        <v>12049</v>
      </c>
      <c r="E194" s="2">
        <f>COUNTIF(Table16[customer_id],Table13[[#This Row],[customer_id]])</f>
        <v>2</v>
      </c>
      <c r="F194" s="13">
        <f>SUMIFS(Table16[Purchase_history],Table16[customer_id],Table13[[#This Row],[customer_id]])</f>
        <v>4850.5599999999995</v>
      </c>
      <c r="G194" s="20">
        <v>44559</v>
      </c>
      <c r="H194" s="21">
        <v>44838</v>
      </c>
      <c r="I194" s="15">
        <f>(Table134[[#This Row],[Last_Day]]-Table134[[#This Row],[First_Day]]+1)/365</f>
        <v>0.76712328767123283</v>
      </c>
      <c r="J194" s="59">
        <f>Table134[[#This Row],[number_of_purchases]]/Table134[[#This Row],[customer_total_years]]</f>
        <v>2.6071428571428572</v>
      </c>
      <c r="K194" s="13">
        <f>Table134[[#This Row],[purchase_history]]/Table134[[#This Row],[number_of_purchases]]</f>
        <v>2425.2799999999997</v>
      </c>
      <c r="L194" s="2">
        <f>IF(YEAR(Table134[[#This Row],[Last_Day]])=2021,5,IF(YEAR(Table134[[#This Row],[Last_Day]])=2022,7,IF(YEAR(Table134[[#This Row],[Last_Day]])=2023,10,"Không xác định")))</f>
        <v>7</v>
      </c>
      <c r="M194" s="15">
        <f>Table134[[#This Row],[avg_number_of_purchases]]*Table1345[[#This Row],[avg_purchase_value]]*Table1345[[#This Row],[expected_lifespan]]</f>
        <v>44261.359999999993</v>
      </c>
      <c r="N194" t="s">
        <v>12047</v>
      </c>
    </row>
    <row r="195" spans="1:14" x14ac:dyDescent="0.3">
      <c r="A195" s="2" t="s">
        <v>193</v>
      </c>
      <c r="B195" s="2" t="s">
        <v>12045</v>
      </c>
      <c r="C195" s="2">
        <v>18</v>
      </c>
      <c r="D195" s="2" t="s">
        <v>12043</v>
      </c>
      <c r="E195" s="2">
        <f>COUNTIF(Table16[customer_id],Table13[[#This Row],[customer_id]])</f>
        <v>2</v>
      </c>
      <c r="F195" s="13">
        <f>SUMIFS(Table16[Purchase_history],Table16[customer_id],Table13[[#This Row],[customer_id]])</f>
        <v>7632.75</v>
      </c>
      <c r="G195" s="20">
        <v>44425</v>
      </c>
      <c r="H195" s="21">
        <v>44878</v>
      </c>
      <c r="I195" s="15">
        <f>(Table134[[#This Row],[Last_Day]]-Table134[[#This Row],[First_Day]]+1)/365</f>
        <v>1.2438356164383562</v>
      </c>
      <c r="J195" s="59">
        <f>Table134[[#This Row],[number_of_purchases]]/Table134[[#This Row],[customer_total_years]]</f>
        <v>1.6079295154185023</v>
      </c>
      <c r="K195" s="13">
        <f>Table134[[#This Row],[purchase_history]]/Table134[[#This Row],[number_of_purchases]]</f>
        <v>3816.375</v>
      </c>
      <c r="L195" s="2">
        <f>IF(YEAR(Table134[[#This Row],[Last_Day]])=2021,5,IF(YEAR(Table134[[#This Row],[Last_Day]])=2022,7,IF(YEAR(Table134[[#This Row],[Last_Day]])=2023,10,"Không xác định")))</f>
        <v>7</v>
      </c>
      <c r="M195" s="15">
        <f>Table134[[#This Row],[avg_number_of_purchases]]*Table1345[[#This Row],[avg_purchase_value]]*Table1345[[#This Row],[expected_lifespan]]</f>
        <v>42955.234030837004</v>
      </c>
      <c r="N195" t="s">
        <v>12047</v>
      </c>
    </row>
    <row r="196" spans="1:14" x14ac:dyDescent="0.3">
      <c r="A196" s="2" t="s">
        <v>194</v>
      </c>
      <c r="B196" s="2" t="s">
        <v>12040</v>
      </c>
      <c r="C196" s="2">
        <v>38</v>
      </c>
      <c r="D196" s="2" t="s">
        <v>12043</v>
      </c>
      <c r="E196" s="2">
        <f>COUNTIF(Table16[customer_id],Table13[[#This Row],[customer_id]])</f>
        <v>10</v>
      </c>
      <c r="F196" s="13">
        <f>SUMIFS(Table16[Purchase_history],Table16[customer_id],Table13[[#This Row],[customer_id]])</f>
        <v>24990.690000000002</v>
      </c>
      <c r="G196" s="20">
        <v>44244</v>
      </c>
      <c r="H196" s="21">
        <v>44864</v>
      </c>
      <c r="I196" s="15">
        <f>(Table134[[#This Row],[Last_Day]]-Table134[[#This Row],[First_Day]]+1)/365</f>
        <v>1.7013698630136986</v>
      </c>
      <c r="J196" s="59">
        <f>Table134[[#This Row],[number_of_purchases]]/Table134[[#This Row],[customer_total_years]]</f>
        <v>5.8776167471819649</v>
      </c>
      <c r="K196" s="13">
        <f>Table134[[#This Row],[purchase_history]]/Table134[[#This Row],[number_of_purchases]]</f>
        <v>2499.0690000000004</v>
      </c>
      <c r="L196" s="2">
        <f>IF(YEAR(Table134[[#This Row],[Last_Day]])=2021,5,IF(YEAR(Table134[[#This Row],[Last_Day]])=2022,7,IF(YEAR(Table134[[#This Row],[Last_Day]])=2023,10,"Không xác định")))</f>
        <v>7</v>
      </c>
      <c r="M196" s="15">
        <f>Table134[[#This Row],[avg_number_of_purchases]]*Table1345[[#This Row],[avg_purchase_value]]*Table1345[[#This Row],[expected_lifespan]]</f>
        <v>102819.98864734301</v>
      </c>
      <c r="N196" t="s">
        <v>12044</v>
      </c>
    </row>
    <row r="197" spans="1:14" x14ac:dyDescent="0.3">
      <c r="A197" s="2" t="s">
        <v>195</v>
      </c>
      <c r="B197" s="2" t="s">
        <v>12045</v>
      </c>
      <c r="C197" s="2">
        <v>69</v>
      </c>
      <c r="D197" s="2" t="s">
        <v>12049</v>
      </c>
      <c r="E197" s="2">
        <f>COUNTIF(Table16[customer_id],Table13[[#This Row],[customer_id]])</f>
        <v>4</v>
      </c>
      <c r="F197" s="13">
        <f>SUMIFS(Table16[Purchase_history],Table16[customer_id],Table13[[#This Row],[customer_id]])</f>
        <v>15594.96</v>
      </c>
      <c r="G197" s="20">
        <v>44475</v>
      </c>
      <c r="H197" s="21">
        <v>44828</v>
      </c>
      <c r="I197" s="15">
        <f>(Table134[[#This Row],[Last_Day]]-Table134[[#This Row],[First_Day]]+1)/365</f>
        <v>0.96986301369863015</v>
      </c>
      <c r="J197" s="59">
        <f>Table134[[#This Row],[number_of_purchases]]/Table134[[#This Row],[customer_total_years]]</f>
        <v>4.1242937853107344</v>
      </c>
      <c r="K197" s="13">
        <f>Table134[[#This Row],[purchase_history]]/Table134[[#This Row],[number_of_purchases]]</f>
        <v>3898.74</v>
      </c>
      <c r="L197" s="2">
        <f>IF(YEAR(Table134[[#This Row],[Last_Day]])=2021,5,IF(YEAR(Table134[[#This Row],[Last_Day]])=2022,7,IF(YEAR(Table134[[#This Row],[Last_Day]])=2023,10,"Không xác định")))</f>
        <v>7</v>
      </c>
      <c r="M197" s="15">
        <f>Table134[[#This Row],[avg_number_of_purchases]]*Table1345[[#This Row],[avg_purchase_value]]*Table1345[[#This Row],[expected_lifespan]]</f>
        <v>112556.8440677966</v>
      </c>
      <c r="N197" t="s">
        <v>12046</v>
      </c>
    </row>
    <row r="198" spans="1:14" x14ac:dyDescent="0.3">
      <c r="A198" s="2" t="s">
        <v>196</v>
      </c>
      <c r="B198" s="2" t="s">
        <v>12040</v>
      </c>
      <c r="C198" s="2">
        <v>51</v>
      </c>
      <c r="D198" s="2" t="s">
        <v>12041</v>
      </c>
      <c r="E198" s="2">
        <f>COUNTIF(Table16[customer_id],Table13[[#This Row],[customer_id]])</f>
        <v>5</v>
      </c>
      <c r="F198" s="13">
        <f>SUMIFS(Table16[Purchase_history],Table16[customer_id],Table13[[#This Row],[customer_id]])</f>
        <v>16474.27</v>
      </c>
      <c r="G198" s="20">
        <v>44256</v>
      </c>
      <c r="H198" s="21">
        <v>44567</v>
      </c>
      <c r="I198" s="15">
        <f>(Table134[[#This Row],[Last_Day]]-Table134[[#This Row],[First_Day]]+1)/365</f>
        <v>0.85479452054794525</v>
      </c>
      <c r="J198" s="59">
        <f>Table134[[#This Row],[number_of_purchases]]/Table134[[#This Row],[customer_total_years]]</f>
        <v>5.8493589743589745</v>
      </c>
      <c r="K198" s="13">
        <f>Table134[[#This Row],[purchase_history]]/Table134[[#This Row],[number_of_purchases]]</f>
        <v>3294.8540000000003</v>
      </c>
      <c r="L198" s="2">
        <f>IF(YEAR(Table134[[#This Row],[Last_Day]])=2021,5,IF(YEAR(Table134[[#This Row],[Last_Day]])=2022,7,IF(YEAR(Table134[[#This Row],[Last_Day]])=2023,10,"Không xác định")))</f>
        <v>7</v>
      </c>
      <c r="M198" s="15">
        <f>Table134[[#This Row],[avg_number_of_purchases]]*Table1345[[#This Row],[avg_purchase_value]]*Table1345[[#This Row],[expected_lifespan]]</f>
        <v>134909.48669871798</v>
      </c>
      <c r="N198" t="s">
        <v>12046</v>
      </c>
    </row>
    <row r="199" spans="1:14" x14ac:dyDescent="0.3">
      <c r="A199" s="2" t="s">
        <v>197</v>
      </c>
      <c r="B199" s="2" t="s">
        <v>12040</v>
      </c>
      <c r="C199" s="2">
        <v>63</v>
      </c>
      <c r="D199" s="2" t="s">
        <v>12049</v>
      </c>
      <c r="E199" s="2">
        <f>COUNTIF(Table16[customer_id],Table13[[#This Row],[customer_id]])</f>
        <v>3</v>
      </c>
      <c r="F199" s="13">
        <f>SUMIFS(Table16[Purchase_history],Table16[customer_id],Table13[[#This Row],[customer_id]])</f>
        <v>4201.12</v>
      </c>
      <c r="G199" s="20">
        <v>44702</v>
      </c>
      <c r="H199" s="21">
        <v>44886</v>
      </c>
      <c r="I199" s="15">
        <f>(Table134[[#This Row],[Last_Day]]-Table134[[#This Row],[First_Day]]+1)/365</f>
        <v>0.50684931506849318</v>
      </c>
      <c r="J199" s="59">
        <f>Table134[[#This Row],[number_of_purchases]]/Table134[[#This Row],[customer_total_years]]</f>
        <v>5.9189189189189184</v>
      </c>
      <c r="K199" s="13">
        <f>Table134[[#This Row],[purchase_history]]/Table134[[#This Row],[number_of_purchases]]</f>
        <v>1400.3733333333332</v>
      </c>
      <c r="L199" s="2">
        <f>IF(YEAR(Table134[[#This Row],[Last_Day]])=2021,5,IF(YEAR(Table134[[#This Row],[Last_Day]])=2022,7,IF(YEAR(Table134[[#This Row],[Last_Day]])=2023,10,"Không xác định")))</f>
        <v>7</v>
      </c>
      <c r="M199" s="15">
        <f>Table134[[#This Row],[avg_number_of_purchases]]*Table1345[[#This Row],[avg_purchase_value]]*Table1345[[#This Row],[expected_lifespan]]</f>
        <v>58020.873513513499</v>
      </c>
      <c r="N199" t="s">
        <v>12046</v>
      </c>
    </row>
    <row r="200" spans="1:14" x14ac:dyDescent="0.3">
      <c r="A200" s="2" t="s">
        <v>198</v>
      </c>
      <c r="B200" s="2" t="s">
        <v>12040</v>
      </c>
      <c r="C200" s="2">
        <v>39</v>
      </c>
      <c r="D200" s="2" t="s">
        <v>12049</v>
      </c>
      <c r="E200" s="2">
        <f>COUNTIF(Table16[customer_id],Table13[[#This Row],[customer_id]])</f>
        <v>4</v>
      </c>
      <c r="F200" s="13">
        <f>SUMIFS(Table16[Purchase_history],Table16[customer_id],Table13[[#This Row],[customer_id]])</f>
        <v>17177.690000000002</v>
      </c>
      <c r="G200" s="20">
        <v>44457</v>
      </c>
      <c r="H200" s="21">
        <v>44810</v>
      </c>
      <c r="I200" s="15">
        <f>(Table134[[#This Row],[Last_Day]]-Table134[[#This Row],[First_Day]]+1)/365</f>
        <v>0.96986301369863015</v>
      </c>
      <c r="J200" s="59">
        <f>Table134[[#This Row],[number_of_purchases]]/Table134[[#This Row],[customer_total_years]]</f>
        <v>4.1242937853107344</v>
      </c>
      <c r="K200" s="13">
        <f>Table134[[#This Row],[purchase_history]]/Table134[[#This Row],[number_of_purchases]]</f>
        <v>4294.4225000000006</v>
      </c>
      <c r="L200" s="2">
        <f>IF(YEAR(Table134[[#This Row],[Last_Day]])=2021,5,IF(YEAR(Table134[[#This Row],[Last_Day]])=2022,7,IF(YEAR(Table134[[#This Row],[Last_Day]])=2023,10,"Không xác định")))</f>
        <v>7</v>
      </c>
      <c r="M200" s="15">
        <f>Table134[[#This Row],[avg_number_of_purchases]]*Table1345[[#This Row],[avg_purchase_value]]*Table1345[[#This Row],[expected_lifespan]]</f>
        <v>123980.22019774011</v>
      </c>
      <c r="N200" t="s">
        <v>12047</v>
      </c>
    </row>
    <row r="201" spans="1:14" x14ac:dyDescent="0.3">
      <c r="A201" s="2" t="s">
        <v>199</v>
      </c>
      <c r="B201" s="2" t="s">
        <v>12045</v>
      </c>
      <c r="C201" s="2">
        <v>20</v>
      </c>
      <c r="D201" s="2" t="s">
        <v>12043</v>
      </c>
      <c r="E201" s="2">
        <f>COUNTIF(Table16[customer_id],Table13[[#This Row],[customer_id]])</f>
        <v>7</v>
      </c>
      <c r="F201" s="13">
        <f>SUMIFS(Table16[Purchase_history],Table16[customer_id],Table13[[#This Row],[customer_id]])</f>
        <v>6253.6100000000006</v>
      </c>
      <c r="G201" s="20">
        <v>44346</v>
      </c>
      <c r="H201" s="21">
        <v>44871</v>
      </c>
      <c r="I201" s="15">
        <f>(Table134[[#This Row],[Last_Day]]-Table134[[#This Row],[First_Day]]+1)/365</f>
        <v>1.441095890410959</v>
      </c>
      <c r="J201" s="59">
        <f>Table134[[#This Row],[number_of_purchases]]/Table134[[#This Row],[customer_total_years]]</f>
        <v>4.8574144486692017</v>
      </c>
      <c r="K201" s="13">
        <f>Table134[[#This Row],[purchase_history]]/Table134[[#This Row],[number_of_purchases]]</f>
        <v>893.37285714285724</v>
      </c>
      <c r="L201" s="2">
        <f>IF(YEAR(Table134[[#This Row],[Last_Day]])=2021,5,IF(YEAR(Table134[[#This Row],[Last_Day]])=2022,7,IF(YEAR(Table134[[#This Row],[Last_Day]])=2023,10,"Không xác định")))</f>
        <v>7</v>
      </c>
      <c r="M201" s="15">
        <f>Table134[[#This Row],[avg_number_of_purchases]]*Table1345[[#This Row],[avg_purchase_value]]*Table1345[[#This Row],[expected_lifespan]]</f>
        <v>30376.37557034221</v>
      </c>
      <c r="N201" t="s">
        <v>12042</v>
      </c>
    </row>
    <row r="202" spans="1:14" x14ac:dyDescent="0.3">
      <c r="A202" s="2" t="s">
        <v>200</v>
      </c>
      <c r="B202" s="2" t="s">
        <v>12040</v>
      </c>
      <c r="C202" s="2">
        <v>37</v>
      </c>
      <c r="D202" s="2" t="s">
        <v>12043</v>
      </c>
      <c r="E202" s="2">
        <f>COUNTIF(Table16[customer_id],Table13[[#This Row],[customer_id]])</f>
        <v>5</v>
      </c>
      <c r="F202" s="13">
        <f>SUMIFS(Table16[Purchase_history],Table16[customer_id],Table13[[#This Row],[customer_id]])</f>
        <v>9043.06</v>
      </c>
      <c r="G202" s="20">
        <v>44393</v>
      </c>
      <c r="H202" s="21">
        <v>44755</v>
      </c>
      <c r="I202" s="15">
        <f>(Table134[[#This Row],[Last_Day]]-Table134[[#This Row],[First_Day]]+1)/365</f>
        <v>0.9945205479452055</v>
      </c>
      <c r="J202" s="59">
        <f>Table134[[#This Row],[number_of_purchases]]/Table134[[#This Row],[customer_total_years]]</f>
        <v>5.0275482093663912</v>
      </c>
      <c r="K202" s="13">
        <f>Table134[[#This Row],[purchase_history]]/Table134[[#This Row],[number_of_purchases]]</f>
        <v>1808.6119999999999</v>
      </c>
      <c r="L202" s="2">
        <f>IF(YEAR(Table134[[#This Row],[Last_Day]])=2021,5,IF(YEAR(Table134[[#This Row],[Last_Day]])=2022,7,IF(YEAR(Table134[[#This Row],[Last_Day]])=2023,10,"Không xác định")))</f>
        <v>7</v>
      </c>
      <c r="M202" s="15">
        <f>Table134[[#This Row],[avg_number_of_purchases]]*Table1345[[#This Row],[avg_purchase_value]]*Table1345[[#This Row],[expected_lifespan]]</f>
        <v>63650.188154269963</v>
      </c>
      <c r="N202" t="s">
        <v>12042</v>
      </c>
    </row>
    <row r="203" spans="1:14" x14ac:dyDescent="0.3">
      <c r="A203" s="2" t="s">
        <v>201</v>
      </c>
      <c r="B203" s="2" t="s">
        <v>12045</v>
      </c>
      <c r="C203" s="2">
        <v>66</v>
      </c>
      <c r="D203" s="2" t="s">
        <v>12041</v>
      </c>
      <c r="E203" s="2">
        <f>COUNTIF(Table16[customer_id],Table13[[#This Row],[customer_id]])</f>
        <v>9</v>
      </c>
      <c r="F203" s="13">
        <f>SUMIFS(Table16[Purchase_history],Table16[customer_id],Table13[[#This Row],[customer_id]])</f>
        <v>14305.41</v>
      </c>
      <c r="G203" s="20">
        <v>44427</v>
      </c>
      <c r="H203" s="21">
        <v>44984</v>
      </c>
      <c r="I203" s="15">
        <f>(Table134[[#This Row],[Last_Day]]-Table134[[#This Row],[First_Day]]+1)/365</f>
        <v>1.5287671232876712</v>
      </c>
      <c r="J203" s="59">
        <f>Table134[[#This Row],[number_of_purchases]]/Table134[[#This Row],[customer_total_years]]</f>
        <v>5.8870967741935489</v>
      </c>
      <c r="K203" s="13">
        <f>Table134[[#This Row],[purchase_history]]/Table134[[#This Row],[number_of_purchases]]</f>
        <v>1589.49</v>
      </c>
      <c r="L203" s="2">
        <f>IF(YEAR(Table134[[#This Row],[Last_Day]])=2021,5,IF(YEAR(Table134[[#This Row],[Last_Day]])=2022,7,IF(YEAR(Table134[[#This Row],[Last_Day]])=2023,10,"Không xác định")))</f>
        <v>10</v>
      </c>
      <c r="M203" s="15">
        <f>Table134[[#This Row],[avg_number_of_purchases]]*Table1345[[#This Row],[avg_purchase_value]]*Table1345[[#This Row],[expected_lifespan]]</f>
        <v>93574.814516129045</v>
      </c>
      <c r="N203" t="s">
        <v>12046</v>
      </c>
    </row>
    <row r="204" spans="1:14" x14ac:dyDescent="0.3">
      <c r="A204" s="2" t="s">
        <v>202</v>
      </c>
      <c r="B204" s="2" t="s">
        <v>12045</v>
      </c>
      <c r="C204" s="2">
        <v>64</v>
      </c>
      <c r="D204" s="2" t="s">
        <v>12041</v>
      </c>
      <c r="E204" s="2">
        <f>COUNTIF(Table16[customer_id],Table13[[#This Row],[customer_id]])</f>
        <v>5</v>
      </c>
      <c r="F204" s="13">
        <f>SUMIFS(Table16[Purchase_history],Table16[customer_id],Table13[[#This Row],[customer_id]])</f>
        <v>6640.9000000000005</v>
      </c>
      <c r="G204" s="20">
        <v>44257</v>
      </c>
      <c r="H204" s="21">
        <v>44838</v>
      </c>
      <c r="I204" s="15">
        <f>(Table134[[#This Row],[Last_Day]]-Table134[[#This Row],[First_Day]]+1)/365</f>
        <v>1.5945205479452054</v>
      </c>
      <c r="J204" s="59">
        <f>Table134[[#This Row],[number_of_purchases]]/Table134[[#This Row],[customer_total_years]]</f>
        <v>3.1357388316151207</v>
      </c>
      <c r="K204" s="13">
        <f>Table134[[#This Row],[purchase_history]]/Table134[[#This Row],[number_of_purchases]]</f>
        <v>1328.18</v>
      </c>
      <c r="L204" s="2">
        <f>IF(YEAR(Table134[[#This Row],[Last_Day]])=2021,5,IF(YEAR(Table134[[#This Row],[Last_Day]])=2022,7,IF(YEAR(Table134[[#This Row],[Last_Day]])=2023,10,"Không xác định")))</f>
        <v>7</v>
      </c>
      <c r="M204" s="15">
        <f>Table134[[#This Row],[avg_number_of_purchases]]*Table1345[[#This Row],[avg_purchase_value]]*Table1345[[#This Row],[expected_lifespan]]</f>
        <v>29153.779209622</v>
      </c>
      <c r="N204" t="s">
        <v>12042</v>
      </c>
    </row>
    <row r="205" spans="1:14" x14ac:dyDescent="0.3">
      <c r="A205" s="2" t="s">
        <v>203</v>
      </c>
      <c r="B205" s="2" t="s">
        <v>12045</v>
      </c>
      <c r="C205" s="2">
        <v>24</v>
      </c>
      <c r="D205" s="2" t="s">
        <v>12049</v>
      </c>
      <c r="E205" s="2">
        <f>COUNTIF(Table16[customer_id],Table13[[#This Row],[customer_id]])</f>
        <v>3</v>
      </c>
      <c r="F205" s="13">
        <f>SUMIFS(Table16[Purchase_history],Table16[customer_id],Table13[[#This Row],[customer_id]])</f>
        <v>12918.68</v>
      </c>
      <c r="G205" s="20">
        <v>44393</v>
      </c>
      <c r="H205" s="21">
        <v>44889</v>
      </c>
      <c r="I205" s="15">
        <f>(Table134[[#This Row],[Last_Day]]-Table134[[#This Row],[First_Day]]+1)/365</f>
        <v>1.3616438356164384</v>
      </c>
      <c r="J205" s="59">
        <f>Table134[[#This Row],[number_of_purchases]]/Table134[[#This Row],[customer_total_years]]</f>
        <v>2.2032193158953723</v>
      </c>
      <c r="K205" s="13">
        <f>Table134[[#This Row],[purchase_history]]/Table134[[#This Row],[number_of_purchases]]</f>
        <v>4306.2266666666665</v>
      </c>
      <c r="L205" s="2">
        <f>IF(YEAR(Table134[[#This Row],[Last_Day]])=2021,5,IF(YEAR(Table134[[#This Row],[Last_Day]])=2022,7,IF(YEAR(Table134[[#This Row],[Last_Day]])=2023,10,"Không xác định")))</f>
        <v>7</v>
      </c>
      <c r="M205" s="15">
        <f>Table134[[#This Row],[avg_number_of_purchases]]*Table1345[[#This Row],[avg_purchase_value]]*Table1345[[#This Row],[expected_lifespan]]</f>
        <v>66412.932394366202</v>
      </c>
      <c r="N205" t="s">
        <v>12044</v>
      </c>
    </row>
    <row r="206" spans="1:14" x14ac:dyDescent="0.3">
      <c r="A206" s="2" t="s">
        <v>204</v>
      </c>
      <c r="B206" s="2" t="s">
        <v>12045</v>
      </c>
      <c r="C206" s="2">
        <v>21</v>
      </c>
      <c r="D206" s="2" t="s">
        <v>12043</v>
      </c>
      <c r="E206" s="2">
        <f>COUNTIF(Table16[customer_id],Table13[[#This Row],[customer_id]])</f>
        <v>10</v>
      </c>
      <c r="F206" s="13">
        <f>SUMIFS(Table16[Purchase_history],Table16[customer_id],Table13[[#This Row],[customer_id]])</f>
        <v>29497.679999999997</v>
      </c>
      <c r="G206" s="20">
        <v>44266</v>
      </c>
      <c r="H206" s="21">
        <v>44911</v>
      </c>
      <c r="I206" s="15">
        <f>(Table134[[#This Row],[Last_Day]]-Table134[[#This Row],[First_Day]]+1)/365</f>
        <v>1.7698630136986302</v>
      </c>
      <c r="J206" s="59">
        <f>Table134[[#This Row],[number_of_purchases]]/Table134[[#This Row],[customer_total_years]]</f>
        <v>5.6501547987616094</v>
      </c>
      <c r="K206" s="13">
        <f>Table134[[#This Row],[purchase_history]]/Table134[[#This Row],[number_of_purchases]]</f>
        <v>2949.7679999999996</v>
      </c>
      <c r="L206" s="2">
        <f>IF(YEAR(Table134[[#This Row],[Last_Day]])=2021,5,IF(YEAR(Table134[[#This Row],[Last_Day]])=2022,7,IF(YEAR(Table134[[#This Row],[Last_Day]])=2023,10,"Không xác định")))</f>
        <v>7</v>
      </c>
      <c r="M206" s="15">
        <f>Table134[[#This Row],[avg_number_of_purchases]]*Table1345[[#This Row],[avg_purchase_value]]*Table1345[[#This Row],[expected_lifespan]]</f>
        <v>116666.52074303404</v>
      </c>
      <c r="N206" t="s">
        <v>12042</v>
      </c>
    </row>
    <row r="207" spans="1:14" x14ac:dyDescent="0.3">
      <c r="A207" s="2" t="s">
        <v>205</v>
      </c>
      <c r="B207" s="2" t="s">
        <v>12040</v>
      </c>
      <c r="C207" s="2">
        <v>32</v>
      </c>
      <c r="D207" s="2" t="s">
        <v>12049</v>
      </c>
      <c r="E207" s="2">
        <f>COUNTIF(Table16[customer_id],Table13[[#This Row],[customer_id]])</f>
        <v>3</v>
      </c>
      <c r="F207" s="13">
        <f>SUMIFS(Table16[Purchase_history],Table16[customer_id],Table13[[#This Row],[customer_id]])</f>
        <v>11403.04</v>
      </c>
      <c r="G207" s="20">
        <v>44257</v>
      </c>
      <c r="H207" s="21">
        <v>44779</v>
      </c>
      <c r="I207" s="15">
        <f>(Table134[[#This Row],[Last_Day]]-Table134[[#This Row],[First_Day]]+1)/365</f>
        <v>1.4328767123287671</v>
      </c>
      <c r="J207" s="59">
        <f>Table134[[#This Row],[number_of_purchases]]/Table134[[#This Row],[customer_total_years]]</f>
        <v>2.0936902485659656</v>
      </c>
      <c r="K207" s="13">
        <f>Table134[[#This Row],[purchase_history]]/Table134[[#This Row],[number_of_purchases]]</f>
        <v>3801.0133333333338</v>
      </c>
      <c r="L207" s="2">
        <f>IF(YEAR(Table134[[#This Row],[Last_Day]])=2021,5,IF(YEAR(Table134[[#This Row],[Last_Day]])=2022,7,IF(YEAR(Table134[[#This Row],[Last_Day]])=2023,10,"Không xác định")))</f>
        <v>7</v>
      </c>
      <c r="M207" s="15">
        <f>Table134[[#This Row],[avg_number_of_purchases]]*Table1345[[#This Row],[avg_purchase_value]]*Table1345[[#This Row],[expected_lifespan]]</f>
        <v>55707.011854684519</v>
      </c>
      <c r="N207" t="s">
        <v>12042</v>
      </c>
    </row>
    <row r="208" spans="1:14" x14ac:dyDescent="0.3">
      <c r="A208" s="2" t="s">
        <v>206</v>
      </c>
      <c r="B208" s="2" t="s">
        <v>12040</v>
      </c>
      <c r="C208" s="2">
        <v>32</v>
      </c>
      <c r="D208" s="2" t="s">
        <v>12041</v>
      </c>
      <c r="E208" s="2">
        <f>COUNTIF(Table16[customer_id],Table13[[#This Row],[customer_id]])</f>
        <v>5</v>
      </c>
      <c r="F208" s="13">
        <f>SUMIFS(Table16[Purchase_history],Table16[customer_id],Table13[[#This Row],[customer_id]])</f>
        <v>33304.400000000001</v>
      </c>
      <c r="G208" s="20">
        <v>44452</v>
      </c>
      <c r="H208" s="21">
        <v>44953</v>
      </c>
      <c r="I208" s="15">
        <f>(Table134[[#This Row],[Last_Day]]-Table134[[#This Row],[First_Day]]+1)/365</f>
        <v>1.3753424657534246</v>
      </c>
      <c r="J208" s="59">
        <f>Table134[[#This Row],[number_of_purchases]]/Table134[[#This Row],[customer_total_years]]</f>
        <v>3.6354581673306776</v>
      </c>
      <c r="K208" s="13">
        <f>Table134[[#This Row],[purchase_history]]/Table134[[#This Row],[number_of_purchases]]</f>
        <v>6660.88</v>
      </c>
      <c r="L208" s="2">
        <f>IF(YEAR(Table134[[#This Row],[Last_Day]])=2021,5,IF(YEAR(Table134[[#This Row],[Last_Day]])=2022,7,IF(YEAR(Table134[[#This Row],[Last_Day]])=2023,10,"Không xác định")))</f>
        <v>10</v>
      </c>
      <c r="M208" s="15">
        <f>Table134[[#This Row],[avg_number_of_purchases]]*Table1345[[#This Row],[avg_purchase_value]]*Table1345[[#This Row],[expected_lifespan]]</f>
        <v>242153.50597609565</v>
      </c>
      <c r="N208" t="s">
        <v>12046</v>
      </c>
    </row>
    <row r="209" spans="1:14" x14ac:dyDescent="0.3">
      <c r="A209" s="2" t="s">
        <v>207</v>
      </c>
      <c r="B209" s="2" t="s">
        <v>12045</v>
      </c>
      <c r="C209" s="2">
        <v>43</v>
      </c>
      <c r="D209" s="2" t="s">
        <v>12041</v>
      </c>
      <c r="E209" s="2">
        <f>COUNTIF(Table16[customer_id],Table13[[#This Row],[customer_id]])</f>
        <v>4</v>
      </c>
      <c r="F209" s="13">
        <f>SUMIFS(Table16[Purchase_history],Table16[customer_id],Table13[[#This Row],[customer_id]])</f>
        <v>22284.75</v>
      </c>
      <c r="G209" s="20">
        <v>44301</v>
      </c>
      <c r="H209" s="21">
        <v>44957</v>
      </c>
      <c r="I209" s="15">
        <f>(Table134[[#This Row],[Last_Day]]-Table134[[#This Row],[First_Day]]+1)/365</f>
        <v>1.8</v>
      </c>
      <c r="J209" s="59">
        <f>Table134[[#This Row],[number_of_purchases]]/Table134[[#This Row],[customer_total_years]]</f>
        <v>2.2222222222222223</v>
      </c>
      <c r="K209" s="13">
        <f>Table134[[#This Row],[purchase_history]]/Table134[[#This Row],[number_of_purchases]]</f>
        <v>5571.1875</v>
      </c>
      <c r="L209" s="2">
        <f>IF(YEAR(Table134[[#This Row],[Last_Day]])=2021,5,IF(YEAR(Table134[[#This Row],[Last_Day]])=2022,7,IF(YEAR(Table134[[#This Row],[Last_Day]])=2023,10,"Không xác định")))</f>
        <v>10</v>
      </c>
      <c r="M209" s="15">
        <f>Table134[[#This Row],[avg_number_of_purchases]]*Table1345[[#This Row],[avg_purchase_value]]*Table1345[[#This Row],[expected_lifespan]]</f>
        <v>123804.16666666669</v>
      </c>
      <c r="N209" t="s">
        <v>12047</v>
      </c>
    </row>
    <row r="210" spans="1:14" x14ac:dyDescent="0.3">
      <c r="A210" s="2" t="s">
        <v>208</v>
      </c>
      <c r="B210" s="2" t="s">
        <v>12040</v>
      </c>
      <c r="C210" s="2">
        <v>31</v>
      </c>
      <c r="D210" s="2" t="s">
        <v>12049</v>
      </c>
      <c r="E210" s="2">
        <f>COUNTIF(Table16[customer_id],Table13[[#This Row],[customer_id]])</f>
        <v>4</v>
      </c>
      <c r="F210" s="13">
        <f>SUMIFS(Table16[Purchase_history],Table16[customer_id],Table13[[#This Row],[customer_id]])</f>
        <v>2973.05</v>
      </c>
      <c r="G210" s="20">
        <v>44710</v>
      </c>
      <c r="H210" s="21">
        <v>44938</v>
      </c>
      <c r="I210" s="15">
        <f>(Table134[[#This Row],[Last_Day]]-Table134[[#This Row],[First_Day]]+1)/365</f>
        <v>0.62739726027397258</v>
      </c>
      <c r="J210" s="59">
        <f>Table134[[#This Row],[number_of_purchases]]/Table134[[#This Row],[customer_total_years]]</f>
        <v>6.3755458515283845</v>
      </c>
      <c r="K210" s="13">
        <f>Table134[[#This Row],[purchase_history]]/Table134[[#This Row],[number_of_purchases]]</f>
        <v>743.26250000000005</v>
      </c>
      <c r="L210" s="2">
        <f>IF(YEAR(Table134[[#This Row],[Last_Day]])=2021,5,IF(YEAR(Table134[[#This Row],[Last_Day]])=2022,7,IF(YEAR(Table134[[#This Row],[Last_Day]])=2023,10,"Không xác định")))</f>
        <v>10</v>
      </c>
      <c r="M210" s="15">
        <f>Table134[[#This Row],[avg_number_of_purchases]]*Table1345[[#This Row],[avg_purchase_value]]*Table1345[[#This Row],[expected_lifespan]]</f>
        <v>47387.041484716166</v>
      </c>
      <c r="N210" t="s">
        <v>12048</v>
      </c>
    </row>
    <row r="211" spans="1:14" x14ac:dyDescent="0.3">
      <c r="A211" s="2" t="s">
        <v>209</v>
      </c>
      <c r="B211" s="2" t="s">
        <v>12040</v>
      </c>
      <c r="C211" s="2">
        <v>68</v>
      </c>
      <c r="D211" s="2" t="s">
        <v>12041</v>
      </c>
      <c r="E211" s="2">
        <f>COUNTIF(Table16[customer_id],Table13[[#This Row],[customer_id]])</f>
        <v>5</v>
      </c>
      <c r="F211" s="13">
        <f>SUMIFS(Table16[Purchase_history],Table16[customer_id],Table13[[#This Row],[customer_id]])</f>
        <v>17588.36</v>
      </c>
      <c r="G211" s="20">
        <v>44214</v>
      </c>
      <c r="H211" s="21">
        <v>44806</v>
      </c>
      <c r="I211" s="15">
        <f>(Table134[[#This Row],[Last_Day]]-Table134[[#This Row],[First_Day]]+1)/365</f>
        <v>1.6246575342465754</v>
      </c>
      <c r="J211" s="59">
        <f>Table134[[#This Row],[number_of_purchases]]/Table134[[#This Row],[customer_total_years]]</f>
        <v>3.0775716694772344</v>
      </c>
      <c r="K211" s="13">
        <f>Table134[[#This Row],[purchase_history]]/Table134[[#This Row],[number_of_purchases]]</f>
        <v>3517.672</v>
      </c>
      <c r="L211" s="2">
        <f>IF(YEAR(Table134[[#This Row],[Last_Day]])=2021,5,IF(YEAR(Table134[[#This Row],[Last_Day]])=2022,7,IF(YEAR(Table134[[#This Row],[Last_Day]])=2023,10,"Không xác định")))</f>
        <v>7</v>
      </c>
      <c r="M211" s="15">
        <f>Table134[[#This Row],[avg_number_of_purchases]]*Table1345[[#This Row],[avg_purchase_value]]*Table1345[[#This Row],[expected_lifespan]]</f>
        <v>75781.213827993255</v>
      </c>
      <c r="N211" t="s">
        <v>12044</v>
      </c>
    </row>
    <row r="212" spans="1:14" x14ac:dyDescent="0.3">
      <c r="A212" s="2" t="s">
        <v>210</v>
      </c>
      <c r="B212" s="2" t="s">
        <v>12045</v>
      </c>
      <c r="C212" s="2">
        <v>63</v>
      </c>
      <c r="D212" s="2" t="s">
        <v>12043</v>
      </c>
      <c r="E212" s="2">
        <f>COUNTIF(Table16[customer_id],Table13[[#This Row],[customer_id]])</f>
        <v>4</v>
      </c>
      <c r="F212" s="13">
        <f>SUMIFS(Table16[Purchase_history],Table16[customer_id],Table13[[#This Row],[customer_id]])</f>
        <v>3429.88</v>
      </c>
      <c r="G212" s="20">
        <v>44202</v>
      </c>
      <c r="H212" s="21">
        <v>44930</v>
      </c>
      <c r="I212" s="15">
        <f>(Table134[[#This Row],[Last_Day]]-Table134[[#This Row],[First_Day]]+1)/365</f>
        <v>1.9972602739726026</v>
      </c>
      <c r="J212" s="59">
        <f>Table134[[#This Row],[number_of_purchases]]/Table134[[#This Row],[customer_total_years]]</f>
        <v>2.0027434842249656</v>
      </c>
      <c r="K212" s="13">
        <f>Table134[[#This Row],[purchase_history]]/Table134[[#This Row],[number_of_purchases]]</f>
        <v>857.47</v>
      </c>
      <c r="L212" s="2">
        <f>IF(YEAR(Table134[[#This Row],[Last_Day]])=2021,5,IF(YEAR(Table134[[#This Row],[Last_Day]])=2022,7,IF(YEAR(Table134[[#This Row],[Last_Day]])=2023,10,"Không xác định")))</f>
        <v>10</v>
      </c>
      <c r="M212" s="15">
        <f>Table134[[#This Row],[avg_number_of_purchases]]*Table1345[[#This Row],[avg_purchase_value]]*Table1345[[#This Row],[expected_lifespan]]</f>
        <v>17172.924554183814</v>
      </c>
      <c r="N212" t="s">
        <v>12046</v>
      </c>
    </row>
    <row r="213" spans="1:14" x14ac:dyDescent="0.3">
      <c r="A213" s="2" t="s">
        <v>211</v>
      </c>
      <c r="B213" s="2" t="s">
        <v>12040</v>
      </c>
      <c r="C213" s="2">
        <v>69</v>
      </c>
      <c r="D213" s="2" t="s">
        <v>12041</v>
      </c>
      <c r="E213" s="2">
        <f>COUNTIF(Table16[customer_id],Table13[[#This Row],[customer_id]])</f>
        <v>6</v>
      </c>
      <c r="F213" s="13">
        <f>SUMIFS(Table16[Purchase_history],Table16[customer_id],Table13[[#This Row],[customer_id]])</f>
        <v>2952.8199999999997</v>
      </c>
      <c r="G213" s="20">
        <v>44413</v>
      </c>
      <c r="H213" s="21">
        <v>44823</v>
      </c>
      <c r="I213" s="15">
        <f>(Table134[[#This Row],[Last_Day]]-Table134[[#This Row],[First_Day]]+1)/365</f>
        <v>1.1260273972602739</v>
      </c>
      <c r="J213" s="59">
        <f>Table134[[#This Row],[number_of_purchases]]/Table134[[#This Row],[customer_total_years]]</f>
        <v>5.3284671532846719</v>
      </c>
      <c r="K213" s="13">
        <f>Table134[[#This Row],[purchase_history]]/Table134[[#This Row],[number_of_purchases]]</f>
        <v>492.1366666666666</v>
      </c>
      <c r="L213" s="2">
        <f>IF(YEAR(Table134[[#This Row],[Last_Day]])=2021,5,IF(YEAR(Table134[[#This Row],[Last_Day]])=2022,7,IF(YEAR(Table134[[#This Row],[Last_Day]])=2023,10,"Không xác định")))</f>
        <v>7</v>
      </c>
      <c r="M213" s="15">
        <f>Table134[[#This Row],[avg_number_of_purchases]]*Table1345[[#This Row],[avg_purchase_value]]*Table1345[[#This Row],[expected_lifespan]]</f>
        <v>18356.338442822384</v>
      </c>
      <c r="N213" t="s">
        <v>12042</v>
      </c>
    </row>
    <row r="214" spans="1:14" x14ac:dyDescent="0.3">
      <c r="A214" s="2" t="s">
        <v>212</v>
      </c>
      <c r="B214" s="2" t="s">
        <v>12040</v>
      </c>
      <c r="C214" s="2">
        <v>39</v>
      </c>
      <c r="D214" s="2" t="s">
        <v>12049</v>
      </c>
      <c r="E214" s="2">
        <f>COUNTIF(Table16[customer_id],Table13[[#This Row],[customer_id]])</f>
        <v>5</v>
      </c>
      <c r="F214" s="13">
        <f>SUMIFS(Table16[Purchase_history],Table16[customer_id],Table13[[#This Row],[customer_id]])</f>
        <v>40947.910000000003</v>
      </c>
      <c r="G214" s="20">
        <v>44296</v>
      </c>
      <c r="H214" s="21">
        <v>44636</v>
      </c>
      <c r="I214" s="15">
        <f>(Table134[[#This Row],[Last_Day]]-Table134[[#This Row],[First_Day]]+1)/365</f>
        <v>0.9342465753424658</v>
      </c>
      <c r="J214" s="59">
        <f>Table134[[#This Row],[number_of_purchases]]/Table134[[#This Row],[customer_total_years]]</f>
        <v>5.3519061583577709</v>
      </c>
      <c r="K214" s="13">
        <f>Table134[[#This Row],[purchase_history]]/Table134[[#This Row],[number_of_purchases]]</f>
        <v>8189.5820000000003</v>
      </c>
      <c r="L214" s="2">
        <f>IF(YEAR(Table134[[#This Row],[Last_Day]])=2021,5,IF(YEAR(Table134[[#This Row],[Last_Day]])=2022,7,IF(YEAR(Table134[[#This Row],[Last_Day]])=2023,10,"Không xác định")))</f>
        <v>7</v>
      </c>
      <c r="M214" s="15">
        <f>Table134[[#This Row],[avg_number_of_purchases]]*Table1345[[#This Row],[avg_purchase_value]]*Table1345[[#This Row],[expected_lifespan]]</f>
        <v>306809.12038123165</v>
      </c>
      <c r="N214" t="s">
        <v>12042</v>
      </c>
    </row>
    <row r="215" spans="1:14" x14ac:dyDescent="0.3">
      <c r="A215" s="2" t="s">
        <v>213</v>
      </c>
      <c r="B215" s="2" t="s">
        <v>12045</v>
      </c>
      <c r="C215" s="2">
        <v>35</v>
      </c>
      <c r="D215" s="2" t="s">
        <v>12043</v>
      </c>
      <c r="E215" s="2">
        <f>COUNTIF(Table16[customer_id],Table13[[#This Row],[customer_id]])</f>
        <v>8</v>
      </c>
      <c r="F215" s="13">
        <f>SUMIFS(Table16[Purchase_history],Table16[customer_id],Table13[[#This Row],[customer_id]])</f>
        <v>3375.85</v>
      </c>
      <c r="G215" s="20">
        <v>44351</v>
      </c>
      <c r="H215" s="21">
        <v>44861</v>
      </c>
      <c r="I215" s="15">
        <f>(Table134[[#This Row],[Last_Day]]-Table134[[#This Row],[First_Day]]+1)/365</f>
        <v>1.4</v>
      </c>
      <c r="J215" s="59">
        <f>Table134[[#This Row],[number_of_purchases]]/Table134[[#This Row],[customer_total_years]]</f>
        <v>5.7142857142857144</v>
      </c>
      <c r="K215" s="13">
        <f>Table134[[#This Row],[purchase_history]]/Table134[[#This Row],[number_of_purchases]]</f>
        <v>421.98124999999999</v>
      </c>
      <c r="L215" s="2">
        <f>IF(YEAR(Table134[[#This Row],[Last_Day]])=2021,5,IF(YEAR(Table134[[#This Row],[Last_Day]])=2022,7,IF(YEAR(Table134[[#This Row],[Last_Day]])=2023,10,"Không xác định")))</f>
        <v>7</v>
      </c>
      <c r="M215" s="15">
        <f>Table134[[#This Row],[avg_number_of_purchases]]*Table1345[[#This Row],[avg_purchase_value]]*Table1345[[#This Row],[expected_lifespan]]</f>
        <v>16879.25</v>
      </c>
      <c r="N215" t="s">
        <v>12044</v>
      </c>
    </row>
    <row r="216" spans="1:14" x14ac:dyDescent="0.3">
      <c r="A216" s="2" t="s">
        <v>214</v>
      </c>
      <c r="B216" s="2" t="s">
        <v>12045</v>
      </c>
      <c r="C216" s="2">
        <v>44</v>
      </c>
      <c r="D216" s="2" t="s">
        <v>12043</v>
      </c>
      <c r="E216" s="2">
        <f>COUNTIF(Table16[customer_id],Table13[[#This Row],[customer_id]])</f>
        <v>6</v>
      </c>
      <c r="F216" s="13">
        <f>SUMIFS(Table16[Purchase_history],Table16[customer_id],Table13[[#This Row],[customer_id]])</f>
        <v>12691.17</v>
      </c>
      <c r="G216" s="20">
        <v>44545</v>
      </c>
      <c r="H216" s="21">
        <v>44864</v>
      </c>
      <c r="I216" s="15">
        <f>(Table134[[#This Row],[Last_Day]]-Table134[[#This Row],[First_Day]]+1)/365</f>
        <v>0.87671232876712324</v>
      </c>
      <c r="J216" s="59">
        <f>Table134[[#This Row],[number_of_purchases]]/Table134[[#This Row],[customer_total_years]]</f>
        <v>6.84375</v>
      </c>
      <c r="K216" s="13">
        <f>Table134[[#This Row],[purchase_history]]/Table134[[#This Row],[number_of_purchases]]</f>
        <v>2115.1950000000002</v>
      </c>
      <c r="L216" s="2">
        <f>IF(YEAR(Table134[[#This Row],[Last_Day]])=2021,5,IF(YEAR(Table134[[#This Row],[Last_Day]])=2022,7,IF(YEAR(Table134[[#This Row],[Last_Day]])=2023,10,"Không xác định")))</f>
        <v>7</v>
      </c>
      <c r="M216" s="15">
        <f>Table134[[#This Row],[avg_number_of_purchases]]*Table1345[[#This Row],[avg_purchase_value]]*Table1345[[#This Row],[expected_lifespan]]</f>
        <v>101331.06046875</v>
      </c>
      <c r="N216" t="s">
        <v>12044</v>
      </c>
    </row>
    <row r="217" spans="1:14" x14ac:dyDescent="0.3">
      <c r="A217" s="2" t="s">
        <v>215</v>
      </c>
      <c r="B217" s="2" t="s">
        <v>12045</v>
      </c>
      <c r="C217" s="2">
        <v>32</v>
      </c>
      <c r="D217" s="2" t="s">
        <v>12041</v>
      </c>
      <c r="E217" s="2">
        <f>COUNTIF(Table16[customer_id],Table13[[#This Row],[customer_id]])</f>
        <v>4</v>
      </c>
      <c r="F217" s="13">
        <f>SUMIFS(Table16[Purchase_history],Table16[customer_id],Table13[[#This Row],[customer_id]])</f>
        <v>8864.9600000000009</v>
      </c>
      <c r="G217" s="20">
        <v>44291</v>
      </c>
      <c r="H217" s="21">
        <v>44808</v>
      </c>
      <c r="I217" s="15">
        <f>(Table134[[#This Row],[Last_Day]]-Table134[[#This Row],[First_Day]]+1)/365</f>
        <v>1.4191780821917808</v>
      </c>
      <c r="J217" s="59">
        <f>Table134[[#This Row],[number_of_purchases]]/Table134[[#This Row],[customer_total_years]]</f>
        <v>2.8185328185328187</v>
      </c>
      <c r="K217" s="13">
        <f>Table134[[#This Row],[purchase_history]]/Table134[[#This Row],[number_of_purchases]]</f>
        <v>2216.2400000000002</v>
      </c>
      <c r="L217" s="2">
        <f>IF(YEAR(Table134[[#This Row],[Last_Day]])=2021,5,IF(YEAR(Table134[[#This Row],[Last_Day]])=2022,7,IF(YEAR(Table134[[#This Row],[Last_Day]])=2023,10,"Không xác định")))</f>
        <v>7</v>
      </c>
      <c r="M217" s="15">
        <f>Table134[[#This Row],[avg_number_of_purchases]]*Table1345[[#This Row],[avg_purchase_value]]*Table1345[[#This Row],[expected_lifespan]]</f>
        <v>43725.816216216226</v>
      </c>
      <c r="N217" t="s">
        <v>12047</v>
      </c>
    </row>
    <row r="218" spans="1:14" x14ac:dyDescent="0.3">
      <c r="A218" s="2" t="s">
        <v>216</v>
      </c>
      <c r="B218" s="2" t="s">
        <v>12040</v>
      </c>
      <c r="C218" s="2">
        <v>59</v>
      </c>
      <c r="D218" s="2" t="s">
        <v>12041</v>
      </c>
      <c r="E218" s="2">
        <f>COUNTIF(Table16[customer_id],Table13[[#This Row],[customer_id]])</f>
        <v>7</v>
      </c>
      <c r="F218" s="13">
        <f>SUMIFS(Table16[Purchase_history],Table16[customer_id],Table13[[#This Row],[customer_id]])</f>
        <v>11326.609999999999</v>
      </c>
      <c r="G218" s="20">
        <v>44344</v>
      </c>
      <c r="H218" s="21">
        <v>44940</v>
      </c>
      <c r="I218" s="15">
        <f>(Table134[[#This Row],[Last_Day]]-Table134[[#This Row],[First_Day]]+1)/365</f>
        <v>1.6356164383561644</v>
      </c>
      <c r="J218" s="59">
        <f>Table134[[#This Row],[number_of_purchases]]/Table134[[#This Row],[customer_total_years]]</f>
        <v>4.2797319932998326</v>
      </c>
      <c r="K218" s="13">
        <f>Table134[[#This Row],[purchase_history]]/Table134[[#This Row],[number_of_purchases]]</f>
        <v>1618.0871428571427</v>
      </c>
      <c r="L218" s="2">
        <f>IF(YEAR(Table134[[#This Row],[Last_Day]])=2021,5,IF(YEAR(Table134[[#This Row],[Last_Day]])=2022,7,IF(YEAR(Table134[[#This Row],[Last_Day]])=2023,10,"Không xác định")))</f>
        <v>10</v>
      </c>
      <c r="M218" s="15">
        <f>Table134[[#This Row],[avg_number_of_purchases]]*Table1345[[#This Row],[avg_purchase_value]]*Table1345[[#This Row],[expected_lifespan]]</f>
        <v>69249.793132328312</v>
      </c>
      <c r="N218" t="s">
        <v>12048</v>
      </c>
    </row>
    <row r="219" spans="1:14" x14ac:dyDescent="0.3">
      <c r="A219" s="2" t="s">
        <v>217</v>
      </c>
      <c r="B219" s="2" t="s">
        <v>12040</v>
      </c>
      <c r="C219" s="2">
        <v>19</v>
      </c>
      <c r="D219" s="2" t="s">
        <v>12049</v>
      </c>
      <c r="E219" s="2">
        <f>COUNTIF(Table16[customer_id],Table13[[#This Row],[customer_id]])</f>
        <v>8</v>
      </c>
      <c r="F219" s="13">
        <f>SUMIFS(Table16[Purchase_history],Table16[customer_id],Table13[[#This Row],[customer_id]])</f>
        <v>17814.690000000002</v>
      </c>
      <c r="G219" s="20">
        <v>44199</v>
      </c>
      <c r="H219" s="21">
        <v>44819</v>
      </c>
      <c r="I219" s="15">
        <f>(Table134[[#This Row],[Last_Day]]-Table134[[#This Row],[First_Day]]+1)/365</f>
        <v>1.7013698630136986</v>
      </c>
      <c r="J219" s="59">
        <f>Table134[[#This Row],[number_of_purchases]]/Table134[[#This Row],[customer_total_years]]</f>
        <v>4.7020933977455712</v>
      </c>
      <c r="K219" s="13">
        <f>Table134[[#This Row],[purchase_history]]/Table134[[#This Row],[number_of_purchases]]</f>
        <v>2226.8362500000003</v>
      </c>
      <c r="L219" s="2">
        <f>IF(YEAR(Table134[[#This Row],[Last_Day]])=2021,5,IF(YEAR(Table134[[#This Row],[Last_Day]])=2022,7,IF(YEAR(Table134[[#This Row],[Last_Day]])=2023,10,"Không xác định")))</f>
        <v>7</v>
      </c>
      <c r="M219" s="15">
        <f>Table134[[#This Row],[avg_number_of_purchases]]*Table1345[[#This Row],[avg_purchase_value]]*Table1345[[#This Row],[expected_lifespan]]</f>
        <v>73295.544202898556</v>
      </c>
      <c r="N219" t="s">
        <v>12048</v>
      </c>
    </row>
    <row r="220" spans="1:14" x14ac:dyDescent="0.3">
      <c r="A220" s="2" t="s">
        <v>218</v>
      </c>
      <c r="B220" s="2" t="s">
        <v>12040</v>
      </c>
      <c r="C220" s="2">
        <v>62</v>
      </c>
      <c r="D220" s="2" t="s">
        <v>12043</v>
      </c>
      <c r="E220" s="2">
        <f>COUNTIF(Table16[customer_id],Table13[[#This Row],[customer_id]])</f>
        <v>6</v>
      </c>
      <c r="F220" s="13">
        <f>SUMIFS(Table16[Purchase_history],Table16[customer_id],Table13[[#This Row],[customer_id]])</f>
        <v>12065.920000000002</v>
      </c>
      <c r="G220" s="20">
        <v>44386</v>
      </c>
      <c r="H220" s="21">
        <v>44910</v>
      </c>
      <c r="I220" s="15">
        <f>(Table134[[#This Row],[Last_Day]]-Table134[[#This Row],[First_Day]]+1)/365</f>
        <v>1.4383561643835616</v>
      </c>
      <c r="J220" s="59">
        <f>Table134[[#This Row],[number_of_purchases]]/Table134[[#This Row],[customer_total_years]]</f>
        <v>4.1714285714285717</v>
      </c>
      <c r="K220" s="13">
        <f>Table134[[#This Row],[purchase_history]]/Table134[[#This Row],[number_of_purchases]]</f>
        <v>2010.9866666666669</v>
      </c>
      <c r="L220" s="2">
        <f>IF(YEAR(Table134[[#This Row],[Last_Day]])=2021,5,IF(YEAR(Table134[[#This Row],[Last_Day]])=2022,7,IF(YEAR(Table134[[#This Row],[Last_Day]])=2023,10,"Không xác định")))</f>
        <v>7</v>
      </c>
      <c r="M220" s="15">
        <f>Table134[[#This Row],[avg_number_of_purchases]]*Table1345[[#This Row],[avg_purchase_value]]*Table1345[[#This Row],[expected_lifespan]]</f>
        <v>58720.810666666672</v>
      </c>
      <c r="N220" t="s">
        <v>12048</v>
      </c>
    </row>
    <row r="221" spans="1:14" x14ac:dyDescent="0.3">
      <c r="A221" s="2" t="s">
        <v>219</v>
      </c>
      <c r="B221" s="2" t="s">
        <v>12040</v>
      </c>
      <c r="C221" s="2">
        <v>25</v>
      </c>
      <c r="D221" s="2" t="s">
        <v>12041</v>
      </c>
      <c r="E221" s="2">
        <f>COUNTIF(Table16[customer_id],Table13[[#This Row],[customer_id]])</f>
        <v>5</v>
      </c>
      <c r="F221" s="13">
        <f>SUMIFS(Table16[Purchase_history],Table16[customer_id],Table13[[#This Row],[customer_id]])</f>
        <v>10412.89</v>
      </c>
      <c r="G221" s="20">
        <v>44391</v>
      </c>
      <c r="H221" s="21">
        <v>44923</v>
      </c>
      <c r="I221" s="15">
        <f>(Table134[[#This Row],[Last_Day]]-Table134[[#This Row],[First_Day]]+1)/365</f>
        <v>1.4602739726027398</v>
      </c>
      <c r="J221" s="59">
        <f>Table134[[#This Row],[number_of_purchases]]/Table134[[#This Row],[customer_total_years]]</f>
        <v>3.424015009380863</v>
      </c>
      <c r="K221" s="13">
        <f>Table134[[#This Row],[purchase_history]]/Table134[[#This Row],[number_of_purchases]]</f>
        <v>2082.578</v>
      </c>
      <c r="L221" s="2">
        <f>IF(YEAR(Table134[[#This Row],[Last_Day]])=2021,5,IF(YEAR(Table134[[#This Row],[Last_Day]])=2022,7,IF(YEAR(Table134[[#This Row],[Last_Day]])=2023,10,"Không xác định")))</f>
        <v>7</v>
      </c>
      <c r="M221" s="15">
        <f>Table134[[#This Row],[avg_number_of_purchases]]*Table1345[[#This Row],[avg_purchase_value]]*Table1345[[#This Row],[expected_lifespan]]</f>
        <v>49915.448311444656</v>
      </c>
      <c r="N221" t="s">
        <v>12046</v>
      </c>
    </row>
    <row r="222" spans="1:14" x14ac:dyDescent="0.3">
      <c r="A222" s="2" t="s">
        <v>220</v>
      </c>
      <c r="B222" s="2" t="s">
        <v>12040</v>
      </c>
      <c r="C222" s="2">
        <v>38</v>
      </c>
      <c r="D222" s="2" t="s">
        <v>12043</v>
      </c>
      <c r="E222" s="2">
        <f>COUNTIF(Table16[customer_id],Table13[[#This Row],[customer_id]])</f>
        <v>4</v>
      </c>
      <c r="F222" s="13">
        <f>SUMIFS(Table16[Purchase_history],Table16[customer_id],Table13[[#This Row],[customer_id]])</f>
        <v>10900.2</v>
      </c>
      <c r="G222" s="20">
        <v>44216</v>
      </c>
      <c r="H222" s="21">
        <v>44882</v>
      </c>
      <c r="I222" s="15">
        <f>(Table134[[#This Row],[Last_Day]]-Table134[[#This Row],[First_Day]]+1)/365</f>
        <v>1.8273972602739725</v>
      </c>
      <c r="J222" s="59">
        <f>Table134[[#This Row],[number_of_purchases]]/Table134[[#This Row],[customer_total_years]]</f>
        <v>2.188905547226387</v>
      </c>
      <c r="K222" s="13">
        <f>Table134[[#This Row],[purchase_history]]/Table134[[#This Row],[number_of_purchases]]</f>
        <v>2725.05</v>
      </c>
      <c r="L222" s="2">
        <f>IF(YEAR(Table134[[#This Row],[Last_Day]])=2021,5,IF(YEAR(Table134[[#This Row],[Last_Day]])=2022,7,IF(YEAR(Table134[[#This Row],[Last_Day]])=2023,10,"Không xác định")))</f>
        <v>7</v>
      </c>
      <c r="M222" s="15">
        <f>Table134[[#This Row],[avg_number_of_purchases]]*Table1345[[#This Row],[avg_purchase_value]]*Table1345[[#This Row],[expected_lifespan]]</f>
        <v>41754.139430284864</v>
      </c>
      <c r="N222" t="s">
        <v>12047</v>
      </c>
    </row>
    <row r="223" spans="1:14" x14ac:dyDescent="0.3">
      <c r="A223" s="2" t="s">
        <v>221</v>
      </c>
      <c r="B223" s="2" t="s">
        <v>12045</v>
      </c>
      <c r="C223" s="2">
        <v>37</v>
      </c>
      <c r="D223" s="2" t="s">
        <v>12041</v>
      </c>
      <c r="E223" s="2">
        <f>COUNTIF(Table16[customer_id],Table13[[#This Row],[customer_id]])</f>
        <v>5</v>
      </c>
      <c r="F223" s="13">
        <f>SUMIFS(Table16[Purchase_history],Table16[customer_id],Table13[[#This Row],[customer_id]])</f>
        <v>5967.5400000000009</v>
      </c>
      <c r="G223" s="20">
        <v>44317</v>
      </c>
      <c r="H223" s="21">
        <v>44929</v>
      </c>
      <c r="I223" s="15">
        <f>(Table134[[#This Row],[Last_Day]]-Table134[[#This Row],[First_Day]]+1)/365</f>
        <v>1.6794520547945206</v>
      </c>
      <c r="J223" s="59">
        <f>Table134[[#This Row],[number_of_purchases]]/Table134[[#This Row],[customer_total_years]]</f>
        <v>2.9771615008156607</v>
      </c>
      <c r="K223" s="13">
        <f>Table134[[#This Row],[purchase_history]]/Table134[[#This Row],[number_of_purchases]]</f>
        <v>1193.5080000000003</v>
      </c>
      <c r="L223" s="2">
        <f>IF(YEAR(Table134[[#This Row],[Last_Day]])=2021,5,IF(YEAR(Table134[[#This Row],[Last_Day]])=2022,7,IF(YEAR(Table134[[#This Row],[Last_Day]])=2023,10,"Không xác định")))</f>
        <v>10</v>
      </c>
      <c r="M223" s="15">
        <f>Table134[[#This Row],[avg_number_of_purchases]]*Table1345[[#This Row],[avg_purchase_value]]*Table1345[[#This Row],[expected_lifespan]]</f>
        <v>35532.66068515498</v>
      </c>
      <c r="N223" t="s">
        <v>12047</v>
      </c>
    </row>
    <row r="224" spans="1:14" x14ac:dyDescent="0.3">
      <c r="A224" s="2" t="s">
        <v>222</v>
      </c>
      <c r="B224" s="2" t="s">
        <v>12040</v>
      </c>
      <c r="C224" s="2">
        <v>63</v>
      </c>
      <c r="D224" s="2" t="s">
        <v>12043</v>
      </c>
      <c r="E224" s="2">
        <f>COUNTIF(Table16[customer_id],Table13[[#This Row],[customer_id]])</f>
        <v>4</v>
      </c>
      <c r="F224" s="13">
        <f>SUMIFS(Table16[Purchase_history],Table16[customer_id],Table13[[#This Row],[customer_id]])</f>
        <v>8656.6</v>
      </c>
      <c r="G224" s="20">
        <v>44396</v>
      </c>
      <c r="H224" s="21">
        <v>44938</v>
      </c>
      <c r="I224" s="15">
        <f>(Table134[[#This Row],[Last_Day]]-Table134[[#This Row],[First_Day]]+1)/365</f>
        <v>1.4876712328767123</v>
      </c>
      <c r="J224" s="59">
        <f>Table134[[#This Row],[number_of_purchases]]/Table134[[#This Row],[customer_total_years]]</f>
        <v>2.6887661141804786</v>
      </c>
      <c r="K224" s="13">
        <f>Table134[[#This Row],[purchase_history]]/Table134[[#This Row],[number_of_purchases]]</f>
        <v>2164.15</v>
      </c>
      <c r="L224" s="2">
        <f>IF(YEAR(Table134[[#This Row],[Last_Day]])=2021,5,IF(YEAR(Table134[[#This Row],[Last_Day]])=2022,7,IF(YEAR(Table134[[#This Row],[Last_Day]])=2023,10,"Không xác định")))</f>
        <v>10</v>
      </c>
      <c r="M224" s="15">
        <f>Table134[[#This Row],[avg_number_of_purchases]]*Table1345[[#This Row],[avg_purchase_value]]*Table1345[[#This Row],[expected_lifespan]]</f>
        <v>58188.931860036828</v>
      </c>
      <c r="N224" t="s">
        <v>12046</v>
      </c>
    </row>
    <row r="225" spans="1:14" x14ac:dyDescent="0.3">
      <c r="A225" s="2" t="s">
        <v>223</v>
      </c>
      <c r="B225" s="2" t="s">
        <v>12040</v>
      </c>
      <c r="C225" s="2">
        <v>45</v>
      </c>
      <c r="D225" s="2" t="s">
        <v>12049</v>
      </c>
      <c r="E225" s="2">
        <f>COUNTIF(Table16[customer_id],Table13[[#This Row],[customer_id]])</f>
        <v>6</v>
      </c>
      <c r="F225" s="13">
        <f>SUMIFS(Table16[Purchase_history],Table16[customer_id],Table13[[#This Row],[customer_id]])</f>
        <v>11425.5</v>
      </c>
      <c r="G225" s="20">
        <v>44267</v>
      </c>
      <c r="H225" s="21">
        <v>44952</v>
      </c>
      <c r="I225" s="15">
        <f>(Table134[[#This Row],[Last_Day]]-Table134[[#This Row],[First_Day]]+1)/365</f>
        <v>1.8794520547945206</v>
      </c>
      <c r="J225" s="59">
        <f>Table134[[#This Row],[number_of_purchases]]/Table134[[#This Row],[customer_total_years]]</f>
        <v>3.1924198250728861</v>
      </c>
      <c r="K225" s="13">
        <f>Table134[[#This Row],[purchase_history]]/Table134[[#This Row],[number_of_purchases]]</f>
        <v>1904.25</v>
      </c>
      <c r="L225" s="2">
        <f>IF(YEAR(Table134[[#This Row],[Last_Day]])=2021,5,IF(YEAR(Table134[[#This Row],[Last_Day]])=2022,7,IF(YEAR(Table134[[#This Row],[Last_Day]])=2023,10,"Không xác định")))</f>
        <v>10</v>
      </c>
      <c r="M225" s="15">
        <f>Table134[[#This Row],[avg_number_of_purchases]]*Table1345[[#This Row],[avg_purchase_value]]*Table1345[[#This Row],[expected_lifespan]]</f>
        <v>60791.65451895044</v>
      </c>
      <c r="N225" t="s">
        <v>12047</v>
      </c>
    </row>
    <row r="226" spans="1:14" x14ac:dyDescent="0.3">
      <c r="A226" s="2" t="s">
        <v>224</v>
      </c>
      <c r="B226" s="2" t="s">
        <v>12040</v>
      </c>
      <c r="C226" s="2">
        <v>69</v>
      </c>
      <c r="D226" s="2" t="s">
        <v>12043</v>
      </c>
      <c r="E226" s="2">
        <f>COUNTIF(Table16[customer_id],Table13[[#This Row],[customer_id]])</f>
        <v>4</v>
      </c>
      <c r="F226" s="13">
        <f>SUMIFS(Table16[Purchase_history],Table16[customer_id],Table13[[#This Row],[customer_id]])</f>
        <v>18498.559999999998</v>
      </c>
      <c r="G226" s="20">
        <v>44272</v>
      </c>
      <c r="H226" s="21">
        <v>44912</v>
      </c>
      <c r="I226" s="15">
        <f>(Table134[[#This Row],[Last_Day]]-Table134[[#This Row],[First_Day]]+1)/365</f>
        <v>1.7561643835616438</v>
      </c>
      <c r="J226" s="59">
        <f>Table134[[#This Row],[number_of_purchases]]/Table134[[#This Row],[customer_total_years]]</f>
        <v>2.2776911076443058</v>
      </c>
      <c r="K226" s="13">
        <f>Table134[[#This Row],[purchase_history]]/Table134[[#This Row],[number_of_purchases]]</f>
        <v>4624.6399999999994</v>
      </c>
      <c r="L226" s="2">
        <f>IF(YEAR(Table134[[#This Row],[Last_Day]])=2021,5,IF(YEAR(Table134[[#This Row],[Last_Day]])=2022,7,IF(YEAR(Table134[[#This Row],[Last_Day]])=2023,10,"Không xác định")))</f>
        <v>7</v>
      </c>
      <c r="M226" s="15">
        <f>Table134[[#This Row],[avg_number_of_purchases]]*Table1345[[#This Row],[avg_purchase_value]]*Table1345[[#This Row],[expected_lifespan]]</f>
        <v>73734.509828393129</v>
      </c>
      <c r="N226" t="s">
        <v>12048</v>
      </c>
    </row>
    <row r="227" spans="1:14" x14ac:dyDescent="0.3">
      <c r="A227" s="2" t="s">
        <v>225</v>
      </c>
      <c r="B227" s="2" t="s">
        <v>12040</v>
      </c>
      <c r="C227" s="2">
        <v>48</v>
      </c>
      <c r="D227" s="2" t="s">
        <v>12043</v>
      </c>
      <c r="E227" s="2">
        <f>COUNTIF(Table16[customer_id],Table13[[#This Row],[customer_id]])</f>
        <v>6</v>
      </c>
      <c r="F227" s="13">
        <f>SUMIFS(Table16[Purchase_history],Table16[customer_id],Table13[[#This Row],[customer_id]])</f>
        <v>14693.449999999999</v>
      </c>
      <c r="G227" s="20">
        <v>44320</v>
      </c>
      <c r="H227" s="21">
        <v>44746</v>
      </c>
      <c r="I227" s="15">
        <f>(Table134[[#This Row],[Last_Day]]-Table134[[#This Row],[First_Day]]+1)/365</f>
        <v>1.1698630136986301</v>
      </c>
      <c r="J227" s="59">
        <f>Table134[[#This Row],[number_of_purchases]]/Table134[[#This Row],[customer_total_years]]</f>
        <v>5.1288056206088992</v>
      </c>
      <c r="K227" s="13">
        <f>Table134[[#This Row],[purchase_history]]/Table134[[#This Row],[number_of_purchases]]</f>
        <v>2448.9083333333333</v>
      </c>
      <c r="L227" s="2">
        <f>IF(YEAR(Table134[[#This Row],[Last_Day]])=2021,5,IF(YEAR(Table134[[#This Row],[Last_Day]])=2022,7,IF(YEAR(Table134[[#This Row],[Last_Day]])=2023,10,"Không xác định")))</f>
        <v>7</v>
      </c>
      <c r="M227" s="15">
        <f>Table134[[#This Row],[avg_number_of_purchases]]*Table1345[[#This Row],[avg_purchase_value]]*Table1345[[#This Row],[expected_lifespan]]</f>
        <v>87919.823770491799</v>
      </c>
      <c r="N227" t="s">
        <v>12042</v>
      </c>
    </row>
    <row r="228" spans="1:14" x14ac:dyDescent="0.3">
      <c r="A228" s="2" t="s">
        <v>226</v>
      </c>
      <c r="B228" s="2" t="s">
        <v>12040</v>
      </c>
      <c r="C228" s="2">
        <v>69</v>
      </c>
      <c r="D228" s="2" t="s">
        <v>12041</v>
      </c>
      <c r="E228" s="2">
        <f>COUNTIF(Table16[customer_id],Table13[[#This Row],[customer_id]])</f>
        <v>4</v>
      </c>
      <c r="F228" s="13">
        <f>SUMIFS(Table16[Purchase_history],Table16[customer_id],Table13[[#This Row],[customer_id]])</f>
        <v>2529.69</v>
      </c>
      <c r="G228" s="20">
        <v>44495</v>
      </c>
      <c r="H228" s="21">
        <v>44955</v>
      </c>
      <c r="I228" s="15">
        <f>(Table134[[#This Row],[Last_Day]]-Table134[[#This Row],[First_Day]]+1)/365</f>
        <v>1.263013698630137</v>
      </c>
      <c r="J228" s="59">
        <f>Table134[[#This Row],[number_of_purchases]]/Table134[[#This Row],[customer_total_years]]</f>
        <v>3.1670281995661607</v>
      </c>
      <c r="K228" s="13">
        <f>Table134[[#This Row],[purchase_history]]/Table134[[#This Row],[number_of_purchases]]</f>
        <v>632.42250000000001</v>
      </c>
      <c r="L228" s="2">
        <f>IF(YEAR(Table134[[#This Row],[Last_Day]])=2021,5,IF(YEAR(Table134[[#This Row],[Last_Day]])=2022,7,IF(YEAR(Table134[[#This Row],[Last_Day]])=2023,10,"Không xác định")))</f>
        <v>10</v>
      </c>
      <c r="M228" s="15">
        <f>Table134[[#This Row],[avg_number_of_purchases]]*Table1345[[#This Row],[avg_purchase_value]]*Table1345[[#This Row],[expected_lifespan]]</f>
        <v>20028.998915401302</v>
      </c>
      <c r="N228" t="s">
        <v>12047</v>
      </c>
    </row>
    <row r="229" spans="1:14" x14ac:dyDescent="0.3">
      <c r="A229" s="2" t="s">
        <v>227</v>
      </c>
      <c r="B229" s="2" t="s">
        <v>12045</v>
      </c>
      <c r="C229" s="2">
        <v>33</v>
      </c>
      <c r="D229" s="2" t="s">
        <v>12041</v>
      </c>
      <c r="E229" s="2">
        <f>COUNTIF(Table16[customer_id],Table13[[#This Row],[customer_id]])</f>
        <v>6</v>
      </c>
      <c r="F229" s="13">
        <f>SUMIFS(Table16[Purchase_history],Table16[customer_id],Table13[[#This Row],[customer_id]])</f>
        <v>10711.580000000002</v>
      </c>
      <c r="G229" s="20">
        <v>44348</v>
      </c>
      <c r="H229" s="21">
        <v>44974</v>
      </c>
      <c r="I229" s="15">
        <f>(Table134[[#This Row],[Last_Day]]-Table134[[#This Row],[First_Day]]+1)/365</f>
        <v>1.7178082191780821</v>
      </c>
      <c r="J229" s="59">
        <f>Table134[[#This Row],[number_of_purchases]]/Table134[[#This Row],[customer_total_years]]</f>
        <v>3.4928229665071773</v>
      </c>
      <c r="K229" s="13">
        <f>Table134[[#This Row],[purchase_history]]/Table134[[#This Row],[number_of_purchases]]</f>
        <v>1785.2633333333335</v>
      </c>
      <c r="L229" s="2">
        <f>IF(YEAR(Table134[[#This Row],[Last_Day]])=2021,5,IF(YEAR(Table134[[#This Row],[Last_Day]])=2022,7,IF(YEAR(Table134[[#This Row],[Last_Day]])=2023,10,"Không xác định")))</f>
        <v>10</v>
      </c>
      <c r="M229" s="15">
        <f>Table134[[#This Row],[avg_number_of_purchases]]*Table1345[[#This Row],[avg_purchase_value]]*Table1345[[#This Row],[expected_lifespan]]</f>
        <v>62356.087719298259</v>
      </c>
      <c r="N229" t="s">
        <v>12048</v>
      </c>
    </row>
    <row r="230" spans="1:14" x14ac:dyDescent="0.3">
      <c r="A230" s="2" t="s">
        <v>228</v>
      </c>
      <c r="B230" s="2" t="s">
        <v>12040</v>
      </c>
      <c r="C230" s="2">
        <v>40</v>
      </c>
      <c r="D230" s="2" t="s">
        <v>12041</v>
      </c>
      <c r="E230" s="2">
        <f>COUNTIF(Table16[customer_id],Table13[[#This Row],[customer_id]])</f>
        <v>5</v>
      </c>
      <c r="F230" s="13">
        <f>SUMIFS(Table16[Purchase_history],Table16[customer_id],Table13[[#This Row],[customer_id]])</f>
        <v>3978.12</v>
      </c>
      <c r="G230" s="20">
        <v>44341</v>
      </c>
      <c r="H230" s="21">
        <v>44881</v>
      </c>
      <c r="I230" s="15">
        <f>(Table134[[#This Row],[Last_Day]]-Table134[[#This Row],[First_Day]]+1)/365</f>
        <v>1.4821917808219178</v>
      </c>
      <c r="J230" s="59">
        <f>Table134[[#This Row],[number_of_purchases]]/Table134[[#This Row],[customer_total_years]]</f>
        <v>3.3733826247689462</v>
      </c>
      <c r="K230" s="13">
        <f>Table134[[#This Row],[purchase_history]]/Table134[[#This Row],[number_of_purchases]]</f>
        <v>795.62400000000002</v>
      </c>
      <c r="L230" s="2">
        <f>IF(YEAR(Table134[[#This Row],[Last_Day]])=2021,5,IF(YEAR(Table134[[#This Row],[Last_Day]])=2022,7,IF(YEAR(Table134[[#This Row],[Last_Day]])=2023,10,"Không xác định")))</f>
        <v>7</v>
      </c>
      <c r="M230" s="15">
        <f>Table134[[#This Row],[avg_number_of_purchases]]*Table1345[[#This Row],[avg_purchase_value]]*Table1345[[#This Row],[expected_lifespan]]</f>
        <v>18787.609242144179</v>
      </c>
      <c r="N230" t="s">
        <v>12042</v>
      </c>
    </row>
    <row r="231" spans="1:14" x14ac:dyDescent="0.3">
      <c r="A231" s="2" t="s">
        <v>229</v>
      </c>
      <c r="B231" s="2" t="s">
        <v>12045</v>
      </c>
      <c r="C231" s="2">
        <v>46</v>
      </c>
      <c r="D231" s="2" t="s">
        <v>12041</v>
      </c>
      <c r="E231" s="2">
        <f>COUNTIF(Table16[customer_id],Table13[[#This Row],[customer_id]])</f>
        <v>4</v>
      </c>
      <c r="F231" s="13">
        <f>SUMIFS(Table16[Purchase_history],Table16[customer_id],Table13[[#This Row],[customer_id]])</f>
        <v>4385.3600000000006</v>
      </c>
      <c r="G231" s="20">
        <v>44334</v>
      </c>
      <c r="H231" s="21">
        <v>44904</v>
      </c>
      <c r="I231" s="15">
        <f>(Table134[[#This Row],[Last_Day]]-Table134[[#This Row],[First_Day]]+1)/365</f>
        <v>1.5643835616438355</v>
      </c>
      <c r="J231" s="59">
        <f>Table134[[#This Row],[number_of_purchases]]/Table134[[#This Row],[customer_total_years]]</f>
        <v>2.5569176882661999</v>
      </c>
      <c r="K231" s="13">
        <f>Table134[[#This Row],[purchase_history]]/Table134[[#This Row],[number_of_purchases]]</f>
        <v>1096.3400000000001</v>
      </c>
      <c r="L231" s="2">
        <f>IF(YEAR(Table134[[#This Row],[Last_Day]])=2021,5,IF(YEAR(Table134[[#This Row],[Last_Day]])=2022,7,IF(YEAR(Table134[[#This Row],[Last_Day]])=2023,10,"Không xác định")))</f>
        <v>7</v>
      </c>
      <c r="M231" s="15">
        <f>Table134[[#This Row],[avg_number_of_purchases]]*Table1345[[#This Row],[avg_purchase_value]]*Table1345[[#This Row],[expected_lifespan]]</f>
        <v>19622.757968476362</v>
      </c>
      <c r="N231" t="s">
        <v>12047</v>
      </c>
    </row>
    <row r="232" spans="1:14" x14ac:dyDescent="0.3">
      <c r="A232" s="2" t="s">
        <v>230</v>
      </c>
      <c r="B232" s="2" t="s">
        <v>12040</v>
      </c>
      <c r="C232" s="2">
        <v>50</v>
      </c>
      <c r="D232" s="2" t="s">
        <v>12043</v>
      </c>
      <c r="E232" s="2">
        <f>COUNTIF(Table16[customer_id],Table13[[#This Row],[customer_id]])</f>
        <v>5</v>
      </c>
      <c r="F232" s="13">
        <f>SUMIFS(Table16[Purchase_history],Table16[customer_id],Table13[[#This Row],[customer_id]])</f>
        <v>3367.39</v>
      </c>
      <c r="G232" s="20">
        <v>44217</v>
      </c>
      <c r="H232" s="21">
        <v>44932</v>
      </c>
      <c r="I232" s="15">
        <f>(Table134[[#This Row],[Last_Day]]-Table134[[#This Row],[First_Day]]+1)/365</f>
        <v>1.9616438356164383</v>
      </c>
      <c r="J232" s="59">
        <f>Table134[[#This Row],[number_of_purchases]]/Table134[[#This Row],[customer_total_years]]</f>
        <v>2.5488826815642458</v>
      </c>
      <c r="K232" s="13">
        <f>Table134[[#This Row],[purchase_history]]/Table134[[#This Row],[number_of_purchases]]</f>
        <v>673.47799999999995</v>
      </c>
      <c r="L232" s="2">
        <f>IF(YEAR(Table134[[#This Row],[Last_Day]])=2021,5,IF(YEAR(Table134[[#This Row],[Last_Day]])=2022,7,IF(YEAR(Table134[[#This Row],[Last_Day]])=2023,10,"Không xác định")))</f>
        <v>10</v>
      </c>
      <c r="M232" s="15">
        <f>Table134[[#This Row],[avg_number_of_purchases]]*Table1345[[#This Row],[avg_purchase_value]]*Table1345[[#This Row],[expected_lifespan]]</f>
        <v>17166.16410614525</v>
      </c>
      <c r="N232" t="s">
        <v>12042</v>
      </c>
    </row>
    <row r="233" spans="1:14" x14ac:dyDescent="0.3">
      <c r="A233" s="2" t="s">
        <v>231</v>
      </c>
      <c r="B233" s="2" t="s">
        <v>12040</v>
      </c>
      <c r="C233" s="2">
        <v>67</v>
      </c>
      <c r="D233" s="2" t="s">
        <v>12043</v>
      </c>
      <c r="E233" s="2">
        <f>COUNTIF(Table16[customer_id],Table13[[#This Row],[customer_id]])</f>
        <v>6</v>
      </c>
      <c r="F233" s="13">
        <f>SUMIFS(Table16[Purchase_history],Table16[customer_id],Table13[[#This Row],[customer_id]])</f>
        <v>10713.59</v>
      </c>
      <c r="G233" s="20">
        <v>44479</v>
      </c>
      <c r="H233" s="21">
        <v>44981</v>
      </c>
      <c r="I233" s="15">
        <f>(Table134[[#This Row],[Last_Day]]-Table134[[#This Row],[First_Day]]+1)/365</f>
        <v>1.3780821917808219</v>
      </c>
      <c r="J233" s="59">
        <f>Table134[[#This Row],[number_of_purchases]]/Table134[[#This Row],[customer_total_years]]</f>
        <v>4.3538767395626241</v>
      </c>
      <c r="K233" s="13">
        <f>Table134[[#This Row],[purchase_history]]/Table134[[#This Row],[number_of_purchases]]</f>
        <v>1785.5983333333334</v>
      </c>
      <c r="L233" s="2">
        <f>IF(YEAR(Table134[[#This Row],[Last_Day]])=2021,5,IF(YEAR(Table134[[#This Row],[Last_Day]])=2022,7,IF(YEAR(Table134[[#This Row],[Last_Day]])=2023,10,"Không xác định")))</f>
        <v>10</v>
      </c>
      <c r="M233" s="15">
        <f>Table134[[#This Row],[avg_number_of_purchases]]*Table1345[[#This Row],[avg_purchase_value]]*Table1345[[#This Row],[expected_lifespan]]</f>
        <v>77742.750497017885</v>
      </c>
      <c r="N233" t="s">
        <v>12047</v>
      </c>
    </row>
    <row r="234" spans="1:14" x14ac:dyDescent="0.3">
      <c r="A234" s="2" t="s">
        <v>232</v>
      </c>
      <c r="B234" s="2" t="s">
        <v>12040</v>
      </c>
      <c r="C234" s="2">
        <v>65</v>
      </c>
      <c r="D234" s="2" t="s">
        <v>12043</v>
      </c>
      <c r="E234" s="2">
        <f>COUNTIF(Table16[customer_id],Table13[[#This Row],[customer_id]])</f>
        <v>2</v>
      </c>
      <c r="F234" s="13">
        <f>SUMIFS(Table16[Purchase_history],Table16[customer_id],Table13[[#This Row],[customer_id]])</f>
        <v>7502</v>
      </c>
      <c r="G234" s="20">
        <v>44294</v>
      </c>
      <c r="H234" s="21">
        <v>44812</v>
      </c>
      <c r="I234" s="15">
        <f>(Table134[[#This Row],[Last_Day]]-Table134[[#This Row],[First_Day]]+1)/365</f>
        <v>1.4219178082191781</v>
      </c>
      <c r="J234" s="59">
        <f>Table134[[#This Row],[number_of_purchases]]/Table134[[#This Row],[customer_total_years]]</f>
        <v>1.4065510597302504</v>
      </c>
      <c r="K234" s="13">
        <f>Table134[[#This Row],[purchase_history]]/Table134[[#This Row],[number_of_purchases]]</f>
        <v>3751</v>
      </c>
      <c r="L234" s="2">
        <f>IF(YEAR(Table134[[#This Row],[Last_Day]])=2021,5,IF(YEAR(Table134[[#This Row],[Last_Day]])=2022,7,IF(YEAR(Table134[[#This Row],[Last_Day]])=2023,10,"Không xác định")))</f>
        <v>7</v>
      </c>
      <c r="M234" s="15">
        <f>Table134[[#This Row],[avg_number_of_purchases]]*Table1345[[#This Row],[avg_purchase_value]]*Table1345[[#This Row],[expected_lifespan]]</f>
        <v>36931.811175337185</v>
      </c>
      <c r="N234" t="s">
        <v>12042</v>
      </c>
    </row>
    <row r="235" spans="1:14" x14ac:dyDescent="0.3">
      <c r="A235" s="2" t="s">
        <v>233</v>
      </c>
      <c r="B235" s="2" t="s">
        <v>12040</v>
      </c>
      <c r="C235" s="2">
        <v>33</v>
      </c>
      <c r="D235" s="2" t="s">
        <v>12043</v>
      </c>
      <c r="E235" s="2">
        <f>COUNTIF(Table16[customer_id],Table13[[#This Row],[customer_id]])</f>
        <v>7</v>
      </c>
      <c r="F235" s="13">
        <f>SUMIFS(Table16[Purchase_history],Table16[customer_id],Table13[[#This Row],[customer_id]])</f>
        <v>11659.38</v>
      </c>
      <c r="G235" s="20">
        <v>44278</v>
      </c>
      <c r="H235" s="21">
        <v>44973</v>
      </c>
      <c r="I235" s="15">
        <f>(Table134[[#This Row],[Last_Day]]-Table134[[#This Row],[First_Day]]+1)/365</f>
        <v>1.9068493150684931</v>
      </c>
      <c r="J235" s="59">
        <f>Table134[[#This Row],[number_of_purchases]]/Table134[[#This Row],[customer_total_years]]</f>
        <v>3.6709770114942528</v>
      </c>
      <c r="K235" s="13">
        <f>Table134[[#This Row],[purchase_history]]/Table134[[#This Row],[number_of_purchases]]</f>
        <v>1665.6257142857141</v>
      </c>
      <c r="L235" s="2">
        <f>IF(YEAR(Table134[[#This Row],[Last_Day]])=2021,5,IF(YEAR(Table134[[#This Row],[Last_Day]])=2022,7,IF(YEAR(Table134[[#This Row],[Last_Day]])=2023,10,"Không xác định")))</f>
        <v>10</v>
      </c>
      <c r="M235" s="15">
        <f>Table134[[#This Row],[avg_number_of_purchases]]*Table1345[[#This Row],[avg_purchase_value]]*Table1345[[#This Row],[expected_lifespan]]</f>
        <v>61144.737068965514</v>
      </c>
      <c r="N235" t="s">
        <v>12044</v>
      </c>
    </row>
    <row r="236" spans="1:14" x14ac:dyDescent="0.3">
      <c r="A236" s="2" t="s">
        <v>234</v>
      </c>
      <c r="B236" s="2" t="s">
        <v>12040</v>
      </c>
      <c r="C236" s="2">
        <v>25</v>
      </c>
      <c r="D236" s="2" t="s">
        <v>12043</v>
      </c>
      <c r="E236" s="2">
        <f>COUNTIF(Table16[customer_id],Table13[[#This Row],[customer_id]])</f>
        <v>6</v>
      </c>
      <c r="F236" s="13">
        <f>SUMIFS(Table16[Purchase_history],Table16[customer_id],Table13[[#This Row],[customer_id]])</f>
        <v>11347.269999999999</v>
      </c>
      <c r="G236" s="20">
        <v>44236</v>
      </c>
      <c r="H236" s="21">
        <v>44851</v>
      </c>
      <c r="I236" s="15">
        <f>(Table134[[#This Row],[Last_Day]]-Table134[[#This Row],[First_Day]]+1)/365</f>
        <v>1.6876712328767123</v>
      </c>
      <c r="J236" s="59">
        <f>Table134[[#This Row],[number_of_purchases]]/Table134[[#This Row],[customer_total_years]]</f>
        <v>3.5551948051948052</v>
      </c>
      <c r="K236" s="13">
        <f>Table134[[#This Row],[purchase_history]]/Table134[[#This Row],[number_of_purchases]]</f>
        <v>1891.2116666666664</v>
      </c>
      <c r="L236" s="2">
        <f>IF(YEAR(Table134[[#This Row],[Last_Day]])=2021,5,IF(YEAR(Table134[[#This Row],[Last_Day]])=2022,7,IF(YEAR(Table134[[#This Row],[Last_Day]])=2023,10,"Không xác định")))</f>
        <v>7</v>
      </c>
      <c r="M236" s="15">
        <f>Table134[[#This Row],[avg_number_of_purchases]]*Table1345[[#This Row],[avg_purchase_value]]*Table1345[[#This Row],[expected_lifespan]]</f>
        <v>47065.381249999991</v>
      </c>
      <c r="N236" t="s">
        <v>12044</v>
      </c>
    </row>
    <row r="237" spans="1:14" x14ac:dyDescent="0.3">
      <c r="A237" s="2" t="s">
        <v>235</v>
      </c>
      <c r="B237" s="2" t="s">
        <v>12040</v>
      </c>
      <c r="C237" s="2">
        <v>60</v>
      </c>
      <c r="D237" s="2" t="s">
        <v>12043</v>
      </c>
      <c r="E237" s="2">
        <f>COUNTIF(Table16[customer_id],Table13[[#This Row],[customer_id]])</f>
        <v>5</v>
      </c>
      <c r="F237" s="13">
        <f>SUMIFS(Table16[Purchase_history],Table16[customer_id],Table13[[#This Row],[customer_id]])</f>
        <v>1405.49</v>
      </c>
      <c r="G237" s="20">
        <v>44223</v>
      </c>
      <c r="H237" s="21">
        <v>44919</v>
      </c>
      <c r="I237" s="15">
        <f>(Table134[[#This Row],[Last_Day]]-Table134[[#This Row],[First_Day]]+1)/365</f>
        <v>1.9095890410958904</v>
      </c>
      <c r="J237" s="59">
        <f>Table134[[#This Row],[number_of_purchases]]/Table134[[#This Row],[customer_total_years]]</f>
        <v>2.6183644189383068</v>
      </c>
      <c r="K237" s="13">
        <f>Table134[[#This Row],[purchase_history]]/Table134[[#This Row],[number_of_purchases]]</f>
        <v>281.09800000000001</v>
      </c>
      <c r="L237" s="2">
        <f>IF(YEAR(Table134[[#This Row],[Last_Day]])=2021,5,IF(YEAR(Table134[[#This Row],[Last_Day]])=2022,7,IF(YEAR(Table134[[#This Row],[Last_Day]])=2023,10,"Không xác định")))</f>
        <v>7</v>
      </c>
      <c r="M237" s="15">
        <f>Table134[[#This Row],[avg_number_of_purchases]]*Table1345[[#This Row],[avg_purchase_value]]*Table1345[[#This Row],[expected_lifespan]]</f>
        <v>5152.1190100430413</v>
      </c>
      <c r="N237" t="s">
        <v>12046</v>
      </c>
    </row>
    <row r="238" spans="1:14" x14ac:dyDescent="0.3">
      <c r="A238" s="2" t="s">
        <v>236</v>
      </c>
      <c r="B238" s="2" t="s">
        <v>12045</v>
      </c>
      <c r="C238" s="2">
        <v>20</v>
      </c>
      <c r="D238" s="2" t="s">
        <v>12041</v>
      </c>
      <c r="E238" s="2">
        <f>COUNTIF(Table16[customer_id],Table13[[#This Row],[customer_id]])</f>
        <v>4</v>
      </c>
      <c r="F238" s="13">
        <f>SUMIFS(Table16[Purchase_history],Table16[customer_id],Table13[[#This Row],[customer_id]])</f>
        <v>24606.559999999998</v>
      </c>
      <c r="G238" s="20">
        <v>44237</v>
      </c>
      <c r="H238" s="21">
        <v>44628</v>
      </c>
      <c r="I238" s="15">
        <f>(Table134[[#This Row],[Last_Day]]-Table134[[#This Row],[First_Day]]+1)/365</f>
        <v>1.0739726027397261</v>
      </c>
      <c r="J238" s="59">
        <f>Table134[[#This Row],[number_of_purchases]]/Table134[[#This Row],[customer_total_years]]</f>
        <v>3.7244897959183674</v>
      </c>
      <c r="K238" s="13">
        <f>Table134[[#This Row],[purchase_history]]/Table134[[#This Row],[number_of_purchases]]</f>
        <v>6151.6399999999994</v>
      </c>
      <c r="L238" s="2">
        <f>IF(YEAR(Table134[[#This Row],[Last_Day]])=2021,5,IF(YEAR(Table134[[#This Row],[Last_Day]])=2022,7,IF(YEAR(Table134[[#This Row],[Last_Day]])=2023,10,"Không xác định")))</f>
        <v>7</v>
      </c>
      <c r="M238" s="15">
        <f>Table134[[#This Row],[avg_number_of_purchases]]*Table1345[[#This Row],[avg_purchase_value]]*Table1345[[#This Row],[expected_lifespan]]</f>
        <v>160382.04285714283</v>
      </c>
      <c r="N238" t="s">
        <v>12046</v>
      </c>
    </row>
    <row r="239" spans="1:14" x14ac:dyDescent="0.3">
      <c r="A239" s="2" t="s">
        <v>237</v>
      </c>
      <c r="B239" s="2" t="s">
        <v>12040</v>
      </c>
      <c r="C239" s="2">
        <v>46</v>
      </c>
      <c r="D239" s="2" t="s">
        <v>12043</v>
      </c>
      <c r="E239" s="2">
        <f>COUNTIF(Table16[customer_id],Table13[[#This Row],[customer_id]])</f>
        <v>6</v>
      </c>
      <c r="F239" s="13">
        <f>SUMIFS(Table16[Purchase_history],Table16[customer_id],Table13[[#This Row],[customer_id]])</f>
        <v>34168.43</v>
      </c>
      <c r="G239" s="20">
        <v>44230</v>
      </c>
      <c r="H239" s="21">
        <v>44770</v>
      </c>
      <c r="I239" s="15">
        <f>(Table134[[#This Row],[Last_Day]]-Table134[[#This Row],[First_Day]]+1)/365</f>
        <v>1.4821917808219178</v>
      </c>
      <c r="J239" s="59">
        <f>Table134[[#This Row],[number_of_purchases]]/Table134[[#This Row],[customer_total_years]]</f>
        <v>4.0480591497227358</v>
      </c>
      <c r="K239" s="13">
        <f>Table134[[#This Row],[purchase_history]]/Table134[[#This Row],[number_of_purchases]]</f>
        <v>5694.7383333333337</v>
      </c>
      <c r="L239" s="2">
        <f>IF(YEAR(Table134[[#This Row],[Last_Day]])=2021,5,IF(YEAR(Table134[[#This Row],[Last_Day]])=2022,7,IF(YEAR(Table134[[#This Row],[Last_Day]])=2023,10,"Không xác định")))</f>
        <v>7</v>
      </c>
      <c r="M239" s="15">
        <f>Table134[[#This Row],[avg_number_of_purchases]]*Table1345[[#This Row],[avg_purchase_value]]*Table1345[[#This Row],[expected_lifespan]]</f>
        <v>161368.46330868764</v>
      </c>
      <c r="N239" t="s">
        <v>12042</v>
      </c>
    </row>
    <row r="240" spans="1:14" x14ac:dyDescent="0.3">
      <c r="A240" s="2" t="s">
        <v>238</v>
      </c>
      <c r="B240" s="2" t="s">
        <v>12040</v>
      </c>
      <c r="C240" s="2">
        <v>69</v>
      </c>
      <c r="D240" s="2" t="s">
        <v>12043</v>
      </c>
      <c r="E240" s="2">
        <f>COUNTIF(Table16[customer_id],Table13[[#This Row],[customer_id]])</f>
        <v>7</v>
      </c>
      <c r="F240" s="13">
        <f>SUMIFS(Table16[Purchase_history],Table16[customer_id],Table13[[#This Row],[customer_id]])</f>
        <v>10487.52</v>
      </c>
      <c r="G240" s="20">
        <v>44308</v>
      </c>
      <c r="H240" s="21">
        <v>44919</v>
      </c>
      <c r="I240" s="15">
        <f>(Table134[[#This Row],[Last_Day]]-Table134[[#This Row],[First_Day]]+1)/365</f>
        <v>1.6767123287671233</v>
      </c>
      <c r="J240" s="59">
        <f>Table134[[#This Row],[number_of_purchases]]/Table134[[#This Row],[customer_total_years]]</f>
        <v>4.1748366013071898</v>
      </c>
      <c r="K240" s="13">
        <f>Table134[[#This Row],[purchase_history]]/Table134[[#This Row],[number_of_purchases]]</f>
        <v>1498.217142857143</v>
      </c>
      <c r="L240" s="2">
        <f>IF(YEAR(Table134[[#This Row],[Last_Day]])=2021,5,IF(YEAR(Table134[[#This Row],[Last_Day]])=2022,7,IF(YEAR(Table134[[#This Row],[Last_Day]])=2023,10,"Không xác định")))</f>
        <v>7</v>
      </c>
      <c r="M240" s="15">
        <f>Table134[[#This Row],[avg_number_of_purchases]]*Table1345[[#This Row],[avg_purchase_value]]*Table1345[[#This Row],[expected_lifespan]]</f>
        <v>43783.682352941185</v>
      </c>
      <c r="N240" t="s">
        <v>12046</v>
      </c>
    </row>
    <row r="241" spans="1:14" x14ac:dyDescent="0.3">
      <c r="A241" s="2" t="s">
        <v>239</v>
      </c>
      <c r="B241" s="2" t="s">
        <v>12040</v>
      </c>
      <c r="C241" s="2">
        <v>38</v>
      </c>
      <c r="D241" s="2" t="s">
        <v>12049</v>
      </c>
      <c r="E241" s="2">
        <f>COUNTIF(Table16[customer_id],Table13[[#This Row],[customer_id]])</f>
        <v>3</v>
      </c>
      <c r="F241" s="13">
        <f>SUMIFS(Table16[Purchase_history],Table16[customer_id],Table13[[#This Row],[customer_id]])</f>
        <v>1462.8600000000001</v>
      </c>
      <c r="G241" s="20">
        <v>44460</v>
      </c>
      <c r="H241" s="21">
        <v>44840</v>
      </c>
      <c r="I241" s="15">
        <f>(Table134[[#This Row],[Last_Day]]-Table134[[#This Row],[First_Day]]+1)/365</f>
        <v>1.0438356164383562</v>
      </c>
      <c r="J241" s="59">
        <f>Table134[[#This Row],[number_of_purchases]]/Table134[[#This Row],[customer_total_years]]</f>
        <v>2.8740157480314958</v>
      </c>
      <c r="K241" s="13">
        <f>Table134[[#This Row],[purchase_history]]/Table134[[#This Row],[number_of_purchases]]</f>
        <v>487.62000000000006</v>
      </c>
      <c r="L241" s="2">
        <f>IF(YEAR(Table134[[#This Row],[Last_Day]])=2021,5,IF(YEAR(Table134[[#This Row],[Last_Day]])=2022,7,IF(YEAR(Table134[[#This Row],[Last_Day]])=2023,10,"Không xác định")))</f>
        <v>7</v>
      </c>
      <c r="M241" s="15">
        <f>Table134[[#This Row],[avg_number_of_purchases]]*Table1345[[#This Row],[avg_purchase_value]]*Table1345[[#This Row],[expected_lifespan]]</f>
        <v>9809.9929133858259</v>
      </c>
      <c r="N241" t="s">
        <v>12042</v>
      </c>
    </row>
    <row r="242" spans="1:14" x14ac:dyDescent="0.3">
      <c r="A242" s="2" t="s">
        <v>240</v>
      </c>
      <c r="B242" s="2" t="s">
        <v>12045</v>
      </c>
      <c r="C242" s="2">
        <v>49</v>
      </c>
      <c r="D242" s="2" t="s">
        <v>12043</v>
      </c>
      <c r="E242" s="2">
        <f>COUNTIF(Table16[customer_id],Table13[[#This Row],[customer_id]])</f>
        <v>5</v>
      </c>
      <c r="F242" s="13">
        <f>SUMIFS(Table16[Purchase_history],Table16[customer_id],Table13[[#This Row],[customer_id]])</f>
        <v>6199.1799999999994</v>
      </c>
      <c r="G242" s="20">
        <v>44271</v>
      </c>
      <c r="H242" s="21">
        <v>44944</v>
      </c>
      <c r="I242" s="15">
        <f>(Table134[[#This Row],[Last_Day]]-Table134[[#This Row],[First_Day]]+1)/365</f>
        <v>1.8465753424657534</v>
      </c>
      <c r="J242" s="59">
        <f>Table134[[#This Row],[number_of_purchases]]/Table134[[#This Row],[customer_total_years]]</f>
        <v>2.7077151335311571</v>
      </c>
      <c r="K242" s="13">
        <f>Table134[[#This Row],[purchase_history]]/Table134[[#This Row],[number_of_purchases]]</f>
        <v>1239.8359999999998</v>
      </c>
      <c r="L242" s="2">
        <f>IF(YEAR(Table134[[#This Row],[Last_Day]])=2021,5,IF(YEAR(Table134[[#This Row],[Last_Day]])=2022,7,IF(YEAR(Table134[[#This Row],[Last_Day]])=2023,10,"Không xác định")))</f>
        <v>10</v>
      </c>
      <c r="M242" s="15">
        <f>Table134[[#This Row],[avg_number_of_purchases]]*Table1345[[#This Row],[avg_purchase_value]]*Table1345[[#This Row],[expected_lifespan]]</f>
        <v>33571.227002967353</v>
      </c>
      <c r="N242" t="s">
        <v>12048</v>
      </c>
    </row>
    <row r="243" spans="1:14" x14ac:dyDescent="0.3">
      <c r="A243" s="2" t="s">
        <v>241</v>
      </c>
      <c r="B243" s="2" t="s">
        <v>12040</v>
      </c>
      <c r="C243" s="2">
        <v>39</v>
      </c>
      <c r="D243" s="2" t="s">
        <v>12041</v>
      </c>
      <c r="E243" s="2">
        <f>COUNTIF(Table16[customer_id],Table13[[#This Row],[customer_id]])</f>
        <v>5</v>
      </c>
      <c r="F243" s="13">
        <f>SUMIFS(Table16[Purchase_history],Table16[customer_id],Table13[[#This Row],[customer_id]])</f>
        <v>9404.18</v>
      </c>
      <c r="G243" s="20">
        <v>44209</v>
      </c>
      <c r="H243" s="21">
        <v>44987</v>
      </c>
      <c r="I243" s="15">
        <f>(Table134[[#This Row],[Last_Day]]-Table134[[#This Row],[First_Day]]+1)/365</f>
        <v>2.1342465753424658</v>
      </c>
      <c r="J243" s="59">
        <f>Table134[[#This Row],[number_of_purchases]]/Table134[[#This Row],[customer_total_years]]</f>
        <v>2.3427471116816432</v>
      </c>
      <c r="K243" s="13">
        <f>Table134[[#This Row],[purchase_history]]/Table134[[#This Row],[number_of_purchases]]</f>
        <v>1880.836</v>
      </c>
      <c r="L243" s="2">
        <f>IF(YEAR(Table134[[#This Row],[Last_Day]])=2021,5,IF(YEAR(Table134[[#This Row],[Last_Day]])=2022,7,IF(YEAR(Table134[[#This Row],[Last_Day]])=2023,10,"Không xác định")))</f>
        <v>10</v>
      </c>
      <c r="M243" s="15">
        <f>Table134[[#This Row],[avg_number_of_purchases]]*Table1345[[#This Row],[avg_purchase_value]]*Table1345[[#This Row],[expected_lifespan]]</f>
        <v>44063.231065468557</v>
      </c>
      <c r="N243" t="s">
        <v>12048</v>
      </c>
    </row>
    <row r="244" spans="1:14" x14ac:dyDescent="0.3">
      <c r="A244" s="2" t="s">
        <v>242</v>
      </c>
      <c r="B244" s="2" t="s">
        <v>12040</v>
      </c>
      <c r="C244" s="2">
        <v>57</v>
      </c>
      <c r="D244" s="2" t="s">
        <v>12049</v>
      </c>
      <c r="E244" s="2">
        <f>COUNTIF(Table16[customer_id],Table13[[#This Row],[customer_id]])</f>
        <v>8</v>
      </c>
      <c r="F244" s="13">
        <f>SUMIFS(Table16[Purchase_history],Table16[customer_id],Table13[[#This Row],[customer_id]])</f>
        <v>40221.600000000006</v>
      </c>
      <c r="G244" s="20">
        <v>44226</v>
      </c>
      <c r="H244" s="21">
        <v>44788</v>
      </c>
      <c r="I244" s="15">
        <f>(Table134[[#This Row],[Last_Day]]-Table134[[#This Row],[First_Day]]+1)/365</f>
        <v>1.5424657534246575</v>
      </c>
      <c r="J244" s="59">
        <f>Table134[[#This Row],[number_of_purchases]]/Table134[[#This Row],[customer_total_years]]</f>
        <v>5.1865008880994674</v>
      </c>
      <c r="K244" s="13">
        <f>Table134[[#This Row],[purchase_history]]/Table134[[#This Row],[number_of_purchases]]</f>
        <v>5027.7000000000007</v>
      </c>
      <c r="L244" s="2">
        <f>IF(YEAR(Table134[[#This Row],[Last_Day]])=2021,5,IF(YEAR(Table134[[#This Row],[Last_Day]])=2022,7,IF(YEAR(Table134[[#This Row],[Last_Day]])=2023,10,"Không xác định")))</f>
        <v>7</v>
      </c>
      <c r="M244" s="15">
        <f>Table134[[#This Row],[avg_number_of_purchases]]*Table1345[[#This Row],[avg_purchase_value]]*Table1345[[#This Row],[expected_lifespan]]</f>
        <v>182533.19360568386</v>
      </c>
      <c r="N244" t="s">
        <v>12047</v>
      </c>
    </row>
    <row r="245" spans="1:14" x14ac:dyDescent="0.3">
      <c r="A245" s="2" t="s">
        <v>243</v>
      </c>
      <c r="B245" s="2" t="s">
        <v>12040</v>
      </c>
      <c r="C245" s="2">
        <v>59</v>
      </c>
      <c r="D245" s="2" t="s">
        <v>12049</v>
      </c>
      <c r="E245" s="2">
        <f>COUNTIF(Table16[customer_id],Table13[[#This Row],[customer_id]])</f>
        <v>5</v>
      </c>
      <c r="F245" s="13">
        <f>SUMIFS(Table16[Purchase_history],Table16[customer_id],Table13[[#This Row],[customer_id]])</f>
        <v>22817.010000000002</v>
      </c>
      <c r="G245" s="20">
        <v>44403</v>
      </c>
      <c r="H245" s="21">
        <v>44736</v>
      </c>
      <c r="I245" s="15">
        <f>(Table134[[#This Row],[Last_Day]]-Table134[[#This Row],[First_Day]]+1)/365</f>
        <v>0.91506849315068495</v>
      </c>
      <c r="J245" s="59">
        <f>Table134[[#This Row],[number_of_purchases]]/Table134[[#This Row],[customer_total_years]]</f>
        <v>5.4640718562874246</v>
      </c>
      <c r="K245" s="13">
        <f>Table134[[#This Row],[purchase_history]]/Table134[[#This Row],[number_of_purchases]]</f>
        <v>4563.402</v>
      </c>
      <c r="L245" s="2">
        <f>IF(YEAR(Table134[[#This Row],[Last_Day]])=2021,5,IF(YEAR(Table134[[#This Row],[Last_Day]])=2022,7,IF(YEAR(Table134[[#This Row],[Last_Day]])=2023,10,"Không xác định")))</f>
        <v>7</v>
      </c>
      <c r="M245" s="15">
        <f>Table134[[#This Row],[avg_number_of_purchases]]*Table1345[[#This Row],[avg_purchase_value]]*Table1345[[#This Row],[expected_lifespan]]</f>
        <v>174543.29505988024</v>
      </c>
      <c r="N245" t="s">
        <v>12048</v>
      </c>
    </row>
    <row r="246" spans="1:14" x14ac:dyDescent="0.3">
      <c r="A246" s="2" t="s">
        <v>244</v>
      </c>
      <c r="B246" s="2" t="s">
        <v>12040</v>
      </c>
      <c r="C246" s="2">
        <v>52</v>
      </c>
      <c r="D246" s="2" t="s">
        <v>12043</v>
      </c>
      <c r="E246" s="2">
        <f>COUNTIF(Table16[customer_id],Table13[[#This Row],[customer_id]])</f>
        <v>7</v>
      </c>
      <c r="F246" s="13">
        <f>SUMIFS(Table16[Purchase_history],Table16[customer_id],Table13[[#This Row],[customer_id]])</f>
        <v>30658.600000000002</v>
      </c>
      <c r="G246" s="20">
        <v>44267</v>
      </c>
      <c r="H246" s="21">
        <v>44985</v>
      </c>
      <c r="I246" s="15">
        <f>(Table134[[#This Row],[Last_Day]]-Table134[[#This Row],[First_Day]]+1)/365</f>
        <v>1.9698630136986301</v>
      </c>
      <c r="J246" s="59">
        <f>Table134[[#This Row],[number_of_purchases]]/Table134[[#This Row],[customer_total_years]]</f>
        <v>3.5535465924895688</v>
      </c>
      <c r="K246" s="13">
        <f>Table134[[#This Row],[purchase_history]]/Table134[[#This Row],[number_of_purchases]]</f>
        <v>4379.8</v>
      </c>
      <c r="L246" s="2">
        <f>IF(YEAR(Table134[[#This Row],[Last_Day]])=2021,5,IF(YEAR(Table134[[#This Row],[Last_Day]])=2022,7,IF(YEAR(Table134[[#This Row],[Last_Day]])=2023,10,"Không xác định")))</f>
        <v>10</v>
      </c>
      <c r="M246" s="15">
        <f>Table134[[#This Row],[avg_number_of_purchases]]*Table1345[[#This Row],[avg_purchase_value]]*Table1345[[#This Row],[expected_lifespan]]</f>
        <v>155638.23365785816</v>
      </c>
      <c r="N246" t="s">
        <v>12047</v>
      </c>
    </row>
    <row r="247" spans="1:14" x14ac:dyDescent="0.3">
      <c r="A247" s="2" t="s">
        <v>245</v>
      </c>
      <c r="B247" s="2" t="s">
        <v>12040</v>
      </c>
      <c r="C247" s="2">
        <v>63</v>
      </c>
      <c r="D247" s="2" t="s">
        <v>12043</v>
      </c>
      <c r="E247" s="2">
        <f>COUNTIF(Table16[customer_id],Table13[[#This Row],[customer_id]])</f>
        <v>5</v>
      </c>
      <c r="F247" s="13">
        <f>SUMIFS(Table16[Purchase_history],Table16[customer_id],Table13[[#This Row],[customer_id]])</f>
        <v>1503.46</v>
      </c>
      <c r="G247" s="20">
        <v>44371</v>
      </c>
      <c r="H247" s="21">
        <v>44887</v>
      </c>
      <c r="I247" s="15">
        <f>(Table134[[#This Row],[Last_Day]]-Table134[[#This Row],[First_Day]]+1)/365</f>
        <v>1.4164383561643836</v>
      </c>
      <c r="J247" s="59">
        <f>Table134[[#This Row],[number_of_purchases]]/Table134[[#This Row],[customer_total_years]]</f>
        <v>3.5299806576402322</v>
      </c>
      <c r="K247" s="13">
        <f>Table134[[#This Row],[purchase_history]]/Table134[[#This Row],[number_of_purchases]]</f>
        <v>300.69200000000001</v>
      </c>
      <c r="L247" s="2">
        <f>IF(YEAR(Table134[[#This Row],[Last_Day]])=2021,5,IF(YEAR(Table134[[#This Row],[Last_Day]])=2022,7,IF(YEAR(Table134[[#This Row],[Last_Day]])=2023,10,"Không xác định")))</f>
        <v>7</v>
      </c>
      <c r="M247" s="15">
        <f>Table134[[#This Row],[avg_number_of_purchases]]*Table1345[[#This Row],[avg_purchase_value]]*Table1345[[#This Row],[expected_lifespan]]</f>
        <v>7430.0586073500972</v>
      </c>
      <c r="N247" t="s">
        <v>12044</v>
      </c>
    </row>
    <row r="248" spans="1:14" x14ac:dyDescent="0.3">
      <c r="A248" s="2" t="s">
        <v>246</v>
      </c>
      <c r="B248" s="2" t="s">
        <v>12040</v>
      </c>
      <c r="C248" s="2">
        <v>34</v>
      </c>
      <c r="D248" s="2" t="s">
        <v>12049</v>
      </c>
      <c r="E248" s="2">
        <f>COUNTIF(Table16[customer_id],Table13[[#This Row],[customer_id]])</f>
        <v>6</v>
      </c>
      <c r="F248" s="13">
        <f>SUMIFS(Table16[Purchase_history],Table16[customer_id],Table13[[#This Row],[customer_id]])</f>
        <v>8779.6</v>
      </c>
      <c r="G248" s="20">
        <v>44244</v>
      </c>
      <c r="H248" s="21">
        <v>44777</v>
      </c>
      <c r="I248" s="15">
        <f>(Table134[[#This Row],[Last_Day]]-Table134[[#This Row],[First_Day]]+1)/365</f>
        <v>1.463013698630137</v>
      </c>
      <c r="J248" s="59">
        <f>Table134[[#This Row],[number_of_purchases]]/Table134[[#This Row],[customer_total_years]]</f>
        <v>4.1011235955056184</v>
      </c>
      <c r="K248" s="13">
        <f>Table134[[#This Row],[purchase_history]]/Table134[[#This Row],[number_of_purchases]]</f>
        <v>1463.2666666666667</v>
      </c>
      <c r="L248" s="2">
        <f>IF(YEAR(Table134[[#This Row],[Last_Day]])=2021,5,IF(YEAR(Table134[[#This Row],[Last_Day]])=2022,7,IF(YEAR(Table134[[#This Row],[Last_Day]])=2023,10,"Không xác định")))</f>
        <v>7</v>
      </c>
      <c r="M248" s="15">
        <f>Table134[[#This Row],[avg_number_of_purchases]]*Table1345[[#This Row],[avg_purchase_value]]*Table1345[[#This Row],[expected_lifespan]]</f>
        <v>42007.262172284652</v>
      </c>
      <c r="N248" t="s">
        <v>12044</v>
      </c>
    </row>
    <row r="249" spans="1:14" x14ac:dyDescent="0.3">
      <c r="A249" s="2" t="s">
        <v>247</v>
      </c>
      <c r="B249" s="2" t="s">
        <v>12040</v>
      </c>
      <c r="C249" s="2">
        <v>58</v>
      </c>
      <c r="D249" s="2" t="s">
        <v>12043</v>
      </c>
      <c r="E249" s="2">
        <f>COUNTIF(Table16[customer_id],Table13[[#This Row],[customer_id]])</f>
        <v>6</v>
      </c>
      <c r="F249" s="13">
        <f>SUMIFS(Table16[Purchase_history],Table16[customer_id],Table13[[#This Row],[customer_id]])</f>
        <v>30175.320000000003</v>
      </c>
      <c r="G249" s="20">
        <v>44310</v>
      </c>
      <c r="H249" s="21">
        <v>44916</v>
      </c>
      <c r="I249" s="15">
        <f>(Table134[[#This Row],[Last_Day]]-Table134[[#This Row],[First_Day]]+1)/365</f>
        <v>1.6630136986301369</v>
      </c>
      <c r="J249" s="59">
        <f>Table134[[#This Row],[number_of_purchases]]/Table134[[#This Row],[customer_total_years]]</f>
        <v>3.6079077429983526</v>
      </c>
      <c r="K249" s="13">
        <f>Table134[[#This Row],[purchase_history]]/Table134[[#This Row],[number_of_purchases]]</f>
        <v>5029.22</v>
      </c>
      <c r="L249" s="2">
        <f>IF(YEAR(Table134[[#This Row],[Last_Day]])=2021,5,IF(YEAR(Table134[[#This Row],[Last_Day]])=2022,7,IF(YEAR(Table134[[#This Row],[Last_Day]])=2023,10,"Không xác định")))</f>
        <v>7</v>
      </c>
      <c r="M249" s="15">
        <f>Table134[[#This Row],[avg_number_of_purchases]]*Table1345[[#This Row],[avg_purchase_value]]*Table1345[[#This Row],[expected_lifespan]]</f>
        <v>127014.73245469521</v>
      </c>
      <c r="N249" t="s">
        <v>12047</v>
      </c>
    </row>
    <row r="250" spans="1:14" x14ac:dyDescent="0.3">
      <c r="A250" s="2" t="s">
        <v>248</v>
      </c>
      <c r="B250" s="2" t="s">
        <v>12040</v>
      </c>
      <c r="C250" s="2">
        <v>53</v>
      </c>
      <c r="D250" s="2" t="s">
        <v>12041</v>
      </c>
      <c r="E250" s="2">
        <f>COUNTIF(Table16[customer_id],Table13[[#This Row],[customer_id]])</f>
        <v>5</v>
      </c>
      <c r="F250" s="13">
        <f>SUMIFS(Table16[Purchase_history],Table16[customer_id],Table13[[#This Row],[customer_id]])</f>
        <v>19198.379999999997</v>
      </c>
      <c r="G250" s="20">
        <v>44341</v>
      </c>
      <c r="H250" s="21">
        <v>44869</v>
      </c>
      <c r="I250" s="15">
        <f>(Table134[[#This Row],[Last_Day]]-Table134[[#This Row],[First_Day]]+1)/365</f>
        <v>1.4493150684931506</v>
      </c>
      <c r="J250" s="59">
        <f>Table134[[#This Row],[number_of_purchases]]/Table134[[#This Row],[customer_total_years]]</f>
        <v>3.4499054820415882</v>
      </c>
      <c r="K250" s="13">
        <f>Table134[[#This Row],[purchase_history]]/Table134[[#This Row],[number_of_purchases]]</f>
        <v>3839.6759999999995</v>
      </c>
      <c r="L250" s="2">
        <f>IF(YEAR(Table134[[#This Row],[Last_Day]])=2021,5,IF(YEAR(Table134[[#This Row],[Last_Day]])=2022,7,IF(YEAR(Table134[[#This Row],[Last_Day]])=2023,10,"Không xác định")))</f>
        <v>7</v>
      </c>
      <c r="M250" s="15">
        <f>Table134[[#This Row],[avg_number_of_purchases]]*Table1345[[#This Row],[avg_purchase_value]]*Table1345[[#This Row],[expected_lifespan]]</f>
        <v>92725.634971644613</v>
      </c>
      <c r="N250" t="s">
        <v>12042</v>
      </c>
    </row>
    <row r="251" spans="1:14" x14ac:dyDescent="0.3">
      <c r="A251" s="2" t="s">
        <v>249</v>
      </c>
      <c r="B251" s="2" t="s">
        <v>12040</v>
      </c>
      <c r="C251" s="2">
        <v>21</v>
      </c>
      <c r="D251" s="2" t="s">
        <v>12041</v>
      </c>
      <c r="E251" s="2">
        <f>COUNTIF(Table16[customer_id],Table13[[#This Row],[customer_id]])</f>
        <v>7</v>
      </c>
      <c r="F251" s="13">
        <f>SUMIFS(Table16[Purchase_history],Table16[customer_id],Table13[[#This Row],[customer_id]])</f>
        <v>26908.120000000003</v>
      </c>
      <c r="G251" s="20">
        <v>44329</v>
      </c>
      <c r="H251" s="21">
        <v>44988</v>
      </c>
      <c r="I251" s="15">
        <f>(Table134[[#This Row],[Last_Day]]-Table134[[#This Row],[First_Day]]+1)/365</f>
        <v>1.8082191780821917</v>
      </c>
      <c r="J251" s="59">
        <f>Table134[[#This Row],[number_of_purchases]]/Table134[[#This Row],[customer_total_years]]</f>
        <v>3.8712121212121215</v>
      </c>
      <c r="K251" s="13">
        <f>Table134[[#This Row],[purchase_history]]/Table134[[#This Row],[number_of_purchases]]</f>
        <v>3844.0171428571434</v>
      </c>
      <c r="L251" s="2">
        <f>IF(YEAR(Table134[[#This Row],[Last_Day]])=2021,5,IF(YEAR(Table134[[#This Row],[Last_Day]])=2022,7,IF(YEAR(Table134[[#This Row],[Last_Day]])=2023,10,"Không xác định")))</f>
        <v>10</v>
      </c>
      <c r="M251" s="15">
        <f>Table134[[#This Row],[avg_number_of_purchases]]*Table1345[[#This Row],[avg_purchase_value]]*Table1345[[#This Row],[expected_lifespan]]</f>
        <v>148810.05757575762</v>
      </c>
      <c r="N251" t="s">
        <v>12046</v>
      </c>
    </row>
    <row r="252" spans="1:14" x14ac:dyDescent="0.3">
      <c r="A252" s="2" t="s">
        <v>250</v>
      </c>
      <c r="B252" s="2" t="s">
        <v>12040</v>
      </c>
      <c r="C252" s="2">
        <v>18</v>
      </c>
      <c r="D252" s="2" t="s">
        <v>12041</v>
      </c>
      <c r="E252" s="2">
        <f>COUNTIF(Table16[customer_id],Table13[[#This Row],[customer_id]])</f>
        <v>6</v>
      </c>
      <c r="F252" s="13">
        <f>SUMIFS(Table16[Purchase_history],Table16[customer_id],Table13[[#This Row],[customer_id]])</f>
        <v>8000.0599999999995</v>
      </c>
      <c r="G252" s="20">
        <v>44289</v>
      </c>
      <c r="H252" s="21">
        <v>44701</v>
      </c>
      <c r="I252" s="15">
        <f>(Table134[[#This Row],[Last_Day]]-Table134[[#This Row],[First_Day]]+1)/365</f>
        <v>1.1315068493150684</v>
      </c>
      <c r="J252" s="59">
        <f>Table134[[#This Row],[number_of_purchases]]/Table134[[#This Row],[customer_total_years]]</f>
        <v>5.3026634382566593</v>
      </c>
      <c r="K252" s="13">
        <f>Table134[[#This Row],[purchase_history]]/Table134[[#This Row],[number_of_purchases]]</f>
        <v>1333.3433333333332</v>
      </c>
      <c r="L252" s="2">
        <f>IF(YEAR(Table134[[#This Row],[Last_Day]])=2021,5,IF(YEAR(Table134[[#This Row],[Last_Day]])=2022,7,IF(YEAR(Table134[[#This Row],[Last_Day]])=2023,10,"Không xác định")))</f>
        <v>7</v>
      </c>
      <c r="M252" s="15">
        <f>Table134[[#This Row],[avg_number_of_purchases]]*Table1345[[#This Row],[avg_purchase_value]]*Table1345[[#This Row],[expected_lifespan]]</f>
        <v>49491.89661016949</v>
      </c>
      <c r="N252" t="s">
        <v>12046</v>
      </c>
    </row>
    <row r="253" spans="1:14" x14ac:dyDescent="0.3">
      <c r="A253" s="2" t="s">
        <v>251</v>
      </c>
      <c r="B253" s="2" t="s">
        <v>12040</v>
      </c>
      <c r="C253" s="2">
        <v>35</v>
      </c>
      <c r="D253" s="2" t="s">
        <v>12049</v>
      </c>
      <c r="E253" s="2">
        <f>COUNTIF(Table16[customer_id],Table13[[#This Row],[customer_id]])</f>
        <v>4</v>
      </c>
      <c r="F253" s="13">
        <f>SUMIFS(Table16[Purchase_history],Table16[customer_id],Table13[[#This Row],[customer_id]])</f>
        <v>11233.869999999999</v>
      </c>
      <c r="G253" s="20">
        <v>44376</v>
      </c>
      <c r="H253" s="21">
        <v>44813</v>
      </c>
      <c r="I253" s="15">
        <f>(Table134[[#This Row],[Last_Day]]-Table134[[#This Row],[First_Day]]+1)/365</f>
        <v>1.2</v>
      </c>
      <c r="J253" s="59">
        <f>Table134[[#This Row],[number_of_purchases]]/Table134[[#This Row],[customer_total_years]]</f>
        <v>3.3333333333333335</v>
      </c>
      <c r="K253" s="13">
        <f>Table134[[#This Row],[purchase_history]]/Table134[[#This Row],[number_of_purchases]]</f>
        <v>2808.4674999999997</v>
      </c>
      <c r="L253" s="2">
        <f>IF(YEAR(Table134[[#This Row],[Last_Day]])=2021,5,IF(YEAR(Table134[[#This Row],[Last_Day]])=2022,7,IF(YEAR(Table134[[#This Row],[Last_Day]])=2023,10,"Không xác định")))</f>
        <v>7</v>
      </c>
      <c r="M253" s="15">
        <f>Table134[[#This Row],[avg_number_of_purchases]]*Table1345[[#This Row],[avg_purchase_value]]*Table1345[[#This Row],[expected_lifespan]]</f>
        <v>65530.908333333326</v>
      </c>
      <c r="N253" t="s">
        <v>12047</v>
      </c>
    </row>
    <row r="254" spans="1:14" x14ac:dyDescent="0.3">
      <c r="A254" s="2" t="s">
        <v>252</v>
      </c>
      <c r="B254" s="2" t="s">
        <v>12040</v>
      </c>
      <c r="C254" s="2">
        <v>26</v>
      </c>
      <c r="D254" s="2" t="s">
        <v>12041</v>
      </c>
      <c r="E254" s="2">
        <f>COUNTIF(Table16[customer_id],Table13[[#This Row],[customer_id]])</f>
        <v>3</v>
      </c>
      <c r="F254" s="13">
        <f>SUMIFS(Table16[Purchase_history],Table16[customer_id],Table13[[#This Row],[customer_id]])</f>
        <v>1126.5</v>
      </c>
      <c r="G254" s="20">
        <v>44415</v>
      </c>
      <c r="H254" s="21">
        <v>44704</v>
      </c>
      <c r="I254" s="15">
        <f>(Table134[[#This Row],[Last_Day]]-Table134[[#This Row],[First_Day]]+1)/365</f>
        <v>0.79452054794520544</v>
      </c>
      <c r="J254" s="59">
        <f>Table134[[#This Row],[number_of_purchases]]/Table134[[#This Row],[customer_total_years]]</f>
        <v>3.7758620689655173</v>
      </c>
      <c r="K254" s="13">
        <f>Table134[[#This Row],[purchase_history]]/Table134[[#This Row],[number_of_purchases]]</f>
        <v>375.5</v>
      </c>
      <c r="L254" s="2">
        <f>IF(YEAR(Table134[[#This Row],[Last_Day]])=2021,5,IF(YEAR(Table134[[#This Row],[Last_Day]])=2022,7,IF(YEAR(Table134[[#This Row],[Last_Day]])=2023,10,"Không xác định")))</f>
        <v>7</v>
      </c>
      <c r="M254" s="15">
        <f>Table134[[#This Row],[avg_number_of_purchases]]*Table1345[[#This Row],[avg_purchase_value]]*Table1345[[#This Row],[expected_lifespan]]</f>
        <v>9924.8534482758623</v>
      </c>
      <c r="N254" t="s">
        <v>12048</v>
      </c>
    </row>
    <row r="255" spans="1:14" x14ac:dyDescent="0.3">
      <c r="A255" s="2" t="s">
        <v>253</v>
      </c>
      <c r="B255" s="2" t="s">
        <v>12040</v>
      </c>
      <c r="C255" s="2">
        <v>49</v>
      </c>
      <c r="D255" s="2" t="s">
        <v>12043</v>
      </c>
      <c r="E255" s="2">
        <f>COUNTIF(Table16[customer_id],Table13[[#This Row],[customer_id]])</f>
        <v>6</v>
      </c>
      <c r="F255" s="13">
        <f>SUMIFS(Table16[Purchase_history],Table16[customer_id],Table13[[#This Row],[customer_id]])</f>
        <v>20564.309999999998</v>
      </c>
      <c r="G255" s="20">
        <v>44326</v>
      </c>
      <c r="H255" s="21">
        <v>44886</v>
      </c>
      <c r="I255" s="15">
        <f>(Table134[[#This Row],[Last_Day]]-Table134[[#This Row],[First_Day]]+1)/365</f>
        <v>1.536986301369863</v>
      </c>
      <c r="J255" s="59">
        <f>Table134[[#This Row],[number_of_purchases]]/Table134[[#This Row],[customer_total_years]]</f>
        <v>3.9037433155080214</v>
      </c>
      <c r="K255" s="13">
        <f>Table134[[#This Row],[purchase_history]]/Table134[[#This Row],[number_of_purchases]]</f>
        <v>3427.3849999999998</v>
      </c>
      <c r="L255" s="2">
        <f>IF(YEAR(Table134[[#This Row],[Last_Day]])=2021,5,IF(YEAR(Table134[[#This Row],[Last_Day]])=2022,7,IF(YEAR(Table134[[#This Row],[Last_Day]])=2023,10,"Không xác định")))</f>
        <v>7</v>
      </c>
      <c r="M255" s="15">
        <f>Table134[[#This Row],[avg_number_of_purchases]]*Table1345[[#This Row],[avg_purchase_value]]*Table1345[[#This Row],[expected_lifespan]]</f>
        <v>93657.418983957206</v>
      </c>
      <c r="N255" t="s">
        <v>12042</v>
      </c>
    </row>
    <row r="256" spans="1:14" x14ac:dyDescent="0.3">
      <c r="A256" s="2" t="s">
        <v>254</v>
      </c>
      <c r="B256" s="2" t="s">
        <v>12040</v>
      </c>
      <c r="C256" s="2">
        <v>39</v>
      </c>
      <c r="D256" s="2" t="s">
        <v>12049</v>
      </c>
      <c r="E256" s="2">
        <f>COUNTIF(Table16[customer_id],Table13[[#This Row],[customer_id]])</f>
        <v>5</v>
      </c>
      <c r="F256" s="13">
        <f>SUMIFS(Table16[Purchase_history],Table16[customer_id],Table13[[#This Row],[customer_id]])</f>
        <v>13383.3</v>
      </c>
      <c r="G256" s="20">
        <v>44238</v>
      </c>
      <c r="H256" s="21">
        <v>44721</v>
      </c>
      <c r="I256" s="15">
        <f>(Table134[[#This Row],[Last_Day]]-Table134[[#This Row],[First_Day]]+1)/365</f>
        <v>1.3260273972602741</v>
      </c>
      <c r="J256" s="59">
        <f>Table134[[#This Row],[number_of_purchases]]/Table134[[#This Row],[customer_total_years]]</f>
        <v>3.7706611570247932</v>
      </c>
      <c r="K256" s="13">
        <f>Table134[[#This Row],[purchase_history]]/Table134[[#This Row],[number_of_purchases]]</f>
        <v>2676.66</v>
      </c>
      <c r="L256" s="2">
        <f>IF(YEAR(Table134[[#This Row],[Last_Day]])=2021,5,IF(YEAR(Table134[[#This Row],[Last_Day]])=2022,7,IF(YEAR(Table134[[#This Row],[Last_Day]])=2023,10,"Không xác định")))</f>
        <v>7</v>
      </c>
      <c r="M256" s="15">
        <f>Table134[[#This Row],[avg_number_of_purchases]]*Table1345[[#This Row],[avg_purchase_value]]*Table1345[[#This Row],[expected_lifespan]]</f>
        <v>70649.44524793388</v>
      </c>
      <c r="N256" t="s">
        <v>12044</v>
      </c>
    </row>
    <row r="257" spans="1:14" x14ac:dyDescent="0.3">
      <c r="A257" s="2" t="s">
        <v>255</v>
      </c>
      <c r="B257" s="2" t="s">
        <v>12040</v>
      </c>
      <c r="C257" s="2">
        <v>52</v>
      </c>
      <c r="D257" s="2" t="s">
        <v>12041</v>
      </c>
      <c r="E257" s="2">
        <f>COUNTIF(Table16[customer_id],Table13[[#This Row],[customer_id]])</f>
        <v>3</v>
      </c>
      <c r="F257" s="13">
        <f>SUMIFS(Table16[Purchase_history],Table16[customer_id],Table13[[#This Row],[customer_id]])</f>
        <v>936.08999999999992</v>
      </c>
      <c r="G257" s="20">
        <v>44458</v>
      </c>
      <c r="H257" s="21">
        <v>44933</v>
      </c>
      <c r="I257" s="15">
        <f>(Table134[[#This Row],[Last_Day]]-Table134[[#This Row],[First_Day]]+1)/365</f>
        <v>1.3041095890410959</v>
      </c>
      <c r="J257" s="59">
        <f>Table134[[#This Row],[number_of_purchases]]/Table134[[#This Row],[customer_total_years]]</f>
        <v>2.3004201680672272</v>
      </c>
      <c r="K257" s="13">
        <f>Table134[[#This Row],[purchase_history]]/Table134[[#This Row],[number_of_purchases]]</f>
        <v>312.02999999999997</v>
      </c>
      <c r="L257" s="2">
        <f>IF(YEAR(Table134[[#This Row],[Last_Day]])=2021,5,IF(YEAR(Table134[[#This Row],[Last_Day]])=2022,7,IF(YEAR(Table134[[#This Row],[Last_Day]])=2023,10,"Không xác định")))</f>
        <v>10</v>
      </c>
      <c r="M257" s="15">
        <f>Table134[[#This Row],[avg_number_of_purchases]]*Table1345[[#This Row],[avg_purchase_value]]*Table1345[[#This Row],[expected_lifespan]]</f>
        <v>7178.0010504201691</v>
      </c>
      <c r="N257" t="s">
        <v>12042</v>
      </c>
    </row>
    <row r="258" spans="1:14" x14ac:dyDescent="0.3">
      <c r="A258" s="2" t="s">
        <v>256</v>
      </c>
      <c r="B258" s="2" t="s">
        <v>12045</v>
      </c>
      <c r="C258" s="2">
        <v>69</v>
      </c>
      <c r="D258" s="2" t="s">
        <v>12043</v>
      </c>
      <c r="E258" s="2">
        <f>COUNTIF(Table16[customer_id],Table13[[#This Row],[customer_id]])</f>
        <v>6</v>
      </c>
      <c r="F258" s="13">
        <f>SUMIFS(Table16[Purchase_history],Table16[customer_id],Table13[[#This Row],[customer_id]])</f>
        <v>15386.840000000002</v>
      </c>
      <c r="G258" s="20">
        <v>44333</v>
      </c>
      <c r="H258" s="21">
        <v>44626</v>
      </c>
      <c r="I258" s="15">
        <f>(Table134[[#This Row],[Last_Day]]-Table134[[#This Row],[First_Day]]+1)/365</f>
        <v>0.80547945205479454</v>
      </c>
      <c r="J258" s="59">
        <f>Table134[[#This Row],[number_of_purchases]]/Table134[[#This Row],[customer_total_years]]</f>
        <v>7.4489795918367347</v>
      </c>
      <c r="K258" s="13">
        <f>Table134[[#This Row],[purchase_history]]/Table134[[#This Row],[number_of_purchases]]</f>
        <v>2564.4733333333338</v>
      </c>
      <c r="L258" s="2">
        <f>IF(YEAR(Table134[[#This Row],[Last_Day]])=2021,5,IF(YEAR(Table134[[#This Row],[Last_Day]])=2022,7,IF(YEAR(Table134[[#This Row],[Last_Day]])=2023,10,"Không xác định")))</f>
        <v>7</v>
      </c>
      <c r="M258" s="15">
        <f>Table134[[#This Row],[avg_number_of_purchases]]*Table1345[[#This Row],[avg_purchase_value]]*Table1345[[#This Row],[expected_lifespan]]</f>
        <v>133718.9666666667</v>
      </c>
      <c r="N258" t="s">
        <v>12046</v>
      </c>
    </row>
    <row r="259" spans="1:14" x14ac:dyDescent="0.3">
      <c r="A259" s="2" t="s">
        <v>257</v>
      </c>
      <c r="B259" s="2" t="s">
        <v>12045</v>
      </c>
      <c r="C259" s="2">
        <v>43</v>
      </c>
      <c r="D259" s="2" t="s">
        <v>12043</v>
      </c>
      <c r="E259" s="2">
        <f>COUNTIF(Table16[customer_id],Table13[[#This Row],[customer_id]])</f>
        <v>6</v>
      </c>
      <c r="F259" s="13">
        <f>SUMIFS(Table16[Purchase_history],Table16[customer_id],Table13[[#This Row],[customer_id]])</f>
        <v>10627.15</v>
      </c>
      <c r="G259" s="20">
        <v>44250</v>
      </c>
      <c r="H259" s="21">
        <v>44969</v>
      </c>
      <c r="I259" s="15">
        <f>(Table134[[#This Row],[Last_Day]]-Table134[[#This Row],[First_Day]]+1)/365</f>
        <v>1.9726027397260273</v>
      </c>
      <c r="J259" s="59">
        <f>Table134[[#This Row],[number_of_purchases]]/Table134[[#This Row],[customer_total_years]]</f>
        <v>3.041666666666667</v>
      </c>
      <c r="K259" s="13">
        <f>Table134[[#This Row],[purchase_history]]/Table134[[#This Row],[number_of_purchases]]</f>
        <v>1771.1916666666666</v>
      </c>
      <c r="L259" s="2">
        <f>IF(YEAR(Table134[[#This Row],[Last_Day]])=2021,5,IF(YEAR(Table134[[#This Row],[Last_Day]])=2022,7,IF(YEAR(Table134[[#This Row],[Last_Day]])=2023,10,"Không xác định")))</f>
        <v>10</v>
      </c>
      <c r="M259" s="15">
        <f>Table134[[#This Row],[avg_number_of_purchases]]*Table1345[[#This Row],[avg_purchase_value]]*Table1345[[#This Row],[expected_lifespan]]</f>
        <v>53873.746527777781</v>
      </c>
      <c r="N259" t="s">
        <v>12044</v>
      </c>
    </row>
    <row r="260" spans="1:14" x14ac:dyDescent="0.3">
      <c r="A260" s="2" t="s">
        <v>258</v>
      </c>
      <c r="B260" s="2" t="s">
        <v>12040</v>
      </c>
      <c r="C260" s="2">
        <v>54</v>
      </c>
      <c r="D260" s="2" t="s">
        <v>12041</v>
      </c>
      <c r="E260" s="2">
        <f>COUNTIF(Table16[customer_id],Table13[[#This Row],[customer_id]])</f>
        <v>7</v>
      </c>
      <c r="F260" s="13">
        <f>SUMIFS(Table16[Purchase_history],Table16[customer_id],Table13[[#This Row],[customer_id]])</f>
        <v>15782.99</v>
      </c>
      <c r="G260" s="20">
        <v>44197</v>
      </c>
      <c r="H260" s="21">
        <v>44693</v>
      </c>
      <c r="I260" s="15">
        <f>(Table134[[#This Row],[Last_Day]]-Table134[[#This Row],[First_Day]]+1)/365</f>
        <v>1.3616438356164384</v>
      </c>
      <c r="J260" s="59">
        <f>Table134[[#This Row],[number_of_purchases]]/Table134[[#This Row],[customer_total_years]]</f>
        <v>5.140845070422535</v>
      </c>
      <c r="K260" s="13">
        <f>Table134[[#This Row],[purchase_history]]/Table134[[#This Row],[number_of_purchases]]</f>
        <v>2254.712857142857</v>
      </c>
      <c r="L260" s="2">
        <f>IF(YEAR(Table134[[#This Row],[Last_Day]])=2021,5,IF(YEAR(Table134[[#This Row],[Last_Day]])=2022,7,IF(YEAR(Table134[[#This Row],[Last_Day]])=2023,10,"Không xác định")))</f>
        <v>7</v>
      </c>
      <c r="M260" s="15">
        <f>Table134[[#This Row],[avg_number_of_purchases]]*Table1345[[#This Row],[avg_purchase_value]]*Table1345[[#This Row],[expected_lifespan]]</f>
        <v>81137.906338028159</v>
      </c>
      <c r="N260" t="s">
        <v>12042</v>
      </c>
    </row>
    <row r="261" spans="1:14" x14ac:dyDescent="0.3">
      <c r="A261" s="2" t="s">
        <v>259</v>
      </c>
      <c r="B261" s="2" t="s">
        <v>12040</v>
      </c>
      <c r="C261" s="2">
        <v>41</v>
      </c>
      <c r="D261" s="2" t="s">
        <v>12041</v>
      </c>
      <c r="E261" s="2">
        <f>COUNTIF(Table16[customer_id],Table13[[#This Row],[customer_id]])</f>
        <v>10</v>
      </c>
      <c r="F261" s="13">
        <f>SUMIFS(Table16[Purchase_history],Table16[customer_id],Table13[[#This Row],[customer_id]])</f>
        <v>28522.840000000004</v>
      </c>
      <c r="G261" s="20">
        <v>44238</v>
      </c>
      <c r="H261" s="21">
        <v>44757</v>
      </c>
      <c r="I261" s="15">
        <f>(Table134[[#This Row],[Last_Day]]-Table134[[#This Row],[First_Day]]+1)/365</f>
        <v>1.4246575342465753</v>
      </c>
      <c r="J261" s="59">
        <f>Table134[[#This Row],[number_of_purchases]]/Table134[[#This Row],[customer_total_years]]</f>
        <v>7.0192307692307701</v>
      </c>
      <c r="K261" s="13">
        <f>Table134[[#This Row],[purchase_history]]/Table134[[#This Row],[number_of_purchases]]</f>
        <v>2852.2840000000006</v>
      </c>
      <c r="L261" s="2">
        <f>IF(YEAR(Table134[[#This Row],[Last_Day]])=2021,5,IF(YEAR(Table134[[#This Row],[Last_Day]])=2022,7,IF(YEAR(Table134[[#This Row],[Last_Day]])=2023,10,"Không xác định")))</f>
        <v>7</v>
      </c>
      <c r="M261" s="15">
        <f>Table134[[#This Row],[avg_number_of_purchases]]*Table1345[[#This Row],[avg_purchase_value]]*Table1345[[#This Row],[expected_lifespan]]</f>
        <v>140145.87730769237</v>
      </c>
      <c r="N261" t="s">
        <v>12042</v>
      </c>
    </row>
    <row r="262" spans="1:14" x14ac:dyDescent="0.3">
      <c r="A262" s="2" t="s">
        <v>260</v>
      </c>
      <c r="B262" s="2" t="s">
        <v>12045</v>
      </c>
      <c r="C262" s="2">
        <v>58</v>
      </c>
      <c r="D262" s="2" t="s">
        <v>12049</v>
      </c>
      <c r="E262" s="2">
        <f>COUNTIF(Table16[customer_id],Table13[[#This Row],[customer_id]])</f>
        <v>4</v>
      </c>
      <c r="F262" s="13">
        <f>SUMIFS(Table16[Purchase_history],Table16[customer_id],Table13[[#This Row],[customer_id]])</f>
        <v>1451.31</v>
      </c>
      <c r="G262" s="20">
        <v>44447</v>
      </c>
      <c r="H262" s="21">
        <v>44980</v>
      </c>
      <c r="I262" s="15">
        <f>(Table134[[#This Row],[Last_Day]]-Table134[[#This Row],[First_Day]]+1)/365</f>
        <v>1.463013698630137</v>
      </c>
      <c r="J262" s="59">
        <f>Table134[[#This Row],[number_of_purchases]]/Table134[[#This Row],[customer_total_years]]</f>
        <v>2.7340823970037453</v>
      </c>
      <c r="K262" s="13">
        <f>Table134[[#This Row],[purchase_history]]/Table134[[#This Row],[number_of_purchases]]</f>
        <v>362.82749999999999</v>
      </c>
      <c r="L262" s="2">
        <f>IF(YEAR(Table134[[#This Row],[Last_Day]])=2021,5,IF(YEAR(Table134[[#This Row],[Last_Day]])=2022,7,IF(YEAR(Table134[[#This Row],[Last_Day]])=2023,10,"Không xác định")))</f>
        <v>10</v>
      </c>
      <c r="M262" s="15">
        <f>Table134[[#This Row],[avg_number_of_purchases]]*Table1345[[#This Row],[avg_purchase_value]]*Table1345[[#This Row],[expected_lifespan]]</f>
        <v>9920.0028089887637</v>
      </c>
      <c r="N262" t="s">
        <v>12044</v>
      </c>
    </row>
    <row r="263" spans="1:14" x14ac:dyDescent="0.3">
      <c r="A263" s="2" t="s">
        <v>261</v>
      </c>
      <c r="B263" s="2" t="s">
        <v>12045</v>
      </c>
      <c r="C263" s="2">
        <v>33</v>
      </c>
      <c r="D263" s="2" t="s">
        <v>12043</v>
      </c>
      <c r="E263" s="2">
        <f>COUNTIF(Table16[customer_id],Table13[[#This Row],[customer_id]])</f>
        <v>3</v>
      </c>
      <c r="F263" s="13">
        <f>SUMIFS(Table16[Purchase_history],Table16[customer_id],Table13[[#This Row],[customer_id]])</f>
        <v>28962.45</v>
      </c>
      <c r="G263" s="20">
        <v>44205</v>
      </c>
      <c r="H263" s="21">
        <v>44543</v>
      </c>
      <c r="I263" s="15">
        <f>(Table134[[#This Row],[Last_Day]]-Table134[[#This Row],[First_Day]]+1)/365</f>
        <v>0.92876712328767119</v>
      </c>
      <c r="J263" s="59">
        <f>Table134[[#This Row],[number_of_purchases]]/Table134[[#This Row],[customer_total_years]]</f>
        <v>3.2300884955752216</v>
      </c>
      <c r="K263" s="13">
        <f>Table134[[#This Row],[purchase_history]]/Table134[[#This Row],[number_of_purchases]]</f>
        <v>9654.15</v>
      </c>
      <c r="L263" s="2">
        <f>IF(YEAR(Table134[[#This Row],[Last_Day]])=2021,5,IF(YEAR(Table134[[#This Row],[Last_Day]])=2022,7,IF(YEAR(Table134[[#This Row],[Last_Day]])=2023,10,"Không xác định")))</f>
        <v>5</v>
      </c>
      <c r="M263" s="15">
        <f>Table134[[#This Row],[avg_number_of_purchases]]*Table1345[[#This Row],[avg_purchase_value]]*Table1345[[#This Row],[expected_lifespan]]</f>
        <v>155918.79424778762</v>
      </c>
      <c r="N263" t="s">
        <v>12046</v>
      </c>
    </row>
    <row r="264" spans="1:14" x14ac:dyDescent="0.3">
      <c r="A264" s="2" t="s">
        <v>262</v>
      </c>
      <c r="B264" s="2" t="s">
        <v>12040</v>
      </c>
      <c r="C264" s="2">
        <v>60</v>
      </c>
      <c r="D264" s="2" t="s">
        <v>12041</v>
      </c>
      <c r="E264" s="2">
        <f>COUNTIF(Table16[customer_id],Table13[[#This Row],[customer_id]])</f>
        <v>2</v>
      </c>
      <c r="F264" s="13">
        <f>SUMIFS(Table16[Purchase_history],Table16[customer_id],Table13[[#This Row],[customer_id]])</f>
        <v>7513.73</v>
      </c>
      <c r="G264" s="20">
        <v>44747</v>
      </c>
      <c r="H264" s="21">
        <v>44771</v>
      </c>
      <c r="I264" s="15">
        <f>(Table134[[#This Row],[Last_Day]]-Table134[[#This Row],[First_Day]]+1)/365</f>
        <v>6.8493150684931503E-2</v>
      </c>
      <c r="J264" s="59">
        <f>Table134[[#This Row],[number_of_purchases]]/Table134[[#This Row],[customer_total_years]]</f>
        <v>29.200000000000003</v>
      </c>
      <c r="K264" s="13">
        <f>Table134[[#This Row],[purchase_history]]/Table134[[#This Row],[number_of_purchases]]</f>
        <v>3756.8649999999998</v>
      </c>
      <c r="L264" s="2">
        <f>IF(YEAR(Table134[[#This Row],[Last_Day]])=2021,5,IF(YEAR(Table134[[#This Row],[Last_Day]])=2022,7,IF(YEAR(Table134[[#This Row],[Last_Day]])=2023,10,"Không xác định")))</f>
        <v>7</v>
      </c>
      <c r="M264" s="15">
        <f>Table134[[#This Row],[avg_number_of_purchases]]*Table1345[[#This Row],[avg_purchase_value]]*Table1345[[#This Row],[expected_lifespan]]</f>
        <v>767903.20600000001</v>
      </c>
      <c r="N264" t="s">
        <v>12046</v>
      </c>
    </row>
    <row r="265" spans="1:14" x14ac:dyDescent="0.3">
      <c r="A265" s="2" t="s">
        <v>263</v>
      </c>
      <c r="B265" s="2" t="s">
        <v>12040</v>
      </c>
      <c r="C265" s="2">
        <v>58</v>
      </c>
      <c r="D265" s="2" t="s">
        <v>12041</v>
      </c>
      <c r="E265" s="2">
        <f>COUNTIF(Table16[customer_id],Table13[[#This Row],[customer_id]])</f>
        <v>2</v>
      </c>
      <c r="F265" s="13">
        <f>SUMIFS(Table16[Purchase_history],Table16[customer_id],Table13[[#This Row],[customer_id]])</f>
        <v>1240.98</v>
      </c>
      <c r="G265" s="20">
        <v>44736</v>
      </c>
      <c r="H265" s="21">
        <v>44898</v>
      </c>
      <c r="I265" s="15">
        <f>(Table134[[#This Row],[Last_Day]]-Table134[[#This Row],[First_Day]]+1)/365</f>
        <v>0.44657534246575342</v>
      </c>
      <c r="J265" s="59">
        <f>Table134[[#This Row],[number_of_purchases]]/Table134[[#This Row],[customer_total_years]]</f>
        <v>4.4785276073619631</v>
      </c>
      <c r="K265" s="13">
        <f>Table134[[#This Row],[purchase_history]]/Table134[[#This Row],[number_of_purchases]]</f>
        <v>620.49</v>
      </c>
      <c r="L265" s="2">
        <f>IF(YEAR(Table134[[#This Row],[Last_Day]])=2021,5,IF(YEAR(Table134[[#This Row],[Last_Day]])=2022,7,IF(YEAR(Table134[[#This Row],[Last_Day]])=2023,10,"Không xác định")))</f>
        <v>7</v>
      </c>
      <c r="M265" s="15">
        <f>Table134[[#This Row],[avg_number_of_purchases]]*Table1345[[#This Row],[avg_purchase_value]]*Table1345[[#This Row],[expected_lifespan]]</f>
        <v>19452.171165644169</v>
      </c>
      <c r="N265" t="s">
        <v>12046</v>
      </c>
    </row>
    <row r="266" spans="1:14" x14ac:dyDescent="0.3">
      <c r="A266" s="2" t="s">
        <v>264</v>
      </c>
      <c r="B266" s="2" t="s">
        <v>12045</v>
      </c>
      <c r="C266" s="2">
        <v>60</v>
      </c>
      <c r="D266" s="2" t="s">
        <v>12041</v>
      </c>
      <c r="E266" s="2">
        <f>COUNTIF(Table16[customer_id],Table13[[#This Row],[customer_id]])</f>
        <v>6</v>
      </c>
      <c r="F266" s="13">
        <f>SUMIFS(Table16[Purchase_history],Table16[customer_id],Table13[[#This Row],[customer_id]])</f>
        <v>20565.91</v>
      </c>
      <c r="G266" s="20">
        <v>44301</v>
      </c>
      <c r="H266" s="21">
        <v>44587</v>
      </c>
      <c r="I266" s="15">
        <f>(Table134[[#This Row],[Last_Day]]-Table134[[#This Row],[First_Day]]+1)/365</f>
        <v>0.78630136986301369</v>
      </c>
      <c r="J266" s="59">
        <f>Table134[[#This Row],[number_of_purchases]]/Table134[[#This Row],[customer_total_years]]</f>
        <v>7.6306620209059233</v>
      </c>
      <c r="K266" s="13">
        <f>Table134[[#This Row],[purchase_history]]/Table134[[#This Row],[number_of_purchases]]</f>
        <v>3427.6516666666666</v>
      </c>
      <c r="L266" s="2">
        <f>IF(YEAR(Table134[[#This Row],[Last_Day]])=2021,5,IF(YEAR(Table134[[#This Row],[Last_Day]])=2022,7,IF(YEAR(Table134[[#This Row],[Last_Day]])=2023,10,"Không xác định")))</f>
        <v>7</v>
      </c>
      <c r="M266" s="15">
        <f>Table134[[#This Row],[avg_number_of_purchases]]*Table1345[[#This Row],[avg_purchase_value]]*Table1345[[#This Row],[expected_lifespan]]</f>
        <v>183086.75975609757</v>
      </c>
      <c r="N266" t="s">
        <v>12042</v>
      </c>
    </row>
    <row r="267" spans="1:14" x14ac:dyDescent="0.3">
      <c r="A267" s="2" t="s">
        <v>265</v>
      </c>
      <c r="B267" s="2" t="s">
        <v>12040</v>
      </c>
      <c r="C267" s="2">
        <v>37</v>
      </c>
      <c r="D267" s="2" t="s">
        <v>12043</v>
      </c>
      <c r="E267" s="2">
        <f>COUNTIF(Table16[customer_id],Table13[[#This Row],[customer_id]])</f>
        <v>6</v>
      </c>
      <c r="F267" s="13">
        <f>SUMIFS(Table16[Purchase_history],Table16[customer_id],Table13[[#This Row],[customer_id]])</f>
        <v>14168.119999999999</v>
      </c>
      <c r="G267" s="20">
        <v>44455</v>
      </c>
      <c r="H267" s="21">
        <v>44984</v>
      </c>
      <c r="I267" s="15">
        <f>(Table134[[#This Row],[Last_Day]]-Table134[[#This Row],[First_Day]]+1)/365</f>
        <v>1.452054794520548</v>
      </c>
      <c r="J267" s="59">
        <f>Table134[[#This Row],[number_of_purchases]]/Table134[[#This Row],[customer_total_years]]</f>
        <v>4.132075471698113</v>
      </c>
      <c r="K267" s="13">
        <f>Table134[[#This Row],[purchase_history]]/Table134[[#This Row],[number_of_purchases]]</f>
        <v>2361.353333333333</v>
      </c>
      <c r="L267" s="2">
        <f>IF(YEAR(Table134[[#This Row],[Last_Day]])=2021,5,IF(YEAR(Table134[[#This Row],[Last_Day]])=2022,7,IF(YEAR(Table134[[#This Row],[Last_Day]])=2023,10,"Không xác định")))</f>
        <v>10</v>
      </c>
      <c r="M267" s="15">
        <f>Table134[[#This Row],[avg_number_of_purchases]]*Table1345[[#This Row],[avg_purchase_value]]*Table1345[[#This Row],[expected_lifespan]]</f>
        <v>97572.901886792446</v>
      </c>
      <c r="N267" t="s">
        <v>12047</v>
      </c>
    </row>
    <row r="268" spans="1:14" x14ac:dyDescent="0.3">
      <c r="A268" s="2" t="s">
        <v>266</v>
      </c>
      <c r="B268" s="2" t="s">
        <v>12045</v>
      </c>
      <c r="C268" s="2">
        <v>62</v>
      </c>
      <c r="D268" s="2" t="s">
        <v>12043</v>
      </c>
      <c r="E268" s="2">
        <f>COUNTIF(Table16[customer_id],Table13[[#This Row],[customer_id]])</f>
        <v>4</v>
      </c>
      <c r="F268" s="13">
        <f>SUMIFS(Table16[Purchase_history],Table16[customer_id],Table13[[#This Row],[customer_id]])</f>
        <v>22506</v>
      </c>
      <c r="G268" s="20">
        <v>44214</v>
      </c>
      <c r="H268" s="21">
        <v>44853</v>
      </c>
      <c r="I268" s="15">
        <f>(Table134[[#This Row],[Last_Day]]-Table134[[#This Row],[First_Day]]+1)/365</f>
        <v>1.7534246575342465</v>
      </c>
      <c r="J268" s="59">
        <f>Table134[[#This Row],[number_of_purchases]]/Table134[[#This Row],[customer_total_years]]</f>
        <v>2.28125</v>
      </c>
      <c r="K268" s="13">
        <f>Table134[[#This Row],[purchase_history]]/Table134[[#This Row],[number_of_purchases]]</f>
        <v>5626.5</v>
      </c>
      <c r="L268" s="2">
        <f>IF(YEAR(Table134[[#This Row],[Last_Day]])=2021,5,IF(YEAR(Table134[[#This Row],[Last_Day]])=2022,7,IF(YEAR(Table134[[#This Row],[Last_Day]])=2023,10,"Không xác định")))</f>
        <v>7</v>
      </c>
      <c r="M268" s="15">
        <f>Table134[[#This Row],[avg_number_of_purchases]]*Table1345[[#This Row],[avg_purchase_value]]*Table1345[[#This Row],[expected_lifespan]]</f>
        <v>89848.171875</v>
      </c>
      <c r="N268" t="s">
        <v>12048</v>
      </c>
    </row>
    <row r="269" spans="1:14" x14ac:dyDescent="0.3">
      <c r="A269" s="2" t="s">
        <v>267</v>
      </c>
      <c r="B269" s="2" t="s">
        <v>12040</v>
      </c>
      <c r="C269" s="2">
        <v>19</v>
      </c>
      <c r="D269" s="2" t="s">
        <v>12041</v>
      </c>
      <c r="E269" s="2">
        <f>COUNTIF(Table16[customer_id],Table13[[#This Row],[customer_id]])</f>
        <v>4</v>
      </c>
      <c r="F269" s="13">
        <f>SUMIFS(Table16[Purchase_history],Table16[customer_id],Table13[[#This Row],[customer_id]])</f>
        <v>1546.23</v>
      </c>
      <c r="G269" s="20">
        <v>44294</v>
      </c>
      <c r="H269" s="21">
        <v>44538</v>
      </c>
      <c r="I269" s="15">
        <f>(Table134[[#This Row],[Last_Day]]-Table134[[#This Row],[First_Day]]+1)/365</f>
        <v>0.67123287671232879</v>
      </c>
      <c r="J269" s="59">
        <f>Table134[[#This Row],[number_of_purchases]]/Table134[[#This Row],[customer_total_years]]</f>
        <v>5.9591836734693873</v>
      </c>
      <c r="K269" s="13">
        <f>Table134[[#This Row],[purchase_history]]/Table134[[#This Row],[number_of_purchases]]</f>
        <v>386.5575</v>
      </c>
      <c r="L269" s="2">
        <f>IF(YEAR(Table134[[#This Row],[Last_Day]])=2021,5,IF(YEAR(Table134[[#This Row],[Last_Day]])=2022,7,IF(YEAR(Table134[[#This Row],[Last_Day]])=2023,10,"Không xác định")))</f>
        <v>5</v>
      </c>
      <c r="M269" s="15">
        <f>Table134[[#This Row],[avg_number_of_purchases]]*Table1345[[#This Row],[avg_purchase_value]]*Table1345[[#This Row],[expected_lifespan]]</f>
        <v>11517.835714285713</v>
      </c>
      <c r="N269" t="s">
        <v>12047</v>
      </c>
    </row>
    <row r="270" spans="1:14" x14ac:dyDescent="0.3">
      <c r="A270" s="2" t="s">
        <v>268</v>
      </c>
      <c r="B270" s="2" t="s">
        <v>12040</v>
      </c>
      <c r="C270" s="2">
        <v>31</v>
      </c>
      <c r="D270" s="2" t="s">
        <v>12043</v>
      </c>
      <c r="E270" s="2">
        <f>COUNTIF(Table16[customer_id],Table13[[#This Row],[customer_id]])</f>
        <v>3</v>
      </c>
      <c r="F270" s="13">
        <f>SUMIFS(Table16[Purchase_history],Table16[customer_id],Table13[[#This Row],[customer_id]])</f>
        <v>7600.83</v>
      </c>
      <c r="G270" s="20">
        <v>44399</v>
      </c>
      <c r="H270" s="21">
        <v>44539</v>
      </c>
      <c r="I270" s="15">
        <f>(Table134[[#This Row],[Last_Day]]-Table134[[#This Row],[First_Day]]+1)/365</f>
        <v>0.38630136986301372</v>
      </c>
      <c r="J270" s="59">
        <f>Table134[[#This Row],[number_of_purchases]]/Table134[[#This Row],[customer_total_years]]</f>
        <v>7.7659574468085104</v>
      </c>
      <c r="K270" s="13">
        <f>Table134[[#This Row],[purchase_history]]/Table134[[#This Row],[number_of_purchases]]</f>
        <v>2533.61</v>
      </c>
      <c r="L270" s="2">
        <f>IF(YEAR(Table134[[#This Row],[Last_Day]])=2021,5,IF(YEAR(Table134[[#This Row],[Last_Day]])=2022,7,IF(YEAR(Table134[[#This Row],[Last_Day]])=2023,10,"Không xác định")))</f>
        <v>5</v>
      </c>
      <c r="M270" s="15">
        <f>Table134[[#This Row],[avg_number_of_purchases]]*Table1345[[#This Row],[avg_purchase_value]]*Table1345[[#This Row],[expected_lifespan]]</f>
        <v>98379.537234042567</v>
      </c>
      <c r="N270" t="s">
        <v>12042</v>
      </c>
    </row>
    <row r="271" spans="1:14" x14ac:dyDescent="0.3">
      <c r="A271" s="2" t="s">
        <v>269</v>
      </c>
      <c r="B271" s="2" t="s">
        <v>12040</v>
      </c>
      <c r="C271" s="2">
        <v>30</v>
      </c>
      <c r="D271" s="2" t="s">
        <v>12043</v>
      </c>
      <c r="E271" s="2">
        <f>COUNTIF(Table16[customer_id],Table13[[#This Row],[customer_id]])</f>
        <v>2</v>
      </c>
      <c r="F271" s="13">
        <f>SUMIFS(Table16[Purchase_history],Table16[customer_id],Table13[[#This Row],[customer_id]])</f>
        <v>1522.8799999999999</v>
      </c>
      <c r="G271" s="20">
        <v>44384</v>
      </c>
      <c r="H271" s="21">
        <v>44532</v>
      </c>
      <c r="I271" s="15">
        <f>(Table134[[#This Row],[Last_Day]]-Table134[[#This Row],[First_Day]]+1)/365</f>
        <v>0.40821917808219177</v>
      </c>
      <c r="J271" s="59">
        <f>Table134[[#This Row],[number_of_purchases]]/Table134[[#This Row],[customer_total_years]]</f>
        <v>4.8993288590604029</v>
      </c>
      <c r="K271" s="13">
        <f>Table134[[#This Row],[purchase_history]]/Table134[[#This Row],[number_of_purchases]]</f>
        <v>761.43999999999994</v>
      </c>
      <c r="L271" s="2">
        <f>IF(YEAR(Table134[[#This Row],[Last_Day]])=2021,5,IF(YEAR(Table134[[#This Row],[Last_Day]])=2022,7,IF(YEAR(Table134[[#This Row],[Last_Day]])=2023,10,"Không xác định")))</f>
        <v>5</v>
      </c>
      <c r="M271" s="15">
        <f>Table134[[#This Row],[avg_number_of_purchases]]*Table1345[[#This Row],[avg_purchase_value]]*Table1345[[#This Row],[expected_lifespan]]</f>
        <v>18652.724832214764</v>
      </c>
      <c r="N271" t="s">
        <v>12044</v>
      </c>
    </row>
    <row r="272" spans="1:14" x14ac:dyDescent="0.3">
      <c r="A272" s="2" t="s">
        <v>270</v>
      </c>
      <c r="B272" s="2" t="s">
        <v>12045</v>
      </c>
      <c r="C272" s="2">
        <v>26</v>
      </c>
      <c r="D272" s="2" t="s">
        <v>12043</v>
      </c>
      <c r="E272" s="2">
        <f>COUNTIF(Table16[customer_id],Table13[[#This Row],[customer_id]])</f>
        <v>4</v>
      </c>
      <c r="F272" s="13">
        <f>SUMIFS(Table16[Purchase_history],Table16[customer_id],Table13[[#This Row],[customer_id]])</f>
        <v>1337.6799999999998</v>
      </c>
      <c r="G272" s="20">
        <v>44199</v>
      </c>
      <c r="H272" s="21">
        <v>44932</v>
      </c>
      <c r="I272" s="15">
        <f>(Table134[[#This Row],[Last_Day]]-Table134[[#This Row],[First_Day]]+1)/365</f>
        <v>2.010958904109589</v>
      </c>
      <c r="J272" s="59">
        <f>Table134[[#This Row],[number_of_purchases]]/Table134[[#This Row],[customer_total_years]]</f>
        <v>1.9891008174386922</v>
      </c>
      <c r="K272" s="13">
        <f>Table134[[#This Row],[purchase_history]]/Table134[[#This Row],[number_of_purchases]]</f>
        <v>334.41999999999996</v>
      </c>
      <c r="L272" s="2">
        <f>IF(YEAR(Table134[[#This Row],[Last_Day]])=2021,5,IF(YEAR(Table134[[#This Row],[Last_Day]])=2022,7,IF(YEAR(Table134[[#This Row],[Last_Day]])=2023,10,"Không xác định")))</f>
        <v>10</v>
      </c>
      <c r="M272" s="15">
        <f>Table134[[#This Row],[avg_number_of_purchases]]*Table1345[[#This Row],[avg_purchase_value]]*Table1345[[#This Row],[expected_lifespan]]</f>
        <v>6651.9509536784735</v>
      </c>
      <c r="N272" t="s">
        <v>12046</v>
      </c>
    </row>
    <row r="273" spans="1:14" x14ac:dyDescent="0.3">
      <c r="A273" s="2" t="s">
        <v>271</v>
      </c>
      <c r="B273" s="2" t="s">
        <v>12045</v>
      </c>
      <c r="C273" s="2">
        <v>38</v>
      </c>
      <c r="D273" s="2" t="s">
        <v>12041</v>
      </c>
      <c r="E273" s="2">
        <f>COUNTIF(Table16[customer_id],Table13[[#This Row],[customer_id]])</f>
        <v>7</v>
      </c>
      <c r="F273" s="13">
        <f>SUMIFS(Table16[Purchase_history],Table16[customer_id],Table13[[#This Row],[customer_id]])</f>
        <v>22165.39</v>
      </c>
      <c r="G273" s="20">
        <v>44207</v>
      </c>
      <c r="H273" s="21">
        <v>44920</v>
      </c>
      <c r="I273" s="15">
        <f>(Table134[[#This Row],[Last_Day]]-Table134[[#This Row],[First_Day]]+1)/365</f>
        <v>1.9561643835616438</v>
      </c>
      <c r="J273" s="59">
        <f>Table134[[#This Row],[number_of_purchases]]/Table134[[#This Row],[customer_total_years]]</f>
        <v>3.5784313725490198</v>
      </c>
      <c r="K273" s="13">
        <f>Table134[[#This Row],[purchase_history]]/Table134[[#This Row],[number_of_purchases]]</f>
        <v>3166.4842857142858</v>
      </c>
      <c r="L273" s="2">
        <f>IF(YEAR(Table134[[#This Row],[Last_Day]])=2021,5,IF(YEAR(Table134[[#This Row],[Last_Day]])=2022,7,IF(YEAR(Table134[[#This Row],[Last_Day]])=2023,10,"Không xác định")))</f>
        <v>7</v>
      </c>
      <c r="M273" s="15">
        <f>Table134[[#This Row],[avg_number_of_purchases]]*Table1345[[#This Row],[avg_purchase_value]]*Table1345[[#This Row],[expected_lifespan]]</f>
        <v>79317.326960784325</v>
      </c>
      <c r="N273" t="s">
        <v>12048</v>
      </c>
    </row>
    <row r="274" spans="1:14" x14ac:dyDescent="0.3">
      <c r="A274" s="2" t="s">
        <v>272</v>
      </c>
      <c r="B274" s="2" t="s">
        <v>12040</v>
      </c>
      <c r="C274" s="2">
        <v>32</v>
      </c>
      <c r="D274" s="2" t="s">
        <v>12049</v>
      </c>
      <c r="E274" s="2">
        <f>COUNTIF(Table16[customer_id],Table13[[#This Row],[customer_id]])</f>
        <v>8</v>
      </c>
      <c r="F274" s="13">
        <f>SUMIFS(Table16[Purchase_history],Table16[customer_id],Table13[[#This Row],[customer_id]])</f>
        <v>17394.960000000003</v>
      </c>
      <c r="G274" s="20">
        <v>44292</v>
      </c>
      <c r="H274" s="21">
        <v>44861</v>
      </c>
      <c r="I274" s="15">
        <f>(Table134[[#This Row],[Last_Day]]-Table134[[#This Row],[First_Day]]+1)/365</f>
        <v>1.5616438356164384</v>
      </c>
      <c r="J274" s="59">
        <f>Table134[[#This Row],[number_of_purchases]]/Table134[[#This Row],[customer_total_years]]</f>
        <v>5.1228070175438596</v>
      </c>
      <c r="K274" s="13">
        <f>Table134[[#This Row],[purchase_history]]/Table134[[#This Row],[number_of_purchases]]</f>
        <v>2174.3700000000003</v>
      </c>
      <c r="L274" s="2">
        <f>IF(YEAR(Table134[[#This Row],[Last_Day]])=2021,5,IF(YEAR(Table134[[#This Row],[Last_Day]])=2022,7,IF(YEAR(Table134[[#This Row],[Last_Day]])=2023,10,"Không xác định")))</f>
        <v>7</v>
      </c>
      <c r="M274" s="15">
        <f>Table134[[#This Row],[avg_number_of_purchases]]*Table1345[[#This Row],[avg_purchase_value]]*Table1345[[#This Row],[expected_lifespan]]</f>
        <v>77972.145263157916</v>
      </c>
      <c r="N274" t="s">
        <v>12042</v>
      </c>
    </row>
    <row r="275" spans="1:14" x14ac:dyDescent="0.3">
      <c r="A275" s="2" t="s">
        <v>273</v>
      </c>
      <c r="B275" s="2" t="s">
        <v>12040</v>
      </c>
      <c r="C275" s="2">
        <v>49</v>
      </c>
      <c r="D275" s="2" t="s">
        <v>12041</v>
      </c>
      <c r="E275" s="2">
        <f>COUNTIF(Table16[customer_id],Table13[[#This Row],[customer_id]])</f>
        <v>4</v>
      </c>
      <c r="F275" s="13">
        <f>SUMIFS(Table16[Purchase_history],Table16[customer_id],Table13[[#This Row],[customer_id]])</f>
        <v>23711.8</v>
      </c>
      <c r="G275" s="20">
        <v>44406</v>
      </c>
      <c r="H275" s="21">
        <v>44809</v>
      </c>
      <c r="I275" s="15">
        <f>(Table134[[#This Row],[Last_Day]]-Table134[[#This Row],[First_Day]]+1)/365</f>
        <v>1.106849315068493</v>
      </c>
      <c r="J275" s="59">
        <f>Table134[[#This Row],[number_of_purchases]]/Table134[[#This Row],[customer_total_years]]</f>
        <v>3.6138613861386144</v>
      </c>
      <c r="K275" s="13">
        <f>Table134[[#This Row],[purchase_history]]/Table134[[#This Row],[number_of_purchases]]</f>
        <v>5927.95</v>
      </c>
      <c r="L275" s="2">
        <f>IF(YEAR(Table134[[#This Row],[Last_Day]])=2021,5,IF(YEAR(Table134[[#This Row],[Last_Day]])=2022,7,IF(YEAR(Table134[[#This Row],[Last_Day]])=2023,10,"Không xác định")))</f>
        <v>7</v>
      </c>
      <c r="M275" s="15">
        <f>Table134[[#This Row],[avg_number_of_purchases]]*Table1345[[#This Row],[avg_purchase_value]]*Table1345[[#This Row],[expected_lifespan]]</f>
        <v>149959.52722772278</v>
      </c>
      <c r="N275" t="s">
        <v>12047</v>
      </c>
    </row>
    <row r="276" spans="1:14" x14ac:dyDescent="0.3">
      <c r="A276" s="2" t="s">
        <v>274</v>
      </c>
      <c r="B276" s="2" t="s">
        <v>12040</v>
      </c>
      <c r="C276" s="2">
        <v>31</v>
      </c>
      <c r="D276" s="2" t="s">
        <v>12043</v>
      </c>
      <c r="E276" s="2">
        <f>COUNTIF(Table16[customer_id],Table13[[#This Row],[customer_id]])</f>
        <v>3</v>
      </c>
      <c r="F276" s="13">
        <f>SUMIFS(Table16[Purchase_history],Table16[customer_id],Table13[[#This Row],[customer_id]])</f>
        <v>894.43999999999994</v>
      </c>
      <c r="G276" s="20">
        <v>44510</v>
      </c>
      <c r="H276" s="21">
        <v>44533</v>
      </c>
      <c r="I276" s="15">
        <f>(Table134[[#This Row],[Last_Day]]-Table134[[#This Row],[First_Day]]+1)/365</f>
        <v>6.575342465753424E-2</v>
      </c>
      <c r="J276" s="59">
        <f>Table134[[#This Row],[number_of_purchases]]/Table134[[#This Row],[customer_total_years]]</f>
        <v>45.625000000000007</v>
      </c>
      <c r="K276" s="13">
        <f>Table134[[#This Row],[purchase_history]]/Table134[[#This Row],[number_of_purchases]]</f>
        <v>298.14666666666665</v>
      </c>
      <c r="L276" s="2">
        <f>IF(YEAR(Table134[[#This Row],[Last_Day]])=2021,5,IF(YEAR(Table134[[#This Row],[Last_Day]])=2022,7,IF(YEAR(Table134[[#This Row],[Last_Day]])=2023,10,"Không xác định")))</f>
        <v>5</v>
      </c>
      <c r="M276" s="15">
        <f>Table134[[#This Row],[avg_number_of_purchases]]*Table1345[[#This Row],[avg_purchase_value]]*Table1345[[#This Row],[expected_lifespan]]</f>
        <v>68014.708333333343</v>
      </c>
      <c r="N276" t="s">
        <v>12047</v>
      </c>
    </row>
    <row r="277" spans="1:14" x14ac:dyDescent="0.3">
      <c r="A277" s="2" t="s">
        <v>275</v>
      </c>
      <c r="B277" s="2" t="s">
        <v>12045</v>
      </c>
      <c r="C277" s="2">
        <v>29</v>
      </c>
      <c r="D277" s="2" t="s">
        <v>12043</v>
      </c>
      <c r="E277" s="2">
        <f>COUNTIF(Table16[customer_id],Table13[[#This Row],[customer_id]])</f>
        <v>6</v>
      </c>
      <c r="F277" s="13">
        <f>SUMIFS(Table16[Purchase_history],Table16[customer_id],Table13[[#This Row],[customer_id]])</f>
        <v>28756.86</v>
      </c>
      <c r="G277" s="20">
        <v>44289</v>
      </c>
      <c r="H277" s="21">
        <v>44980</v>
      </c>
      <c r="I277" s="15">
        <f>(Table134[[#This Row],[Last_Day]]-Table134[[#This Row],[First_Day]]+1)/365</f>
        <v>1.8958904109589041</v>
      </c>
      <c r="J277" s="59">
        <f>Table134[[#This Row],[number_of_purchases]]/Table134[[#This Row],[customer_total_years]]</f>
        <v>3.1647398843930636</v>
      </c>
      <c r="K277" s="13">
        <f>Table134[[#This Row],[purchase_history]]/Table134[[#This Row],[number_of_purchases]]</f>
        <v>4792.8100000000004</v>
      </c>
      <c r="L277" s="2">
        <f>IF(YEAR(Table134[[#This Row],[Last_Day]])=2021,5,IF(YEAR(Table134[[#This Row],[Last_Day]])=2022,7,IF(YEAR(Table134[[#This Row],[Last_Day]])=2023,10,"Không xác định")))</f>
        <v>10</v>
      </c>
      <c r="M277" s="15">
        <f>Table134[[#This Row],[avg_number_of_purchases]]*Table1345[[#This Row],[avg_purchase_value]]*Table1345[[#This Row],[expected_lifespan]]</f>
        <v>151679.96965317923</v>
      </c>
      <c r="N277" t="s">
        <v>12042</v>
      </c>
    </row>
    <row r="278" spans="1:14" x14ac:dyDescent="0.3">
      <c r="A278" s="2" t="s">
        <v>276</v>
      </c>
      <c r="B278" s="2" t="s">
        <v>12040</v>
      </c>
      <c r="C278" s="2">
        <v>21</v>
      </c>
      <c r="D278" s="2" t="s">
        <v>12041</v>
      </c>
      <c r="E278" s="2">
        <f>COUNTIF(Table16[customer_id],Table13[[#This Row],[customer_id]])</f>
        <v>5</v>
      </c>
      <c r="F278" s="13">
        <f>SUMIFS(Table16[Purchase_history],Table16[customer_id],Table13[[#This Row],[customer_id]])</f>
        <v>27502.120000000003</v>
      </c>
      <c r="G278" s="20">
        <v>44450</v>
      </c>
      <c r="H278" s="21">
        <v>44823</v>
      </c>
      <c r="I278" s="15">
        <f>(Table134[[#This Row],[Last_Day]]-Table134[[#This Row],[First_Day]]+1)/365</f>
        <v>1.0246575342465754</v>
      </c>
      <c r="J278" s="59">
        <f>Table134[[#This Row],[number_of_purchases]]/Table134[[#This Row],[customer_total_years]]</f>
        <v>4.8796791443850269</v>
      </c>
      <c r="K278" s="13">
        <f>Table134[[#This Row],[purchase_history]]/Table134[[#This Row],[number_of_purchases]]</f>
        <v>5500.4240000000009</v>
      </c>
      <c r="L278" s="2">
        <f>IF(YEAR(Table134[[#This Row],[Last_Day]])=2021,5,IF(YEAR(Table134[[#This Row],[Last_Day]])=2022,7,IF(YEAR(Table134[[#This Row],[Last_Day]])=2023,10,"Không xác định")))</f>
        <v>7</v>
      </c>
      <c r="M278" s="15">
        <f>Table134[[#This Row],[avg_number_of_purchases]]*Table1345[[#This Row],[avg_purchase_value]]*Table1345[[#This Row],[expected_lifespan]]</f>
        <v>187882.1299465241</v>
      </c>
      <c r="N278" t="s">
        <v>12042</v>
      </c>
    </row>
    <row r="279" spans="1:14" x14ac:dyDescent="0.3">
      <c r="A279" s="2" t="s">
        <v>277</v>
      </c>
      <c r="B279" s="2" t="s">
        <v>12040</v>
      </c>
      <c r="C279" s="2">
        <v>42</v>
      </c>
      <c r="D279" s="2" t="s">
        <v>12049</v>
      </c>
      <c r="E279" s="2">
        <f>COUNTIF(Table16[customer_id],Table13[[#This Row],[customer_id]])</f>
        <v>5</v>
      </c>
      <c r="F279" s="13">
        <f>SUMIFS(Table16[Purchase_history],Table16[customer_id],Table13[[#This Row],[customer_id]])</f>
        <v>629.16</v>
      </c>
      <c r="G279" s="20">
        <v>44443</v>
      </c>
      <c r="H279" s="21">
        <v>44975</v>
      </c>
      <c r="I279" s="15">
        <f>(Table134[[#This Row],[Last_Day]]-Table134[[#This Row],[First_Day]]+1)/365</f>
        <v>1.4602739726027398</v>
      </c>
      <c r="J279" s="59">
        <f>Table134[[#This Row],[number_of_purchases]]/Table134[[#This Row],[customer_total_years]]</f>
        <v>3.424015009380863</v>
      </c>
      <c r="K279" s="13">
        <f>Table134[[#This Row],[purchase_history]]/Table134[[#This Row],[number_of_purchases]]</f>
        <v>125.83199999999999</v>
      </c>
      <c r="L279" s="2">
        <f>IF(YEAR(Table134[[#This Row],[Last_Day]])=2021,5,IF(YEAR(Table134[[#This Row],[Last_Day]])=2022,7,IF(YEAR(Table134[[#This Row],[Last_Day]])=2023,10,"Không xác định")))</f>
        <v>10</v>
      </c>
      <c r="M279" s="15">
        <f>Table134[[#This Row],[avg_number_of_purchases]]*Table1345[[#This Row],[avg_purchase_value]]*Table1345[[#This Row],[expected_lifespan]]</f>
        <v>4308.5065666041273</v>
      </c>
      <c r="N279" t="s">
        <v>12042</v>
      </c>
    </row>
    <row r="280" spans="1:14" x14ac:dyDescent="0.3">
      <c r="A280" s="2" t="s">
        <v>278</v>
      </c>
      <c r="B280" s="2" t="s">
        <v>12045</v>
      </c>
      <c r="C280" s="2">
        <v>54</v>
      </c>
      <c r="D280" s="2" t="s">
        <v>12041</v>
      </c>
      <c r="E280" s="2">
        <f>COUNTIF(Table16[customer_id],Table13[[#This Row],[customer_id]])</f>
        <v>2</v>
      </c>
      <c r="F280" s="13">
        <f>SUMIFS(Table16[Purchase_history],Table16[customer_id],Table13[[#This Row],[customer_id]])</f>
        <v>329.09000000000003</v>
      </c>
      <c r="G280" s="20">
        <v>44441</v>
      </c>
      <c r="H280" s="21">
        <v>44662</v>
      </c>
      <c r="I280" s="15">
        <f>(Table134[[#This Row],[Last_Day]]-Table134[[#This Row],[First_Day]]+1)/365</f>
        <v>0.60821917808219184</v>
      </c>
      <c r="J280" s="59">
        <f>Table134[[#This Row],[number_of_purchases]]/Table134[[#This Row],[customer_total_years]]</f>
        <v>3.288288288288288</v>
      </c>
      <c r="K280" s="13">
        <f>Table134[[#This Row],[purchase_history]]/Table134[[#This Row],[number_of_purchases]]</f>
        <v>164.54500000000002</v>
      </c>
      <c r="L280" s="2">
        <f>IF(YEAR(Table134[[#This Row],[Last_Day]])=2021,5,IF(YEAR(Table134[[#This Row],[Last_Day]])=2022,7,IF(YEAR(Table134[[#This Row],[Last_Day]])=2023,10,"Không xác định")))</f>
        <v>7</v>
      </c>
      <c r="M280" s="15">
        <f>Table134[[#This Row],[avg_number_of_purchases]]*Table1345[[#This Row],[avg_purchase_value]]*Table1345[[#This Row],[expected_lifespan]]</f>
        <v>3787.4997747747748</v>
      </c>
      <c r="N280" t="s">
        <v>12048</v>
      </c>
    </row>
    <row r="281" spans="1:14" x14ac:dyDescent="0.3">
      <c r="A281" s="2" t="s">
        <v>279</v>
      </c>
      <c r="B281" s="2" t="s">
        <v>12045</v>
      </c>
      <c r="C281" s="2">
        <v>39</v>
      </c>
      <c r="D281" s="2" t="s">
        <v>12049</v>
      </c>
      <c r="E281" s="2">
        <f>COUNTIF(Table16[customer_id],Table13[[#This Row],[customer_id]])</f>
        <v>8</v>
      </c>
      <c r="F281" s="13">
        <f>SUMIFS(Table16[Purchase_history],Table16[customer_id],Table13[[#This Row],[customer_id]])</f>
        <v>8675.48</v>
      </c>
      <c r="G281" s="20">
        <v>44241</v>
      </c>
      <c r="H281" s="21">
        <v>44984</v>
      </c>
      <c r="I281" s="15">
        <f>(Table134[[#This Row],[Last_Day]]-Table134[[#This Row],[First_Day]]+1)/365</f>
        <v>2.0383561643835617</v>
      </c>
      <c r="J281" s="59">
        <f>Table134[[#This Row],[number_of_purchases]]/Table134[[#This Row],[customer_total_years]]</f>
        <v>3.924731182795699</v>
      </c>
      <c r="K281" s="13">
        <f>Table134[[#This Row],[purchase_history]]/Table134[[#This Row],[number_of_purchases]]</f>
        <v>1084.4349999999999</v>
      </c>
      <c r="L281" s="2">
        <f>IF(YEAR(Table134[[#This Row],[Last_Day]])=2021,5,IF(YEAR(Table134[[#This Row],[Last_Day]])=2022,7,IF(YEAR(Table134[[#This Row],[Last_Day]])=2023,10,"Không xác định")))</f>
        <v>10</v>
      </c>
      <c r="M281" s="15">
        <f>Table134[[#This Row],[avg_number_of_purchases]]*Table1345[[#This Row],[avg_purchase_value]]*Table1345[[#This Row],[expected_lifespan]]</f>
        <v>42561.158602150535</v>
      </c>
      <c r="N281" t="s">
        <v>12047</v>
      </c>
    </row>
    <row r="282" spans="1:14" x14ac:dyDescent="0.3">
      <c r="A282" s="2" t="s">
        <v>280</v>
      </c>
      <c r="B282" s="2" t="s">
        <v>12040</v>
      </c>
      <c r="C282" s="2">
        <v>57</v>
      </c>
      <c r="D282" s="2" t="s">
        <v>12043</v>
      </c>
      <c r="E282" s="2">
        <f>COUNTIF(Table16[customer_id],Table13[[#This Row],[customer_id]])</f>
        <v>5</v>
      </c>
      <c r="F282" s="13">
        <f>SUMIFS(Table16[Purchase_history],Table16[customer_id],Table13[[#This Row],[customer_id]])</f>
        <v>6489.0299999999988</v>
      </c>
      <c r="G282" s="20">
        <v>44289</v>
      </c>
      <c r="H282" s="21">
        <v>44968</v>
      </c>
      <c r="I282" s="15">
        <f>(Table134[[#This Row],[Last_Day]]-Table134[[#This Row],[First_Day]]+1)/365</f>
        <v>1.8630136986301369</v>
      </c>
      <c r="J282" s="59">
        <f>Table134[[#This Row],[number_of_purchases]]/Table134[[#This Row],[customer_total_years]]</f>
        <v>2.6838235294117649</v>
      </c>
      <c r="K282" s="13">
        <f>Table134[[#This Row],[purchase_history]]/Table134[[#This Row],[number_of_purchases]]</f>
        <v>1297.8059999999998</v>
      </c>
      <c r="L282" s="2">
        <f>IF(YEAR(Table134[[#This Row],[Last_Day]])=2021,5,IF(YEAR(Table134[[#This Row],[Last_Day]])=2022,7,IF(YEAR(Table134[[#This Row],[Last_Day]])=2023,10,"Không xác định")))</f>
        <v>10</v>
      </c>
      <c r="M282" s="15">
        <f>Table134[[#This Row],[avg_number_of_purchases]]*Table1345[[#This Row],[avg_purchase_value]]*Table1345[[#This Row],[expected_lifespan]]</f>
        <v>34830.822794117645</v>
      </c>
      <c r="N282" t="s">
        <v>12048</v>
      </c>
    </row>
    <row r="283" spans="1:14" x14ac:dyDescent="0.3">
      <c r="A283" s="2" t="s">
        <v>281</v>
      </c>
      <c r="B283" s="2" t="s">
        <v>12045</v>
      </c>
      <c r="C283" s="2">
        <v>42</v>
      </c>
      <c r="D283" s="2" t="s">
        <v>12041</v>
      </c>
      <c r="E283" s="2">
        <f>COUNTIF(Table16[customer_id],Table13[[#This Row],[customer_id]])</f>
        <v>5</v>
      </c>
      <c r="F283" s="13">
        <f>SUMIFS(Table16[Purchase_history],Table16[customer_id],Table13[[#This Row],[customer_id]])</f>
        <v>8690.32</v>
      </c>
      <c r="G283" s="20">
        <v>44305</v>
      </c>
      <c r="H283" s="21">
        <v>44930</v>
      </c>
      <c r="I283" s="15">
        <f>(Table134[[#This Row],[Last_Day]]-Table134[[#This Row],[First_Day]]+1)/365</f>
        <v>1.715068493150685</v>
      </c>
      <c r="J283" s="59">
        <f>Table134[[#This Row],[number_of_purchases]]/Table134[[#This Row],[customer_total_years]]</f>
        <v>2.9153354632587858</v>
      </c>
      <c r="K283" s="13">
        <f>Table134[[#This Row],[purchase_history]]/Table134[[#This Row],[number_of_purchases]]</f>
        <v>1738.0639999999999</v>
      </c>
      <c r="L283" s="2">
        <f>IF(YEAR(Table134[[#This Row],[Last_Day]])=2021,5,IF(YEAR(Table134[[#This Row],[Last_Day]])=2022,7,IF(YEAR(Table134[[#This Row],[Last_Day]])=2023,10,"Không xác định")))</f>
        <v>10</v>
      </c>
      <c r="M283" s="15">
        <f>Table134[[#This Row],[avg_number_of_purchases]]*Table1345[[#This Row],[avg_purchase_value]]*Table1345[[#This Row],[expected_lifespan]]</f>
        <v>50670.396166134175</v>
      </c>
      <c r="N283" t="s">
        <v>12042</v>
      </c>
    </row>
    <row r="284" spans="1:14" x14ac:dyDescent="0.3">
      <c r="A284" s="2" t="s">
        <v>282</v>
      </c>
      <c r="B284" s="2" t="s">
        <v>12045</v>
      </c>
      <c r="C284" s="2">
        <v>28</v>
      </c>
      <c r="D284" s="2" t="s">
        <v>12041</v>
      </c>
      <c r="E284" s="2">
        <f>COUNTIF(Table16[customer_id],Table13[[#This Row],[customer_id]])</f>
        <v>7</v>
      </c>
      <c r="F284" s="13">
        <f>SUMIFS(Table16[Purchase_history],Table16[customer_id],Table13[[#This Row],[customer_id]])</f>
        <v>36491.47</v>
      </c>
      <c r="G284" s="20">
        <v>44277</v>
      </c>
      <c r="H284" s="21">
        <v>44971</v>
      </c>
      <c r="I284" s="15">
        <f>(Table134[[#This Row],[Last_Day]]-Table134[[#This Row],[First_Day]]+1)/365</f>
        <v>1.904109589041096</v>
      </c>
      <c r="J284" s="59">
        <f>Table134[[#This Row],[number_of_purchases]]/Table134[[#This Row],[customer_total_years]]</f>
        <v>3.6762589928057552</v>
      </c>
      <c r="K284" s="13">
        <f>Table134[[#This Row],[purchase_history]]/Table134[[#This Row],[number_of_purchases]]</f>
        <v>5213.0671428571432</v>
      </c>
      <c r="L284" s="2">
        <f>IF(YEAR(Table134[[#This Row],[Last_Day]])=2021,5,IF(YEAR(Table134[[#This Row],[Last_Day]])=2022,7,IF(YEAR(Table134[[#This Row],[Last_Day]])=2023,10,"Không xác định")))</f>
        <v>10</v>
      </c>
      <c r="M284" s="15">
        <f>Table134[[#This Row],[avg_number_of_purchases]]*Table1345[[#This Row],[avg_purchase_value]]*Table1345[[#This Row],[expected_lifespan]]</f>
        <v>191645.84964028778</v>
      </c>
      <c r="N284" t="s">
        <v>12044</v>
      </c>
    </row>
    <row r="285" spans="1:14" x14ac:dyDescent="0.3">
      <c r="A285" s="2" t="s">
        <v>283</v>
      </c>
      <c r="B285" s="2" t="s">
        <v>12040</v>
      </c>
      <c r="C285" s="2">
        <v>19</v>
      </c>
      <c r="D285" s="2" t="s">
        <v>12041</v>
      </c>
      <c r="E285" s="2">
        <f>COUNTIF(Table16[customer_id],Table13[[#This Row],[customer_id]])</f>
        <v>6</v>
      </c>
      <c r="F285" s="13">
        <f>SUMIFS(Table16[Purchase_history],Table16[customer_id],Table13[[#This Row],[customer_id]])</f>
        <v>17686.919999999998</v>
      </c>
      <c r="G285" s="20">
        <v>44219</v>
      </c>
      <c r="H285" s="21">
        <v>44863</v>
      </c>
      <c r="I285" s="15">
        <f>(Table134[[#This Row],[Last_Day]]-Table134[[#This Row],[First_Day]]+1)/365</f>
        <v>1.7671232876712328</v>
      </c>
      <c r="J285" s="59">
        <f>Table134[[#This Row],[number_of_purchases]]/Table134[[#This Row],[customer_total_years]]</f>
        <v>3.3953488372093026</v>
      </c>
      <c r="K285" s="13">
        <f>Table134[[#This Row],[purchase_history]]/Table134[[#This Row],[number_of_purchases]]</f>
        <v>2947.8199999999997</v>
      </c>
      <c r="L285" s="2">
        <f>IF(YEAR(Table134[[#This Row],[Last_Day]])=2021,5,IF(YEAR(Table134[[#This Row],[Last_Day]])=2022,7,IF(YEAR(Table134[[#This Row],[Last_Day]])=2023,10,"Không xác định")))</f>
        <v>7</v>
      </c>
      <c r="M285" s="15">
        <f>Table134[[#This Row],[avg_number_of_purchases]]*Table1345[[#This Row],[avg_purchase_value]]*Table1345[[#This Row],[expected_lifespan]]</f>
        <v>70062.140465116274</v>
      </c>
      <c r="N285" t="s">
        <v>12044</v>
      </c>
    </row>
    <row r="286" spans="1:14" x14ac:dyDescent="0.3">
      <c r="A286" s="2" t="s">
        <v>284</v>
      </c>
      <c r="B286" s="2" t="s">
        <v>12045</v>
      </c>
      <c r="C286" s="2">
        <v>28</v>
      </c>
      <c r="D286" s="2" t="s">
        <v>12041</v>
      </c>
      <c r="E286" s="2">
        <f>COUNTIF(Table16[customer_id],Table13[[#This Row],[customer_id]])</f>
        <v>7</v>
      </c>
      <c r="F286" s="13">
        <f>SUMIFS(Table16[Purchase_history],Table16[customer_id],Table13[[#This Row],[customer_id]])</f>
        <v>11857.550000000001</v>
      </c>
      <c r="G286" s="20">
        <v>44310</v>
      </c>
      <c r="H286" s="21">
        <v>44888</v>
      </c>
      <c r="I286" s="15">
        <f>(Table134[[#This Row],[Last_Day]]-Table134[[#This Row],[First_Day]]+1)/365</f>
        <v>1.5863013698630137</v>
      </c>
      <c r="J286" s="59">
        <f>Table134[[#This Row],[number_of_purchases]]/Table134[[#This Row],[customer_total_years]]</f>
        <v>4.4127806563039726</v>
      </c>
      <c r="K286" s="13">
        <f>Table134[[#This Row],[purchase_history]]/Table134[[#This Row],[number_of_purchases]]</f>
        <v>1693.9357142857145</v>
      </c>
      <c r="L286" s="2">
        <f>IF(YEAR(Table134[[#This Row],[Last_Day]])=2021,5,IF(YEAR(Table134[[#This Row],[Last_Day]])=2022,7,IF(YEAR(Table134[[#This Row],[Last_Day]])=2023,10,"Không xác định")))</f>
        <v>7</v>
      </c>
      <c r="M286" s="15">
        <f>Table134[[#This Row],[avg_number_of_purchases]]*Table1345[[#This Row],[avg_purchase_value]]*Table1345[[#This Row],[expected_lifespan]]</f>
        <v>52324.767271157179</v>
      </c>
      <c r="N286" t="s">
        <v>12047</v>
      </c>
    </row>
    <row r="287" spans="1:14" x14ac:dyDescent="0.3">
      <c r="A287" s="2" t="s">
        <v>285</v>
      </c>
      <c r="B287" s="2" t="s">
        <v>12040</v>
      </c>
      <c r="C287" s="2">
        <v>66</v>
      </c>
      <c r="D287" s="2" t="s">
        <v>12041</v>
      </c>
      <c r="E287" s="2">
        <f>COUNTIF(Table16[customer_id],Table13[[#This Row],[customer_id]])</f>
        <v>6</v>
      </c>
      <c r="F287" s="13">
        <f>SUMIFS(Table16[Purchase_history],Table16[customer_id],Table13[[#This Row],[customer_id]])</f>
        <v>10247.82</v>
      </c>
      <c r="G287" s="20">
        <v>44409</v>
      </c>
      <c r="H287" s="21">
        <v>44939</v>
      </c>
      <c r="I287" s="15">
        <f>(Table134[[#This Row],[Last_Day]]-Table134[[#This Row],[First_Day]]+1)/365</f>
        <v>1.4547945205479451</v>
      </c>
      <c r="J287" s="59">
        <f>Table134[[#This Row],[number_of_purchases]]/Table134[[#This Row],[customer_total_years]]</f>
        <v>4.1242937853107344</v>
      </c>
      <c r="K287" s="13">
        <f>Table134[[#This Row],[purchase_history]]/Table134[[#This Row],[number_of_purchases]]</f>
        <v>1707.97</v>
      </c>
      <c r="L287" s="2">
        <f>IF(YEAR(Table134[[#This Row],[Last_Day]])=2021,5,IF(YEAR(Table134[[#This Row],[Last_Day]])=2022,7,IF(YEAR(Table134[[#This Row],[Last_Day]])=2023,10,"Không xác định")))</f>
        <v>10</v>
      </c>
      <c r="M287" s="15">
        <f>Table134[[#This Row],[avg_number_of_purchases]]*Table1345[[#This Row],[avg_purchase_value]]*Table1345[[#This Row],[expected_lifespan]]</f>
        <v>70441.700564971747</v>
      </c>
      <c r="N287" t="s">
        <v>12047</v>
      </c>
    </row>
    <row r="288" spans="1:14" x14ac:dyDescent="0.3">
      <c r="A288" s="2" t="s">
        <v>286</v>
      </c>
      <c r="B288" s="2" t="s">
        <v>12040</v>
      </c>
      <c r="C288" s="2">
        <v>45</v>
      </c>
      <c r="D288" s="2" t="s">
        <v>12041</v>
      </c>
      <c r="E288" s="2">
        <f>COUNTIF(Table16[customer_id],Table13[[#This Row],[customer_id]])</f>
        <v>5</v>
      </c>
      <c r="F288" s="13">
        <f>SUMIFS(Table16[Purchase_history],Table16[customer_id],Table13[[#This Row],[customer_id]])</f>
        <v>14953.36</v>
      </c>
      <c r="G288" s="20">
        <v>44253</v>
      </c>
      <c r="H288" s="21">
        <v>44846</v>
      </c>
      <c r="I288" s="15">
        <f>(Table134[[#This Row],[Last_Day]]-Table134[[#This Row],[First_Day]]+1)/365</f>
        <v>1.6273972602739726</v>
      </c>
      <c r="J288" s="59">
        <f>Table134[[#This Row],[number_of_purchases]]/Table134[[#This Row],[customer_total_years]]</f>
        <v>3.0723905723905722</v>
      </c>
      <c r="K288" s="13">
        <f>Table134[[#This Row],[purchase_history]]/Table134[[#This Row],[number_of_purchases]]</f>
        <v>2990.672</v>
      </c>
      <c r="L288" s="2">
        <f>IF(YEAR(Table134[[#This Row],[Last_Day]])=2021,5,IF(YEAR(Table134[[#This Row],[Last_Day]])=2022,7,IF(YEAR(Table134[[#This Row],[Last_Day]])=2023,10,"Không xác định")))</f>
        <v>7</v>
      </c>
      <c r="M288" s="15">
        <f>Table134[[#This Row],[avg_number_of_purchases]]*Table1345[[#This Row],[avg_purchase_value]]*Table1345[[#This Row],[expected_lifespan]]</f>
        <v>64319.587205387201</v>
      </c>
      <c r="N288" t="s">
        <v>12044</v>
      </c>
    </row>
    <row r="289" spans="1:14" x14ac:dyDescent="0.3">
      <c r="A289" s="2" t="s">
        <v>287</v>
      </c>
      <c r="B289" s="2" t="s">
        <v>12040</v>
      </c>
      <c r="C289" s="2">
        <v>26</v>
      </c>
      <c r="D289" s="2" t="s">
        <v>12043</v>
      </c>
      <c r="E289" s="2">
        <f>COUNTIF(Table16[customer_id],Table13[[#This Row],[customer_id]])</f>
        <v>4</v>
      </c>
      <c r="F289" s="13">
        <f>SUMIFS(Table16[Purchase_history],Table16[customer_id],Table13[[#This Row],[customer_id]])</f>
        <v>12574.64</v>
      </c>
      <c r="G289" s="20">
        <v>44242</v>
      </c>
      <c r="H289" s="21">
        <v>44695</v>
      </c>
      <c r="I289" s="15">
        <f>(Table134[[#This Row],[Last_Day]]-Table134[[#This Row],[First_Day]]+1)/365</f>
        <v>1.2438356164383562</v>
      </c>
      <c r="J289" s="59">
        <f>Table134[[#This Row],[number_of_purchases]]/Table134[[#This Row],[customer_total_years]]</f>
        <v>3.2158590308370045</v>
      </c>
      <c r="K289" s="13">
        <f>Table134[[#This Row],[purchase_history]]/Table134[[#This Row],[number_of_purchases]]</f>
        <v>3143.66</v>
      </c>
      <c r="L289" s="2">
        <f>IF(YEAR(Table134[[#This Row],[Last_Day]])=2021,5,IF(YEAR(Table134[[#This Row],[Last_Day]])=2022,7,IF(YEAR(Table134[[#This Row],[Last_Day]])=2023,10,"Không xác định")))</f>
        <v>7</v>
      </c>
      <c r="M289" s="15">
        <f>Table134[[#This Row],[avg_number_of_purchases]]*Table1345[[#This Row],[avg_purchase_value]]*Table1345[[#This Row],[expected_lifespan]]</f>
        <v>70766.971806167392</v>
      </c>
      <c r="N289" t="s">
        <v>12042</v>
      </c>
    </row>
    <row r="290" spans="1:14" x14ac:dyDescent="0.3">
      <c r="A290" s="2" t="s">
        <v>288</v>
      </c>
      <c r="B290" s="2" t="s">
        <v>12045</v>
      </c>
      <c r="C290" s="2">
        <v>23</v>
      </c>
      <c r="D290" s="2" t="s">
        <v>12043</v>
      </c>
      <c r="E290" s="2">
        <f>COUNTIF(Table16[customer_id],Table13[[#This Row],[customer_id]])</f>
        <v>6</v>
      </c>
      <c r="F290" s="13">
        <f>SUMIFS(Table16[Purchase_history],Table16[customer_id],Table13[[#This Row],[customer_id]])</f>
        <v>21435.64</v>
      </c>
      <c r="G290" s="20">
        <v>44461</v>
      </c>
      <c r="H290" s="21">
        <v>44980</v>
      </c>
      <c r="I290" s="15">
        <f>(Table134[[#This Row],[Last_Day]]-Table134[[#This Row],[First_Day]]+1)/365</f>
        <v>1.4246575342465753</v>
      </c>
      <c r="J290" s="59">
        <f>Table134[[#This Row],[number_of_purchases]]/Table134[[#This Row],[customer_total_years]]</f>
        <v>4.2115384615384617</v>
      </c>
      <c r="K290" s="13">
        <f>Table134[[#This Row],[purchase_history]]/Table134[[#This Row],[number_of_purchases]]</f>
        <v>3572.6066666666666</v>
      </c>
      <c r="L290" s="2">
        <f>IF(YEAR(Table134[[#This Row],[Last_Day]])=2021,5,IF(YEAR(Table134[[#This Row],[Last_Day]])=2022,7,IF(YEAR(Table134[[#This Row],[Last_Day]])=2023,10,"Không xác định")))</f>
        <v>10</v>
      </c>
      <c r="M290" s="15">
        <f>Table134[[#This Row],[avg_number_of_purchases]]*Table1345[[#This Row],[avg_purchase_value]]*Table1345[[#This Row],[expected_lifespan]]</f>
        <v>150461.70384615386</v>
      </c>
      <c r="N290" t="s">
        <v>12046</v>
      </c>
    </row>
    <row r="291" spans="1:14" x14ac:dyDescent="0.3">
      <c r="A291" s="2" t="s">
        <v>289</v>
      </c>
      <c r="B291" s="2" t="s">
        <v>12040</v>
      </c>
      <c r="C291" s="2">
        <v>47</v>
      </c>
      <c r="D291" s="2" t="s">
        <v>12041</v>
      </c>
      <c r="E291" s="2">
        <f>COUNTIF(Table16[customer_id],Table13[[#This Row],[customer_id]])</f>
        <v>3</v>
      </c>
      <c r="F291" s="13">
        <f>SUMIFS(Table16[Purchase_history],Table16[customer_id],Table13[[#This Row],[customer_id]])</f>
        <v>1515.55</v>
      </c>
      <c r="G291" s="20">
        <v>44214</v>
      </c>
      <c r="H291" s="21">
        <v>44505</v>
      </c>
      <c r="I291" s="15">
        <f>(Table134[[#This Row],[Last_Day]]-Table134[[#This Row],[First_Day]]+1)/365</f>
        <v>0.8</v>
      </c>
      <c r="J291" s="59">
        <f>Table134[[#This Row],[number_of_purchases]]/Table134[[#This Row],[customer_total_years]]</f>
        <v>3.75</v>
      </c>
      <c r="K291" s="13">
        <f>Table134[[#This Row],[purchase_history]]/Table134[[#This Row],[number_of_purchases]]</f>
        <v>505.18333333333334</v>
      </c>
      <c r="L291" s="2">
        <f>IF(YEAR(Table134[[#This Row],[Last_Day]])=2021,5,IF(YEAR(Table134[[#This Row],[Last_Day]])=2022,7,IF(YEAR(Table134[[#This Row],[Last_Day]])=2023,10,"Không xác định")))</f>
        <v>5</v>
      </c>
      <c r="M291" s="15">
        <f>Table134[[#This Row],[avg_number_of_purchases]]*Table1345[[#This Row],[avg_purchase_value]]*Table1345[[#This Row],[expected_lifespan]]</f>
        <v>9472.1875</v>
      </c>
      <c r="N291" t="s">
        <v>12046</v>
      </c>
    </row>
    <row r="292" spans="1:14" x14ac:dyDescent="0.3">
      <c r="A292" s="2" t="s">
        <v>290</v>
      </c>
      <c r="B292" s="2" t="s">
        <v>12040</v>
      </c>
      <c r="C292" s="2">
        <v>45</v>
      </c>
      <c r="D292" s="2" t="s">
        <v>12043</v>
      </c>
      <c r="E292" s="2">
        <f>COUNTIF(Table16[customer_id],Table13[[#This Row],[customer_id]])</f>
        <v>3</v>
      </c>
      <c r="F292" s="13">
        <f>SUMIFS(Table16[Purchase_history],Table16[customer_id],Table13[[#This Row],[customer_id]])</f>
        <v>10553.24</v>
      </c>
      <c r="G292" s="20">
        <v>44384</v>
      </c>
      <c r="H292" s="21">
        <v>44884</v>
      </c>
      <c r="I292" s="15">
        <f>(Table134[[#This Row],[Last_Day]]-Table134[[#This Row],[First_Day]]+1)/365</f>
        <v>1.3726027397260274</v>
      </c>
      <c r="J292" s="59">
        <f>Table134[[#This Row],[number_of_purchases]]/Table134[[#This Row],[customer_total_years]]</f>
        <v>2.1856287425149699</v>
      </c>
      <c r="K292" s="13">
        <f>Table134[[#This Row],[purchase_history]]/Table134[[#This Row],[number_of_purchases]]</f>
        <v>3517.7466666666664</v>
      </c>
      <c r="L292" s="2">
        <f>IF(YEAR(Table134[[#This Row],[Last_Day]])=2021,5,IF(YEAR(Table134[[#This Row],[Last_Day]])=2022,7,IF(YEAR(Table134[[#This Row],[Last_Day]])=2023,10,"Không xác định")))</f>
        <v>7</v>
      </c>
      <c r="M292" s="15">
        <f>Table134[[#This Row],[avg_number_of_purchases]]*Table1345[[#This Row],[avg_purchase_value]]*Table1345[[#This Row],[expected_lifespan]]</f>
        <v>53819.417564870251</v>
      </c>
      <c r="N292" t="s">
        <v>12046</v>
      </c>
    </row>
    <row r="293" spans="1:14" x14ac:dyDescent="0.3">
      <c r="A293" s="2" t="s">
        <v>291</v>
      </c>
      <c r="B293" s="2" t="s">
        <v>12040</v>
      </c>
      <c r="C293" s="2">
        <v>23</v>
      </c>
      <c r="D293" s="2" t="s">
        <v>12041</v>
      </c>
      <c r="E293" s="2">
        <f>COUNTIF(Table16[customer_id],Table13[[#This Row],[customer_id]])</f>
        <v>8</v>
      </c>
      <c r="F293" s="13">
        <f>SUMIFS(Table16[Purchase_history],Table16[customer_id],Table13[[#This Row],[customer_id]])</f>
        <v>9569.94</v>
      </c>
      <c r="G293" s="20">
        <v>44201</v>
      </c>
      <c r="H293" s="21">
        <v>44828</v>
      </c>
      <c r="I293" s="15">
        <f>(Table134[[#This Row],[Last_Day]]-Table134[[#This Row],[First_Day]]+1)/365</f>
        <v>1.7205479452054795</v>
      </c>
      <c r="J293" s="59">
        <f>Table134[[#This Row],[number_of_purchases]]/Table134[[#This Row],[customer_total_years]]</f>
        <v>4.6496815286624207</v>
      </c>
      <c r="K293" s="13">
        <f>Table134[[#This Row],[purchase_history]]/Table134[[#This Row],[number_of_purchases]]</f>
        <v>1196.2425000000001</v>
      </c>
      <c r="L293" s="2">
        <f>IF(YEAR(Table134[[#This Row],[Last_Day]])=2021,5,IF(YEAR(Table134[[#This Row],[Last_Day]])=2022,7,IF(YEAR(Table134[[#This Row],[Last_Day]])=2023,10,"Không xác định")))</f>
        <v>7</v>
      </c>
      <c r="M293" s="15">
        <f>Table134[[#This Row],[avg_number_of_purchases]]*Table1345[[#This Row],[avg_purchase_value]]*Table1345[[#This Row],[expected_lifespan]]</f>
        <v>38935.026592356691</v>
      </c>
      <c r="N293" t="s">
        <v>12046</v>
      </c>
    </row>
    <row r="294" spans="1:14" x14ac:dyDescent="0.3">
      <c r="A294" s="2" t="s">
        <v>292</v>
      </c>
      <c r="B294" s="2" t="s">
        <v>12040</v>
      </c>
      <c r="C294" s="2">
        <v>20</v>
      </c>
      <c r="D294" s="2" t="s">
        <v>12049</v>
      </c>
      <c r="E294" s="2">
        <f>COUNTIF(Table16[customer_id],Table13[[#This Row],[customer_id]])</f>
        <v>4</v>
      </c>
      <c r="F294" s="13">
        <f>SUMIFS(Table16[Purchase_history],Table16[customer_id],Table13[[#This Row],[customer_id]])</f>
        <v>10731.3</v>
      </c>
      <c r="G294" s="20">
        <v>44268</v>
      </c>
      <c r="H294" s="21">
        <v>44961</v>
      </c>
      <c r="I294" s="15">
        <f>(Table134[[#This Row],[Last_Day]]-Table134[[#This Row],[First_Day]]+1)/365</f>
        <v>1.9013698630136986</v>
      </c>
      <c r="J294" s="59">
        <f>Table134[[#This Row],[number_of_purchases]]/Table134[[#This Row],[customer_total_years]]</f>
        <v>2.1037463976945245</v>
      </c>
      <c r="K294" s="13">
        <f>Table134[[#This Row],[purchase_history]]/Table134[[#This Row],[number_of_purchases]]</f>
        <v>2682.8249999999998</v>
      </c>
      <c r="L294" s="2">
        <f>IF(YEAR(Table134[[#This Row],[Last_Day]])=2021,5,IF(YEAR(Table134[[#This Row],[Last_Day]])=2022,7,IF(YEAR(Table134[[#This Row],[Last_Day]])=2023,10,"Không xác định")))</f>
        <v>10</v>
      </c>
      <c r="M294" s="15">
        <f>Table134[[#This Row],[avg_number_of_purchases]]*Table1345[[#This Row],[avg_purchase_value]]*Table1345[[#This Row],[expected_lifespan]]</f>
        <v>56439.834293948123</v>
      </c>
      <c r="N294" t="s">
        <v>12048</v>
      </c>
    </row>
    <row r="295" spans="1:14" x14ac:dyDescent="0.3">
      <c r="A295" s="2" t="s">
        <v>293</v>
      </c>
      <c r="B295" s="2" t="s">
        <v>12040</v>
      </c>
      <c r="C295" s="2">
        <v>21</v>
      </c>
      <c r="D295" s="2" t="s">
        <v>12041</v>
      </c>
      <c r="E295" s="2">
        <f>COUNTIF(Table16[customer_id],Table13[[#This Row],[customer_id]])</f>
        <v>5</v>
      </c>
      <c r="F295" s="13">
        <f>SUMIFS(Table16[Purchase_history],Table16[customer_id],Table13[[#This Row],[customer_id]])</f>
        <v>27932.82</v>
      </c>
      <c r="G295" s="20">
        <v>44217</v>
      </c>
      <c r="H295" s="21">
        <v>44861</v>
      </c>
      <c r="I295" s="15">
        <f>(Table134[[#This Row],[Last_Day]]-Table134[[#This Row],[First_Day]]+1)/365</f>
        <v>1.7671232876712328</v>
      </c>
      <c r="J295" s="59">
        <f>Table134[[#This Row],[number_of_purchases]]/Table134[[#This Row],[customer_total_years]]</f>
        <v>2.8294573643410854</v>
      </c>
      <c r="K295" s="13">
        <f>Table134[[#This Row],[purchase_history]]/Table134[[#This Row],[number_of_purchases]]</f>
        <v>5586.5640000000003</v>
      </c>
      <c r="L295" s="2">
        <f>IF(YEAR(Table134[[#This Row],[Last_Day]])=2021,5,IF(YEAR(Table134[[#This Row],[Last_Day]])=2022,7,IF(YEAR(Table134[[#This Row],[Last_Day]])=2023,10,"Không xác định")))</f>
        <v>7</v>
      </c>
      <c r="M295" s="15">
        <f>Table134[[#This Row],[avg_number_of_purchases]]*Table1345[[#This Row],[avg_purchase_value]]*Table1345[[#This Row],[expected_lifespan]]</f>
        <v>110648.61255813955</v>
      </c>
      <c r="N295" t="s">
        <v>12048</v>
      </c>
    </row>
    <row r="296" spans="1:14" x14ac:dyDescent="0.3">
      <c r="A296" s="2" t="s">
        <v>294</v>
      </c>
      <c r="B296" s="2" t="s">
        <v>12045</v>
      </c>
      <c r="C296" s="2">
        <v>32</v>
      </c>
      <c r="D296" s="2" t="s">
        <v>12041</v>
      </c>
      <c r="E296" s="2">
        <f>COUNTIF(Table16[customer_id],Table13[[#This Row],[customer_id]])</f>
        <v>3</v>
      </c>
      <c r="F296" s="13">
        <f>SUMIFS(Table16[Purchase_history],Table16[customer_id],Table13[[#This Row],[customer_id]])</f>
        <v>1405.3</v>
      </c>
      <c r="G296" s="20">
        <v>44201</v>
      </c>
      <c r="H296" s="21">
        <v>44985</v>
      </c>
      <c r="I296" s="15">
        <f>(Table134[[#This Row],[Last_Day]]-Table134[[#This Row],[First_Day]]+1)/365</f>
        <v>2.1506849315068495</v>
      </c>
      <c r="J296" s="59">
        <f>Table134[[#This Row],[number_of_purchases]]/Table134[[#This Row],[customer_total_years]]</f>
        <v>1.394904458598726</v>
      </c>
      <c r="K296" s="13">
        <f>Table134[[#This Row],[purchase_history]]/Table134[[#This Row],[number_of_purchases]]</f>
        <v>468.43333333333334</v>
      </c>
      <c r="L296" s="2">
        <f>IF(YEAR(Table134[[#This Row],[Last_Day]])=2021,5,IF(YEAR(Table134[[#This Row],[Last_Day]])=2022,7,IF(YEAR(Table134[[#This Row],[Last_Day]])=2023,10,"Không xác định")))</f>
        <v>10</v>
      </c>
      <c r="M296" s="15">
        <f>Table134[[#This Row],[avg_number_of_purchases]]*Table1345[[#This Row],[avg_purchase_value]]*Table1345[[#This Row],[expected_lifespan]]</f>
        <v>6534.1974522292994</v>
      </c>
      <c r="N296" t="s">
        <v>12044</v>
      </c>
    </row>
    <row r="297" spans="1:14" x14ac:dyDescent="0.3">
      <c r="A297" s="2" t="s">
        <v>295</v>
      </c>
      <c r="B297" s="2" t="s">
        <v>12040</v>
      </c>
      <c r="C297" s="2">
        <v>26</v>
      </c>
      <c r="D297" s="2" t="s">
        <v>12043</v>
      </c>
      <c r="E297" s="2">
        <f>COUNTIF(Table16[customer_id],Table13[[#This Row],[customer_id]])</f>
        <v>9</v>
      </c>
      <c r="F297" s="13">
        <f>SUMIFS(Table16[Purchase_history],Table16[customer_id],Table13[[#This Row],[customer_id]])</f>
        <v>40851.72</v>
      </c>
      <c r="G297" s="20">
        <v>44219</v>
      </c>
      <c r="H297" s="21">
        <v>44878</v>
      </c>
      <c r="I297" s="15">
        <f>(Table134[[#This Row],[Last_Day]]-Table134[[#This Row],[First_Day]]+1)/365</f>
        <v>1.8082191780821917</v>
      </c>
      <c r="J297" s="59">
        <f>Table134[[#This Row],[number_of_purchases]]/Table134[[#This Row],[customer_total_years]]</f>
        <v>4.9772727272727275</v>
      </c>
      <c r="K297" s="13">
        <f>Table134[[#This Row],[purchase_history]]/Table134[[#This Row],[number_of_purchases]]</f>
        <v>4539.08</v>
      </c>
      <c r="L297" s="2">
        <f>IF(YEAR(Table134[[#This Row],[Last_Day]])=2021,5,IF(YEAR(Table134[[#This Row],[Last_Day]])=2022,7,IF(YEAR(Table134[[#This Row],[Last_Day]])=2023,10,"Không xác định")))</f>
        <v>7</v>
      </c>
      <c r="M297" s="15">
        <f>Table134[[#This Row],[avg_number_of_purchases]]*Table1345[[#This Row],[avg_purchase_value]]*Table1345[[#This Row],[expected_lifespan]]</f>
        <v>158145.67363636364</v>
      </c>
      <c r="N297" t="s">
        <v>12048</v>
      </c>
    </row>
    <row r="298" spans="1:14" x14ac:dyDescent="0.3">
      <c r="A298" s="2" t="s">
        <v>296</v>
      </c>
      <c r="B298" s="2" t="s">
        <v>12045</v>
      </c>
      <c r="C298" s="2">
        <v>40</v>
      </c>
      <c r="D298" s="2" t="s">
        <v>12041</v>
      </c>
      <c r="E298" s="2">
        <f>COUNTIF(Table16[customer_id],Table13[[#This Row],[customer_id]])</f>
        <v>2</v>
      </c>
      <c r="F298" s="13">
        <f>SUMIFS(Table16[Purchase_history],Table16[customer_id],Table13[[#This Row],[customer_id]])</f>
        <v>9902.7999999999993</v>
      </c>
      <c r="G298" s="20">
        <v>44680</v>
      </c>
      <c r="H298" s="21">
        <v>44796</v>
      </c>
      <c r="I298" s="15">
        <f>(Table134[[#This Row],[Last_Day]]-Table134[[#This Row],[First_Day]]+1)/365</f>
        <v>0.32054794520547947</v>
      </c>
      <c r="J298" s="59">
        <f>Table134[[#This Row],[number_of_purchases]]/Table134[[#This Row],[customer_total_years]]</f>
        <v>6.2393162393162394</v>
      </c>
      <c r="K298" s="13">
        <f>Table134[[#This Row],[purchase_history]]/Table134[[#This Row],[number_of_purchases]]</f>
        <v>4951.3999999999996</v>
      </c>
      <c r="L298" s="2">
        <f>IF(YEAR(Table134[[#This Row],[Last_Day]])=2021,5,IF(YEAR(Table134[[#This Row],[Last_Day]])=2022,7,IF(YEAR(Table134[[#This Row],[Last_Day]])=2023,10,"Không xác định")))</f>
        <v>7</v>
      </c>
      <c r="M298" s="15">
        <f>Table134[[#This Row],[avg_number_of_purchases]]*Table1345[[#This Row],[avg_purchase_value]]*Table1345[[#This Row],[expected_lifespan]]</f>
        <v>216253.45299145297</v>
      </c>
      <c r="N298" t="s">
        <v>12042</v>
      </c>
    </row>
    <row r="299" spans="1:14" x14ac:dyDescent="0.3">
      <c r="A299" s="2" t="s">
        <v>297</v>
      </c>
      <c r="B299" s="2" t="s">
        <v>12040</v>
      </c>
      <c r="C299" s="2">
        <v>32</v>
      </c>
      <c r="D299" s="2" t="s">
        <v>12041</v>
      </c>
      <c r="E299" s="2">
        <f>COUNTIF(Table16[customer_id],Table13[[#This Row],[customer_id]])</f>
        <v>8</v>
      </c>
      <c r="F299" s="13">
        <f>SUMIFS(Table16[Purchase_history],Table16[customer_id],Table13[[#This Row],[customer_id]])</f>
        <v>27759.050000000003</v>
      </c>
      <c r="G299" s="20">
        <v>44286</v>
      </c>
      <c r="H299" s="21">
        <v>44916</v>
      </c>
      <c r="I299" s="15">
        <f>(Table134[[#This Row],[Last_Day]]-Table134[[#This Row],[First_Day]]+1)/365</f>
        <v>1.7287671232876711</v>
      </c>
      <c r="J299" s="59">
        <f>Table134[[#This Row],[number_of_purchases]]/Table134[[#This Row],[customer_total_years]]</f>
        <v>4.6275752773375594</v>
      </c>
      <c r="K299" s="13">
        <f>Table134[[#This Row],[purchase_history]]/Table134[[#This Row],[number_of_purchases]]</f>
        <v>3469.8812500000004</v>
      </c>
      <c r="L299" s="2">
        <f>IF(YEAR(Table134[[#This Row],[Last_Day]])=2021,5,IF(YEAR(Table134[[#This Row],[Last_Day]])=2022,7,IF(YEAR(Table134[[#This Row],[Last_Day]])=2023,10,"Không xác định")))</f>
        <v>7</v>
      </c>
      <c r="M299" s="15">
        <f>Table134[[#This Row],[avg_number_of_purchases]]*Table1345[[#This Row],[avg_purchase_value]]*Table1345[[#This Row],[expected_lifespan]]</f>
        <v>112399.95681458004</v>
      </c>
      <c r="N299" t="s">
        <v>12042</v>
      </c>
    </row>
    <row r="300" spans="1:14" x14ac:dyDescent="0.3">
      <c r="A300" s="2" t="s">
        <v>298</v>
      </c>
      <c r="B300" s="2" t="s">
        <v>12040</v>
      </c>
      <c r="C300" s="2">
        <v>43</v>
      </c>
      <c r="D300" s="2" t="s">
        <v>12041</v>
      </c>
      <c r="E300" s="2">
        <f>COUNTIF(Table16[customer_id],Table13[[#This Row],[customer_id]])</f>
        <v>1</v>
      </c>
      <c r="F300" s="13">
        <f>SUMIFS(Table16[Purchase_history],Table16[customer_id],Table13[[#This Row],[customer_id]])</f>
        <v>20.92</v>
      </c>
      <c r="G300" s="20">
        <v>44882</v>
      </c>
      <c r="H300" s="21">
        <v>44882</v>
      </c>
      <c r="I300" s="15">
        <f>(Table134[[#This Row],[Last_Day]]-Table134[[#This Row],[First_Day]]+1)/365</f>
        <v>2.7397260273972603E-3</v>
      </c>
      <c r="J300" s="59">
        <f>Table134[[#This Row],[number_of_purchases]]/Table134[[#This Row],[customer_total_years]]</f>
        <v>365</v>
      </c>
      <c r="K300" s="13">
        <f>Table134[[#This Row],[purchase_history]]/Table134[[#This Row],[number_of_purchases]]</f>
        <v>20.92</v>
      </c>
      <c r="L300" s="2">
        <f>IF(YEAR(Table134[[#This Row],[Last_Day]])=2021,5,IF(YEAR(Table134[[#This Row],[Last_Day]])=2022,7,IF(YEAR(Table134[[#This Row],[Last_Day]])=2023,10,"Không xác định")))</f>
        <v>7</v>
      </c>
      <c r="M300" s="15">
        <f>Table134[[#This Row],[avg_number_of_purchases]]*Table1345[[#This Row],[avg_purchase_value]]*Table1345[[#This Row],[expected_lifespan]]</f>
        <v>53450.6</v>
      </c>
      <c r="N300" t="s">
        <v>12044</v>
      </c>
    </row>
    <row r="301" spans="1:14" x14ac:dyDescent="0.3">
      <c r="A301" s="2" t="s">
        <v>299</v>
      </c>
      <c r="B301" s="2" t="s">
        <v>12045</v>
      </c>
      <c r="C301" s="2">
        <v>25</v>
      </c>
      <c r="D301" s="2" t="s">
        <v>12041</v>
      </c>
      <c r="E301" s="2">
        <f>COUNTIF(Table16[customer_id],Table13[[#This Row],[customer_id]])</f>
        <v>4</v>
      </c>
      <c r="F301" s="13">
        <f>SUMIFS(Table16[Purchase_history],Table16[customer_id],Table13[[#This Row],[customer_id]])</f>
        <v>266.73</v>
      </c>
      <c r="G301" s="20">
        <v>44252</v>
      </c>
      <c r="H301" s="21">
        <v>44600</v>
      </c>
      <c r="I301" s="15">
        <f>(Table134[[#This Row],[Last_Day]]-Table134[[#This Row],[First_Day]]+1)/365</f>
        <v>0.95616438356164379</v>
      </c>
      <c r="J301" s="59">
        <f>Table134[[#This Row],[number_of_purchases]]/Table134[[#This Row],[customer_total_years]]</f>
        <v>4.1833810888252154</v>
      </c>
      <c r="K301" s="13">
        <f>Table134[[#This Row],[purchase_history]]/Table134[[#This Row],[number_of_purchases]]</f>
        <v>66.682500000000005</v>
      </c>
      <c r="L301" s="2">
        <f>IF(YEAR(Table134[[#This Row],[Last_Day]])=2021,5,IF(YEAR(Table134[[#This Row],[Last_Day]])=2022,7,IF(YEAR(Table134[[#This Row],[Last_Day]])=2023,10,"Không xác định")))</f>
        <v>7</v>
      </c>
      <c r="M301" s="15">
        <f>Table134[[#This Row],[avg_number_of_purchases]]*Table1345[[#This Row],[avg_purchase_value]]*Table1345[[#This Row],[expected_lifespan]]</f>
        <v>1952.708166189112</v>
      </c>
      <c r="N301" t="s">
        <v>12044</v>
      </c>
    </row>
    <row r="302" spans="1:14" x14ac:dyDescent="0.3">
      <c r="A302" s="2" t="s">
        <v>300</v>
      </c>
      <c r="B302" s="2" t="s">
        <v>12040</v>
      </c>
      <c r="C302" s="2">
        <v>19</v>
      </c>
      <c r="D302" s="2" t="s">
        <v>12041</v>
      </c>
      <c r="E302" s="2">
        <f>COUNTIF(Table16[customer_id],Table13[[#This Row],[customer_id]])</f>
        <v>7</v>
      </c>
      <c r="F302" s="13">
        <f>SUMIFS(Table16[Purchase_history],Table16[customer_id],Table13[[#This Row],[customer_id]])</f>
        <v>33341.689999999995</v>
      </c>
      <c r="G302" s="20">
        <v>44279</v>
      </c>
      <c r="H302" s="21">
        <v>44902</v>
      </c>
      <c r="I302" s="15">
        <f>(Table134[[#This Row],[Last_Day]]-Table134[[#This Row],[First_Day]]+1)/365</f>
        <v>1.7095890410958905</v>
      </c>
      <c r="J302" s="59">
        <f>Table134[[#This Row],[number_of_purchases]]/Table134[[#This Row],[customer_total_years]]</f>
        <v>4.0945512820512819</v>
      </c>
      <c r="K302" s="13">
        <f>Table134[[#This Row],[purchase_history]]/Table134[[#This Row],[number_of_purchases]]</f>
        <v>4763.0985714285707</v>
      </c>
      <c r="L302" s="2">
        <f>IF(YEAR(Table134[[#This Row],[Last_Day]])=2021,5,IF(YEAR(Table134[[#This Row],[Last_Day]])=2022,7,IF(YEAR(Table134[[#This Row],[Last_Day]])=2023,10,"Không xác định")))</f>
        <v>7</v>
      </c>
      <c r="M302" s="15">
        <f>Table134[[#This Row],[avg_number_of_purchases]]*Table1345[[#This Row],[avg_purchase_value]]*Table1345[[#This Row],[expected_lifespan]]</f>
        <v>136519.25953525637</v>
      </c>
      <c r="N302" t="s">
        <v>12048</v>
      </c>
    </row>
    <row r="303" spans="1:14" x14ac:dyDescent="0.3">
      <c r="A303" s="2" t="s">
        <v>301</v>
      </c>
      <c r="B303" s="2" t="s">
        <v>12045</v>
      </c>
      <c r="C303" s="2">
        <v>39</v>
      </c>
      <c r="D303" s="2" t="s">
        <v>12043</v>
      </c>
      <c r="E303" s="2">
        <f>COUNTIF(Table16[customer_id],Table13[[#This Row],[customer_id]])</f>
        <v>6</v>
      </c>
      <c r="F303" s="13">
        <f>SUMIFS(Table16[Purchase_history],Table16[customer_id],Table13[[#This Row],[customer_id]])</f>
        <v>17484.150000000001</v>
      </c>
      <c r="G303" s="20">
        <v>44262</v>
      </c>
      <c r="H303" s="21">
        <v>44826</v>
      </c>
      <c r="I303" s="15">
        <f>(Table134[[#This Row],[Last_Day]]-Table134[[#This Row],[First_Day]]+1)/365</f>
        <v>1.547945205479452</v>
      </c>
      <c r="J303" s="59">
        <f>Table134[[#This Row],[number_of_purchases]]/Table134[[#This Row],[customer_total_years]]</f>
        <v>3.8761061946902657</v>
      </c>
      <c r="K303" s="13">
        <f>Table134[[#This Row],[purchase_history]]/Table134[[#This Row],[number_of_purchases]]</f>
        <v>2914.0250000000001</v>
      </c>
      <c r="L303" s="2">
        <f>IF(YEAR(Table134[[#This Row],[Last_Day]])=2021,5,IF(YEAR(Table134[[#This Row],[Last_Day]])=2022,7,IF(YEAR(Table134[[#This Row],[Last_Day]])=2023,10,"Không xác định")))</f>
        <v>7</v>
      </c>
      <c r="M303" s="15">
        <f>Table134[[#This Row],[avg_number_of_purchases]]*Table1345[[#This Row],[avg_purchase_value]]*Table1345[[#This Row],[expected_lifespan]]</f>
        <v>79065.49247787612</v>
      </c>
      <c r="N303" t="s">
        <v>12048</v>
      </c>
    </row>
    <row r="304" spans="1:14" x14ac:dyDescent="0.3">
      <c r="A304" s="2" t="s">
        <v>302</v>
      </c>
      <c r="B304" s="2" t="s">
        <v>12040</v>
      </c>
      <c r="C304" s="2">
        <v>68</v>
      </c>
      <c r="D304" s="2" t="s">
        <v>12041</v>
      </c>
      <c r="E304" s="2">
        <f>COUNTIF(Table16[customer_id],Table13[[#This Row],[customer_id]])</f>
        <v>3</v>
      </c>
      <c r="F304" s="13">
        <f>SUMIFS(Table16[Purchase_history],Table16[customer_id],Table13[[#This Row],[customer_id]])</f>
        <v>6367.5399999999991</v>
      </c>
      <c r="G304" s="20">
        <v>44330</v>
      </c>
      <c r="H304" s="21">
        <v>44807</v>
      </c>
      <c r="I304" s="15">
        <f>(Table134[[#This Row],[Last_Day]]-Table134[[#This Row],[First_Day]]+1)/365</f>
        <v>1.3095890410958904</v>
      </c>
      <c r="J304" s="59">
        <f>Table134[[#This Row],[number_of_purchases]]/Table134[[#This Row],[customer_total_years]]</f>
        <v>2.2907949790794979</v>
      </c>
      <c r="K304" s="13">
        <f>Table134[[#This Row],[purchase_history]]/Table134[[#This Row],[number_of_purchases]]</f>
        <v>2122.5133333333329</v>
      </c>
      <c r="L304" s="2">
        <f>IF(YEAR(Table134[[#This Row],[Last_Day]])=2021,5,IF(YEAR(Table134[[#This Row],[Last_Day]])=2022,7,IF(YEAR(Table134[[#This Row],[Last_Day]])=2023,10,"Không xác định")))</f>
        <v>7</v>
      </c>
      <c r="M304" s="15">
        <f>Table134[[#This Row],[avg_number_of_purchases]]*Table1345[[#This Row],[avg_purchase_value]]*Table1345[[#This Row],[expected_lifespan]]</f>
        <v>34035.700209205017</v>
      </c>
      <c r="N304" t="s">
        <v>12048</v>
      </c>
    </row>
    <row r="305" spans="1:14" x14ac:dyDescent="0.3">
      <c r="A305" s="2" t="s">
        <v>303</v>
      </c>
      <c r="B305" s="2" t="s">
        <v>12045</v>
      </c>
      <c r="C305" s="2">
        <v>44</v>
      </c>
      <c r="D305" s="2" t="s">
        <v>12043</v>
      </c>
      <c r="E305" s="2">
        <f>COUNTIF(Table16[customer_id],Table13[[#This Row],[customer_id]])</f>
        <v>3</v>
      </c>
      <c r="F305" s="13">
        <f>SUMIFS(Table16[Purchase_history],Table16[customer_id],Table13[[#This Row],[customer_id]])</f>
        <v>6244</v>
      </c>
      <c r="G305" s="20">
        <v>44783</v>
      </c>
      <c r="H305" s="21">
        <v>44949</v>
      </c>
      <c r="I305" s="15">
        <f>(Table134[[#This Row],[Last_Day]]-Table134[[#This Row],[First_Day]]+1)/365</f>
        <v>0.45753424657534247</v>
      </c>
      <c r="J305" s="59">
        <f>Table134[[#This Row],[number_of_purchases]]/Table134[[#This Row],[customer_total_years]]</f>
        <v>6.5568862275449105</v>
      </c>
      <c r="K305" s="13">
        <f>Table134[[#This Row],[purchase_history]]/Table134[[#This Row],[number_of_purchases]]</f>
        <v>2081.3333333333335</v>
      </c>
      <c r="L305" s="2">
        <f>IF(YEAR(Table134[[#This Row],[Last_Day]])=2021,5,IF(YEAR(Table134[[#This Row],[Last_Day]])=2022,7,IF(YEAR(Table134[[#This Row],[Last_Day]])=2023,10,"Không xác định")))</f>
        <v>10</v>
      </c>
      <c r="M305" s="15">
        <f>Table134[[#This Row],[avg_number_of_purchases]]*Table1345[[#This Row],[avg_purchase_value]]*Table1345[[#This Row],[expected_lifespan]]</f>
        <v>136470.65868263476</v>
      </c>
      <c r="N305" t="s">
        <v>12048</v>
      </c>
    </row>
    <row r="306" spans="1:14" x14ac:dyDescent="0.3">
      <c r="A306" s="2" t="s">
        <v>304</v>
      </c>
      <c r="B306" s="2" t="s">
        <v>12045</v>
      </c>
      <c r="C306" s="2">
        <v>43</v>
      </c>
      <c r="D306" s="2" t="s">
        <v>12049</v>
      </c>
      <c r="E306" s="2">
        <f>COUNTIF(Table16[customer_id],Table13[[#This Row],[customer_id]])</f>
        <v>9</v>
      </c>
      <c r="F306" s="13">
        <f>SUMIFS(Table16[Purchase_history],Table16[customer_id],Table13[[#This Row],[customer_id]])</f>
        <v>3038.3999999999996</v>
      </c>
      <c r="G306" s="20">
        <v>44237</v>
      </c>
      <c r="H306" s="21">
        <v>44966</v>
      </c>
      <c r="I306" s="15">
        <f>(Table134[[#This Row],[Last_Day]]-Table134[[#This Row],[First_Day]]+1)/365</f>
        <v>2</v>
      </c>
      <c r="J306" s="59">
        <f>Table134[[#This Row],[number_of_purchases]]/Table134[[#This Row],[customer_total_years]]</f>
        <v>4.5</v>
      </c>
      <c r="K306" s="13">
        <f>Table134[[#This Row],[purchase_history]]/Table134[[#This Row],[number_of_purchases]]</f>
        <v>337.59999999999997</v>
      </c>
      <c r="L306" s="2">
        <f>IF(YEAR(Table134[[#This Row],[Last_Day]])=2021,5,IF(YEAR(Table134[[#This Row],[Last_Day]])=2022,7,IF(YEAR(Table134[[#This Row],[Last_Day]])=2023,10,"Không xác định")))</f>
        <v>10</v>
      </c>
      <c r="M306" s="15">
        <f>Table134[[#This Row],[avg_number_of_purchases]]*Table1345[[#This Row],[avg_purchase_value]]*Table1345[[#This Row],[expected_lifespan]]</f>
        <v>15191.999999999998</v>
      </c>
      <c r="N306" t="s">
        <v>12042</v>
      </c>
    </row>
    <row r="307" spans="1:14" x14ac:dyDescent="0.3">
      <c r="A307" s="2" t="s">
        <v>305</v>
      </c>
      <c r="B307" s="2" t="s">
        <v>12040</v>
      </c>
      <c r="C307" s="2">
        <v>69</v>
      </c>
      <c r="D307" s="2" t="s">
        <v>12041</v>
      </c>
      <c r="E307" s="2">
        <f>COUNTIF(Table16[customer_id],Table13[[#This Row],[customer_id]])</f>
        <v>8</v>
      </c>
      <c r="F307" s="13">
        <f>SUMIFS(Table16[Purchase_history],Table16[customer_id],Table13[[#This Row],[customer_id]])</f>
        <v>13950.769999999997</v>
      </c>
      <c r="G307" s="20">
        <v>44213</v>
      </c>
      <c r="H307" s="21">
        <v>44983</v>
      </c>
      <c r="I307" s="15">
        <f>(Table134[[#This Row],[Last_Day]]-Table134[[#This Row],[First_Day]]+1)/365</f>
        <v>2.1123287671232878</v>
      </c>
      <c r="J307" s="59">
        <f>Table134[[#This Row],[number_of_purchases]]/Table134[[#This Row],[customer_total_years]]</f>
        <v>3.7872892347600517</v>
      </c>
      <c r="K307" s="13">
        <f>Table134[[#This Row],[purchase_history]]/Table134[[#This Row],[number_of_purchases]]</f>
        <v>1743.8462499999996</v>
      </c>
      <c r="L307" s="2">
        <f>IF(YEAR(Table134[[#This Row],[Last_Day]])=2021,5,IF(YEAR(Table134[[#This Row],[Last_Day]])=2022,7,IF(YEAR(Table134[[#This Row],[Last_Day]])=2023,10,"Không xác định")))</f>
        <v>10</v>
      </c>
      <c r="M307" s="15">
        <f>Table134[[#This Row],[avg_number_of_purchases]]*Table1345[[#This Row],[avg_purchase_value]]*Table1345[[#This Row],[expected_lifespan]]</f>
        <v>66044.501297016846</v>
      </c>
      <c r="N307" t="s">
        <v>12042</v>
      </c>
    </row>
    <row r="308" spans="1:14" x14ac:dyDescent="0.3">
      <c r="A308" s="2" t="s">
        <v>306</v>
      </c>
      <c r="B308" s="2" t="s">
        <v>12040</v>
      </c>
      <c r="C308" s="2">
        <v>34</v>
      </c>
      <c r="D308" s="2" t="s">
        <v>12049</v>
      </c>
      <c r="E308" s="2">
        <f>COUNTIF(Table16[customer_id],Table13[[#This Row],[customer_id]])</f>
        <v>9</v>
      </c>
      <c r="F308" s="13">
        <f>SUMIFS(Table16[Purchase_history],Table16[customer_id],Table13[[#This Row],[customer_id]])</f>
        <v>7696.869999999999</v>
      </c>
      <c r="G308" s="20">
        <v>44300</v>
      </c>
      <c r="H308" s="21">
        <v>44868</v>
      </c>
      <c r="I308" s="15">
        <f>(Table134[[#This Row],[Last_Day]]-Table134[[#This Row],[First_Day]]+1)/365</f>
        <v>1.558904109589041</v>
      </c>
      <c r="J308" s="59">
        <f>Table134[[#This Row],[number_of_purchases]]/Table134[[#This Row],[customer_total_years]]</f>
        <v>5.7732864674868196</v>
      </c>
      <c r="K308" s="13">
        <f>Table134[[#This Row],[purchase_history]]/Table134[[#This Row],[number_of_purchases]]</f>
        <v>855.20777777777766</v>
      </c>
      <c r="L308" s="2">
        <f>IF(YEAR(Table134[[#This Row],[Last_Day]])=2021,5,IF(YEAR(Table134[[#This Row],[Last_Day]])=2022,7,IF(YEAR(Table134[[#This Row],[Last_Day]])=2023,10,"Không xác định")))</f>
        <v>7</v>
      </c>
      <c r="M308" s="15">
        <f>Table134[[#This Row],[avg_number_of_purchases]]*Table1345[[#This Row],[avg_purchase_value]]*Table1345[[#This Row],[expected_lifespan]]</f>
        <v>34561.516432337434</v>
      </c>
      <c r="N308" t="s">
        <v>12046</v>
      </c>
    </row>
    <row r="309" spans="1:14" x14ac:dyDescent="0.3">
      <c r="A309" s="2" t="s">
        <v>307</v>
      </c>
      <c r="B309" s="2" t="s">
        <v>12040</v>
      </c>
      <c r="C309" s="2">
        <v>56</v>
      </c>
      <c r="D309" s="2" t="s">
        <v>12043</v>
      </c>
      <c r="E309" s="2">
        <f>COUNTIF(Table16[customer_id],Table13[[#This Row],[customer_id]])</f>
        <v>7</v>
      </c>
      <c r="F309" s="13">
        <f>SUMIFS(Table16[Purchase_history],Table16[customer_id],Table13[[#This Row],[customer_id]])</f>
        <v>14902.259999999998</v>
      </c>
      <c r="G309" s="20">
        <v>44212</v>
      </c>
      <c r="H309" s="21">
        <v>44904</v>
      </c>
      <c r="I309" s="15">
        <f>(Table134[[#This Row],[Last_Day]]-Table134[[#This Row],[First_Day]]+1)/365</f>
        <v>1.8986301369863015</v>
      </c>
      <c r="J309" s="59">
        <f>Table134[[#This Row],[number_of_purchases]]/Table134[[#This Row],[customer_total_years]]</f>
        <v>3.6868686868686869</v>
      </c>
      <c r="K309" s="13">
        <f>Table134[[#This Row],[purchase_history]]/Table134[[#This Row],[number_of_purchases]]</f>
        <v>2128.8942857142856</v>
      </c>
      <c r="L309" s="2">
        <f>IF(YEAR(Table134[[#This Row],[Last_Day]])=2021,5,IF(YEAR(Table134[[#This Row],[Last_Day]])=2022,7,IF(YEAR(Table134[[#This Row],[Last_Day]])=2023,10,"Không xác định")))</f>
        <v>7</v>
      </c>
      <c r="M309" s="15">
        <f>Table134[[#This Row],[avg_number_of_purchases]]*Table1345[[#This Row],[avg_purchase_value]]*Table1345[[#This Row],[expected_lifespan]]</f>
        <v>54942.675757575758</v>
      </c>
      <c r="N309" t="s">
        <v>12044</v>
      </c>
    </row>
    <row r="310" spans="1:14" x14ac:dyDescent="0.3">
      <c r="A310" s="2" t="s">
        <v>308</v>
      </c>
      <c r="B310" s="2" t="s">
        <v>12040</v>
      </c>
      <c r="C310" s="2">
        <v>52</v>
      </c>
      <c r="D310" s="2" t="s">
        <v>12043</v>
      </c>
      <c r="E310" s="2">
        <f>COUNTIF(Table16[customer_id],Table13[[#This Row],[customer_id]])</f>
        <v>7</v>
      </c>
      <c r="F310" s="13">
        <f>SUMIFS(Table16[Purchase_history],Table16[customer_id],Table13[[#This Row],[customer_id]])</f>
        <v>17417.759999999998</v>
      </c>
      <c r="G310" s="20">
        <v>44307</v>
      </c>
      <c r="H310" s="21">
        <v>44983</v>
      </c>
      <c r="I310" s="15">
        <f>(Table134[[#This Row],[Last_Day]]-Table134[[#This Row],[First_Day]]+1)/365</f>
        <v>1.8547945205479452</v>
      </c>
      <c r="J310" s="59">
        <f>Table134[[#This Row],[number_of_purchases]]/Table134[[#This Row],[customer_total_years]]</f>
        <v>3.7740029542097489</v>
      </c>
      <c r="K310" s="13">
        <f>Table134[[#This Row],[purchase_history]]/Table134[[#This Row],[number_of_purchases]]</f>
        <v>2488.2514285714283</v>
      </c>
      <c r="L310" s="2">
        <f>IF(YEAR(Table134[[#This Row],[Last_Day]])=2021,5,IF(YEAR(Table134[[#This Row],[Last_Day]])=2022,7,IF(YEAR(Table134[[#This Row],[Last_Day]])=2023,10,"Không xác định")))</f>
        <v>10</v>
      </c>
      <c r="M310" s="15">
        <f>Table134[[#This Row],[avg_number_of_purchases]]*Table1345[[#This Row],[avg_purchase_value]]*Table1345[[#This Row],[expected_lifespan]]</f>
        <v>93906.682422451981</v>
      </c>
      <c r="N310" t="s">
        <v>12048</v>
      </c>
    </row>
    <row r="311" spans="1:14" x14ac:dyDescent="0.3">
      <c r="A311" s="2" t="s">
        <v>309</v>
      </c>
      <c r="B311" s="2" t="s">
        <v>12040</v>
      </c>
      <c r="C311" s="2">
        <v>25</v>
      </c>
      <c r="D311" s="2" t="s">
        <v>12043</v>
      </c>
      <c r="E311" s="2">
        <f>COUNTIF(Table16[customer_id],Table13[[#This Row],[customer_id]])</f>
        <v>4</v>
      </c>
      <c r="F311" s="13">
        <f>SUMIFS(Table16[Purchase_history],Table16[customer_id],Table13[[#This Row],[customer_id]])</f>
        <v>4236.96</v>
      </c>
      <c r="G311" s="20">
        <v>44447</v>
      </c>
      <c r="H311" s="21">
        <v>44980</v>
      </c>
      <c r="I311" s="15">
        <f>(Table134[[#This Row],[Last_Day]]-Table134[[#This Row],[First_Day]]+1)/365</f>
        <v>1.463013698630137</v>
      </c>
      <c r="J311" s="59">
        <f>Table134[[#This Row],[number_of_purchases]]/Table134[[#This Row],[customer_total_years]]</f>
        <v>2.7340823970037453</v>
      </c>
      <c r="K311" s="13">
        <f>Table134[[#This Row],[purchase_history]]/Table134[[#This Row],[number_of_purchases]]</f>
        <v>1059.24</v>
      </c>
      <c r="L311" s="2">
        <f>IF(YEAR(Table134[[#This Row],[Last_Day]])=2021,5,IF(YEAR(Table134[[#This Row],[Last_Day]])=2022,7,IF(YEAR(Table134[[#This Row],[Last_Day]])=2023,10,"Không xác định")))</f>
        <v>10</v>
      </c>
      <c r="M311" s="15">
        <f>Table134[[#This Row],[avg_number_of_purchases]]*Table1345[[#This Row],[avg_purchase_value]]*Table1345[[#This Row],[expected_lifespan]]</f>
        <v>28960.494382022473</v>
      </c>
      <c r="N311" t="s">
        <v>12046</v>
      </c>
    </row>
    <row r="312" spans="1:14" x14ac:dyDescent="0.3">
      <c r="A312" s="2" t="s">
        <v>310</v>
      </c>
      <c r="B312" s="2" t="s">
        <v>12040</v>
      </c>
      <c r="C312" s="2">
        <v>50</v>
      </c>
      <c r="D312" s="2" t="s">
        <v>12043</v>
      </c>
      <c r="E312" s="2">
        <f>COUNTIF(Table16[customer_id],Table13[[#This Row],[customer_id]])</f>
        <v>7</v>
      </c>
      <c r="F312" s="13">
        <f>SUMIFS(Table16[Purchase_history],Table16[customer_id],Table13[[#This Row],[customer_id]])</f>
        <v>11475.349999999999</v>
      </c>
      <c r="G312" s="20">
        <v>44340</v>
      </c>
      <c r="H312" s="21">
        <v>44990</v>
      </c>
      <c r="I312" s="15">
        <f>(Table134[[#This Row],[Last_Day]]-Table134[[#This Row],[First_Day]]+1)/365</f>
        <v>1.7835616438356163</v>
      </c>
      <c r="J312" s="59">
        <f>Table134[[#This Row],[number_of_purchases]]/Table134[[#This Row],[customer_total_years]]</f>
        <v>3.924731182795699</v>
      </c>
      <c r="K312" s="13">
        <f>Table134[[#This Row],[purchase_history]]/Table134[[#This Row],[number_of_purchases]]</f>
        <v>1639.3357142857142</v>
      </c>
      <c r="L312" s="2">
        <f>IF(YEAR(Table134[[#This Row],[Last_Day]])=2021,5,IF(YEAR(Table134[[#This Row],[Last_Day]])=2022,7,IF(YEAR(Table134[[#This Row],[Last_Day]])=2023,10,"Không xác định")))</f>
        <v>10</v>
      </c>
      <c r="M312" s="15">
        <f>Table134[[#This Row],[avg_number_of_purchases]]*Table1345[[#This Row],[avg_purchase_value]]*Table1345[[#This Row],[expected_lifespan]]</f>
        <v>64339.51996927803</v>
      </c>
      <c r="N312" t="s">
        <v>12046</v>
      </c>
    </row>
    <row r="313" spans="1:14" x14ac:dyDescent="0.3">
      <c r="A313" s="2" t="s">
        <v>311</v>
      </c>
      <c r="B313" s="2" t="s">
        <v>12040</v>
      </c>
      <c r="C313" s="2">
        <v>39</v>
      </c>
      <c r="D313" s="2" t="s">
        <v>12043</v>
      </c>
      <c r="E313" s="2">
        <f>COUNTIF(Table16[customer_id],Table13[[#This Row],[customer_id]])</f>
        <v>7</v>
      </c>
      <c r="F313" s="13">
        <f>SUMIFS(Table16[Purchase_history],Table16[customer_id],Table13[[#This Row],[customer_id]])</f>
        <v>8712.2199999999993</v>
      </c>
      <c r="G313" s="20">
        <v>44244</v>
      </c>
      <c r="H313" s="21">
        <v>44760</v>
      </c>
      <c r="I313" s="15">
        <f>(Table134[[#This Row],[Last_Day]]-Table134[[#This Row],[First_Day]]+1)/365</f>
        <v>1.4164383561643836</v>
      </c>
      <c r="J313" s="59">
        <f>Table134[[#This Row],[number_of_purchases]]/Table134[[#This Row],[customer_total_years]]</f>
        <v>4.9419729206963243</v>
      </c>
      <c r="K313" s="13">
        <f>Table134[[#This Row],[purchase_history]]/Table134[[#This Row],[number_of_purchases]]</f>
        <v>1244.6028571428571</v>
      </c>
      <c r="L313" s="2">
        <f>IF(YEAR(Table134[[#This Row],[Last_Day]])=2021,5,IF(YEAR(Table134[[#This Row],[Last_Day]])=2022,7,IF(YEAR(Table134[[#This Row],[Last_Day]])=2023,10,"Không xác định")))</f>
        <v>7</v>
      </c>
      <c r="M313" s="15">
        <f>Table134[[#This Row],[avg_number_of_purchases]]*Table1345[[#This Row],[avg_purchase_value]]*Table1345[[#This Row],[expected_lifespan]]</f>
        <v>43055.555319148931</v>
      </c>
      <c r="N313" t="s">
        <v>12047</v>
      </c>
    </row>
    <row r="314" spans="1:14" x14ac:dyDescent="0.3">
      <c r="A314" s="2" t="s">
        <v>312</v>
      </c>
      <c r="B314" s="2" t="s">
        <v>12040</v>
      </c>
      <c r="C314" s="2">
        <v>32</v>
      </c>
      <c r="D314" s="2" t="s">
        <v>12049</v>
      </c>
      <c r="E314" s="2">
        <f>COUNTIF(Table16[customer_id],Table13[[#This Row],[customer_id]])</f>
        <v>2</v>
      </c>
      <c r="F314" s="13">
        <f>SUMIFS(Table16[Purchase_history],Table16[customer_id],Table13[[#This Row],[customer_id]])</f>
        <v>7802.2099999999991</v>
      </c>
      <c r="G314" s="20">
        <v>44567</v>
      </c>
      <c r="H314" s="21">
        <v>44632</v>
      </c>
      <c r="I314" s="15">
        <f>(Table134[[#This Row],[Last_Day]]-Table134[[#This Row],[First_Day]]+1)/365</f>
        <v>0.18082191780821918</v>
      </c>
      <c r="J314" s="59">
        <f>Table134[[#This Row],[number_of_purchases]]/Table134[[#This Row],[customer_total_years]]</f>
        <v>11.060606060606061</v>
      </c>
      <c r="K314" s="13">
        <f>Table134[[#This Row],[purchase_history]]/Table134[[#This Row],[number_of_purchases]]</f>
        <v>3901.1049999999996</v>
      </c>
      <c r="L314" s="2">
        <f>IF(YEAR(Table134[[#This Row],[Last_Day]])=2021,5,IF(YEAR(Table134[[#This Row],[Last_Day]])=2022,7,IF(YEAR(Table134[[#This Row],[Last_Day]])=2023,10,"Không xác định")))</f>
        <v>7</v>
      </c>
      <c r="M314" s="15">
        <f>Table134[[#This Row],[avg_number_of_purchases]]*Table1345[[#This Row],[avg_purchase_value]]*Table1345[[#This Row],[expected_lifespan]]</f>
        <v>302040.09924242424</v>
      </c>
      <c r="N314" t="s">
        <v>12042</v>
      </c>
    </row>
    <row r="315" spans="1:14" x14ac:dyDescent="0.3">
      <c r="A315" s="2" t="s">
        <v>313</v>
      </c>
      <c r="B315" s="2" t="s">
        <v>12040</v>
      </c>
      <c r="C315" s="2">
        <v>60</v>
      </c>
      <c r="D315" s="2" t="s">
        <v>12043</v>
      </c>
      <c r="E315" s="2">
        <f>COUNTIF(Table16[customer_id],Table13[[#This Row],[customer_id]])</f>
        <v>3</v>
      </c>
      <c r="F315" s="13">
        <f>SUMIFS(Table16[Purchase_history],Table16[customer_id],Table13[[#This Row],[customer_id]])</f>
        <v>7867.94</v>
      </c>
      <c r="G315" s="20">
        <v>44448</v>
      </c>
      <c r="H315" s="21">
        <v>44739</v>
      </c>
      <c r="I315" s="15">
        <f>(Table134[[#This Row],[Last_Day]]-Table134[[#This Row],[First_Day]]+1)/365</f>
        <v>0.8</v>
      </c>
      <c r="J315" s="59">
        <f>Table134[[#This Row],[number_of_purchases]]/Table134[[#This Row],[customer_total_years]]</f>
        <v>3.75</v>
      </c>
      <c r="K315" s="13">
        <f>Table134[[#This Row],[purchase_history]]/Table134[[#This Row],[number_of_purchases]]</f>
        <v>2622.6466666666665</v>
      </c>
      <c r="L315" s="2">
        <f>IF(YEAR(Table134[[#This Row],[Last_Day]])=2021,5,IF(YEAR(Table134[[#This Row],[Last_Day]])=2022,7,IF(YEAR(Table134[[#This Row],[Last_Day]])=2023,10,"Không xác định")))</f>
        <v>7</v>
      </c>
      <c r="M315" s="15">
        <f>Table134[[#This Row],[avg_number_of_purchases]]*Table1345[[#This Row],[avg_purchase_value]]*Table1345[[#This Row],[expected_lifespan]]</f>
        <v>68844.474999999991</v>
      </c>
      <c r="N315" t="s">
        <v>12044</v>
      </c>
    </row>
    <row r="316" spans="1:14" x14ac:dyDescent="0.3">
      <c r="A316" s="2" t="s">
        <v>314</v>
      </c>
      <c r="B316" s="2" t="s">
        <v>12040</v>
      </c>
      <c r="C316" s="2">
        <v>40</v>
      </c>
      <c r="D316" s="2" t="s">
        <v>12041</v>
      </c>
      <c r="E316" s="2">
        <f>COUNTIF(Table16[customer_id],Table13[[#This Row],[customer_id]])</f>
        <v>5</v>
      </c>
      <c r="F316" s="13">
        <f>SUMIFS(Table16[Purchase_history],Table16[customer_id],Table13[[#This Row],[customer_id]])</f>
        <v>22937.32</v>
      </c>
      <c r="G316" s="20">
        <v>44269</v>
      </c>
      <c r="H316" s="21">
        <v>44951</v>
      </c>
      <c r="I316" s="15">
        <f>(Table134[[#This Row],[Last_Day]]-Table134[[#This Row],[First_Day]]+1)/365</f>
        <v>1.8712328767123287</v>
      </c>
      <c r="J316" s="59">
        <f>Table134[[#This Row],[number_of_purchases]]/Table134[[#This Row],[customer_total_years]]</f>
        <v>2.6720351390922401</v>
      </c>
      <c r="K316" s="13">
        <f>Table134[[#This Row],[purchase_history]]/Table134[[#This Row],[number_of_purchases]]</f>
        <v>4587.4639999999999</v>
      </c>
      <c r="L316" s="2">
        <f>IF(YEAR(Table134[[#This Row],[Last_Day]])=2021,5,IF(YEAR(Table134[[#This Row],[Last_Day]])=2022,7,IF(YEAR(Table134[[#This Row],[Last_Day]])=2023,10,"Không xác định")))</f>
        <v>10</v>
      </c>
      <c r="M316" s="15">
        <f>Table134[[#This Row],[avg_number_of_purchases]]*Table1345[[#This Row],[avg_purchase_value]]*Table1345[[#This Row],[expected_lifespan]]</f>
        <v>122578.65007320645</v>
      </c>
      <c r="N316" t="s">
        <v>12042</v>
      </c>
    </row>
    <row r="317" spans="1:14" x14ac:dyDescent="0.3">
      <c r="A317" s="2" t="s">
        <v>315</v>
      </c>
      <c r="B317" s="2" t="s">
        <v>12040</v>
      </c>
      <c r="C317" s="2">
        <v>49</v>
      </c>
      <c r="D317" s="2" t="s">
        <v>12043</v>
      </c>
      <c r="E317" s="2">
        <f>COUNTIF(Table16[customer_id],Table13[[#This Row],[customer_id]])</f>
        <v>5</v>
      </c>
      <c r="F317" s="13">
        <f>SUMIFS(Table16[Purchase_history],Table16[customer_id],Table13[[#This Row],[customer_id]])</f>
        <v>17290.990000000002</v>
      </c>
      <c r="G317" s="20">
        <v>44415</v>
      </c>
      <c r="H317" s="21">
        <v>44953</v>
      </c>
      <c r="I317" s="15">
        <f>(Table134[[#This Row],[Last_Day]]-Table134[[#This Row],[First_Day]]+1)/365</f>
        <v>1.4767123287671233</v>
      </c>
      <c r="J317" s="59">
        <f>Table134[[#This Row],[number_of_purchases]]/Table134[[#This Row],[customer_total_years]]</f>
        <v>3.3858998144712431</v>
      </c>
      <c r="K317" s="13">
        <f>Table134[[#This Row],[purchase_history]]/Table134[[#This Row],[number_of_purchases]]</f>
        <v>3458.1980000000003</v>
      </c>
      <c r="L317" s="2">
        <f>IF(YEAR(Table134[[#This Row],[Last_Day]])=2021,5,IF(YEAR(Table134[[#This Row],[Last_Day]])=2022,7,IF(YEAR(Table134[[#This Row],[Last_Day]])=2023,10,"Không xác định")))</f>
        <v>10</v>
      </c>
      <c r="M317" s="15">
        <f>Table134[[#This Row],[avg_number_of_purchases]]*Table1345[[#This Row],[avg_purchase_value]]*Table1345[[#This Row],[expected_lifespan]]</f>
        <v>117091.11966604825</v>
      </c>
      <c r="N317" t="s">
        <v>12046</v>
      </c>
    </row>
    <row r="318" spans="1:14" x14ac:dyDescent="0.3">
      <c r="A318" s="2" t="s">
        <v>316</v>
      </c>
      <c r="B318" s="2" t="s">
        <v>12040</v>
      </c>
      <c r="C318" s="2">
        <v>25</v>
      </c>
      <c r="D318" s="2" t="s">
        <v>12043</v>
      </c>
      <c r="E318" s="2">
        <f>COUNTIF(Table16[customer_id],Table13[[#This Row],[customer_id]])</f>
        <v>7</v>
      </c>
      <c r="F318" s="13">
        <f>SUMIFS(Table16[Purchase_history],Table16[customer_id],Table13[[#This Row],[customer_id]])</f>
        <v>2998.47</v>
      </c>
      <c r="G318" s="20">
        <v>44313</v>
      </c>
      <c r="H318" s="21">
        <v>44892</v>
      </c>
      <c r="I318" s="15">
        <f>(Table134[[#This Row],[Last_Day]]-Table134[[#This Row],[First_Day]]+1)/365</f>
        <v>1.5890410958904109</v>
      </c>
      <c r="J318" s="59">
        <f>Table134[[#This Row],[number_of_purchases]]/Table134[[#This Row],[customer_total_years]]</f>
        <v>4.4051724137931041</v>
      </c>
      <c r="K318" s="13">
        <f>Table134[[#This Row],[purchase_history]]/Table134[[#This Row],[number_of_purchases]]</f>
        <v>428.35285714285709</v>
      </c>
      <c r="L318" s="2">
        <f>IF(YEAR(Table134[[#This Row],[Last_Day]])=2021,5,IF(YEAR(Table134[[#This Row],[Last_Day]])=2022,7,IF(YEAR(Table134[[#This Row],[Last_Day]])=2023,10,"Không xác định")))</f>
        <v>7</v>
      </c>
      <c r="M318" s="15">
        <f>Table134[[#This Row],[avg_number_of_purchases]]*Table1345[[#This Row],[avg_purchase_value]]*Table1345[[#This Row],[expected_lifespan]]</f>
        <v>13208.777327586207</v>
      </c>
      <c r="N318" t="s">
        <v>12044</v>
      </c>
    </row>
    <row r="319" spans="1:14" x14ac:dyDescent="0.3">
      <c r="A319" s="2" t="s">
        <v>317</v>
      </c>
      <c r="B319" s="2" t="s">
        <v>12040</v>
      </c>
      <c r="C319" s="2">
        <v>38</v>
      </c>
      <c r="D319" s="2" t="s">
        <v>12041</v>
      </c>
      <c r="E319" s="2">
        <f>COUNTIF(Table16[customer_id],Table13[[#This Row],[customer_id]])</f>
        <v>3</v>
      </c>
      <c r="F319" s="13">
        <f>SUMIFS(Table16[Purchase_history],Table16[customer_id],Table13[[#This Row],[customer_id]])</f>
        <v>4518.43</v>
      </c>
      <c r="G319" s="20">
        <v>44777</v>
      </c>
      <c r="H319" s="21">
        <v>44888</v>
      </c>
      <c r="I319" s="15">
        <f>(Table134[[#This Row],[Last_Day]]-Table134[[#This Row],[First_Day]]+1)/365</f>
        <v>0.30684931506849317</v>
      </c>
      <c r="J319" s="59">
        <f>Table134[[#This Row],[number_of_purchases]]/Table134[[#This Row],[customer_total_years]]</f>
        <v>9.7767857142857135</v>
      </c>
      <c r="K319" s="13">
        <f>Table134[[#This Row],[purchase_history]]/Table134[[#This Row],[number_of_purchases]]</f>
        <v>1506.1433333333334</v>
      </c>
      <c r="L319" s="2">
        <f>IF(YEAR(Table134[[#This Row],[Last_Day]])=2021,5,IF(YEAR(Table134[[#This Row],[Last_Day]])=2022,7,IF(YEAR(Table134[[#This Row],[Last_Day]])=2023,10,"Không xác định")))</f>
        <v>7</v>
      </c>
      <c r="M319" s="15">
        <f>Table134[[#This Row],[avg_number_of_purchases]]*Table1345[[#This Row],[avg_purchase_value]]*Table1345[[#This Row],[expected_lifespan]]</f>
        <v>103076.684375</v>
      </c>
      <c r="N319" t="s">
        <v>12048</v>
      </c>
    </row>
    <row r="320" spans="1:14" x14ac:dyDescent="0.3">
      <c r="A320" s="2" t="s">
        <v>318</v>
      </c>
      <c r="B320" s="2" t="s">
        <v>12040</v>
      </c>
      <c r="C320" s="2">
        <v>61</v>
      </c>
      <c r="D320" s="2" t="s">
        <v>12041</v>
      </c>
      <c r="E320" s="2">
        <f>COUNTIF(Table16[customer_id],Table13[[#This Row],[customer_id]])</f>
        <v>5</v>
      </c>
      <c r="F320" s="13">
        <f>SUMIFS(Table16[Purchase_history],Table16[customer_id],Table13[[#This Row],[customer_id]])</f>
        <v>4549.2800000000007</v>
      </c>
      <c r="G320" s="20">
        <v>44382</v>
      </c>
      <c r="H320" s="21">
        <v>44801</v>
      </c>
      <c r="I320" s="15">
        <f>(Table134[[#This Row],[Last_Day]]-Table134[[#This Row],[First_Day]]+1)/365</f>
        <v>1.1506849315068493</v>
      </c>
      <c r="J320" s="59">
        <f>Table134[[#This Row],[number_of_purchases]]/Table134[[#This Row],[customer_total_years]]</f>
        <v>4.3452380952380958</v>
      </c>
      <c r="K320" s="13">
        <f>Table134[[#This Row],[purchase_history]]/Table134[[#This Row],[number_of_purchases]]</f>
        <v>909.85600000000011</v>
      </c>
      <c r="L320" s="2">
        <f>IF(YEAR(Table134[[#This Row],[Last_Day]])=2021,5,IF(YEAR(Table134[[#This Row],[Last_Day]])=2022,7,IF(YEAR(Table134[[#This Row],[Last_Day]])=2023,10,"Không xác định")))</f>
        <v>7</v>
      </c>
      <c r="M320" s="15">
        <f>Table134[[#This Row],[avg_number_of_purchases]]*Table1345[[#This Row],[avg_purchase_value]]*Table1345[[#This Row],[expected_lifespan]]</f>
        <v>27674.786666666674</v>
      </c>
      <c r="N320" t="s">
        <v>12047</v>
      </c>
    </row>
    <row r="321" spans="1:14" x14ac:dyDescent="0.3">
      <c r="A321" s="2" t="s">
        <v>319</v>
      </c>
      <c r="B321" s="2" t="s">
        <v>12045</v>
      </c>
      <c r="C321" s="2">
        <v>22</v>
      </c>
      <c r="D321" s="2" t="s">
        <v>12049</v>
      </c>
      <c r="E321" s="2">
        <f>COUNTIF(Table16[customer_id],Table13[[#This Row],[customer_id]])</f>
        <v>8</v>
      </c>
      <c r="F321" s="13">
        <f>SUMIFS(Table16[Purchase_history],Table16[customer_id],Table13[[#This Row],[customer_id]])</f>
        <v>26580.76</v>
      </c>
      <c r="G321" s="20">
        <v>44276</v>
      </c>
      <c r="H321" s="21">
        <v>44929</v>
      </c>
      <c r="I321" s="15">
        <f>(Table134[[#This Row],[Last_Day]]-Table134[[#This Row],[First_Day]]+1)/365</f>
        <v>1.7917808219178082</v>
      </c>
      <c r="J321" s="59">
        <f>Table134[[#This Row],[number_of_purchases]]/Table134[[#This Row],[customer_total_years]]</f>
        <v>4.4648318042813457</v>
      </c>
      <c r="K321" s="13">
        <f>Table134[[#This Row],[purchase_history]]/Table134[[#This Row],[number_of_purchases]]</f>
        <v>3322.5949999999998</v>
      </c>
      <c r="L321" s="2">
        <f>IF(YEAR(Table134[[#This Row],[Last_Day]])=2021,5,IF(YEAR(Table134[[#This Row],[Last_Day]])=2022,7,IF(YEAR(Table134[[#This Row],[Last_Day]])=2023,10,"Không xác định")))</f>
        <v>10</v>
      </c>
      <c r="M321" s="15">
        <f>Table134[[#This Row],[avg_number_of_purchases]]*Table1345[[#This Row],[avg_purchase_value]]*Table1345[[#This Row],[expected_lifespan]]</f>
        <v>148348.27828746176</v>
      </c>
      <c r="N321" t="s">
        <v>12042</v>
      </c>
    </row>
    <row r="322" spans="1:14" x14ac:dyDescent="0.3">
      <c r="A322" s="2" t="s">
        <v>320</v>
      </c>
      <c r="B322" s="2" t="s">
        <v>12040</v>
      </c>
      <c r="C322" s="2">
        <v>56</v>
      </c>
      <c r="D322" s="2" t="s">
        <v>12041</v>
      </c>
      <c r="E322" s="2">
        <f>COUNTIF(Table16[customer_id],Table13[[#This Row],[customer_id]])</f>
        <v>9</v>
      </c>
      <c r="F322" s="13">
        <f>SUMIFS(Table16[Purchase_history],Table16[customer_id],Table13[[#This Row],[customer_id]])</f>
        <v>13913.679999999998</v>
      </c>
      <c r="G322" s="20">
        <v>44200</v>
      </c>
      <c r="H322" s="21">
        <v>44992</v>
      </c>
      <c r="I322" s="15">
        <f>(Table134[[#This Row],[Last_Day]]-Table134[[#This Row],[First_Day]]+1)/365</f>
        <v>2.1726027397260275</v>
      </c>
      <c r="J322" s="59">
        <f>Table134[[#This Row],[number_of_purchases]]/Table134[[#This Row],[customer_total_years]]</f>
        <v>4.14249684741488</v>
      </c>
      <c r="K322" s="13">
        <f>Table134[[#This Row],[purchase_history]]/Table134[[#This Row],[number_of_purchases]]</f>
        <v>1545.9644444444443</v>
      </c>
      <c r="L322" s="2">
        <f>IF(YEAR(Table134[[#This Row],[Last_Day]])=2021,5,IF(YEAR(Table134[[#This Row],[Last_Day]])=2022,7,IF(YEAR(Table134[[#This Row],[Last_Day]])=2023,10,"Không xác định")))</f>
        <v>10</v>
      </c>
      <c r="M322" s="15">
        <f>Table134[[#This Row],[avg_number_of_purchases]]*Table1345[[#This Row],[avg_purchase_value]]*Table1345[[#This Row],[expected_lifespan]]</f>
        <v>64041.528373266076</v>
      </c>
      <c r="N322" t="s">
        <v>12047</v>
      </c>
    </row>
    <row r="323" spans="1:14" x14ac:dyDescent="0.3">
      <c r="A323" s="2" t="s">
        <v>321</v>
      </c>
      <c r="B323" s="2" t="s">
        <v>12045</v>
      </c>
      <c r="C323" s="2">
        <v>51</v>
      </c>
      <c r="D323" s="2" t="s">
        <v>12043</v>
      </c>
      <c r="E323" s="2">
        <f>COUNTIF(Table16[customer_id],Table13[[#This Row],[customer_id]])</f>
        <v>5</v>
      </c>
      <c r="F323" s="13">
        <f>SUMIFS(Table16[Purchase_history],Table16[customer_id],Table13[[#This Row],[customer_id]])</f>
        <v>16324.25</v>
      </c>
      <c r="G323" s="20">
        <v>44210</v>
      </c>
      <c r="H323" s="21">
        <v>44789</v>
      </c>
      <c r="I323" s="15">
        <f>(Table134[[#This Row],[Last_Day]]-Table134[[#This Row],[First_Day]]+1)/365</f>
        <v>1.5890410958904109</v>
      </c>
      <c r="J323" s="59">
        <f>Table134[[#This Row],[number_of_purchases]]/Table134[[#This Row],[customer_total_years]]</f>
        <v>3.146551724137931</v>
      </c>
      <c r="K323" s="13">
        <f>Table134[[#This Row],[purchase_history]]/Table134[[#This Row],[number_of_purchases]]</f>
        <v>3264.85</v>
      </c>
      <c r="L323" s="2">
        <f>IF(YEAR(Table134[[#This Row],[Last_Day]])=2021,5,IF(YEAR(Table134[[#This Row],[Last_Day]])=2022,7,IF(YEAR(Table134[[#This Row],[Last_Day]])=2023,10,"Không xác định")))</f>
        <v>7</v>
      </c>
      <c r="M323" s="15">
        <f>Table134[[#This Row],[avg_number_of_purchases]]*Table1345[[#This Row],[avg_purchase_value]]*Table1345[[#This Row],[expected_lifespan]]</f>
        <v>71911.135775862072</v>
      </c>
      <c r="N323" t="s">
        <v>12044</v>
      </c>
    </row>
    <row r="324" spans="1:14" x14ac:dyDescent="0.3">
      <c r="A324" s="2" t="s">
        <v>322</v>
      </c>
      <c r="B324" s="2" t="s">
        <v>12045</v>
      </c>
      <c r="C324" s="2">
        <v>24</v>
      </c>
      <c r="D324" s="2" t="s">
        <v>12043</v>
      </c>
      <c r="E324" s="2">
        <f>COUNTIF(Table16[customer_id],Table13[[#This Row],[customer_id]])</f>
        <v>7</v>
      </c>
      <c r="F324" s="13">
        <f>SUMIFS(Table16[Purchase_history],Table16[customer_id],Table13[[#This Row],[customer_id]])</f>
        <v>8743.98</v>
      </c>
      <c r="G324" s="20">
        <v>44480</v>
      </c>
      <c r="H324" s="21">
        <v>44984</v>
      </c>
      <c r="I324" s="15">
        <f>(Table134[[#This Row],[Last_Day]]-Table134[[#This Row],[First_Day]]+1)/365</f>
        <v>1.3835616438356164</v>
      </c>
      <c r="J324" s="59">
        <f>Table134[[#This Row],[number_of_purchases]]/Table134[[#This Row],[customer_total_years]]</f>
        <v>5.0594059405940595</v>
      </c>
      <c r="K324" s="13">
        <f>Table134[[#This Row],[purchase_history]]/Table134[[#This Row],[number_of_purchases]]</f>
        <v>1249.1399999999999</v>
      </c>
      <c r="L324" s="2">
        <f>IF(YEAR(Table134[[#This Row],[Last_Day]])=2021,5,IF(YEAR(Table134[[#This Row],[Last_Day]])=2022,7,IF(YEAR(Table134[[#This Row],[Last_Day]])=2023,10,"Không xác định")))</f>
        <v>10</v>
      </c>
      <c r="M324" s="15">
        <f>Table134[[#This Row],[avg_number_of_purchases]]*Table1345[[#This Row],[avg_purchase_value]]*Table1345[[#This Row],[expected_lifespan]]</f>
        <v>63199.063366336632</v>
      </c>
      <c r="N324" t="s">
        <v>12047</v>
      </c>
    </row>
    <row r="325" spans="1:14" x14ac:dyDescent="0.3">
      <c r="A325" s="2" t="s">
        <v>323</v>
      </c>
      <c r="B325" s="2" t="s">
        <v>12040</v>
      </c>
      <c r="C325" s="2">
        <v>49</v>
      </c>
      <c r="D325" s="2" t="s">
        <v>12041</v>
      </c>
      <c r="E325" s="2">
        <f>COUNTIF(Table16[customer_id],Table13[[#This Row],[customer_id]])</f>
        <v>5</v>
      </c>
      <c r="F325" s="13">
        <f>SUMIFS(Table16[Purchase_history],Table16[customer_id],Table13[[#This Row],[customer_id]])</f>
        <v>13491.189999999999</v>
      </c>
      <c r="G325" s="20">
        <v>44328</v>
      </c>
      <c r="H325" s="21">
        <v>44942</v>
      </c>
      <c r="I325" s="15">
        <f>(Table134[[#This Row],[Last_Day]]-Table134[[#This Row],[First_Day]]+1)/365</f>
        <v>1.6849315068493151</v>
      </c>
      <c r="J325" s="59">
        <f>Table134[[#This Row],[number_of_purchases]]/Table134[[#This Row],[customer_total_years]]</f>
        <v>2.9674796747967478</v>
      </c>
      <c r="K325" s="13">
        <f>Table134[[#This Row],[purchase_history]]/Table134[[#This Row],[number_of_purchases]]</f>
        <v>2698.2379999999998</v>
      </c>
      <c r="L325" s="2">
        <f>IF(YEAR(Table134[[#This Row],[Last_Day]])=2021,5,IF(YEAR(Table134[[#This Row],[Last_Day]])=2022,7,IF(YEAR(Table134[[#This Row],[Last_Day]])=2023,10,"Không xác định")))</f>
        <v>10</v>
      </c>
      <c r="M325" s="15">
        <f>Table134[[#This Row],[avg_number_of_purchases]]*Table1345[[#This Row],[avg_purchase_value]]*Table1345[[#This Row],[expected_lifespan]]</f>
        <v>80069.664227642264</v>
      </c>
      <c r="N325" t="s">
        <v>12042</v>
      </c>
    </row>
    <row r="326" spans="1:14" x14ac:dyDescent="0.3">
      <c r="A326" s="2" t="s">
        <v>324</v>
      </c>
      <c r="B326" s="2" t="s">
        <v>12040</v>
      </c>
      <c r="C326" s="2">
        <v>45</v>
      </c>
      <c r="D326" s="2" t="s">
        <v>12041</v>
      </c>
      <c r="E326" s="2">
        <f>COUNTIF(Table16[customer_id],Table13[[#This Row],[customer_id]])</f>
        <v>6</v>
      </c>
      <c r="F326" s="13">
        <f>SUMIFS(Table16[Purchase_history],Table16[customer_id],Table13[[#This Row],[customer_id]])</f>
        <v>5291.7899999999991</v>
      </c>
      <c r="G326" s="20">
        <v>44253</v>
      </c>
      <c r="H326" s="21">
        <v>44698</v>
      </c>
      <c r="I326" s="15">
        <f>(Table134[[#This Row],[Last_Day]]-Table134[[#This Row],[First_Day]]+1)/365</f>
        <v>1.2219178082191782</v>
      </c>
      <c r="J326" s="59">
        <f>Table134[[#This Row],[number_of_purchases]]/Table134[[#This Row],[customer_total_years]]</f>
        <v>4.9103139013452912</v>
      </c>
      <c r="K326" s="13">
        <f>Table134[[#This Row],[purchase_history]]/Table134[[#This Row],[number_of_purchases]]</f>
        <v>881.9649999999998</v>
      </c>
      <c r="L326" s="2">
        <f>IF(YEAR(Table134[[#This Row],[Last_Day]])=2021,5,IF(YEAR(Table134[[#This Row],[Last_Day]])=2022,7,IF(YEAR(Table134[[#This Row],[Last_Day]])=2023,10,"Không xác định")))</f>
        <v>7</v>
      </c>
      <c r="M326" s="15">
        <f>Table134[[#This Row],[avg_number_of_purchases]]*Table1345[[#This Row],[avg_purchase_value]]*Table1345[[#This Row],[expected_lifespan]]</f>
        <v>30315.07499999999</v>
      </c>
      <c r="N326" t="s">
        <v>12048</v>
      </c>
    </row>
    <row r="327" spans="1:14" x14ac:dyDescent="0.3">
      <c r="A327" s="2" t="s">
        <v>325</v>
      </c>
      <c r="B327" s="2" t="s">
        <v>12040</v>
      </c>
      <c r="C327" s="2">
        <v>58</v>
      </c>
      <c r="D327" s="2" t="s">
        <v>12043</v>
      </c>
      <c r="E327" s="2">
        <f>COUNTIF(Table16[customer_id],Table13[[#This Row],[customer_id]])</f>
        <v>6</v>
      </c>
      <c r="F327" s="13">
        <f>SUMIFS(Table16[Purchase_history],Table16[customer_id],Table13[[#This Row],[customer_id]])</f>
        <v>3936.5299999999997</v>
      </c>
      <c r="G327" s="20">
        <v>44198</v>
      </c>
      <c r="H327" s="21">
        <v>44885</v>
      </c>
      <c r="I327" s="15">
        <f>(Table134[[#This Row],[Last_Day]]-Table134[[#This Row],[First_Day]]+1)/365</f>
        <v>1.8849315068493151</v>
      </c>
      <c r="J327" s="59">
        <f>Table134[[#This Row],[number_of_purchases]]/Table134[[#This Row],[customer_total_years]]</f>
        <v>3.183139534883721</v>
      </c>
      <c r="K327" s="13">
        <f>Table134[[#This Row],[purchase_history]]/Table134[[#This Row],[number_of_purchases]]</f>
        <v>656.08833333333325</v>
      </c>
      <c r="L327" s="2">
        <f>IF(YEAR(Table134[[#This Row],[Last_Day]])=2021,5,IF(YEAR(Table134[[#This Row],[Last_Day]])=2022,7,IF(YEAR(Table134[[#This Row],[Last_Day]])=2023,10,"Không xác định")))</f>
        <v>7</v>
      </c>
      <c r="M327" s="15">
        <f>Table134[[#This Row],[avg_number_of_purchases]]*Table1345[[#This Row],[avg_purchase_value]]*Table1345[[#This Row],[expected_lifespan]]</f>
        <v>14618.944985465114</v>
      </c>
      <c r="N327" t="s">
        <v>12048</v>
      </c>
    </row>
    <row r="328" spans="1:14" x14ac:dyDescent="0.3">
      <c r="A328" s="2" t="s">
        <v>326</v>
      </c>
      <c r="B328" s="2" t="s">
        <v>12040</v>
      </c>
      <c r="C328" s="2">
        <v>44</v>
      </c>
      <c r="D328" s="2" t="s">
        <v>12043</v>
      </c>
      <c r="E328" s="2">
        <f>COUNTIF(Table16[customer_id],Table13[[#This Row],[customer_id]])</f>
        <v>5</v>
      </c>
      <c r="F328" s="13">
        <f>SUMIFS(Table16[Purchase_history],Table16[customer_id],Table13[[#This Row],[customer_id]])</f>
        <v>9007.6299999999992</v>
      </c>
      <c r="G328" s="20">
        <v>44232</v>
      </c>
      <c r="H328" s="21">
        <v>44991</v>
      </c>
      <c r="I328" s="15">
        <f>(Table134[[#This Row],[Last_Day]]-Table134[[#This Row],[First_Day]]+1)/365</f>
        <v>2.0821917808219177</v>
      </c>
      <c r="J328" s="59">
        <f>Table134[[#This Row],[number_of_purchases]]/Table134[[#This Row],[customer_total_years]]</f>
        <v>2.4013157894736845</v>
      </c>
      <c r="K328" s="13">
        <f>Table134[[#This Row],[purchase_history]]/Table134[[#This Row],[number_of_purchases]]</f>
        <v>1801.5259999999998</v>
      </c>
      <c r="L328" s="2">
        <f>IF(YEAR(Table134[[#This Row],[Last_Day]])=2021,5,IF(YEAR(Table134[[#This Row],[Last_Day]])=2022,7,IF(YEAR(Table134[[#This Row],[Last_Day]])=2023,10,"Không xác định")))</f>
        <v>10</v>
      </c>
      <c r="M328" s="15">
        <f>Table134[[#This Row],[avg_number_of_purchases]]*Table1345[[#This Row],[avg_purchase_value]]*Table1345[[#This Row],[expected_lifespan]]</f>
        <v>43260.328289473684</v>
      </c>
      <c r="N328" t="s">
        <v>12047</v>
      </c>
    </row>
    <row r="329" spans="1:14" x14ac:dyDescent="0.3">
      <c r="A329" s="2" t="s">
        <v>327</v>
      </c>
      <c r="B329" s="2" t="s">
        <v>12040</v>
      </c>
      <c r="C329" s="2">
        <v>65</v>
      </c>
      <c r="D329" s="2" t="s">
        <v>12043</v>
      </c>
      <c r="E329" s="2">
        <f>COUNTIF(Table16[customer_id],Table13[[#This Row],[customer_id]])</f>
        <v>4</v>
      </c>
      <c r="F329" s="13">
        <f>SUMIFS(Table16[Purchase_history],Table16[customer_id],Table13[[#This Row],[customer_id]])</f>
        <v>11725.769999999999</v>
      </c>
      <c r="G329" s="20">
        <v>44226</v>
      </c>
      <c r="H329" s="21">
        <v>44927</v>
      </c>
      <c r="I329" s="15">
        <f>(Table134[[#This Row],[Last_Day]]-Table134[[#This Row],[First_Day]]+1)/365</f>
        <v>1.9232876712328768</v>
      </c>
      <c r="J329" s="59">
        <f>Table134[[#This Row],[number_of_purchases]]/Table134[[#This Row],[customer_total_years]]</f>
        <v>2.0797720797720798</v>
      </c>
      <c r="K329" s="13">
        <f>Table134[[#This Row],[purchase_history]]/Table134[[#This Row],[number_of_purchases]]</f>
        <v>2931.4424999999997</v>
      </c>
      <c r="L329" s="2">
        <f>IF(YEAR(Table134[[#This Row],[Last_Day]])=2021,5,IF(YEAR(Table134[[#This Row],[Last_Day]])=2022,7,IF(YEAR(Table134[[#This Row],[Last_Day]])=2023,10,"Không xác định")))</f>
        <v>10</v>
      </c>
      <c r="M329" s="15">
        <f>Table134[[#This Row],[avg_number_of_purchases]]*Table1345[[#This Row],[avg_purchase_value]]*Table1345[[#This Row],[expected_lifespan]]</f>
        <v>60967.322649572641</v>
      </c>
      <c r="N329" t="s">
        <v>12042</v>
      </c>
    </row>
    <row r="330" spans="1:14" x14ac:dyDescent="0.3">
      <c r="A330" s="2" t="s">
        <v>328</v>
      </c>
      <c r="B330" s="2" t="s">
        <v>12040</v>
      </c>
      <c r="C330" s="2">
        <v>42</v>
      </c>
      <c r="D330" s="2" t="s">
        <v>12043</v>
      </c>
      <c r="E330" s="2">
        <f>COUNTIF(Table16[customer_id],Table13[[#This Row],[customer_id]])</f>
        <v>3</v>
      </c>
      <c r="F330" s="13">
        <f>SUMIFS(Table16[Purchase_history],Table16[customer_id],Table13[[#This Row],[customer_id]])</f>
        <v>22668.89</v>
      </c>
      <c r="G330" s="20">
        <v>44365</v>
      </c>
      <c r="H330" s="21">
        <v>44878</v>
      </c>
      <c r="I330" s="15">
        <f>(Table134[[#This Row],[Last_Day]]-Table134[[#This Row],[First_Day]]+1)/365</f>
        <v>1.4082191780821918</v>
      </c>
      <c r="J330" s="59">
        <f>Table134[[#This Row],[number_of_purchases]]/Table134[[#This Row],[customer_total_years]]</f>
        <v>2.1303501945525292</v>
      </c>
      <c r="K330" s="13">
        <f>Table134[[#This Row],[purchase_history]]/Table134[[#This Row],[number_of_purchases]]</f>
        <v>7556.2966666666662</v>
      </c>
      <c r="L330" s="2">
        <f>IF(YEAR(Table134[[#This Row],[Last_Day]])=2021,5,IF(YEAR(Table134[[#This Row],[Last_Day]])=2022,7,IF(YEAR(Table134[[#This Row],[Last_Day]])=2023,10,"Không xác định")))</f>
        <v>7</v>
      </c>
      <c r="M330" s="15">
        <f>Table134[[#This Row],[avg_number_of_purchases]]*Table1345[[#This Row],[avg_purchase_value]]*Table1345[[#This Row],[expected_lifespan]]</f>
        <v>112682.90651750972</v>
      </c>
      <c r="N330" t="s">
        <v>12046</v>
      </c>
    </row>
    <row r="331" spans="1:14" x14ac:dyDescent="0.3">
      <c r="A331" s="2" t="s">
        <v>329</v>
      </c>
      <c r="B331" s="2" t="s">
        <v>12045</v>
      </c>
      <c r="C331" s="2">
        <v>39</v>
      </c>
      <c r="D331" s="2" t="s">
        <v>12049</v>
      </c>
      <c r="E331" s="2">
        <f>COUNTIF(Table16[customer_id],Table13[[#This Row],[customer_id]])</f>
        <v>3</v>
      </c>
      <c r="F331" s="13">
        <f>SUMIFS(Table16[Purchase_history],Table16[customer_id],Table13[[#This Row],[customer_id]])</f>
        <v>796.77</v>
      </c>
      <c r="G331" s="20">
        <v>44308</v>
      </c>
      <c r="H331" s="21">
        <v>44687</v>
      </c>
      <c r="I331" s="15">
        <f>(Table134[[#This Row],[Last_Day]]-Table134[[#This Row],[First_Day]]+1)/365</f>
        <v>1.0410958904109588</v>
      </c>
      <c r="J331" s="59">
        <f>Table134[[#This Row],[number_of_purchases]]/Table134[[#This Row],[customer_total_years]]</f>
        <v>2.8815789473684212</v>
      </c>
      <c r="K331" s="13">
        <f>Table134[[#This Row],[purchase_history]]/Table134[[#This Row],[number_of_purchases]]</f>
        <v>265.58999999999997</v>
      </c>
      <c r="L331" s="2">
        <f>IF(YEAR(Table134[[#This Row],[Last_Day]])=2021,5,IF(YEAR(Table134[[#This Row],[Last_Day]])=2022,7,IF(YEAR(Table134[[#This Row],[Last_Day]])=2023,10,"Không xác định")))</f>
        <v>7</v>
      </c>
      <c r="M331" s="15">
        <f>Table134[[#This Row],[avg_number_of_purchases]]*Table1345[[#This Row],[avg_purchase_value]]*Table1345[[#This Row],[expected_lifespan]]</f>
        <v>5357.2298684210518</v>
      </c>
      <c r="N331" t="s">
        <v>12044</v>
      </c>
    </row>
    <row r="332" spans="1:14" x14ac:dyDescent="0.3">
      <c r="A332" s="2" t="s">
        <v>330</v>
      </c>
      <c r="B332" s="2" t="s">
        <v>12045</v>
      </c>
      <c r="C332" s="2">
        <v>48</v>
      </c>
      <c r="D332" s="2" t="s">
        <v>12041</v>
      </c>
      <c r="E332" s="2">
        <f>COUNTIF(Table16[customer_id],Table13[[#This Row],[customer_id]])</f>
        <v>4</v>
      </c>
      <c r="F332" s="13">
        <f>SUMIFS(Table16[Purchase_history],Table16[customer_id],Table13[[#This Row],[customer_id]])</f>
        <v>13482.419999999998</v>
      </c>
      <c r="G332" s="20">
        <v>44532</v>
      </c>
      <c r="H332" s="21">
        <v>44873</v>
      </c>
      <c r="I332" s="15">
        <f>(Table134[[#This Row],[Last_Day]]-Table134[[#This Row],[First_Day]]+1)/365</f>
        <v>0.93698630136986305</v>
      </c>
      <c r="J332" s="59">
        <f>Table134[[#This Row],[number_of_purchases]]/Table134[[#This Row],[customer_total_years]]</f>
        <v>4.269005847953216</v>
      </c>
      <c r="K332" s="13">
        <f>Table134[[#This Row],[purchase_history]]/Table134[[#This Row],[number_of_purchases]]</f>
        <v>3370.6049999999996</v>
      </c>
      <c r="L332" s="2">
        <f>IF(YEAR(Table134[[#This Row],[Last_Day]])=2021,5,IF(YEAR(Table134[[#This Row],[Last_Day]])=2022,7,IF(YEAR(Table134[[#This Row],[Last_Day]])=2023,10,"Không xác định")))</f>
        <v>7</v>
      </c>
      <c r="M332" s="15">
        <f>Table134[[#This Row],[avg_number_of_purchases]]*Table1345[[#This Row],[avg_purchase_value]]*Table1345[[#This Row],[expected_lifespan]]</f>
        <v>100723.92719298243</v>
      </c>
      <c r="N332" t="s">
        <v>12048</v>
      </c>
    </row>
    <row r="333" spans="1:14" x14ac:dyDescent="0.3">
      <c r="A333" s="2" t="s">
        <v>331</v>
      </c>
      <c r="B333" s="2" t="s">
        <v>12045</v>
      </c>
      <c r="C333" s="2">
        <v>67</v>
      </c>
      <c r="D333" s="2" t="s">
        <v>12041</v>
      </c>
      <c r="E333" s="2">
        <f>COUNTIF(Table16[customer_id],Table13[[#This Row],[customer_id]])</f>
        <v>2</v>
      </c>
      <c r="F333" s="13">
        <f>SUMIFS(Table16[Purchase_history],Table16[customer_id],Table13[[#This Row],[customer_id]])</f>
        <v>183.56</v>
      </c>
      <c r="G333" s="20">
        <v>44578</v>
      </c>
      <c r="H333" s="21">
        <v>44606</v>
      </c>
      <c r="I333" s="15">
        <f>(Table134[[#This Row],[Last_Day]]-Table134[[#This Row],[First_Day]]+1)/365</f>
        <v>7.9452054794520555E-2</v>
      </c>
      <c r="J333" s="59">
        <f>Table134[[#This Row],[number_of_purchases]]/Table134[[#This Row],[customer_total_years]]</f>
        <v>25.172413793103445</v>
      </c>
      <c r="K333" s="13">
        <f>Table134[[#This Row],[purchase_history]]/Table134[[#This Row],[number_of_purchases]]</f>
        <v>91.78</v>
      </c>
      <c r="L333" s="2">
        <f>IF(YEAR(Table134[[#This Row],[Last_Day]])=2021,5,IF(YEAR(Table134[[#This Row],[Last_Day]])=2022,7,IF(YEAR(Table134[[#This Row],[Last_Day]])=2023,10,"Không xác định")))</f>
        <v>7</v>
      </c>
      <c r="M333" s="15">
        <f>Table134[[#This Row],[avg_number_of_purchases]]*Table1345[[#This Row],[avg_purchase_value]]*Table1345[[#This Row],[expected_lifespan]]</f>
        <v>16172.26896551724</v>
      </c>
      <c r="N333" t="s">
        <v>12044</v>
      </c>
    </row>
    <row r="334" spans="1:14" x14ac:dyDescent="0.3">
      <c r="A334" s="2" t="s">
        <v>332</v>
      </c>
      <c r="B334" s="2" t="s">
        <v>12045</v>
      </c>
      <c r="C334" s="2">
        <v>40</v>
      </c>
      <c r="D334" s="2" t="s">
        <v>12043</v>
      </c>
      <c r="E334" s="2">
        <f>COUNTIF(Table16[customer_id],Table13[[#This Row],[customer_id]])</f>
        <v>6</v>
      </c>
      <c r="F334" s="13">
        <f>SUMIFS(Table16[Purchase_history],Table16[customer_id],Table13[[#This Row],[customer_id]])</f>
        <v>7980.619999999999</v>
      </c>
      <c r="G334" s="20">
        <v>44446</v>
      </c>
      <c r="H334" s="21">
        <v>44925</v>
      </c>
      <c r="I334" s="15">
        <f>(Table134[[#This Row],[Last_Day]]-Table134[[#This Row],[First_Day]]+1)/365</f>
        <v>1.3150684931506849</v>
      </c>
      <c r="J334" s="59">
        <f>Table134[[#This Row],[number_of_purchases]]/Table134[[#This Row],[customer_total_years]]</f>
        <v>4.5625</v>
      </c>
      <c r="K334" s="13">
        <f>Table134[[#This Row],[purchase_history]]/Table134[[#This Row],[number_of_purchases]]</f>
        <v>1330.1033333333332</v>
      </c>
      <c r="L334" s="2">
        <f>IF(YEAR(Table134[[#This Row],[Last_Day]])=2021,5,IF(YEAR(Table134[[#This Row],[Last_Day]])=2022,7,IF(YEAR(Table134[[#This Row],[Last_Day]])=2023,10,"Không xác định")))</f>
        <v>7</v>
      </c>
      <c r="M334" s="15">
        <f>Table134[[#This Row],[avg_number_of_purchases]]*Table1345[[#This Row],[avg_purchase_value]]*Table1345[[#This Row],[expected_lifespan]]</f>
        <v>42480.175208333327</v>
      </c>
      <c r="N334" t="s">
        <v>12046</v>
      </c>
    </row>
    <row r="335" spans="1:14" x14ac:dyDescent="0.3">
      <c r="A335" s="2" t="s">
        <v>333</v>
      </c>
      <c r="B335" s="2" t="s">
        <v>12040</v>
      </c>
      <c r="C335" s="2">
        <v>20</v>
      </c>
      <c r="D335" s="2" t="s">
        <v>12043</v>
      </c>
      <c r="E335" s="2">
        <f>COUNTIF(Table16[customer_id],Table13[[#This Row],[customer_id]])</f>
        <v>3</v>
      </c>
      <c r="F335" s="13">
        <f>SUMIFS(Table16[Purchase_history],Table16[customer_id],Table13[[#This Row],[customer_id]])</f>
        <v>26597.15</v>
      </c>
      <c r="G335" s="20">
        <v>44218</v>
      </c>
      <c r="H335" s="21">
        <v>44467</v>
      </c>
      <c r="I335" s="15">
        <f>(Table134[[#This Row],[Last_Day]]-Table134[[#This Row],[First_Day]]+1)/365</f>
        <v>0.68493150684931503</v>
      </c>
      <c r="J335" s="59">
        <f>Table134[[#This Row],[number_of_purchases]]/Table134[[#This Row],[customer_total_years]]</f>
        <v>4.38</v>
      </c>
      <c r="K335" s="13">
        <f>Table134[[#This Row],[purchase_history]]/Table134[[#This Row],[number_of_purchases]]</f>
        <v>8865.7166666666672</v>
      </c>
      <c r="L335" s="2">
        <f>IF(YEAR(Table134[[#This Row],[Last_Day]])=2021,5,IF(YEAR(Table134[[#This Row],[Last_Day]])=2022,7,IF(YEAR(Table134[[#This Row],[Last_Day]])=2023,10,"Không xác định")))</f>
        <v>5</v>
      </c>
      <c r="M335" s="15">
        <f>Table134[[#This Row],[avg_number_of_purchases]]*Table1345[[#This Row],[avg_purchase_value]]*Table1345[[#This Row],[expected_lifespan]]</f>
        <v>194159.19500000001</v>
      </c>
      <c r="N335" t="s">
        <v>12042</v>
      </c>
    </row>
    <row r="336" spans="1:14" x14ac:dyDescent="0.3">
      <c r="A336" s="2" t="s">
        <v>334</v>
      </c>
      <c r="B336" s="2" t="s">
        <v>12040</v>
      </c>
      <c r="C336" s="2">
        <v>29</v>
      </c>
      <c r="D336" s="2" t="s">
        <v>12041</v>
      </c>
      <c r="E336" s="2">
        <f>COUNTIF(Table16[customer_id],Table13[[#This Row],[customer_id]])</f>
        <v>6</v>
      </c>
      <c r="F336" s="13">
        <f>SUMIFS(Table16[Purchase_history],Table16[customer_id],Table13[[#This Row],[customer_id]])</f>
        <v>13755.12</v>
      </c>
      <c r="G336" s="20">
        <v>44233</v>
      </c>
      <c r="H336" s="21">
        <v>44878</v>
      </c>
      <c r="I336" s="15">
        <f>(Table134[[#This Row],[Last_Day]]-Table134[[#This Row],[First_Day]]+1)/365</f>
        <v>1.7698630136986302</v>
      </c>
      <c r="J336" s="59">
        <f>Table134[[#This Row],[number_of_purchases]]/Table134[[#This Row],[customer_total_years]]</f>
        <v>3.390092879256966</v>
      </c>
      <c r="K336" s="13">
        <f>Table134[[#This Row],[purchase_history]]/Table134[[#This Row],[number_of_purchases]]</f>
        <v>2292.52</v>
      </c>
      <c r="L336" s="2">
        <f>IF(YEAR(Table134[[#This Row],[Last_Day]])=2021,5,IF(YEAR(Table134[[#This Row],[Last_Day]])=2022,7,IF(YEAR(Table134[[#This Row],[Last_Day]])=2023,10,"Không xác định")))</f>
        <v>7</v>
      </c>
      <c r="M336" s="15">
        <f>Table134[[#This Row],[avg_number_of_purchases]]*Table1345[[#This Row],[avg_purchase_value]]*Table1345[[#This Row],[expected_lifespan]]</f>
        <v>54402.990092879256</v>
      </c>
      <c r="N336" t="s">
        <v>12047</v>
      </c>
    </row>
    <row r="337" spans="1:14" x14ac:dyDescent="0.3">
      <c r="A337" s="2" t="s">
        <v>335</v>
      </c>
      <c r="B337" s="2" t="s">
        <v>12045</v>
      </c>
      <c r="C337" s="2">
        <v>57</v>
      </c>
      <c r="D337" s="2" t="s">
        <v>12041</v>
      </c>
      <c r="E337" s="2">
        <f>COUNTIF(Table16[customer_id],Table13[[#This Row],[customer_id]])</f>
        <v>5</v>
      </c>
      <c r="F337" s="13">
        <f>SUMIFS(Table16[Purchase_history],Table16[customer_id],Table13[[#This Row],[customer_id]])</f>
        <v>7259.2999999999993</v>
      </c>
      <c r="G337" s="20">
        <v>44265</v>
      </c>
      <c r="H337" s="21">
        <v>44953</v>
      </c>
      <c r="I337" s="15">
        <f>(Table134[[#This Row],[Last_Day]]-Table134[[#This Row],[First_Day]]+1)/365</f>
        <v>1.8876712328767122</v>
      </c>
      <c r="J337" s="59">
        <f>Table134[[#This Row],[number_of_purchases]]/Table134[[#This Row],[customer_total_years]]</f>
        <v>2.6487663280116114</v>
      </c>
      <c r="K337" s="13">
        <f>Table134[[#This Row],[purchase_history]]/Table134[[#This Row],[number_of_purchases]]</f>
        <v>1451.86</v>
      </c>
      <c r="L337" s="2">
        <f>IF(YEAR(Table134[[#This Row],[Last_Day]])=2021,5,IF(YEAR(Table134[[#This Row],[Last_Day]])=2022,7,IF(YEAR(Table134[[#This Row],[Last_Day]])=2023,10,"Không xác định")))</f>
        <v>10</v>
      </c>
      <c r="M337" s="15">
        <f>Table134[[#This Row],[avg_number_of_purchases]]*Table1345[[#This Row],[avg_purchase_value]]*Table1345[[#This Row],[expected_lifespan]]</f>
        <v>38456.378809869377</v>
      </c>
      <c r="N337" t="s">
        <v>12047</v>
      </c>
    </row>
    <row r="338" spans="1:14" x14ac:dyDescent="0.3">
      <c r="A338" s="2" t="s">
        <v>336</v>
      </c>
      <c r="B338" s="2" t="s">
        <v>12040</v>
      </c>
      <c r="C338" s="2">
        <v>30</v>
      </c>
      <c r="D338" s="2" t="s">
        <v>12049</v>
      </c>
      <c r="E338" s="2">
        <f>COUNTIF(Table16[customer_id],Table13[[#This Row],[customer_id]])</f>
        <v>4</v>
      </c>
      <c r="F338" s="13">
        <f>SUMIFS(Table16[Purchase_history],Table16[customer_id],Table13[[#This Row],[customer_id]])</f>
        <v>4259.4400000000005</v>
      </c>
      <c r="G338" s="20">
        <v>44428</v>
      </c>
      <c r="H338" s="21">
        <v>44876</v>
      </c>
      <c r="I338" s="15">
        <f>(Table134[[#This Row],[Last_Day]]-Table134[[#This Row],[First_Day]]+1)/365</f>
        <v>1.2301369863013698</v>
      </c>
      <c r="J338" s="59">
        <f>Table134[[#This Row],[number_of_purchases]]/Table134[[#This Row],[customer_total_years]]</f>
        <v>3.2516703786191536</v>
      </c>
      <c r="K338" s="13">
        <f>Table134[[#This Row],[purchase_history]]/Table134[[#This Row],[number_of_purchases]]</f>
        <v>1064.8600000000001</v>
      </c>
      <c r="L338" s="2">
        <f>IF(YEAR(Table134[[#This Row],[Last_Day]])=2021,5,IF(YEAR(Table134[[#This Row],[Last_Day]])=2022,7,IF(YEAR(Table134[[#This Row],[Last_Day]])=2023,10,"Không xác định")))</f>
        <v>7</v>
      </c>
      <c r="M338" s="15">
        <f>Table134[[#This Row],[avg_number_of_purchases]]*Table1345[[#This Row],[avg_purchase_value]]*Table1345[[#This Row],[expected_lifespan]]</f>
        <v>24238.016035634748</v>
      </c>
      <c r="N338" t="s">
        <v>12044</v>
      </c>
    </row>
    <row r="339" spans="1:14" x14ac:dyDescent="0.3">
      <c r="A339" s="2" t="s">
        <v>337</v>
      </c>
      <c r="B339" s="2" t="s">
        <v>12040</v>
      </c>
      <c r="C339" s="2">
        <v>62</v>
      </c>
      <c r="D339" s="2" t="s">
        <v>12041</v>
      </c>
      <c r="E339" s="2">
        <f>COUNTIF(Table16[customer_id],Table13[[#This Row],[customer_id]])</f>
        <v>12</v>
      </c>
      <c r="F339" s="13">
        <f>SUMIFS(Table16[Purchase_history],Table16[customer_id],Table13[[#This Row],[customer_id]])</f>
        <v>50033.310000000005</v>
      </c>
      <c r="G339" s="20">
        <v>44313</v>
      </c>
      <c r="H339" s="21">
        <v>44974</v>
      </c>
      <c r="I339" s="15">
        <f>(Table134[[#This Row],[Last_Day]]-Table134[[#This Row],[First_Day]]+1)/365</f>
        <v>1.8136986301369864</v>
      </c>
      <c r="J339" s="59">
        <f>Table134[[#This Row],[number_of_purchases]]/Table134[[#This Row],[customer_total_years]]</f>
        <v>6.6163141993957701</v>
      </c>
      <c r="K339" s="13">
        <f>Table134[[#This Row],[purchase_history]]/Table134[[#This Row],[number_of_purchases]]</f>
        <v>4169.4425000000001</v>
      </c>
      <c r="L339" s="2">
        <f>IF(YEAR(Table134[[#This Row],[Last_Day]])=2021,5,IF(YEAR(Table134[[#This Row],[Last_Day]])=2022,7,IF(YEAR(Table134[[#This Row],[Last_Day]])=2023,10,"Không xác định")))</f>
        <v>10</v>
      </c>
      <c r="M339" s="15">
        <f>Table134[[#This Row],[avg_number_of_purchases]]*Table1345[[#This Row],[avg_purchase_value]]*Table1345[[#This Row],[expected_lifespan]]</f>
        <v>275863.41616314201</v>
      </c>
      <c r="N339" t="s">
        <v>12044</v>
      </c>
    </row>
    <row r="340" spans="1:14" x14ac:dyDescent="0.3">
      <c r="A340" s="2" t="s">
        <v>338</v>
      </c>
      <c r="B340" s="2" t="s">
        <v>12045</v>
      </c>
      <c r="C340" s="2">
        <v>38</v>
      </c>
      <c r="D340" s="2" t="s">
        <v>12043</v>
      </c>
      <c r="E340" s="2">
        <f>COUNTIF(Table16[customer_id],Table13[[#This Row],[customer_id]])</f>
        <v>4</v>
      </c>
      <c r="F340" s="13">
        <f>SUMIFS(Table16[Purchase_history],Table16[customer_id],Table13[[#This Row],[customer_id]])</f>
        <v>17116.289999999997</v>
      </c>
      <c r="G340" s="20">
        <v>44491</v>
      </c>
      <c r="H340" s="21">
        <v>44678</v>
      </c>
      <c r="I340" s="15">
        <f>(Table134[[#This Row],[Last_Day]]-Table134[[#This Row],[First_Day]]+1)/365</f>
        <v>0.51506849315068493</v>
      </c>
      <c r="J340" s="59">
        <f>Table134[[#This Row],[number_of_purchases]]/Table134[[#This Row],[customer_total_years]]</f>
        <v>7.7659574468085104</v>
      </c>
      <c r="K340" s="13">
        <f>Table134[[#This Row],[purchase_history]]/Table134[[#This Row],[number_of_purchases]]</f>
        <v>4279.0724999999993</v>
      </c>
      <c r="L340" s="2">
        <f>IF(YEAR(Table134[[#This Row],[Last_Day]])=2021,5,IF(YEAR(Table134[[#This Row],[Last_Day]])=2022,7,IF(YEAR(Table134[[#This Row],[Last_Day]])=2023,10,"Không xác định")))</f>
        <v>7</v>
      </c>
      <c r="M340" s="15">
        <f>Table134[[#This Row],[avg_number_of_purchases]]*Table1345[[#This Row],[avg_purchase_value]]*Table1345[[#This Row],[expected_lifespan]]</f>
        <v>232617.66462765951</v>
      </c>
      <c r="N340" t="s">
        <v>12048</v>
      </c>
    </row>
    <row r="341" spans="1:14" x14ac:dyDescent="0.3">
      <c r="A341" s="2" t="s">
        <v>339</v>
      </c>
      <c r="B341" s="2" t="s">
        <v>12040</v>
      </c>
      <c r="C341" s="2">
        <v>49</v>
      </c>
      <c r="D341" s="2" t="s">
        <v>12041</v>
      </c>
      <c r="E341" s="2">
        <f>COUNTIF(Table16[customer_id],Table13[[#This Row],[customer_id]])</f>
        <v>3</v>
      </c>
      <c r="F341" s="13">
        <f>SUMIFS(Table16[Purchase_history],Table16[customer_id],Table13[[#This Row],[customer_id]])</f>
        <v>15030.4</v>
      </c>
      <c r="G341" s="20">
        <v>44260</v>
      </c>
      <c r="H341" s="21">
        <v>44902</v>
      </c>
      <c r="I341" s="15">
        <f>(Table134[[#This Row],[Last_Day]]-Table134[[#This Row],[First_Day]]+1)/365</f>
        <v>1.7616438356164383</v>
      </c>
      <c r="J341" s="59">
        <f>Table134[[#This Row],[number_of_purchases]]/Table134[[#This Row],[customer_total_years]]</f>
        <v>1.702954898911353</v>
      </c>
      <c r="K341" s="13">
        <f>Table134[[#This Row],[purchase_history]]/Table134[[#This Row],[number_of_purchases]]</f>
        <v>5010.1333333333332</v>
      </c>
      <c r="L341" s="2">
        <f>IF(YEAR(Table134[[#This Row],[Last_Day]])=2021,5,IF(YEAR(Table134[[#This Row],[Last_Day]])=2022,7,IF(YEAR(Table134[[#This Row],[Last_Day]])=2023,10,"Không xác định")))</f>
        <v>7</v>
      </c>
      <c r="M341" s="15">
        <f>Table134[[#This Row],[avg_number_of_purchases]]*Table1345[[#This Row],[avg_purchase_value]]*Table1345[[#This Row],[expected_lifespan]]</f>
        <v>59724.217729393466</v>
      </c>
      <c r="N341" t="s">
        <v>12046</v>
      </c>
    </row>
    <row r="342" spans="1:14" x14ac:dyDescent="0.3">
      <c r="A342" s="2" t="s">
        <v>340</v>
      </c>
      <c r="B342" s="2" t="s">
        <v>12045</v>
      </c>
      <c r="C342" s="2">
        <v>32</v>
      </c>
      <c r="D342" s="2" t="s">
        <v>12043</v>
      </c>
      <c r="E342" s="2">
        <f>COUNTIF(Table16[customer_id],Table13[[#This Row],[customer_id]])</f>
        <v>10</v>
      </c>
      <c r="F342" s="13">
        <f>SUMIFS(Table16[Purchase_history],Table16[customer_id],Table13[[#This Row],[customer_id]])</f>
        <v>22266.37</v>
      </c>
      <c r="G342" s="20">
        <v>44245</v>
      </c>
      <c r="H342" s="21">
        <v>44966</v>
      </c>
      <c r="I342" s="15">
        <f>(Table134[[#This Row],[Last_Day]]-Table134[[#This Row],[First_Day]]+1)/365</f>
        <v>1.978082191780822</v>
      </c>
      <c r="J342" s="59">
        <f>Table134[[#This Row],[number_of_purchases]]/Table134[[#This Row],[customer_total_years]]</f>
        <v>5.055401662049861</v>
      </c>
      <c r="K342" s="13">
        <f>Table134[[#This Row],[purchase_history]]/Table134[[#This Row],[number_of_purchases]]</f>
        <v>2226.6369999999997</v>
      </c>
      <c r="L342" s="2">
        <f>IF(YEAR(Table134[[#This Row],[Last_Day]])=2021,5,IF(YEAR(Table134[[#This Row],[Last_Day]])=2022,7,IF(YEAR(Table134[[#This Row],[Last_Day]])=2023,10,"Không xác định")))</f>
        <v>10</v>
      </c>
      <c r="M342" s="15">
        <f>Table134[[#This Row],[avg_number_of_purchases]]*Table1345[[#This Row],[avg_purchase_value]]*Table1345[[#This Row],[expected_lifespan]]</f>
        <v>112565.44390581716</v>
      </c>
      <c r="N342" t="s">
        <v>12047</v>
      </c>
    </row>
    <row r="343" spans="1:14" x14ac:dyDescent="0.3">
      <c r="A343" s="2" t="s">
        <v>341</v>
      </c>
      <c r="B343" s="2" t="s">
        <v>12045</v>
      </c>
      <c r="C343" s="2">
        <v>56</v>
      </c>
      <c r="D343" s="2" t="s">
        <v>12049</v>
      </c>
      <c r="E343" s="2">
        <f>COUNTIF(Table16[customer_id],Table13[[#This Row],[customer_id]])</f>
        <v>5</v>
      </c>
      <c r="F343" s="13">
        <f>SUMIFS(Table16[Purchase_history],Table16[customer_id],Table13[[#This Row],[customer_id]])</f>
        <v>15029.609999999999</v>
      </c>
      <c r="G343" s="20">
        <v>44342</v>
      </c>
      <c r="H343" s="21">
        <v>44396</v>
      </c>
      <c r="I343" s="15">
        <f>(Table134[[#This Row],[Last_Day]]-Table134[[#This Row],[First_Day]]+1)/365</f>
        <v>0.15068493150684931</v>
      </c>
      <c r="J343" s="59">
        <f>Table134[[#This Row],[number_of_purchases]]/Table134[[#This Row],[customer_total_years]]</f>
        <v>33.181818181818187</v>
      </c>
      <c r="K343" s="13">
        <f>Table134[[#This Row],[purchase_history]]/Table134[[#This Row],[number_of_purchases]]</f>
        <v>3005.9219999999996</v>
      </c>
      <c r="L343" s="2">
        <f>IF(YEAR(Table134[[#This Row],[Last_Day]])=2021,5,IF(YEAR(Table134[[#This Row],[Last_Day]])=2022,7,IF(YEAR(Table134[[#This Row],[Last_Day]])=2023,10,"Không xác định")))</f>
        <v>5</v>
      </c>
      <c r="M343" s="15">
        <f>Table134[[#This Row],[avg_number_of_purchases]]*Table1345[[#This Row],[avg_purchase_value]]*Table1345[[#This Row],[expected_lifespan]]</f>
        <v>498709.78636363638</v>
      </c>
      <c r="N343" t="s">
        <v>12046</v>
      </c>
    </row>
    <row r="344" spans="1:14" x14ac:dyDescent="0.3">
      <c r="A344" s="2" t="s">
        <v>342</v>
      </c>
      <c r="B344" s="2" t="s">
        <v>12040</v>
      </c>
      <c r="C344" s="2">
        <v>45</v>
      </c>
      <c r="D344" s="2" t="s">
        <v>12043</v>
      </c>
      <c r="E344" s="2">
        <f>COUNTIF(Table16[customer_id],Table13[[#This Row],[customer_id]])</f>
        <v>4</v>
      </c>
      <c r="F344" s="13">
        <f>SUMIFS(Table16[Purchase_history],Table16[customer_id],Table13[[#This Row],[customer_id]])</f>
        <v>1387.74</v>
      </c>
      <c r="G344" s="20">
        <v>44323</v>
      </c>
      <c r="H344" s="21">
        <v>44734</v>
      </c>
      <c r="I344" s="15">
        <f>(Table134[[#This Row],[Last_Day]]-Table134[[#This Row],[First_Day]]+1)/365</f>
        <v>1.1287671232876713</v>
      </c>
      <c r="J344" s="59">
        <f>Table134[[#This Row],[number_of_purchases]]/Table134[[#This Row],[customer_total_years]]</f>
        <v>3.5436893203883493</v>
      </c>
      <c r="K344" s="13">
        <f>Table134[[#This Row],[purchase_history]]/Table134[[#This Row],[number_of_purchases]]</f>
        <v>346.935</v>
      </c>
      <c r="L344" s="2">
        <f>IF(YEAR(Table134[[#This Row],[Last_Day]])=2021,5,IF(YEAR(Table134[[#This Row],[Last_Day]])=2022,7,IF(YEAR(Table134[[#This Row],[Last_Day]])=2023,10,"Không xác định")))</f>
        <v>7</v>
      </c>
      <c r="M344" s="15">
        <f>Table134[[#This Row],[avg_number_of_purchases]]*Table1345[[#This Row],[avg_purchase_value]]*Table1345[[#This Row],[expected_lifespan]]</f>
        <v>8606.0089805825228</v>
      </c>
      <c r="N344" t="s">
        <v>12047</v>
      </c>
    </row>
    <row r="345" spans="1:14" x14ac:dyDescent="0.3">
      <c r="A345" s="2" t="s">
        <v>343</v>
      </c>
      <c r="B345" s="2" t="s">
        <v>12045</v>
      </c>
      <c r="C345" s="2">
        <v>36</v>
      </c>
      <c r="D345" s="2" t="s">
        <v>12043</v>
      </c>
      <c r="E345" s="2">
        <f>COUNTIF(Table16[customer_id],Table13[[#This Row],[customer_id]])</f>
        <v>5</v>
      </c>
      <c r="F345" s="13">
        <f>SUMIFS(Table16[Purchase_history],Table16[customer_id],Table13[[#This Row],[customer_id]])</f>
        <v>12417.829999999998</v>
      </c>
      <c r="G345" s="20">
        <v>44274</v>
      </c>
      <c r="H345" s="21">
        <v>44770</v>
      </c>
      <c r="I345" s="15">
        <f>(Table134[[#This Row],[Last_Day]]-Table134[[#This Row],[First_Day]]+1)/365</f>
        <v>1.3616438356164384</v>
      </c>
      <c r="J345" s="59">
        <f>Table134[[#This Row],[number_of_purchases]]/Table134[[#This Row],[customer_total_years]]</f>
        <v>3.6720321931589535</v>
      </c>
      <c r="K345" s="13">
        <f>Table134[[#This Row],[purchase_history]]/Table134[[#This Row],[number_of_purchases]]</f>
        <v>2483.5659999999998</v>
      </c>
      <c r="L345" s="2">
        <f>IF(YEAR(Table134[[#This Row],[Last_Day]])=2021,5,IF(YEAR(Table134[[#This Row],[Last_Day]])=2022,7,IF(YEAR(Table134[[#This Row],[Last_Day]])=2023,10,"Không xác định")))</f>
        <v>7</v>
      </c>
      <c r="M345" s="15">
        <f>Table134[[#This Row],[avg_number_of_purchases]]*Table1345[[#This Row],[avg_purchase_value]]*Table1345[[#This Row],[expected_lifespan]]</f>
        <v>63838.140140845062</v>
      </c>
      <c r="N345" t="s">
        <v>12048</v>
      </c>
    </row>
    <row r="346" spans="1:14" x14ac:dyDescent="0.3">
      <c r="A346" s="2" t="s">
        <v>344</v>
      </c>
      <c r="B346" s="2" t="s">
        <v>12040</v>
      </c>
      <c r="C346" s="2">
        <v>63</v>
      </c>
      <c r="D346" s="2" t="s">
        <v>12049</v>
      </c>
      <c r="E346" s="2">
        <f>COUNTIF(Table16[customer_id],Table13[[#This Row],[customer_id]])</f>
        <v>10</v>
      </c>
      <c r="F346" s="13">
        <f>SUMIFS(Table16[Purchase_history],Table16[customer_id],Table13[[#This Row],[customer_id]])</f>
        <v>21732.449999999997</v>
      </c>
      <c r="G346" s="20">
        <v>44203</v>
      </c>
      <c r="H346" s="21">
        <v>44897</v>
      </c>
      <c r="I346" s="15">
        <f>(Table134[[#This Row],[Last_Day]]-Table134[[#This Row],[First_Day]]+1)/365</f>
        <v>1.904109589041096</v>
      </c>
      <c r="J346" s="59">
        <f>Table134[[#This Row],[number_of_purchases]]/Table134[[#This Row],[customer_total_years]]</f>
        <v>5.2517985611510793</v>
      </c>
      <c r="K346" s="13">
        <f>Table134[[#This Row],[purchase_history]]/Table134[[#This Row],[number_of_purchases]]</f>
        <v>2173.2449999999999</v>
      </c>
      <c r="L346" s="2">
        <f>IF(YEAR(Table134[[#This Row],[Last_Day]])=2021,5,IF(YEAR(Table134[[#This Row],[Last_Day]])=2022,7,IF(YEAR(Table134[[#This Row],[Last_Day]])=2023,10,"Không xác định")))</f>
        <v>7</v>
      </c>
      <c r="M346" s="15">
        <f>Table134[[#This Row],[avg_number_of_purchases]]*Table1345[[#This Row],[avg_purchase_value]]*Table1345[[#This Row],[expected_lifespan]]</f>
        <v>79894.114748201435</v>
      </c>
      <c r="N346" t="s">
        <v>12047</v>
      </c>
    </row>
    <row r="347" spans="1:14" x14ac:dyDescent="0.3">
      <c r="A347" s="2" t="s">
        <v>345</v>
      </c>
      <c r="B347" s="2" t="s">
        <v>12045</v>
      </c>
      <c r="C347" s="2">
        <v>69</v>
      </c>
      <c r="D347" s="2" t="s">
        <v>12041</v>
      </c>
      <c r="E347" s="2">
        <f>COUNTIF(Table16[customer_id],Table13[[#This Row],[customer_id]])</f>
        <v>5</v>
      </c>
      <c r="F347" s="13">
        <f>SUMIFS(Table16[Purchase_history],Table16[customer_id],Table13[[#This Row],[customer_id]])</f>
        <v>1318.71</v>
      </c>
      <c r="G347" s="20">
        <v>44290</v>
      </c>
      <c r="H347" s="21">
        <v>44739</v>
      </c>
      <c r="I347" s="15">
        <f>(Table134[[#This Row],[Last_Day]]-Table134[[#This Row],[First_Day]]+1)/365</f>
        <v>1.2328767123287672</v>
      </c>
      <c r="J347" s="59">
        <f>Table134[[#This Row],[number_of_purchases]]/Table134[[#This Row],[customer_total_years]]</f>
        <v>4.0555555555555554</v>
      </c>
      <c r="K347" s="13">
        <f>Table134[[#This Row],[purchase_history]]/Table134[[#This Row],[number_of_purchases]]</f>
        <v>263.74200000000002</v>
      </c>
      <c r="L347" s="2">
        <f>IF(YEAR(Table134[[#This Row],[Last_Day]])=2021,5,IF(YEAR(Table134[[#This Row],[Last_Day]])=2022,7,IF(YEAR(Table134[[#This Row],[Last_Day]])=2023,10,"Không xác định")))</f>
        <v>7</v>
      </c>
      <c r="M347" s="15">
        <f>Table134[[#This Row],[avg_number_of_purchases]]*Table1345[[#This Row],[avg_purchase_value]]*Table1345[[#This Row],[expected_lifespan]]</f>
        <v>7487.342333333333</v>
      </c>
      <c r="N347" t="s">
        <v>12048</v>
      </c>
    </row>
    <row r="348" spans="1:14" x14ac:dyDescent="0.3">
      <c r="A348" s="2" t="s">
        <v>346</v>
      </c>
      <c r="B348" s="2" t="s">
        <v>12045</v>
      </c>
      <c r="C348" s="2">
        <v>23</v>
      </c>
      <c r="D348" s="2" t="s">
        <v>12043</v>
      </c>
      <c r="E348" s="2">
        <f>COUNTIF(Table16[customer_id],Table13[[#This Row],[customer_id]])</f>
        <v>6</v>
      </c>
      <c r="F348" s="13">
        <f>SUMIFS(Table16[Purchase_history],Table16[customer_id],Table13[[#This Row],[customer_id]])</f>
        <v>19178.490000000002</v>
      </c>
      <c r="G348" s="20">
        <v>44619</v>
      </c>
      <c r="H348" s="21">
        <v>44913</v>
      </c>
      <c r="I348" s="15">
        <f>(Table134[[#This Row],[Last_Day]]-Table134[[#This Row],[First_Day]]+1)/365</f>
        <v>0.80821917808219179</v>
      </c>
      <c r="J348" s="59">
        <f>Table134[[#This Row],[number_of_purchases]]/Table134[[#This Row],[customer_total_years]]</f>
        <v>7.4237288135593218</v>
      </c>
      <c r="K348" s="13">
        <f>Table134[[#This Row],[purchase_history]]/Table134[[#This Row],[number_of_purchases]]</f>
        <v>3196.4150000000004</v>
      </c>
      <c r="L348" s="2">
        <f>IF(YEAR(Table134[[#This Row],[Last_Day]])=2021,5,IF(YEAR(Table134[[#This Row],[Last_Day]])=2022,7,IF(YEAR(Table134[[#This Row],[Last_Day]])=2023,10,"Không xác định")))</f>
        <v>7</v>
      </c>
      <c r="M348" s="15">
        <f>Table134[[#This Row],[avg_number_of_purchases]]*Table1345[[#This Row],[avg_purchase_value]]*Table1345[[#This Row],[expected_lifespan]]</f>
        <v>166105.22694915254</v>
      </c>
      <c r="N348" t="s">
        <v>12048</v>
      </c>
    </row>
    <row r="349" spans="1:14" x14ac:dyDescent="0.3">
      <c r="A349" s="2" t="s">
        <v>347</v>
      </c>
      <c r="B349" s="2" t="s">
        <v>12040</v>
      </c>
      <c r="C349" s="2">
        <v>49</v>
      </c>
      <c r="D349" s="2" t="s">
        <v>12049</v>
      </c>
      <c r="E349" s="2">
        <f>COUNTIF(Table16[customer_id],Table13[[#This Row],[customer_id]])</f>
        <v>4</v>
      </c>
      <c r="F349" s="13">
        <f>SUMIFS(Table16[Purchase_history],Table16[customer_id],Table13[[#This Row],[customer_id]])</f>
        <v>8138.7300000000005</v>
      </c>
      <c r="G349" s="20">
        <v>44286</v>
      </c>
      <c r="H349" s="21">
        <v>44789</v>
      </c>
      <c r="I349" s="15">
        <f>(Table134[[#This Row],[Last_Day]]-Table134[[#This Row],[First_Day]]+1)/365</f>
        <v>1.3808219178082193</v>
      </c>
      <c r="J349" s="59">
        <f>Table134[[#This Row],[number_of_purchases]]/Table134[[#This Row],[customer_total_years]]</f>
        <v>2.8968253968253967</v>
      </c>
      <c r="K349" s="13">
        <f>Table134[[#This Row],[purchase_history]]/Table134[[#This Row],[number_of_purchases]]</f>
        <v>2034.6825000000001</v>
      </c>
      <c r="L349" s="2">
        <f>IF(YEAR(Table134[[#This Row],[Last_Day]])=2021,5,IF(YEAR(Table134[[#This Row],[Last_Day]])=2022,7,IF(YEAR(Table134[[#This Row],[Last_Day]])=2023,10,"Không xác định")))</f>
        <v>7</v>
      </c>
      <c r="M349" s="15">
        <f>Table134[[#This Row],[avg_number_of_purchases]]*Table1345[[#This Row],[avg_purchase_value]]*Table1345[[#This Row],[expected_lifespan]]</f>
        <v>41258.839583333334</v>
      </c>
      <c r="N349" t="s">
        <v>12042</v>
      </c>
    </row>
    <row r="350" spans="1:14" x14ac:dyDescent="0.3">
      <c r="A350" s="2" t="s">
        <v>348</v>
      </c>
      <c r="B350" s="2" t="s">
        <v>12040</v>
      </c>
      <c r="C350" s="2">
        <v>49</v>
      </c>
      <c r="D350" s="2" t="s">
        <v>12049</v>
      </c>
      <c r="E350" s="2">
        <f>COUNTIF(Table16[customer_id],Table13[[#This Row],[customer_id]])</f>
        <v>4</v>
      </c>
      <c r="F350" s="13">
        <f>SUMIFS(Table16[Purchase_history],Table16[customer_id],Table13[[#This Row],[customer_id]])</f>
        <v>36938.559999999998</v>
      </c>
      <c r="G350" s="20">
        <v>44472</v>
      </c>
      <c r="H350" s="21">
        <v>44983</v>
      </c>
      <c r="I350" s="15">
        <f>(Table134[[#This Row],[Last_Day]]-Table134[[#This Row],[First_Day]]+1)/365</f>
        <v>1.4027397260273973</v>
      </c>
      <c r="J350" s="59">
        <f>Table134[[#This Row],[number_of_purchases]]/Table134[[#This Row],[customer_total_years]]</f>
        <v>2.8515625</v>
      </c>
      <c r="K350" s="13">
        <f>Table134[[#This Row],[purchase_history]]/Table134[[#This Row],[number_of_purchases]]</f>
        <v>9234.64</v>
      </c>
      <c r="L350" s="2">
        <f>IF(YEAR(Table134[[#This Row],[Last_Day]])=2021,5,IF(YEAR(Table134[[#This Row],[Last_Day]])=2022,7,IF(YEAR(Table134[[#This Row],[Last_Day]])=2023,10,"Không xác định")))</f>
        <v>10</v>
      </c>
      <c r="M350" s="15">
        <f>Table134[[#This Row],[avg_number_of_purchases]]*Table1345[[#This Row],[avg_purchase_value]]*Table1345[[#This Row],[expected_lifespan]]</f>
        <v>263331.53125</v>
      </c>
      <c r="N350" t="s">
        <v>12048</v>
      </c>
    </row>
    <row r="351" spans="1:14" x14ac:dyDescent="0.3">
      <c r="A351" s="2" t="s">
        <v>349</v>
      </c>
      <c r="B351" s="2" t="s">
        <v>12040</v>
      </c>
      <c r="C351" s="2">
        <v>37</v>
      </c>
      <c r="D351" s="2" t="s">
        <v>12049</v>
      </c>
      <c r="E351" s="2">
        <f>COUNTIF(Table16[customer_id],Table13[[#This Row],[customer_id]])</f>
        <v>5</v>
      </c>
      <c r="F351" s="13">
        <f>SUMIFS(Table16[Purchase_history],Table16[customer_id],Table13[[#This Row],[customer_id]])</f>
        <v>5434.99</v>
      </c>
      <c r="G351" s="20">
        <v>44277</v>
      </c>
      <c r="H351" s="21">
        <v>44978</v>
      </c>
      <c r="I351" s="15">
        <f>(Table134[[#This Row],[Last_Day]]-Table134[[#This Row],[First_Day]]+1)/365</f>
        <v>1.9232876712328768</v>
      </c>
      <c r="J351" s="59">
        <f>Table134[[#This Row],[number_of_purchases]]/Table134[[#This Row],[customer_total_years]]</f>
        <v>2.5997150997150995</v>
      </c>
      <c r="K351" s="13">
        <f>Table134[[#This Row],[purchase_history]]/Table134[[#This Row],[number_of_purchases]]</f>
        <v>1086.998</v>
      </c>
      <c r="L351" s="2">
        <f>IF(YEAR(Table134[[#This Row],[Last_Day]])=2021,5,IF(YEAR(Table134[[#This Row],[Last_Day]])=2022,7,IF(YEAR(Table134[[#This Row],[Last_Day]])=2023,10,"Không xác định")))</f>
        <v>10</v>
      </c>
      <c r="M351" s="15">
        <f>Table134[[#This Row],[avg_number_of_purchases]]*Table1345[[#This Row],[avg_purchase_value]]*Table1345[[#This Row],[expected_lifespan]]</f>
        <v>28258.851139601138</v>
      </c>
      <c r="N351" t="s">
        <v>12048</v>
      </c>
    </row>
    <row r="352" spans="1:14" x14ac:dyDescent="0.3">
      <c r="A352" s="2" t="s">
        <v>350</v>
      </c>
      <c r="B352" s="2" t="s">
        <v>12040</v>
      </c>
      <c r="C352" s="2">
        <v>56</v>
      </c>
      <c r="D352" s="2" t="s">
        <v>12041</v>
      </c>
      <c r="E352" s="2">
        <f>COUNTIF(Table16[customer_id],Table13[[#This Row],[customer_id]])</f>
        <v>8</v>
      </c>
      <c r="F352" s="13">
        <f>SUMIFS(Table16[Purchase_history],Table16[customer_id],Table13[[#This Row],[customer_id]])</f>
        <v>46054.39</v>
      </c>
      <c r="G352" s="20">
        <v>44258</v>
      </c>
      <c r="H352" s="21">
        <v>44888</v>
      </c>
      <c r="I352" s="15">
        <f>(Table134[[#This Row],[Last_Day]]-Table134[[#This Row],[First_Day]]+1)/365</f>
        <v>1.7287671232876711</v>
      </c>
      <c r="J352" s="59">
        <f>Table134[[#This Row],[number_of_purchases]]/Table134[[#This Row],[customer_total_years]]</f>
        <v>4.6275752773375594</v>
      </c>
      <c r="K352" s="13">
        <f>Table134[[#This Row],[purchase_history]]/Table134[[#This Row],[number_of_purchases]]</f>
        <v>5756.7987499999999</v>
      </c>
      <c r="L352" s="2">
        <f>IF(YEAR(Table134[[#This Row],[Last_Day]])=2021,5,IF(YEAR(Table134[[#This Row],[Last_Day]])=2022,7,IF(YEAR(Table134[[#This Row],[Last_Day]])=2023,10,"Không xác định")))</f>
        <v>7</v>
      </c>
      <c r="M352" s="15">
        <f>Table134[[#This Row],[avg_number_of_purchases]]*Table1345[[#This Row],[avg_purchase_value]]*Table1345[[#This Row],[expected_lifespan]]</f>
        <v>186480.13700475436</v>
      </c>
      <c r="N352" t="s">
        <v>12046</v>
      </c>
    </row>
    <row r="353" spans="1:14" x14ac:dyDescent="0.3">
      <c r="A353" s="2" t="s">
        <v>351</v>
      </c>
      <c r="B353" s="2" t="s">
        <v>12045</v>
      </c>
      <c r="C353" s="2">
        <v>22</v>
      </c>
      <c r="D353" s="2" t="s">
        <v>12043</v>
      </c>
      <c r="E353" s="2">
        <f>COUNTIF(Table16[customer_id],Table13[[#This Row],[customer_id]])</f>
        <v>5</v>
      </c>
      <c r="F353" s="13">
        <f>SUMIFS(Table16[Purchase_history],Table16[customer_id],Table13[[#This Row],[customer_id]])</f>
        <v>1305.72</v>
      </c>
      <c r="G353" s="20">
        <v>44198</v>
      </c>
      <c r="H353" s="21">
        <v>44889</v>
      </c>
      <c r="I353" s="15">
        <f>(Table134[[#This Row],[Last_Day]]-Table134[[#This Row],[First_Day]]+1)/365</f>
        <v>1.8958904109589041</v>
      </c>
      <c r="J353" s="59">
        <f>Table134[[#This Row],[number_of_purchases]]/Table134[[#This Row],[customer_total_years]]</f>
        <v>2.6372832369942198</v>
      </c>
      <c r="K353" s="13">
        <f>Table134[[#This Row],[purchase_history]]/Table134[[#This Row],[number_of_purchases]]</f>
        <v>261.14400000000001</v>
      </c>
      <c r="L353" s="2">
        <f>IF(YEAR(Table134[[#This Row],[Last_Day]])=2021,5,IF(YEAR(Table134[[#This Row],[Last_Day]])=2022,7,IF(YEAR(Table134[[#This Row],[Last_Day]])=2023,10,"Không xác định")))</f>
        <v>7</v>
      </c>
      <c r="M353" s="15">
        <f>Table134[[#This Row],[avg_number_of_purchases]]*Table1345[[#This Row],[avg_purchase_value]]*Table1345[[#This Row],[expected_lifespan]]</f>
        <v>4820.9748554913303</v>
      </c>
      <c r="N353" t="s">
        <v>12046</v>
      </c>
    </row>
    <row r="354" spans="1:14" x14ac:dyDescent="0.3">
      <c r="A354" s="2" t="s">
        <v>352</v>
      </c>
      <c r="B354" s="2" t="s">
        <v>12040</v>
      </c>
      <c r="C354" s="2">
        <v>56</v>
      </c>
      <c r="D354" s="2" t="s">
        <v>12041</v>
      </c>
      <c r="E354" s="2">
        <f>COUNTIF(Table16[customer_id],Table13[[#This Row],[customer_id]])</f>
        <v>7</v>
      </c>
      <c r="F354" s="13">
        <f>SUMIFS(Table16[Purchase_history],Table16[customer_id],Table13[[#This Row],[customer_id]])</f>
        <v>16147.74</v>
      </c>
      <c r="G354" s="20">
        <v>44238</v>
      </c>
      <c r="H354" s="21">
        <v>44982</v>
      </c>
      <c r="I354" s="15">
        <f>(Table134[[#This Row],[Last_Day]]-Table134[[#This Row],[First_Day]]+1)/365</f>
        <v>2.0410958904109591</v>
      </c>
      <c r="J354" s="59">
        <f>Table134[[#This Row],[number_of_purchases]]/Table134[[#This Row],[customer_total_years]]</f>
        <v>3.4295302013422817</v>
      </c>
      <c r="K354" s="13">
        <f>Table134[[#This Row],[purchase_history]]/Table134[[#This Row],[number_of_purchases]]</f>
        <v>2306.8200000000002</v>
      </c>
      <c r="L354" s="2">
        <f>IF(YEAR(Table134[[#This Row],[Last_Day]])=2021,5,IF(YEAR(Table134[[#This Row],[Last_Day]])=2022,7,IF(YEAR(Table134[[#This Row],[Last_Day]])=2023,10,"Không xác định")))</f>
        <v>10</v>
      </c>
      <c r="M354" s="15">
        <f>Table134[[#This Row],[avg_number_of_purchases]]*Table1345[[#This Row],[avg_purchase_value]]*Table1345[[#This Row],[expected_lifespan]]</f>
        <v>79113.088590604035</v>
      </c>
      <c r="N354" t="s">
        <v>12048</v>
      </c>
    </row>
    <row r="355" spans="1:14" x14ac:dyDescent="0.3">
      <c r="A355" s="2" t="s">
        <v>353</v>
      </c>
      <c r="B355" s="2" t="s">
        <v>12040</v>
      </c>
      <c r="C355" s="2">
        <v>43</v>
      </c>
      <c r="D355" s="2" t="s">
        <v>12043</v>
      </c>
      <c r="E355" s="2">
        <f>COUNTIF(Table16[customer_id],Table13[[#This Row],[customer_id]])</f>
        <v>7</v>
      </c>
      <c r="F355" s="13">
        <f>SUMIFS(Table16[Purchase_history],Table16[customer_id],Table13[[#This Row],[customer_id]])</f>
        <v>15002.3</v>
      </c>
      <c r="G355" s="20">
        <v>44203</v>
      </c>
      <c r="H355" s="21">
        <v>44975</v>
      </c>
      <c r="I355" s="15">
        <f>(Table134[[#This Row],[Last_Day]]-Table134[[#This Row],[First_Day]]+1)/365</f>
        <v>2.117808219178082</v>
      </c>
      <c r="J355" s="59">
        <f>Table134[[#This Row],[number_of_purchases]]/Table134[[#This Row],[customer_total_years]]</f>
        <v>3.3053040103492886</v>
      </c>
      <c r="K355" s="13">
        <f>Table134[[#This Row],[purchase_history]]/Table134[[#This Row],[number_of_purchases]]</f>
        <v>2143.1857142857143</v>
      </c>
      <c r="L355" s="2">
        <f>IF(YEAR(Table134[[#This Row],[Last_Day]])=2021,5,IF(YEAR(Table134[[#This Row],[Last_Day]])=2022,7,IF(YEAR(Table134[[#This Row],[Last_Day]])=2023,10,"Không xác định")))</f>
        <v>10</v>
      </c>
      <c r="M355" s="15">
        <f>Table134[[#This Row],[avg_number_of_purchases]]*Table1345[[#This Row],[avg_purchase_value]]*Table1345[[#This Row],[expected_lifespan]]</f>
        <v>70838.80336351876</v>
      </c>
      <c r="N355" t="s">
        <v>12044</v>
      </c>
    </row>
    <row r="356" spans="1:14" x14ac:dyDescent="0.3">
      <c r="A356" s="2" t="s">
        <v>354</v>
      </c>
      <c r="B356" s="2" t="s">
        <v>12040</v>
      </c>
      <c r="C356" s="2">
        <v>68</v>
      </c>
      <c r="D356" s="2" t="s">
        <v>12041</v>
      </c>
      <c r="E356" s="2">
        <f>COUNTIF(Table16[customer_id],Table13[[#This Row],[customer_id]])</f>
        <v>6</v>
      </c>
      <c r="F356" s="13">
        <f>SUMIFS(Table16[Purchase_history],Table16[customer_id],Table13[[#This Row],[customer_id]])</f>
        <v>15832.820000000002</v>
      </c>
      <c r="G356" s="20">
        <v>44299</v>
      </c>
      <c r="H356" s="21">
        <v>44742</v>
      </c>
      <c r="I356" s="15">
        <f>(Table134[[#This Row],[Last_Day]]-Table134[[#This Row],[First_Day]]+1)/365</f>
        <v>1.2164383561643837</v>
      </c>
      <c r="J356" s="59">
        <f>Table134[[#This Row],[number_of_purchases]]/Table134[[#This Row],[customer_total_years]]</f>
        <v>4.9324324324324316</v>
      </c>
      <c r="K356" s="13">
        <f>Table134[[#This Row],[purchase_history]]/Table134[[#This Row],[number_of_purchases]]</f>
        <v>2638.8033333333337</v>
      </c>
      <c r="L356" s="2">
        <f>IF(YEAR(Table134[[#This Row],[Last_Day]])=2021,5,IF(YEAR(Table134[[#This Row],[Last_Day]])=2022,7,IF(YEAR(Table134[[#This Row],[Last_Day]])=2023,10,"Không xác định")))</f>
        <v>7</v>
      </c>
      <c r="M356" s="15">
        <f>Table134[[#This Row],[avg_number_of_purchases]]*Table1345[[#This Row],[avg_purchase_value]]*Table1345[[#This Row],[expected_lifespan]]</f>
        <v>91110.034009009018</v>
      </c>
      <c r="N356" t="s">
        <v>12046</v>
      </c>
    </row>
    <row r="357" spans="1:14" x14ac:dyDescent="0.3">
      <c r="A357" s="2" t="s">
        <v>355</v>
      </c>
      <c r="B357" s="2" t="s">
        <v>12045</v>
      </c>
      <c r="C357" s="2">
        <v>22</v>
      </c>
      <c r="D357" s="2" t="s">
        <v>12043</v>
      </c>
      <c r="E357" s="2">
        <f>COUNTIF(Table16[customer_id],Table13[[#This Row],[customer_id]])</f>
        <v>4</v>
      </c>
      <c r="F357" s="13">
        <f>SUMIFS(Table16[Purchase_history],Table16[customer_id],Table13[[#This Row],[customer_id]])</f>
        <v>21061.57</v>
      </c>
      <c r="G357" s="20">
        <v>44386</v>
      </c>
      <c r="H357" s="21">
        <v>44924</v>
      </c>
      <c r="I357" s="15">
        <f>(Table134[[#This Row],[Last_Day]]-Table134[[#This Row],[First_Day]]+1)/365</f>
        <v>1.4767123287671233</v>
      </c>
      <c r="J357" s="59">
        <f>Table134[[#This Row],[number_of_purchases]]/Table134[[#This Row],[customer_total_years]]</f>
        <v>2.7087198515769946</v>
      </c>
      <c r="K357" s="13">
        <f>Table134[[#This Row],[purchase_history]]/Table134[[#This Row],[number_of_purchases]]</f>
        <v>5265.3924999999999</v>
      </c>
      <c r="L357" s="2">
        <f>IF(YEAR(Table134[[#This Row],[Last_Day]])=2021,5,IF(YEAR(Table134[[#This Row],[Last_Day]])=2022,7,IF(YEAR(Table134[[#This Row],[Last_Day]])=2023,10,"Không xác định")))</f>
        <v>7</v>
      </c>
      <c r="M357" s="15">
        <f>Table134[[#This Row],[avg_number_of_purchases]]*Table1345[[#This Row],[avg_purchase_value]]*Table1345[[#This Row],[expected_lifespan]]</f>
        <v>99837.312337662341</v>
      </c>
      <c r="N357" t="s">
        <v>12044</v>
      </c>
    </row>
    <row r="358" spans="1:14" x14ac:dyDescent="0.3">
      <c r="A358" s="2" t="s">
        <v>356</v>
      </c>
      <c r="B358" s="2" t="s">
        <v>12045</v>
      </c>
      <c r="C358" s="2">
        <v>21</v>
      </c>
      <c r="D358" s="2" t="s">
        <v>12043</v>
      </c>
      <c r="E358" s="2">
        <f>COUNTIF(Table16[customer_id],Table13[[#This Row],[customer_id]])</f>
        <v>4</v>
      </c>
      <c r="F358" s="13">
        <f>SUMIFS(Table16[Purchase_history],Table16[customer_id],Table13[[#This Row],[customer_id]])</f>
        <v>3902.3900000000003</v>
      </c>
      <c r="G358" s="20">
        <v>44247</v>
      </c>
      <c r="H358" s="21">
        <v>44733</v>
      </c>
      <c r="I358" s="15">
        <f>(Table134[[#This Row],[Last_Day]]-Table134[[#This Row],[First_Day]]+1)/365</f>
        <v>1.3342465753424657</v>
      </c>
      <c r="J358" s="59">
        <f>Table134[[#This Row],[number_of_purchases]]/Table134[[#This Row],[customer_total_years]]</f>
        <v>2.9979466119096512</v>
      </c>
      <c r="K358" s="13">
        <f>Table134[[#This Row],[purchase_history]]/Table134[[#This Row],[number_of_purchases]]</f>
        <v>975.59750000000008</v>
      </c>
      <c r="L358" s="2">
        <f>IF(YEAR(Table134[[#This Row],[Last_Day]])=2021,5,IF(YEAR(Table134[[#This Row],[Last_Day]])=2022,7,IF(YEAR(Table134[[#This Row],[Last_Day]])=2023,10,"Không xác định")))</f>
        <v>7</v>
      </c>
      <c r="M358" s="15">
        <f>Table134[[#This Row],[avg_number_of_purchases]]*Table1345[[#This Row],[avg_purchase_value]]*Table1345[[#This Row],[expected_lifespan]]</f>
        <v>20473.524537987683</v>
      </c>
      <c r="N358" t="s">
        <v>12046</v>
      </c>
    </row>
    <row r="359" spans="1:14" x14ac:dyDescent="0.3">
      <c r="A359" s="2" t="s">
        <v>357</v>
      </c>
      <c r="B359" s="2" t="s">
        <v>12045</v>
      </c>
      <c r="C359" s="2">
        <v>52</v>
      </c>
      <c r="D359" s="2" t="s">
        <v>12041</v>
      </c>
      <c r="E359" s="2">
        <f>COUNTIF(Table16[customer_id],Table13[[#This Row],[customer_id]])</f>
        <v>8</v>
      </c>
      <c r="F359" s="13">
        <f>SUMIFS(Table16[Purchase_history],Table16[customer_id],Table13[[#This Row],[customer_id]])</f>
        <v>14033.89</v>
      </c>
      <c r="G359" s="20">
        <v>44306</v>
      </c>
      <c r="H359" s="21">
        <v>44819</v>
      </c>
      <c r="I359" s="15">
        <f>(Table134[[#This Row],[Last_Day]]-Table134[[#This Row],[First_Day]]+1)/365</f>
        <v>1.4082191780821918</v>
      </c>
      <c r="J359" s="59">
        <f>Table134[[#This Row],[number_of_purchases]]/Table134[[#This Row],[customer_total_years]]</f>
        <v>5.6809338521400781</v>
      </c>
      <c r="K359" s="13">
        <f>Table134[[#This Row],[purchase_history]]/Table134[[#This Row],[number_of_purchases]]</f>
        <v>1754.2362499999999</v>
      </c>
      <c r="L359" s="2">
        <f>IF(YEAR(Table134[[#This Row],[Last_Day]])=2021,5,IF(YEAR(Table134[[#This Row],[Last_Day]])=2022,7,IF(YEAR(Table134[[#This Row],[Last_Day]])=2023,10,"Không xác định")))</f>
        <v>7</v>
      </c>
      <c r="M359" s="15">
        <f>Table134[[#This Row],[avg_number_of_purchases]]*Table1345[[#This Row],[avg_purchase_value]]*Table1345[[#This Row],[expected_lifespan]]</f>
        <v>69759.900680933861</v>
      </c>
      <c r="N359" t="s">
        <v>12048</v>
      </c>
    </row>
    <row r="360" spans="1:14" x14ac:dyDescent="0.3">
      <c r="A360" s="2" t="s">
        <v>358</v>
      </c>
      <c r="B360" s="2" t="s">
        <v>12045</v>
      </c>
      <c r="C360" s="2">
        <v>44</v>
      </c>
      <c r="D360" s="2" t="s">
        <v>12041</v>
      </c>
      <c r="E360" s="2">
        <f>COUNTIF(Table16[customer_id],Table13[[#This Row],[customer_id]])</f>
        <v>3</v>
      </c>
      <c r="F360" s="13">
        <f>SUMIFS(Table16[Purchase_history],Table16[customer_id],Table13[[#This Row],[customer_id]])</f>
        <v>3457.8399999999997</v>
      </c>
      <c r="G360" s="20">
        <v>44211</v>
      </c>
      <c r="H360" s="21">
        <v>44824</v>
      </c>
      <c r="I360" s="15">
        <f>(Table134[[#This Row],[Last_Day]]-Table134[[#This Row],[First_Day]]+1)/365</f>
        <v>1.6821917808219178</v>
      </c>
      <c r="J360" s="59">
        <f>Table134[[#This Row],[number_of_purchases]]/Table134[[#This Row],[customer_total_years]]</f>
        <v>1.7833876221498373</v>
      </c>
      <c r="K360" s="13">
        <f>Table134[[#This Row],[purchase_history]]/Table134[[#This Row],[number_of_purchases]]</f>
        <v>1152.6133333333332</v>
      </c>
      <c r="L360" s="2">
        <f>IF(YEAR(Table134[[#This Row],[Last_Day]])=2021,5,IF(YEAR(Table134[[#This Row],[Last_Day]])=2022,7,IF(YEAR(Table134[[#This Row],[Last_Day]])=2023,10,"Không xác định")))</f>
        <v>7</v>
      </c>
      <c r="M360" s="15">
        <f>Table134[[#This Row],[avg_number_of_purchases]]*Table1345[[#This Row],[avg_purchase_value]]*Table1345[[#This Row],[expected_lifespan]]</f>
        <v>14388.894462540715</v>
      </c>
      <c r="N360" t="s">
        <v>12047</v>
      </c>
    </row>
    <row r="361" spans="1:14" x14ac:dyDescent="0.3">
      <c r="A361" s="2" t="s">
        <v>359</v>
      </c>
      <c r="B361" s="2" t="s">
        <v>12045</v>
      </c>
      <c r="C361" s="2">
        <v>40</v>
      </c>
      <c r="D361" s="2" t="s">
        <v>12041</v>
      </c>
      <c r="E361" s="2">
        <f>COUNTIF(Table16[customer_id],Table13[[#This Row],[customer_id]])</f>
        <v>4</v>
      </c>
      <c r="F361" s="13">
        <f>SUMIFS(Table16[Purchase_history],Table16[customer_id],Table13[[#This Row],[customer_id]])</f>
        <v>4009.7300000000005</v>
      </c>
      <c r="G361" s="20">
        <v>44211</v>
      </c>
      <c r="H361" s="21">
        <v>44631</v>
      </c>
      <c r="I361" s="15">
        <f>(Table134[[#This Row],[Last_Day]]-Table134[[#This Row],[First_Day]]+1)/365</f>
        <v>1.1534246575342466</v>
      </c>
      <c r="J361" s="59">
        <f>Table134[[#This Row],[number_of_purchases]]/Table134[[#This Row],[customer_total_years]]</f>
        <v>3.4679334916864608</v>
      </c>
      <c r="K361" s="13">
        <f>Table134[[#This Row],[purchase_history]]/Table134[[#This Row],[number_of_purchases]]</f>
        <v>1002.4325000000001</v>
      </c>
      <c r="L361" s="2">
        <f>IF(YEAR(Table134[[#This Row],[Last_Day]])=2021,5,IF(YEAR(Table134[[#This Row],[Last_Day]])=2022,7,IF(YEAR(Table134[[#This Row],[Last_Day]])=2023,10,"Không xác định")))</f>
        <v>7</v>
      </c>
      <c r="M361" s="15">
        <f>Table134[[#This Row],[avg_number_of_purchases]]*Table1345[[#This Row],[avg_purchase_value]]*Table1345[[#This Row],[expected_lifespan]]</f>
        <v>24334.584679334919</v>
      </c>
      <c r="N361" t="s">
        <v>12047</v>
      </c>
    </row>
    <row r="362" spans="1:14" x14ac:dyDescent="0.3">
      <c r="A362" s="2" t="s">
        <v>360</v>
      </c>
      <c r="B362" s="2" t="s">
        <v>12040</v>
      </c>
      <c r="C362" s="2">
        <v>50</v>
      </c>
      <c r="D362" s="2" t="s">
        <v>12041</v>
      </c>
      <c r="E362" s="2">
        <f>COUNTIF(Table16[customer_id],Table13[[#This Row],[customer_id]])</f>
        <v>6</v>
      </c>
      <c r="F362" s="13">
        <f>SUMIFS(Table16[Purchase_history],Table16[customer_id],Table13[[#This Row],[customer_id]])</f>
        <v>25640.179999999997</v>
      </c>
      <c r="G362" s="20">
        <v>44380</v>
      </c>
      <c r="H362" s="21">
        <v>44957</v>
      </c>
      <c r="I362" s="15">
        <f>(Table134[[#This Row],[Last_Day]]-Table134[[#This Row],[First_Day]]+1)/365</f>
        <v>1.5835616438356164</v>
      </c>
      <c r="J362" s="59">
        <f>Table134[[#This Row],[number_of_purchases]]/Table134[[#This Row],[customer_total_years]]</f>
        <v>3.7889273356401385</v>
      </c>
      <c r="K362" s="13">
        <f>Table134[[#This Row],[purchase_history]]/Table134[[#This Row],[number_of_purchases]]</f>
        <v>4273.3633333333328</v>
      </c>
      <c r="L362" s="2">
        <f>IF(YEAR(Table134[[#This Row],[Last_Day]])=2021,5,IF(YEAR(Table134[[#This Row],[Last_Day]])=2022,7,IF(YEAR(Table134[[#This Row],[Last_Day]])=2023,10,"Không xác định")))</f>
        <v>10</v>
      </c>
      <c r="M362" s="15">
        <f>Table134[[#This Row],[avg_number_of_purchases]]*Table1345[[#This Row],[avg_purchase_value]]*Table1345[[#This Row],[expected_lifespan]]</f>
        <v>161914.63148788924</v>
      </c>
      <c r="N362" t="s">
        <v>12046</v>
      </c>
    </row>
    <row r="363" spans="1:14" x14ac:dyDescent="0.3">
      <c r="A363" s="2" t="s">
        <v>361</v>
      </c>
      <c r="B363" s="2" t="s">
        <v>12040</v>
      </c>
      <c r="C363" s="2">
        <v>36</v>
      </c>
      <c r="D363" s="2" t="s">
        <v>12043</v>
      </c>
      <c r="E363" s="2">
        <f>COUNTIF(Table16[customer_id],Table13[[#This Row],[customer_id]])</f>
        <v>10</v>
      </c>
      <c r="F363" s="13">
        <f>SUMIFS(Table16[Purchase_history],Table16[customer_id],Table13[[#This Row],[customer_id]])</f>
        <v>17862.38</v>
      </c>
      <c r="G363" s="20">
        <v>44283</v>
      </c>
      <c r="H363" s="21">
        <v>44877</v>
      </c>
      <c r="I363" s="15">
        <f>(Table134[[#This Row],[Last_Day]]-Table134[[#This Row],[First_Day]]+1)/365</f>
        <v>1.6301369863013699</v>
      </c>
      <c r="J363" s="59">
        <f>Table134[[#This Row],[number_of_purchases]]/Table134[[#This Row],[customer_total_years]]</f>
        <v>6.1344537815126046</v>
      </c>
      <c r="K363" s="13">
        <f>Table134[[#This Row],[purchase_history]]/Table134[[#This Row],[number_of_purchases]]</f>
        <v>1786.2380000000001</v>
      </c>
      <c r="L363" s="2">
        <f>IF(YEAR(Table134[[#This Row],[Last_Day]])=2021,5,IF(YEAR(Table134[[#This Row],[Last_Day]])=2022,7,IF(YEAR(Table134[[#This Row],[Last_Day]])=2023,10,"Không xác định")))</f>
        <v>7</v>
      </c>
      <c r="M363" s="15">
        <f>Table134[[#This Row],[avg_number_of_purchases]]*Table1345[[#This Row],[avg_purchase_value]]*Table1345[[#This Row],[expected_lifespan]]</f>
        <v>76703.161176470589</v>
      </c>
      <c r="N363" t="s">
        <v>12042</v>
      </c>
    </row>
    <row r="364" spans="1:14" x14ac:dyDescent="0.3">
      <c r="A364" s="2" t="s">
        <v>362</v>
      </c>
      <c r="B364" s="2" t="s">
        <v>12040</v>
      </c>
      <c r="C364" s="2">
        <v>47</v>
      </c>
      <c r="D364" s="2" t="s">
        <v>12041</v>
      </c>
      <c r="E364" s="2">
        <f>COUNTIF(Table16[customer_id],Table13[[#This Row],[customer_id]])</f>
        <v>6</v>
      </c>
      <c r="F364" s="13">
        <f>SUMIFS(Table16[Purchase_history],Table16[customer_id],Table13[[#This Row],[customer_id]])</f>
        <v>6273.0399999999991</v>
      </c>
      <c r="G364" s="20">
        <v>44405</v>
      </c>
      <c r="H364" s="21">
        <v>44990</v>
      </c>
      <c r="I364" s="15">
        <f>(Table134[[#This Row],[Last_Day]]-Table134[[#This Row],[First_Day]]+1)/365</f>
        <v>1.6054794520547946</v>
      </c>
      <c r="J364" s="59">
        <f>Table134[[#This Row],[number_of_purchases]]/Table134[[#This Row],[customer_total_years]]</f>
        <v>3.7372013651877132</v>
      </c>
      <c r="K364" s="13">
        <f>Table134[[#This Row],[purchase_history]]/Table134[[#This Row],[number_of_purchases]]</f>
        <v>1045.5066666666664</v>
      </c>
      <c r="L364" s="2">
        <f>IF(YEAR(Table134[[#This Row],[Last_Day]])=2021,5,IF(YEAR(Table134[[#This Row],[Last_Day]])=2022,7,IF(YEAR(Table134[[#This Row],[Last_Day]])=2023,10,"Không xác định")))</f>
        <v>10</v>
      </c>
      <c r="M364" s="15">
        <f>Table134[[#This Row],[avg_number_of_purchases]]*Table1345[[#This Row],[avg_purchase_value]]*Table1345[[#This Row],[expected_lifespan]]</f>
        <v>39072.689419795213</v>
      </c>
      <c r="N364" t="s">
        <v>12046</v>
      </c>
    </row>
    <row r="365" spans="1:14" x14ac:dyDescent="0.3">
      <c r="A365" s="2" t="s">
        <v>363</v>
      </c>
      <c r="B365" s="2" t="s">
        <v>12040</v>
      </c>
      <c r="C365" s="2">
        <v>66</v>
      </c>
      <c r="D365" s="2" t="s">
        <v>12049</v>
      </c>
      <c r="E365" s="2">
        <f>COUNTIF(Table16[customer_id],Table13[[#This Row],[customer_id]])</f>
        <v>6</v>
      </c>
      <c r="F365" s="13">
        <f>SUMIFS(Table16[Purchase_history],Table16[customer_id],Table13[[#This Row],[customer_id]])</f>
        <v>11579.72</v>
      </c>
      <c r="G365" s="20">
        <v>44375</v>
      </c>
      <c r="H365" s="21">
        <v>44801</v>
      </c>
      <c r="I365" s="15">
        <f>(Table134[[#This Row],[Last_Day]]-Table134[[#This Row],[First_Day]]+1)/365</f>
        <v>1.1698630136986301</v>
      </c>
      <c r="J365" s="59">
        <f>Table134[[#This Row],[number_of_purchases]]/Table134[[#This Row],[customer_total_years]]</f>
        <v>5.1288056206088992</v>
      </c>
      <c r="K365" s="13">
        <f>Table134[[#This Row],[purchase_history]]/Table134[[#This Row],[number_of_purchases]]</f>
        <v>1929.9533333333331</v>
      </c>
      <c r="L365" s="2">
        <f>IF(YEAR(Table134[[#This Row],[Last_Day]])=2021,5,IF(YEAR(Table134[[#This Row],[Last_Day]])=2022,7,IF(YEAR(Table134[[#This Row],[Last_Day]])=2023,10,"Không xác định")))</f>
        <v>7</v>
      </c>
      <c r="M365" s="15">
        <f>Table134[[#This Row],[avg_number_of_purchases]]*Table1345[[#This Row],[avg_purchase_value]]*Table1345[[#This Row],[expected_lifespan]]</f>
        <v>69288.488524590153</v>
      </c>
      <c r="N365" t="s">
        <v>12046</v>
      </c>
    </row>
    <row r="366" spans="1:14" x14ac:dyDescent="0.3">
      <c r="A366" s="2" t="s">
        <v>364</v>
      </c>
      <c r="B366" s="2" t="s">
        <v>12040</v>
      </c>
      <c r="C366" s="2">
        <v>40</v>
      </c>
      <c r="D366" s="2" t="s">
        <v>12041</v>
      </c>
      <c r="E366" s="2">
        <f>COUNTIF(Table16[customer_id],Table13[[#This Row],[customer_id]])</f>
        <v>7</v>
      </c>
      <c r="F366" s="13">
        <f>SUMIFS(Table16[Purchase_history],Table16[customer_id],Table13[[#This Row],[customer_id]])</f>
        <v>16765.759999999998</v>
      </c>
      <c r="G366" s="20">
        <v>44210</v>
      </c>
      <c r="H366" s="21">
        <v>44915</v>
      </c>
      <c r="I366" s="15">
        <f>(Table134[[#This Row],[Last_Day]]-Table134[[#This Row],[First_Day]]+1)/365</f>
        <v>1.9342465753424658</v>
      </c>
      <c r="J366" s="59">
        <f>Table134[[#This Row],[number_of_purchases]]/Table134[[#This Row],[customer_total_years]]</f>
        <v>3.6189801699716715</v>
      </c>
      <c r="K366" s="13">
        <f>Table134[[#This Row],[purchase_history]]/Table134[[#This Row],[number_of_purchases]]</f>
        <v>2395.1085714285714</v>
      </c>
      <c r="L366" s="2">
        <f>IF(YEAR(Table134[[#This Row],[Last_Day]])=2021,5,IF(YEAR(Table134[[#This Row],[Last_Day]])=2022,7,IF(YEAR(Table134[[#This Row],[Last_Day]])=2023,10,"Không xác định")))</f>
        <v>7</v>
      </c>
      <c r="M366" s="15">
        <f>Table134[[#This Row],[avg_number_of_purchases]]*Table1345[[#This Row],[avg_purchase_value]]*Table1345[[#This Row],[expected_lifespan]]</f>
        <v>60674.952974504246</v>
      </c>
      <c r="N366" t="s">
        <v>12042</v>
      </c>
    </row>
    <row r="367" spans="1:14" x14ac:dyDescent="0.3">
      <c r="A367" s="2" t="s">
        <v>365</v>
      </c>
      <c r="B367" s="2" t="s">
        <v>12040</v>
      </c>
      <c r="C367" s="2">
        <v>58</v>
      </c>
      <c r="D367" s="2" t="s">
        <v>12043</v>
      </c>
      <c r="E367" s="2">
        <f>COUNTIF(Table16[customer_id],Table13[[#This Row],[customer_id]])</f>
        <v>7</v>
      </c>
      <c r="F367" s="13">
        <f>SUMIFS(Table16[Purchase_history],Table16[customer_id],Table13[[#This Row],[customer_id]])</f>
        <v>6687.0400000000009</v>
      </c>
      <c r="G367" s="20">
        <v>44252</v>
      </c>
      <c r="H367" s="21">
        <v>44979</v>
      </c>
      <c r="I367" s="15">
        <f>(Table134[[#This Row],[Last_Day]]-Table134[[#This Row],[First_Day]]+1)/365</f>
        <v>1.9945205479452055</v>
      </c>
      <c r="J367" s="59">
        <f>Table134[[#This Row],[number_of_purchases]]/Table134[[#This Row],[customer_total_years]]</f>
        <v>3.5096153846153846</v>
      </c>
      <c r="K367" s="13">
        <f>Table134[[#This Row],[purchase_history]]/Table134[[#This Row],[number_of_purchases]]</f>
        <v>955.2914285714287</v>
      </c>
      <c r="L367" s="2">
        <f>IF(YEAR(Table134[[#This Row],[Last_Day]])=2021,5,IF(YEAR(Table134[[#This Row],[Last_Day]])=2022,7,IF(YEAR(Table134[[#This Row],[Last_Day]])=2023,10,"Không xác định")))</f>
        <v>10</v>
      </c>
      <c r="M367" s="15">
        <f>Table134[[#This Row],[avg_number_of_purchases]]*Table1345[[#This Row],[avg_purchase_value]]*Table1345[[#This Row],[expected_lifespan]]</f>
        <v>33527.054945054944</v>
      </c>
      <c r="N367" t="s">
        <v>12044</v>
      </c>
    </row>
    <row r="368" spans="1:14" x14ac:dyDescent="0.3">
      <c r="A368" s="2" t="s">
        <v>366</v>
      </c>
      <c r="B368" s="2" t="s">
        <v>12040</v>
      </c>
      <c r="C368" s="2">
        <v>32</v>
      </c>
      <c r="D368" s="2" t="s">
        <v>12043</v>
      </c>
      <c r="E368" s="2">
        <f>COUNTIF(Table16[customer_id],Table13[[#This Row],[customer_id]])</f>
        <v>5</v>
      </c>
      <c r="F368" s="13">
        <f>SUMIFS(Table16[Purchase_history],Table16[customer_id],Table13[[#This Row],[customer_id]])</f>
        <v>9104.1</v>
      </c>
      <c r="G368" s="20">
        <v>44283</v>
      </c>
      <c r="H368" s="21">
        <v>44902</v>
      </c>
      <c r="I368" s="15">
        <f>(Table134[[#This Row],[Last_Day]]-Table134[[#This Row],[First_Day]]+1)/365</f>
        <v>1.6986301369863013</v>
      </c>
      <c r="J368" s="59">
        <f>Table134[[#This Row],[number_of_purchases]]/Table134[[#This Row],[customer_total_years]]</f>
        <v>2.9435483870967745</v>
      </c>
      <c r="K368" s="13">
        <f>Table134[[#This Row],[purchase_history]]/Table134[[#This Row],[number_of_purchases]]</f>
        <v>1820.8200000000002</v>
      </c>
      <c r="L368" s="2">
        <f>IF(YEAR(Table134[[#This Row],[Last_Day]])=2021,5,IF(YEAR(Table134[[#This Row],[Last_Day]])=2022,7,IF(YEAR(Table134[[#This Row],[Last_Day]])=2023,10,"Không xác định")))</f>
        <v>7</v>
      </c>
      <c r="M368" s="15">
        <f>Table134[[#This Row],[avg_number_of_purchases]]*Table1345[[#This Row],[avg_purchase_value]]*Table1345[[#This Row],[expected_lifespan]]</f>
        <v>37517.702419354842</v>
      </c>
      <c r="N368" t="s">
        <v>12048</v>
      </c>
    </row>
    <row r="369" spans="1:14" x14ac:dyDescent="0.3">
      <c r="A369" s="2" t="s">
        <v>367</v>
      </c>
      <c r="B369" s="2" t="s">
        <v>12040</v>
      </c>
      <c r="C369" s="2">
        <v>63</v>
      </c>
      <c r="D369" s="2" t="s">
        <v>12043</v>
      </c>
      <c r="E369" s="2">
        <f>COUNTIF(Table16[customer_id],Table13[[#This Row],[customer_id]])</f>
        <v>5</v>
      </c>
      <c r="F369" s="13">
        <f>SUMIFS(Table16[Purchase_history],Table16[customer_id],Table13[[#This Row],[customer_id]])</f>
        <v>1628.25</v>
      </c>
      <c r="G369" s="20">
        <v>44205</v>
      </c>
      <c r="H369" s="21">
        <v>44909</v>
      </c>
      <c r="I369" s="15">
        <f>(Table134[[#This Row],[Last_Day]]-Table134[[#This Row],[First_Day]]+1)/365</f>
        <v>1.9315068493150684</v>
      </c>
      <c r="J369" s="59">
        <f>Table134[[#This Row],[number_of_purchases]]/Table134[[#This Row],[customer_total_years]]</f>
        <v>2.5886524822695036</v>
      </c>
      <c r="K369" s="13">
        <f>Table134[[#This Row],[purchase_history]]/Table134[[#This Row],[number_of_purchases]]</f>
        <v>325.64999999999998</v>
      </c>
      <c r="L369" s="2">
        <f>IF(YEAR(Table134[[#This Row],[Last_Day]])=2021,5,IF(YEAR(Table134[[#This Row],[Last_Day]])=2022,7,IF(YEAR(Table134[[#This Row],[Last_Day]])=2023,10,"Không xác định")))</f>
        <v>7</v>
      </c>
      <c r="M369" s="15">
        <f>Table134[[#This Row],[avg_number_of_purchases]]*Table1345[[#This Row],[avg_purchase_value]]*Table1345[[#This Row],[expected_lifespan]]</f>
        <v>5900.9627659574462</v>
      </c>
      <c r="N369" t="s">
        <v>12042</v>
      </c>
    </row>
    <row r="370" spans="1:14" x14ac:dyDescent="0.3">
      <c r="A370" s="2" t="s">
        <v>368</v>
      </c>
      <c r="B370" s="2" t="s">
        <v>12045</v>
      </c>
      <c r="C370" s="2">
        <v>69</v>
      </c>
      <c r="D370" s="2" t="s">
        <v>12041</v>
      </c>
      <c r="E370" s="2">
        <f>COUNTIF(Table16[customer_id],Table13[[#This Row],[customer_id]])</f>
        <v>6</v>
      </c>
      <c r="F370" s="13">
        <f>SUMIFS(Table16[Purchase_history],Table16[customer_id],Table13[[#This Row],[customer_id]])</f>
        <v>7933.5400000000009</v>
      </c>
      <c r="G370" s="20">
        <v>44504</v>
      </c>
      <c r="H370" s="21">
        <v>44973</v>
      </c>
      <c r="I370" s="15">
        <f>(Table134[[#This Row],[Last_Day]]-Table134[[#This Row],[First_Day]]+1)/365</f>
        <v>1.2876712328767124</v>
      </c>
      <c r="J370" s="59">
        <f>Table134[[#This Row],[number_of_purchases]]/Table134[[#This Row],[customer_total_years]]</f>
        <v>4.6595744680851059</v>
      </c>
      <c r="K370" s="13">
        <f>Table134[[#This Row],[purchase_history]]/Table134[[#This Row],[number_of_purchases]]</f>
        <v>1322.2566666666669</v>
      </c>
      <c r="L370" s="2">
        <f>IF(YEAR(Table134[[#This Row],[Last_Day]])=2021,5,IF(YEAR(Table134[[#This Row],[Last_Day]])=2022,7,IF(YEAR(Table134[[#This Row],[Last_Day]])=2023,10,"Không xác định")))</f>
        <v>10</v>
      </c>
      <c r="M370" s="15">
        <f>Table134[[#This Row],[avg_number_of_purchases]]*Table1345[[#This Row],[avg_purchase_value]]*Table1345[[#This Row],[expected_lifespan]]</f>
        <v>61611.53404255319</v>
      </c>
      <c r="N370" t="s">
        <v>12042</v>
      </c>
    </row>
    <row r="371" spans="1:14" x14ac:dyDescent="0.3">
      <c r="A371" s="2" t="s">
        <v>369</v>
      </c>
      <c r="B371" s="2" t="s">
        <v>12045</v>
      </c>
      <c r="C371" s="2">
        <v>52</v>
      </c>
      <c r="D371" s="2" t="s">
        <v>12043</v>
      </c>
      <c r="E371" s="2">
        <f>COUNTIF(Table16[customer_id],Table13[[#This Row],[customer_id]])</f>
        <v>8</v>
      </c>
      <c r="F371" s="13">
        <f>SUMIFS(Table16[Purchase_history],Table16[customer_id],Table13[[#This Row],[customer_id]])</f>
        <v>2309.84</v>
      </c>
      <c r="G371" s="20">
        <v>44243</v>
      </c>
      <c r="H371" s="21">
        <v>44848</v>
      </c>
      <c r="I371" s="15">
        <f>(Table134[[#This Row],[Last_Day]]-Table134[[#This Row],[First_Day]]+1)/365</f>
        <v>1.6602739726027398</v>
      </c>
      <c r="J371" s="59">
        <f>Table134[[#This Row],[number_of_purchases]]/Table134[[#This Row],[customer_total_years]]</f>
        <v>4.8184818481848186</v>
      </c>
      <c r="K371" s="13">
        <f>Table134[[#This Row],[purchase_history]]/Table134[[#This Row],[number_of_purchases]]</f>
        <v>288.73</v>
      </c>
      <c r="L371" s="2">
        <f>IF(YEAR(Table134[[#This Row],[Last_Day]])=2021,5,IF(YEAR(Table134[[#This Row],[Last_Day]])=2022,7,IF(YEAR(Table134[[#This Row],[Last_Day]])=2023,10,"Không xác định")))</f>
        <v>7</v>
      </c>
      <c r="M371" s="15">
        <f>Table134[[#This Row],[avg_number_of_purchases]]*Table1345[[#This Row],[avg_purchase_value]]*Table1345[[#This Row],[expected_lifespan]]</f>
        <v>9738.6818481848186</v>
      </c>
      <c r="N371" t="s">
        <v>12047</v>
      </c>
    </row>
    <row r="372" spans="1:14" x14ac:dyDescent="0.3">
      <c r="A372" s="2" t="s">
        <v>370</v>
      </c>
      <c r="B372" s="2" t="s">
        <v>12040</v>
      </c>
      <c r="C372" s="2">
        <v>58</v>
      </c>
      <c r="D372" s="2" t="s">
        <v>12049</v>
      </c>
      <c r="E372" s="2">
        <f>COUNTIF(Table16[customer_id],Table13[[#This Row],[customer_id]])</f>
        <v>6</v>
      </c>
      <c r="F372" s="13">
        <f>SUMIFS(Table16[Purchase_history],Table16[customer_id],Table13[[#This Row],[customer_id]])</f>
        <v>16009.029999999999</v>
      </c>
      <c r="G372" s="20">
        <v>44269</v>
      </c>
      <c r="H372" s="21">
        <v>44792</v>
      </c>
      <c r="I372" s="15">
        <f>(Table134[[#This Row],[Last_Day]]-Table134[[#This Row],[First_Day]]+1)/365</f>
        <v>1.4356164383561645</v>
      </c>
      <c r="J372" s="59">
        <f>Table134[[#This Row],[number_of_purchases]]/Table134[[#This Row],[customer_total_years]]</f>
        <v>4.1793893129770989</v>
      </c>
      <c r="K372" s="13">
        <f>Table134[[#This Row],[purchase_history]]/Table134[[#This Row],[number_of_purchases]]</f>
        <v>2668.1716666666666</v>
      </c>
      <c r="L372" s="2">
        <f>IF(YEAR(Table134[[#This Row],[Last_Day]])=2021,5,IF(YEAR(Table134[[#This Row],[Last_Day]])=2022,7,IF(YEAR(Table134[[#This Row],[Last_Day]])=2023,10,"Không xác định")))</f>
        <v>7</v>
      </c>
      <c r="M372" s="15">
        <f>Table134[[#This Row],[avg_number_of_purchases]]*Table1345[[#This Row],[avg_purchase_value]]*Table1345[[#This Row],[expected_lifespan]]</f>
        <v>78059.297041984726</v>
      </c>
      <c r="N372" t="s">
        <v>12048</v>
      </c>
    </row>
    <row r="373" spans="1:14" x14ac:dyDescent="0.3">
      <c r="A373" s="2" t="s">
        <v>371</v>
      </c>
      <c r="B373" s="2" t="s">
        <v>12040</v>
      </c>
      <c r="C373" s="2">
        <v>61</v>
      </c>
      <c r="D373" s="2" t="s">
        <v>12043</v>
      </c>
      <c r="E373" s="2">
        <f>COUNTIF(Table16[customer_id],Table13[[#This Row],[customer_id]])</f>
        <v>5</v>
      </c>
      <c r="F373" s="13">
        <f>SUMIFS(Table16[Purchase_history],Table16[customer_id],Table13[[#This Row],[customer_id]])</f>
        <v>11381.949999999999</v>
      </c>
      <c r="G373" s="20">
        <v>44402</v>
      </c>
      <c r="H373" s="21">
        <v>44562</v>
      </c>
      <c r="I373" s="15">
        <f>(Table134[[#This Row],[Last_Day]]-Table134[[#This Row],[First_Day]]+1)/365</f>
        <v>0.44109589041095892</v>
      </c>
      <c r="J373" s="59">
        <f>Table134[[#This Row],[number_of_purchases]]/Table134[[#This Row],[customer_total_years]]</f>
        <v>11.335403726708075</v>
      </c>
      <c r="K373" s="13">
        <f>Table134[[#This Row],[purchase_history]]/Table134[[#This Row],[number_of_purchases]]</f>
        <v>2276.39</v>
      </c>
      <c r="L373" s="2">
        <f>IF(YEAR(Table134[[#This Row],[Last_Day]])=2021,5,IF(YEAR(Table134[[#This Row],[Last_Day]])=2022,7,IF(YEAR(Table134[[#This Row],[Last_Day]])=2023,10,"Không xác định")))</f>
        <v>7</v>
      </c>
      <c r="M373" s="15">
        <f>Table134[[#This Row],[avg_number_of_purchases]]*Table1345[[#This Row],[avg_purchase_value]]*Table1345[[#This Row],[expected_lifespan]]</f>
        <v>180626.59782608695</v>
      </c>
      <c r="N373" t="s">
        <v>12046</v>
      </c>
    </row>
    <row r="374" spans="1:14" x14ac:dyDescent="0.3">
      <c r="A374" s="2" t="s">
        <v>372</v>
      </c>
      <c r="B374" s="2" t="s">
        <v>12045</v>
      </c>
      <c r="C374" s="2">
        <v>19</v>
      </c>
      <c r="D374" s="2" t="s">
        <v>12043</v>
      </c>
      <c r="E374" s="2">
        <f>COUNTIF(Table16[customer_id],Table13[[#This Row],[customer_id]])</f>
        <v>5</v>
      </c>
      <c r="F374" s="13">
        <f>SUMIFS(Table16[Purchase_history],Table16[customer_id],Table13[[#This Row],[customer_id]])</f>
        <v>8127.74</v>
      </c>
      <c r="G374" s="20">
        <v>44348</v>
      </c>
      <c r="H374" s="21">
        <v>44872</v>
      </c>
      <c r="I374" s="15">
        <f>(Table134[[#This Row],[Last_Day]]-Table134[[#This Row],[First_Day]]+1)/365</f>
        <v>1.4383561643835616</v>
      </c>
      <c r="J374" s="59">
        <f>Table134[[#This Row],[number_of_purchases]]/Table134[[#This Row],[customer_total_years]]</f>
        <v>3.4761904761904763</v>
      </c>
      <c r="K374" s="13">
        <f>Table134[[#This Row],[purchase_history]]/Table134[[#This Row],[number_of_purchases]]</f>
        <v>1625.548</v>
      </c>
      <c r="L374" s="2">
        <f>IF(YEAR(Table134[[#This Row],[Last_Day]])=2021,5,IF(YEAR(Table134[[#This Row],[Last_Day]])=2022,7,IF(YEAR(Table134[[#This Row],[Last_Day]])=2023,10,"Không xác định")))</f>
        <v>7</v>
      </c>
      <c r="M374" s="15">
        <f>Table134[[#This Row],[avg_number_of_purchases]]*Table1345[[#This Row],[avg_purchase_value]]*Table1345[[#This Row],[expected_lifespan]]</f>
        <v>39555.001333333334</v>
      </c>
      <c r="N374" t="s">
        <v>12046</v>
      </c>
    </row>
    <row r="375" spans="1:14" x14ac:dyDescent="0.3">
      <c r="A375" s="2" t="s">
        <v>373</v>
      </c>
      <c r="B375" s="2" t="s">
        <v>12045</v>
      </c>
      <c r="C375" s="2">
        <v>48</v>
      </c>
      <c r="D375" s="2" t="s">
        <v>12049</v>
      </c>
      <c r="E375" s="2">
        <f>COUNTIF(Table16[customer_id],Table13[[#This Row],[customer_id]])</f>
        <v>4</v>
      </c>
      <c r="F375" s="13">
        <f>SUMIFS(Table16[Purchase_history],Table16[customer_id],Table13[[#This Row],[customer_id]])</f>
        <v>7992.51</v>
      </c>
      <c r="G375" s="20">
        <v>44255</v>
      </c>
      <c r="H375" s="21">
        <v>44923</v>
      </c>
      <c r="I375" s="15">
        <f>(Table134[[#This Row],[Last_Day]]-Table134[[#This Row],[First_Day]]+1)/365</f>
        <v>1.832876712328767</v>
      </c>
      <c r="J375" s="59">
        <f>Table134[[#This Row],[number_of_purchases]]/Table134[[#This Row],[customer_total_years]]</f>
        <v>2.1823617339312409</v>
      </c>
      <c r="K375" s="13">
        <f>Table134[[#This Row],[purchase_history]]/Table134[[#This Row],[number_of_purchases]]</f>
        <v>1998.1275000000001</v>
      </c>
      <c r="L375" s="2">
        <f>IF(YEAR(Table134[[#This Row],[Last_Day]])=2021,5,IF(YEAR(Table134[[#This Row],[Last_Day]])=2022,7,IF(YEAR(Table134[[#This Row],[Last_Day]])=2023,10,"Không xác định")))</f>
        <v>7</v>
      </c>
      <c r="M375" s="15">
        <f>Table134[[#This Row],[avg_number_of_purchases]]*Table1345[[#This Row],[avg_purchase_value]]*Table1345[[#This Row],[expected_lifespan]]</f>
        <v>30524.458968609873</v>
      </c>
      <c r="N375" t="s">
        <v>12044</v>
      </c>
    </row>
    <row r="376" spans="1:14" x14ac:dyDescent="0.3">
      <c r="A376" s="2" t="s">
        <v>374</v>
      </c>
      <c r="B376" s="2" t="s">
        <v>12045</v>
      </c>
      <c r="C376" s="2">
        <v>23</v>
      </c>
      <c r="D376" s="2" t="s">
        <v>12041</v>
      </c>
      <c r="E376" s="2">
        <f>COUNTIF(Table16[customer_id],Table13[[#This Row],[customer_id]])</f>
        <v>4</v>
      </c>
      <c r="F376" s="13">
        <f>SUMIFS(Table16[Purchase_history],Table16[customer_id],Table13[[#This Row],[customer_id]])</f>
        <v>14215.779999999999</v>
      </c>
      <c r="G376" s="20">
        <v>44314</v>
      </c>
      <c r="H376" s="21">
        <v>44781</v>
      </c>
      <c r="I376" s="15">
        <f>(Table134[[#This Row],[Last_Day]]-Table134[[#This Row],[First_Day]]+1)/365</f>
        <v>1.2821917808219179</v>
      </c>
      <c r="J376" s="59">
        <f>Table134[[#This Row],[number_of_purchases]]/Table134[[#This Row],[customer_total_years]]</f>
        <v>3.1196581196581197</v>
      </c>
      <c r="K376" s="13">
        <f>Table134[[#This Row],[purchase_history]]/Table134[[#This Row],[number_of_purchases]]</f>
        <v>3553.9449999999997</v>
      </c>
      <c r="L376" s="2">
        <f>IF(YEAR(Table134[[#This Row],[Last_Day]])=2021,5,IF(YEAR(Table134[[#This Row],[Last_Day]])=2022,7,IF(YEAR(Table134[[#This Row],[Last_Day]])=2023,10,"Không xác định")))</f>
        <v>7</v>
      </c>
      <c r="M376" s="15">
        <f>Table134[[#This Row],[avg_number_of_purchases]]*Table1345[[#This Row],[avg_purchase_value]]*Table1345[[#This Row],[expected_lifespan]]</f>
        <v>77609.653632478628</v>
      </c>
      <c r="N376" t="s">
        <v>12046</v>
      </c>
    </row>
    <row r="377" spans="1:14" x14ac:dyDescent="0.3">
      <c r="A377" s="2" t="s">
        <v>375</v>
      </c>
      <c r="B377" s="2" t="s">
        <v>12040</v>
      </c>
      <c r="C377" s="2">
        <v>34</v>
      </c>
      <c r="D377" s="2" t="s">
        <v>12041</v>
      </c>
      <c r="E377" s="2">
        <f>COUNTIF(Table16[customer_id],Table13[[#This Row],[customer_id]])</f>
        <v>8</v>
      </c>
      <c r="F377" s="13">
        <f>SUMIFS(Table16[Purchase_history],Table16[customer_id],Table13[[#This Row],[customer_id]])</f>
        <v>10934.619999999999</v>
      </c>
      <c r="G377" s="20">
        <v>44254</v>
      </c>
      <c r="H377" s="21">
        <v>44942</v>
      </c>
      <c r="I377" s="15">
        <f>(Table134[[#This Row],[Last_Day]]-Table134[[#This Row],[First_Day]]+1)/365</f>
        <v>1.8876712328767122</v>
      </c>
      <c r="J377" s="59">
        <f>Table134[[#This Row],[number_of_purchases]]/Table134[[#This Row],[customer_total_years]]</f>
        <v>4.2380261248185782</v>
      </c>
      <c r="K377" s="13">
        <f>Table134[[#This Row],[purchase_history]]/Table134[[#This Row],[number_of_purchases]]</f>
        <v>1366.8274999999999</v>
      </c>
      <c r="L377" s="2">
        <f>IF(YEAR(Table134[[#This Row],[Last_Day]])=2021,5,IF(YEAR(Table134[[#This Row],[Last_Day]])=2022,7,IF(YEAR(Table134[[#This Row],[Last_Day]])=2023,10,"Không xác định")))</f>
        <v>10</v>
      </c>
      <c r="M377" s="15">
        <f>Table134[[#This Row],[avg_number_of_purchases]]*Table1345[[#This Row],[avg_purchase_value]]*Table1345[[#This Row],[expected_lifespan]]</f>
        <v>57926.50653120465</v>
      </c>
      <c r="N377" t="s">
        <v>12047</v>
      </c>
    </row>
    <row r="378" spans="1:14" x14ac:dyDescent="0.3">
      <c r="A378" s="2" t="s">
        <v>376</v>
      </c>
      <c r="B378" s="2" t="s">
        <v>12040</v>
      </c>
      <c r="C378" s="2">
        <v>51</v>
      </c>
      <c r="D378" s="2" t="s">
        <v>12041</v>
      </c>
      <c r="E378" s="2">
        <f>COUNTIF(Table16[customer_id],Table13[[#This Row],[customer_id]])</f>
        <v>10</v>
      </c>
      <c r="F378" s="13">
        <f>SUMIFS(Table16[Purchase_history],Table16[customer_id],Table13[[#This Row],[customer_id]])</f>
        <v>12233.64</v>
      </c>
      <c r="G378" s="20">
        <v>44422</v>
      </c>
      <c r="H378" s="21">
        <v>44966</v>
      </c>
      <c r="I378" s="15">
        <f>(Table134[[#This Row],[Last_Day]]-Table134[[#This Row],[First_Day]]+1)/365</f>
        <v>1.4931506849315068</v>
      </c>
      <c r="J378" s="59">
        <f>Table134[[#This Row],[number_of_purchases]]/Table134[[#This Row],[customer_total_years]]</f>
        <v>6.6972477064220186</v>
      </c>
      <c r="K378" s="13">
        <f>Table134[[#This Row],[purchase_history]]/Table134[[#This Row],[number_of_purchases]]</f>
        <v>1223.364</v>
      </c>
      <c r="L378" s="2">
        <f>IF(YEAR(Table134[[#This Row],[Last_Day]])=2021,5,IF(YEAR(Table134[[#This Row],[Last_Day]])=2022,7,IF(YEAR(Table134[[#This Row],[Last_Day]])=2023,10,"Không xác định")))</f>
        <v>10</v>
      </c>
      <c r="M378" s="15">
        <f>Table134[[#This Row],[avg_number_of_purchases]]*Table1345[[#This Row],[avg_purchase_value]]*Table1345[[#This Row],[expected_lifespan]]</f>
        <v>81931.717431192665</v>
      </c>
      <c r="N378" t="s">
        <v>12044</v>
      </c>
    </row>
    <row r="379" spans="1:14" x14ac:dyDescent="0.3">
      <c r="A379" s="2" t="s">
        <v>377</v>
      </c>
      <c r="B379" s="2" t="s">
        <v>12040</v>
      </c>
      <c r="C379" s="2">
        <v>35</v>
      </c>
      <c r="D379" s="2" t="s">
        <v>12049</v>
      </c>
      <c r="E379" s="2">
        <f>COUNTIF(Table16[customer_id],Table13[[#This Row],[customer_id]])</f>
        <v>5</v>
      </c>
      <c r="F379" s="13">
        <f>SUMIFS(Table16[Purchase_history],Table16[customer_id],Table13[[#This Row],[customer_id]])</f>
        <v>2352.8000000000002</v>
      </c>
      <c r="G379" s="20">
        <v>44429</v>
      </c>
      <c r="H379" s="21">
        <v>44944</v>
      </c>
      <c r="I379" s="15">
        <f>(Table134[[#This Row],[Last_Day]]-Table134[[#This Row],[First_Day]]+1)/365</f>
        <v>1.4136986301369863</v>
      </c>
      <c r="J379" s="59">
        <f>Table134[[#This Row],[number_of_purchases]]/Table134[[#This Row],[customer_total_years]]</f>
        <v>3.5368217054263567</v>
      </c>
      <c r="K379" s="13">
        <f>Table134[[#This Row],[purchase_history]]/Table134[[#This Row],[number_of_purchases]]</f>
        <v>470.56000000000006</v>
      </c>
      <c r="L379" s="2">
        <f>IF(YEAR(Table134[[#This Row],[Last_Day]])=2021,5,IF(YEAR(Table134[[#This Row],[Last_Day]])=2022,7,IF(YEAR(Table134[[#This Row],[Last_Day]])=2023,10,"Không xác định")))</f>
        <v>10</v>
      </c>
      <c r="M379" s="15">
        <f>Table134[[#This Row],[avg_number_of_purchases]]*Table1345[[#This Row],[avg_purchase_value]]*Table1345[[#This Row],[expected_lifespan]]</f>
        <v>16642.868217054267</v>
      </c>
      <c r="N379" t="s">
        <v>12048</v>
      </c>
    </row>
    <row r="380" spans="1:14" x14ac:dyDescent="0.3">
      <c r="A380" s="2" t="s">
        <v>378</v>
      </c>
      <c r="B380" s="2" t="s">
        <v>12040</v>
      </c>
      <c r="C380" s="2">
        <v>64</v>
      </c>
      <c r="D380" s="2" t="s">
        <v>12041</v>
      </c>
      <c r="E380" s="2">
        <f>COUNTIF(Table16[customer_id],Table13[[#This Row],[customer_id]])</f>
        <v>4</v>
      </c>
      <c r="F380" s="13">
        <f>SUMIFS(Table16[Purchase_history],Table16[customer_id],Table13[[#This Row],[customer_id]])</f>
        <v>17731.12</v>
      </c>
      <c r="G380" s="20">
        <v>44264</v>
      </c>
      <c r="H380" s="21">
        <v>44657</v>
      </c>
      <c r="I380" s="15">
        <f>(Table134[[#This Row],[Last_Day]]-Table134[[#This Row],[First_Day]]+1)/365</f>
        <v>1.0794520547945206</v>
      </c>
      <c r="J380" s="59">
        <f>Table134[[#This Row],[number_of_purchases]]/Table134[[#This Row],[customer_total_years]]</f>
        <v>3.7055837563451774</v>
      </c>
      <c r="K380" s="13">
        <f>Table134[[#This Row],[purchase_history]]/Table134[[#This Row],[number_of_purchases]]</f>
        <v>4432.78</v>
      </c>
      <c r="L380" s="2">
        <f>IF(YEAR(Table134[[#This Row],[Last_Day]])=2021,5,IF(YEAR(Table134[[#This Row],[Last_Day]])=2022,7,IF(YEAR(Table134[[#This Row],[Last_Day]])=2023,10,"Không xác định")))</f>
        <v>7</v>
      </c>
      <c r="M380" s="15">
        <f>Table134[[#This Row],[avg_number_of_purchases]]*Table1345[[#This Row],[avg_purchase_value]]*Table1345[[#This Row],[expected_lifespan]]</f>
        <v>114982.26294416242</v>
      </c>
      <c r="N380" t="s">
        <v>12047</v>
      </c>
    </row>
    <row r="381" spans="1:14" x14ac:dyDescent="0.3">
      <c r="A381" s="2" t="s">
        <v>379</v>
      </c>
      <c r="B381" s="2" t="s">
        <v>12040</v>
      </c>
      <c r="C381" s="2">
        <v>46</v>
      </c>
      <c r="D381" s="2" t="s">
        <v>12041</v>
      </c>
      <c r="E381" s="2">
        <f>COUNTIF(Table16[customer_id],Table13[[#This Row],[customer_id]])</f>
        <v>4</v>
      </c>
      <c r="F381" s="13">
        <f>SUMIFS(Table16[Purchase_history],Table16[customer_id],Table13[[#This Row],[customer_id]])</f>
        <v>10387</v>
      </c>
      <c r="G381" s="20">
        <v>44410</v>
      </c>
      <c r="H381" s="21">
        <v>44817</v>
      </c>
      <c r="I381" s="15">
        <f>(Table134[[#This Row],[Last_Day]]-Table134[[#This Row],[First_Day]]+1)/365</f>
        <v>1.1178082191780823</v>
      </c>
      <c r="J381" s="59">
        <f>Table134[[#This Row],[number_of_purchases]]/Table134[[#This Row],[customer_total_years]]</f>
        <v>3.5784313725490193</v>
      </c>
      <c r="K381" s="13">
        <f>Table134[[#This Row],[purchase_history]]/Table134[[#This Row],[number_of_purchases]]</f>
        <v>2596.75</v>
      </c>
      <c r="L381" s="2">
        <f>IF(YEAR(Table134[[#This Row],[Last_Day]])=2021,5,IF(YEAR(Table134[[#This Row],[Last_Day]])=2022,7,IF(YEAR(Table134[[#This Row],[Last_Day]])=2023,10,"Không xác định")))</f>
        <v>7</v>
      </c>
      <c r="M381" s="15">
        <f>Table134[[#This Row],[avg_number_of_purchases]]*Table1345[[#This Row],[avg_purchase_value]]*Table1345[[#This Row],[expected_lifespan]]</f>
        <v>65046.041666666664</v>
      </c>
      <c r="N381" t="s">
        <v>12042</v>
      </c>
    </row>
    <row r="382" spans="1:14" x14ac:dyDescent="0.3">
      <c r="A382" s="2" t="s">
        <v>380</v>
      </c>
      <c r="B382" s="2" t="s">
        <v>12040</v>
      </c>
      <c r="C382" s="2">
        <v>44</v>
      </c>
      <c r="D382" s="2" t="s">
        <v>12043</v>
      </c>
      <c r="E382" s="2">
        <f>COUNTIF(Table16[customer_id],Table13[[#This Row],[customer_id]])</f>
        <v>4</v>
      </c>
      <c r="F382" s="13">
        <f>SUMIFS(Table16[Purchase_history],Table16[customer_id],Table13[[#This Row],[customer_id]])</f>
        <v>2847.36</v>
      </c>
      <c r="G382" s="20">
        <v>44519</v>
      </c>
      <c r="H382" s="21">
        <v>44820</v>
      </c>
      <c r="I382" s="15">
        <f>(Table134[[#This Row],[Last_Day]]-Table134[[#This Row],[First_Day]]+1)/365</f>
        <v>0.82739726027397265</v>
      </c>
      <c r="J382" s="59">
        <f>Table134[[#This Row],[number_of_purchases]]/Table134[[#This Row],[customer_total_years]]</f>
        <v>4.8344370860927146</v>
      </c>
      <c r="K382" s="13">
        <f>Table134[[#This Row],[purchase_history]]/Table134[[#This Row],[number_of_purchases]]</f>
        <v>711.84</v>
      </c>
      <c r="L382" s="2">
        <f>IF(YEAR(Table134[[#This Row],[Last_Day]])=2021,5,IF(YEAR(Table134[[#This Row],[Last_Day]])=2022,7,IF(YEAR(Table134[[#This Row],[Last_Day]])=2023,10,"Không xác định")))</f>
        <v>7</v>
      </c>
      <c r="M382" s="15">
        <f>Table134[[#This Row],[avg_number_of_purchases]]*Table1345[[#This Row],[avg_purchase_value]]*Table1345[[#This Row],[expected_lifespan]]</f>
        <v>24089.419867549666</v>
      </c>
      <c r="N382" t="s">
        <v>12044</v>
      </c>
    </row>
    <row r="383" spans="1:14" x14ac:dyDescent="0.3">
      <c r="A383" s="2" t="s">
        <v>381</v>
      </c>
      <c r="B383" s="2" t="s">
        <v>12040</v>
      </c>
      <c r="C383" s="2">
        <v>20</v>
      </c>
      <c r="D383" s="2" t="s">
        <v>12041</v>
      </c>
      <c r="E383" s="2">
        <f>COUNTIF(Table16[customer_id],Table13[[#This Row],[customer_id]])</f>
        <v>3</v>
      </c>
      <c r="F383" s="13">
        <f>SUMIFS(Table16[Purchase_history],Table16[customer_id],Table13[[#This Row],[customer_id]])</f>
        <v>9949.7199999999993</v>
      </c>
      <c r="G383" s="20">
        <v>44937</v>
      </c>
      <c r="H383" s="21">
        <v>44986</v>
      </c>
      <c r="I383" s="15">
        <f>(Table134[[#This Row],[Last_Day]]-Table134[[#This Row],[First_Day]]+1)/365</f>
        <v>0.13698630136986301</v>
      </c>
      <c r="J383" s="59">
        <f>Table134[[#This Row],[number_of_purchases]]/Table134[[#This Row],[customer_total_years]]</f>
        <v>21.900000000000002</v>
      </c>
      <c r="K383" s="13">
        <f>Table134[[#This Row],[purchase_history]]/Table134[[#This Row],[number_of_purchases]]</f>
        <v>3316.5733333333333</v>
      </c>
      <c r="L383" s="2">
        <f>IF(YEAR(Table134[[#This Row],[Last_Day]])=2021,5,IF(YEAR(Table134[[#This Row],[Last_Day]])=2022,7,IF(YEAR(Table134[[#This Row],[Last_Day]])=2023,10,"Không xác định")))</f>
        <v>10</v>
      </c>
      <c r="M383" s="15">
        <f>Table134[[#This Row],[avg_number_of_purchases]]*Table1345[[#This Row],[avg_purchase_value]]*Table1345[[#This Row],[expected_lifespan]]</f>
        <v>726329.56</v>
      </c>
      <c r="N383" t="s">
        <v>12042</v>
      </c>
    </row>
    <row r="384" spans="1:14" x14ac:dyDescent="0.3">
      <c r="A384" s="2" t="s">
        <v>382</v>
      </c>
      <c r="B384" s="2" t="s">
        <v>12040</v>
      </c>
      <c r="C384" s="2">
        <v>59</v>
      </c>
      <c r="D384" s="2" t="s">
        <v>12041</v>
      </c>
      <c r="E384" s="2">
        <f>COUNTIF(Table16[customer_id],Table13[[#This Row],[customer_id]])</f>
        <v>4</v>
      </c>
      <c r="F384" s="13">
        <f>SUMIFS(Table16[Purchase_history],Table16[customer_id],Table13[[#This Row],[customer_id]])</f>
        <v>6385.36</v>
      </c>
      <c r="G384" s="20">
        <v>44380</v>
      </c>
      <c r="H384" s="21">
        <v>44955</v>
      </c>
      <c r="I384" s="15">
        <f>(Table134[[#This Row],[Last_Day]]-Table134[[#This Row],[First_Day]]+1)/365</f>
        <v>1.5780821917808219</v>
      </c>
      <c r="J384" s="59">
        <f>Table134[[#This Row],[number_of_purchases]]/Table134[[#This Row],[customer_total_years]]</f>
        <v>2.5347222222222223</v>
      </c>
      <c r="K384" s="13">
        <f>Table134[[#This Row],[purchase_history]]/Table134[[#This Row],[number_of_purchases]]</f>
        <v>1596.34</v>
      </c>
      <c r="L384" s="2">
        <f>IF(YEAR(Table134[[#This Row],[Last_Day]])=2021,5,IF(YEAR(Table134[[#This Row],[Last_Day]])=2022,7,IF(YEAR(Table134[[#This Row],[Last_Day]])=2023,10,"Không xác định")))</f>
        <v>10</v>
      </c>
      <c r="M384" s="15">
        <f>Table134[[#This Row],[avg_number_of_purchases]]*Table1345[[#This Row],[avg_purchase_value]]*Table1345[[#This Row],[expected_lifespan]]</f>
        <v>40462.784722222219</v>
      </c>
      <c r="N384" t="s">
        <v>12048</v>
      </c>
    </row>
    <row r="385" spans="1:14" x14ac:dyDescent="0.3">
      <c r="A385" s="2" t="s">
        <v>383</v>
      </c>
      <c r="B385" s="2" t="s">
        <v>12045</v>
      </c>
      <c r="C385" s="2">
        <v>30</v>
      </c>
      <c r="D385" s="2" t="s">
        <v>12043</v>
      </c>
      <c r="E385" s="2">
        <f>COUNTIF(Table16[customer_id],Table13[[#This Row],[customer_id]])</f>
        <v>4</v>
      </c>
      <c r="F385" s="13">
        <f>SUMIFS(Table16[Purchase_history],Table16[customer_id],Table13[[#This Row],[customer_id]])</f>
        <v>2501.3199999999997</v>
      </c>
      <c r="G385" s="20">
        <v>44356</v>
      </c>
      <c r="H385" s="21">
        <v>44950</v>
      </c>
      <c r="I385" s="15">
        <f>(Table134[[#This Row],[Last_Day]]-Table134[[#This Row],[First_Day]]+1)/365</f>
        <v>1.6301369863013699</v>
      </c>
      <c r="J385" s="59">
        <f>Table134[[#This Row],[number_of_purchases]]/Table134[[#This Row],[customer_total_years]]</f>
        <v>2.4537815126050417</v>
      </c>
      <c r="K385" s="13">
        <f>Table134[[#This Row],[purchase_history]]/Table134[[#This Row],[number_of_purchases]]</f>
        <v>625.32999999999993</v>
      </c>
      <c r="L385" s="2">
        <f>IF(YEAR(Table134[[#This Row],[Last_Day]])=2021,5,IF(YEAR(Table134[[#This Row],[Last_Day]])=2022,7,IF(YEAR(Table134[[#This Row],[Last_Day]])=2023,10,"Không xác định")))</f>
        <v>10</v>
      </c>
      <c r="M385" s="15">
        <f>Table134[[#This Row],[avg_number_of_purchases]]*Table1345[[#This Row],[avg_purchase_value]]*Table1345[[#This Row],[expected_lifespan]]</f>
        <v>15344.231932773106</v>
      </c>
      <c r="N385" t="s">
        <v>12046</v>
      </c>
    </row>
    <row r="386" spans="1:14" x14ac:dyDescent="0.3">
      <c r="A386" s="2" t="s">
        <v>384</v>
      </c>
      <c r="B386" s="2" t="s">
        <v>12040</v>
      </c>
      <c r="C386" s="2">
        <v>53</v>
      </c>
      <c r="D386" s="2" t="s">
        <v>12049</v>
      </c>
      <c r="E386" s="2">
        <f>COUNTIF(Table16[customer_id],Table13[[#This Row],[customer_id]])</f>
        <v>8</v>
      </c>
      <c r="F386" s="13">
        <f>SUMIFS(Table16[Purchase_history],Table16[customer_id],Table13[[#This Row],[customer_id]])</f>
        <v>26169.24</v>
      </c>
      <c r="G386" s="20">
        <v>44291</v>
      </c>
      <c r="H386" s="21">
        <v>44957</v>
      </c>
      <c r="I386" s="15">
        <f>(Table134[[#This Row],[Last_Day]]-Table134[[#This Row],[First_Day]]+1)/365</f>
        <v>1.8273972602739725</v>
      </c>
      <c r="J386" s="59">
        <f>Table134[[#This Row],[number_of_purchases]]/Table134[[#This Row],[customer_total_years]]</f>
        <v>4.3778110944527739</v>
      </c>
      <c r="K386" s="13">
        <f>Table134[[#This Row],[purchase_history]]/Table134[[#This Row],[number_of_purchases]]</f>
        <v>3271.1550000000002</v>
      </c>
      <c r="L386" s="2">
        <f>IF(YEAR(Table134[[#This Row],[Last_Day]])=2021,5,IF(YEAR(Table134[[#This Row],[Last_Day]])=2022,7,IF(YEAR(Table134[[#This Row],[Last_Day]])=2023,10,"Không xác định")))</f>
        <v>10</v>
      </c>
      <c r="M386" s="15">
        <f>Table134[[#This Row],[avg_number_of_purchases]]*Table1345[[#This Row],[avg_purchase_value]]*Table1345[[#This Row],[expected_lifespan]]</f>
        <v>143204.98650674665</v>
      </c>
      <c r="N386" t="s">
        <v>12042</v>
      </c>
    </row>
    <row r="387" spans="1:14" x14ac:dyDescent="0.3">
      <c r="A387" s="2" t="s">
        <v>385</v>
      </c>
      <c r="B387" s="2" t="s">
        <v>12045</v>
      </c>
      <c r="C387" s="2">
        <v>36</v>
      </c>
      <c r="D387" s="2" t="s">
        <v>12043</v>
      </c>
      <c r="E387" s="2">
        <f>COUNTIF(Table16[customer_id],Table13[[#This Row],[customer_id]])</f>
        <v>5</v>
      </c>
      <c r="F387" s="13">
        <f>SUMIFS(Table16[Purchase_history],Table16[customer_id],Table13[[#This Row],[customer_id]])</f>
        <v>16125.129999999997</v>
      </c>
      <c r="G387" s="20">
        <v>44251</v>
      </c>
      <c r="H387" s="21">
        <v>44778</v>
      </c>
      <c r="I387" s="15">
        <f>(Table134[[#This Row],[Last_Day]]-Table134[[#This Row],[First_Day]]+1)/365</f>
        <v>1.4465753424657535</v>
      </c>
      <c r="J387" s="59">
        <f>Table134[[#This Row],[number_of_purchases]]/Table134[[#This Row],[customer_total_years]]</f>
        <v>3.456439393939394</v>
      </c>
      <c r="K387" s="13">
        <f>Table134[[#This Row],[purchase_history]]/Table134[[#This Row],[number_of_purchases]]</f>
        <v>3225.0259999999994</v>
      </c>
      <c r="L387" s="2">
        <f>IF(YEAR(Table134[[#This Row],[Last_Day]])=2021,5,IF(YEAR(Table134[[#This Row],[Last_Day]])=2022,7,IF(YEAR(Table134[[#This Row],[Last_Day]])=2023,10,"Không xác định")))</f>
        <v>7</v>
      </c>
      <c r="M387" s="15">
        <f>Table134[[#This Row],[avg_number_of_purchases]]*Table1345[[#This Row],[avg_purchase_value]]*Table1345[[#This Row],[expected_lifespan]]</f>
        <v>78029.748390151508</v>
      </c>
      <c r="N387" t="s">
        <v>12048</v>
      </c>
    </row>
    <row r="388" spans="1:14" x14ac:dyDescent="0.3">
      <c r="A388" s="2" t="s">
        <v>386</v>
      </c>
      <c r="B388" s="2" t="s">
        <v>12040</v>
      </c>
      <c r="C388" s="2">
        <v>34</v>
      </c>
      <c r="D388" s="2" t="s">
        <v>12043</v>
      </c>
      <c r="E388" s="2">
        <f>COUNTIF(Table16[customer_id],Table13[[#This Row],[customer_id]])</f>
        <v>5</v>
      </c>
      <c r="F388" s="13">
        <f>SUMIFS(Table16[Purchase_history],Table16[customer_id],Table13[[#This Row],[customer_id]])</f>
        <v>5057.55</v>
      </c>
      <c r="G388" s="20">
        <v>44246</v>
      </c>
      <c r="H388" s="21">
        <v>44928</v>
      </c>
      <c r="I388" s="15">
        <f>(Table134[[#This Row],[Last_Day]]-Table134[[#This Row],[First_Day]]+1)/365</f>
        <v>1.8712328767123287</v>
      </c>
      <c r="J388" s="59">
        <f>Table134[[#This Row],[number_of_purchases]]/Table134[[#This Row],[customer_total_years]]</f>
        <v>2.6720351390922401</v>
      </c>
      <c r="K388" s="13">
        <f>Table134[[#This Row],[purchase_history]]/Table134[[#This Row],[number_of_purchases]]</f>
        <v>1011.51</v>
      </c>
      <c r="L388" s="2">
        <f>IF(YEAR(Table134[[#This Row],[Last_Day]])=2021,5,IF(YEAR(Table134[[#This Row],[Last_Day]])=2022,7,IF(YEAR(Table134[[#This Row],[Last_Day]])=2023,10,"Không xác định")))</f>
        <v>10</v>
      </c>
      <c r="M388" s="15">
        <f>Table134[[#This Row],[avg_number_of_purchases]]*Table1345[[#This Row],[avg_purchase_value]]*Table1345[[#This Row],[expected_lifespan]]</f>
        <v>27027.902635431921</v>
      </c>
      <c r="N388" t="s">
        <v>12048</v>
      </c>
    </row>
    <row r="389" spans="1:14" x14ac:dyDescent="0.3">
      <c r="A389" s="2" t="s">
        <v>387</v>
      </c>
      <c r="B389" s="2" t="s">
        <v>12040</v>
      </c>
      <c r="C389" s="2">
        <v>58</v>
      </c>
      <c r="D389" s="2" t="s">
        <v>12041</v>
      </c>
      <c r="E389" s="2">
        <f>COUNTIF(Table16[customer_id],Table13[[#This Row],[customer_id]])</f>
        <v>9</v>
      </c>
      <c r="F389" s="13">
        <f>SUMIFS(Table16[Purchase_history],Table16[customer_id],Table13[[#This Row],[customer_id]])</f>
        <v>22487.75</v>
      </c>
      <c r="G389" s="20">
        <v>44291</v>
      </c>
      <c r="H389" s="21">
        <v>44968</v>
      </c>
      <c r="I389" s="15">
        <f>(Table134[[#This Row],[Last_Day]]-Table134[[#This Row],[First_Day]]+1)/365</f>
        <v>1.8575342465753424</v>
      </c>
      <c r="J389" s="59">
        <f>Table134[[#This Row],[number_of_purchases]]/Table134[[#This Row],[customer_total_years]]</f>
        <v>4.8451327433628322</v>
      </c>
      <c r="K389" s="13">
        <f>Table134[[#This Row],[purchase_history]]/Table134[[#This Row],[number_of_purchases]]</f>
        <v>2498.6388888888887</v>
      </c>
      <c r="L389" s="2">
        <f>IF(YEAR(Table134[[#This Row],[Last_Day]])=2021,5,IF(YEAR(Table134[[#This Row],[Last_Day]])=2022,7,IF(YEAR(Table134[[#This Row],[Last_Day]])=2023,10,"Không xác định")))</f>
        <v>10</v>
      </c>
      <c r="M389" s="15">
        <f>Table134[[#This Row],[avg_number_of_purchases]]*Table1345[[#This Row],[avg_purchase_value]]*Table1345[[#This Row],[expected_lifespan]]</f>
        <v>121062.37094395279</v>
      </c>
      <c r="N389" t="s">
        <v>12042</v>
      </c>
    </row>
    <row r="390" spans="1:14" x14ac:dyDescent="0.3">
      <c r="A390" s="2" t="s">
        <v>388</v>
      </c>
      <c r="B390" s="2" t="s">
        <v>12045</v>
      </c>
      <c r="C390" s="2">
        <v>51</v>
      </c>
      <c r="D390" s="2" t="s">
        <v>12049</v>
      </c>
      <c r="E390" s="2">
        <f>COUNTIF(Table16[customer_id],Table13[[#This Row],[customer_id]])</f>
        <v>4</v>
      </c>
      <c r="F390" s="13">
        <f>SUMIFS(Table16[Purchase_history],Table16[customer_id],Table13[[#This Row],[customer_id]])</f>
        <v>1220.6699999999998</v>
      </c>
      <c r="G390" s="20">
        <v>44320</v>
      </c>
      <c r="H390" s="21">
        <v>44964</v>
      </c>
      <c r="I390" s="15">
        <f>(Table134[[#This Row],[Last_Day]]-Table134[[#This Row],[First_Day]]+1)/365</f>
        <v>1.7671232876712328</v>
      </c>
      <c r="J390" s="59">
        <f>Table134[[#This Row],[number_of_purchases]]/Table134[[#This Row],[customer_total_years]]</f>
        <v>2.2635658914728682</v>
      </c>
      <c r="K390" s="13">
        <f>Table134[[#This Row],[purchase_history]]/Table134[[#This Row],[number_of_purchases]]</f>
        <v>305.16749999999996</v>
      </c>
      <c r="L390" s="2">
        <f>IF(YEAR(Table134[[#This Row],[Last_Day]])=2021,5,IF(YEAR(Table134[[#This Row],[Last_Day]])=2022,7,IF(YEAR(Table134[[#This Row],[Last_Day]])=2023,10,"Không xác định")))</f>
        <v>10</v>
      </c>
      <c r="M390" s="15">
        <f>Table134[[#This Row],[avg_number_of_purchases]]*Table1345[[#This Row],[avg_purchase_value]]*Table1345[[#This Row],[expected_lifespan]]</f>
        <v>6907.6674418604653</v>
      </c>
      <c r="N390" t="s">
        <v>12044</v>
      </c>
    </row>
    <row r="391" spans="1:14" x14ac:dyDescent="0.3">
      <c r="A391" s="2" t="s">
        <v>389</v>
      </c>
      <c r="B391" s="2" t="s">
        <v>12040</v>
      </c>
      <c r="C391" s="2">
        <v>21</v>
      </c>
      <c r="D391" s="2" t="s">
        <v>12049</v>
      </c>
      <c r="E391" s="2">
        <f>COUNTIF(Table16[customer_id],Table13[[#This Row],[customer_id]])</f>
        <v>5</v>
      </c>
      <c r="F391" s="13">
        <f>SUMIFS(Table16[Purchase_history],Table16[customer_id],Table13[[#This Row],[customer_id]])</f>
        <v>9334.0600000000013</v>
      </c>
      <c r="G391" s="20">
        <v>44309</v>
      </c>
      <c r="H391" s="21">
        <v>44817</v>
      </c>
      <c r="I391" s="15">
        <f>(Table134[[#This Row],[Last_Day]]-Table134[[#This Row],[First_Day]]+1)/365</f>
        <v>1.3945205479452054</v>
      </c>
      <c r="J391" s="59">
        <f>Table134[[#This Row],[number_of_purchases]]/Table134[[#This Row],[customer_total_years]]</f>
        <v>3.5854616895874263</v>
      </c>
      <c r="K391" s="13">
        <f>Table134[[#This Row],[purchase_history]]/Table134[[#This Row],[number_of_purchases]]</f>
        <v>1866.8120000000004</v>
      </c>
      <c r="L391" s="2">
        <f>IF(YEAR(Table134[[#This Row],[Last_Day]])=2021,5,IF(YEAR(Table134[[#This Row],[Last_Day]])=2022,7,IF(YEAR(Table134[[#This Row],[Last_Day]])=2023,10,"Không xác định")))</f>
        <v>7</v>
      </c>
      <c r="M391" s="15">
        <f>Table134[[#This Row],[avg_number_of_purchases]]*Table1345[[#This Row],[avg_purchase_value]]*Table1345[[#This Row],[expected_lifespan]]</f>
        <v>46853.680353634591</v>
      </c>
      <c r="N391" t="s">
        <v>12048</v>
      </c>
    </row>
    <row r="392" spans="1:14" x14ac:dyDescent="0.3">
      <c r="A392" s="2" t="s">
        <v>390</v>
      </c>
      <c r="B392" s="2" t="s">
        <v>12040</v>
      </c>
      <c r="C392" s="2">
        <v>43</v>
      </c>
      <c r="D392" s="2" t="s">
        <v>12041</v>
      </c>
      <c r="E392" s="2">
        <f>COUNTIF(Table16[customer_id],Table13[[#This Row],[customer_id]])</f>
        <v>3</v>
      </c>
      <c r="F392" s="13">
        <f>SUMIFS(Table16[Purchase_history],Table16[customer_id],Table13[[#This Row],[customer_id]])</f>
        <v>388.99</v>
      </c>
      <c r="G392" s="20">
        <v>44203</v>
      </c>
      <c r="H392" s="21">
        <v>44682</v>
      </c>
      <c r="I392" s="15">
        <f>(Table134[[#This Row],[Last_Day]]-Table134[[#This Row],[First_Day]]+1)/365</f>
        <v>1.3150684931506849</v>
      </c>
      <c r="J392" s="59">
        <f>Table134[[#This Row],[number_of_purchases]]/Table134[[#This Row],[customer_total_years]]</f>
        <v>2.28125</v>
      </c>
      <c r="K392" s="13">
        <f>Table134[[#This Row],[purchase_history]]/Table134[[#This Row],[number_of_purchases]]</f>
        <v>129.66333333333333</v>
      </c>
      <c r="L392" s="2">
        <f>IF(YEAR(Table134[[#This Row],[Last_Day]])=2021,5,IF(YEAR(Table134[[#This Row],[Last_Day]])=2022,7,IF(YEAR(Table134[[#This Row],[Last_Day]])=2023,10,"Không xác định")))</f>
        <v>7</v>
      </c>
      <c r="M392" s="15">
        <f>Table134[[#This Row],[avg_number_of_purchases]]*Table1345[[#This Row],[avg_purchase_value]]*Table1345[[#This Row],[expected_lifespan]]</f>
        <v>2070.5613541666662</v>
      </c>
      <c r="N392" t="s">
        <v>12048</v>
      </c>
    </row>
    <row r="393" spans="1:14" x14ac:dyDescent="0.3">
      <c r="A393" s="2" t="s">
        <v>391</v>
      </c>
      <c r="B393" s="2" t="s">
        <v>12045</v>
      </c>
      <c r="C393" s="2">
        <v>68</v>
      </c>
      <c r="D393" s="2" t="s">
        <v>12043</v>
      </c>
      <c r="E393" s="2">
        <f>COUNTIF(Table16[customer_id],Table13[[#This Row],[customer_id]])</f>
        <v>6</v>
      </c>
      <c r="F393" s="13">
        <f>SUMIFS(Table16[Purchase_history],Table16[customer_id],Table13[[#This Row],[customer_id]])</f>
        <v>15018.03</v>
      </c>
      <c r="G393" s="20">
        <v>44596</v>
      </c>
      <c r="H393" s="21">
        <v>44979</v>
      </c>
      <c r="I393" s="15">
        <f>(Table134[[#This Row],[Last_Day]]-Table134[[#This Row],[First_Day]]+1)/365</f>
        <v>1.0520547945205478</v>
      </c>
      <c r="J393" s="59">
        <f>Table134[[#This Row],[number_of_purchases]]/Table134[[#This Row],[customer_total_years]]</f>
        <v>5.7031250000000009</v>
      </c>
      <c r="K393" s="13">
        <f>Table134[[#This Row],[purchase_history]]/Table134[[#This Row],[number_of_purchases]]</f>
        <v>2503.0050000000001</v>
      </c>
      <c r="L393" s="2">
        <f>IF(YEAR(Table134[[#This Row],[Last_Day]])=2021,5,IF(YEAR(Table134[[#This Row],[Last_Day]])=2022,7,IF(YEAR(Table134[[#This Row],[Last_Day]])=2023,10,"Không xác định")))</f>
        <v>10</v>
      </c>
      <c r="M393" s="15">
        <f>Table134[[#This Row],[avg_number_of_purchases]]*Table1345[[#This Row],[avg_purchase_value]]*Table1345[[#This Row],[expected_lifespan]]</f>
        <v>142749.50390625003</v>
      </c>
      <c r="N393" t="s">
        <v>12042</v>
      </c>
    </row>
    <row r="394" spans="1:14" x14ac:dyDescent="0.3">
      <c r="A394" s="2" t="s">
        <v>392</v>
      </c>
      <c r="B394" s="2" t="s">
        <v>12045</v>
      </c>
      <c r="C394" s="2">
        <v>21</v>
      </c>
      <c r="D394" s="2" t="s">
        <v>12041</v>
      </c>
      <c r="E394" s="2">
        <f>COUNTIF(Table16[customer_id],Table13[[#This Row],[customer_id]])</f>
        <v>5</v>
      </c>
      <c r="F394" s="13">
        <f>SUMIFS(Table16[Purchase_history],Table16[customer_id],Table13[[#This Row],[customer_id]])</f>
        <v>24526.880000000001</v>
      </c>
      <c r="G394" s="20">
        <v>44352</v>
      </c>
      <c r="H394" s="21">
        <v>44956</v>
      </c>
      <c r="I394" s="15">
        <f>(Table134[[#This Row],[Last_Day]]-Table134[[#This Row],[First_Day]]+1)/365</f>
        <v>1.6575342465753424</v>
      </c>
      <c r="J394" s="59">
        <f>Table134[[#This Row],[number_of_purchases]]/Table134[[#This Row],[customer_total_years]]</f>
        <v>3.0165289256198347</v>
      </c>
      <c r="K394" s="13">
        <f>Table134[[#This Row],[purchase_history]]/Table134[[#This Row],[number_of_purchases]]</f>
        <v>4905.3760000000002</v>
      </c>
      <c r="L394" s="2">
        <f>IF(YEAR(Table134[[#This Row],[Last_Day]])=2021,5,IF(YEAR(Table134[[#This Row],[Last_Day]])=2022,7,IF(YEAR(Table134[[#This Row],[Last_Day]])=2023,10,"Không xác định")))</f>
        <v>10</v>
      </c>
      <c r="M394" s="15">
        <f>Table134[[#This Row],[avg_number_of_purchases]]*Table1345[[#This Row],[avg_purchase_value]]*Table1345[[#This Row],[expected_lifespan]]</f>
        <v>147972.08595041322</v>
      </c>
      <c r="N394" t="s">
        <v>12047</v>
      </c>
    </row>
    <row r="395" spans="1:14" x14ac:dyDescent="0.3">
      <c r="A395" s="2" t="s">
        <v>393</v>
      </c>
      <c r="B395" s="2" t="s">
        <v>12040</v>
      </c>
      <c r="C395" s="2">
        <v>51</v>
      </c>
      <c r="D395" s="2" t="s">
        <v>12049</v>
      </c>
      <c r="E395" s="2">
        <f>COUNTIF(Table16[customer_id],Table13[[#This Row],[customer_id]])</f>
        <v>3</v>
      </c>
      <c r="F395" s="13">
        <f>SUMIFS(Table16[Purchase_history],Table16[customer_id],Table13[[#This Row],[customer_id]])</f>
        <v>1371.73</v>
      </c>
      <c r="G395" s="20">
        <v>44371</v>
      </c>
      <c r="H395" s="21">
        <v>44822</v>
      </c>
      <c r="I395" s="15">
        <f>(Table134[[#This Row],[Last_Day]]-Table134[[#This Row],[First_Day]]+1)/365</f>
        <v>1.2383561643835617</v>
      </c>
      <c r="J395" s="59">
        <f>Table134[[#This Row],[number_of_purchases]]/Table134[[#This Row],[customer_total_years]]</f>
        <v>2.4225663716814161</v>
      </c>
      <c r="K395" s="13">
        <f>Table134[[#This Row],[purchase_history]]/Table134[[#This Row],[number_of_purchases]]</f>
        <v>457.24333333333334</v>
      </c>
      <c r="L395" s="2">
        <f>IF(YEAR(Table134[[#This Row],[Last_Day]])=2021,5,IF(YEAR(Table134[[#This Row],[Last_Day]])=2022,7,IF(YEAR(Table134[[#This Row],[Last_Day]])=2023,10,"Không xác định")))</f>
        <v>7</v>
      </c>
      <c r="M395" s="15">
        <f>Table134[[#This Row],[avg_number_of_purchases]]*Table1345[[#This Row],[avg_purchase_value]]*Table1345[[#This Row],[expected_lifespan]]</f>
        <v>7753.9162610619469</v>
      </c>
      <c r="N395" t="s">
        <v>12048</v>
      </c>
    </row>
    <row r="396" spans="1:14" x14ac:dyDescent="0.3">
      <c r="A396" s="2" t="s">
        <v>394</v>
      </c>
      <c r="B396" s="2" t="s">
        <v>12040</v>
      </c>
      <c r="C396" s="2">
        <v>38</v>
      </c>
      <c r="D396" s="2" t="s">
        <v>12041</v>
      </c>
      <c r="E396" s="2">
        <f>COUNTIF(Table16[customer_id],Table13[[#This Row],[customer_id]])</f>
        <v>1</v>
      </c>
      <c r="F396" s="13">
        <f>SUMIFS(Table16[Purchase_history],Table16[customer_id],Table13[[#This Row],[customer_id]])</f>
        <v>15.15</v>
      </c>
      <c r="G396" s="20">
        <v>44668</v>
      </c>
      <c r="H396" s="21">
        <v>44668</v>
      </c>
      <c r="I396" s="15">
        <f>(Table134[[#This Row],[Last_Day]]-Table134[[#This Row],[First_Day]]+1)/365</f>
        <v>2.7397260273972603E-3</v>
      </c>
      <c r="J396" s="59">
        <f>Table134[[#This Row],[number_of_purchases]]/Table134[[#This Row],[customer_total_years]]</f>
        <v>365</v>
      </c>
      <c r="K396" s="13">
        <f>Table134[[#This Row],[purchase_history]]/Table134[[#This Row],[number_of_purchases]]</f>
        <v>15.15</v>
      </c>
      <c r="L396" s="2">
        <f>IF(YEAR(Table134[[#This Row],[Last_Day]])=2021,5,IF(YEAR(Table134[[#This Row],[Last_Day]])=2022,7,IF(YEAR(Table134[[#This Row],[Last_Day]])=2023,10,"Không xác định")))</f>
        <v>7</v>
      </c>
      <c r="M396" s="15">
        <f>Table134[[#This Row],[avg_number_of_purchases]]*Table1345[[#This Row],[avg_purchase_value]]*Table1345[[#This Row],[expected_lifespan]]</f>
        <v>38708.25</v>
      </c>
      <c r="N396" t="s">
        <v>12048</v>
      </c>
    </row>
    <row r="397" spans="1:14" x14ac:dyDescent="0.3">
      <c r="A397" s="2" t="s">
        <v>395</v>
      </c>
      <c r="B397" s="2" t="s">
        <v>12045</v>
      </c>
      <c r="C397" s="2">
        <v>40</v>
      </c>
      <c r="D397" s="2" t="s">
        <v>12043</v>
      </c>
      <c r="E397" s="2">
        <f>COUNTIF(Table16[customer_id],Table13[[#This Row],[customer_id]])</f>
        <v>5</v>
      </c>
      <c r="F397" s="13">
        <f>SUMIFS(Table16[Purchase_history],Table16[customer_id],Table13[[#This Row],[customer_id]])</f>
        <v>15432.3</v>
      </c>
      <c r="G397" s="20">
        <v>44315</v>
      </c>
      <c r="H397" s="21">
        <v>44804</v>
      </c>
      <c r="I397" s="15">
        <f>(Table134[[#This Row],[Last_Day]]-Table134[[#This Row],[First_Day]]+1)/365</f>
        <v>1.3424657534246576</v>
      </c>
      <c r="J397" s="59">
        <f>Table134[[#This Row],[number_of_purchases]]/Table134[[#This Row],[customer_total_years]]</f>
        <v>3.7244897959183674</v>
      </c>
      <c r="K397" s="13">
        <f>Table134[[#This Row],[purchase_history]]/Table134[[#This Row],[number_of_purchases]]</f>
        <v>3086.46</v>
      </c>
      <c r="L397" s="2">
        <f>IF(YEAR(Table134[[#This Row],[Last_Day]])=2021,5,IF(YEAR(Table134[[#This Row],[Last_Day]])=2022,7,IF(YEAR(Table134[[#This Row],[Last_Day]])=2023,10,"Không xác định")))</f>
        <v>7</v>
      </c>
      <c r="M397" s="15">
        <f>Table134[[#This Row],[avg_number_of_purchases]]*Table1345[[#This Row],[avg_purchase_value]]*Table1345[[#This Row],[expected_lifespan]]</f>
        <v>80468.421428571426</v>
      </c>
      <c r="N397" t="s">
        <v>12046</v>
      </c>
    </row>
    <row r="398" spans="1:14" x14ac:dyDescent="0.3">
      <c r="A398" s="2" t="s">
        <v>396</v>
      </c>
      <c r="B398" s="2" t="s">
        <v>12040</v>
      </c>
      <c r="C398" s="2">
        <v>57</v>
      </c>
      <c r="D398" s="2" t="s">
        <v>12043</v>
      </c>
      <c r="E398" s="2">
        <f>COUNTIF(Table16[customer_id],Table13[[#This Row],[customer_id]])</f>
        <v>6</v>
      </c>
      <c r="F398" s="13">
        <f>SUMIFS(Table16[Purchase_history],Table16[customer_id],Table13[[#This Row],[customer_id]])</f>
        <v>13634.2</v>
      </c>
      <c r="G398" s="20">
        <v>44273</v>
      </c>
      <c r="H398" s="21">
        <v>44897</v>
      </c>
      <c r="I398" s="15">
        <f>(Table134[[#This Row],[Last_Day]]-Table134[[#This Row],[First_Day]]+1)/365</f>
        <v>1.7123287671232876</v>
      </c>
      <c r="J398" s="59">
        <f>Table134[[#This Row],[number_of_purchases]]/Table134[[#This Row],[customer_total_years]]</f>
        <v>3.504</v>
      </c>
      <c r="K398" s="13">
        <f>Table134[[#This Row],[purchase_history]]/Table134[[#This Row],[number_of_purchases]]</f>
        <v>2272.3666666666668</v>
      </c>
      <c r="L398" s="2">
        <f>IF(YEAR(Table134[[#This Row],[Last_Day]])=2021,5,IF(YEAR(Table134[[#This Row],[Last_Day]])=2022,7,IF(YEAR(Table134[[#This Row],[Last_Day]])=2023,10,"Không xác định")))</f>
        <v>7</v>
      </c>
      <c r="M398" s="15">
        <f>Table134[[#This Row],[avg_number_of_purchases]]*Table1345[[#This Row],[avg_purchase_value]]*Table1345[[#This Row],[expected_lifespan]]</f>
        <v>55736.609600000003</v>
      </c>
      <c r="N398" t="s">
        <v>12047</v>
      </c>
    </row>
    <row r="399" spans="1:14" x14ac:dyDescent="0.3">
      <c r="A399" s="2" t="s">
        <v>397</v>
      </c>
      <c r="B399" s="2" t="s">
        <v>12045</v>
      </c>
      <c r="C399" s="2">
        <v>46</v>
      </c>
      <c r="D399" s="2" t="s">
        <v>12043</v>
      </c>
      <c r="E399" s="2">
        <f>COUNTIF(Table16[customer_id],Table13[[#This Row],[customer_id]])</f>
        <v>1</v>
      </c>
      <c r="F399" s="13">
        <f>SUMIFS(Table16[Purchase_history],Table16[customer_id],Table13[[#This Row],[customer_id]])</f>
        <v>1200.32</v>
      </c>
      <c r="G399" s="20">
        <v>44351</v>
      </c>
      <c r="H399" s="21">
        <v>44351</v>
      </c>
      <c r="I399" s="15">
        <f>(Table134[[#This Row],[Last_Day]]-Table134[[#This Row],[First_Day]]+1)/365</f>
        <v>2.7397260273972603E-3</v>
      </c>
      <c r="J399" s="59">
        <f>Table134[[#This Row],[number_of_purchases]]/Table134[[#This Row],[customer_total_years]]</f>
        <v>365</v>
      </c>
      <c r="K399" s="13">
        <f>Table134[[#This Row],[purchase_history]]/Table134[[#This Row],[number_of_purchases]]</f>
        <v>1200.32</v>
      </c>
      <c r="L399" s="2">
        <f>IF(YEAR(Table134[[#This Row],[Last_Day]])=2021,5,IF(YEAR(Table134[[#This Row],[Last_Day]])=2022,7,IF(YEAR(Table134[[#This Row],[Last_Day]])=2023,10,"Không xác định")))</f>
        <v>5</v>
      </c>
      <c r="M399" s="15">
        <f>Table134[[#This Row],[avg_number_of_purchases]]*Table1345[[#This Row],[avg_purchase_value]]*Table1345[[#This Row],[expected_lifespan]]</f>
        <v>2190584</v>
      </c>
      <c r="N399" t="s">
        <v>12047</v>
      </c>
    </row>
    <row r="400" spans="1:14" x14ac:dyDescent="0.3">
      <c r="A400" s="2" t="s">
        <v>398</v>
      </c>
      <c r="B400" s="2" t="s">
        <v>12045</v>
      </c>
      <c r="C400" s="2">
        <v>19</v>
      </c>
      <c r="D400" s="2" t="s">
        <v>12049</v>
      </c>
      <c r="E400" s="2">
        <f>COUNTIF(Table16[customer_id],Table13[[#This Row],[customer_id]])</f>
        <v>6</v>
      </c>
      <c r="F400" s="13">
        <f>SUMIFS(Table16[Purchase_history],Table16[customer_id],Table13[[#This Row],[customer_id]])</f>
        <v>34515.18</v>
      </c>
      <c r="G400" s="20">
        <v>44247</v>
      </c>
      <c r="H400" s="21">
        <v>44991</v>
      </c>
      <c r="I400" s="15">
        <f>(Table134[[#This Row],[Last_Day]]-Table134[[#This Row],[First_Day]]+1)/365</f>
        <v>2.0410958904109591</v>
      </c>
      <c r="J400" s="59">
        <f>Table134[[#This Row],[number_of_purchases]]/Table134[[#This Row],[customer_total_years]]</f>
        <v>2.9395973154362416</v>
      </c>
      <c r="K400" s="13">
        <f>Table134[[#This Row],[purchase_history]]/Table134[[#This Row],[number_of_purchases]]</f>
        <v>5752.53</v>
      </c>
      <c r="L400" s="2">
        <f>IF(YEAR(Table134[[#This Row],[Last_Day]])=2021,5,IF(YEAR(Table134[[#This Row],[Last_Day]])=2022,7,IF(YEAR(Table134[[#This Row],[Last_Day]])=2023,10,"Không xác định")))</f>
        <v>10</v>
      </c>
      <c r="M400" s="15">
        <f>Table134[[#This Row],[avg_number_of_purchases]]*Table1345[[#This Row],[avg_purchase_value]]*Table1345[[#This Row],[expected_lifespan]]</f>
        <v>169101.21744966443</v>
      </c>
      <c r="N400" t="s">
        <v>12042</v>
      </c>
    </row>
    <row r="401" spans="1:14" x14ac:dyDescent="0.3">
      <c r="A401" s="2" t="s">
        <v>399</v>
      </c>
      <c r="B401" s="2" t="s">
        <v>12045</v>
      </c>
      <c r="C401" s="2">
        <v>49</v>
      </c>
      <c r="D401" s="2" t="s">
        <v>12043</v>
      </c>
      <c r="E401" s="2">
        <f>COUNTIF(Table16[customer_id],Table13[[#This Row],[customer_id]])</f>
        <v>3</v>
      </c>
      <c r="F401" s="13">
        <f>SUMIFS(Table16[Purchase_history],Table16[customer_id],Table13[[#This Row],[customer_id]])</f>
        <v>1536.2399999999998</v>
      </c>
      <c r="G401" s="20">
        <v>44427</v>
      </c>
      <c r="H401" s="21">
        <v>44565</v>
      </c>
      <c r="I401" s="15">
        <f>(Table134[[#This Row],[Last_Day]]-Table134[[#This Row],[First_Day]]+1)/365</f>
        <v>0.38082191780821917</v>
      </c>
      <c r="J401" s="59">
        <f>Table134[[#This Row],[number_of_purchases]]/Table134[[#This Row],[customer_total_years]]</f>
        <v>7.8776978417266186</v>
      </c>
      <c r="K401" s="13">
        <f>Table134[[#This Row],[purchase_history]]/Table134[[#This Row],[number_of_purchases]]</f>
        <v>512.07999999999993</v>
      </c>
      <c r="L401" s="2">
        <f>IF(YEAR(Table134[[#This Row],[Last_Day]])=2021,5,IF(YEAR(Table134[[#This Row],[Last_Day]])=2022,7,IF(YEAR(Table134[[#This Row],[Last_Day]])=2023,10,"Không xác định")))</f>
        <v>7</v>
      </c>
      <c r="M401" s="15">
        <f>Table134[[#This Row],[avg_number_of_purchases]]*Table1345[[#This Row],[avg_purchase_value]]*Table1345[[#This Row],[expected_lifespan]]</f>
        <v>28238.080575539563</v>
      </c>
      <c r="N401" t="s">
        <v>12047</v>
      </c>
    </row>
    <row r="402" spans="1:14" x14ac:dyDescent="0.3">
      <c r="A402" s="2" t="s">
        <v>400</v>
      </c>
      <c r="B402" s="2" t="s">
        <v>12040</v>
      </c>
      <c r="C402" s="2">
        <v>66</v>
      </c>
      <c r="D402" s="2" t="s">
        <v>12041</v>
      </c>
      <c r="E402" s="2">
        <f>COUNTIF(Table16[customer_id],Table13[[#This Row],[customer_id]])</f>
        <v>5</v>
      </c>
      <c r="F402" s="13">
        <f>SUMIFS(Table16[Purchase_history],Table16[customer_id],Table13[[#This Row],[customer_id]])</f>
        <v>18363.62</v>
      </c>
      <c r="G402" s="20">
        <v>44745</v>
      </c>
      <c r="H402" s="21">
        <v>44958</v>
      </c>
      <c r="I402" s="15">
        <f>(Table134[[#This Row],[Last_Day]]-Table134[[#This Row],[First_Day]]+1)/365</f>
        <v>0.58630136986301373</v>
      </c>
      <c r="J402" s="59">
        <f>Table134[[#This Row],[number_of_purchases]]/Table134[[#This Row],[customer_total_years]]</f>
        <v>8.5280373831775691</v>
      </c>
      <c r="K402" s="13">
        <f>Table134[[#This Row],[purchase_history]]/Table134[[#This Row],[number_of_purchases]]</f>
        <v>3672.7239999999997</v>
      </c>
      <c r="L402" s="2">
        <f>IF(YEAR(Table134[[#This Row],[Last_Day]])=2021,5,IF(YEAR(Table134[[#This Row],[Last_Day]])=2022,7,IF(YEAR(Table134[[#This Row],[Last_Day]])=2023,10,"Không xác định")))</f>
        <v>10</v>
      </c>
      <c r="M402" s="15">
        <f>Table134[[#This Row],[avg_number_of_purchases]]*Table1345[[#This Row],[avg_purchase_value]]*Table1345[[#This Row],[expected_lifespan]]</f>
        <v>313211.27570093452</v>
      </c>
      <c r="N402" t="s">
        <v>12044</v>
      </c>
    </row>
    <row r="403" spans="1:14" x14ac:dyDescent="0.3">
      <c r="A403" s="2" t="s">
        <v>401</v>
      </c>
      <c r="B403" s="2" t="s">
        <v>12045</v>
      </c>
      <c r="C403" s="2">
        <v>65</v>
      </c>
      <c r="D403" s="2" t="s">
        <v>12049</v>
      </c>
      <c r="E403" s="2">
        <f>COUNTIF(Table16[customer_id],Table13[[#This Row],[customer_id]])</f>
        <v>1</v>
      </c>
      <c r="F403" s="13">
        <f>SUMIFS(Table16[Purchase_history],Table16[customer_id],Table13[[#This Row],[customer_id]])</f>
        <v>47.07</v>
      </c>
      <c r="G403" s="20">
        <v>44761</v>
      </c>
      <c r="H403" s="21">
        <v>44761</v>
      </c>
      <c r="I403" s="15">
        <f>(Table134[[#This Row],[Last_Day]]-Table134[[#This Row],[First_Day]]+1)/365</f>
        <v>2.7397260273972603E-3</v>
      </c>
      <c r="J403" s="59">
        <f>Table134[[#This Row],[number_of_purchases]]/Table134[[#This Row],[customer_total_years]]</f>
        <v>365</v>
      </c>
      <c r="K403" s="13">
        <f>Table134[[#This Row],[purchase_history]]/Table134[[#This Row],[number_of_purchases]]</f>
        <v>47.07</v>
      </c>
      <c r="L403" s="2">
        <f>IF(YEAR(Table134[[#This Row],[Last_Day]])=2021,5,IF(YEAR(Table134[[#This Row],[Last_Day]])=2022,7,IF(YEAR(Table134[[#This Row],[Last_Day]])=2023,10,"Không xác định")))</f>
        <v>7</v>
      </c>
      <c r="M403" s="15">
        <f>Table134[[#This Row],[avg_number_of_purchases]]*Table1345[[#This Row],[avg_purchase_value]]*Table1345[[#This Row],[expected_lifespan]]</f>
        <v>120263.84999999999</v>
      </c>
      <c r="N403" t="s">
        <v>12048</v>
      </c>
    </row>
    <row r="404" spans="1:14" x14ac:dyDescent="0.3">
      <c r="A404" s="2" t="s">
        <v>402</v>
      </c>
      <c r="B404" s="2" t="s">
        <v>12040</v>
      </c>
      <c r="C404" s="2">
        <v>69</v>
      </c>
      <c r="D404" s="2" t="s">
        <v>12049</v>
      </c>
      <c r="E404" s="2">
        <f>COUNTIF(Table16[customer_id],Table13[[#This Row],[customer_id]])</f>
        <v>1</v>
      </c>
      <c r="F404" s="13">
        <f>SUMIFS(Table16[Purchase_history],Table16[customer_id],Table13[[#This Row],[customer_id]])</f>
        <v>40.659999999999997</v>
      </c>
      <c r="G404" s="20">
        <v>44552</v>
      </c>
      <c r="H404" s="21">
        <v>44552</v>
      </c>
      <c r="I404" s="15">
        <f>(Table134[[#This Row],[Last_Day]]-Table134[[#This Row],[First_Day]]+1)/365</f>
        <v>2.7397260273972603E-3</v>
      </c>
      <c r="J404" s="59">
        <f>Table134[[#This Row],[number_of_purchases]]/Table134[[#This Row],[customer_total_years]]</f>
        <v>365</v>
      </c>
      <c r="K404" s="13">
        <f>Table134[[#This Row],[purchase_history]]/Table134[[#This Row],[number_of_purchases]]</f>
        <v>40.659999999999997</v>
      </c>
      <c r="L404" s="2">
        <f>IF(YEAR(Table134[[#This Row],[Last_Day]])=2021,5,IF(YEAR(Table134[[#This Row],[Last_Day]])=2022,7,IF(YEAR(Table134[[#This Row],[Last_Day]])=2023,10,"Không xác định")))</f>
        <v>5</v>
      </c>
      <c r="M404" s="15">
        <f>Table134[[#This Row],[avg_number_of_purchases]]*Table1345[[#This Row],[avg_purchase_value]]*Table1345[[#This Row],[expected_lifespan]]</f>
        <v>74204.5</v>
      </c>
      <c r="N404" t="s">
        <v>12047</v>
      </c>
    </row>
    <row r="405" spans="1:14" x14ac:dyDescent="0.3">
      <c r="A405" s="2" t="s">
        <v>403</v>
      </c>
      <c r="B405" s="2" t="s">
        <v>12045</v>
      </c>
      <c r="C405" s="2">
        <v>66</v>
      </c>
      <c r="D405" s="2" t="s">
        <v>12041</v>
      </c>
      <c r="E405" s="2">
        <f>COUNTIF(Table16[customer_id],Table13[[#This Row],[customer_id]])</f>
        <v>4</v>
      </c>
      <c r="F405" s="13">
        <f>SUMIFS(Table16[Purchase_history],Table16[customer_id],Table13[[#This Row],[customer_id]])</f>
        <v>8193.2200000000012</v>
      </c>
      <c r="G405" s="20">
        <v>44391</v>
      </c>
      <c r="H405" s="21">
        <v>44827</v>
      </c>
      <c r="I405" s="15">
        <f>(Table134[[#This Row],[Last_Day]]-Table134[[#This Row],[First_Day]]+1)/365</f>
        <v>1.1972602739726028</v>
      </c>
      <c r="J405" s="59">
        <f>Table134[[#This Row],[number_of_purchases]]/Table134[[#This Row],[customer_total_years]]</f>
        <v>3.3409610983981692</v>
      </c>
      <c r="K405" s="13">
        <f>Table134[[#This Row],[purchase_history]]/Table134[[#This Row],[number_of_purchases]]</f>
        <v>2048.3050000000003</v>
      </c>
      <c r="L405" s="2">
        <f>IF(YEAR(Table134[[#This Row],[Last_Day]])=2021,5,IF(YEAR(Table134[[#This Row],[Last_Day]])=2022,7,IF(YEAR(Table134[[#This Row],[Last_Day]])=2023,10,"Không xác định")))</f>
        <v>7</v>
      </c>
      <c r="M405" s="15">
        <f>Table134[[#This Row],[avg_number_of_purchases]]*Table1345[[#This Row],[avg_purchase_value]]*Table1345[[#This Row],[expected_lifespan]]</f>
        <v>47903.151258581238</v>
      </c>
      <c r="N405" t="s">
        <v>12048</v>
      </c>
    </row>
    <row r="406" spans="1:14" x14ac:dyDescent="0.3">
      <c r="A406" s="2" t="s">
        <v>404</v>
      </c>
      <c r="B406" s="2" t="s">
        <v>12045</v>
      </c>
      <c r="C406" s="2">
        <v>18</v>
      </c>
      <c r="D406" s="2" t="s">
        <v>12043</v>
      </c>
      <c r="E406" s="2">
        <f>COUNTIF(Table16[customer_id],Table13[[#This Row],[customer_id]])</f>
        <v>4</v>
      </c>
      <c r="F406" s="13">
        <f>SUMIFS(Table16[Purchase_history],Table16[customer_id],Table13[[#This Row],[customer_id]])</f>
        <v>7900.96</v>
      </c>
      <c r="G406" s="20">
        <v>44218</v>
      </c>
      <c r="H406" s="21">
        <v>44948</v>
      </c>
      <c r="I406" s="15">
        <f>(Table134[[#This Row],[Last_Day]]-Table134[[#This Row],[First_Day]]+1)/365</f>
        <v>2.0027397260273974</v>
      </c>
      <c r="J406" s="59">
        <f>Table134[[#This Row],[number_of_purchases]]/Table134[[#This Row],[customer_total_years]]</f>
        <v>1.9972640218878248</v>
      </c>
      <c r="K406" s="13">
        <f>Table134[[#This Row],[purchase_history]]/Table134[[#This Row],[number_of_purchases]]</f>
        <v>1975.24</v>
      </c>
      <c r="L406" s="2">
        <f>IF(YEAR(Table134[[#This Row],[Last_Day]])=2021,5,IF(YEAR(Table134[[#This Row],[Last_Day]])=2022,7,IF(YEAR(Table134[[#This Row],[Last_Day]])=2023,10,"Không xác định")))</f>
        <v>10</v>
      </c>
      <c r="M406" s="15">
        <f>Table134[[#This Row],[avg_number_of_purchases]]*Table1345[[#This Row],[avg_purchase_value]]*Table1345[[#This Row],[expected_lifespan]]</f>
        <v>39450.75786593707</v>
      </c>
      <c r="N406" t="s">
        <v>12044</v>
      </c>
    </row>
    <row r="407" spans="1:14" x14ac:dyDescent="0.3">
      <c r="A407" s="2" t="s">
        <v>405</v>
      </c>
      <c r="B407" s="2" t="s">
        <v>12040</v>
      </c>
      <c r="C407" s="2">
        <v>32</v>
      </c>
      <c r="D407" s="2" t="s">
        <v>12043</v>
      </c>
      <c r="E407" s="2">
        <f>COUNTIF(Table16[customer_id],Table13[[#This Row],[customer_id]])</f>
        <v>3</v>
      </c>
      <c r="F407" s="13">
        <f>SUMIFS(Table16[Purchase_history],Table16[customer_id],Table13[[#This Row],[customer_id]])</f>
        <v>1672.29</v>
      </c>
      <c r="G407" s="20">
        <v>44627</v>
      </c>
      <c r="H407" s="21">
        <v>44741</v>
      </c>
      <c r="I407" s="15">
        <f>(Table134[[#This Row],[Last_Day]]-Table134[[#This Row],[First_Day]]+1)/365</f>
        <v>0.31506849315068491</v>
      </c>
      <c r="J407" s="59">
        <f>Table134[[#This Row],[number_of_purchases]]/Table134[[#This Row],[customer_total_years]]</f>
        <v>9.5217391304347831</v>
      </c>
      <c r="K407" s="13">
        <f>Table134[[#This Row],[purchase_history]]/Table134[[#This Row],[number_of_purchases]]</f>
        <v>557.42999999999995</v>
      </c>
      <c r="L407" s="2">
        <f>IF(YEAR(Table134[[#This Row],[Last_Day]])=2021,5,IF(YEAR(Table134[[#This Row],[Last_Day]])=2022,7,IF(YEAR(Table134[[#This Row],[Last_Day]])=2023,10,"Không xác định")))</f>
        <v>7</v>
      </c>
      <c r="M407" s="15">
        <f>Table134[[#This Row],[avg_number_of_purchases]]*Table1345[[#This Row],[avg_purchase_value]]*Table1345[[#This Row],[expected_lifespan]]</f>
        <v>37153.921304347823</v>
      </c>
      <c r="N407" t="s">
        <v>12044</v>
      </c>
    </row>
    <row r="408" spans="1:14" x14ac:dyDescent="0.3">
      <c r="A408" s="2" t="s">
        <v>406</v>
      </c>
      <c r="B408" s="2" t="s">
        <v>12045</v>
      </c>
      <c r="C408" s="2">
        <v>27</v>
      </c>
      <c r="D408" s="2" t="s">
        <v>12043</v>
      </c>
      <c r="E408" s="2">
        <f>COUNTIF(Table16[customer_id],Table13[[#This Row],[customer_id]])</f>
        <v>2</v>
      </c>
      <c r="F408" s="13">
        <f>SUMIFS(Table16[Purchase_history],Table16[customer_id],Table13[[#This Row],[customer_id]])</f>
        <v>7502</v>
      </c>
      <c r="G408" s="20">
        <v>44355</v>
      </c>
      <c r="H408" s="21">
        <v>44542</v>
      </c>
      <c r="I408" s="15">
        <f>(Table134[[#This Row],[Last_Day]]-Table134[[#This Row],[First_Day]]+1)/365</f>
        <v>0.51506849315068493</v>
      </c>
      <c r="J408" s="59">
        <f>Table134[[#This Row],[number_of_purchases]]/Table134[[#This Row],[customer_total_years]]</f>
        <v>3.8829787234042552</v>
      </c>
      <c r="K408" s="13">
        <f>Table134[[#This Row],[purchase_history]]/Table134[[#This Row],[number_of_purchases]]</f>
        <v>3751</v>
      </c>
      <c r="L408" s="2">
        <f>IF(YEAR(Table134[[#This Row],[Last_Day]])=2021,5,IF(YEAR(Table134[[#This Row],[Last_Day]])=2022,7,IF(YEAR(Table134[[#This Row],[Last_Day]])=2023,10,"Không xác định")))</f>
        <v>5</v>
      </c>
      <c r="M408" s="15">
        <f>Table134[[#This Row],[avg_number_of_purchases]]*Table1345[[#This Row],[avg_purchase_value]]*Table1345[[#This Row],[expected_lifespan]]</f>
        <v>72825.265957446813</v>
      </c>
      <c r="N408" t="s">
        <v>12047</v>
      </c>
    </row>
    <row r="409" spans="1:14" x14ac:dyDescent="0.3">
      <c r="A409" s="2" t="s">
        <v>407</v>
      </c>
      <c r="B409" s="2" t="s">
        <v>12040</v>
      </c>
      <c r="C409" s="2">
        <v>19</v>
      </c>
      <c r="D409" s="2" t="s">
        <v>12043</v>
      </c>
      <c r="E409" s="2">
        <f>COUNTIF(Table16[customer_id],Table13[[#This Row],[customer_id]])</f>
        <v>5</v>
      </c>
      <c r="F409" s="13">
        <f>SUMIFS(Table16[Purchase_history],Table16[customer_id],Table13[[#This Row],[customer_id]])</f>
        <v>9036.23</v>
      </c>
      <c r="G409" s="20">
        <v>44246</v>
      </c>
      <c r="H409" s="21">
        <v>44489</v>
      </c>
      <c r="I409" s="15">
        <f>(Table134[[#This Row],[Last_Day]]-Table134[[#This Row],[First_Day]]+1)/365</f>
        <v>0.66849315068493154</v>
      </c>
      <c r="J409" s="59">
        <f>Table134[[#This Row],[number_of_purchases]]/Table134[[#This Row],[customer_total_years]]</f>
        <v>7.4795081967213113</v>
      </c>
      <c r="K409" s="13">
        <f>Table134[[#This Row],[purchase_history]]/Table134[[#This Row],[number_of_purchases]]</f>
        <v>1807.2459999999999</v>
      </c>
      <c r="L409" s="2">
        <f>IF(YEAR(Table134[[#This Row],[Last_Day]])=2021,5,IF(YEAR(Table134[[#This Row],[Last_Day]])=2022,7,IF(YEAR(Table134[[#This Row],[Last_Day]])=2023,10,"Không xác định")))</f>
        <v>5</v>
      </c>
      <c r="M409" s="15">
        <f>Table134[[#This Row],[avg_number_of_purchases]]*Table1345[[#This Row],[avg_purchase_value]]*Table1345[[#This Row],[expected_lifespan]]</f>
        <v>67586.556352459011</v>
      </c>
      <c r="N409" t="s">
        <v>12046</v>
      </c>
    </row>
    <row r="410" spans="1:14" x14ac:dyDescent="0.3">
      <c r="A410" s="2" t="s">
        <v>408</v>
      </c>
      <c r="B410" s="2" t="s">
        <v>12040</v>
      </c>
      <c r="C410" s="2">
        <v>34</v>
      </c>
      <c r="D410" s="2" t="s">
        <v>12043</v>
      </c>
      <c r="E410" s="2">
        <f>COUNTIF(Table16[customer_id],Table13[[#This Row],[customer_id]])</f>
        <v>5</v>
      </c>
      <c r="F410" s="13">
        <f>SUMIFS(Table16[Purchase_history],Table16[customer_id],Table13[[#This Row],[customer_id]])</f>
        <v>3521.7799999999997</v>
      </c>
      <c r="G410" s="20">
        <v>44534</v>
      </c>
      <c r="H410" s="21">
        <v>44747</v>
      </c>
      <c r="I410" s="15">
        <f>(Table134[[#This Row],[Last_Day]]-Table134[[#This Row],[First_Day]]+1)/365</f>
        <v>0.58630136986301373</v>
      </c>
      <c r="J410" s="59">
        <f>Table134[[#This Row],[number_of_purchases]]/Table134[[#This Row],[customer_total_years]]</f>
        <v>8.5280373831775691</v>
      </c>
      <c r="K410" s="13">
        <f>Table134[[#This Row],[purchase_history]]/Table134[[#This Row],[number_of_purchases]]</f>
        <v>704.35599999999999</v>
      </c>
      <c r="L410" s="2">
        <f>IF(YEAR(Table134[[#This Row],[Last_Day]])=2021,5,IF(YEAR(Table134[[#This Row],[Last_Day]])=2022,7,IF(YEAR(Table134[[#This Row],[Last_Day]])=2023,10,"Không xác định")))</f>
        <v>7</v>
      </c>
      <c r="M410" s="15">
        <f>Table134[[#This Row],[avg_number_of_purchases]]*Table1345[[#This Row],[avg_purchase_value]]*Table1345[[#This Row],[expected_lifespan]]</f>
        <v>42047.420093457935</v>
      </c>
      <c r="N410" t="s">
        <v>12044</v>
      </c>
    </row>
    <row r="411" spans="1:14" x14ac:dyDescent="0.3">
      <c r="A411" s="2" t="s">
        <v>409</v>
      </c>
      <c r="B411" s="2" t="s">
        <v>12045</v>
      </c>
      <c r="C411" s="2">
        <v>42</v>
      </c>
      <c r="D411" s="2" t="s">
        <v>12041</v>
      </c>
      <c r="E411" s="2">
        <f>COUNTIF(Table16[customer_id],Table13[[#This Row],[customer_id]])</f>
        <v>6</v>
      </c>
      <c r="F411" s="13">
        <f>SUMIFS(Table16[Purchase_history],Table16[customer_id],Table13[[#This Row],[customer_id]])</f>
        <v>16360.289999999997</v>
      </c>
      <c r="G411" s="20">
        <v>44210</v>
      </c>
      <c r="H411" s="21">
        <v>44732</v>
      </c>
      <c r="I411" s="15">
        <f>(Table134[[#This Row],[Last_Day]]-Table134[[#This Row],[First_Day]]+1)/365</f>
        <v>1.4328767123287671</v>
      </c>
      <c r="J411" s="59">
        <f>Table134[[#This Row],[number_of_purchases]]/Table134[[#This Row],[customer_total_years]]</f>
        <v>4.1873804971319313</v>
      </c>
      <c r="K411" s="13">
        <f>Table134[[#This Row],[purchase_history]]/Table134[[#This Row],[number_of_purchases]]</f>
        <v>2726.7149999999997</v>
      </c>
      <c r="L411" s="2">
        <f>IF(YEAR(Table134[[#This Row],[Last_Day]])=2021,5,IF(YEAR(Table134[[#This Row],[Last_Day]])=2022,7,IF(YEAR(Table134[[#This Row],[Last_Day]])=2023,10,"Không xác định")))</f>
        <v>7</v>
      </c>
      <c r="M411" s="15">
        <f>Table134[[#This Row],[avg_number_of_purchases]]*Table1345[[#This Row],[avg_purchase_value]]*Table1345[[#This Row],[expected_lifespan]]</f>
        <v>79924.552485659646</v>
      </c>
      <c r="N411" t="s">
        <v>12042</v>
      </c>
    </row>
    <row r="412" spans="1:14" x14ac:dyDescent="0.3">
      <c r="A412" s="2" t="s">
        <v>410</v>
      </c>
      <c r="B412" s="2" t="s">
        <v>12040</v>
      </c>
      <c r="C412" s="2">
        <v>54</v>
      </c>
      <c r="D412" s="2" t="s">
        <v>12041</v>
      </c>
      <c r="E412" s="2">
        <f>COUNTIF(Table16[customer_id],Table13[[#This Row],[customer_id]])</f>
        <v>5</v>
      </c>
      <c r="F412" s="13">
        <f>SUMIFS(Table16[Purchase_history],Table16[customer_id],Table13[[#This Row],[customer_id]])</f>
        <v>29722.899999999998</v>
      </c>
      <c r="G412" s="20">
        <v>44239</v>
      </c>
      <c r="H412" s="21">
        <v>44720</v>
      </c>
      <c r="I412" s="15">
        <f>(Table134[[#This Row],[Last_Day]]-Table134[[#This Row],[First_Day]]+1)/365</f>
        <v>1.3205479452054794</v>
      </c>
      <c r="J412" s="59">
        <f>Table134[[#This Row],[number_of_purchases]]/Table134[[#This Row],[customer_total_years]]</f>
        <v>3.786307053941909</v>
      </c>
      <c r="K412" s="13">
        <f>Table134[[#This Row],[purchase_history]]/Table134[[#This Row],[number_of_purchases]]</f>
        <v>5944.58</v>
      </c>
      <c r="L412" s="2">
        <f>IF(YEAR(Table134[[#This Row],[Last_Day]])=2021,5,IF(YEAR(Table134[[#This Row],[Last_Day]])=2022,7,IF(YEAR(Table134[[#This Row],[Last_Day]])=2023,10,"Không xác định")))</f>
        <v>7</v>
      </c>
      <c r="M412" s="15">
        <f>Table134[[#This Row],[avg_number_of_purchases]]*Table1345[[#This Row],[avg_purchase_value]]*Table1345[[#This Row],[expected_lifespan]]</f>
        <v>157556.03630705393</v>
      </c>
      <c r="N412" t="s">
        <v>12042</v>
      </c>
    </row>
    <row r="413" spans="1:14" x14ac:dyDescent="0.3">
      <c r="A413" s="2" t="s">
        <v>411</v>
      </c>
      <c r="B413" s="2" t="s">
        <v>12045</v>
      </c>
      <c r="C413" s="2">
        <v>18</v>
      </c>
      <c r="D413" s="2" t="s">
        <v>12041</v>
      </c>
      <c r="E413" s="2">
        <f>COUNTIF(Table16[customer_id],Table13[[#This Row],[customer_id]])</f>
        <v>6</v>
      </c>
      <c r="F413" s="13">
        <f>SUMIFS(Table16[Purchase_history],Table16[customer_id],Table13[[#This Row],[customer_id]])</f>
        <v>27300.25</v>
      </c>
      <c r="G413" s="20">
        <v>44315</v>
      </c>
      <c r="H413" s="21">
        <v>44886</v>
      </c>
      <c r="I413" s="15">
        <f>(Table134[[#This Row],[Last_Day]]-Table134[[#This Row],[First_Day]]+1)/365</f>
        <v>1.5671232876712329</v>
      </c>
      <c r="J413" s="59">
        <f>Table134[[#This Row],[number_of_purchases]]/Table134[[#This Row],[customer_total_years]]</f>
        <v>3.8286713286713288</v>
      </c>
      <c r="K413" s="13">
        <f>Table134[[#This Row],[purchase_history]]/Table134[[#This Row],[number_of_purchases]]</f>
        <v>4550.041666666667</v>
      </c>
      <c r="L413" s="2">
        <f>IF(YEAR(Table134[[#This Row],[Last_Day]])=2021,5,IF(YEAR(Table134[[#This Row],[Last_Day]])=2022,7,IF(YEAR(Table134[[#This Row],[Last_Day]])=2023,10,"Không xác định")))</f>
        <v>7</v>
      </c>
      <c r="M413" s="15">
        <f>Table134[[#This Row],[avg_number_of_purchases]]*Table1345[[#This Row],[avg_purchase_value]]*Table1345[[#This Row],[expected_lifespan]]</f>
        <v>121944.29851398602</v>
      </c>
      <c r="N413" t="s">
        <v>12048</v>
      </c>
    </row>
    <row r="414" spans="1:14" x14ac:dyDescent="0.3">
      <c r="A414" s="2" t="s">
        <v>412</v>
      </c>
      <c r="B414" s="2" t="s">
        <v>12040</v>
      </c>
      <c r="C414" s="2">
        <v>31</v>
      </c>
      <c r="D414" s="2" t="s">
        <v>12043</v>
      </c>
      <c r="E414" s="2">
        <f>COUNTIF(Table16[customer_id],Table13[[#This Row],[customer_id]])</f>
        <v>8</v>
      </c>
      <c r="F414" s="13">
        <f>SUMIFS(Table16[Purchase_history],Table16[customer_id],Table13[[#This Row],[customer_id]])</f>
        <v>9201.3700000000008</v>
      </c>
      <c r="G414" s="20">
        <v>44207</v>
      </c>
      <c r="H414" s="21">
        <v>44813</v>
      </c>
      <c r="I414" s="15">
        <f>(Table134[[#This Row],[Last_Day]]-Table134[[#This Row],[First_Day]]+1)/365</f>
        <v>1.6630136986301369</v>
      </c>
      <c r="J414" s="59">
        <f>Table134[[#This Row],[number_of_purchases]]/Table134[[#This Row],[customer_total_years]]</f>
        <v>4.8105436573311371</v>
      </c>
      <c r="K414" s="13">
        <f>Table134[[#This Row],[purchase_history]]/Table134[[#This Row],[number_of_purchases]]</f>
        <v>1150.1712500000001</v>
      </c>
      <c r="L414" s="2">
        <f>IF(YEAR(Table134[[#This Row],[Last_Day]])=2021,5,IF(YEAR(Table134[[#This Row],[Last_Day]])=2022,7,IF(YEAR(Table134[[#This Row],[Last_Day]])=2023,10,"Không xác định")))</f>
        <v>7</v>
      </c>
      <c r="M414" s="15">
        <f>Table134[[#This Row],[avg_number_of_purchases]]*Table1345[[#This Row],[avg_purchase_value]]*Table1345[[#This Row],[expected_lifespan]]</f>
        <v>38730.643080724883</v>
      </c>
      <c r="N414" t="s">
        <v>12044</v>
      </c>
    </row>
    <row r="415" spans="1:14" x14ac:dyDescent="0.3">
      <c r="A415" s="2" t="s">
        <v>413</v>
      </c>
      <c r="B415" s="2" t="s">
        <v>12045</v>
      </c>
      <c r="C415" s="2">
        <v>44</v>
      </c>
      <c r="D415" s="2" t="s">
        <v>12041</v>
      </c>
      <c r="E415" s="2">
        <f>COUNTIF(Table16[customer_id],Table13[[#This Row],[customer_id]])</f>
        <v>2</v>
      </c>
      <c r="F415" s="13">
        <f>SUMIFS(Table16[Purchase_history],Table16[customer_id],Table13[[#This Row],[customer_id]])</f>
        <v>2700.7599999999998</v>
      </c>
      <c r="G415" s="20">
        <v>44625</v>
      </c>
      <c r="H415" s="21">
        <v>44904</v>
      </c>
      <c r="I415" s="15">
        <f>(Table134[[#This Row],[Last_Day]]-Table134[[#This Row],[First_Day]]+1)/365</f>
        <v>0.76712328767123283</v>
      </c>
      <c r="J415" s="59">
        <f>Table134[[#This Row],[number_of_purchases]]/Table134[[#This Row],[customer_total_years]]</f>
        <v>2.6071428571428572</v>
      </c>
      <c r="K415" s="13">
        <f>Table134[[#This Row],[purchase_history]]/Table134[[#This Row],[number_of_purchases]]</f>
        <v>1350.3799999999999</v>
      </c>
      <c r="L415" s="2">
        <f>IF(YEAR(Table134[[#This Row],[Last_Day]])=2021,5,IF(YEAR(Table134[[#This Row],[Last_Day]])=2022,7,IF(YEAR(Table134[[#This Row],[Last_Day]])=2023,10,"Không xác định")))</f>
        <v>7</v>
      </c>
      <c r="M415" s="15">
        <f>Table134[[#This Row],[avg_number_of_purchases]]*Table1345[[#This Row],[avg_purchase_value]]*Table1345[[#This Row],[expected_lifespan]]</f>
        <v>24644.434999999998</v>
      </c>
      <c r="N415" t="s">
        <v>12048</v>
      </c>
    </row>
    <row r="416" spans="1:14" x14ac:dyDescent="0.3">
      <c r="A416" s="2" t="s">
        <v>414</v>
      </c>
      <c r="B416" s="2" t="s">
        <v>12040</v>
      </c>
      <c r="C416" s="2">
        <v>54</v>
      </c>
      <c r="D416" s="2" t="s">
        <v>12041</v>
      </c>
      <c r="E416" s="2">
        <f>COUNTIF(Table16[customer_id],Table13[[#This Row],[customer_id]])</f>
        <v>2</v>
      </c>
      <c r="F416" s="13">
        <f>SUMIFS(Table16[Purchase_history],Table16[customer_id],Table13[[#This Row],[customer_id]])</f>
        <v>305.31</v>
      </c>
      <c r="G416" s="20">
        <v>44468</v>
      </c>
      <c r="H416" s="21">
        <v>44960</v>
      </c>
      <c r="I416" s="15">
        <f>(Table134[[#This Row],[Last_Day]]-Table134[[#This Row],[First_Day]]+1)/365</f>
        <v>1.3506849315068492</v>
      </c>
      <c r="J416" s="59">
        <f>Table134[[#This Row],[number_of_purchases]]/Table134[[#This Row],[customer_total_years]]</f>
        <v>1.4807302231237325</v>
      </c>
      <c r="K416" s="13">
        <f>Table134[[#This Row],[purchase_history]]/Table134[[#This Row],[number_of_purchases]]</f>
        <v>152.655</v>
      </c>
      <c r="L416" s="2">
        <f>IF(YEAR(Table134[[#This Row],[Last_Day]])=2021,5,IF(YEAR(Table134[[#This Row],[Last_Day]])=2022,7,IF(YEAR(Table134[[#This Row],[Last_Day]])=2023,10,"Không xác định")))</f>
        <v>10</v>
      </c>
      <c r="M416" s="15">
        <f>Table134[[#This Row],[avg_number_of_purchases]]*Table1345[[#This Row],[avg_purchase_value]]*Table1345[[#This Row],[expected_lifespan]]</f>
        <v>2260.4087221095338</v>
      </c>
      <c r="N416" t="s">
        <v>12044</v>
      </c>
    </row>
    <row r="417" spans="1:14" x14ac:dyDescent="0.3">
      <c r="A417" s="2" t="s">
        <v>415</v>
      </c>
      <c r="B417" s="2" t="s">
        <v>12040</v>
      </c>
      <c r="C417" s="2">
        <v>31</v>
      </c>
      <c r="D417" s="2" t="s">
        <v>12043</v>
      </c>
      <c r="E417" s="2">
        <f>COUNTIF(Table16[customer_id],Table13[[#This Row],[customer_id]])</f>
        <v>3</v>
      </c>
      <c r="F417" s="13">
        <f>SUMIFS(Table16[Purchase_history],Table16[customer_id],Table13[[#This Row],[customer_id]])</f>
        <v>2853.36</v>
      </c>
      <c r="G417" s="20">
        <v>44413</v>
      </c>
      <c r="H417" s="21">
        <v>44842</v>
      </c>
      <c r="I417" s="15">
        <f>(Table134[[#This Row],[Last_Day]]-Table134[[#This Row],[First_Day]]+1)/365</f>
        <v>1.178082191780822</v>
      </c>
      <c r="J417" s="59">
        <f>Table134[[#This Row],[number_of_purchases]]/Table134[[#This Row],[customer_total_years]]</f>
        <v>2.5465116279069768</v>
      </c>
      <c r="K417" s="13">
        <f>Table134[[#This Row],[purchase_history]]/Table134[[#This Row],[number_of_purchases]]</f>
        <v>951.12</v>
      </c>
      <c r="L417" s="2">
        <f>IF(YEAR(Table134[[#This Row],[Last_Day]])=2021,5,IF(YEAR(Table134[[#This Row],[Last_Day]])=2022,7,IF(YEAR(Table134[[#This Row],[Last_Day]])=2023,10,"Không xác định")))</f>
        <v>7</v>
      </c>
      <c r="M417" s="15">
        <f>Table134[[#This Row],[avg_number_of_purchases]]*Table1345[[#This Row],[avg_purchase_value]]*Table1345[[#This Row],[expected_lifespan]]</f>
        <v>16954.266976744184</v>
      </c>
      <c r="N417" t="s">
        <v>12042</v>
      </c>
    </row>
    <row r="418" spans="1:14" x14ac:dyDescent="0.3">
      <c r="A418" s="2" t="s">
        <v>416</v>
      </c>
      <c r="B418" s="2" t="s">
        <v>12040</v>
      </c>
      <c r="C418" s="2">
        <v>29</v>
      </c>
      <c r="D418" s="2" t="s">
        <v>12043</v>
      </c>
      <c r="E418" s="2">
        <f>COUNTIF(Table16[customer_id],Table13[[#This Row],[customer_id]])</f>
        <v>4</v>
      </c>
      <c r="F418" s="13">
        <f>SUMIFS(Table16[Purchase_history],Table16[customer_id],Table13[[#This Row],[customer_id]])</f>
        <v>8783.64</v>
      </c>
      <c r="G418" s="20">
        <v>44481</v>
      </c>
      <c r="H418" s="21">
        <v>44939</v>
      </c>
      <c r="I418" s="15">
        <f>(Table134[[#This Row],[Last_Day]]-Table134[[#This Row],[First_Day]]+1)/365</f>
        <v>1.2575342465753425</v>
      </c>
      <c r="J418" s="59">
        <f>Table134[[#This Row],[number_of_purchases]]/Table134[[#This Row],[customer_total_years]]</f>
        <v>3.1808278867102393</v>
      </c>
      <c r="K418" s="13">
        <f>Table134[[#This Row],[purchase_history]]/Table134[[#This Row],[number_of_purchases]]</f>
        <v>2195.91</v>
      </c>
      <c r="L418" s="2">
        <f>IF(YEAR(Table134[[#This Row],[Last_Day]])=2021,5,IF(YEAR(Table134[[#This Row],[Last_Day]])=2022,7,IF(YEAR(Table134[[#This Row],[Last_Day]])=2023,10,"Không xác định")))</f>
        <v>10</v>
      </c>
      <c r="M418" s="15">
        <f>Table134[[#This Row],[avg_number_of_purchases]]*Table1345[[#This Row],[avg_purchase_value]]*Table1345[[#This Row],[expected_lifespan]]</f>
        <v>69848.117647058811</v>
      </c>
      <c r="N418" t="s">
        <v>12044</v>
      </c>
    </row>
    <row r="419" spans="1:14" x14ac:dyDescent="0.3">
      <c r="A419" s="2" t="s">
        <v>417</v>
      </c>
      <c r="B419" s="2" t="s">
        <v>12045</v>
      </c>
      <c r="C419" s="2">
        <v>30</v>
      </c>
      <c r="D419" s="2" t="s">
        <v>12043</v>
      </c>
      <c r="E419" s="2">
        <f>COUNTIF(Table16[customer_id],Table13[[#This Row],[customer_id]])</f>
        <v>4</v>
      </c>
      <c r="F419" s="13">
        <f>SUMIFS(Table16[Purchase_history],Table16[customer_id],Table13[[#This Row],[customer_id]])</f>
        <v>5169.2</v>
      </c>
      <c r="G419" s="20">
        <v>44280</v>
      </c>
      <c r="H419" s="21">
        <v>44830</v>
      </c>
      <c r="I419" s="15">
        <f>(Table134[[#This Row],[Last_Day]]-Table134[[#This Row],[First_Day]]+1)/365</f>
        <v>1.5095890410958903</v>
      </c>
      <c r="J419" s="59">
        <f>Table134[[#This Row],[number_of_purchases]]/Table134[[#This Row],[customer_total_years]]</f>
        <v>2.6497277676950999</v>
      </c>
      <c r="K419" s="13">
        <f>Table134[[#This Row],[purchase_history]]/Table134[[#This Row],[number_of_purchases]]</f>
        <v>1292.3</v>
      </c>
      <c r="L419" s="2">
        <f>IF(YEAR(Table134[[#This Row],[Last_Day]])=2021,5,IF(YEAR(Table134[[#This Row],[Last_Day]])=2022,7,IF(YEAR(Table134[[#This Row],[Last_Day]])=2023,10,"Không xác định")))</f>
        <v>7</v>
      </c>
      <c r="M419" s="15">
        <f>Table134[[#This Row],[avg_number_of_purchases]]*Table1345[[#This Row],[avg_purchase_value]]*Table1345[[#This Row],[expected_lifespan]]</f>
        <v>23969.70235934664</v>
      </c>
      <c r="N419" t="s">
        <v>12044</v>
      </c>
    </row>
    <row r="420" spans="1:14" x14ac:dyDescent="0.3">
      <c r="A420" s="2" t="s">
        <v>418</v>
      </c>
      <c r="B420" s="2" t="s">
        <v>12045</v>
      </c>
      <c r="C420" s="2">
        <v>33</v>
      </c>
      <c r="D420" s="2" t="s">
        <v>12041</v>
      </c>
      <c r="E420" s="2">
        <f>COUNTIF(Table16[customer_id],Table13[[#This Row],[customer_id]])</f>
        <v>5</v>
      </c>
      <c r="F420" s="13">
        <f>SUMIFS(Table16[Purchase_history],Table16[customer_id],Table13[[#This Row],[customer_id]])</f>
        <v>19328.449999999997</v>
      </c>
      <c r="G420" s="20">
        <v>44313</v>
      </c>
      <c r="H420" s="21">
        <v>44876</v>
      </c>
      <c r="I420" s="15">
        <f>(Table134[[#This Row],[Last_Day]]-Table134[[#This Row],[First_Day]]+1)/365</f>
        <v>1.5452054794520549</v>
      </c>
      <c r="J420" s="59">
        <f>Table134[[#This Row],[number_of_purchases]]/Table134[[#This Row],[customer_total_years]]</f>
        <v>3.2358156028368792</v>
      </c>
      <c r="K420" s="13">
        <f>Table134[[#This Row],[purchase_history]]/Table134[[#This Row],[number_of_purchases]]</f>
        <v>3865.6899999999996</v>
      </c>
      <c r="L420" s="2">
        <f>IF(YEAR(Table134[[#This Row],[Last_Day]])=2021,5,IF(YEAR(Table134[[#This Row],[Last_Day]])=2022,7,IF(YEAR(Table134[[#This Row],[Last_Day]])=2023,10,"Không xác định")))</f>
        <v>7</v>
      </c>
      <c r="M420" s="15">
        <f>Table134[[#This Row],[avg_number_of_purchases]]*Table1345[[#This Row],[avg_purchase_value]]*Table1345[[#This Row],[expected_lifespan]]</f>
        <v>87560.620124113455</v>
      </c>
      <c r="N420" t="s">
        <v>12042</v>
      </c>
    </row>
    <row r="421" spans="1:14" x14ac:dyDescent="0.3">
      <c r="A421" s="2" t="s">
        <v>419</v>
      </c>
      <c r="B421" s="2" t="s">
        <v>12040</v>
      </c>
      <c r="C421" s="2">
        <v>40</v>
      </c>
      <c r="D421" s="2" t="s">
        <v>12043</v>
      </c>
      <c r="E421" s="2">
        <f>COUNTIF(Table16[customer_id],Table13[[#This Row],[customer_id]])</f>
        <v>1</v>
      </c>
      <c r="F421" s="13">
        <f>SUMIFS(Table16[Purchase_history],Table16[customer_id],Table13[[#This Row],[customer_id]])</f>
        <v>47.07</v>
      </c>
      <c r="G421" s="20">
        <v>44376</v>
      </c>
      <c r="H421" s="21">
        <v>44376</v>
      </c>
      <c r="I421" s="15">
        <f>(Table134[[#This Row],[Last_Day]]-Table134[[#This Row],[First_Day]]+1)/365</f>
        <v>2.7397260273972603E-3</v>
      </c>
      <c r="J421" s="59">
        <f>Table134[[#This Row],[number_of_purchases]]/Table134[[#This Row],[customer_total_years]]</f>
        <v>365</v>
      </c>
      <c r="K421" s="13">
        <f>Table134[[#This Row],[purchase_history]]/Table134[[#This Row],[number_of_purchases]]</f>
        <v>47.07</v>
      </c>
      <c r="L421" s="2">
        <f>IF(YEAR(Table134[[#This Row],[Last_Day]])=2021,5,IF(YEAR(Table134[[#This Row],[Last_Day]])=2022,7,IF(YEAR(Table134[[#This Row],[Last_Day]])=2023,10,"Không xác định")))</f>
        <v>5</v>
      </c>
      <c r="M421" s="15">
        <f>Table134[[#This Row],[avg_number_of_purchases]]*Table1345[[#This Row],[avg_purchase_value]]*Table1345[[#This Row],[expected_lifespan]]</f>
        <v>85902.75</v>
      </c>
      <c r="N421" t="s">
        <v>12048</v>
      </c>
    </row>
    <row r="422" spans="1:14" x14ac:dyDescent="0.3">
      <c r="A422" s="2" t="s">
        <v>420</v>
      </c>
      <c r="B422" s="2" t="s">
        <v>12045</v>
      </c>
      <c r="C422" s="2">
        <v>68</v>
      </c>
      <c r="D422" s="2" t="s">
        <v>12043</v>
      </c>
      <c r="E422" s="2">
        <f>COUNTIF(Table16[customer_id],Table13[[#This Row],[customer_id]])</f>
        <v>5</v>
      </c>
      <c r="F422" s="13">
        <f>SUMIFS(Table16[Purchase_history],Table16[customer_id],Table13[[#This Row],[customer_id]])</f>
        <v>2032.67</v>
      </c>
      <c r="G422" s="20">
        <v>44429</v>
      </c>
      <c r="H422" s="21">
        <v>44981</v>
      </c>
      <c r="I422" s="15">
        <f>(Table134[[#This Row],[Last_Day]]-Table134[[#This Row],[First_Day]]+1)/365</f>
        <v>1.515068493150685</v>
      </c>
      <c r="J422" s="59">
        <f>Table134[[#This Row],[number_of_purchases]]/Table134[[#This Row],[customer_total_years]]</f>
        <v>3.3001808318264012</v>
      </c>
      <c r="K422" s="13">
        <f>Table134[[#This Row],[purchase_history]]/Table134[[#This Row],[number_of_purchases]]</f>
        <v>406.53399999999999</v>
      </c>
      <c r="L422" s="2">
        <f>IF(YEAR(Table134[[#This Row],[Last_Day]])=2021,5,IF(YEAR(Table134[[#This Row],[Last_Day]])=2022,7,IF(YEAR(Table134[[#This Row],[Last_Day]])=2023,10,"Không xác định")))</f>
        <v>10</v>
      </c>
      <c r="M422" s="15">
        <f>Table134[[#This Row],[avg_number_of_purchases]]*Table1345[[#This Row],[avg_purchase_value]]*Table1345[[#This Row],[expected_lifespan]]</f>
        <v>13416.357142857141</v>
      </c>
      <c r="N422" t="s">
        <v>12042</v>
      </c>
    </row>
    <row r="423" spans="1:14" x14ac:dyDescent="0.3">
      <c r="A423" s="2" t="s">
        <v>421</v>
      </c>
      <c r="B423" s="2" t="s">
        <v>12045</v>
      </c>
      <c r="C423" s="2">
        <v>49</v>
      </c>
      <c r="D423" s="2" t="s">
        <v>12043</v>
      </c>
      <c r="E423" s="2">
        <f>COUNTIF(Table16[customer_id],Table13[[#This Row],[customer_id]])</f>
        <v>5</v>
      </c>
      <c r="F423" s="13">
        <f>SUMIFS(Table16[Purchase_history],Table16[customer_id],Table13[[#This Row],[customer_id]])</f>
        <v>24906.799999999999</v>
      </c>
      <c r="G423" s="20">
        <v>44202</v>
      </c>
      <c r="H423" s="21">
        <v>44819</v>
      </c>
      <c r="I423" s="15">
        <f>(Table134[[#This Row],[Last_Day]]-Table134[[#This Row],[First_Day]]+1)/365</f>
        <v>1.6931506849315068</v>
      </c>
      <c r="J423" s="59">
        <f>Table134[[#This Row],[number_of_purchases]]/Table134[[#This Row],[customer_total_years]]</f>
        <v>2.9530744336569579</v>
      </c>
      <c r="K423" s="13">
        <f>Table134[[#This Row],[purchase_history]]/Table134[[#This Row],[number_of_purchases]]</f>
        <v>4981.3599999999997</v>
      </c>
      <c r="L423" s="2">
        <f>IF(YEAR(Table134[[#This Row],[Last_Day]])=2021,5,IF(YEAR(Table134[[#This Row],[Last_Day]])=2022,7,IF(YEAR(Table134[[#This Row],[Last_Day]])=2023,10,"Không xác định")))</f>
        <v>7</v>
      </c>
      <c r="M423" s="15">
        <f>Table134[[#This Row],[avg_number_of_purchases]]*Table1345[[#This Row],[avg_purchase_value]]*Table1345[[#This Row],[expected_lifespan]]</f>
        <v>102972.28802588995</v>
      </c>
      <c r="N423" t="s">
        <v>12044</v>
      </c>
    </row>
    <row r="424" spans="1:14" x14ac:dyDescent="0.3">
      <c r="A424" s="2" t="s">
        <v>422</v>
      </c>
      <c r="B424" s="2" t="s">
        <v>12045</v>
      </c>
      <c r="C424" s="2">
        <v>54</v>
      </c>
      <c r="D424" s="2" t="s">
        <v>12043</v>
      </c>
      <c r="E424" s="2">
        <f>COUNTIF(Table16[customer_id],Table13[[#This Row],[customer_id]])</f>
        <v>5</v>
      </c>
      <c r="F424" s="13">
        <f>SUMIFS(Table16[Purchase_history],Table16[customer_id],Table13[[#This Row],[customer_id]])</f>
        <v>3382.2</v>
      </c>
      <c r="G424" s="20">
        <v>44269</v>
      </c>
      <c r="H424" s="21">
        <v>44824</v>
      </c>
      <c r="I424" s="15">
        <f>(Table134[[#This Row],[Last_Day]]-Table134[[#This Row],[First_Day]]+1)/365</f>
        <v>1.5232876712328767</v>
      </c>
      <c r="J424" s="59">
        <f>Table134[[#This Row],[number_of_purchases]]/Table134[[#This Row],[customer_total_years]]</f>
        <v>3.2823741007194247</v>
      </c>
      <c r="K424" s="13">
        <f>Table134[[#This Row],[purchase_history]]/Table134[[#This Row],[number_of_purchases]]</f>
        <v>676.43999999999994</v>
      </c>
      <c r="L424" s="2">
        <f>IF(YEAR(Table134[[#This Row],[Last_Day]])=2021,5,IF(YEAR(Table134[[#This Row],[Last_Day]])=2022,7,IF(YEAR(Table134[[#This Row],[Last_Day]])=2023,10,"Không xác định")))</f>
        <v>7</v>
      </c>
      <c r="M424" s="15">
        <f>Table134[[#This Row],[avg_number_of_purchases]]*Table1345[[#This Row],[avg_purchase_value]]*Table1345[[#This Row],[expected_lifespan]]</f>
        <v>15542.303956834532</v>
      </c>
      <c r="N424" t="s">
        <v>12044</v>
      </c>
    </row>
    <row r="425" spans="1:14" x14ac:dyDescent="0.3">
      <c r="A425" s="2" t="s">
        <v>423</v>
      </c>
      <c r="B425" s="2" t="s">
        <v>12040</v>
      </c>
      <c r="C425" s="2">
        <v>66</v>
      </c>
      <c r="D425" s="2" t="s">
        <v>12041</v>
      </c>
      <c r="E425" s="2">
        <f>COUNTIF(Table16[customer_id],Table13[[#This Row],[customer_id]])</f>
        <v>5</v>
      </c>
      <c r="F425" s="13">
        <f>SUMIFS(Table16[Purchase_history],Table16[customer_id],Table13[[#This Row],[customer_id]])</f>
        <v>7130.3499999999995</v>
      </c>
      <c r="G425" s="20">
        <v>44238</v>
      </c>
      <c r="H425" s="21">
        <v>44812</v>
      </c>
      <c r="I425" s="15">
        <f>(Table134[[#This Row],[Last_Day]]-Table134[[#This Row],[First_Day]]+1)/365</f>
        <v>1.5753424657534247</v>
      </c>
      <c r="J425" s="59">
        <f>Table134[[#This Row],[number_of_purchases]]/Table134[[#This Row],[customer_total_years]]</f>
        <v>3.1739130434782608</v>
      </c>
      <c r="K425" s="13">
        <f>Table134[[#This Row],[purchase_history]]/Table134[[#This Row],[number_of_purchases]]</f>
        <v>1426.07</v>
      </c>
      <c r="L425" s="2">
        <f>IF(YEAR(Table134[[#This Row],[Last_Day]])=2021,5,IF(YEAR(Table134[[#This Row],[Last_Day]])=2022,7,IF(YEAR(Table134[[#This Row],[Last_Day]])=2023,10,"Không xác định")))</f>
        <v>7</v>
      </c>
      <c r="M425" s="15">
        <f>Table134[[#This Row],[avg_number_of_purchases]]*Table1345[[#This Row],[avg_purchase_value]]*Table1345[[#This Row],[expected_lifespan]]</f>
        <v>31683.555217391298</v>
      </c>
      <c r="N425" t="s">
        <v>12042</v>
      </c>
    </row>
    <row r="426" spans="1:14" x14ac:dyDescent="0.3">
      <c r="A426" s="2" t="s">
        <v>424</v>
      </c>
      <c r="B426" s="2" t="s">
        <v>12040</v>
      </c>
      <c r="C426" s="2">
        <v>60</v>
      </c>
      <c r="D426" s="2" t="s">
        <v>12041</v>
      </c>
      <c r="E426" s="2">
        <f>COUNTIF(Table16[customer_id],Table13[[#This Row],[customer_id]])</f>
        <v>6</v>
      </c>
      <c r="F426" s="13">
        <f>SUMIFS(Table16[Purchase_history],Table16[customer_id],Table13[[#This Row],[customer_id]])</f>
        <v>39236.209999999992</v>
      </c>
      <c r="G426" s="20">
        <v>44377</v>
      </c>
      <c r="H426" s="21">
        <v>44977</v>
      </c>
      <c r="I426" s="15">
        <f>(Table134[[#This Row],[Last_Day]]-Table134[[#This Row],[First_Day]]+1)/365</f>
        <v>1.6465753424657534</v>
      </c>
      <c r="J426" s="59">
        <f>Table134[[#This Row],[number_of_purchases]]/Table134[[#This Row],[customer_total_years]]</f>
        <v>3.643926788685524</v>
      </c>
      <c r="K426" s="13">
        <f>Table134[[#This Row],[purchase_history]]/Table134[[#This Row],[number_of_purchases]]</f>
        <v>6539.368333333332</v>
      </c>
      <c r="L426" s="2">
        <f>IF(YEAR(Table134[[#This Row],[Last_Day]])=2021,5,IF(YEAR(Table134[[#This Row],[Last_Day]])=2022,7,IF(YEAR(Table134[[#This Row],[Last_Day]])=2023,10,"Không xác định")))</f>
        <v>10</v>
      </c>
      <c r="M426" s="15">
        <f>Table134[[#This Row],[avg_number_of_purchases]]*Table1345[[#This Row],[avg_purchase_value]]*Table1345[[#This Row],[expected_lifespan]]</f>
        <v>238289.79450915137</v>
      </c>
      <c r="N426" t="s">
        <v>12048</v>
      </c>
    </row>
    <row r="427" spans="1:14" x14ac:dyDescent="0.3">
      <c r="A427" s="2" t="s">
        <v>425</v>
      </c>
      <c r="B427" s="2" t="s">
        <v>12045</v>
      </c>
      <c r="C427" s="2">
        <v>41</v>
      </c>
      <c r="D427" s="2" t="s">
        <v>12041</v>
      </c>
      <c r="E427" s="2">
        <f>COUNTIF(Table16[customer_id],Table13[[#This Row],[customer_id]])</f>
        <v>2</v>
      </c>
      <c r="F427" s="13">
        <f>SUMIFS(Table16[Purchase_history],Table16[customer_id],Table13[[#This Row],[customer_id]])</f>
        <v>146.22999999999999</v>
      </c>
      <c r="G427" s="20">
        <v>44355</v>
      </c>
      <c r="H427" s="21">
        <v>44869</v>
      </c>
      <c r="I427" s="15">
        <f>(Table134[[#This Row],[Last_Day]]-Table134[[#This Row],[First_Day]]+1)/365</f>
        <v>1.4109589041095891</v>
      </c>
      <c r="J427" s="59">
        <f>Table134[[#This Row],[number_of_purchases]]/Table134[[#This Row],[customer_total_years]]</f>
        <v>1.4174757281553396</v>
      </c>
      <c r="K427" s="13">
        <f>Table134[[#This Row],[purchase_history]]/Table134[[#This Row],[number_of_purchases]]</f>
        <v>73.114999999999995</v>
      </c>
      <c r="L427" s="2">
        <f>IF(YEAR(Table134[[#This Row],[Last_Day]])=2021,5,IF(YEAR(Table134[[#This Row],[Last_Day]])=2022,7,IF(YEAR(Table134[[#This Row],[Last_Day]])=2023,10,"Không xác định")))</f>
        <v>7</v>
      </c>
      <c r="M427" s="15">
        <f>Table134[[#This Row],[avg_number_of_purchases]]*Table1345[[#This Row],[avg_purchase_value]]*Table1345[[#This Row],[expected_lifespan]]</f>
        <v>725.47116504854353</v>
      </c>
      <c r="N427" t="s">
        <v>12048</v>
      </c>
    </row>
    <row r="428" spans="1:14" x14ac:dyDescent="0.3">
      <c r="A428" s="2" t="s">
        <v>426</v>
      </c>
      <c r="B428" s="2" t="s">
        <v>12040</v>
      </c>
      <c r="C428" s="2">
        <v>52</v>
      </c>
      <c r="D428" s="2" t="s">
        <v>12041</v>
      </c>
      <c r="E428" s="2">
        <f>COUNTIF(Table16[customer_id],Table13[[#This Row],[customer_id]])</f>
        <v>4</v>
      </c>
      <c r="F428" s="13">
        <f>SUMIFS(Table16[Purchase_history],Table16[customer_id],Table13[[#This Row],[customer_id]])</f>
        <v>8589.17</v>
      </c>
      <c r="G428" s="20">
        <v>44403</v>
      </c>
      <c r="H428" s="21">
        <v>44617</v>
      </c>
      <c r="I428" s="15">
        <f>(Table134[[#This Row],[Last_Day]]-Table134[[#This Row],[First_Day]]+1)/365</f>
        <v>0.58904109589041098</v>
      </c>
      <c r="J428" s="59">
        <f>Table134[[#This Row],[number_of_purchases]]/Table134[[#This Row],[customer_total_years]]</f>
        <v>6.7906976744186043</v>
      </c>
      <c r="K428" s="13">
        <f>Table134[[#This Row],[purchase_history]]/Table134[[#This Row],[number_of_purchases]]</f>
        <v>2147.2925</v>
      </c>
      <c r="L428" s="2">
        <f>IF(YEAR(Table134[[#This Row],[Last_Day]])=2021,5,IF(YEAR(Table134[[#This Row],[Last_Day]])=2022,7,IF(YEAR(Table134[[#This Row],[Last_Day]])=2023,10,"Không xác định")))</f>
        <v>7</v>
      </c>
      <c r="M428" s="15">
        <f>Table134[[#This Row],[avg_number_of_purchases]]*Table1345[[#This Row],[avg_purchase_value]]*Table1345[[#This Row],[expected_lifespan]]</f>
        <v>102071.29930232557</v>
      </c>
      <c r="N428" t="s">
        <v>12046</v>
      </c>
    </row>
    <row r="429" spans="1:14" x14ac:dyDescent="0.3">
      <c r="A429" s="2" t="s">
        <v>427</v>
      </c>
      <c r="B429" s="2" t="s">
        <v>12040</v>
      </c>
      <c r="C429" s="2">
        <v>21</v>
      </c>
      <c r="D429" s="2" t="s">
        <v>12043</v>
      </c>
      <c r="E429" s="2">
        <f>COUNTIF(Table16[customer_id],Table13[[#This Row],[customer_id]])</f>
        <v>4</v>
      </c>
      <c r="F429" s="13">
        <f>SUMIFS(Table16[Purchase_history],Table16[customer_id],Table13[[#This Row],[customer_id]])</f>
        <v>26718.639999999999</v>
      </c>
      <c r="G429" s="20">
        <v>44506</v>
      </c>
      <c r="H429" s="21">
        <v>44988</v>
      </c>
      <c r="I429" s="15">
        <f>(Table134[[#This Row],[Last_Day]]-Table134[[#This Row],[First_Day]]+1)/365</f>
        <v>1.3232876712328767</v>
      </c>
      <c r="J429" s="59">
        <f>Table134[[#This Row],[number_of_purchases]]/Table134[[#This Row],[customer_total_years]]</f>
        <v>3.022774327122153</v>
      </c>
      <c r="K429" s="13">
        <f>Table134[[#This Row],[purchase_history]]/Table134[[#This Row],[number_of_purchases]]</f>
        <v>6679.66</v>
      </c>
      <c r="L429" s="2">
        <f>IF(YEAR(Table134[[#This Row],[Last_Day]])=2021,5,IF(YEAR(Table134[[#This Row],[Last_Day]])=2022,7,IF(YEAR(Table134[[#This Row],[Last_Day]])=2023,10,"Không xác định")))</f>
        <v>10</v>
      </c>
      <c r="M429" s="15">
        <f>Table134[[#This Row],[avg_number_of_purchases]]*Table1345[[#This Row],[avg_purchase_value]]*Table1345[[#This Row],[expected_lifespan]]</f>
        <v>201911.0476190476</v>
      </c>
      <c r="N429" t="s">
        <v>12044</v>
      </c>
    </row>
    <row r="430" spans="1:14" x14ac:dyDescent="0.3">
      <c r="A430" s="2" t="s">
        <v>428</v>
      </c>
      <c r="B430" s="2" t="s">
        <v>12045</v>
      </c>
      <c r="C430" s="2">
        <v>19</v>
      </c>
      <c r="D430" s="2" t="s">
        <v>12049</v>
      </c>
      <c r="E430" s="2">
        <f>COUNTIF(Table16[customer_id],Table13[[#This Row],[customer_id]])</f>
        <v>6</v>
      </c>
      <c r="F430" s="13">
        <f>SUMIFS(Table16[Purchase_history],Table16[customer_id],Table13[[#This Row],[customer_id]])</f>
        <v>25821.949999999997</v>
      </c>
      <c r="G430" s="20">
        <v>44318</v>
      </c>
      <c r="H430" s="21">
        <v>44803</v>
      </c>
      <c r="I430" s="15">
        <f>(Table134[[#This Row],[Last_Day]]-Table134[[#This Row],[First_Day]]+1)/365</f>
        <v>1.3315068493150686</v>
      </c>
      <c r="J430" s="59">
        <f>Table134[[#This Row],[number_of_purchases]]/Table134[[#This Row],[customer_total_years]]</f>
        <v>4.5061728395061724</v>
      </c>
      <c r="K430" s="13">
        <f>Table134[[#This Row],[purchase_history]]/Table134[[#This Row],[number_of_purchases]]</f>
        <v>4303.6583333333328</v>
      </c>
      <c r="L430" s="2">
        <f>IF(YEAR(Table134[[#This Row],[Last_Day]])=2021,5,IF(YEAR(Table134[[#This Row],[Last_Day]])=2022,7,IF(YEAR(Table134[[#This Row],[Last_Day]])=2023,10,"Không xác định")))</f>
        <v>7</v>
      </c>
      <c r="M430" s="15">
        <f>Table134[[#This Row],[avg_number_of_purchases]]*Table1345[[#This Row],[avg_purchase_value]]*Table1345[[#This Row],[expected_lifespan]]</f>
        <v>135751.19804526746</v>
      </c>
      <c r="N430" t="s">
        <v>12044</v>
      </c>
    </row>
    <row r="431" spans="1:14" x14ac:dyDescent="0.3">
      <c r="A431" s="2" t="s">
        <v>429</v>
      </c>
      <c r="B431" s="2" t="s">
        <v>12040</v>
      </c>
      <c r="C431" s="2">
        <v>47</v>
      </c>
      <c r="D431" s="2" t="s">
        <v>12043</v>
      </c>
      <c r="E431" s="2">
        <f>COUNTIF(Table16[customer_id],Table13[[#This Row],[customer_id]])</f>
        <v>3</v>
      </c>
      <c r="F431" s="13">
        <f>SUMIFS(Table16[Purchase_history],Table16[customer_id],Table13[[#This Row],[customer_id]])</f>
        <v>15338.16</v>
      </c>
      <c r="G431" s="20">
        <v>44260</v>
      </c>
      <c r="H431" s="21">
        <v>44717</v>
      </c>
      <c r="I431" s="15">
        <f>(Table134[[#This Row],[Last_Day]]-Table134[[#This Row],[First_Day]]+1)/365</f>
        <v>1.2547945205479452</v>
      </c>
      <c r="J431" s="59">
        <f>Table134[[#This Row],[number_of_purchases]]/Table134[[#This Row],[customer_total_years]]</f>
        <v>2.3908296943231444</v>
      </c>
      <c r="K431" s="13">
        <f>Table134[[#This Row],[purchase_history]]/Table134[[#This Row],[number_of_purchases]]</f>
        <v>5112.72</v>
      </c>
      <c r="L431" s="2">
        <f>IF(YEAR(Table134[[#This Row],[Last_Day]])=2021,5,IF(YEAR(Table134[[#This Row],[Last_Day]])=2022,7,IF(YEAR(Table134[[#This Row],[Last_Day]])=2023,10,"Không xác định")))</f>
        <v>7</v>
      </c>
      <c r="M431" s="15">
        <f>Table134[[#This Row],[avg_number_of_purchases]]*Table1345[[#This Row],[avg_purchase_value]]*Table1345[[#This Row],[expected_lifespan]]</f>
        <v>85565.499563318794</v>
      </c>
      <c r="N431" t="s">
        <v>12047</v>
      </c>
    </row>
    <row r="432" spans="1:14" x14ac:dyDescent="0.3">
      <c r="A432" s="2" t="s">
        <v>430</v>
      </c>
      <c r="B432" s="2" t="s">
        <v>12040</v>
      </c>
      <c r="C432" s="2">
        <v>26</v>
      </c>
      <c r="D432" s="2" t="s">
        <v>12049</v>
      </c>
      <c r="E432" s="2">
        <f>COUNTIF(Table16[customer_id],Table13[[#This Row],[customer_id]])</f>
        <v>4</v>
      </c>
      <c r="F432" s="13">
        <f>SUMIFS(Table16[Purchase_history],Table16[customer_id],Table13[[#This Row],[customer_id]])</f>
        <v>20456</v>
      </c>
      <c r="G432" s="20">
        <v>44363</v>
      </c>
      <c r="H432" s="21">
        <v>44458</v>
      </c>
      <c r="I432" s="15">
        <f>(Table134[[#This Row],[Last_Day]]-Table134[[#This Row],[First_Day]]+1)/365</f>
        <v>0.26301369863013696</v>
      </c>
      <c r="J432" s="59">
        <f>Table134[[#This Row],[number_of_purchases]]/Table134[[#This Row],[customer_total_years]]</f>
        <v>15.208333333333336</v>
      </c>
      <c r="K432" s="13">
        <f>Table134[[#This Row],[purchase_history]]/Table134[[#This Row],[number_of_purchases]]</f>
        <v>5114</v>
      </c>
      <c r="L432" s="2">
        <f>IF(YEAR(Table134[[#This Row],[Last_Day]])=2021,5,IF(YEAR(Table134[[#This Row],[Last_Day]])=2022,7,IF(YEAR(Table134[[#This Row],[Last_Day]])=2023,10,"Không xác định")))</f>
        <v>5</v>
      </c>
      <c r="M432" s="15">
        <f>Table134[[#This Row],[avg_number_of_purchases]]*Table1345[[#This Row],[avg_purchase_value]]*Table1345[[#This Row],[expected_lifespan]]</f>
        <v>388877.08333333337</v>
      </c>
      <c r="N432" t="s">
        <v>12048</v>
      </c>
    </row>
    <row r="433" spans="1:14" x14ac:dyDescent="0.3">
      <c r="A433" s="2" t="s">
        <v>431</v>
      </c>
      <c r="B433" s="2" t="s">
        <v>12040</v>
      </c>
      <c r="C433" s="2">
        <v>29</v>
      </c>
      <c r="D433" s="2" t="s">
        <v>12043</v>
      </c>
      <c r="E433" s="2">
        <f>COUNTIF(Table16[customer_id],Table13[[#This Row],[customer_id]])</f>
        <v>5</v>
      </c>
      <c r="F433" s="13">
        <f>SUMIFS(Table16[Purchase_history],Table16[customer_id],Table13[[#This Row],[customer_id]])</f>
        <v>23794.3</v>
      </c>
      <c r="G433" s="20">
        <v>44291</v>
      </c>
      <c r="H433" s="21">
        <v>44755</v>
      </c>
      <c r="I433" s="15">
        <f>(Table134[[#This Row],[Last_Day]]-Table134[[#This Row],[First_Day]]+1)/365</f>
        <v>1.273972602739726</v>
      </c>
      <c r="J433" s="59">
        <f>Table134[[#This Row],[number_of_purchases]]/Table134[[#This Row],[customer_total_years]]</f>
        <v>3.924731182795699</v>
      </c>
      <c r="K433" s="13">
        <f>Table134[[#This Row],[purchase_history]]/Table134[[#This Row],[number_of_purchases]]</f>
        <v>4758.8599999999997</v>
      </c>
      <c r="L433" s="2">
        <f>IF(YEAR(Table134[[#This Row],[Last_Day]])=2021,5,IF(YEAR(Table134[[#This Row],[Last_Day]])=2022,7,IF(YEAR(Table134[[#This Row],[Last_Day]])=2023,10,"Không xác định")))</f>
        <v>7</v>
      </c>
      <c r="M433" s="15">
        <f>Table134[[#This Row],[avg_number_of_purchases]]*Table1345[[#This Row],[avg_purchase_value]]*Table1345[[#This Row],[expected_lifespan]]</f>
        <v>130740.72365591397</v>
      </c>
      <c r="N433" t="s">
        <v>12044</v>
      </c>
    </row>
    <row r="434" spans="1:14" x14ac:dyDescent="0.3">
      <c r="A434" s="2" t="s">
        <v>432</v>
      </c>
      <c r="B434" s="2" t="s">
        <v>12045</v>
      </c>
      <c r="C434" s="2">
        <v>20</v>
      </c>
      <c r="D434" s="2" t="s">
        <v>12043</v>
      </c>
      <c r="E434" s="2">
        <f>COUNTIF(Table16[customer_id],Table13[[#This Row],[customer_id]])</f>
        <v>5</v>
      </c>
      <c r="F434" s="13">
        <f>SUMIFS(Table16[Purchase_history],Table16[customer_id],Table13[[#This Row],[customer_id]])</f>
        <v>12420.55</v>
      </c>
      <c r="G434" s="20">
        <v>44492</v>
      </c>
      <c r="H434" s="21">
        <v>44940</v>
      </c>
      <c r="I434" s="15">
        <f>(Table134[[#This Row],[Last_Day]]-Table134[[#This Row],[First_Day]]+1)/365</f>
        <v>1.2301369863013698</v>
      </c>
      <c r="J434" s="59">
        <f>Table134[[#This Row],[number_of_purchases]]/Table134[[#This Row],[customer_total_years]]</f>
        <v>4.0645879732739427</v>
      </c>
      <c r="K434" s="13">
        <f>Table134[[#This Row],[purchase_history]]/Table134[[#This Row],[number_of_purchases]]</f>
        <v>2484.1099999999997</v>
      </c>
      <c r="L434" s="2">
        <f>IF(YEAR(Table134[[#This Row],[Last_Day]])=2021,5,IF(YEAR(Table134[[#This Row],[Last_Day]])=2022,7,IF(YEAR(Table134[[#This Row],[Last_Day]])=2023,10,"Không xác định")))</f>
        <v>10</v>
      </c>
      <c r="M434" s="15">
        <f>Table134[[#This Row],[avg_number_of_purchases]]*Table1345[[#This Row],[avg_purchase_value]]*Table1345[[#This Row],[expected_lifespan]]</f>
        <v>100968.83630289533</v>
      </c>
      <c r="N434" t="s">
        <v>12047</v>
      </c>
    </row>
    <row r="435" spans="1:14" x14ac:dyDescent="0.3">
      <c r="A435" s="2" t="s">
        <v>433</v>
      </c>
      <c r="B435" s="2" t="s">
        <v>12040</v>
      </c>
      <c r="C435" s="2">
        <v>48</v>
      </c>
      <c r="D435" s="2" t="s">
        <v>12043</v>
      </c>
      <c r="E435" s="2">
        <f>COUNTIF(Table16[customer_id],Table13[[#This Row],[customer_id]])</f>
        <v>4</v>
      </c>
      <c r="F435" s="13">
        <f>SUMIFS(Table16[Purchase_history],Table16[customer_id],Table13[[#This Row],[customer_id]])</f>
        <v>15344.74</v>
      </c>
      <c r="G435" s="20">
        <v>44311</v>
      </c>
      <c r="H435" s="21">
        <v>44916</v>
      </c>
      <c r="I435" s="15">
        <f>(Table134[[#This Row],[Last_Day]]-Table134[[#This Row],[First_Day]]+1)/365</f>
        <v>1.6602739726027398</v>
      </c>
      <c r="J435" s="59">
        <f>Table134[[#This Row],[number_of_purchases]]/Table134[[#This Row],[customer_total_years]]</f>
        <v>2.4092409240924093</v>
      </c>
      <c r="K435" s="13">
        <f>Table134[[#This Row],[purchase_history]]/Table134[[#This Row],[number_of_purchases]]</f>
        <v>3836.1849999999999</v>
      </c>
      <c r="L435" s="2">
        <f>IF(YEAR(Table134[[#This Row],[Last_Day]])=2021,5,IF(YEAR(Table134[[#This Row],[Last_Day]])=2022,7,IF(YEAR(Table134[[#This Row],[Last_Day]])=2023,10,"Không xác định")))</f>
        <v>7</v>
      </c>
      <c r="M435" s="15">
        <f>Table134[[#This Row],[avg_number_of_purchases]]*Table1345[[#This Row],[avg_purchase_value]]*Table1345[[#This Row],[expected_lifespan]]</f>
        <v>64696.057260726069</v>
      </c>
      <c r="N435" t="s">
        <v>12044</v>
      </c>
    </row>
    <row r="436" spans="1:14" x14ac:dyDescent="0.3">
      <c r="A436" s="2" t="s">
        <v>434</v>
      </c>
      <c r="B436" s="2" t="s">
        <v>12040</v>
      </c>
      <c r="C436" s="2">
        <v>49</v>
      </c>
      <c r="D436" s="2" t="s">
        <v>12043</v>
      </c>
      <c r="E436" s="2">
        <f>COUNTIF(Table16[customer_id],Table13[[#This Row],[customer_id]])</f>
        <v>7</v>
      </c>
      <c r="F436" s="13">
        <f>SUMIFS(Table16[Purchase_history],Table16[customer_id],Table13[[#This Row],[customer_id]])</f>
        <v>9352.67</v>
      </c>
      <c r="G436" s="20">
        <v>44212</v>
      </c>
      <c r="H436" s="21">
        <v>44895</v>
      </c>
      <c r="I436" s="15">
        <f>(Table134[[#This Row],[Last_Day]]-Table134[[#This Row],[First_Day]]+1)/365</f>
        <v>1.8739726027397261</v>
      </c>
      <c r="J436" s="59">
        <f>Table134[[#This Row],[number_of_purchases]]/Table134[[#This Row],[customer_total_years]]</f>
        <v>3.7353801169590644</v>
      </c>
      <c r="K436" s="13">
        <f>Table134[[#This Row],[purchase_history]]/Table134[[#This Row],[number_of_purchases]]</f>
        <v>1336.0957142857144</v>
      </c>
      <c r="L436" s="2">
        <f>IF(YEAR(Table134[[#This Row],[Last_Day]])=2021,5,IF(YEAR(Table134[[#This Row],[Last_Day]])=2022,7,IF(YEAR(Table134[[#This Row],[Last_Day]])=2023,10,"Không xác định")))</f>
        <v>7</v>
      </c>
      <c r="M436" s="15">
        <f>Table134[[#This Row],[avg_number_of_purchases]]*Table1345[[#This Row],[avg_purchase_value]]*Table1345[[#This Row],[expected_lifespan]]</f>
        <v>34935.777558479538</v>
      </c>
      <c r="N436" t="s">
        <v>12048</v>
      </c>
    </row>
    <row r="437" spans="1:14" x14ac:dyDescent="0.3">
      <c r="A437" s="2" t="s">
        <v>435</v>
      </c>
      <c r="B437" s="2" t="s">
        <v>12040</v>
      </c>
      <c r="C437" s="2">
        <v>69</v>
      </c>
      <c r="D437" s="2" t="s">
        <v>12043</v>
      </c>
      <c r="E437" s="2">
        <f>COUNTIF(Table16[customer_id],Table13[[#This Row],[customer_id]])</f>
        <v>6</v>
      </c>
      <c r="F437" s="13">
        <f>SUMIFS(Table16[Purchase_history],Table16[customer_id],Table13[[#This Row],[customer_id]])</f>
        <v>22506.35</v>
      </c>
      <c r="G437" s="20">
        <v>44294</v>
      </c>
      <c r="H437" s="21">
        <v>44898</v>
      </c>
      <c r="I437" s="15">
        <f>(Table134[[#This Row],[Last_Day]]-Table134[[#This Row],[First_Day]]+1)/365</f>
        <v>1.6575342465753424</v>
      </c>
      <c r="J437" s="59">
        <f>Table134[[#This Row],[number_of_purchases]]/Table134[[#This Row],[customer_total_years]]</f>
        <v>3.6198347107438016</v>
      </c>
      <c r="K437" s="13">
        <f>Table134[[#This Row],[purchase_history]]/Table134[[#This Row],[number_of_purchases]]</f>
        <v>3751.0583333333329</v>
      </c>
      <c r="L437" s="2">
        <f>IF(YEAR(Table134[[#This Row],[Last_Day]])=2021,5,IF(YEAR(Table134[[#This Row],[Last_Day]])=2022,7,IF(YEAR(Table134[[#This Row],[Last_Day]])=2023,10,"Không xác định")))</f>
        <v>7</v>
      </c>
      <c r="M437" s="15">
        <f>Table134[[#This Row],[avg_number_of_purchases]]*Table1345[[#This Row],[avg_purchase_value]]*Table1345[[#This Row],[expected_lifespan]]</f>
        <v>95047.478099173546</v>
      </c>
      <c r="N437" t="s">
        <v>12048</v>
      </c>
    </row>
    <row r="438" spans="1:14" x14ac:dyDescent="0.3">
      <c r="A438" s="2" t="s">
        <v>436</v>
      </c>
      <c r="B438" s="2" t="s">
        <v>12040</v>
      </c>
      <c r="C438" s="2">
        <v>41</v>
      </c>
      <c r="D438" s="2" t="s">
        <v>12043</v>
      </c>
      <c r="E438" s="2">
        <f>COUNTIF(Table16[customer_id],Table13[[#This Row],[customer_id]])</f>
        <v>1</v>
      </c>
      <c r="F438" s="13">
        <f>SUMIFS(Table16[Purchase_history],Table16[customer_id],Table13[[#This Row],[customer_id]])</f>
        <v>1200.32</v>
      </c>
      <c r="G438" s="20">
        <v>44367</v>
      </c>
      <c r="H438" s="21">
        <v>44367</v>
      </c>
      <c r="I438" s="15">
        <f>(Table134[[#This Row],[Last_Day]]-Table134[[#This Row],[First_Day]]+1)/365</f>
        <v>2.7397260273972603E-3</v>
      </c>
      <c r="J438" s="59">
        <f>Table134[[#This Row],[number_of_purchases]]/Table134[[#This Row],[customer_total_years]]</f>
        <v>365</v>
      </c>
      <c r="K438" s="13">
        <f>Table134[[#This Row],[purchase_history]]/Table134[[#This Row],[number_of_purchases]]</f>
        <v>1200.32</v>
      </c>
      <c r="L438" s="2">
        <f>IF(YEAR(Table134[[#This Row],[Last_Day]])=2021,5,IF(YEAR(Table134[[#This Row],[Last_Day]])=2022,7,IF(YEAR(Table134[[#This Row],[Last_Day]])=2023,10,"Không xác định")))</f>
        <v>5</v>
      </c>
      <c r="M438" s="15">
        <f>Table134[[#This Row],[avg_number_of_purchases]]*Table1345[[#This Row],[avg_purchase_value]]*Table1345[[#This Row],[expected_lifespan]]</f>
        <v>2190584</v>
      </c>
      <c r="N438" t="s">
        <v>12047</v>
      </c>
    </row>
    <row r="439" spans="1:14" x14ac:dyDescent="0.3">
      <c r="A439" s="2" t="s">
        <v>437</v>
      </c>
      <c r="B439" s="2" t="s">
        <v>12040</v>
      </c>
      <c r="C439" s="2">
        <v>34</v>
      </c>
      <c r="D439" s="2" t="s">
        <v>12043</v>
      </c>
      <c r="E439" s="2">
        <f>COUNTIF(Table16[customer_id],Table13[[#This Row],[customer_id]])</f>
        <v>7</v>
      </c>
      <c r="F439" s="13">
        <f>SUMIFS(Table16[Purchase_history],Table16[customer_id],Table13[[#This Row],[customer_id]])</f>
        <v>13274.22</v>
      </c>
      <c r="G439" s="20">
        <v>44312</v>
      </c>
      <c r="H439" s="21">
        <v>44913</v>
      </c>
      <c r="I439" s="15">
        <f>(Table134[[#This Row],[Last_Day]]-Table134[[#This Row],[First_Day]]+1)/365</f>
        <v>1.6493150684931508</v>
      </c>
      <c r="J439" s="59">
        <f>Table134[[#This Row],[number_of_purchases]]/Table134[[#This Row],[customer_total_years]]</f>
        <v>4.2441860465116275</v>
      </c>
      <c r="K439" s="13">
        <f>Table134[[#This Row],[purchase_history]]/Table134[[#This Row],[number_of_purchases]]</f>
        <v>1896.3171428571427</v>
      </c>
      <c r="L439" s="2">
        <f>IF(YEAR(Table134[[#This Row],[Last_Day]])=2021,5,IF(YEAR(Table134[[#This Row],[Last_Day]])=2022,7,IF(YEAR(Table134[[#This Row],[Last_Day]])=2023,10,"Không xác định")))</f>
        <v>7</v>
      </c>
      <c r="M439" s="15">
        <f>Table134[[#This Row],[avg_number_of_purchases]]*Table1345[[#This Row],[avg_purchase_value]]*Table1345[[#This Row],[expected_lifespan]]</f>
        <v>56338.259302325576</v>
      </c>
      <c r="N439" t="s">
        <v>12042</v>
      </c>
    </row>
    <row r="440" spans="1:14" x14ac:dyDescent="0.3">
      <c r="A440" s="2" t="s">
        <v>438</v>
      </c>
      <c r="B440" s="2" t="s">
        <v>12045</v>
      </c>
      <c r="C440" s="2">
        <v>46</v>
      </c>
      <c r="D440" s="2" t="s">
        <v>12041</v>
      </c>
      <c r="E440" s="2">
        <f>COUNTIF(Table16[customer_id],Table13[[#This Row],[customer_id]])</f>
        <v>4</v>
      </c>
      <c r="F440" s="13">
        <f>SUMIFS(Table16[Purchase_history],Table16[customer_id],Table13[[#This Row],[customer_id]])</f>
        <v>10352.64</v>
      </c>
      <c r="G440" s="20">
        <v>44265</v>
      </c>
      <c r="H440" s="21">
        <v>44987</v>
      </c>
      <c r="I440" s="15">
        <f>(Table134[[#This Row],[Last_Day]]-Table134[[#This Row],[First_Day]]+1)/365</f>
        <v>1.9808219178082191</v>
      </c>
      <c r="J440" s="59">
        <f>Table134[[#This Row],[number_of_purchases]]/Table134[[#This Row],[customer_total_years]]</f>
        <v>2.0193637621023512</v>
      </c>
      <c r="K440" s="13">
        <f>Table134[[#This Row],[purchase_history]]/Table134[[#This Row],[number_of_purchases]]</f>
        <v>2588.16</v>
      </c>
      <c r="L440" s="2">
        <f>IF(YEAR(Table134[[#This Row],[Last_Day]])=2021,5,IF(YEAR(Table134[[#This Row],[Last_Day]])=2022,7,IF(YEAR(Table134[[#This Row],[Last_Day]])=2023,10,"Không xác định")))</f>
        <v>10</v>
      </c>
      <c r="M440" s="15">
        <f>Table134[[#This Row],[avg_number_of_purchases]]*Table1345[[#This Row],[avg_purchase_value]]*Table1345[[#This Row],[expected_lifespan]]</f>
        <v>52264.365145228214</v>
      </c>
      <c r="N440" t="s">
        <v>12048</v>
      </c>
    </row>
    <row r="441" spans="1:14" x14ac:dyDescent="0.3">
      <c r="A441" s="2" t="s">
        <v>439</v>
      </c>
      <c r="B441" s="2" t="s">
        <v>12040</v>
      </c>
      <c r="C441" s="2">
        <v>67</v>
      </c>
      <c r="D441" s="2" t="s">
        <v>12043</v>
      </c>
      <c r="E441" s="2">
        <f>COUNTIF(Table16[customer_id],Table13[[#This Row],[customer_id]])</f>
        <v>2</v>
      </c>
      <c r="F441" s="13">
        <f>SUMIFS(Table16[Purchase_history],Table16[customer_id],Table13[[#This Row],[customer_id]])</f>
        <v>209.70999999999998</v>
      </c>
      <c r="G441" s="20">
        <v>44268</v>
      </c>
      <c r="H441" s="21">
        <v>44610</v>
      </c>
      <c r="I441" s="15">
        <f>(Table134[[#This Row],[Last_Day]]-Table134[[#This Row],[First_Day]]+1)/365</f>
        <v>0.9397260273972603</v>
      </c>
      <c r="J441" s="59">
        <f>Table134[[#This Row],[number_of_purchases]]/Table134[[#This Row],[customer_total_years]]</f>
        <v>2.1282798833819241</v>
      </c>
      <c r="K441" s="13">
        <f>Table134[[#This Row],[purchase_history]]/Table134[[#This Row],[number_of_purchases]]</f>
        <v>104.85499999999999</v>
      </c>
      <c r="L441" s="2">
        <f>IF(YEAR(Table134[[#This Row],[Last_Day]])=2021,5,IF(YEAR(Table134[[#This Row],[Last_Day]])=2022,7,IF(YEAR(Table134[[#This Row],[Last_Day]])=2023,10,"Không xác định")))</f>
        <v>7</v>
      </c>
      <c r="M441" s="15">
        <f>Table134[[#This Row],[avg_number_of_purchases]]*Table1345[[#This Row],[avg_purchase_value]]*Table1345[[#This Row],[expected_lifespan]]</f>
        <v>1562.1255102040814</v>
      </c>
      <c r="N441" t="s">
        <v>12042</v>
      </c>
    </row>
    <row r="442" spans="1:14" x14ac:dyDescent="0.3">
      <c r="A442" s="2" t="s">
        <v>440</v>
      </c>
      <c r="B442" s="2" t="s">
        <v>12045</v>
      </c>
      <c r="C442" s="2">
        <v>42</v>
      </c>
      <c r="D442" s="2" t="s">
        <v>12041</v>
      </c>
      <c r="E442" s="2">
        <f>COUNTIF(Table16[customer_id],Table13[[#This Row],[customer_id]])</f>
        <v>4</v>
      </c>
      <c r="F442" s="13">
        <f>SUMIFS(Table16[Purchase_history],Table16[customer_id],Table13[[#This Row],[customer_id]])</f>
        <v>6388.4599999999991</v>
      </c>
      <c r="G442" s="20">
        <v>44364</v>
      </c>
      <c r="H442" s="21">
        <v>44812</v>
      </c>
      <c r="I442" s="15">
        <f>(Table134[[#This Row],[Last_Day]]-Table134[[#This Row],[First_Day]]+1)/365</f>
        <v>1.2301369863013698</v>
      </c>
      <c r="J442" s="59">
        <f>Table134[[#This Row],[number_of_purchases]]/Table134[[#This Row],[customer_total_years]]</f>
        <v>3.2516703786191536</v>
      </c>
      <c r="K442" s="13">
        <f>Table134[[#This Row],[purchase_history]]/Table134[[#This Row],[number_of_purchases]]</f>
        <v>1597.1149999999998</v>
      </c>
      <c r="L442" s="2">
        <f>IF(YEAR(Table134[[#This Row],[Last_Day]])=2021,5,IF(YEAR(Table134[[#This Row],[Last_Day]])=2022,7,IF(YEAR(Table134[[#This Row],[Last_Day]])=2023,10,"Không xác định")))</f>
        <v>7</v>
      </c>
      <c r="M442" s="15">
        <f>Table134[[#This Row],[avg_number_of_purchases]]*Table1345[[#This Row],[avg_purchase_value]]*Table1345[[#This Row],[expected_lifespan]]</f>
        <v>36353.040757238305</v>
      </c>
      <c r="N442" t="s">
        <v>12044</v>
      </c>
    </row>
    <row r="443" spans="1:14" x14ac:dyDescent="0.3">
      <c r="A443" s="2" t="s">
        <v>441</v>
      </c>
      <c r="B443" s="2" t="s">
        <v>12045</v>
      </c>
      <c r="C443" s="2">
        <v>30</v>
      </c>
      <c r="D443" s="2" t="s">
        <v>12041</v>
      </c>
      <c r="E443" s="2">
        <f>COUNTIF(Table16[customer_id],Table13[[#This Row],[customer_id]])</f>
        <v>5</v>
      </c>
      <c r="F443" s="13">
        <f>SUMIFS(Table16[Purchase_history],Table16[customer_id],Table13[[#This Row],[customer_id]])</f>
        <v>6733.68</v>
      </c>
      <c r="G443" s="20">
        <v>44253</v>
      </c>
      <c r="H443" s="21">
        <v>44722</v>
      </c>
      <c r="I443" s="15">
        <f>(Table134[[#This Row],[Last_Day]]-Table134[[#This Row],[First_Day]]+1)/365</f>
        <v>1.2876712328767124</v>
      </c>
      <c r="J443" s="59">
        <f>Table134[[#This Row],[number_of_purchases]]/Table134[[#This Row],[customer_total_years]]</f>
        <v>3.8829787234042552</v>
      </c>
      <c r="K443" s="13">
        <f>Table134[[#This Row],[purchase_history]]/Table134[[#This Row],[number_of_purchases]]</f>
        <v>1346.7360000000001</v>
      </c>
      <c r="L443" s="2">
        <f>IF(YEAR(Table134[[#This Row],[Last_Day]])=2021,5,IF(YEAR(Table134[[#This Row],[Last_Day]])=2022,7,IF(YEAR(Table134[[#This Row],[Last_Day]])=2023,10,"Không xác định")))</f>
        <v>7</v>
      </c>
      <c r="M443" s="15">
        <f>Table134[[#This Row],[avg_number_of_purchases]]*Table1345[[#This Row],[avg_purchase_value]]*Table1345[[#This Row],[expected_lifespan]]</f>
        <v>36605.430638297876</v>
      </c>
      <c r="N443" t="s">
        <v>12044</v>
      </c>
    </row>
    <row r="444" spans="1:14" x14ac:dyDescent="0.3">
      <c r="A444" s="2" t="s">
        <v>442</v>
      </c>
      <c r="B444" s="2" t="s">
        <v>12045</v>
      </c>
      <c r="C444" s="2">
        <v>30</v>
      </c>
      <c r="D444" s="2" t="s">
        <v>12041</v>
      </c>
      <c r="E444" s="2">
        <f>COUNTIF(Table16[customer_id],Table13[[#This Row],[customer_id]])</f>
        <v>4</v>
      </c>
      <c r="F444" s="13">
        <f>SUMIFS(Table16[Purchase_history],Table16[customer_id],Table13[[#This Row],[customer_id]])</f>
        <v>16366.96</v>
      </c>
      <c r="G444" s="20">
        <v>44452</v>
      </c>
      <c r="H444" s="21">
        <v>44754</v>
      </c>
      <c r="I444" s="15">
        <f>(Table134[[#This Row],[Last_Day]]-Table134[[#This Row],[First_Day]]+1)/365</f>
        <v>0.83013698630136989</v>
      </c>
      <c r="J444" s="59">
        <f>Table134[[#This Row],[number_of_purchases]]/Table134[[#This Row],[customer_total_years]]</f>
        <v>4.8184818481848186</v>
      </c>
      <c r="K444" s="13">
        <f>Table134[[#This Row],[purchase_history]]/Table134[[#This Row],[number_of_purchases]]</f>
        <v>4091.74</v>
      </c>
      <c r="L444" s="2">
        <f>IF(YEAR(Table134[[#This Row],[Last_Day]])=2021,5,IF(YEAR(Table134[[#This Row],[Last_Day]])=2022,7,IF(YEAR(Table134[[#This Row],[Last_Day]])=2023,10,"Không xác định")))</f>
        <v>7</v>
      </c>
      <c r="M444" s="15">
        <f>Table134[[#This Row],[avg_number_of_purchases]]*Table1345[[#This Row],[avg_purchase_value]]*Table1345[[#This Row],[expected_lifespan]]</f>
        <v>138011.82442244224</v>
      </c>
      <c r="N444" t="s">
        <v>12046</v>
      </c>
    </row>
    <row r="445" spans="1:14" x14ac:dyDescent="0.3">
      <c r="A445" s="2" t="s">
        <v>443</v>
      </c>
      <c r="B445" s="2" t="s">
        <v>12040</v>
      </c>
      <c r="C445" s="2">
        <v>68</v>
      </c>
      <c r="D445" s="2" t="s">
        <v>12041</v>
      </c>
      <c r="E445" s="2">
        <f>COUNTIF(Table16[customer_id],Table13[[#This Row],[customer_id]])</f>
        <v>5</v>
      </c>
      <c r="F445" s="13">
        <f>SUMIFS(Table16[Purchase_history],Table16[customer_id],Table13[[#This Row],[customer_id]])</f>
        <v>5564.7800000000007</v>
      </c>
      <c r="G445" s="20">
        <v>44366</v>
      </c>
      <c r="H445" s="21">
        <v>44795</v>
      </c>
      <c r="I445" s="15">
        <f>(Table134[[#This Row],[Last_Day]]-Table134[[#This Row],[First_Day]]+1)/365</f>
        <v>1.178082191780822</v>
      </c>
      <c r="J445" s="59">
        <f>Table134[[#This Row],[number_of_purchases]]/Table134[[#This Row],[customer_total_years]]</f>
        <v>4.2441860465116275</v>
      </c>
      <c r="K445" s="13">
        <f>Table134[[#This Row],[purchase_history]]/Table134[[#This Row],[number_of_purchases]]</f>
        <v>1112.9560000000001</v>
      </c>
      <c r="L445" s="2">
        <f>IF(YEAR(Table134[[#This Row],[Last_Day]])=2021,5,IF(YEAR(Table134[[#This Row],[Last_Day]])=2022,7,IF(YEAR(Table134[[#This Row],[Last_Day]])=2023,10,"Không xác định")))</f>
        <v>7</v>
      </c>
      <c r="M445" s="15">
        <f>Table134[[#This Row],[avg_number_of_purchases]]*Table1345[[#This Row],[avg_purchase_value]]*Table1345[[#This Row],[expected_lifespan]]</f>
        <v>33065.146279069762</v>
      </c>
      <c r="N445" t="s">
        <v>12046</v>
      </c>
    </row>
    <row r="446" spans="1:14" x14ac:dyDescent="0.3">
      <c r="A446" s="2" t="s">
        <v>444</v>
      </c>
      <c r="B446" s="2" t="s">
        <v>12045</v>
      </c>
      <c r="C446" s="2">
        <v>46</v>
      </c>
      <c r="D446" s="2" t="s">
        <v>12049</v>
      </c>
      <c r="E446" s="2">
        <f>COUNTIF(Table16[customer_id],Table13[[#This Row],[customer_id]])</f>
        <v>5</v>
      </c>
      <c r="F446" s="13">
        <f>SUMIFS(Table16[Purchase_history],Table16[customer_id],Table13[[#This Row],[customer_id]])</f>
        <v>5167.2299999999996</v>
      </c>
      <c r="G446" s="20">
        <v>44390</v>
      </c>
      <c r="H446" s="21">
        <v>44869</v>
      </c>
      <c r="I446" s="15">
        <f>(Table134[[#This Row],[Last_Day]]-Table134[[#This Row],[First_Day]]+1)/365</f>
        <v>1.3150684931506849</v>
      </c>
      <c r="J446" s="59">
        <f>Table134[[#This Row],[number_of_purchases]]/Table134[[#This Row],[customer_total_years]]</f>
        <v>3.8020833333333335</v>
      </c>
      <c r="K446" s="13">
        <f>Table134[[#This Row],[purchase_history]]/Table134[[#This Row],[number_of_purchases]]</f>
        <v>1033.4459999999999</v>
      </c>
      <c r="L446" s="2">
        <f>IF(YEAR(Table134[[#This Row],[Last_Day]])=2021,5,IF(YEAR(Table134[[#This Row],[Last_Day]])=2022,7,IF(YEAR(Table134[[#This Row],[Last_Day]])=2023,10,"Không xác định")))</f>
        <v>7</v>
      </c>
      <c r="M446" s="15">
        <f>Table134[[#This Row],[avg_number_of_purchases]]*Table1345[[#This Row],[avg_purchase_value]]*Table1345[[#This Row],[expected_lifespan]]</f>
        <v>27504.7346875</v>
      </c>
      <c r="N446" t="s">
        <v>12047</v>
      </c>
    </row>
    <row r="447" spans="1:14" x14ac:dyDescent="0.3">
      <c r="A447" s="2" t="s">
        <v>445</v>
      </c>
      <c r="B447" s="2" t="s">
        <v>12045</v>
      </c>
      <c r="C447" s="2">
        <v>40</v>
      </c>
      <c r="D447" s="2" t="s">
        <v>12049</v>
      </c>
      <c r="E447" s="2">
        <f>COUNTIF(Table16[customer_id],Table13[[#This Row],[customer_id]])</f>
        <v>3</v>
      </c>
      <c r="F447" s="13">
        <f>SUMIFS(Table16[Purchase_history],Table16[customer_id],Table13[[#This Row],[customer_id]])</f>
        <v>14697.25</v>
      </c>
      <c r="G447" s="20">
        <v>44340</v>
      </c>
      <c r="H447" s="21">
        <v>44727</v>
      </c>
      <c r="I447" s="15">
        <f>(Table134[[#This Row],[Last_Day]]-Table134[[#This Row],[First_Day]]+1)/365</f>
        <v>1.0630136986301371</v>
      </c>
      <c r="J447" s="59">
        <f>Table134[[#This Row],[number_of_purchases]]/Table134[[#This Row],[customer_total_years]]</f>
        <v>2.822164948453608</v>
      </c>
      <c r="K447" s="13">
        <f>Table134[[#This Row],[purchase_history]]/Table134[[#This Row],[number_of_purchases]]</f>
        <v>4899.083333333333</v>
      </c>
      <c r="L447" s="2">
        <f>IF(YEAR(Table134[[#This Row],[Last_Day]])=2021,5,IF(YEAR(Table134[[#This Row],[Last_Day]])=2022,7,IF(YEAR(Table134[[#This Row],[Last_Day]])=2023,10,"Không xác định")))</f>
        <v>7</v>
      </c>
      <c r="M447" s="15">
        <f>Table134[[#This Row],[avg_number_of_purchases]]*Table1345[[#This Row],[avg_purchase_value]]*Table1345[[#This Row],[expected_lifespan]]</f>
        <v>96782.148840206166</v>
      </c>
      <c r="N447" t="s">
        <v>12044</v>
      </c>
    </row>
    <row r="448" spans="1:14" x14ac:dyDescent="0.3">
      <c r="A448" s="2" t="s">
        <v>446</v>
      </c>
      <c r="B448" s="2" t="s">
        <v>12040</v>
      </c>
      <c r="C448" s="2">
        <v>24</v>
      </c>
      <c r="D448" s="2" t="s">
        <v>12049</v>
      </c>
      <c r="E448" s="2">
        <f>COUNTIF(Table16[customer_id],Table13[[#This Row],[customer_id]])</f>
        <v>3</v>
      </c>
      <c r="F448" s="13">
        <f>SUMIFS(Table16[Purchase_history],Table16[customer_id],Table13[[#This Row],[customer_id]])</f>
        <v>1909.92</v>
      </c>
      <c r="G448" s="20">
        <v>44269</v>
      </c>
      <c r="H448" s="21">
        <v>44509</v>
      </c>
      <c r="I448" s="15">
        <f>(Table134[[#This Row],[Last_Day]]-Table134[[#This Row],[First_Day]]+1)/365</f>
        <v>0.66027397260273968</v>
      </c>
      <c r="J448" s="59">
        <f>Table134[[#This Row],[number_of_purchases]]/Table134[[#This Row],[customer_total_years]]</f>
        <v>4.5435684647302912</v>
      </c>
      <c r="K448" s="13">
        <f>Table134[[#This Row],[purchase_history]]/Table134[[#This Row],[number_of_purchases]]</f>
        <v>636.64</v>
      </c>
      <c r="L448" s="2">
        <f>IF(YEAR(Table134[[#This Row],[Last_Day]])=2021,5,IF(YEAR(Table134[[#This Row],[Last_Day]])=2022,7,IF(YEAR(Table134[[#This Row],[Last_Day]])=2023,10,"Không xác định")))</f>
        <v>5</v>
      </c>
      <c r="M448" s="15">
        <f>Table134[[#This Row],[avg_number_of_purchases]]*Table1345[[#This Row],[avg_purchase_value]]*Table1345[[#This Row],[expected_lifespan]]</f>
        <v>14463.087136929462</v>
      </c>
      <c r="N448" t="s">
        <v>12044</v>
      </c>
    </row>
    <row r="449" spans="1:14" x14ac:dyDescent="0.3">
      <c r="A449" s="2" t="s">
        <v>447</v>
      </c>
      <c r="B449" s="2" t="s">
        <v>12045</v>
      </c>
      <c r="C449" s="2">
        <v>52</v>
      </c>
      <c r="D449" s="2" t="s">
        <v>12043</v>
      </c>
      <c r="E449" s="2">
        <f>COUNTIF(Table16[customer_id],Table13[[#This Row],[customer_id]])</f>
        <v>2</v>
      </c>
      <c r="F449" s="13">
        <f>SUMIFS(Table16[Purchase_history],Table16[customer_id],Table13[[#This Row],[customer_id]])</f>
        <v>7664.64</v>
      </c>
      <c r="G449" s="20">
        <v>44612</v>
      </c>
      <c r="H449" s="21">
        <v>44923</v>
      </c>
      <c r="I449" s="15">
        <f>(Table134[[#This Row],[Last_Day]]-Table134[[#This Row],[First_Day]]+1)/365</f>
        <v>0.85479452054794525</v>
      </c>
      <c r="J449" s="59">
        <f>Table134[[#This Row],[number_of_purchases]]/Table134[[#This Row],[customer_total_years]]</f>
        <v>2.3397435897435894</v>
      </c>
      <c r="K449" s="13">
        <f>Table134[[#This Row],[purchase_history]]/Table134[[#This Row],[number_of_purchases]]</f>
        <v>3832.32</v>
      </c>
      <c r="L449" s="2">
        <f>IF(YEAR(Table134[[#This Row],[Last_Day]])=2021,5,IF(YEAR(Table134[[#This Row],[Last_Day]])=2022,7,IF(YEAR(Table134[[#This Row],[Last_Day]])=2023,10,"Không xác định")))</f>
        <v>7</v>
      </c>
      <c r="M449" s="15">
        <f>Table134[[#This Row],[avg_number_of_purchases]]*Table1345[[#This Row],[avg_purchase_value]]*Table1345[[#This Row],[expected_lifespan]]</f>
        <v>62766.523076923077</v>
      </c>
      <c r="N449" t="s">
        <v>12048</v>
      </c>
    </row>
    <row r="450" spans="1:14" x14ac:dyDescent="0.3">
      <c r="A450" s="2" t="s">
        <v>448</v>
      </c>
      <c r="B450" s="2" t="s">
        <v>12040</v>
      </c>
      <c r="C450" s="2">
        <v>35</v>
      </c>
      <c r="D450" s="2" t="s">
        <v>12043</v>
      </c>
      <c r="E450" s="2">
        <f>COUNTIF(Table16[customer_id],Table13[[#This Row],[customer_id]])</f>
        <v>7</v>
      </c>
      <c r="F450" s="13">
        <f>SUMIFS(Table16[Purchase_history],Table16[customer_id],Table13[[#This Row],[customer_id]])</f>
        <v>6227.49</v>
      </c>
      <c r="G450" s="20">
        <v>44269</v>
      </c>
      <c r="H450" s="21">
        <v>44746</v>
      </c>
      <c r="I450" s="15">
        <f>(Table134[[#This Row],[Last_Day]]-Table134[[#This Row],[First_Day]]+1)/365</f>
        <v>1.3095890410958904</v>
      </c>
      <c r="J450" s="59">
        <f>Table134[[#This Row],[number_of_purchases]]/Table134[[#This Row],[customer_total_years]]</f>
        <v>5.3451882845188283</v>
      </c>
      <c r="K450" s="13">
        <f>Table134[[#This Row],[purchase_history]]/Table134[[#This Row],[number_of_purchases]]</f>
        <v>889.64142857142849</v>
      </c>
      <c r="L450" s="2">
        <f>IF(YEAR(Table134[[#This Row],[Last_Day]])=2021,5,IF(YEAR(Table134[[#This Row],[Last_Day]])=2022,7,IF(YEAR(Table134[[#This Row],[Last_Day]])=2023,10,"Không xác định")))</f>
        <v>7</v>
      </c>
      <c r="M450" s="15">
        <f>Table134[[#This Row],[avg_number_of_purchases]]*Table1345[[#This Row],[avg_purchase_value]]*Table1345[[#This Row],[expected_lifespan]]</f>
        <v>33287.106589958152</v>
      </c>
      <c r="N450" t="s">
        <v>12048</v>
      </c>
    </row>
    <row r="451" spans="1:14" x14ac:dyDescent="0.3">
      <c r="A451" s="2" t="s">
        <v>449</v>
      </c>
      <c r="B451" s="2" t="s">
        <v>12045</v>
      </c>
      <c r="C451" s="2">
        <v>39</v>
      </c>
      <c r="D451" s="2" t="s">
        <v>12041</v>
      </c>
      <c r="E451" s="2">
        <f>COUNTIF(Table16[customer_id],Table13[[#This Row],[customer_id]])</f>
        <v>4</v>
      </c>
      <c r="F451" s="13">
        <f>SUMIFS(Table16[Purchase_history],Table16[customer_id],Table13[[#This Row],[customer_id]])</f>
        <v>18048.48</v>
      </c>
      <c r="G451" s="20">
        <v>44273</v>
      </c>
      <c r="H451" s="21">
        <v>44992</v>
      </c>
      <c r="I451" s="15">
        <f>(Table134[[#This Row],[Last_Day]]-Table134[[#This Row],[First_Day]]+1)/365</f>
        <v>1.9726027397260273</v>
      </c>
      <c r="J451" s="59">
        <f>Table134[[#This Row],[number_of_purchases]]/Table134[[#This Row],[customer_total_years]]</f>
        <v>2.0277777777777777</v>
      </c>
      <c r="K451" s="13">
        <f>Table134[[#This Row],[purchase_history]]/Table134[[#This Row],[number_of_purchases]]</f>
        <v>4512.12</v>
      </c>
      <c r="L451" s="2">
        <f>IF(YEAR(Table134[[#This Row],[Last_Day]])=2021,5,IF(YEAR(Table134[[#This Row],[Last_Day]])=2022,7,IF(YEAR(Table134[[#This Row],[Last_Day]])=2023,10,"Không xác định")))</f>
        <v>10</v>
      </c>
      <c r="M451" s="15">
        <f>Table134[[#This Row],[avg_number_of_purchases]]*Table1345[[#This Row],[avg_purchase_value]]*Table1345[[#This Row],[expected_lifespan]]</f>
        <v>91495.766666666663</v>
      </c>
      <c r="N451" t="s">
        <v>12044</v>
      </c>
    </row>
    <row r="452" spans="1:14" x14ac:dyDescent="0.3">
      <c r="A452" s="2" t="s">
        <v>450</v>
      </c>
      <c r="B452" s="2" t="s">
        <v>12040</v>
      </c>
      <c r="C452" s="2">
        <v>34</v>
      </c>
      <c r="D452" s="2" t="s">
        <v>12041</v>
      </c>
      <c r="E452" s="2">
        <f>COUNTIF(Table16[customer_id],Table13[[#This Row],[customer_id]])</f>
        <v>5</v>
      </c>
      <c r="F452" s="13">
        <f>SUMIFS(Table16[Purchase_history],Table16[customer_id],Table13[[#This Row],[customer_id]])</f>
        <v>31308.059999999998</v>
      </c>
      <c r="G452" s="20">
        <v>44280</v>
      </c>
      <c r="H452" s="21">
        <v>44887</v>
      </c>
      <c r="I452" s="15">
        <f>(Table134[[#This Row],[Last_Day]]-Table134[[#This Row],[First_Day]]+1)/365</f>
        <v>1.6657534246575343</v>
      </c>
      <c r="J452" s="59">
        <f>Table134[[#This Row],[number_of_purchases]]/Table134[[#This Row],[customer_total_years]]</f>
        <v>3.0016447368421053</v>
      </c>
      <c r="K452" s="13">
        <f>Table134[[#This Row],[purchase_history]]/Table134[[#This Row],[number_of_purchases]]</f>
        <v>6261.6119999999992</v>
      </c>
      <c r="L452" s="2">
        <f>IF(YEAR(Table134[[#This Row],[Last_Day]])=2021,5,IF(YEAR(Table134[[#This Row],[Last_Day]])=2022,7,IF(YEAR(Table134[[#This Row],[Last_Day]])=2023,10,"Không xác định")))</f>
        <v>7</v>
      </c>
      <c r="M452" s="15">
        <f>Table134[[#This Row],[avg_number_of_purchases]]*Table1345[[#This Row],[avg_purchase_value]]*Table1345[[#This Row],[expected_lifespan]]</f>
        <v>131565.94292763155</v>
      </c>
      <c r="N452" t="s">
        <v>12048</v>
      </c>
    </row>
    <row r="453" spans="1:14" x14ac:dyDescent="0.3">
      <c r="A453" s="2" t="s">
        <v>451</v>
      </c>
      <c r="B453" s="2" t="s">
        <v>12040</v>
      </c>
      <c r="C453" s="2">
        <v>21</v>
      </c>
      <c r="D453" s="2" t="s">
        <v>12043</v>
      </c>
      <c r="E453" s="2">
        <f>COUNTIF(Table16[customer_id],Table13[[#This Row],[customer_id]])</f>
        <v>6</v>
      </c>
      <c r="F453" s="13">
        <f>SUMIFS(Table16[Purchase_history],Table16[customer_id],Table13[[#This Row],[customer_id]])</f>
        <v>31736.27</v>
      </c>
      <c r="G453" s="20">
        <v>44212</v>
      </c>
      <c r="H453" s="21">
        <v>44668</v>
      </c>
      <c r="I453" s="15">
        <f>(Table134[[#This Row],[Last_Day]]-Table134[[#This Row],[First_Day]]+1)/365</f>
        <v>1.252054794520548</v>
      </c>
      <c r="J453" s="59">
        <f>Table134[[#This Row],[number_of_purchases]]/Table134[[#This Row],[customer_total_years]]</f>
        <v>4.7921225382932162</v>
      </c>
      <c r="K453" s="13">
        <f>Table134[[#This Row],[purchase_history]]/Table134[[#This Row],[number_of_purchases]]</f>
        <v>5289.3783333333331</v>
      </c>
      <c r="L453" s="2">
        <f>IF(YEAR(Table134[[#This Row],[Last_Day]])=2021,5,IF(YEAR(Table134[[#This Row],[Last_Day]])=2022,7,IF(YEAR(Table134[[#This Row],[Last_Day]])=2023,10,"Không xác định")))</f>
        <v>7</v>
      </c>
      <c r="M453" s="15">
        <f>Table134[[#This Row],[avg_number_of_purchases]]*Table1345[[#This Row],[avg_purchase_value]]*Table1345[[#This Row],[expected_lifespan]]</f>
        <v>177431.44387308531</v>
      </c>
      <c r="N453" t="s">
        <v>12044</v>
      </c>
    </row>
    <row r="454" spans="1:14" x14ac:dyDescent="0.3">
      <c r="A454" s="2" t="s">
        <v>452</v>
      </c>
      <c r="B454" s="2" t="s">
        <v>12045</v>
      </c>
      <c r="C454" s="2">
        <v>37</v>
      </c>
      <c r="D454" s="2" t="s">
        <v>12043</v>
      </c>
      <c r="E454" s="2">
        <f>COUNTIF(Table16[customer_id],Table13[[#This Row],[customer_id]])</f>
        <v>8</v>
      </c>
      <c r="F454" s="13">
        <f>SUMIFS(Table16[Purchase_history],Table16[customer_id],Table13[[#This Row],[customer_id]])</f>
        <v>19244.55</v>
      </c>
      <c r="G454" s="20">
        <v>44407</v>
      </c>
      <c r="H454" s="21">
        <v>44927</v>
      </c>
      <c r="I454" s="15">
        <f>(Table134[[#This Row],[Last_Day]]-Table134[[#This Row],[First_Day]]+1)/365</f>
        <v>1.4273972602739726</v>
      </c>
      <c r="J454" s="59">
        <f>Table134[[#This Row],[number_of_purchases]]/Table134[[#This Row],[customer_total_years]]</f>
        <v>5.6046065259117084</v>
      </c>
      <c r="K454" s="13">
        <f>Table134[[#This Row],[purchase_history]]/Table134[[#This Row],[number_of_purchases]]</f>
        <v>2405.5687499999999</v>
      </c>
      <c r="L454" s="2">
        <f>IF(YEAR(Table134[[#This Row],[Last_Day]])=2021,5,IF(YEAR(Table134[[#This Row],[Last_Day]])=2022,7,IF(YEAR(Table134[[#This Row],[Last_Day]])=2023,10,"Không xác định")))</f>
        <v>10</v>
      </c>
      <c r="M454" s="15">
        <f>Table134[[#This Row],[avg_number_of_purchases]]*Table1345[[#This Row],[avg_purchase_value]]*Table1345[[#This Row],[expected_lifespan]]</f>
        <v>134822.66314779269</v>
      </c>
      <c r="N454" t="s">
        <v>12042</v>
      </c>
    </row>
    <row r="455" spans="1:14" x14ac:dyDescent="0.3">
      <c r="A455" s="2" t="s">
        <v>453</v>
      </c>
      <c r="B455" s="2" t="s">
        <v>12040</v>
      </c>
      <c r="C455" s="2">
        <v>43</v>
      </c>
      <c r="D455" s="2" t="s">
        <v>12043</v>
      </c>
      <c r="E455" s="2">
        <f>COUNTIF(Table16[customer_id],Table13[[#This Row],[customer_id]])</f>
        <v>3</v>
      </c>
      <c r="F455" s="13">
        <f>SUMIFS(Table16[Purchase_history],Table16[customer_id],Table13[[#This Row],[customer_id]])</f>
        <v>3921.96</v>
      </c>
      <c r="G455" s="20">
        <v>44905</v>
      </c>
      <c r="H455" s="21">
        <v>44988</v>
      </c>
      <c r="I455" s="15">
        <f>(Table134[[#This Row],[Last_Day]]-Table134[[#This Row],[First_Day]]+1)/365</f>
        <v>0.23013698630136986</v>
      </c>
      <c r="J455" s="59">
        <f>Table134[[#This Row],[number_of_purchases]]/Table134[[#This Row],[customer_total_years]]</f>
        <v>13.035714285714286</v>
      </c>
      <c r="K455" s="13">
        <f>Table134[[#This Row],[purchase_history]]/Table134[[#This Row],[number_of_purchases]]</f>
        <v>1307.32</v>
      </c>
      <c r="L455" s="2">
        <f>IF(YEAR(Table134[[#This Row],[Last_Day]])=2021,5,IF(YEAR(Table134[[#This Row],[Last_Day]])=2022,7,IF(YEAR(Table134[[#This Row],[Last_Day]])=2023,10,"Không xác định")))</f>
        <v>10</v>
      </c>
      <c r="M455" s="15">
        <f>Table134[[#This Row],[avg_number_of_purchases]]*Table1345[[#This Row],[avg_purchase_value]]*Table1345[[#This Row],[expected_lifespan]]</f>
        <v>170418.5</v>
      </c>
      <c r="N455" t="s">
        <v>12046</v>
      </c>
    </row>
    <row r="456" spans="1:14" x14ac:dyDescent="0.3">
      <c r="A456" s="2" t="s">
        <v>454</v>
      </c>
      <c r="B456" s="2" t="s">
        <v>12040</v>
      </c>
      <c r="C456" s="2">
        <v>69</v>
      </c>
      <c r="D456" s="2" t="s">
        <v>12043</v>
      </c>
      <c r="E456" s="2">
        <f>COUNTIF(Table16[customer_id],Table13[[#This Row],[customer_id]])</f>
        <v>7</v>
      </c>
      <c r="F456" s="13">
        <f>SUMIFS(Table16[Purchase_history],Table16[customer_id],Table13[[#This Row],[customer_id]])</f>
        <v>9618.5600000000013</v>
      </c>
      <c r="G456" s="20">
        <v>44216</v>
      </c>
      <c r="H456" s="21">
        <v>44991</v>
      </c>
      <c r="I456" s="15">
        <f>(Table134[[#This Row],[Last_Day]]-Table134[[#This Row],[First_Day]]+1)/365</f>
        <v>2.1260273972602741</v>
      </c>
      <c r="J456" s="59">
        <f>Table134[[#This Row],[number_of_purchases]]/Table134[[#This Row],[customer_total_years]]</f>
        <v>3.2925257731958761</v>
      </c>
      <c r="K456" s="13">
        <f>Table134[[#This Row],[purchase_history]]/Table134[[#This Row],[number_of_purchases]]</f>
        <v>1374.0800000000002</v>
      </c>
      <c r="L456" s="2">
        <f>IF(YEAR(Table134[[#This Row],[Last_Day]])=2021,5,IF(YEAR(Table134[[#This Row],[Last_Day]])=2022,7,IF(YEAR(Table134[[#This Row],[Last_Day]])=2023,10,"Không xác định")))</f>
        <v>10</v>
      </c>
      <c r="M456" s="15">
        <f>Table134[[#This Row],[avg_number_of_purchases]]*Table1345[[#This Row],[avg_purchase_value]]*Table1345[[#This Row],[expected_lifespan]]</f>
        <v>45241.938144329899</v>
      </c>
      <c r="N456" t="s">
        <v>12042</v>
      </c>
    </row>
    <row r="457" spans="1:14" x14ac:dyDescent="0.3">
      <c r="A457" s="2" t="s">
        <v>455</v>
      </c>
      <c r="B457" s="2" t="s">
        <v>12045</v>
      </c>
      <c r="C457" s="2">
        <v>31</v>
      </c>
      <c r="D457" s="2" t="s">
        <v>12043</v>
      </c>
      <c r="E457" s="2">
        <f>COUNTIF(Table16[customer_id],Table13[[#This Row],[customer_id]])</f>
        <v>6</v>
      </c>
      <c r="F457" s="13">
        <f>SUMIFS(Table16[Purchase_history],Table16[customer_id],Table13[[#This Row],[customer_id]])</f>
        <v>27355.319999999996</v>
      </c>
      <c r="G457" s="20">
        <v>44231</v>
      </c>
      <c r="H457" s="21">
        <v>44898</v>
      </c>
      <c r="I457" s="15">
        <f>(Table134[[#This Row],[Last_Day]]-Table134[[#This Row],[First_Day]]+1)/365</f>
        <v>1.8301369863013699</v>
      </c>
      <c r="J457" s="59">
        <f>Table134[[#This Row],[number_of_purchases]]/Table134[[#This Row],[customer_total_years]]</f>
        <v>3.2784431137724552</v>
      </c>
      <c r="K457" s="13">
        <f>Table134[[#This Row],[purchase_history]]/Table134[[#This Row],[number_of_purchases]]</f>
        <v>4559.2199999999993</v>
      </c>
      <c r="L457" s="2">
        <f>IF(YEAR(Table134[[#This Row],[Last_Day]])=2021,5,IF(YEAR(Table134[[#This Row],[Last_Day]])=2022,7,IF(YEAR(Table134[[#This Row],[Last_Day]])=2023,10,"Không xác định")))</f>
        <v>7</v>
      </c>
      <c r="M457" s="15">
        <f>Table134[[#This Row],[avg_number_of_purchases]]*Table1345[[#This Row],[avg_purchase_value]]*Table1345[[#This Row],[expected_lifespan]]</f>
        <v>104630.00389221557</v>
      </c>
      <c r="N457" t="s">
        <v>12047</v>
      </c>
    </row>
    <row r="458" spans="1:14" x14ac:dyDescent="0.3">
      <c r="A458" s="2" t="s">
        <v>456</v>
      </c>
      <c r="B458" s="2" t="s">
        <v>12040</v>
      </c>
      <c r="C458" s="2">
        <v>19</v>
      </c>
      <c r="D458" s="2" t="s">
        <v>12043</v>
      </c>
      <c r="E458" s="2">
        <f>COUNTIF(Table16[customer_id],Table13[[#This Row],[customer_id]])</f>
        <v>6</v>
      </c>
      <c r="F458" s="13">
        <f>SUMIFS(Table16[Purchase_history],Table16[customer_id],Table13[[#This Row],[customer_id]])</f>
        <v>11966.44</v>
      </c>
      <c r="G458" s="20">
        <v>44457</v>
      </c>
      <c r="H458" s="21">
        <v>44955</v>
      </c>
      <c r="I458" s="15">
        <f>(Table134[[#This Row],[Last_Day]]-Table134[[#This Row],[First_Day]]+1)/365</f>
        <v>1.3671232876712329</v>
      </c>
      <c r="J458" s="59">
        <f>Table134[[#This Row],[number_of_purchases]]/Table134[[#This Row],[customer_total_years]]</f>
        <v>4.3887775551102202</v>
      </c>
      <c r="K458" s="13">
        <f>Table134[[#This Row],[purchase_history]]/Table134[[#This Row],[number_of_purchases]]</f>
        <v>1994.4066666666668</v>
      </c>
      <c r="L458" s="2">
        <f>IF(YEAR(Table134[[#This Row],[Last_Day]])=2021,5,IF(YEAR(Table134[[#This Row],[Last_Day]])=2022,7,IF(YEAR(Table134[[#This Row],[Last_Day]])=2023,10,"Không xác định")))</f>
        <v>10</v>
      </c>
      <c r="M458" s="15">
        <f>Table134[[#This Row],[avg_number_of_purchases]]*Table1345[[#This Row],[avg_purchase_value]]*Table1345[[#This Row],[expected_lifespan]]</f>
        <v>87530.07214428857</v>
      </c>
      <c r="N458" t="s">
        <v>12044</v>
      </c>
    </row>
    <row r="459" spans="1:14" x14ac:dyDescent="0.3">
      <c r="A459" s="2" t="s">
        <v>457</v>
      </c>
      <c r="B459" s="2" t="s">
        <v>12045</v>
      </c>
      <c r="C459" s="2">
        <v>22</v>
      </c>
      <c r="D459" s="2" t="s">
        <v>12041</v>
      </c>
      <c r="E459" s="2">
        <f>COUNTIF(Table16[customer_id],Table13[[#This Row],[customer_id]])</f>
        <v>10</v>
      </c>
      <c r="F459" s="13">
        <f>SUMIFS(Table16[Purchase_history],Table16[customer_id],Table13[[#This Row],[customer_id]])</f>
        <v>26273.47</v>
      </c>
      <c r="G459" s="20">
        <v>44417</v>
      </c>
      <c r="H459" s="21">
        <v>44984</v>
      </c>
      <c r="I459" s="15">
        <f>(Table134[[#This Row],[Last_Day]]-Table134[[#This Row],[First_Day]]+1)/365</f>
        <v>1.5561643835616439</v>
      </c>
      <c r="J459" s="59">
        <f>Table134[[#This Row],[number_of_purchases]]/Table134[[#This Row],[customer_total_years]]</f>
        <v>6.426056338028169</v>
      </c>
      <c r="K459" s="13">
        <f>Table134[[#This Row],[purchase_history]]/Table134[[#This Row],[number_of_purchases]]</f>
        <v>2627.3470000000002</v>
      </c>
      <c r="L459" s="2">
        <f>IF(YEAR(Table134[[#This Row],[Last_Day]])=2021,5,IF(YEAR(Table134[[#This Row],[Last_Day]])=2022,7,IF(YEAR(Table134[[#This Row],[Last_Day]])=2023,10,"Không xác định")))</f>
        <v>10</v>
      </c>
      <c r="M459" s="15">
        <f>Table134[[#This Row],[avg_number_of_purchases]]*Table1345[[#This Row],[avg_purchase_value]]*Table1345[[#This Row],[expected_lifespan]]</f>
        <v>168834.79841549299</v>
      </c>
      <c r="N459" t="s">
        <v>12042</v>
      </c>
    </row>
    <row r="460" spans="1:14" x14ac:dyDescent="0.3">
      <c r="A460" s="2" t="s">
        <v>458</v>
      </c>
      <c r="B460" s="2" t="s">
        <v>12045</v>
      </c>
      <c r="C460" s="2">
        <v>61</v>
      </c>
      <c r="D460" s="2" t="s">
        <v>12043</v>
      </c>
      <c r="E460" s="2">
        <f>COUNTIF(Table16[customer_id],Table13[[#This Row],[customer_id]])</f>
        <v>3</v>
      </c>
      <c r="F460" s="13">
        <f>SUMIFS(Table16[Purchase_history],Table16[customer_id],Table13[[#This Row],[customer_id]])</f>
        <v>15440.68</v>
      </c>
      <c r="G460" s="20">
        <v>44409</v>
      </c>
      <c r="H460" s="21">
        <v>44646</v>
      </c>
      <c r="I460" s="15">
        <f>(Table134[[#This Row],[Last_Day]]-Table134[[#This Row],[First_Day]]+1)/365</f>
        <v>0.65205479452054793</v>
      </c>
      <c r="J460" s="59">
        <f>Table134[[#This Row],[number_of_purchases]]/Table134[[#This Row],[customer_total_years]]</f>
        <v>4.6008403361344543</v>
      </c>
      <c r="K460" s="13">
        <f>Table134[[#This Row],[purchase_history]]/Table134[[#This Row],[number_of_purchases]]</f>
        <v>5146.8933333333334</v>
      </c>
      <c r="L460" s="2">
        <f>IF(YEAR(Table134[[#This Row],[Last_Day]])=2021,5,IF(YEAR(Table134[[#This Row],[Last_Day]])=2022,7,IF(YEAR(Table134[[#This Row],[Last_Day]])=2023,10,"Không xác định")))</f>
        <v>7</v>
      </c>
      <c r="M460" s="15">
        <f>Table134[[#This Row],[avg_number_of_purchases]]*Table1345[[#This Row],[avg_purchase_value]]*Table1345[[#This Row],[expected_lifespan]]</f>
        <v>165760.24117647059</v>
      </c>
      <c r="N460" t="s">
        <v>12048</v>
      </c>
    </row>
    <row r="461" spans="1:14" x14ac:dyDescent="0.3">
      <c r="A461" s="2" t="s">
        <v>459</v>
      </c>
      <c r="B461" s="2" t="s">
        <v>12040</v>
      </c>
      <c r="C461" s="2">
        <v>32</v>
      </c>
      <c r="D461" s="2" t="s">
        <v>12041</v>
      </c>
      <c r="E461" s="2">
        <f>COUNTIF(Table16[customer_id],Table13[[#This Row],[customer_id]])</f>
        <v>4</v>
      </c>
      <c r="F461" s="13">
        <f>SUMIFS(Table16[Purchase_history],Table16[customer_id],Table13[[#This Row],[customer_id]])</f>
        <v>6814.7999999999993</v>
      </c>
      <c r="G461" s="20">
        <v>44209</v>
      </c>
      <c r="H461" s="21">
        <v>44978</v>
      </c>
      <c r="I461" s="15">
        <f>(Table134[[#This Row],[Last_Day]]-Table134[[#This Row],[First_Day]]+1)/365</f>
        <v>2.1095890410958904</v>
      </c>
      <c r="J461" s="59">
        <f>Table134[[#This Row],[number_of_purchases]]/Table134[[#This Row],[customer_total_years]]</f>
        <v>1.8961038961038961</v>
      </c>
      <c r="K461" s="13">
        <f>Table134[[#This Row],[purchase_history]]/Table134[[#This Row],[number_of_purchases]]</f>
        <v>1703.6999999999998</v>
      </c>
      <c r="L461" s="2">
        <f>IF(YEAR(Table134[[#This Row],[Last_Day]])=2021,5,IF(YEAR(Table134[[#This Row],[Last_Day]])=2022,7,IF(YEAR(Table134[[#This Row],[Last_Day]])=2023,10,"Không xác định")))</f>
        <v>10</v>
      </c>
      <c r="M461" s="15">
        <f>Table134[[#This Row],[avg_number_of_purchases]]*Table1345[[#This Row],[avg_purchase_value]]*Table1345[[#This Row],[expected_lifespan]]</f>
        <v>32303.922077922074</v>
      </c>
      <c r="N461" t="s">
        <v>12046</v>
      </c>
    </row>
    <row r="462" spans="1:14" x14ac:dyDescent="0.3">
      <c r="A462" s="2" t="s">
        <v>460</v>
      </c>
      <c r="B462" s="2" t="s">
        <v>12045</v>
      </c>
      <c r="C462" s="2">
        <v>38</v>
      </c>
      <c r="D462" s="2" t="s">
        <v>12043</v>
      </c>
      <c r="E462" s="2">
        <f>COUNTIF(Table16[customer_id],Table13[[#This Row],[customer_id]])</f>
        <v>9</v>
      </c>
      <c r="F462" s="13">
        <f>SUMIFS(Table16[Purchase_history],Table16[customer_id],Table13[[#This Row],[customer_id]])</f>
        <v>19191.29</v>
      </c>
      <c r="G462" s="20">
        <v>44342</v>
      </c>
      <c r="H462" s="21">
        <v>44944</v>
      </c>
      <c r="I462" s="15">
        <f>(Table134[[#This Row],[Last_Day]]-Table134[[#This Row],[First_Day]]+1)/365</f>
        <v>1.6520547945205479</v>
      </c>
      <c r="J462" s="59">
        <f>Table134[[#This Row],[number_of_purchases]]/Table134[[#This Row],[customer_total_years]]</f>
        <v>5.4477611940298507</v>
      </c>
      <c r="K462" s="13">
        <f>Table134[[#This Row],[purchase_history]]/Table134[[#This Row],[number_of_purchases]]</f>
        <v>2132.3655555555556</v>
      </c>
      <c r="L462" s="2">
        <f>IF(YEAR(Table134[[#This Row],[Last_Day]])=2021,5,IF(YEAR(Table134[[#This Row],[Last_Day]])=2022,7,IF(YEAR(Table134[[#This Row],[Last_Day]])=2023,10,"Không xác định")))</f>
        <v>10</v>
      </c>
      <c r="M462" s="15">
        <f>Table134[[#This Row],[avg_number_of_purchases]]*Table1345[[#This Row],[avg_purchase_value]]*Table1345[[#This Row],[expected_lifespan]]</f>
        <v>116166.1832504146</v>
      </c>
      <c r="N462" t="s">
        <v>12046</v>
      </c>
    </row>
    <row r="463" spans="1:14" x14ac:dyDescent="0.3">
      <c r="A463" s="2" t="s">
        <v>461</v>
      </c>
      <c r="B463" s="2" t="s">
        <v>12040</v>
      </c>
      <c r="C463" s="2">
        <v>38</v>
      </c>
      <c r="D463" s="2" t="s">
        <v>12041</v>
      </c>
      <c r="E463" s="2">
        <f>COUNTIF(Table16[customer_id],Table13[[#This Row],[customer_id]])</f>
        <v>5</v>
      </c>
      <c r="F463" s="13">
        <f>SUMIFS(Table16[Purchase_history],Table16[customer_id],Table13[[#This Row],[customer_id]])</f>
        <v>9802.5</v>
      </c>
      <c r="G463" s="20">
        <v>44311</v>
      </c>
      <c r="H463" s="21">
        <v>44912</v>
      </c>
      <c r="I463" s="15">
        <f>(Table134[[#This Row],[Last_Day]]-Table134[[#This Row],[First_Day]]+1)/365</f>
        <v>1.6493150684931508</v>
      </c>
      <c r="J463" s="59">
        <f>Table134[[#This Row],[number_of_purchases]]/Table134[[#This Row],[customer_total_years]]</f>
        <v>3.0315614617940199</v>
      </c>
      <c r="K463" s="13">
        <f>Table134[[#This Row],[purchase_history]]/Table134[[#This Row],[number_of_purchases]]</f>
        <v>1960.5</v>
      </c>
      <c r="L463" s="2">
        <f>IF(YEAR(Table134[[#This Row],[Last_Day]])=2021,5,IF(YEAR(Table134[[#This Row],[Last_Day]])=2022,7,IF(YEAR(Table134[[#This Row],[Last_Day]])=2023,10,"Không xác định")))</f>
        <v>7</v>
      </c>
      <c r="M463" s="15">
        <f>Table134[[#This Row],[avg_number_of_purchases]]*Table1345[[#This Row],[avg_purchase_value]]*Table1345[[#This Row],[expected_lifespan]]</f>
        <v>41603.633720930229</v>
      </c>
      <c r="N463" t="s">
        <v>12042</v>
      </c>
    </row>
    <row r="464" spans="1:14" x14ac:dyDescent="0.3">
      <c r="A464" s="2" t="s">
        <v>462</v>
      </c>
      <c r="B464" s="2" t="s">
        <v>12040</v>
      </c>
      <c r="C464" s="2">
        <v>39</v>
      </c>
      <c r="D464" s="2" t="s">
        <v>12043</v>
      </c>
      <c r="E464" s="2">
        <f>COUNTIF(Table16[customer_id],Table13[[#This Row],[customer_id]])</f>
        <v>3</v>
      </c>
      <c r="F464" s="13">
        <f>SUMIFS(Table16[Purchase_history],Table16[customer_id],Table13[[#This Row],[customer_id]])</f>
        <v>862.63</v>
      </c>
      <c r="G464" s="20">
        <v>44456</v>
      </c>
      <c r="H464" s="21">
        <v>44958</v>
      </c>
      <c r="I464" s="15">
        <f>(Table134[[#This Row],[Last_Day]]-Table134[[#This Row],[First_Day]]+1)/365</f>
        <v>1.3780821917808219</v>
      </c>
      <c r="J464" s="59">
        <f>Table134[[#This Row],[number_of_purchases]]/Table134[[#This Row],[customer_total_years]]</f>
        <v>2.1769383697813121</v>
      </c>
      <c r="K464" s="13">
        <f>Table134[[#This Row],[purchase_history]]/Table134[[#This Row],[number_of_purchases]]</f>
        <v>287.54333333333335</v>
      </c>
      <c r="L464" s="2">
        <f>IF(YEAR(Table134[[#This Row],[Last_Day]])=2021,5,IF(YEAR(Table134[[#This Row],[Last_Day]])=2022,7,IF(YEAR(Table134[[#This Row],[Last_Day]])=2023,10,"Không xác định")))</f>
        <v>10</v>
      </c>
      <c r="M464" s="15">
        <f>Table134[[#This Row],[avg_number_of_purchases]]*Table1345[[#This Row],[avg_purchase_value]]*Table1345[[#This Row],[expected_lifespan]]</f>
        <v>6259.6411530815112</v>
      </c>
      <c r="N464" t="s">
        <v>12046</v>
      </c>
    </row>
    <row r="465" spans="1:14" x14ac:dyDescent="0.3">
      <c r="A465" s="2" t="s">
        <v>463</v>
      </c>
      <c r="B465" s="2" t="s">
        <v>12040</v>
      </c>
      <c r="C465" s="2">
        <v>37</v>
      </c>
      <c r="D465" s="2" t="s">
        <v>12043</v>
      </c>
      <c r="E465" s="2">
        <f>COUNTIF(Table16[customer_id],Table13[[#This Row],[customer_id]])</f>
        <v>4</v>
      </c>
      <c r="F465" s="13">
        <f>SUMIFS(Table16[Purchase_history],Table16[customer_id],Table13[[#This Row],[customer_id]])</f>
        <v>14948.91</v>
      </c>
      <c r="G465" s="20">
        <v>44288</v>
      </c>
      <c r="H465" s="21">
        <v>44887</v>
      </c>
      <c r="I465" s="15">
        <f>(Table134[[#This Row],[Last_Day]]-Table134[[#This Row],[First_Day]]+1)/365</f>
        <v>1.6438356164383561</v>
      </c>
      <c r="J465" s="59">
        <f>Table134[[#This Row],[number_of_purchases]]/Table134[[#This Row],[customer_total_years]]</f>
        <v>2.4333333333333336</v>
      </c>
      <c r="K465" s="13">
        <f>Table134[[#This Row],[purchase_history]]/Table134[[#This Row],[number_of_purchases]]</f>
        <v>3737.2275</v>
      </c>
      <c r="L465" s="2">
        <f>IF(YEAR(Table134[[#This Row],[Last_Day]])=2021,5,IF(YEAR(Table134[[#This Row],[Last_Day]])=2022,7,IF(YEAR(Table134[[#This Row],[Last_Day]])=2023,10,"Không xác định")))</f>
        <v>7</v>
      </c>
      <c r="M465" s="15">
        <f>Table134[[#This Row],[avg_number_of_purchases]]*Table1345[[#This Row],[avg_purchase_value]]*Table1345[[#This Row],[expected_lifespan]]</f>
        <v>63657.441750000005</v>
      </c>
      <c r="N465" t="s">
        <v>12046</v>
      </c>
    </row>
    <row r="466" spans="1:14" x14ac:dyDescent="0.3">
      <c r="A466" s="2" t="s">
        <v>464</v>
      </c>
      <c r="B466" s="2" t="s">
        <v>12040</v>
      </c>
      <c r="C466" s="2">
        <v>32</v>
      </c>
      <c r="D466" s="2" t="s">
        <v>12041</v>
      </c>
      <c r="E466" s="2">
        <f>COUNTIF(Table16[customer_id],Table13[[#This Row],[customer_id]])</f>
        <v>3</v>
      </c>
      <c r="F466" s="13">
        <f>SUMIFS(Table16[Purchase_history],Table16[customer_id],Table13[[#This Row],[customer_id]])</f>
        <v>46655.78</v>
      </c>
      <c r="G466" s="20">
        <v>44615</v>
      </c>
      <c r="H466" s="21">
        <v>44742</v>
      </c>
      <c r="I466" s="15">
        <f>(Table134[[#This Row],[Last_Day]]-Table134[[#This Row],[First_Day]]+1)/365</f>
        <v>0.35068493150684932</v>
      </c>
      <c r="J466" s="59">
        <f>Table134[[#This Row],[number_of_purchases]]/Table134[[#This Row],[customer_total_years]]</f>
        <v>8.5546875</v>
      </c>
      <c r="K466" s="13">
        <f>Table134[[#This Row],[purchase_history]]/Table134[[#This Row],[number_of_purchases]]</f>
        <v>15551.926666666666</v>
      </c>
      <c r="L466" s="2">
        <f>IF(YEAR(Table134[[#This Row],[Last_Day]])=2021,5,IF(YEAR(Table134[[#This Row],[Last_Day]])=2022,7,IF(YEAR(Table134[[#This Row],[Last_Day]])=2023,10,"Không xác định")))</f>
        <v>7</v>
      </c>
      <c r="M466" s="15">
        <f>Table134[[#This Row],[avg_number_of_purchases]]*Table1345[[#This Row],[avg_purchase_value]]*Table1345[[#This Row],[expected_lifespan]]</f>
        <v>931293.10859374993</v>
      </c>
      <c r="N466" t="s">
        <v>12047</v>
      </c>
    </row>
    <row r="467" spans="1:14" x14ac:dyDescent="0.3">
      <c r="A467" s="2" t="s">
        <v>465</v>
      </c>
      <c r="B467" s="2" t="s">
        <v>12040</v>
      </c>
      <c r="C467" s="2">
        <v>49</v>
      </c>
      <c r="D467" s="2" t="s">
        <v>12041</v>
      </c>
      <c r="E467" s="2">
        <f>COUNTIF(Table16[customer_id],Table13[[#This Row],[customer_id]])</f>
        <v>6</v>
      </c>
      <c r="F467" s="13">
        <f>SUMIFS(Table16[Purchase_history],Table16[customer_id],Table13[[#This Row],[customer_id]])</f>
        <v>23106.29</v>
      </c>
      <c r="G467" s="20">
        <v>44371</v>
      </c>
      <c r="H467" s="21">
        <v>44934</v>
      </c>
      <c r="I467" s="15">
        <f>(Table134[[#This Row],[Last_Day]]-Table134[[#This Row],[First_Day]]+1)/365</f>
        <v>1.5452054794520549</v>
      </c>
      <c r="J467" s="59">
        <f>Table134[[#This Row],[number_of_purchases]]/Table134[[#This Row],[customer_total_years]]</f>
        <v>3.8829787234042552</v>
      </c>
      <c r="K467" s="13">
        <f>Table134[[#This Row],[purchase_history]]/Table134[[#This Row],[number_of_purchases]]</f>
        <v>3851.0483333333336</v>
      </c>
      <c r="L467" s="2">
        <f>IF(YEAR(Table134[[#This Row],[Last_Day]])=2021,5,IF(YEAR(Table134[[#This Row],[Last_Day]])=2022,7,IF(YEAR(Table134[[#This Row],[Last_Day]])=2023,10,"Không xác định")))</f>
        <v>10</v>
      </c>
      <c r="M467" s="15">
        <f>Table134[[#This Row],[avg_number_of_purchases]]*Table1345[[#This Row],[avg_purchase_value]]*Table1345[[#This Row],[expected_lifespan]]</f>
        <v>149535.38741134753</v>
      </c>
      <c r="N467" t="s">
        <v>12042</v>
      </c>
    </row>
    <row r="468" spans="1:14" x14ac:dyDescent="0.3">
      <c r="A468" s="2" t="s">
        <v>466</v>
      </c>
      <c r="B468" s="2" t="s">
        <v>12045</v>
      </c>
      <c r="C468" s="2">
        <v>45</v>
      </c>
      <c r="D468" s="2" t="s">
        <v>12041</v>
      </c>
      <c r="E468" s="2">
        <f>COUNTIF(Table16[customer_id],Table13[[#This Row],[customer_id]])</f>
        <v>6</v>
      </c>
      <c r="F468" s="13">
        <f>SUMIFS(Table16[Purchase_history],Table16[customer_id],Table13[[#This Row],[customer_id]])</f>
        <v>28665.3</v>
      </c>
      <c r="G468" s="20">
        <v>44247</v>
      </c>
      <c r="H468" s="21">
        <v>44914</v>
      </c>
      <c r="I468" s="15">
        <f>(Table134[[#This Row],[Last_Day]]-Table134[[#This Row],[First_Day]]+1)/365</f>
        <v>1.8301369863013699</v>
      </c>
      <c r="J468" s="59">
        <f>Table134[[#This Row],[number_of_purchases]]/Table134[[#This Row],[customer_total_years]]</f>
        <v>3.2784431137724552</v>
      </c>
      <c r="K468" s="13">
        <f>Table134[[#This Row],[purchase_history]]/Table134[[#This Row],[number_of_purchases]]</f>
        <v>4777.55</v>
      </c>
      <c r="L468" s="2">
        <f>IF(YEAR(Table134[[#This Row],[Last_Day]])=2021,5,IF(YEAR(Table134[[#This Row],[Last_Day]])=2022,7,IF(YEAR(Table134[[#This Row],[Last_Day]])=2023,10,"Không xác định")))</f>
        <v>7</v>
      </c>
      <c r="M468" s="15">
        <f>Table134[[#This Row],[avg_number_of_purchases]]*Table1345[[#This Row],[avg_purchase_value]]*Table1345[[#This Row],[expected_lifespan]]</f>
        <v>109640.48128742515</v>
      </c>
      <c r="N468" t="s">
        <v>12048</v>
      </c>
    </row>
    <row r="469" spans="1:14" x14ac:dyDescent="0.3">
      <c r="A469" s="2" t="s">
        <v>467</v>
      </c>
      <c r="B469" s="2" t="s">
        <v>12040</v>
      </c>
      <c r="C469" s="2">
        <v>33</v>
      </c>
      <c r="D469" s="2" t="s">
        <v>12043</v>
      </c>
      <c r="E469" s="2">
        <f>COUNTIF(Table16[customer_id],Table13[[#This Row],[customer_id]])</f>
        <v>6</v>
      </c>
      <c r="F469" s="13">
        <f>SUMIFS(Table16[Purchase_history],Table16[customer_id],Table13[[#This Row],[customer_id]])</f>
        <v>6740.6900000000005</v>
      </c>
      <c r="G469" s="20">
        <v>44200</v>
      </c>
      <c r="H469" s="21">
        <v>44887</v>
      </c>
      <c r="I469" s="15">
        <f>(Table134[[#This Row],[Last_Day]]-Table134[[#This Row],[First_Day]]+1)/365</f>
        <v>1.8849315068493151</v>
      </c>
      <c r="J469" s="59">
        <f>Table134[[#This Row],[number_of_purchases]]/Table134[[#This Row],[customer_total_years]]</f>
        <v>3.183139534883721</v>
      </c>
      <c r="K469" s="13">
        <f>Table134[[#This Row],[purchase_history]]/Table134[[#This Row],[number_of_purchases]]</f>
        <v>1123.4483333333335</v>
      </c>
      <c r="L469" s="2">
        <f>IF(YEAR(Table134[[#This Row],[Last_Day]])=2021,5,IF(YEAR(Table134[[#This Row],[Last_Day]])=2022,7,IF(YEAR(Table134[[#This Row],[Last_Day]])=2023,10,"Không xác định")))</f>
        <v>7</v>
      </c>
      <c r="M469" s="15">
        <f>Table134[[#This Row],[avg_number_of_purchases]]*Table1345[[#This Row],[avg_purchase_value]]*Table1345[[#This Row],[expected_lifespan]]</f>
        <v>25032.649636627913</v>
      </c>
      <c r="N469" t="s">
        <v>12044</v>
      </c>
    </row>
    <row r="470" spans="1:14" x14ac:dyDescent="0.3">
      <c r="A470" s="2" t="s">
        <v>468</v>
      </c>
      <c r="B470" s="2" t="s">
        <v>12040</v>
      </c>
      <c r="C470" s="2">
        <v>20</v>
      </c>
      <c r="D470" s="2" t="s">
        <v>12041</v>
      </c>
      <c r="E470" s="2">
        <f>COUNTIF(Table16[customer_id],Table13[[#This Row],[customer_id]])</f>
        <v>8</v>
      </c>
      <c r="F470" s="13">
        <f>SUMIFS(Table16[Purchase_history],Table16[customer_id],Table13[[#This Row],[customer_id]])</f>
        <v>18023.159999999996</v>
      </c>
      <c r="G470" s="20">
        <v>44266</v>
      </c>
      <c r="H470" s="21">
        <v>44877</v>
      </c>
      <c r="I470" s="15">
        <f>(Table134[[#This Row],[Last_Day]]-Table134[[#This Row],[First_Day]]+1)/365</f>
        <v>1.6767123287671233</v>
      </c>
      <c r="J470" s="59">
        <f>Table134[[#This Row],[number_of_purchases]]/Table134[[#This Row],[customer_total_years]]</f>
        <v>4.7712418300653594</v>
      </c>
      <c r="K470" s="13">
        <f>Table134[[#This Row],[purchase_history]]/Table134[[#This Row],[number_of_purchases]]</f>
        <v>2252.8949999999995</v>
      </c>
      <c r="L470" s="2">
        <f>IF(YEAR(Table134[[#This Row],[Last_Day]])=2021,5,IF(YEAR(Table134[[#This Row],[Last_Day]])=2022,7,IF(YEAR(Table134[[#This Row],[Last_Day]])=2023,10,"Không xác định")))</f>
        <v>7</v>
      </c>
      <c r="M470" s="15">
        <f>Table134[[#This Row],[avg_number_of_purchases]]*Table1345[[#This Row],[avg_purchase_value]]*Table1345[[#This Row],[expected_lifespan]]</f>
        <v>75243.748039215658</v>
      </c>
      <c r="N470" t="s">
        <v>12042</v>
      </c>
    </row>
    <row r="471" spans="1:14" x14ac:dyDescent="0.3">
      <c r="A471" s="2" t="s">
        <v>469</v>
      </c>
      <c r="B471" s="2" t="s">
        <v>12045</v>
      </c>
      <c r="C471" s="2">
        <v>31</v>
      </c>
      <c r="D471" s="2" t="s">
        <v>12041</v>
      </c>
      <c r="E471" s="2">
        <f>COUNTIF(Table16[customer_id],Table13[[#This Row],[customer_id]])</f>
        <v>3</v>
      </c>
      <c r="F471" s="13">
        <f>SUMIFS(Table16[Purchase_history],Table16[customer_id],Table13[[#This Row],[customer_id]])</f>
        <v>27566.58</v>
      </c>
      <c r="G471" s="20">
        <v>44206</v>
      </c>
      <c r="H471" s="21">
        <v>44886</v>
      </c>
      <c r="I471" s="15">
        <f>(Table134[[#This Row],[Last_Day]]-Table134[[#This Row],[First_Day]]+1)/365</f>
        <v>1.8657534246575342</v>
      </c>
      <c r="J471" s="59">
        <f>Table134[[#This Row],[number_of_purchases]]/Table134[[#This Row],[customer_total_years]]</f>
        <v>1.6079295154185023</v>
      </c>
      <c r="K471" s="13">
        <f>Table134[[#This Row],[purchase_history]]/Table134[[#This Row],[number_of_purchases]]</f>
        <v>9188.86</v>
      </c>
      <c r="L471" s="2">
        <f>IF(YEAR(Table134[[#This Row],[Last_Day]])=2021,5,IF(YEAR(Table134[[#This Row],[Last_Day]])=2022,7,IF(YEAR(Table134[[#This Row],[Last_Day]])=2023,10,"Không xác định")))</f>
        <v>7</v>
      </c>
      <c r="M471" s="15">
        <f>Table134[[#This Row],[avg_number_of_purchases]]*Table1345[[#This Row],[avg_purchase_value]]*Table1345[[#This Row],[expected_lifespan]]</f>
        <v>103425.27444933922</v>
      </c>
      <c r="N471" t="s">
        <v>12048</v>
      </c>
    </row>
    <row r="472" spans="1:14" x14ac:dyDescent="0.3">
      <c r="A472" s="2" t="s">
        <v>470</v>
      </c>
      <c r="B472" s="2" t="s">
        <v>12040</v>
      </c>
      <c r="C472" s="2">
        <v>46</v>
      </c>
      <c r="D472" s="2" t="s">
        <v>12043</v>
      </c>
      <c r="E472" s="2">
        <f>COUNTIF(Table16[customer_id],Table13[[#This Row],[customer_id]])</f>
        <v>7</v>
      </c>
      <c r="F472" s="13">
        <f>SUMIFS(Table16[Purchase_history],Table16[customer_id],Table13[[#This Row],[customer_id]])</f>
        <v>47107.78</v>
      </c>
      <c r="G472" s="20">
        <v>44208</v>
      </c>
      <c r="H472" s="21">
        <v>44857</v>
      </c>
      <c r="I472" s="15">
        <f>(Table134[[#This Row],[Last_Day]]-Table134[[#This Row],[First_Day]]+1)/365</f>
        <v>1.7808219178082192</v>
      </c>
      <c r="J472" s="59">
        <f>Table134[[#This Row],[number_of_purchases]]/Table134[[#This Row],[customer_total_years]]</f>
        <v>3.9307692307692306</v>
      </c>
      <c r="K472" s="13">
        <f>Table134[[#This Row],[purchase_history]]/Table134[[#This Row],[number_of_purchases]]</f>
        <v>6729.6828571428568</v>
      </c>
      <c r="L472" s="2">
        <f>IF(YEAR(Table134[[#This Row],[Last_Day]])=2021,5,IF(YEAR(Table134[[#This Row],[Last_Day]])=2022,7,IF(YEAR(Table134[[#This Row],[Last_Day]])=2023,10,"Không xác định")))</f>
        <v>7</v>
      </c>
      <c r="M472" s="15">
        <f>Table134[[#This Row],[avg_number_of_purchases]]*Table1345[[#This Row],[avg_purchase_value]]*Table1345[[#This Row],[expected_lifespan]]</f>
        <v>185169.81215384614</v>
      </c>
      <c r="N472" t="s">
        <v>12046</v>
      </c>
    </row>
    <row r="473" spans="1:14" x14ac:dyDescent="0.3">
      <c r="A473" s="2" t="s">
        <v>471</v>
      </c>
      <c r="B473" s="2" t="s">
        <v>12040</v>
      </c>
      <c r="C473" s="2"/>
      <c r="D473" s="2" t="s">
        <v>12049</v>
      </c>
      <c r="E473" s="2">
        <f>COUNTIF(Table16[customer_id],Table13[[#This Row],[customer_id]])</f>
        <v>4</v>
      </c>
      <c r="F473" s="13">
        <f>SUMIFS(Table16[Purchase_history],Table16[customer_id],Table13[[#This Row],[customer_id]])</f>
        <v>879.22</v>
      </c>
      <c r="G473" s="20">
        <v>44308</v>
      </c>
      <c r="H473" s="21">
        <v>44665</v>
      </c>
      <c r="I473" s="15">
        <f>(Table134[[#This Row],[Last_Day]]-Table134[[#This Row],[First_Day]]+1)/365</f>
        <v>0.98082191780821915</v>
      </c>
      <c r="J473" s="59">
        <f>Table134[[#This Row],[number_of_purchases]]/Table134[[#This Row],[customer_total_years]]</f>
        <v>4.0782122905027931</v>
      </c>
      <c r="K473" s="13">
        <f>Table134[[#This Row],[purchase_history]]/Table134[[#This Row],[number_of_purchases]]</f>
        <v>219.80500000000001</v>
      </c>
      <c r="L473" s="2">
        <f>IF(YEAR(Table134[[#This Row],[Last_Day]])=2021,5,IF(YEAR(Table134[[#This Row],[Last_Day]])=2022,7,IF(YEAR(Table134[[#This Row],[Last_Day]])=2023,10,"Không xác định")))</f>
        <v>7</v>
      </c>
      <c r="M473" s="15">
        <f>Table134[[#This Row],[avg_number_of_purchases]]*Table1345[[#This Row],[avg_purchase_value]]*Table1345[[#This Row],[expected_lifespan]]</f>
        <v>6274.8801675977647</v>
      </c>
      <c r="N473" t="s">
        <v>12042</v>
      </c>
    </row>
    <row r="474" spans="1:14" x14ac:dyDescent="0.3">
      <c r="A474" s="2" t="s">
        <v>472</v>
      </c>
      <c r="B474" s="2" t="s">
        <v>12040</v>
      </c>
      <c r="C474" s="2">
        <v>51</v>
      </c>
      <c r="D474" s="2" t="s">
        <v>12049</v>
      </c>
      <c r="E474" s="2">
        <f>COUNTIF(Table16[customer_id],Table13[[#This Row],[customer_id]])</f>
        <v>3</v>
      </c>
      <c r="F474" s="13">
        <f>SUMIFS(Table16[Purchase_history],Table16[customer_id],Table13[[#This Row],[customer_id]])</f>
        <v>640.81999999999994</v>
      </c>
      <c r="G474" s="20">
        <v>44556</v>
      </c>
      <c r="H474" s="21">
        <v>44942</v>
      </c>
      <c r="I474" s="15">
        <f>(Table134[[#This Row],[Last_Day]]-Table134[[#This Row],[First_Day]]+1)/365</f>
        <v>1.0602739726027397</v>
      </c>
      <c r="J474" s="59">
        <f>Table134[[#This Row],[number_of_purchases]]/Table134[[#This Row],[customer_total_years]]</f>
        <v>2.8294573643410854</v>
      </c>
      <c r="K474" s="13">
        <f>Table134[[#This Row],[purchase_history]]/Table134[[#This Row],[number_of_purchases]]</f>
        <v>213.60666666666665</v>
      </c>
      <c r="L474" s="2">
        <f>IF(YEAR(Table134[[#This Row],[Last_Day]])=2021,5,IF(YEAR(Table134[[#This Row],[Last_Day]])=2022,7,IF(YEAR(Table134[[#This Row],[Last_Day]])=2023,10,"Không xác định")))</f>
        <v>10</v>
      </c>
      <c r="M474" s="15">
        <f>Table134[[#This Row],[avg_number_of_purchases]]*Table1345[[#This Row],[avg_purchase_value]]*Table1345[[#This Row],[expected_lifespan]]</f>
        <v>6043.909560723514</v>
      </c>
      <c r="N474" t="s">
        <v>12044</v>
      </c>
    </row>
    <row r="475" spans="1:14" x14ac:dyDescent="0.3">
      <c r="A475" s="2" t="s">
        <v>473</v>
      </c>
      <c r="B475" s="2" t="s">
        <v>12045</v>
      </c>
      <c r="C475" s="2">
        <v>27</v>
      </c>
      <c r="D475" s="2" t="s">
        <v>12049</v>
      </c>
      <c r="E475" s="2">
        <f>COUNTIF(Table16[customer_id],Table13[[#This Row],[customer_id]])</f>
        <v>5</v>
      </c>
      <c r="F475" s="13">
        <f>SUMIFS(Table16[Purchase_history],Table16[customer_id],Table13[[#This Row],[customer_id]])</f>
        <v>34439.83</v>
      </c>
      <c r="G475" s="20">
        <v>44307</v>
      </c>
      <c r="H475" s="21">
        <v>44765</v>
      </c>
      <c r="I475" s="15">
        <f>(Table134[[#This Row],[Last_Day]]-Table134[[#This Row],[First_Day]]+1)/365</f>
        <v>1.2575342465753425</v>
      </c>
      <c r="J475" s="59">
        <f>Table134[[#This Row],[number_of_purchases]]/Table134[[#This Row],[customer_total_years]]</f>
        <v>3.9760348583877994</v>
      </c>
      <c r="K475" s="13">
        <f>Table134[[#This Row],[purchase_history]]/Table134[[#This Row],[number_of_purchases]]</f>
        <v>6887.9660000000003</v>
      </c>
      <c r="L475" s="2">
        <f>IF(YEAR(Table134[[#This Row],[Last_Day]])=2021,5,IF(YEAR(Table134[[#This Row],[Last_Day]])=2022,7,IF(YEAR(Table134[[#This Row],[Last_Day]])=2023,10,"Không xác định")))</f>
        <v>7</v>
      </c>
      <c r="M475" s="15">
        <f>Table134[[#This Row],[avg_number_of_purchases]]*Table1345[[#This Row],[avg_purchase_value]]*Table1345[[#This Row],[expected_lifespan]]</f>
        <v>191707.55043572985</v>
      </c>
      <c r="N475" t="s">
        <v>12042</v>
      </c>
    </row>
    <row r="476" spans="1:14" x14ac:dyDescent="0.3">
      <c r="A476" s="2" t="s">
        <v>474</v>
      </c>
      <c r="B476" s="2" t="s">
        <v>12045</v>
      </c>
      <c r="C476" s="2">
        <v>52</v>
      </c>
      <c r="D476" s="2" t="s">
        <v>12043</v>
      </c>
      <c r="E476" s="2">
        <f>COUNTIF(Table16[customer_id],Table13[[#This Row],[customer_id]])</f>
        <v>4</v>
      </c>
      <c r="F476" s="13">
        <f>SUMIFS(Table16[Purchase_history],Table16[customer_id],Table13[[#This Row],[customer_id]])</f>
        <v>27607.770000000004</v>
      </c>
      <c r="G476" s="20">
        <v>44411</v>
      </c>
      <c r="H476" s="21">
        <v>44942</v>
      </c>
      <c r="I476" s="15">
        <f>(Table134[[#This Row],[Last_Day]]-Table134[[#This Row],[First_Day]]+1)/365</f>
        <v>1.4575342465753425</v>
      </c>
      <c r="J476" s="59">
        <f>Table134[[#This Row],[number_of_purchases]]/Table134[[#This Row],[customer_total_years]]</f>
        <v>2.744360902255639</v>
      </c>
      <c r="K476" s="13">
        <f>Table134[[#This Row],[purchase_history]]/Table134[[#This Row],[number_of_purchases]]</f>
        <v>6901.942500000001</v>
      </c>
      <c r="L476" s="2">
        <f>IF(YEAR(Table134[[#This Row],[Last_Day]])=2021,5,IF(YEAR(Table134[[#This Row],[Last_Day]])=2022,7,IF(YEAR(Table134[[#This Row],[Last_Day]])=2023,10,"Không xác định")))</f>
        <v>10</v>
      </c>
      <c r="M476" s="15">
        <f>Table134[[#This Row],[avg_number_of_purchases]]*Table1345[[#This Row],[avg_purchase_value]]*Table1345[[#This Row],[expected_lifespan]]</f>
        <v>189414.21146616543</v>
      </c>
      <c r="N476" t="s">
        <v>12048</v>
      </c>
    </row>
    <row r="477" spans="1:14" x14ac:dyDescent="0.3">
      <c r="A477" s="2" t="s">
        <v>475</v>
      </c>
      <c r="B477" s="2" t="s">
        <v>12040</v>
      </c>
      <c r="C477" s="2">
        <v>18</v>
      </c>
      <c r="D477" s="2" t="s">
        <v>12043</v>
      </c>
      <c r="E477" s="2">
        <f>COUNTIF(Table16[customer_id],Table13[[#This Row],[customer_id]])</f>
        <v>6</v>
      </c>
      <c r="F477" s="13">
        <f>SUMIFS(Table16[Purchase_history],Table16[customer_id],Table13[[#This Row],[customer_id]])</f>
        <v>5396.08</v>
      </c>
      <c r="G477" s="20">
        <v>44218</v>
      </c>
      <c r="H477" s="21">
        <v>44665</v>
      </c>
      <c r="I477" s="15">
        <f>(Table134[[#This Row],[Last_Day]]-Table134[[#This Row],[First_Day]]+1)/365</f>
        <v>1.2273972602739727</v>
      </c>
      <c r="J477" s="59">
        <f>Table134[[#This Row],[number_of_purchases]]/Table134[[#This Row],[customer_total_years]]</f>
        <v>4.8883928571428568</v>
      </c>
      <c r="K477" s="13">
        <f>Table134[[#This Row],[purchase_history]]/Table134[[#This Row],[number_of_purchases]]</f>
        <v>899.34666666666669</v>
      </c>
      <c r="L477" s="2">
        <f>IF(YEAR(Table134[[#This Row],[Last_Day]])=2021,5,IF(YEAR(Table134[[#This Row],[Last_Day]])=2022,7,IF(YEAR(Table134[[#This Row],[Last_Day]])=2023,10,"Không xác định")))</f>
        <v>7</v>
      </c>
      <c r="M477" s="15">
        <f>Table134[[#This Row],[avg_number_of_purchases]]*Table1345[[#This Row],[avg_purchase_value]]*Table1345[[#This Row],[expected_lifespan]]</f>
        <v>30774.518749999999</v>
      </c>
      <c r="N477" t="s">
        <v>12048</v>
      </c>
    </row>
    <row r="478" spans="1:14" x14ac:dyDescent="0.3">
      <c r="A478" s="2" t="s">
        <v>476</v>
      </c>
      <c r="B478" s="2" t="s">
        <v>12040</v>
      </c>
      <c r="C478" s="2">
        <v>41</v>
      </c>
      <c r="D478" s="2" t="s">
        <v>12043</v>
      </c>
      <c r="E478" s="2">
        <f>COUNTIF(Table16[customer_id],Table13[[#This Row],[customer_id]])</f>
        <v>3</v>
      </c>
      <c r="F478" s="13">
        <f>SUMIFS(Table16[Purchase_history],Table16[customer_id],Table13[[#This Row],[customer_id]])</f>
        <v>4991.7099999999991</v>
      </c>
      <c r="G478" s="20">
        <v>44198</v>
      </c>
      <c r="H478" s="21">
        <v>44800</v>
      </c>
      <c r="I478" s="15">
        <f>(Table134[[#This Row],[Last_Day]]-Table134[[#This Row],[First_Day]]+1)/365</f>
        <v>1.6520547945205479</v>
      </c>
      <c r="J478" s="59">
        <f>Table134[[#This Row],[number_of_purchases]]/Table134[[#This Row],[customer_total_years]]</f>
        <v>1.8159203980099503</v>
      </c>
      <c r="K478" s="13">
        <f>Table134[[#This Row],[purchase_history]]/Table134[[#This Row],[number_of_purchases]]</f>
        <v>1663.903333333333</v>
      </c>
      <c r="L478" s="2">
        <f>IF(YEAR(Table134[[#This Row],[Last_Day]])=2021,5,IF(YEAR(Table134[[#This Row],[Last_Day]])=2022,7,IF(YEAR(Table134[[#This Row],[Last_Day]])=2023,10,"Không xác định")))</f>
        <v>7</v>
      </c>
      <c r="M478" s="15">
        <f>Table134[[#This Row],[avg_number_of_purchases]]*Table1345[[#This Row],[avg_purchase_value]]*Table1345[[#This Row],[expected_lifespan]]</f>
        <v>21150.612023217243</v>
      </c>
      <c r="N478" t="s">
        <v>12048</v>
      </c>
    </row>
    <row r="479" spans="1:14" x14ac:dyDescent="0.3">
      <c r="A479" s="2" t="s">
        <v>477</v>
      </c>
      <c r="B479" s="2" t="s">
        <v>12045</v>
      </c>
      <c r="C479" s="2">
        <v>45</v>
      </c>
      <c r="D479" s="2" t="s">
        <v>12041</v>
      </c>
      <c r="E479" s="2">
        <f>COUNTIF(Table16[customer_id],Table13[[#This Row],[customer_id]])</f>
        <v>6</v>
      </c>
      <c r="F479" s="13">
        <f>SUMIFS(Table16[Purchase_history],Table16[customer_id],Table13[[#This Row],[customer_id]])</f>
        <v>22696.92</v>
      </c>
      <c r="G479" s="20">
        <v>44207</v>
      </c>
      <c r="H479" s="21">
        <v>44820</v>
      </c>
      <c r="I479" s="15">
        <f>(Table134[[#This Row],[Last_Day]]-Table134[[#This Row],[First_Day]]+1)/365</f>
        <v>1.6821917808219178</v>
      </c>
      <c r="J479" s="59">
        <f>Table134[[#This Row],[number_of_purchases]]/Table134[[#This Row],[customer_total_years]]</f>
        <v>3.5667752442996745</v>
      </c>
      <c r="K479" s="13">
        <f>Table134[[#This Row],[purchase_history]]/Table134[[#This Row],[number_of_purchases]]</f>
        <v>3782.8199999999997</v>
      </c>
      <c r="L479" s="2">
        <f>IF(YEAR(Table134[[#This Row],[Last_Day]])=2021,5,IF(YEAR(Table134[[#This Row],[Last_Day]])=2022,7,IF(YEAR(Table134[[#This Row],[Last_Day]])=2023,10,"Không xác định")))</f>
        <v>7</v>
      </c>
      <c r="M479" s="15">
        <f>Table134[[#This Row],[avg_number_of_purchases]]*Table1345[[#This Row],[avg_purchase_value]]*Table1345[[#This Row],[expected_lifespan]]</f>
        <v>94447.281107491857</v>
      </c>
      <c r="N479" t="s">
        <v>12042</v>
      </c>
    </row>
    <row r="480" spans="1:14" x14ac:dyDescent="0.3">
      <c r="A480" s="2" t="s">
        <v>478</v>
      </c>
      <c r="B480" s="2" t="s">
        <v>12045</v>
      </c>
      <c r="C480" s="2">
        <v>37</v>
      </c>
      <c r="D480" s="2" t="s">
        <v>12043</v>
      </c>
      <c r="E480" s="2">
        <f>COUNTIF(Table16[customer_id],Table13[[#This Row],[customer_id]])</f>
        <v>6</v>
      </c>
      <c r="F480" s="13">
        <f>SUMIFS(Table16[Purchase_history],Table16[customer_id],Table13[[#This Row],[customer_id]])</f>
        <v>24324.899999999998</v>
      </c>
      <c r="G480" s="20">
        <v>44257</v>
      </c>
      <c r="H480" s="21">
        <v>44897</v>
      </c>
      <c r="I480" s="15">
        <f>(Table134[[#This Row],[Last_Day]]-Table134[[#This Row],[First_Day]]+1)/365</f>
        <v>1.7561643835616438</v>
      </c>
      <c r="J480" s="59">
        <f>Table134[[#This Row],[number_of_purchases]]/Table134[[#This Row],[customer_total_years]]</f>
        <v>3.4165366614664587</v>
      </c>
      <c r="K480" s="13">
        <f>Table134[[#This Row],[purchase_history]]/Table134[[#This Row],[number_of_purchases]]</f>
        <v>4054.1499999999996</v>
      </c>
      <c r="L480" s="2">
        <f>IF(YEAR(Table134[[#This Row],[Last_Day]])=2021,5,IF(YEAR(Table134[[#This Row],[Last_Day]])=2022,7,IF(YEAR(Table134[[#This Row],[Last_Day]])=2023,10,"Không xác định")))</f>
        <v>7</v>
      </c>
      <c r="M480" s="15">
        <f>Table134[[#This Row],[avg_number_of_purchases]]*Table1345[[#This Row],[avg_purchase_value]]*Table1345[[#This Row],[expected_lifespan]]</f>
        <v>96958.06474258969</v>
      </c>
      <c r="N480" t="s">
        <v>12044</v>
      </c>
    </row>
    <row r="481" spans="1:14" x14ac:dyDescent="0.3">
      <c r="A481" s="2" t="s">
        <v>479</v>
      </c>
      <c r="B481" s="2" t="s">
        <v>12045</v>
      </c>
      <c r="C481" s="2">
        <v>43</v>
      </c>
      <c r="D481" s="2" t="s">
        <v>12041</v>
      </c>
      <c r="E481" s="2">
        <f>COUNTIF(Table16[customer_id],Table13[[#This Row],[customer_id]])</f>
        <v>4</v>
      </c>
      <c r="F481" s="13">
        <f>SUMIFS(Table16[Purchase_history],Table16[customer_id],Table13[[#This Row],[customer_id]])</f>
        <v>1904.51</v>
      </c>
      <c r="G481" s="20">
        <v>44299</v>
      </c>
      <c r="H481" s="21">
        <v>44818</v>
      </c>
      <c r="I481" s="15">
        <f>(Table134[[#This Row],[Last_Day]]-Table134[[#This Row],[First_Day]]+1)/365</f>
        <v>1.4246575342465753</v>
      </c>
      <c r="J481" s="59">
        <f>Table134[[#This Row],[number_of_purchases]]/Table134[[#This Row],[customer_total_years]]</f>
        <v>2.8076923076923079</v>
      </c>
      <c r="K481" s="13">
        <f>Table134[[#This Row],[purchase_history]]/Table134[[#This Row],[number_of_purchases]]</f>
        <v>476.1275</v>
      </c>
      <c r="L481" s="2">
        <f>IF(YEAR(Table134[[#This Row],[Last_Day]])=2021,5,IF(YEAR(Table134[[#This Row],[Last_Day]])=2022,7,IF(YEAR(Table134[[#This Row],[Last_Day]])=2023,10,"Không xác định")))</f>
        <v>7</v>
      </c>
      <c r="M481" s="15">
        <f>Table134[[#This Row],[avg_number_of_purchases]]*Table1345[[#This Row],[avg_purchase_value]]*Table1345[[#This Row],[expected_lifespan]]</f>
        <v>9357.7366346153867</v>
      </c>
      <c r="N481" t="s">
        <v>12046</v>
      </c>
    </row>
    <row r="482" spans="1:14" x14ac:dyDescent="0.3">
      <c r="A482" s="2" t="s">
        <v>480</v>
      </c>
      <c r="B482" s="2" t="s">
        <v>12045</v>
      </c>
      <c r="C482" s="2">
        <v>24</v>
      </c>
      <c r="D482" s="2" t="s">
        <v>12049</v>
      </c>
      <c r="E482" s="2">
        <f>COUNTIF(Table16[customer_id],Table13[[#This Row],[customer_id]])</f>
        <v>7</v>
      </c>
      <c r="F482" s="13">
        <f>SUMIFS(Table16[Purchase_history],Table16[customer_id],Table13[[#This Row],[customer_id]])</f>
        <v>4544.4299999999994</v>
      </c>
      <c r="G482" s="20">
        <v>44269</v>
      </c>
      <c r="H482" s="21">
        <v>44809</v>
      </c>
      <c r="I482" s="15">
        <f>(Table134[[#This Row],[Last_Day]]-Table134[[#This Row],[First_Day]]+1)/365</f>
        <v>1.4821917808219178</v>
      </c>
      <c r="J482" s="59">
        <f>Table134[[#This Row],[number_of_purchases]]/Table134[[#This Row],[customer_total_years]]</f>
        <v>4.7227356746765246</v>
      </c>
      <c r="K482" s="13">
        <f>Table134[[#This Row],[purchase_history]]/Table134[[#This Row],[number_of_purchases]]</f>
        <v>649.20428571428567</v>
      </c>
      <c r="L482" s="2">
        <f>IF(YEAR(Table134[[#This Row],[Last_Day]])=2021,5,IF(YEAR(Table134[[#This Row],[Last_Day]])=2022,7,IF(YEAR(Table134[[#This Row],[Last_Day]])=2023,10,"Không xác định")))</f>
        <v>7</v>
      </c>
      <c r="M482" s="15">
        <f>Table134[[#This Row],[avg_number_of_purchases]]*Table1345[[#This Row],[avg_purchase_value]]*Table1345[[#This Row],[expected_lifespan]]</f>
        <v>21462.141682070236</v>
      </c>
      <c r="N482" t="s">
        <v>12047</v>
      </c>
    </row>
    <row r="483" spans="1:14" x14ac:dyDescent="0.3">
      <c r="A483" s="2" t="s">
        <v>481</v>
      </c>
      <c r="B483" s="2" t="s">
        <v>12045</v>
      </c>
      <c r="C483" s="2">
        <v>40</v>
      </c>
      <c r="D483" s="2" t="s">
        <v>12049</v>
      </c>
      <c r="E483" s="2">
        <f>COUNTIF(Table16[customer_id],Table13[[#This Row],[customer_id]])</f>
        <v>5</v>
      </c>
      <c r="F483" s="13">
        <f>SUMIFS(Table16[Purchase_history],Table16[customer_id],Table13[[#This Row],[customer_id]])</f>
        <v>3886.7000000000003</v>
      </c>
      <c r="G483" s="20">
        <v>44242</v>
      </c>
      <c r="H483" s="21">
        <v>44935</v>
      </c>
      <c r="I483" s="15">
        <f>(Table134[[#This Row],[Last_Day]]-Table134[[#This Row],[First_Day]]+1)/365</f>
        <v>1.9013698630136986</v>
      </c>
      <c r="J483" s="59">
        <f>Table134[[#This Row],[number_of_purchases]]/Table134[[#This Row],[customer_total_years]]</f>
        <v>2.6296829971181555</v>
      </c>
      <c r="K483" s="13">
        <f>Table134[[#This Row],[purchase_history]]/Table134[[#This Row],[number_of_purchases]]</f>
        <v>777.34</v>
      </c>
      <c r="L483" s="2">
        <f>IF(YEAR(Table134[[#This Row],[Last_Day]])=2021,5,IF(YEAR(Table134[[#This Row],[Last_Day]])=2022,7,IF(YEAR(Table134[[#This Row],[Last_Day]])=2023,10,"Không xác định")))</f>
        <v>10</v>
      </c>
      <c r="M483" s="15">
        <f>Table134[[#This Row],[avg_number_of_purchases]]*Table1345[[#This Row],[avg_purchase_value]]*Table1345[[#This Row],[expected_lifespan]]</f>
        <v>20441.577809798269</v>
      </c>
      <c r="N483" t="s">
        <v>12046</v>
      </c>
    </row>
    <row r="484" spans="1:14" x14ac:dyDescent="0.3">
      <c r="A484" s="2" t="s">
        <v>482</v>
      </c>
      <c r="B484" s="2" t="s">
        <v>12040</v>
      </c>
      <c r="C484" s="2">
        <v>55</v>
      </c>
      <c r="D484" s="2" t="s">
        <v>12043</v>
      </c>
      <c r="E484" s="2">
        <f>COUNTIF(Table16[customer_id],Table13[[#This Row],[customer_id]])</f>
        <v>8</v>
      </c>
      <c r="F484" s="13">
        <f>SUMIFS(Table16[Purchase_history],Table16[customer_id],Table13[[#This Row],[customer_id]])</f>
        <v>35438.28</v>
      </c>
      <c r="G484" s="20">
        <v>44301</v>
      </c>
      <c r="H484" s="21">
        <v>44736</v>
      </c>
      <c r="I484" s="15">
        <f>(Table134[[#This Row],[Last_Day]]-Table134[[#This Row],[First_Day]]+1)/365</f>
        <v>1.1945205479452055</v>
      </c>
      <c r="J484" s="59">
        <f>Table134[[#This Row],[number_of_purchases]]/Table134[[#This Row],[customer_total_years]]</f>
        <v>6.6972477064220186</v>
      </c>
      <c r="K484" s="13">
        <f>Table134[[#This Row],[purchase_history]]/Table134[[#This Row],[number_of_purchases]]</f>
        <v>4429.7849999999999</v>
      </c>
      <c r="L484" s="2">
        <f>IF(YEAR(Table134[[#This Row],[Last_Day]])=2021,5,IF(YEAR(Table134[[#This Row],[Last_Day]])=2022,7,IF(YEAR(Table134[[#This Row],[Last_Day]])=2023,10,"Không xác định")))</f>
        <v>7</v>
      </c>
      <c r="M484" s="15">
        <f>Table134[[#This Row],[avg_number_of_purchases]]*Table1345[[#This Row],[avg_purchase_value]]*Table1345[[#This Row],[expected_lifespan]]</f>
        <v>207671.57201834864</v>
      </c>
      <c r="N484" t="s">
        <v>12046</v>
      </c>
    </row>
    <row r="485" spans="1:14" x14ac:dyDescent="0.3">
      <c r="A485" s="2" t="s">
        <v>483</v>
      </c>
      <c r="B485" s="2" t="s">
        <v>12040</v>
      </c>
      <c r="C485" s="2">
        <v>40</v>
      </c>
      <c r="D485" s="2" t="s">
        <v>12049</v>
      </c>
      <c r="E485" s="2">
        <f>COUNTIF(Table16[customer_id],Table13[[#This Row],[customer_id]])</f>
        <v>6</v>
      </c>
      <c r="F485" s="13">
        <f>SUMIFS(Table16[Purchase_history],Table16[customer_id],Table13[[#This Row],[customer_id]])</f>
        <v>6103.630000000001</v>
      </c>
      <c r="G485" s="20">
        <v>44246</v>
      </c>
      <c r="H485" s="21">
        <v>44931</v>
      </c>
      <c r="I485" s="15">
        <f>(Table134[[#This Row],[Last_Day]]-Table134[[#This Row],[First_Day]]+1)/365</f>
        <v>1.8794520547945206</v>
      </c>
      <c r="J485" s="59">
        <f>Table134[[#This Row],[number_of_purchases]]/Table134[[#This Row],[customer_total_years]]</f>
        <v>3.1924198250728861</v>
      </c>
      <c r="K485" s="13">
        <f>Table134[[#This Row],[purchase_history]]/Table134[[#This Row],[number_of_purchases]]</f>
        <v>1017.2716666666669</v>
      </c>
      <c r="L485" s="2">
        <f>IF(YEAR(Table134[[#This Row],[Last_Day]])=2021,5,IF(YEAR(Table134[[#This Row],[Last_Day]])=2022,7,IF(YEAR(Table134[[#This Row],[Last_Day]])=2023,10,"Không xác định")))</f>
        <v>10</v>
      </c>
      <c r="M485" s="15">
        <f>Table134[[#This Row],[avg_number_of_purchases]]*Table1345[[#This Row],[avg_purchase_value]]*Table1345[[#This Row],[expected_lifespan]]</f>
        <v>32475.582361516041</v>
      </c>
      <c r="N485" t="s">
        <v>12042</v>
      </c>
    </row>
    <row r="486" spans="1:14" x14ac:dyDescent="0.3">
      <c r="A486" s="2" t="s">
        <v>484</v>
      </c>
      <c r="B486" s="2" t="s">
        <v>12040</v>
      </c>
      <c r="C486" s="2">
        <v>51</v>
      </c>
      <c r="D486" s="2" t="s">
        <v>12049</v>
      </c>
      <c r="E486" s="2">
        <f>COUNTIF(Table16[customer_id],Table13[[#This Row],[customer_id]])</f>
        <v>5</v>
      </c>
      <c r="F486" s="13">
        <f>SUMIFS(Table16[Purchase_history],Table16[customer_id],Table13[[#This Row],[customer_id]])</f>
        <v>12708.17</v>
      </c>
      <c r="G486" s="20">
        <v>44236</v>
      </c>
      <c r="H486" s="21">
        <v>44847</v>
      </c>
      <c r="I486" s="15">
        <f>(Table134[[#This Row],[Last_Day]]-Table134[[#This Row],[First_Day]]+1)/365</f>
        <v>1.6767123287671233</v>
      </c>
      <c r="J486" s="59">
        <f>Table134[[#This Row],[number_of_purchases]]/Table134[[#This Row],[customer_total_years]]</f>
        <v>2.9820261437908497</v>
      </c>
      <c r="K486" s="13">
        <f>Table134[[#This Row],[purchase_history]]/Table134[[#This Row],[number_of_purchases]]</f>
        <v>2541.634</v>
      </c>
      <c r="L486" s="2">
        <f>IF(YEAR(Table134[[#This Row],[Last_Day]])=2021,5,IF(YEAR(Table134[[#This Row],[Last_Day]])=2022,7,IF(YEAR(Table134[[#This Row],[Last_Day]])=2023,10,"Không xác định")))</f>
        <v>7</v>
      </c>
      <c r="M486" s="15">
        <f>Table134[[#This Row],[avg_number_of_purchases]]*Table1345[[#This Row],[avg_purchase_value]]*Table1345[[#This Row],[expected_lifespan]]</f>
        <v>53054.533251633991</v>
      </c>
      <c r="N486" t="s">
        <v>12048</v>
      </c>
    </row>
    <row r="487" spans="1:14" x14ac:dyDescent="0.3">
      <c r="A487" s="2" t="s">
        <v>485</v>
      </c>
      <c r="B487" s="2" t="s">
        <v>12045</v>
      </c>
      <c r="C487" s="2">
        <v>39</v>
      </c>
      <c r="D487" s="2" t="s">
        <v>12041</v>
      </c>
      <c r="E487" s="2">
        <f>COUNTIF(Table16[customer_id],Table13[[#This Row],[customer_id]])</f>
        <v>8</v>
      </c>
      <c r="F487" s="13">
        <f>SUMIFS(Table16[Purchase_history],Table16[customer_id],Table13[[#This Row],[customer_id]])</f>
        <v>48073.52</v>
      </c>
      <c r="G487" s="20">
        <v>44259</v>
      </c>
      <c r="H487" s="21">
        <v>44913</v>
      </c>
      <c r="I487" s="15">
        <f>(Table134[[#This Row],[Last_Day]]-Table134[[#This Row],[First_Day]]+1)/365</f>
        <v>1.7945205479452055</v>
      </c>
      <c r="J487" s="59">
        <f>Table134[[#This Row],[number_of_purchases]]/Table134[[#This Row],[customer_total_years]]</f>
        <v>4.4580152671755719</v>
      </c>
      <c r="K487" s="13">
        <f>Table134[[#This Row],[purchase_history]]/Table134[[#This Row],[number_of_purchases]]</f>
        <v>6009.19</v>
      </c>
      <c r="L487" s="2">
        <f>IF(YEAR(Table134[[#This Row],[Last_Day]])=2021,5,IF(YEAR(Table134[[#This Row],[Last_Day]])=2022,7,IF(YEAR(Table134[[#This Row],[Last_Day]])=2023,10,"Không xác định")))</f>
        <v>7</v>
      </c>
      <c r="M487" s="15">
        <f>Table134[[#This Row],[avg_number_of_purchases]]*Table1345[[#This Row],[avg_purchase_value]]*Table1345[[#This Row],[expected_lifespan]]</f>
        <v>187523.42534351142</v>
      </c>
      <c r="N487" t="s">
        <v>12042</v>
      </c>
    </row>
    <row r="488" spans="1:14" x14ac:dyDescent="0.3">
      <c r="A488" s="2" t="s">
        <v>486</v>
      </c>
      <c r="B488" s="2" t="s">
        <v>12040</v>
      </c>
      <c r="C488" s="2">
        <v>19</v>
      </c>
      <c r="D488" s="2" t="s">
        <v>12041</v>
      </c>
      <c r="E488" s="2">
        <f>COUNTIF(Table16[customer_id],Table13[[#This Row],[customer_id]])</f>
        <v>4</v>
      </c>
      <c r="F488" s="13">
        <f>SUMIFS(Table16[Purchase_history],Table16[customer_id],Table13[[#This Row],[customer_id]])</f>
        <v>10568.39</v>
      </c>
      <c r="G488" s="20">
        <v>44329</v>
      </c>
      <c r="H488" s="21">
        <v>44925</v>
      </c>
      <c r="I488" s="15">
        <f>(Table134[[#This Row],[Last_Day]]-Table134[[#This Row],[First_Day]]+1)/365</f>
        <v>1.6356164383561644</v>
      </c>
      <c r="J488" s="59">
        <f>Table134[[#This Row],[number_of_purchases]]/Table134[[#This Row],[customer_total_years]]</f>
        <v>2.4455611390284755</v>
      </c>
      <c r="K488" s="13">
        <f>Table134[[#This Row],[purchase_history]]/Table134[[#This Row],[number_of_purchases]]</f>
        <v>2642.0974999999999</v>
      </c>
      <c r="L488" s="2">
        <f>IF(YEAR(Table134[[#This Row],[Last_Day]])=2021,5,IF(YEAR(Table134[[#This Row],[Last_Day]])=2022,7,IF(YEAR(Table134[[#This Row],[Last_Day]])=2023,10,"Không xác định")))</f>
        <v>7</v>
      </c>
      <c r="M488" s="15">
        <f>Table134[[#This Row],[avg_number_of_purchases]]*Table1345[[#This Row],[avg_purchase_value]]*Table1345[[#This Row],[expected_lifespan]]</f>
        <v>45229.876800670012</v>
      </c>
      <c r="N488" t="s">
        <v>12042</v>
      </c>
    </row>
    <row r="489" spans="1:14" x14ac:dyDescent="0.3">
      <c r="A489" s="2" t="s">
        <v>487</v>
      </c>
      <c r="B489" s="2" t="s">
        <v>12045</v>
      </c>
      <c r="C489" s="2">
        <v>24</v>
      </c>
      <c r="D489" s="2" t="s">
        <v>12049</v>
      </c>
      <c r="E489" s="2">
        <f>COUNTIF(Table16[customer_id],Table13[[#This Row],[customer_id]])</f>
        <v>8</v>
      </c>
      <c r="F489" s="13">
        <f>SUMIFS(Table16[Purchase_history],Table16[customer_id],Table13[[#This Row],[customer_id]])</f>
        <v>2570.6800000000003</v>
      </c>
      <c r="G489" s="20">
        <v>44323</v>
      </c>
      <c r="H489" s="21">
        <v>44875</v>
      </c>
      <c r="I489" s="15">
        <f>(Table134[[#This Row],[Last_Day]]-Table134[[#This Row],[First_Day]]+1)/365</f>
        <v>1.515068493150685</v>
      </c>
      <c r="J489" s="59">
        <f>Table134[[#This Row],[number_of_purchases]]/Table134[[#This Row],[customer_total_years]]</f>
        <v>5.2802893309222423</v>
      </c>
      <c r="K489" s="13">
        <f>Table134[[#This Row],[purchase_history]]/Table134[[#This Row],[number_of_purchases]]</f>
        <v>321.33500000000004</v>
      </c>
      <c r="L489" s="2">
        <f>IF(YEAR(Table134[[#This Row],[Last_Day]])=2021,5,IF(YEAR(Table134[[#This Row],[Last_Day]])=2022,7,IF(YEAR(Table134[[#This Row],[Last_Day]])=2023,10,"Không xác định")))</f>
        <v>7</v>
      </c>
      <c r="M489" s="15">
        <f>Table134[[#This Row],[avg_number_of_purchases]]*Table1345[[#This Row],[avg_purchase_value]]*Table1345[[#This Row],[expected_lifespan]]</f>
        <v>11877.192405063292</v>
      </c>
      <c r="N489" t="s">
        <v>12046</v>
      </c>
    </row>
    <row r="490" spans="1:14" x14ac:dyDescent="0.3">
      <c r="A490" s="2" t="s">
        <v>488</v>
      </c>
      <c r="B490" s="2" t="s">
        <v>12045</v>
      </c>
      <c r="C490" s="2">
        <v>56</v>
      </c>
      <c r="D490" s="2" t="s">
        <v>12043</v>
      </c>
      <c r="E490" s="2">
        <f>COUNTIF(Table16[customer_id],Table13[[#This Row],[customer_id]])</f>
        <v>4</v>
      </c>
      <c r="F490" s="13">
        <f>SUMIFS(Table16[Purchase_history],Table16[customer_id],Table13[[#This Row],[customer_id]])</f>
        <v>2100.56</v>
      </c>
      <c r="G490" s="20">
        <v>44798</v>
      </c>
      <c r="H490" s="21">
        <v>44915</v>
      </c>
      <c r="I490" s="15">
        <f>(Table134[[#This Row],[Last_Day]]-Table134[[#This Row],[First_Day]]+1)/365</f>
        <v>0.32328767123287672</v>
      </c>
      <c r="J490" s="59">
        <f>Table134[[#This Row],[number_of_purchases]]/Table134[[#This Row],[customer_total_years]]</f>
        <v>12.372881355932202</v>
      </c>
      <c r="K490" s="13">
        <f>Table134[[#This Row],[purchase_history]]/Table134[[#This Row],[number_of_purchases]]</f>
        <v>525.14</v>
      </c>
      <c r="L490" s="2">
        <f>IF(YEAR(Table134[[#This Row],[Last_Day]])=2021,5,IF(YEAR(Table134[[#This Row],[Last_Day]])=2022,7,IF(YEAR(Table134[[#This Row],[Last_Day]])=2023,10,"Không xác định")))</f>
        <v>7</v>
      </c>
      <c r="M490" s="15">
        <f>Table134[[#This Row],[avg_number_of_purchases]]*Table1345[[#This Row],[avg_purchase_value]]*Table1345[[#This Row],[expected_lifespan]]</f>
        <v>45482.464406779654</v>
      </c>
      <c r="N490" t="s">
        <v>12047</v>
      </c>
    </row>
    <row r="491" spans="1:14" x14ac:dyDescent="0.3">
      <c r="A491" s="2" t="s">
        <v>489</v>
      </c>
      <c r="B491" s="2" t="s">
        <v>12045</v>
      </c>
      <c r="C491" s="2">
        <v>37</v>
      </c>
      <c r="D491" s="2" t="s">
        <v>12043</v>
      </c>
      <c r="E491" s="2">
        <f>COUNTIF(Table16[customer_id],Table13[[#This Row],[customer_id]])</f>
        <v>4</v>
      </c>
      <c r="F491" s="13">
        <f>SUMIFS(Table16[Purchase_history],Table16[customer_id],Table13[[#This Row],[customer_id]])</f>
        <v>13920.029999999999</v>
      </c>
      <c r="G491" s="20">
        <v>44585</v>
      </c>
      <c r="H491" s="21">
        <v>44885</v>
      </c>
      <c r="I491" s="15">
        <f>(Table134[[#This Row],[Last_Day]]-Table134[[#This Row],[First_Day]]+1)/365</f>
        <v>0.8246575342465754</v>
      </c>
      <c r="J491" s="59">
        <f>Table134[[#This Row],[number_of_purchases]]/Table134[[#This Row],[customer_total_years]]</f>
        <v>4.8504983388704312</v>
      </c>
      <c r="K491" s="13">
        <f>Table134[[#This Row],[purchase_history]]/Table134[[#This Row],[number_of_purchases]]</f>
        <v>3480.0074999999997</v>
      </c>
      <c r="L491" s="2">
        <f>IF(YEAR(Table134[[#This Row],[Last_Day]])=2021,5,IF(YEAR(Table134[[#This Row],[Last_Day]])=2022,7,IF(YEAR(Table134[[#This Row],[Last_Day]])=2023,10,"Không xác định")))</f>
        <v>7</v>
      </c>
      <c r="M491" s="15">
        <f>Table134[[#This Row],[avg_number_of_purchases]]*Table1345[[#This Row],[avg_purchase_value]]*Table1345[[#This Row],[expected_lifespan]]</f>
        <v>118158.3941860465</v>
      </c>
      <c r="N491" t="s">
        <v>12044</v>
      </c>
    </row>
    <row r="492" spans="1:14" x14ac:dyDescent="0.3">
      <c r="A492" s="2" t="s">
        <v>490</v>
      </c>
      <c r="B492" s="2" t="s">
        <v>12045</v>
      </c>
      <c r="C492" s="2">
        <v>33</v>
      </c>
      <c r="D492" s="2" t="s">
        <v>12043</v>
      </c>
      <c r="E492" s="2">
        <f>COUNTIF(Table16[customer_id],Table13[[#This Row],[customer_id]])</f>
        <v>8</v>
      </c>
      <c r="F492" s="13">
        <f>SUMIFS(Table16[Purchase_history],Table16[customer_id],Table13[[#This Row],[customer_id]])</f>
        <v>12141.33</v>
      </c>
      <c r="G492" s="20">
        <v>44257</v>
      </c>
      <c r="H492" s="21">
        <v>44964</v>
      </c>
      <c r="I492" s="15">
        <f>(Table134[[#This Row],[Last_Day]]-Table134[[#This Row],[First_Day]]+1)/365</f>
        <v>1.9397260273972603</v>
      </c>
      <c r="J492" s="59">
        <f>Table134[[#This Row],[number_of_purchases]]/Table134[[#This Row],[customer_total_years]]</f>
        <v>4.1242937853107344</v>
      </c>
      <c r="K492" s="13">
        <f>Table134[[#This Row],[purchase_history]]/Table134[[#This Row],[number_of_purchases]]</f>
        <v>1517.66625</v>
      </c>
      <c r="L492" s="2">
        <f>IF(YEAR(Table134[[#This Row],[Last_Day]])=2021,5,IF(YEAR(Table134[[#This Row],[Last_Day]])=2022,7,IF(YEAR(Table134[[#This Row],[Last_Day]])=2023,10,"Không xác định")))</f>
        <v>10</v>
      </c>
      <c r="M492" s="15">
        <f>Table134[[#This Row],[avg_number_of_purchases]]*Table1345[[#This Row],[avg_purchase_value]]*Table1345[[#This Row],[expected_lifespan]]</f>
        <v>62593.014830508473</v>
      </c>
      <c r="N492" t="s">
        <v>12042</v>
      </c>
    </row>
    <row r="493" spans="1:14" x14ac:dyDescent="0.3">
      <c r="A493" s="2" t="s">
        <v>491</v>
      </c>
      <c r="B493" s="2" t="s">
        <v>12040</v>
      </c>
      <c r="C493" s="2">
        <v>23</v>
      </c>
      <c r="D493" s="2" t="s">
        <v>12041</v>
      </c>
      <c r="E493" s="2">
        <f>COUNTIF(Table16[customer_id],Table13[[#This Row],[customer_id]])</f>
        <v>2</v>
      </c>
      <c r="F493" s="13">
        <f>SUMIFS(Table16[Purchase_history],Table16[customer_id],Table13[[#This Row],[customer_id]])</f>
        <v>979.68000000000006</v>
      </c>
      <c r="G493" s="20">
        <v>44289</v>
      </c>
      <c r="H493" s="21">
        <v>44921</v>
      </c>
      <c r="I493" s="15">
        <f>(Table134[[#This Row],[Last_Day]]-Table134[[#This Row],[First_Day]]+1)/365</f>
        <v>1.7342465753424658</v>
      </c>
      <c r="J493" s="59">
        <f>Table134[[#This Row],[number_of_purchases]]/Table134[[#This Row],[customer_total_years]]</f>
        <v>1.1532385466034754</v>
      </c>
      <c r="K493" s="13">
        <f>Table134[[#This Row],[purchase_history]]/Table134[[#This Row],[number_of_purchases]]</f>
        <v>489.84000000000003</v>
      </c>
      <c r="L493" s="2">
        <f>IF(YEAR(Table134[[#This Row],[Last_Day]])=2021,5,IF(YEAR(Table134[[#This Row],[Last_Day]])=2022,7,IF(YEAR(Table134[[#This Row],[Last_Day]])=2023,10,"Không xác định")))</f>
        <v>7</v>
      </c>
      <c r="M493" s="15">
        <f>Table134[[#This Row],[avg_number_of_purchases]]*Table1345[[#This Row],[avg_purchase_value]]*Table1345[[#This Row],[expected_lifespan]]</f>
        <v>3954.3165876777248</v>
      </c>
      <c r="N493" t="s">
        <v>12047</v>
      </c>
    </row>
    <row r="494" spans="1:14" x14ac:dyDescent="0.3">
      <c r="A494" s="2" t="s">
        <v>492</v>
      </c>
      <c r="B494" s="2" t="s">
        <v>12045</v>
      </c>
      <c r="C494" s="2">
        <v>31</v>
      </c>
      <c r="D494" s="2" t="s">
        <v>12043</v>
      </c>
      <c r="E494" s="2">
        <f>COUNTIF(Table16[customer_id],Table13[[#This Row],[customer_id]])</f>
        <v>4</v>
      </c>
      <c r="F494" s="13">
        <f>SUMIFS(Table16[Purchase_history],Table16[customer_id],Table13[[#This Row],[customer_id]])</f>
        <v>5025.5</v>
      </c>
      <c r="G494" s="20">
        <v>44244</v>
      </c>
      <c r="H494" s="21">
        <v>44844</v>
      </c>
      <c r="I494" s="15">
        <f>(Table134[[#This Row],[Last_Day]]-Table134[[#This Row],[First_Day]]+1)/365</f>
        <v>1.6465753424657534</v>
      </c>
      <c r="J494" s="59">
        <f>Table134[[#This Row],[number_of_purchases]]/Table134[[#This Row],[customer_total_years]]</f>
        <v>2.4292845257903495</v>
      </c>
      <c r="K494" s="13">
        <f>Table134[[#This Row],[purchase_history]]/Table134[[#This Row],[number_of_purchases]]</f>
        <v>1256.375</v>
      </c>
      <c r="L494" s="2">
        <f>IF(YEAR(Table134[[#This Row],[Last_Day]])=2021,5,IF(YEAR(Table134[[#This Row],[Last_Day]])=2022,7,IF(YEAR(Table134[[#This Row],[Last_Day]])=2023,10,"Không xác định")))</f>
        <v>7</v>
      </c>
      <c r="M494" s="15">
        <f>Table134[[#This Row],[avg_number_of_purchases]]*Table1345[[#This Row],[avg_purchase_value]]*Table1345[[#This Row],[expected_lifespan]]</f>
        <v>21364.646422628954</v>
      </c>
      <c r="N494" t="s">
        <v>12046</v>
      </c>
    </row>
    <row r="495" spans="1:14" x14ac:dyDescent="0.3">
      <c r="A495" s="2" t="s">
        <v>493</v>
      </c>
      <c r="B495" s="2" t="s">
        <v>12040</v>
      </c>
      <c r="C495" s="2">
        <v>26</v>
      </c>
      <c r="D495" s="2" t="s">
        <v>12049</v>
      </c>
      <c r="E495" s="2">
        <f>COUNTIF(Table16[customer_id],Table13[[#This Row],[customer_id]])</f>
        <v>7</v>
      </c>
      <c r="F495" s="13">
        <f>SUMIFS(Table16[Purchase_history],Table16[customer_id],Table13[[#This Row],[customer_id]])</f>
        <v>3105.1000000000004</v>
      </c>
      <c r="G495" s="20">
        <v>44211</v>
      </c>
      <c r="H495" s="21">
        <v>44598</v>
      </c>
      <c r="I495" s="15">
        <f>(Table134[[#This Row],[Last_Day]]-Table134[[#This Row],[First_Day]]+1)/365</f>
        <v>1.0630136986301371</v>
      </c>
      <c r="J495" s="59">
        <f>Table134[[#This Row],[number_of_purchases]]/Table134[[#This Row],[customer_total_years]]</f>
        <v>6.5850515463917523</v>
      </c>
      <c r="K495" s="13">
        <f>Table134[[#This Row],[purchase_history]]/Table134[[#This Row],[number_of_purchases]]</f>
        <v>443.58571428571435</v>
      </c>
      <c r="L495" s="2">
        <f>IF(YEAR(Table134[[#This Row],[Last_Day]])=2021,5,IF(YEAR(Table134[[#This Row],[Last_Day]])=2022,7,IF(YEAR(Table134[[#This Row],[Last_Day]])=2023,10,"Không xác định")))</f>
        <v>7</v>
      </c>
      <c r="M495" s="15">
        <f>Table134[[#This Row],[avg_number_of_purchases]]*Table1345[[#This Row],[avg_purchase_value]]*Table1345[[#This Row],[expected_lifespan]]</f>
        <v>20447.243556701033</v>
      </c>
      <c r="N495" t="s">
        <v>12044</v>
      </c>
    </row>
    <row r="496" spans="1:14" x14ac:dyDescent="0.3">
      <c r="A496" s="2" t="s">
        <v>494</v>
      </c>
      <c r="B496" s="2" t="s">
        <v>12040</v>
      </c>
      <c r="C496" s="2">
        <v>37</v>
      </c>
      <c r="D496" s="2" t="s">
        <v>12043</v>
      </c>
      <c r="E496" s="2">
        <f>COUNTIF(Table16[customer_id],Table13[[#This Row],[customer_id]])</f>
        <v>3</v>
      </c>
      <c r="F496" s="13">
        <f>SUMIFS(Table16[Purchase_history],Table16[customer_id],Table13[[#This Row],[customer_id]])</f>
        <v>3874.3300000000004</v>
      </c>
      <c r="G496" s="20">
        <v>44557</v>
      </c>
      <c r="H496" s="21">
        <v>44823</v>
      </c>
      <c r="I496" s="15">
        <f>(Table134[[#This Row],[Last_Day]]-Table134[[#This Row],[First_Day]]+1)/365</f>
        <v>0.73150684931506849</v>
      </c>
      <c r="J496" s="59">
        <f>Table134[[#This Row],[number_of_purchases]]/Table134[[#This Row],[customer_total_years]]</f>
        <v>4.1011235955056184</v>
      </c>
      <c r="K496" s="13">
        <f>Table134[[#This Row],[purchase_history]]/Table134[[#This Row],[number_of_purchases]]</f>
        <v>1291.4433333333334</v>
      </c>
      <c r="L496" s="2">
        <f>IF(YEAR(Table134[[#This Row],[Last_Day]])=2021,5,IF(YEAR(Table134[[#This Row],[Last_Day]])=2022,7,IF(YEAR(Table134[[#This Row],[Last_Day]])=2023,10,"Không xác định")))</f>
        <v>7</v>
      </c>
      <c r="M496" s="15">
        <f>Table134[[#This Row],[avg_number_of_purchases]]*Table1345[[#This Row],[avg_purchase_value]]*Table1345[[#This Row],[expected_lifespan]]</f>
        <v>37074.581086142331</v>
      </c>
      <c r="N496" t="s">
        <v>12046</v>
      </c>
    </row>
    <row r="497" spans="1:14" x14ac:dyDescent="0.3">
      <c r="A497" s="2" t="s">
        <v>495</v>
      </c>
      <c r="B497" s="2" t="s">
        <v>12040</v>
      </c>
      <c r="C497" s="2">
        <v>43</v>
      </c>
      <c r="D497" s="2" t="s">
        <v>12049</v>
      </c>
      <c r="E497" s="2">
        <f>COUNTIF(Table16[customer_id],Table13[[#This Row],[customer_id]])</f>
        <v>2</v>
      </c>
      <c r="F497" s="13">
        <f>SUMIFS(Table16[Purchase_history],Table16[customer_id],Table13[[#This Row],[customer_id]])</f>
        <v>177.82</v>
      </c>
      <c r="G497" s="20">
        <v>44413</v>
      </c>
      <c r="H497" s="21">
        <v>44891</v>
      </c>
      <c r="I497" s="15">
        <f>(Table134[[#This Row],[Last_Day]]-Table134[[#This Row],[First_Day]]+1)/365</f>
        <v>1.3123287671232877</v>
      </c>
      <c r="J497" s="59">
        <f>Table134[[#This Row],[number_of_purchases]]/Table134[[#This Row],[customer_total_years]]</f>
        <v>1.524008350730689</v>
      </c>
      <c r="K497" s="13">
        <f>Table134[[#This Row],[purchase_history]]/Table134[[#This Row],[number_of_purchases]]</f>
        <v>88.91</v>
      </c>
      <c r="L497" s="2">
        <f>IF(YEAR(Table134[[#This Row],[Last_Day]])=2021,5,IF(YEAR(Table134[[#This Row],[Last_Day]])=2022,7,IF(YEAR(Table134[[#This Row],[Last_Day]])=2023,10,"Không xác định")))</f>
        <v>7</v>
      </c>
      <c r="M497" s="15">
        <f>Table134[[#This Row],[avg_number_of_purchases]]*Table1345[[#This Row],[avg_purchase_value]]*Table1345[[#This Row],[expected_lifespan]]</f>
        <v>948.49707724425878</v>
      </c>
      <c r="N497" t="s">
        <v>12044</v>
      </c>
    </row>
    <row r="498" spans="1:14" x14ac:dyDescent="0.3">
      <c r="A498" s="2" t="s">
        <v>496</v>
      </c>
      <c r="B498" s="2" t="s">
        <v>12040</v>
      </c>
      <c r="C498" s="2">
        <v>67</v>
      </c>
      <c r="D498" s="2" t="s">
        <v>12041</v>
      </c>
      <c r="E498" s="2">
        <f>COUNTIF(Table16[customer_id],Table13[[#This Row],[customer_id]])</f>
        <v>5</v>
      </c>
      <c r="F498" s="13">
        <f>SUMIFS(Table16[Purchase_history],Table16[customer_id],Table13[[#This Row],[customer_id]])</f>
        <v>6189.2800000000007</v>
      </c>
      <c r="G498" s="20">
        <v>44402</v>
      </c>
      <c r="H498" s="21">
        <v>44850</v>
      </c>
      <c r="I498" s="15">
        <f>(Table134[[#This Row],[Last_Day]]-Table134[[#This Row],[First_Day]]+1)/365</f>
        <v>1.2301369863013698</v>
      </c>
      <c r="J498" s="59">
        <f>Table134[[#This Row],[number_of_purchases]]/Table134[[#This Row],[customer_total_years]]</f>
        <v>4.0645879732739427</v>
      </c>
      <c r="K498" s="13">
        <f>Table134[[#This Row],[purchase_history]]/Table134[[#This Row],[number_of_purchases]]</f>
        <v>1237.8560000000002</v>
      </c>
      <c r="L498" s="2">
        <f>IF(YEAR(Table134[[#This Row],[Last_Day]])=2021,5,IF(YEAR(Table134[[#This Row],[Last_Day]])=2022,7,IF(YEAR(Table134[[#This Row],[Last_Day]])=2023,10,"Không xác định")))</f>
        <v>7</v>
      </c>
      <c r="M498" s="15">
        <f>Table134[[#This Row],[avg_number_of_purchases]]*Table1345[[#This Row],[avg_purchase_value]]*Table1345[[#This Row],[expected_lifespan]]</f>
        <v>35219.622271714936</v>
      </c>
      <c r="N498" t="s">
        <v>12042</v>
      </c>
    </row>
    <row r="499" spans="1:14" x14ac:dyDescent="0.3">
      <c r="A499" s="2" t="s">
        <v>497</v>
      </c>
      <c r="B499" s="2" t="s">
        <v>12040</v>
      </c>
      <c r="C499" s="2">
        <v>22</v>
      </c>
      <c r="D499" s="2" t="s">
        <v>12041</v>
      </c>
      <c r="E499" s="2">
        <f>COUNTIF(Table16[customer_id],Table13[[#This Row],[customer_id]])</f>
        <v>3</v>
      </c>
      <c r="F499" s="13">
        <f>SUMIFS(Table16[Purchase_history],Table16[customer_id],Table13[[#This Row],[customer_id]])</f>
        <v>1345.62</v>
      </c>
      <c r="G499" s="20">
        <v>44200</v>
      </c>
      <c r="H499" s="21">
        <v>44980</v>
      </c>
      <c r="I499" s="15">
        <f>(Table134[[#This Row],[Last_Day]]-Table134[[#This Row],[First_Day]]+1)/365</f>
        <v>2.1397260273972605</v>
      </c>
      <c r="J499" s="59">
        <f>Table134[[#This Row],[number_of_purchases]]/Table134[[#This Row],[customer_total_years]]</f>
        <v>1.4020486555697822</v>
      </c>
      <c r="K499" s="13">
        <f>Table134[[#This Row],[purchase_history]]/Table134[[#This Row],[number_of_purchases]]</f>
        <v>448.53999999999996</v>
      </c>
      <c r="L499" s="2">
        <f>IF(YEAR(Table134[[#This Row],[Last_Day]])=2021,5,IF(YEAR(Table134[[#This Row],[Last_Day]])=2022,7,IF(YEAR(Table134[[#This Row],[Last_Day]])=2023,10,"Không xác định")))</f>
        <v>10</v>
      </c>
      <c r="M499" s="15">
        <f>Table134[[#This Row],[avg_number_of_purchases]]*Table1345[[#This Row],[avg_purchase_value]]*Table1345[[#This Row],[expected_lifespan]]</f>
        <v>6288.7490396927005</v>
      </c>
      <c r="N499" t="s">
        <v>12048</v>
      </c>
    </row>
    <row r="500" spans="1:14" x14ac:dyDescent="0.3">
      <c r="A500" s="2" t="s">
        <v>498</v>
      </c>
      <c r="B500" s="2" t="s">
        <v>12040</v>
      </c>
      <c r="C500" s="2">
        <v>29</v>
      </c>
      <c r="D500" s="2" t="s">
        <v>12043</v>
      </c>
      <c r="E500" s="2">
        <f>COUNTIF(Table16[customer_id],Table13[[#This Row],[customer_id]])</f>
        <v>4</v>
      </c>
      <c r="F500" s="13">
        <f>SUMIFS(Table16[Purchase_history],Table16[customer_id],Table13[[#This Row],[customer_id]])</f>
        <v>16804.57</v>
      </c>
      <c r="G500" s="20">
        <v>44363</v>
      </c>
      <c r="H500" s="21">
        <v>44963</v>
      </c>
      <c r="I500" s="15">
        <f>(Table134[[#This Row],[Last_Day]]-Table134[[#This Row],[First_Day]]+1)/365</f>
        <v>1.6465753424657534</v>
      </c>
      <c r="J500" s="59">
        <f>Table134[[#This Row],[number_of_purchases]]/Table134[[#This Row],[customer_total_years]]</f>
        <v>2.4292845257903495</v>
      </c>
      <c r="K500" s="13">
        <f>Table134[[#This Row],[purchase_history]]/Table134[[#This Row],[number_of_purchases]]</f>
        <v>4201.1424999999999</v>
      </c>
      <c r="L500" s="2">
        <f>IF(YEAR(Table134[[#This Row],[Last_Day]])=2021,5,IF(YEAR(Table134[[#This Row],[Last_Day]])=2022,7,IF(YEAR(Table134[[#This Row],[Last_Day]])=2023,10,"Không xác định")))</f>
        <v>10</v>
      </c>
      <c r="M500" s="15">
        <f>Table134[[#This Row],[avg_number_of_purchases]]*Table1345[[#This Row],[avg_purchase_value]]*Table1345[[#This Row],[expected_lifespan]]</f>
        <v>102057.70465890184</v>
      </c>
      <c r="N500" t="s">
        <v>12047</v>
      </c>
    </row>
    <row r="501" spans="1:14" x14ac:dyDescent="0.3">
      <c r="A501" s="2" t="s">
        <v>499</v>
      </c>
      <c r="B501" s="2" t="s">
        <v>12040</v>
      </c>
      <c r="C501" s="2">
        <v>36</v>
      </c>
      <c r="D501" s="2" t="s">
        <v>12043</v>
      </c>
      <c r="E501" s="2">
        <f>COUNTIF(Table16[customer_id],Table13[[#This Row],[customer_id]])</f>
        <v>4</v>
      </c>
      <c r="F501" s="13">
        <f>SUMIFS(Table16[Purchase_history],Table16[customer_id],Table13[[#This Row],[customer_id]])</f>
        <v>17869.25</v>
      </c>
      <c r="G501" s="20">
        <v>44292</v>
      </c>
      <c r="H501" s="21">
        <v>44960</v>
      </c>
      <c r="I501" s="15">
        <f>(Table134[[#This Row],[Last_Day]]-Table134[[#This Row],[First_Day]]+1)/365</f>
        <v>1.832876712328767</v>
      </c>
      <c r="J501" s="59">
        <f>Table134[[#This Row],[number_of_purchases]]/Table134[[#This Row],[customer_total_years]]</f>
        <v>2.1823617339312409</v>
      </c>
      <c r="K501" s="13">
        <f>Table134[[#This Row],[purchase_history]]/Table134[[#This Row],[number_of_purchases]]</f>
        <v>4467.3125</v>
      </c>
      <c r="L501" s="2">
        <f>IF(YEAR(Table134[[#This Row],[Last_Day]])=2021,5,IF(YEAR(Table134[[#This Row],[Last_Day]])=2022,7,IF(YEAR(Table134[[#This Row],[Last_Day]])=2023,10,"Không xác định")))</f>
        <v>10</v>
      </c>
      <c r="M501" s="15">
        <f>Table134[[#This Row],[avg_number_of_purchases]]*Table1345[[#This Row],[avg_purchase_value]]*Table1345[[#This Row],[expected_lifespan]]</f>
        <v>97492.918535127072</v>
      </c>
      <c r="N501" t="s">
        <v>12042</v>
      </c>
    </row>
    <row r="502" spans="1:14" x14ac:dyDescent="0.3">
      <c r="A502" s="2" t="s">
        <v>500</v>
      </c>
      <c r="B502" s="2" t="s">
        <v>12040</v>
      </c>
      <c r="C502" s="2">
        <v>52</v>
      </c>
      <c r="D502" s="2" t="s">
        <v>12041</v>
      </c>
      <c r="E502" s="2">
        <f>COUNTIF(Table16[customer_id],Table13[[#This Row],[customer_id]])</f>
        <v>5</v>
      </c>
      <c r="F502" s="13">
        <f>SUMIFS(Table16[Purchase_history],Table16[customer_id],Table13[[#This Row],[customer_id]])</f>
        <v>35415.18</v>
      </c>
      <c r="G502" s="20">
        <v>44323</v>
      </c>
      <c r="H502" s="21">
        <v>44616</v>
      </c>
      <c r="I502" s="15">
        <f>(Table134[[#This Row],[Last_Day]]-Table134[[#This Row],[First_Day]]+1)/365</f>
        <v>0.80547945205479454</v>
      </c>
      <c r="J502" s="59">
        <f>Table134[[#This Row],[number_of_purchases]]/Table134[[#This Row],[customer_total_years]]</f>
        <v>6.2074829931972788</v>
      </c>
      <c r="K502" s="13">
        <f>Table134[[#This Row],[purchase_history]]/Table134[[#This Row],[number_of_purchases]]</f>
        <v>7083.0360000000001</v>
      </c>
      <c r="L502" s="2">
        <f>IF(YEAR(Table134[[#This Row],[Last_Day]])=2021,5,IF(YEAR(Table134[[#This Row],[Last_Day]])=2022,7,IF(YEAR(Table134[[#This Row],[Last_Day]])=2023,10,"Không xác định")))</f>
        <v>7</v>
      </c>
      <c r="M502" s="15">
        <f>Table134[[#This Row],[avg_number_of_purchases]]*Table1345[[#This Row],[avg_purchase_value]]*Table1345[[#This Row],[expected_lifespan]]</f>
        <v>307774.77857142856</v>
      </c>
      <c r="N502" t="s">
        <v>12044</v>
      </c>
    </row>
    <row r="503" spans="1:14" x14ac:dyDescent="0.3">
      <c r="A503" s="2" t="s">
        <v>501</v>
      </c>
      <c r="B503" s="2" t="s">
        <v>12040</v>
      </c>
      <c r="C503" s="2">
        <v>62</v>
      </c>
      <c r="D503" s="2" t="s">
        <v>12049</v>
      </c>
      <c r="E503" s="2">
        <f>COUNTIF(Table16[customer_id],Table13[[#This Row],[customer_id]])</f>
        <v>8</v>
      </c>
      <c r="F503" s="13">
        <f>SUMIFS(Table16[Purchase_history],Table16[customer_id],Table13[[#This Row],[customer_id]])</f>
        <v>25884.829999999998</v>
      </c>
      <c r="G503" s="20">
        <v>44236</v>
      </c>
      <c r="H503" s="21">
        <v>44988</v>
      </c>
      <c r="I503" s="15">
        <f>(Table134[[#This Row],[Last_Day]]-Table134[[#This Row],[First_Day]]+1)/365</f>
        <v>2.0630136986301371</v>
      </c>
      <c r="J503" s="59">
        <f>Table134[[#This Row],[number_of_purchases]]/Table134[[#This Row],[customer_total_years]]</f>
        <v>3.8778220451527221</v>
      </c>
      <c r="K503" s="13">
        <f>Table134[[#This Row],[purchase_history]]/Table134[[#This Row],[number_of_purchases]]</f>
        <v>3235.6037499999998</v>
      </c>
      <c r="L503" s="2">
        <f>IF(YEAR(Table134[[#This Row],[Last_Day]])=2021,5,IF(YEAR(Table134[[#This Row],[Last_Day]])=2022,7,IF(YEAR(Table134[[#This Row],[Last_Day]])=2023,10,"Không xác định")))</f>
        <v>10</v>
      </c>
      <c r="M503" s="15">
        <f>Table134[[#This Row],[avg_number_of_purchases]]*Table1345[[#This Row],[avg_purchase_value]]*Table1345[[#This Row],[expected_lifespan]]</f>
        <v>125470.95551128816</v>
      </c>
      <c r="N503" t="s">
        <v>12046</v>
      </c>
    </row>
    <row r="504" spans="1:14" x14ac:dyDescent="0.3">
      <c r="A504" s="2" t="s">
        <v>502</v>
      </c>
      <c r="B504" s="2" t="s">
        <v>12045</v>
      </c>
      <c r="C504" s="2">
        <v>30</v>
      </c>
      <c r="D504" s="2" t="s">
        <v>12049</v>
      </c>
      <c r="E504" s="2">
        <f>COUNTIF(Table16[customer_id],Table13[[#This Row],[customer_id]])</f>
        <v>6</v>
      </c>
      <c r="F504" s="13">
        <f>SUMIFS(Table16[Purchase_history],Table16[customer_id],Table13[[#This Row],[customer_id]])</f>
        <v>6725.0300000000007</v>
      </c>
      <c r="G504" s="20">
        <v>44392</v>
      </c>
      <c r="H504" s="21">
        <v>44969</v>
      </c>
      <c r="I504" s="15">
        <f>(Table134[[#This Row],[Last_Day]]-Table134[[#This Row],[First_Day]]+1)/365</f>
        <v>1.5835616438356164</v>
      </c>
      <c r="J504" s="59">
        <f>Table134[[#This Row],[number_of_purchases]]/Table134[[#This Row],[customer_total_years]]</f>
        <v>3.7889273356401385</v>
      </c>
      <c r="K504" s="13">
        <f>Table134[[#This Row],[purchase_history]]/Table134[[#This Row],[number_of_purchases]]</f>
        <v>1120.8383333333334</v>
      </c>
      <c r="L504" s="2">
        <f>IF(YEAR(Table134[[#This Row],[Last_Day]])=2021,5,IF(YEAR(Table134[[#This Row],[Last_Day]])=2022,7,IF(YEAR(Table134[[#This Row],[Last_Day]])=2023,10,"Không xác định")))</f>
        <v>10</v>
      </c>
      <c r="M504" s="15">
        <f>Table134[[#This Row],[avg_number_of_purchases]]*Table1345[[#This Row],[avg_purchase_value]]*Table1345[[#This Row],[expected_lifespan]]</f>
        <v>42467.750000000007</v>
      </c>
      <c r="N504" t="s">
        <v>12044</v>
      </c>
    </row>
    <row r="505" spans="1:14" x14ac:dyDescent="0.3">
      <c r="A505" s="2" t="s">
        <v>503</v>
      </c>
      <c r="B505" s="2" t="s">
        <v>12045</v>
      </c>
      <c r="C505" s="2">
        <v>62</v>
      </c>
      <c r="D505" s="2" t="s">
        <v>12041</v>
      </c>
      <c r="E505" s="2">
        <f>COUNTIF(Table16[customer_id],Table13[[#This Row],[customer_id]])</f>
        <v>6</v>
      </c>
      <c r="F505" s="13">
        <f>SUMIFS(Table16[Purchase_history],Table16[customer_id],Table13[[#This Row],[customer_id]])</f>
        <v>18096.05</v>
      </c>
      <c r="G505" s="20">
        <v>44354</v>
      </c>
      <c r="H505" s="21">
        <v>44934</v>
      </c>
      <c r="I505" s="15">
        <f>(Table134[[#This Row],[Last_Day]]-Table134[[#This Row],[First_Day]]+1)/365</f>
        <v>1.5917808219178082</v>
      </c>
      <c r="J505" s="59">
        <f>Table134[[#This Row],[number_of_purchases]]/Table134[[#This Row],[customer_total_years]]</f>
        <v>3.7693631669535286</v>
      </c>
      <c r="K505" s="13">
        <f>Table134[[#This Row],[purchase_history]]/Table134[[#This Row],[number_of_purchases]]</f>
        <v>3016.0083333333332</v>
      </c>
      <c r="L505" s="2">
        <f>IF(YEAR(Table134[[#This Row],[Last_Day]])=2021,5,IF(YEAR(Table134[[#This Row],[Last_Day]])=2022,7,IF(YEAR(Table134[[#This Row],[Last_Day]])=2023,10,"Không xác định")))</f>
        <v>10</v>
      </c>
      <c r="M505" s="15">
        <f>Table134[[#This Row],[avg_number_of_purchases]]*Table1345[[#This Row],[avg_purchase_value]]*Table1345[[#This Row],[expected_lifespan]]</f>
        <v>113684.30722891566</v>
      </c>
      <c r="N505" t="s">
        <v>12044</v>
      </c>
    </row>
    <row r="506" spans="1:14" x14ac:dyDescent="0.3">
      <c r="A506" s="2" t="s">
        <v>504</v>
      </c>
      <c r="B506" s="2" t="s">
        <v>12040</v>
      </c>
      <c r="C506" s="2">
        <v>58</v>
      </c>
      <c r="D506" s="2" t="s">
        <v>12049</v>
      </c>
      <c r="E506" s="2">
        <f>COUNTIF(Table16[customer_id],Table13[[#This Row],[customer_id]])</f>
        <v>3</v>
      </c>
      <c r="F506" s="13">
        <f>SUMIFS(Table16[Purchase_history],Table16[customer_id],Table13[[#This Row],[customer_id]])</f>
        <v>3906.2700000000004</v>
      </c>
      <c r="G506" s="20">
        <v>44289</v>
      </c>
      <c r="H506" s="21">
        <v>44740</v>
      </c>
      <c r="I506" s="15">
        <f>(Table134[[#This Row],[Last_Day]]-Table134[[#This Row],[First_Day]]+1)/365</f>
        <v>1.2383561643835617</v>
      </c>
      <c r="J506" s="59">
        <f>Table134[[#This Row],[number_of_purchases]]/Table134[[#This Row],[customer_total_years]]</f>
        <v>2.4225663716814161</v>
      </c>
      <c r="K506" s="13">
        <f>Table134[[#This Row],[purchase_history]]/Table134[[#This Row],[number_of_purchases]]</f>
        <v>1302.0900000000001</v>
      </c>
      <c r="L506" s="2">
        <f>IF(YEAR(Table134[[#This Row],[Last_Day]])=2021,5,IF(YEAR(Table134[[#This Row],[Last_Day]])=2022,7,IF(YEAR(Table134[[#This Row],[Last_Day]])=2023,10,"Không xác định")))</f>
        <v>7</v>
      </c>
      <c r="M506" s="15">
        <f>Table134[[#This Row],[avg_number_of_purchases]]*Table1345[[#This Row],[avg_purchase_value]]*Table1345[[#This Row],[expected_lifespan]]</f>
        <v>22080.796128318587</v>
      </c>
      <c r="N506" t="s">
        <v>12047</v>
      </c>
    </row>
    <row r="507" spans="1:14" x14ac:dyDescent="0.3">
      <c r="A507" s="2" t="s">
        <v>505</v>
      </c>
      <c r="B507" s="2" t="s">
        <v>12045</v>
      </c>
      <c r="C507" s="2">
        <v>63</v>
      </c>
      <c r="D507" s="2" t="s">
        <v>12043</v>
      </c>
      <c r="E507" s="2">
        <f>COUNTIF(Table16[customer_id],Table13[[#This Row],[customer_id]])</f>
        <v>3</v>
      </c>
      <c r="F507" s="13">
        <f>SUMIFS(Table16[Purchase_history],Table16[customer_id],Table13[[#This Row],[customer_id]])</f>
        <v>4884.1899999999996</v>
      </c>
      <c r="G507" s="20">
        <v>44318</v>
      </c>
      <c r="H507" s="21">
        <v>44904</v>
      </c>
      <c r="I507" s="15">
        <f>(Table134[[#This Row],[Last_Day]]-Table134[[#This Row],[First_Day]]+1)/365</f>
        <v>1.6082191780821917</v>
      </c>
      <c r="J507" s="59">
        <f>Table134[[#This Row],[number_of_purchases]]/Table134[[#This Row],[customer_total_years]]</f>
        <v>1.8654173764906303</v>
      </c>
      <c r="K507" s="13">
        <f>Table134[[#This Row],[purchase_history]]/Table134[[#This Row],[number_of_purchases]]</f>
        <v>1628.0633333333333</v>
      </c>
      <c r="L507" s="2">
        <f>IF(YEAR(Table134[[#This Row],[Last_Day]])=2021,5,IF(YEAR(Table134[[#This Row],[Last_Day]])=2022,7,IF(YEAR(Table134[[#This Row],[Last_Day]])=2023,10,"Không xác định")))</f>
        <v>7</v>
      </c>
      <c r="M507" s="15">
        <f>Table134[[#This Row],[avg_number_of_purchases]]*Table1345[[#This Row],[avg_purchase_value]]*Table1345[[#This Row],[expected_lifespan]]</f>
        <v>21259.123424190799</v>
      </c>
      <c r="N507" t="s">
        <v>12048</v>
      </c>
    </row>
    <row r="508" spans="1:14" x14ac:dyDescent="0.3">
      <c r="A508" s="2" t="s">
        <v>506</v>
      </c>
      <c r="B508" s="2" t="s">
        <v>12040</v>
      </c>
      <c r="C508" s="2">
        <v>26</v>
      </c>
      <c r="D508" s="2" t="s">
        <v>12043</v>
      </c>
      <c r="E508" s="2">
        <f>COUNTIF(Table16[customer_id],Table13[[#This Row],[customer_id]])</f>
        <v>7</v>
      </c>
      <c r="F508" s="13">
        <f>SUMIFS(Table16[Purchase_history],Table16[customer_id],Table13[[#This Row],[customer_id]])</f>
        <v>3647.7799999999997</v>
      </c>
      <c r="G508" s="20">
        <v>44373</v>
      </c>
      <c r="H508" s="21">
        <v>44868</v>
      </c>
      <c r="I508" s="15">
        <f>(Table134[[#This Row],[Last_Day]]-Table134[[#This Row],[First_Day]]+1)/365</f>
        <v>1.3589041095890411</v>
      </c>
      <c r="J508" s="59">
        <f>Table134[[#This Row],[number_of_purchases]]/Table134[[#This Row],[customer_total_years]]</f>
        <v>5.151209677419355</v>
      </c>
      <c r="K508" s="13">
        <f>Table134[[#This Row],[purchase_history]]/Table134[[#This Row],[number_of_purchases]]</f>
        <v>521.11142857142852</v>
      </c>
      <c r="L508" s="2">
        <f>IF(YEAR(Table134[[#This Row],[Last_Day]])=2021,5,IF(YEAR(Table134[[#This Row],[Last_Day]])=2022,7,IF(YEAR(Table134[[#This Row],[Last_Day]])=2023,10,"Không xác định")))</f>
        <v>7</v>
      </c>
      <c r="M508" s="15">
        <f>Table134[[#This Row],[avg_number_of_purchases]]*Table1345[[#This Row],[avg_purchase_value]]*Table1345[[#This Row],[expected_lifespan]]</f>
        <v>18790.479637096774</v>
      </c>
      <c r="N508" t="s">
        <v>12046</v>
      </c>
    </row>
    <row r="509" spans="1:14" x14ac:dyDescent="0.3">
      <c r="A509" s="2" t="s">
        <v>507</v>
      </c>
      <c r="B509" s="2" t="s">
        <v>12040</v>
      </c>
      <c r="C509" s="2">
        <v>59</v>
      </c>
      <c r="D509" s="2" t="s">
        <v>12043</v>
      </c>
      <c r="E509" s="2">
        <f>COUNTIF(Table16[customer_id],Table13[[#This Row],[customer_id]])</f>
        <v>1</v>
      </c>
      <c r="F509" s="13">
        <f>SUMIFS(Table16[Purchase_history],Table16[customer_id],Table13[[#This Row],[customer_id]])</f>
        <v>300.08</v>
      </c>
      <c r="G509" s="20">
        <v>44459</v>
      </c>
      <c r="H509" s="21">
        <v>44459</v>
      </c>
      <c r="I509" s="15">
        <f>(Table134[[#This Row],[Last_Day]]-Table134[[#This Row],[First_Day]]+1)/365</f>
        <v>2.7397260273972603E-3</v>
      </c>
      <c r="J509" s="59">
        <f>Table134[[#This Row],[number_of_purchases]]/Table134[[#This Row],[customer_total_years]]</f>
        <v>365</v>
      </c>
      <c r="K509" s="13">
        <f>Table134[[#This Row],[purchase_history]]/Table134[[#This Row],[number_of_purchases]]</f>
        <v>300.08</v>
      </c>
      <c r="L509" s="2">
        <f>IF(YEAR(Table134[[#This Row],[Last_Day]])=2021,5,IF(YEAR(Table134[[#This Row],[Last_Day]])=2022,7,IF(YEAR(Table134[[#This Row],[Last_Day]])=2023,10,"Không xác định")))</f>
        <v>5</v>
      </c>
      <c r="M509" s="15">
        <f>Table134[[#This Row],[avg_number_of_purchases]]*Table1345[[#This Row],[avg_purchase_value]]*Table1345[[#This Row],[expected_lifespan]]</f>
        <v>547646</v>
      </c>
      <c r="N509" t="s">
        <v>12044</v>
      </c>
    </row>
    <row r="510" spans="1:14" x14ac:dyDescent="0.3">
      <c r="A510" s="2" t="s">
        <v>508</v>
      </c>
      <c r="B510" s="2" t="s">
        <v>12045</v>
      </c>
      <c r="C510" s="2">
        <v>63</v>
      </c>
      <c r="D510" s="2" t="s">
        <v>12043</v>
      </c>
      <c r="E510" s="2">
        <f>COUNTIF(Table16[customer_id],Table13[[#This Row],[customer_id]])</f>
        <v>10</v>
      </c>
      <c r="F510" s="13">
        <f>SUMIFS(Table16[Purchase_history],Table16[customer_id],Table13[[#This Row],[customer_id]])</f>
        <v>14694.069999999998</v>
      </c>
      <c r="G510" s="20">
        <v>44211</v>
      </c>
      <c r="H510" s="21">
        <v>44727</v>
      </c>
      <c r="I510" s="15">
        <f>(Table134[[#This Row],[Last_Day]]-Table134[[#This Row],[First_Day]]+1)/365</f>
        <v>1.4164383561643836</v>
      </c>
      <c r="J510" s="59">
        <f>Table134[[#This Row],[number_of_purchases]]/Table134[[#This Row],[customer_total_years]]</f>
        <v>7.0599613152804643</v>
      </c>
      <c r="K510" s="13">
        <f>Table134[[#This Row],[purchase_history]]/Table134[[#This Row],[number_of_purchases]]</f>
        <v>1469.4069999999997</v>
      </c>
      <c r="L510" s="2">
        <f>IF(YEAR(Table134[[#This Row],[Last_Day]])=2021,5,IF(YEAR(Table134[[#This Row],[Last_Day]])=2022,7,IF(YEAR(Table134[[#This Row],[Last_Day]])=2023,10,"Không xác định")))</f>
        <v>7</v>
      </c>
      <c r="M510" s="15">
        <f>Table134[[#This Row],[avg_number_of_purchases]]*Table1345[[#This Row],[avg_purchase_value]]*Table1345[[#This Row],[expected_lifespan]]</f>
        <v>72617.696034816239</v>
      </c>
      <c r="N510" t="s">
        <v>12044</v>
      </c>
    </row>
    <row r="511" spans="1:14" x14ac:dyDescent="0.3">
      <c r="A511" s="2" t="s">
        <v>509</v>
      </c>
      <c r="B511" s="2" t="s">
        <v>12040</v>
      </c>
      <c r="C511" s="2">
        <v>34</v>
      </c>
      <c r="D511" s="2" t="s">
        <v>12041</v>
      </c>
      <c r="E511" s="2">
        <f>COUNTIF(Table16[customer_id],Table13[[#This Row],[customer_id]])</f>
        <v>3</v>
      </c>
      <c r="F511" s="13">
        <f>SUMIFS(Table16[Purchase_history],Table16[customer_id],Table13[[#This Row],[customer_id]])</f>
        <v>5227.0999999999995</v>
      </c>
      <c r="G511" s="20">
        <v>44634</v>
      </c>
      <c r="H511" s="21">
        <v>44742</v>
      </c>
      <c r="I511" s="15">
        <f>(Table134[[#This Row],[Last_Day]]-Table134[[#This Row],[First_Day]]+1)/365</f>
        <v>0.29863013698630136</v>
      </c>
      <c r="J511" s="59">
        <f>Table134[[#This Row],[number_of_purchases]]/Table134[[#This Row],[customer_total_years]]</f>
        <v>10.045871559633028</v>
      </c>
      <c r="K511" s="13">
        <f>Table134[[#This Row],[purchase_history]]/Table134[[#This Row],[number_of_purchases]]</f>
        <v>1742.3666666666666</v>
      </c>
      <c r="L511" s="2">
        <f>IF(YEAR(Table134[[#This Row],[Last_Day]])=2021,5,IF(YEAR(Table134[[#This Row],[Last_Day]])=2022,7,IF(YEAR(Table134[[#This Row],[Last_Day]])=2023,10,"Không xác định")))</f>
        <v>7</v>
      </c>
      <c r="M511" s="15">
        <f>Table134[[#This Row],[avg_number_of_purchases]]*Table1345[[#This Row],[avg_purchase_value]]*Table1345[[#This Row],[expected_lifespan]]</f>
        <v>122525.14220183485</v>
      </c>
      <c r="N511" t="s">
        <v>12044</v>
      </c>
    </row>
    <row r="512" spans="1:14" x14ac:dyDescent="0.3">
      <c r="A512" s="2" t="s">
        <v>510</v>
      </c>
      <c r="B512" s="2" t="s">
        <v>12040</v>
      </c>
      <c r="C512" s="2">
        <v>64</v>
      </c>
      <c r="D512" s="2" t="s">
        <v>12043</v>
      </c>
      <c r="E512" s="2">
        <f>COUNTIF(Table16[customer_id],Table13[[#This Row],[customer_id]])</f>
        <v>5</v>
      </c>
      <c r="F512" s="13">
        <f>SUMIFS(Table16[Purchase_history],Table16[customer_id],Table13[[#This Row],[customer_id]])</f>
        <v>8362.119999999999</v>
      </c>
      <c r="G512" s="20">
        <v>44277</v>
      </c>
      <c r="H512" s="21">
        <v>44776</v>
      </c>
      <c r="I512" s="15">
        <f>(Table134[[#This Row],[Last_Day]]-Table134[[#This Row],[First_Day]]+1)/365</f>
        <v>1.3698630136986301</v>
      </c>
      <c r="J512" s="59">
        <f>Table134[[#This Row],[number_of_purchases]]/Table134[[#This Row],[customer_total_years]]</f>
        <v>3.6500000000000004</v>
      </c>
      <c r="K512" s="13">
        <f>Table134[[#This Row],[purchase_history]]/Table134[[#This Row],[number_of_purchases]]</f>
        <v>1672.4239999999998</v>
      </c>
      <c r="L512" s="2">
        <f>IF(YEAR(Table134[[#This Row],[Last_Day]])=2021,5,IF(YEAR(Table134[[#This Row],[Last_Day]])=2022,7,IF(YEAR(Table134[[#This Row],[Last_Day]])=2023,10,"Không xác định")))</f>
        <v>7</v>
      </c>
      <c r="M512" s="15">
        <f>Table134[[#This Row],[avg_number_of_purchases]]*Table1345[[#This Row],[avg_purchase_value]]*Table1345[[#This Row],[expected_lifespan]]</f>
        <v>42730.433199999999</v>
      </c>
      <c r="N512" t="s">
        <v>12047</v>
      </c>
    </row>
    <row r="513" spans="1:14" x14ac:dyDescent="0.3">
      <c r="A513" s="2" t="s">
        <v>511</v>
      </c>
      <c r="B513" s="2" t="s">
        <v>12040</v>
      </c>
      <c r="C513" s="2">
        <v>64</v>
      </c>
      <c r="D513" s="2" t="s">
        <v>12049</v>
      </c>
      <c r="E513" s="2">
        <f>COUNTIF(Table16[customer_id],Table13[[#This Row],[customer_id]])</f>
        <v>4</v>
      </c>
      <c r="F513" s="13">
        <f>SUMIFS(Table16[Purchase_history],Table16[customer_id],Table13[[#This Row],[customer_id]])</f>
        <v>2718.9599999999996</v>
      </c>
      <c r="G513" s="20">
        <v>44362</v>
      </c>
      <c r="H513" s="21">
        <v>44951</v>
      </c>
      <c r="I513" s="15">
        <f>(Table134[[#This Row],[Last_Day]]-Table134[[#This Row],[First_Day]]+1)/365</f>
        <v>1.6164383561643836</v>
      </c>
      <c r="J513" s="59">
        <f>Table134[[#This Row],[number_of_purchases]]/Table134[[#This Row],[customer_total_years]]</f>
        <v>2.4745762711864407</v>
      </c>
      <c r="K513" s="13">
        <f>Table134[[#This Row],[purchase_history]]/Table134[[#This Row],[number_of_purchases]]</f>
        <v>679.7399999999999</v>
      </c>
      <c r="L513" s="2">
        <f>IF(YEAR(Table134[[#This Row],[Last_Day]])=2021,5,IF(YEAR(Table134[[#This Row],[Last_Day]])=2022,7,IF(YEAR(Table134[[#This Row],[Last_Day]])=2023,10,"Không xác định")))</f>
        <v>10</v>
      </c>
      <c r="M513" s="15">
        <f>Table134[[#This Row],[avg_number_of_purchases]]*Table1345[[#This Row],[avg_purchase_value]]*Table1345[[#This Row],[expected_lifespan]]</f>
        <v>16820.684745762708</v>
      </c>
      <c r="N513" t="s">
        <v>12046</v>
      </c>
    </row>
    <row r="514" spans="1:14" x14ac:dyDescent="0.3">
      <c r="A514" s="2" t="s">
        <v>512</v>
      </c>
      <c r="B514" s="2" t="s">
        <v>12040</v>
      </c>
      <c r="C514" s="2">
        <v>52</v>
      </c>
      <c r="D514" s="2" t="s">
        <v>12049</v>
      </c>
      <c r="E514" s="2">
        <f>COUNTIF(Table16[customer_id],Table13[[#This Row],[customer_id]])</f>
        <v>7</v>
      </c>
      <c r="F514" s="13">
        <f>SUMIFS(Table16[Purchase_history],Table16[customer_id],Table13[[#This Row],[customer_id]])</f>
        <v>13662.560000000001</v>
      </c>
      <c r="G514" s="20">
        <v>44325</v>
      </c>
      <c r="H514" s="21">
        <v>44910</v>
      </c>
      <c r="I514" s="15">
        <f>(Table134[[#This Row],[Last_Day]]-Table134[[#This Row],[First_Day]]+1)/365</f>
        <v>1.6054794520547946</v>
      </c>
      <c r="J514" s="59">
        <f>Table134[[#This Row],[number_of_purchases]]/Table134[[#This Row],[customer_total_years]]</f>
        <v>4.360068259385665</v>
      </c>
      <c r="K514" s="13">
        <f>Table134[[#This Row],[purchase_history]]/Table134[[#This Row],[number_of_purchases]]</f>
        <v>1951.7942857142859</v>
      </c>
      <c r="L514" s="2">
        <f>IF(YEAR(Table134[[#This Row],[Last_Day]])=2021,5,IF(YEAR(Table134[[#This Row],[Last_Day]])=2022,7,IF(YEAR(Table134[[#This Row],[Last_Day]])=2023,10,"Không xác định")))</f>
        <v>7</v>
      </c>
      <c r="M514" s="15">
        <f>Table134[[#This Row],[avg_number_of_purchases]]*Table1345[[#This Row],[avg_purchase_value]]*Table1345[[#This Row],[expected_lifespan]]</f>
        <v>59569.694197952223</v>
      </c>
      <c r="N514" t="s">
        <v>12046</v>
      </c>
    </row>
    <row r="515" spans="1:14" x14ac:dyDescent="0.3">
      <c r="A515" s="2" t="s">
        <v>513</v>
      </c>
      <c r="B515" s="2" t="s">
        <v>12045</v>
      </c>
      <c r="C515" s="2">
        <v>51</v>
      </c>
      <c r="D515" s="2" t="s">
        <v>12041</v>
      </c>
      <c r="E515" s="2">
        <f>COUNTIF(Table16[customer_id],Table13[[#This Row],[customer_id]])</f>
        <v>4</v>
      </c>
      <c r="F515" s="13">
        <f>SUMIFS(Table16[Purchase_history],Table16[customer_id],Table13[[#This Row],[customer_id]])</f>
        <v>10185.56</v>
      </c>
      <c r="G515" s="20">
        <v>44358</v>
      </c>
      <c r="H515" s="21">
        <v>44632</v>
      </c>
      <c r="I515" s="15">
        <f>(Table134[[#This Row],[Last_Day]]-Table134[[#This Row],[First_Day]]+1)/365</f>
        <v>0.75342465753424659</v>
      </c>
      <c r="J515" s="59">
        <f>Table134[[#This Row],[number_of_purchases]]/Table134[[#This Row],[customer_total_years]]</f>
        <v>5.3090909090909086</v>
      </c>
      <c r="K515" s="13">
        <f>Table134[[#This Row],[purchase_history]]/Table134[[#This Row],[number_of_purchases]]</f>
        <v>2546.39</v>
      </c>
      <c r="L515" s="2">
        <f>IF(YEAR(Table134[[#This Row],[Last_Day]])=2021,5,IF(YEAR(Table134[[#This Row],[Last_Day]])=2022,7,IF(YEAR(Table134[[#This Row],[Last_Day]])=2023,10,"Không xác định")))</f>
        <v>7</v>
      </c>
      <c r="M515" s="15">
        <f>Table134[[#This Row],[avg_number_of_purchases]]*Table1345[[#This Row],[avg_purchase_value]]*Table1345[[#This Row],[expected_lifespan]]</f>
        <v>94633.111999999979</v>
      </c>
      <c r="N515" t="s">
        <v>12048</v>
      </c>
    </row>
    <row r="516" spans="1:14" x14ac:dyDescent="0.3">
      <c r="A516" s="2" t="s">
        <v>514</v>
      </c>
      <c r="B516" s="2" t="s">
        <v>12040</v>
      </c>
      <c r="C516" s="2">
        <v>61</v>
      </c>
      <c r="D516" s="2" t="s">
        <v>12043</v>
      </c>
      <c r="E516" s="2">
        <f>COUNTIF(Table16[customer_id],Table13[[#This Row],[customer_id]])</f>
        <v>5</v>
      </c>
      <c r="F516" s="13">
        <f>SUMIFS(Table16[Purchase_history],Table16[customer_id],Table13[[#This Row],[customer_id]])</f>
        <v>18407.32</v>
      </c>
      <c r="G516" s="20">
        <v>44244</v>
      </c>
      <c r="H516" s="21">
        <v>44945</v>
      </c>
      <c r="I516" s="15">
        <f>(Table134[[#This Row],[Last_Day]]-Table134[[#This Row],[First_Day]]+1)/365</f>
        <v>1.9232876712328768</v>
      </c>
      <c r="J516" s="59">
        <f>Table134[[#This Row],[number_of_purchases]]/Table134[[#This Row],[customer_total_years]]</f>
        <v>2.5997150997150995</v>
      </c>
      <c r="K516" s="13">
        <f>Table134[[#This Row],[purchase_history]]/Table134[[#This Row],[number_of_purchases]]</f>
        <v>3681.4639999999999</v>
      </c>
      <c r="L516" s="2">
        <f>IF(YEAR(Table134[[#This Row],[Last_Day]])=2021,5,IF(YEAR(Table134[[#This Row],[Last_Day]])=2022,7,IF(YEAR(Table134[[#This Row],[Last_Day]])=2023,10,"Không xác định")))</f>
        <v>10</v>
      </c>
      <c r="M516" s="15">
        <f>Table134[[#This Row],[avg_number_of_purchases]]*Table1345[[#This Row],[avg_purchase_value]]*Table1345[[#This Row],[expected_lifespan]]</f>
        <v>95707.57549857549</v>
      </c>
      <c r="N516" t="s">
        <v>12044</v>
      </c>
    </row>
    <row r="517" spans="1:14" x14ac:dyDescent="0.3">
      <c r="A517" s="2" t="s">
        <v>515</v>
      </c>
      <c r="B517" s="2" t="s">
        <v>12040</v>
      </c>
      <c r="C517" s="2">
        <v>55</v>
      </c>
      <c r="D517" s="2" t="s">
        <v>12043</v>
      </c>
      <c r="E517" s="2">
        <f>COUNTIF(Table16[customer_id],Table13[[#This Row],[customer_id]])</f>
        <v>4</v>
      </c>
      <c r="F517" s="13">
        <f>SUMIFS(Table16[Purchase_history],Table16[customer_id],Table13[[#This Row],[customer_id]])</f>
        <v>5557.25</v>
      </c>
      <c r="G517" s="20">
        <v>44289</v>
      </c>
      <c r="H517" s="21">
        <v>44807</v>
      </c>
      <c r="I517" s="15">
        <f>(Table134[[#This Row],[Last_Day]]-Table134[[#This Row],[First_Day]]+1)/365</f>
        <v>1.4219178082191781</v>
      </c>
      <c r="J517" s="59">
        <f>Table134[[#This Row],[number_of_purchases]]/Table134[[#This Row],[customer_total_years]]</f>
        <v>2.8131021194605008</v>
      </c>
      <c r="K517" s="13">
        <f>Table134[[#This Row],[purchase_history]]/Table134[[#This Row],[number_of_purchases]]</f>
        <v>1389.3125</v>
      </c>
      <c r="L517" s="2">
        <f>IF(YEAR(Table134[[#This Row],[Last_Day]])=2021,5,IF(YEAR(Table134[[#This Row],[Last_Day]])=2022,7,IF(YEAR(Table134[[#This Row],[Last_Day]])=2023,10,"Không xác định")))</f>
        <v>7</v>
      </c>
      <c r="M517" s="15">
        <f>Table134[[#This Row],[avg_number_of_purchases]]*Table1345[[#This Row],[avg_purchase_value]]*Table1345[[#This Row],[expected_lifespan]]</f>
        <v>27357.94556840077</v>
      </c>
      <c r="N517" t="s">
        <v>12044</v>
      </c>
    </row>
    <row r="518" spans="1:14" x14ac:dyDescent="0.3">
      <c r="A518" s="2" t="s">
        <v>516</v>
      </c>
      <c r="B518" s="2" t="s">
        <v>12040</v>
      </c>
      <c r="C518" s="2">
        <v>47</v>
      </c>
      <c r="D518" s="2" t="s">
        <v>12041</v>
      </c>
      <c r="E518" s="2">
        <f>COUNTIF(Table16[customer_id],Table13[[#This Row],[customer_id]])</f>
        <v>4</v>
      </c>
      <c r="F518" s="13">
        <f>SUMIFS(Table16[Purchase_history],Table16[customer_id],Table13[[#This Row],[customer_id]])</f>
        <v>4008.8199999999997</v>
      </c>
      <c r="G518" s="20">
        <v>44296</v>
      </c>
      <c r="H518" s="21">
        <v>44735</v>
      </c>
      <c r="I518" s="15">
        <f>(Table134[[#This Row],[Last_Day]]-Table134[[#This Row],[First_Day]]+1)/365</f>
        <v>1.2054794520547945</v>
      </c>
      <c r="J518" s="59">
        <f>Table134[[#This Row],[number_of_purchases]]/Table134[[#This Row],[customer_total_years]]</f>
        <v>3.3181818181818183</v>
      </c>
      <c r="K518" s="13">
        <f>Table134[[#This Row],[purchase_history]]/Table134[[#This Row],[number_of_purchases]]</f>
        <v>1002.2049999999999</v>
      </c>
      <c r="L518" s="2">
        <f>IF(YEAR(Table134[[#This Row],[Last_Day]])=2021,5,IF(YEAR(Table134[[#This Row],[Last_Day]])=2022,7,IF(YEAR(Table134[[#This Row],[Last_Day]])=2023,10,"Không xác định")))</f>
        <v>7</v>
      </c>
      <c r="M518" s="15">
        <f>Table134[[#This Row],[avg_number_of_purchases]]*Table1345[[#This Row],[avg_purchase_value]]*Table1345[[#This Row],[expected_lifespan]]</f>
        <v>23278.488863636361</v>
      </c>
      <c r="N518" t="s">
        <v>12042</v>
      </c>
    </row>
    <row r="519" spans="1:14" x14ac:dyDescent="0.3">
      <c r="A519" s="2" t="s">
        <v>517</v>
      </c>
      <c r="B519" s="2" t="s">
        <v>12045</v>
      </c>
      <c r="C519" s="2">
        <v>67</v>
      </c>
      <c r="D519" s="2" t="s">
        <v>12043</v>
      </c>
      <c r="E519" s="2">
        <f>COUNTIF(Table16[customer_id],Table13[[#This Row],[customer_id]])</f>
        <v>3</v>
      </c>
      <c r="F519" s="13">
        <f>SUMIFS(Table16[Purchase_history],Table16[customer_id],Table13[[#This Row],[customer_id]])</f>
        <v>1866.03</v>
      </c>
      <c r="G519" s="20">
        <v>44254</v>
      </c>
      <c r="H519" s="21">
        <v>44871</v>
      </c>
      <c r="I519" s="15">
        <f>(Table134[[#This Row],[Last_Day]]-Table134[[#This Row],[First_Day]]+1)/365</f>
        <v>1.6931506849315068</v>
      </c>
      <c r="J519" s="59">
        <f>Table134[[#This Row],[number_of_purchases]]/Table134[[#This Row],[customer_total_years]]</f>
        <v>1.7718446601941749</v>
      </c>
      <c r="K519" s="13">
        <f>Table134[[#This Row],[purchase_history]]/Table134[[#This Row],[number_of_purchases]]</f>
        <v>622.01</v>
      </c>
      <c r="L519" s="2">
        <f>IF(YEAR(Table134[[#This Row],[Last_Day]])=2021,5,IF(YEAR(Table134[[#This Row],[Last_Day]])=2022,7,IF(YEAR(Table134[[#This Row],[Last_Day]])=2023,10,"Không xác định")))</f>
        <v>7</v>
      </c>
      <c r="M519" s="15">
        <f>Table134[[#This Row],[avg_number_of_purchases]]*Table1345[[#This Row],[avg_purchase_value]]*Table1345[[#This Row],[expected_lifespan]]</f>
        <v>7714.735679611651</v>
      </c>
      <c r="N519" t="s">
        <v>12042</v>
      </c>
    </row>
    <row r="520" spans="1:14" x14ac:dyDescent="0.3">
      <c r="A520" s="2" t="s">
        <v>518</v>
      </c>
      <c r="B520" s="2" t="s">
        <v>12045</v>
      </c>
      <c r="C520" s="2">
        <v>31</v>
      </c>
      <c r="D520" s="2" t="s">
        <v>12041</v>
      </c>
      <c r="E520" s="2">
        <f>COUNTIF(Table16[customer_id],Table13[[#This Row],[customer_id]])</f>
        <v>7</v>
      </c>
      <c r="F520" s="13">
        <f>SUMIFS(Table16[Purchase_history],Table16[customer_id],Table13[[#This Row],[customer_id]])</f>
        <v>14576.130000000001</v>
      </c>
      <c r="G520" s="20">
        <v>44516</v>
      </c>
      <c r="H520" s="21">
        <v>44988</v>
      </c>
      <c r="I520" s="15">
        <f>(Table134[[#This Row],[Last_Day]]-Table134[[#This Row],[First_Day]]+1)/365</f>
        <v>1.295890410958904</v>
      </c>
      <c r="J520" s="59">
        <f>Table134[[#This Row],[number_of_purchases]]/Table134[[#This Row],[customer_total_years]]</f>
        <v>5.4016913319238906</v>
      </c>
      <c r="K520" s="13">
        <f>Table134[[#This Row],[purchase_history]]/Table134[[#This Row],[number_of_purchases]]</f>
        <v>2082.3042857142859</v>
      </c>
      <c r="L520" s="2">
        <f>IF(YEAR(Table134[[#This Row],[Last_Day]])=2021,5,IF(YEAR(Table134[[#This Row],[Last_Day]])=2022,7,IF(YEAR(Table134[[#This Row],[Last_Day]])=2023,10,"Không xác định")))</f>
        <v>10</v>
      </c>
      <c r="M520" s="15">
        <f>Table134[[#This Row],[avg_number_of_purchases]]*Table1345[[#This Row],[avg_purchase_value]]*Table1345[[#This Row],[expected_lifespan]]</f>
        <v>112479.65010570826</v>
      </c>
      <c r="N520" t="s">
        <v>12048</v>
      </c>
    </row>
    <row r="521" spans="1:14" x14ac:dyDescent="0.3">
      <c r="A521" s="2" t="s">
        <v>519</v>
      </c>
      <c r="B521" s="2" t="s">
        <v>12040</v>
      </c>
      <c r="C521" s="2">
        <v>29</v>
      </c>
      <c r="D521" s="2" t="s">
        <v>12041</v>
      </c>
      <c r="E521" s="2">
        <f>COUNTIF(Table16[customer_id],Table13[[#This Row],[customer_id]])</f>
        <v>5</v>
      </c>
      <c r="F521" s="13">
        <f>SUMIFS(Table16[Purchase_history],Table16[customer_id],Table13[[#This Row],[customer_id]])</f>
        <v>26875.309999999998</v>
      </c>
      <c r="G521" s="20">
        <v>44381</v>
      </c>
      <c r="H521" s="21">
        <v>44961</v>
      </c>
      <c r="I521" s="15">
        <f>(Table134[[#This Row],[Last_Day]]-Table134[[#This Row],[First_Day]]+1)/365</f>
        <v>1.5917808219178082</v>
      </c>
      <c r="J521" s="59">
        <f>Table134[[#This Row],[number_of_purchases]]/Table134[[#This Row],[customer_total_years]]</f>
        <v>3.1411359724612735</v>
      </c>
      <c r="K521" s="13">
        <f>Table134[[#This Row],[purchase_history]]/Table134[[#This Row],[number_of_purchases]]</f>
        <v>5375.0619999999999</v>
      </c>
      <c r="L521" s="2">
        <f>IF(YEAR(Table134[[#This Row],[Last_Day]])=2021,5,IF(YEAR(Table134[[#This Row],[Last_Day]])=2022,7,IF(YEAR(Table134[[#This Row],[Last_Day]])=2023,10,"Không xác định")))</f>
        <v>10</v>
      </c>
      <c r="M521" s="15">
        <f>Table134[[#This Row],[avg_number_of_purchases]]*Table1345[[#This Row],[avg_purchase_value]]*Table1345[[#This Row],[expected_lifespan]]</f>
        <v>168838.00602409636</v>
      </c>
      <c r="N521" t="s">
        <v>12044</v>
      </c>
    </row>
    <row r="522" spans="1:14" x14ac:dyDescent="0.3">
      <c r="A522" s="2" t="s">
        <v>520</v>
      </c>
      <c r="B522" s="2" t="s">
        <v>12045</v>
      </c>
      <c r="C522" s="2">
        <v>67</v>
      </c>
      <c r="D522" s="2" t="s">
        <v>12041</v>
      </c>
      <c r="E522" s="2">
        <f>COUNTIF(Table16[customer_id],Table13[[#This Row],[customer_id]])</f>
        <v>8</v>
      </c>
      <c r="F522" s="13">
        <f>SUMIFS(Table16[Purchase_history],Table16[customer_id],Table13[[#This Row],[customer_id]])</f>
        <v>7089.0300000000007</v>
      </c>
      <c r="G522" s="20">
        <v>44341</v>
      </c>
      <c r="H522" s="21">
        <v>44993</v>
      </c>
      <c r="I522" s="15">
        <f>(Table134[[#This Row],[Last_Day]]-Table134[[#This Row],[First_Day]]+1)/365</f>
        <v>1.789041095890411</v>
      </c>
      <c r="J522" s="59">
        <f>Table134[[#This Row],[number_of_purchases]]/Table134[[#This Row],[customer_total_years]]</f>
        <v>4.4716692189892804</v>
      </c>
      <c r="K522" s="13">
        <f>Table134[[#This Row],[purchase_history]]/Table134[[#This Row],[number_of_purchases]]</f>
        <v>886.12875000000008</v>
      </c>
      <c r="L522" s="2">
        <f>IF(YEAR(Table134[[#This Row],[Last_Day]])=2021,5,IF(YEAR(Table134[[#This Row],[Last_Day]])=2022,7,IF(YEAR(Table134[[#This Row],[Last_Day]])=2023,10,"Không xác định")))</f>
        <v>10</v>
      </c>
      <c r="M522" s="15">
        <f>Table134[[#This Row],[avg_number_of_purchases]]*Table1345[[#This Row],[avg_purchase_value]]*Table1345[[#This Row],[expected_lifespan]]</f>
        <v>39624.746554364479</v>
      </c>
      <c r="N522" t="s">
        <v>12044</v>
      </c>
    </row>
    <row r="523" spans="1:14" x14ac:dyDescent="0.3">
      <c r="A523" s="2" t="s">
        <v>521</v>
      </c>
      <c r="B523" s="2" t="s">
        <v>12040</v>
      </c>
      <c r="C523" s="2">
        <v>30</v>
      </c>
      <c r="D523" s="2" t="s">
        <v>12041</v>
      </c>
      <c r="E523" s="2">
        <f>COUNTIF(Table16[customer_id],Table13[[#This Row],[customer_id]])</f>
        <v>5</v>
      </c>
      <c r="F523" s="13">
        <f>SUMIFS(Table16[Purchase_history],Table16[customer_id],Table13[[#This Row],[customer_id]])</f>
        <v>8044.4800000000005</v>
      </c>
      <c r="G523" s="20">
        <v>44392</v>
      </c>
      <c r="H523" s="21">
        <v>44973</v>
      </c>
      <c r="I523" s="15">
        <f>(Table134[[#This Row],[Last_Day]]-Table134[[#This Row],[First_Day]]+1)/365</f>
        <v>1.5945205479452054</v>
      </c>
      <c r="J523" s="59">
        <f>Table134[[#This Row],[number_of_purchases]]/Table134[[#This Row],[customer_total_years]]</f>
        <v>3.1357388316151207</v>
      </c>
      <c r="K523" s="13">
        <f>Table134[[#This Row],[purchase_history]]/Table134[[#This Row],[number_of_purchases]]</f>
        <v>1608.8960000000002</v>
      </c>
      <c r="L523" s="2">
        <f>IF(YEAR(Table134[[#This Row],[Last_Day]])=2021,5,IF(YEAR(Table134[[#This Row],[Last_Day]])=2022,7,IF(YEAR(Table134[[#This Row],[Last_Day]])=2023,10,"Không xác định")))</f>
        <v>10</v>
      </c>
      <c r="M523" s="15">
        <f>Table134[[#This Row],[avg_number_of_purchases]]*Table1345[[#This Row],[avg_purchase_value]]*Table1345[[#This Row],[expected_lifespan]]</f>
        <v>50450.776632302412</v>
      </c>
      <c r="N523" t="s">
        <v>12044</v>
      </c>
    </row>
    <row r="524" spans="1:14" x14ac:dyDescent="0.3">
      <c r="A524" s="2" t="s">
        <v>522</v>
      </c>
      <c r="B524" s="2" t="s">
        <v>12040</v>
      </c>
      <c r="C524" s="2">
        <v>18</v>
      </c>
      <c r="D524" s="2" t="s">
        <v>12043</v>
      </c>
      <c r="E524" s="2">
        <f>COUNTIF(Table16[customer_id],Table13[[#This Row],[customer_id]])</f>
        <v>2</v>
      </c>
      <c r="F524" s="13">
        <f>SUMIFS(Table16[Purchase_history],Table16[customer_id],Table13[[#This Row],[customer_id]])</f>
        <v>7562.6</v>
      </c>
      <c r="G524" s="20">
        <v>44334</v>
      </c>
      <c r="H524" s="21">
        <v>44897</v>
      </c>
      <c r="I524" s="15">
        <f>(Table134[[#This Row],[Last_Day]]-Table134[[#This Row],[First_Day]]+1)/365</f>
        <v>1.5452054794520549</v>
      </c>
      <c r="J524" s="59">
        <f>Table134[[#This Row],[number_of_purchases]]/Table134[[#This Row],[customer_total_years]]</f>
        <v>1.2943262411347516</v>
      </c>
      <c r="K524" s="13">
        <f>Table134[[#This Row],[purchase_history]]/Table134[[#This Row],[number_of_purchases]]</f>
        <v>3781.3</v>
      </c>
      <c r="L524" s="2">
        <f>IF(YEAR(Table134[[#This Row],[Last_Day]])=2021,5,IF(YEAR(Table134[[#This Row],[Last_Day]])=2022,7,IF(YEAR(Table134[[#This Row],[Last_Day]])=2023,10,"Không xác định")))</f>
        <v>7</v>
      </c>
      <c r="M524" s="15">
        <f>Table134[[#This Row],[avg_number_of_purchases]]*Table1345[[#This Row],[avg_purchase_value]]*Table1345[[#This Row],[expected_lifespan]]</f>
        <v>34259.650709219859</v>
      </c>
      <c r="N524" t="s">
        <v>12042</v>
      </c>
    </row>
    <row r="525" spans="1:14" x14ac:dyDescent="0.3">
      <c r="A525" s="2" t="s">
        <v>523</v>
      </c>
      <c r="B525" s="2" t="s">
        <v>12040</v>
      </c>
      <c r="C525" s="2">
        <v>28</v>
      </c>
      <c r="D525" s="2" t="s">
        <v>12041</v>
      </c>
      <c r="E525" s="2">
        <f>COUNTIF(Table16[customer_id],Table13[[#This Row],[customer_id]])</f>
        <v>5</v>
      </c>
      <c r="F525" s="13">
        <f>SUMIFS(Table16[Purchase_history],Table16[customer_id],Table13[[#This Row],[customer_id]])</f>
        <v>10548.69</v>
      </c>
      <c r="G525" s="20">
        <v>44352</v>
      </c>
      <c r="H525" s="21">
        <v>44568</v>
      </c>
      <c r="I525" s="15">
        <f>(Table134[[#This Row],[Last_Day]]-Table134[[#This Row],[First_Day]]+1)/365</f>
        <v>0.59452054794520548</v>
      </c>
      <c r="J525" s="59">
        <f>Table134[[#This Row],[number_of_purchases]]/Table134[[#This Row],[customer_total_years]]</f>
        <v>8.410138248847927</v>
      </c>
      <c r="K525" s="13">
        <f>Table134[[#This Row],[purchase_history]]/Table134[[#This Row],[number_of_purchases]]</f>
        <v>2109.7380000000003</v>
      </c>
      <c r="L525" s="2">
        <f>IF(YEAR(Table134[[#This Row],[Last_Day]])=2021,5,IF(YEAR(Table134[[#This Row],[Last_Day]])=2022,7,IF(YEAR(Table134[[#This Row],[Last_Day]])=2023,10,"Không xác định")))</f>
        <v>7</v>
      </c>
      <c r="M525" s="15">
        <f>Table134[[#This Row],[avg_number_of_purchases]]*Table1345[[#This Row],[avg_purchase_value]]*Table1345[[#This Row],[expected_lifespan]]</f>
        <v>124202.31774193552</v>
      </c>
      <c r="N525" t="s">
        <v>12046</v>
      </c>
    </row>
    <row r="526" spans="1:14" x14ac:dyDescent="0.3">
      <c r="A526" s="2" t="s">
        <v>524</v>
      </c>
      <c r="B526" s="2" t="s">
        <v>12040</v>
      </c>
      <c r="C526" s="2">
        <v>36</v>
      </c>
      <c r="D526" s="2" t="s">
        <v>12049</v>
      </c>
      <c r="E526" s="2">
        <f>COUNTIF(Table16[customer_id],Table13[[#This Row],[customer_id]])</f>
        <v>3</v>
      </c>
      <c r="F526" s="13">
        <f>SUMIFS(Table16[Purchase_history],Table16[customer_id],Table13[[#This Row],[customer_id]])</f>
        <v>3463.53</v>
      </c>
      <c r="G526" s="20">
        <v>44271</v>
      </c>
      <c r="H526" s="21">
        <v>44699</v>
      </c>
      <c r="I526" s="15">
        <f>(Table134[[#This Row],[Last_Day]]-Table134[[#This Row],[First_Day]]+1)/365</f>
        <v>1.1753424657534246</v>
      </c>
      <c r="J526" s="59">
        <f>Table134[[#This Row],[number_of_purchases]]/Table134[[#This Row],[customer_total_years]]</f>
        <v>2.5524475524475525</v>
      </c>
      <c r="K526" s="13">
        <f>Table134[[#This Row],[purchase_history]]/Table134[[#This Row],[number_of_purchases]]</f>
        <v>1154.51</v>
      </c>
      <c r="L526" s="2">
        <f>IF(YEAR(Table134[[#This Row],[Last_Day]])=2021,5,IF(YEAR(Table134[[#This Row],[Last_Day]])=2022,7,IF(YEAR(Table134[[#This Row],[Last_Day]])=2023,10,"Không xác định")))</f>
        <v>7</v>
      </c>
      <c r="M526" s="15">
        <f>Table134[[#This Row],[avg_number_of_purchases]]*Table1345[[#This Row],[avg_purchase_value]]*Table1345[[#This Row],[expected_lifespan]]</f>
        <v>20627.783566433565</v>
      </c>
      <c r="N526" t="s">
        <v>12042</v>
      </c>
    </row>
    <row r="527" spans="1:14" x14ac:dyDescent="0.3">
      <c r="A527" s="2" t="s">
        <v>525</v>
      </c>
      <c r="B527" s="2" t="s">
        <v>12045</v>
      </c>
      <c r="C527" s="2">
        <v>69</v>
      </c>
      <c r="D527" s="2" t="s">
        <v>12043</v>
      </c>
      <c r="E527" s="2">
        <f>COUNTIF(Table16[customer_id],Table13[[#This Row],[customer_id]])</f>
        <v>3</v>
      </c>
      <c r="F527" s="13">
        <f>SUMIFS(Table16[Purchase_history],Table16[customer_id],Table13[[#This Row],[customer_id]])</f>
        <v>26529.71</v>
      </c>
      <c r="G527" s="20">
        <v>44403</v>
      </c>
      <c r="H527" s="21">
        <v>44962</v>
      </c>
      <c r="I527" s="15">
        <f>(Table134[[#This Row],[Last_Day]]-Table134[[#This Row],[First_Day]]+1)/365</f>
        <v>1.5342465753424657</v>
      </c>
      <c r="J527" s="59">
        <f>Table134[[#This Row],[number_of_purchases]]/Table134[[#This Row],[customer_total_years]]</f>
        <v>1.955357142857143</v>
      </c>
      <c r="K527" s="13">
        <f>Table134[[#This Row],[purchase_history]]/Table134[[#This Row],[number_of_purchases]]</f>
        <v>8843.2366666666658</v>
      </c>
      <c r="L527" s="2">
        <f>IF(YEAR(Table134[[#This Row],[Last_Day]])=2021,5,IF(YEAR(Table134[[#This Row],[Last_Day]])=2022,7,IF(YEAR(Table134[[#This Row],[Last_Day]])=2023,10,"Không xác định")))</f>
        <v>10</v>
      </c>
      <c r="M527" s="15">
        <f>Table134[[#This Row],[avg_number_of_purchases]]*Table1345[[#This Row],[avg_purchase_value]]*Table1345[[#This Row],[expected_lifespan]]</f>
        <v>172916.85982142854</v>
      </c>
      <c r="N527" t="s">
        <v>12048</v>
      </c>
    </row>
    <row r="528" spans="1:14" x14ac:dyDescent="0.3">
      <c r="A528" s="2" t="s">
        <v>526</v>
      </c>
      <c r="B528" s="2" t="s">
        <v>12045</v>
      </c>
      <c r="C528" s="2">
        <v>62</v>
      </c>
      <c r="D528" s="2" t="s">
        <v>12043</v>
      </c>
      <c r="E528" s="2">
        <f>COUNTIF(Table16[customer_id],Table13[[#This Row],[customer_id]])</f>
        <v>7</v>
      </c>
      <c r="F528" s="13">
        <f>SUMIFS(Table16[Purchase_history],Table16[customer_id],Table13[[#This Row],[customer_id]])</f>
        <v>18740.370000000003</v>
      </c>
      <c r="G528" s="20">
        <v>44270</v>
      </c>
      <c r="H528" s="21">
        <v>44907</v>
      </c>
      <c r="I528" s="15">
        <f>(Table134[[#This Row],[Last_Day]]-Table134[[#This Row],[First_Day]]+1)/365</f>
        <v>1.747945205479452</v>
      </c>
      <c r="J528" s="59">
        <f>Table134[[#This Row],[number_of_purchases]]/Table134[[#This Row],[customer_total_years]]</f>
        <v>4.0047021943573666</v>
      </c>
      <c r="K528" s="13">
        <f>Table134[[#This Row],[purchase_history]]/Table134[[#This Row],[number_of_purchases]]</f>
        <v>2677.1957142857145</v>
      </c>
      <c r="L528" s="2">
        <f>IF(YEAR(Table134[[#This Row],[Last_Day]])=2021,5,IF(YEAR(Table134[[#This Row],[Last_Day]])=2022,7,IF(YEAR(Table134[[#This Row],[Last_Day]])=2023,10,"Không xác định")))</f>
        <v>7</v>
      </c>
      <c r="M528" s="15">
        <f>Table134[[#This Row],[avg_number_of_purchases]]*Table1345[[#This Row],[avg_purchase_value]]*Table1345[[#This Row],[expected_lifespan]]</f>
        <v>75049.600862068968</v>
      </c>
      <c r="N528" t="s">
        <v>12042</v>
      </c>
    </row>
    <row r="529" spans="1:14" x14ac:dyDescent="0.3">
      <c r="A529" s="2" t="s">
        <v>527</v>
      </c>
      <c r="B529" s="2" t="s">
        <v>12040</v>
      </c>
      <c r="C529" s="2">
        <v>57</v>
      </c>
      <c r="D529" s="2" t="s">
        <v>12043</v>
      </c>
      <c r="E529" s="2">
        <f>COUNTIF(Table16[customer_id],Table13[[#This Row],[customer_id]])</f>
        <v>3</v>
      </c>
      <c r="F529" s="13">
        <f>SUMIFS(Table16[Purchase_history],Table16[customer_id],Table13[[#This Row],[customer_id]])</f>
        <v>8181.01</v>
      </c>
      <c r="G529" s="20">
        <v>44348</v>
      </c>
      <c r="H529" s="21">
        <v>44761</v>
      </c>
      <c r="I529" s="15">
        <f>(Table134[[#This Row],[Last_Day]]-Table134[[#This Row],[First_Day]]+1)/365</f>
        <v>1.1342465753424658</v>
      </c>
      <c r="J529" s="59">
        <f>Table134[[#This Row],[number_of_purchases]]/Table134[[#This Row],[customer_total_years]]</f>
        <v>2.6449275362318843</v>
      </c>
      <c r="K529" s="13">
        <f>Table134[[#This Row],[purchase_history]]/Table134[[#This Row],[number_of_purchases]]</f>
        <v>2727.0033333333336</v>
      </c>
      <c r="L529" s="2">
        <f>IF(YEAR(Table134[[#This Row],[Last_Day]])=2021,5,IF(YEAR(Table134[[#This Row],[Last_Day]])=2022,7,IF(YEAR(Table134[[#This Row],[Last_Day]])=2023,10,"Không xác định")))</f>
        <v>7</v>
      </c>
      <c r="M529" s="15">
        <f>Table134[[#This Row],[avg_number_of_purchases]]*Table1345[[#This Row],[avg_purchase_value]]*Table1345[[#This Row],[expected_lifespan]]</f>
        <v>50489.083454106287</v>
      </c>
      <c r="N529" t="s">
        <v>12044</v>
      </c>
    </row>
    <row r="530" spans="1:14" x14ac:dyDescent="0.3">
      <c r="A530" s="2" t="s">
        <v>528</v>
      </c>
      <c r="B530" s="2" t="s">
        <v>12040</v>
      </c>
      <c r="C530" s="2">
        <v>43</v>
      </c>
      <c r="D530" s="2" t="s">
        <v>12049</v>
      </c>
      <c r="E530" s="2">
        <f>COUNTIF(Table16[customer_id],Table13[[#This Row],[customer_id]])</f>
        <v>4</v>
      </c>
      <c r="F530" s="13">
        <f>SUMIFS(Table16[Purchase_history],Table16[customer_id],Table13[[#This Row],[customer_id]])</f>
        <v>5514.2199999999993</v>
      </c>
      <c r="G530" s="20">
        <v>44232</v>
      </c>
      <c r="H530" s="21">
        <v>44900</v>
      </c>
      <c r="I530" s="15">
        <f>(Table134[[#This Row],[Last_Day]]-Table134[[#This Row],[First_Day]]+1)/365</f>
        <v>1.832876712328767</v>
      </c>
      <c r="J530" s="59">
        <f>Table134[[#This Row],[number_of_purchases]]/Table134[[#This Row],[customer_total_years]]</f>
        <v>2.1823617339312409</v>
      </c>
      <c r="K530" s="13">
        <f>Table134[[#This Row],[purchase_history]]/Table134[[#This Row],[number_of_purchases]]</f>
        <v>1378.5549999999998</v>
      </c>
      <c r="L530" s="2">
        <f>IF(YEAR(Table134[[#This Row],[Last_Day]])=2021,5,IF(YEAR(Table134[[#This Row],[Last_Day]])=2022,7,IF(YEAR(Table134[[#This Row],[Last_Day]])=2023,10,"Không xác định")))</f>
        <v>7</v>
      </c>
      <c r="M530" s="15">
        <f>Table134[[#This Row],[avg_number_of_purchases]]*Table1345[[#This Row],[avg_purchase_value]]*Table1345[[#This Row],[expected_lifespan]]</f>
        <v>21059.539760837069</v>
      </c>
      <c r="N530" t="s">
        <v>12046</v>
      </c>
    </row>
    <row r="531" spans="1:14" x14ac:dyDescent="0.3">
      <c r="A531" s="2" t="s">
        <v>529</v>
      </c>
      <c r="B531" s="2" t="s">
        <v>12040</v>
      </c>
      <c r="C531" s="2">
        <v>27</v>
      </c>
      <c r="D531" s="2" t="s">
        <v>12049</v>
      </c>
      <c r="E531" s="2">
        <f>COUNTIF(Table16[customer_id],Table13[[#This Row],[customer_id]])</f>
        <v>8</v>
      </c>
      <c r="F531" s="13">
        <f>SUMIFS(Table16[Purchase_history],Table16[customer_id],Table13[[#This Row],[customer_id]])</f>
        <v>42446.770000000004</v>
      </c>
      <c r="G531" s="20">
        <v>44449</v>
      </c>
      <c r="H531" s="21">
        <v>44943</v>
      </c>
      <c r="I531" s="15">
        <f>(Table134[[#This Row],[Last_Day]]-Table134[[#This Row],[First_Day]]+1)/365</f>
        <v>1.3561643835616439</v>
      </c>
      <c r="J531" s="59">
        <f>Table134[[#This Row],[number_of_purchases]]/Table134[[#This Row],[customer_total_years]]</f>
        <v>5.8989898989898988</v>
      </c>
      <c r="K531" s="13">
        <f>Table134[[#This Row],[purchase_history]]/Table134[[#This Row],[number_of_purchases]]</f>
        <v>5305.8462500000005</v>
      </c>
      <c r="L531" s="2">
        <f>IF(YEAR(Table134[[#This Row],[Last_Day]])=2021,5,IF(YEAR(Table134[[#This Row],[Last_Day]])=2022,7,IF(YEAR(Table134[[#This Row],[Last_Day]])=2023,10,"Không xác định")))</f>
        <v>10</v>
      </c>
      <c r="M531" s="15">
        <f>Table134[[#This Row],[avg_number_of_purchases]]*Table1345[[#This Row],[avg_purchase_value]]*Table1345[[#This Row],[expected_lifespan]]</f>
        <v>312991.33434343437</v>
      </c>
      <c r="N531" t="s">
        <v>12046</v>
      </c>
    </row>
    <row r="532" spans="1:14" x14ac:dyDescent="0.3">
      <c r="A532" s="2" t="s">
        <v>530</v>
      </c>
      <c r="B532" s="2" t="s">
        <v>12040</v>
      </c>
      <c r="C532" s="2">
        <v>63</v>
      </c>
      <c r="D532" s="2" t="s">
        <v>12043</v>
      </c>
      <c r="E532" s="2">
        <f>COUNTIF(Table16[customer_id],Table13[[#This Row],[customer_id]])</f>
        <v>5</v>
      </c>
      <c r="F532" s="13">
        <f>SUMIFS(Table16[Purchase_history],Table16[customer_id],Table13[[#This Row],[customer_id]])</f>
        <v>2024.79</v>
      </c>
      <c r="G532" s="20">
        <v>44389</v>
      </c>
      <c r="H532" s="21">
        <v>44644</v>
      </c>
      <c r="I532" s="15">
        <f>(Table134[[#This Row],[Last_Day]]-Table134[[#This Row],[First_Day]]+1)/365</f>
        <v>0.70136986301369864</v>
      </c>
      <c r="J532" s="59">
        <f>Table134[[#This Row],[number_of_purchases]]/Table134[[#This Row],[customer_total_years]]</f>
        <v>7.12890625</v>
      </c>
      <c r="K532" s="13">
        <f>Table134[[#This Row],[purchase_history]]/Table134[[#This Row],[number_of_purchases]]</f>
        <v>404.95799999999997</v>
      </c>
      <c r="L532" s="2">
        <f>IF(YEAR(Table134[[#This Row],[Last_Day]])=2021,5,IF(YEAR(Table134[[#This Row],[Last_Day]])=2022,7,IF(YEAR(Table134[[#This Row],[Last_Day]])=2023,10,"Không xác định")))</f>
        <v>7</v>
      </c>
      <c r="M532" s="15">
        <f>Table134[[#This Row],[avg_number_of_purchases]]*Table1345[[#This Row],[avg_purchase_value]]*Table1345[[#This Row],[expected_lifespan]]</f>
        <v>20208.353320312501</v>
      </c>
      <c r="N532" t="s">
        <v>12047</v>
      </c>
    </row>
    <row r="533" spans="1:14" x14ac:dyDescent="0.3">
      <c r="A533" s="2" t="s">
        <v>531</v>
      </c>
      <c r="B533" s="2" t="s">
        <v>12040</v>
      </c>
      <c r="C533" s="2">
        <v>69</v>
      </c>
      <c r="D533" s="2" t="s">
        <v>12043</v>
      </c>
      <c r="E533" s="2">
        <f>COUNTIF(Table16[customer_id],Table13[[#This Row],[customer_id]])</f>
        <v>5</v>
      </c>
      <c r="F533" s="13">
        <f>SUMIFS(Table16[Purchase_history],Table16[customer_id],Table13[[#This Row],[customer_id]])</f>
        <v>3175.88</v>
      </c>
      <c r="G533" s="20">
        <v>44206</v>
      </c>
      <c r="H533" s="21">
        <v>44934</v>
      </c>
      <c r="I533" s="15">
        <f>(Table134[[#This Row],[Last_Day]]-Table134[[#This Row],[First_Day]]+1)/365</f>
        <v>1.9972602739726026</v>
      </c>
      <c r="J533" s="59">
        <f>Table134[[#This Row],[number_of_purchases]]/Table134[[#This Row],[customer_total_years]]</f>
        <v>2.5034293552812072</v>
      </c>
      <c r="K533" s="13">
        <f>Table134[[#This Row],[purchase_history]]/Table134[[#This Row],[number_of_purchases]]</f>
        <v>635.17600000000004</v>
      </c>
      <c r="L533" s="2">
        <f>IF(YEAR(Table134[[#This Row],[Last_Day]])=2021,5,IF(YEAR(Table134[[#This Row],[Last_Day]])=2022,7,IF(YEAR(Table134[[#This Row],[Last_Day]])=2023,10,"Không xác định")))</f>
        <v>10</v>
      </c>
      <c r="M533" s="15">
        <f>Table134[[#This Row],[avg_number_of_purchases]]*Table1345[[#This Row],[avg_purchase_value]]*Table1345[[#This Row],[expected_lifespan]]</f>
        <v>15901.182441700963</v>
      </c>
      <c r="N533" t="s">
        <v>12044</v>
      </c>
    </row>
    <row r="534" spans="1:14" x14ac:dyDescent="0.3">
      <c r="A534" s="2" t="s">
        <v>532</v>
      </c>
      <c r="B534" s="2" t="s">
        <v>12040</v>
      </c>
      <c r="C534" s="2">
        <v>62</v>
      </c>
      <c r="D534" s="2" t="s">
        <v>12041</v>
      </c>
      <c r="E534" s="2">
        <f>COUNTIF(Table16[customer_id],Table13[[#This Row],[customer_id]])</f>
        <v>4</v>
      </c>
      <c r="F534" s="13">
        <f>SUMIFS(Table16[Purchase_history],Table16[customer_id],Table13[[#This Row],[customer_id]])</f>
        <v>12766</v>
      </c>
      <c r="G534" s="20">
        <v>44318</v>
      </c>
      <c r="H534" s="21">
        <v>44836</v>
      </c>
      <c r="I534" s="15">
        <f>(Table134[[#This Row],[Last_Day]]-Table134[[#This Row],[First_Day]]+1)/365</f>
        <v>1.4219178082191781</v>
      </c>
      <c r="J534" s="59">
        <f>Table134[[#This Row],[number_of_purchases]]/Table134[[#This Row],[customer_total_years]]</f>
        <v>2.8131021194605008</v>
      </c>
      <c r="K534" s="13">
        <f>Table134[[#This Row],[purchase_history]]/Table134[[#This Row],[number_of_purchases]]</f>
        <v>3191.5</v>
      </c>
      <c r="L534" s="2">
        <f>IF(YEAR(Table134[[#This Row],[Last_Day]])=2021,5,IF(YEAR(Table134[[#This Row],[Last_Day]])=2022,7,IF(YEAR(Table134[[#This Row],[Last_Day]])=2023,10,"Không xác định")))</f>
        <v>7</v>
      </c>
      <c r="M534" s="15">
        <f>Table134[[#This Row],[avg_number_of_purchases]]*Table1345[[#This Row],[avg_purchase_value]]*Table1345[[#This Row],[expected_lifespan]]</f>
        <v>62846.107899807321</v>
      </c>
      <c r="N534" t="s">
        <v>12044</v>
      </c>
    </row>
    <row r="535" spans="1:14" x14ac:dyDescent="0.3">
      <c r="A535" s="2" t="s">
        <v>533</v>
      </c>
      <c r="B535" s="2" t="s">
        <v>12045</v>
      </c>
      <c r="C535" s="2">
        <v>40</v>
      </c>
      <c r="D535" s="2" t="s">
        <v>12041</v>
      </c>
      <c r="E535" s="2">
        <f>COUNTIF(Table16[customer_id],Table13[[#This Row],[customer_id]])</f>
        <v>3</v>
      </c>
      <c r="F535" s="13">
        <f>SUMIFS(Table16[Purchase_history],Table16[customer_id],Table13[[#This Row],[customer_id]])</f>
        <v>7666.28</v>
      </c>
      <c r="G535" s="20">
        <v>44430</v>
      </c>
      <c r="H535" s="21">
        <v>44834</v>
      </c>
      <c r="I535" s="15">
        <f>(Table134[[#This Row],[Last_Day]]-Table134[[#This Row],[First_Day]]+1)/365</f>
        <v>1.1095890410958904</v>
      </c>
      <c r="J535" s="59">
        <f>Table134[[#This Row],[number_of_purchases]]/Table134[[#This Row],[customer_total_years]]</f>
        <v>2.7037037037037037</v>
      </c>
      <c r="K535" s="13">
        <f>Table134[[#This Row],[purchase_history]]/Table134[[#This Row],[number_of_purchases]]</f>
        <v>2555.4266666666667</v>
      </c>
      <c r="L535" s="2">
        <f>IF(YEAR(Table134[[#This Row],[Last_Day]])=2021,5,IF(YEAR(Table134[[#This Row],[Last_Day]])=2022,7,IF(YEAR(Table134[[#This Row],[Last_Day]])=2023,10,"Không xác định")))</f>
        <v>7</v>
      </c>
      <c r="M535" s="15">
        <f>Table134[[#This Row],[avg_number_of_purchases]]*Table1345[[#This Row],[avg_purchase_value]]*Table1345[[#This Row],[expected_lifespan]]</f>
        <v>48363.815802469137</v>
      </c>
      <c r="N535" t="s">
        <v>12044</v>
      </c>
    </row>
    <row r="536" spans="1:14" x14ac:dyDescent="0.3">
      <c r="A536" s="2" t="s">
        <v>534</v>
      </c>
      <c r="B536" s="2" t="s">
        <v>12040</v>
      </c>
      <c r="C536" s="2">
        <v>44</v>
      </c>
      <c r="D536" s="2" t="s">
        <v>12043</v>
      </c>
      <c r="E536" s="2">
        <f>COUNTIF(Table16[customer_id],Table13[[#This Row],[customer_id]])</f>
        <v>2</v>
      </c>
      <c r="F536" s="13">
        <f>SUMIFS(Table16[Purchase_history],Table16[customer_id],Table13[[#This Row],[customer_id]])</f>
        <v>3601</v>
      </c>
      <c r="G536" s="20">
        <v>44227</v>
      </c>
      <c r="H536" s="21">
        <v>44383</v>
      </c>
      <c r="I536" s="15">
        <f>(Table134[[#This Row],[Last_Day]]-Table134[[#This Row],[First_Day]]+1)/365</f>
        <v>0.43013698630136987</v>
      </c>
      <c r="J536" s="59">
        <f>Table134[[#This Row],[number_of_purchases]]/Table134[[#This Row],[customer_total_years]]</f>
        <v>4.6496815286624207</v>
      </c>
      <c r="K536" s="13">
        <f>Table134[[#This Row],[purchase_history]]/Table134[[#This Row],[number_of_purchases]]</f>
        <v>1800.5</v>
      </c>
      <c r="L536" s="2">
        <f>IF(YEAR(Table134[[#This Row],[Last_Day]])=2021,5,IF(YEAR(Table134[[#This Row],[Last_Day]])=2022,7,IF(YEAR(Table134[[#This Row],[Last_Day]])=2023,10,"Không xác định")))</f>
        <v>5</v>
      </c>
      <c r="M536" s="15">
        <f>Table134[[#This Row],[avg_number_of_purchases]]*Table1345[[#This Row],[avg_purchase_value]]*Table1345[[#This Row],[expected_lifespan]]</f>
        <v>41858.757961783442</v>
      </c>
      <c r="N536" t="s">
        <v>12042</v>
      </c>
    </row>
    <row r="537" spans="1:14" x14ac:dyDescent="0.3">
      <c r="A537" s="2" t="s">
        <v>535</v>
      </c>
      <c r="B537" s="2" t="s">
        <v>12045</v>
      </c>
      <c r="C537" s="2">
        <v>57</v>
      </c>
      <c r="D537" s="2" t="s">
        <v>12041</v>
      </c>
      <c r="E537" s="2">
        <f>COUNTIF(Table16[customer_id],Table13[[#This Row],[customer_id]])</f>
        <v>1</v>
      </c>
      <c r="F537" s="13">
        <f>SUMIFS(Table16[Purchase_history],Table16[customer_id],Table13[[#This Row],[customer_id]])</f>
        <v>7502</v>
      </c>
      <c r="G537" s="20">
        <v>44286</v>
      </c>
      <c r="H537" s="21">
        <v>44286</v>
      </c>
      <c r="I537" s="15">
        <f>(Table134[[#This Row],[Last_Day]]-Table134[[#This Row],[First_Day]]+1)/365</f>
        <v>2.7397260273972603E-3</v>
      </c>
      <c r="J537" s="59">
        <f>Table134[[#This Row],[number_of_purchases]]/Table134[[#This Row],[customer_total_years]]</f>
        <v>365</v>
      </c>
      <c r="K537" s="13">
        <f>Table134[[#This Row],[purchase_history]]/Table134[[#This Row],[number_of_purchases]]</f>
        <v>7502</v>
      </c>
      <c r="L537" s="2">
        <f>IF(YEAR(Table134[[#This Row],[Last_Day]])=2021,5,IF(YEAR(Table134[[#This Row],[Last_Day]])=2022,7,IF(YEAR(Table134[[#This Row],[Last_Day]])=2023,10,"Không xác định")))</f>
        <v>5</v>
      </c>
      <c r="M537" s="15">
        <f>Table134[[#This Row],[avg_number_of_purchases]]*Table1345[[#This Row],[avg_purchase_value]]*Table1345[[#This Row],[expected_lifespan]]</f>
        <v>13691150</v>
      </c>
      <c r="N537" t="s">
        <v>12044</v>
      </c>
    </row>
    <row r="538" spans="1:14" x14ac:dyDescent="0.3">
      <c r="A538" s="2" t="s">
        <v>536</v>
      </c>
      <c r="B538" s="2" t="s">
        <v>12040</v>
      </c>
      <c r="C538" s="2">
        <v>53</v>
      </c>
      <c r="D538" s="2" t="s">
        <v>12043</v>
      </c>
      <c r="E538" s="2">
        <f>COUNTIF(Table16[customer_id],Table13[[#This Row],[customer_id]])</f>
        <v>3</v>
      </c>
      <c r="F538" s="13">
        <f>SUMIFS(Table16[Purchase_history],Table16[customer_id],Table13[[#This Row],[customer_id]])</f>
        <v>926.25</v>
      </c>
      <c r="G538" s="20">
        <v>44493</v>
      </c>
      <c r="H538" s="21">
        <v>44899</v>
      </c>
      <c r="I538" s="15">
        <f>(Table134[[#This Row],[Last_Day]]-Table134[[#This Row],[First_Day]]+1)/365</f>
        <v>1.1150684931506849</v>
      </c>
      <c r="J538" s="59">
        <f>Table134[[#This Row],[number_of_purchases]]/Table134[[#This Row],[customer_total_years]]</f>
        <v>2.6904176904176906</v>
      </c>
      <c r="K538" s="13">
        <f>Table134[[#This Row],[purchase_history]]/Table134[[#This Row],[number_of_purchases]]</f>
        <v>308.75</v>
      </c>
      <c r="L538" s="2">
        <f>IF(YEAR(Table134[[#This Row],[Last_Day]])=2021,5,IF(YEAR(Table134[[#This Row],[Last_Day]])=2022,7,IF(YEAR(Table134[[#This Row],[Last_Day]])=2023,10,"Không xác định")))</f>
        <v>7</v>
      </c>
      <c r="M538" s="15">
        <f>Table134[[#This Row],[avg_number_of_purchases]]*Table1345[[#This Row],[avg_purchase_value]]*Table1345[[#This Row],[expected_lifespan]]</f>
        <v>5814.6652334152341</v>
      </c>
      <c r="N538" t="s">
        <v>12044</v>
      </c>
    </row>
    <row r="539" spans="1:14" x14ac:dyDescent="0.3">
      <c r="A539" s="2" t="s">
        <v>537</v>
      </c>
      <c r="B539" s="2" t="s">
        <v>12045</v>
      </c>
      <c r="C539" s="2">
        <v>29</v>
      </c>
      <c r="D539" s="2" t="s">
        <v>12049</v>
      </c>
      <c r="E539" s="2">
        <f>COUNTIF(Table16[customer_id],Table13[[#This Row],[customer_id]])</f>
        <v>6</v>
      </c>
      <c r="F539" s="13">
        <f>SUMIFS(Table16[Purchase_history],Table16[customer_id],Table13[[#This Row],[customer_id]])</f>
        <v>4310.91</v>
      </c>
      <c r="G539" s="20">
        <v>44344</v>
      </c>
      <c r="H539" s="21">
        <v>44981</v>
      </c>
      <c r="I539" s="15">
        <f>(Table134[[#This Row],[Last_Day]]-Table134[[#This Row],[First_Day]]+1)/365</f>
        <v>1.747945205479452</v>
      </c>
      <c r="J539" s="59">
        <f>Table134[[#This Row],[number_of_purchases]]/Table134[[#This Row],[customer_total_years]]</f>
        <v>3.4326018808777432</v>
      </c>
      <c r="K539" s="13">
        <f>Table134[[#This Row],[purchase_history]]/Table134[[#This Row],[number_of_purchases]]</f>
        <v>718.48500000000001</v>
      </c>
      <c r="L539" s="2">
        <f>IF(YEAR(Table134[[#This Row],[Last_Day]])=2021,5,IF(YEAR(Table134[[#This Row],[Last_Day]])=2022,7,IF(YEAR(Table134[[#This Row],[Last_Day]])=2023,10,"Không xác định")))</f>
        <v>10</v>
      </c>
      <c r="M539" s="15">
        <f>Table134[[#This Row],[avg_number_of_purchases]]*Table1345[[#This Row],[avg_purchase_value]]*Table1345[[#This Row],[expected_lifespan]]</f>
        <v>24662.729623824453</v>
      </c>
      <c r="N539" t="s">
        <v>12047</v>
      </c>
    </row>
    <row r="540" spans="1:14" x14ac:dyDescent="0.3">
      <c r="A540" s="2" t="s">
        <v>538</v>
      </c>
      <c r="B540" s="2" t="s">
        <v>12045</v>
      </c>
      <c r="C540" s="2">
        <v>43</v>
      </c>
      <c r="D540" s="2" t="s">
        <v>12041</v>
      </c>
      <c r="E540" s="2">
        <f>COUNTIF(Table16[customer_id],Table13[[#This Row],[customer_id]])</f>
        <v>8</v>
      </c>
      <c r="F540" s="13">
        <f>SUMIFS(Table16[Purchase_history],Table16[customer_id],Table13[[#This Row],[customer_id]])</f>
        <v>32555.179999999997</v>
      </c>
      <c r="G540" s="20">
        <v>44309</v>
      </c>
      <c r="H540" s="21">
        <v>44973</v>
      </c>
      <c r="I540" s="15">
        <f>(Table134[[#This Row],[Last_Day]]-Table134[[#This Row],[First_Day]]+1)/365</f>
        <v>1.821917808219178</v>
      </c>
      <c r="J540" s="59">
        <f>Table134[[#This Row],[number_of_purchases]]/Table134[[#This Row],[customer_total_years]]</f>
        <v>4.3909774436090228</v>
      </c>
      <c r="K540" s="13">
        <f>Table134[[#This Row],[purchase_history]]/Table134[[#This Row],[number_of_purchases]]</f>
        <v>4069.3974999999996</v>
      </c>
      <c r="L540" s="2">
        <f>IF(YEAR(Table134[[#This Row],[Last_Day]])=2021,5,IF(YEAR(Table134[[#This Row],[Last_Day]])=2022,7,IF(YEAR(Table134[[#This Row],[Last_Day]])=2023,10,"Không xác định")))</f>
        <v>10</v>
      </c>
      <c r="M540" s="15">
        <f>Table134[[#This Row],[avg_number_of_purchases]]*Table1345[[#This Row],[avg_purchase_value]]*Table1345[[#This Row],[expected_lifespan]]</f>
        <v>178686.32631578945</v>
      </c>
      <c r="N540" t="s">
        <v>12042</v>
      </c>
    </row>
    <row r="541" spans="1:14" x14ac:dyDescent="0.3">
      <c r="A541" s="2" t="s">
        <v>539</v>
      </c>
      <c r="B541" s="2" t="s">
        <v>12040</v>
      </c>
      <c r="C541" s="2">
        <v>64</v>
      </c>
      <c r="D541" s="2" t="s">
        <v>12043</v>
      </c>
      <c r="E541" s="2">
        <f>COUNTIF(Table16[customer_id],Table13[[#This Row],[customer_id]])</f>
        <v>2</v>
      </c>
      <c r="F541" s="13">
        <f>SUMIFS(Table16[Purchase_history],Table16[customer_id],Table13[[#This Row],[customer_id]])</f>
        <v>177.82</v>
      </c>
      <c r="G541" s="20">
        <v>44243</v>
      </c>
      <c r="H541" s="21">
        <v>44891</v>
      </c>
      <c r="I541" s="15">
        <f>(Table134[[#This Row],[Last_Day]]-Table134[[#This Row],[First_Day]]+1)/365</f>
        <v>1.7780821917808218</v>
      </c>
      <c r="J541" s="59">
        <f>Table134[[#This Row],[number_of_purchases]]/Table134[[#This Row],[customer_total_years]]</f>
        <v>1.1248073959938367</v>
      </c>
      <c r="K541" s="13">
        <f>Table134[[#This Row],[purchase_history]]/Table134[[#This Row],[number_of_purchases]]</f>
        <v>88.91</v>
      </c>
      <c r="L541" s="2">
        <f>IF(YEAR(Table134[[#This Row],[Last_Day]])=2021,5,IF(YEAR(Table134[[#This Row],[Last_Day]])=2022,7,IF(YEAR(Table134[[#This Row],[Last_Day]])=2023,10,"Không xác định")))</f>
        <v>7</v>
      </c>
      <c r="M541" s="15">
        <f>Table134[[#This Row],[avg_number_of_purchases]]*Table1345[[#This Row],[avg_purchase_value]]*Table1345[[#This Row],[expected_lifespan]]</f>
        <v>700.04637904468416</v>
      </c>
      <c r="N541" t="s">
        <v>12048</v>
      </c>
    </row>
    <row r="542" spans="1:14" x14ac:dyDescent="0.3">
      <c r="A542" s="2" t="s">
        <v>540</v>
      </c>
      <c r="B542" s="2" t="s">
        <v>12040</v>
      </c>
      <c r="C542" s="2">
        <v>23</v>
      </c>
      <c r="D542" s="2" t="s">
        <v>12043</v>
      </c>
      <c r="E542" s="2">
        <f>COUNTIF(Table16[customer_id],Table13[[#This Row],[customer_id]])</f>
        <v>10</v>
      </c>
      <c r="F542" s="13">
        <f>SUMIFS(Table16[Purchase_history],Table16[customer_id],Table13[[#This Row],[customer_id]])</f>
        <v>43178.55</v>
      </c>
      <c r="G542" s="20">
        <v>44202</v>
      </c>
      <c r="H542" s="21">
        <v>44870</v>
      </c>
      <c r="I542" s="15">
        <f>(Table134[[#This Row],[Last_Day]]-Table134[[#This Row],[First_Day]]+1)/365</f>
        <v>1.832876712328767</v>
      </c>
      <c r="J542" s="59">
        <f>Table134[[#This Row],[number_of_purchases]]/Table134[[#This Row],[customer_total_years]]</f>
        <v>5.4559043348281016</v>
      </c>
      <c r="K542" s="13">
        <f>Table134[[#This Row],[purchase_history]]/Table134[[#This Row],[number_of_purchases]]</f>
        <v>4317.8550000000005</v>
      </c>
      <c r="L542" s="2">
        <f>IF(YEAR(Table134[[#This Row],[Last_Day]])=2021,5,IF(YEAR(Table134[[#This Row],[Last_Day]])=2022,7,IF(YEAR(Table134[[#This Row],[Last_Day]])=2023,10,"Không xác định")))</f>
        <v>7</v>
      </c>
      <c r="M542" s="15">
        <f>Table134[[#This Row],[avg_number_of_purchases]]*Table1345[[#This Row],[avg_purchase_value]]*Table1345[[#This Row],[expected_lifespan]]</f>
        <v>164904.62668161438</v>
      </c>
      <c r="N542" t="s">
        <v>12048</v>
      </c>
    </row>
    <row r="543" spans="1:14" x14ac:dyDescent="0.3">
      <c r="A543" s="2" t="s">
        <v>541</v>
      </c>
      <c r="B543" s="2" t="s">
        <v>12040</v>
      </c>
      <c r="C543" s="2">
        <v>65</v>
      </c>
      <c r="D543" s="2" t="s">
        <v>12043</v>
      </c>
      <c r="E543" s="2">
        <f>COUNTIF(Table16[customer_id],Table13[[#This Row],[customer_id]])</f>
        <v>4</v>
      </c>
      <c r="F543" s="13">
        <f>SUMIFS(Table16[Purchase_history],Table16[customer_id],Table13[[#This Row],[customer_id]])</f>
        <v>4400.12</v>
      </c>
      <c r="G543" s="20">
        <v>44199</v>
      </c>
      <c r="H543" s="21">
        <v>44920</v>
      </c>
      <c r="I543" s="15">
        <f>(Table134[[#This Row],[Last_Day]]-Table134[[#This Row],[First_Day]]+1)/365</f>
        <v>1.978082191780822</v>
      </c>
      <c r="J543" s="59">
        <f>Table134[[#This Row],[number_of_purchases]]/Table134[[#This Row],[customer_total_years]]</f>
        <v>2.0221606648199444</v>
      </c>
      <c r="K543" s="13">
        <f>Table134[[#This Row],[purchase_history]]/Table134[[#This Row],[number_of_purchases]]</f>
        <v>1100.03</v>
      </c>
      <c r="L543" s="2">
        <f>IF(YEAR(Table134[[#This Row],[Last_Day]])=2021,5,IF(YEAR(Table134[[#This Row],[Last_Day]])=2022,7,IF(YEAR(Table134[[#This Row],[Last_Day]])=2023,10,"Không xác định")))</f>
        <v>7</v>
      </c>
      <c r="M543" s="15">
        <f>Table134[[#This Row],[avg_number_of_purchases]]*Table1345[[#This Row],[avg_purchase_value]]*Table1345[[#This Row],[expected_lifespan]]</f>
        <v>15571.061772853183</v>
      </c>
      <c r="N543" t="s">
        <v>12046</v>
      </c>
    </row>
    <row r="544" spans="1:14" x14ac:dyDescent="0.3">
      <c r="A544" s="2" t="s">
        <v>542</v>
      </c>
      <c r="B544" s="2" t="s">
        <v>12040</v>
      </c>
      <c r="C544" s="2">
        <v>60</v>
      </c>
      <c r="D544" s="2" t="s">
        <v>12041</v>
      </c>
      <c r="E544" s="2">
        <f>COUNTIF(Table16[customer_id],Table13[[#This Row],[customer_id]])</f>
        <v>5</v>
      </c>
      <c r="F544" s="13">
        <f>SUMIFS(Table16[Purchase_history],Table16[customer_id],Table13[[#This Row],[customer_id]])</f>
        <v>5724</v>
      </c>
      <c r="G544" s="20">
        <v>44333</v>
      </c>
      <c r="H544" s="21">
        <v>44735</v>
      </c>
      <c r="I544" s="15">
        <f>(Table134[[#This Row],[Last_Day]]-Table134[[#This Row],[First_Day]]+1)/365</f>
        <v>1.1041095890410959</v>
      </c>
      <c r="J544" s="59">
        <f>Table134[[#This Row],[number_of_purchases]]/Table134[[#This Row],[customer_total_years]]</f>
        <v>4.5285359801488836</v>
      </c>
      <c r="K544" s="13">
        <f>Table134[[#This Row],[purchase_history]]/Table134[[#This Row],[number_of_purchases]]</f>
        <v>1144.8</v>
      </c>
      <c r="L544" s="2">
        <f>IF(YEAR(Table134[[#This Row],[Last_Day]])=2021,5,IF(YEAR(Table134[[#This Row],[Last_Day]])=2022,7,IF(YEAR(Table134[[#This Row],[Last_Day]])=2023,10,"Không xác định")))</f>
        <v>7</v>
      </c>
      <c r="M544" s="15">
        <f>Table134[[#This Row],[avg_number_of_purchases]]*Table1345[[#This Row],[avg_purchase_value]]*Table1345[[#This Row],[expected_lifespan]]</f>
        <v>36289.875930521092</v>
      </c>
      <c r="N544" t="s">
        <v>12048</v>
      </c>
    </row>
    <row r="545" spans="1:14" x14ac:dyDescent="0.3">
      <c r="A545" s="2" t="s">
        <v>543</v>
      </c>
      <c r="B545" s="2" t="s">
        <v>12040</v>
      </c>
      <c r="C545" s="2">
        <v>55</v>
      </c>
      <c r="D545" s="2" t="s">
        <v>12043</v>
      </c>
      <c r="E545" s="2">
        <f>COUNTIF(Table16[customer_id],Table13[[#This Row],[customer_id]])</f>
        <v>3</v>
      </c>
      <c r="F545" s="13">
        <f>SUMIFS(Table16[Purchase_history],Table16[customer_id],Table13[[#This Row],[customer_id]])</f>
        <v>1447.95</v>
      </c>
      <c r="G545" s="20">
        <v>44267</v>
      </c>
      <c r="H545" s="21">
        <v>44702</v>
      </c>
      <c r="I545" s="15">
        <f>(Table134[[#This Row],[Last_Day]]-Table134[[#This Row],[First_Day]]+1)/365</f>
        <v>1.1945205479452055</v>
      </c>
      <c r="J545" s="59">
        <f>Table134[[#This Row],[number_of_purchases]]/Table134[[#This Row],[customer_total_years]]</f>
        <v>2.511467889908257</v>
      </c>
      <c r="K545" s="13">
        <f>Table134[[#This Row],[purchase_history]]/Table134[[#This Row],[number_of_purchases]]</f>
        <v>482.65000000000003</v>
      </c>
      <c r="L545" s="2">
        <f>IF(YEAR(Table134[[#This Row],[Last_Day]])=2021,5,IF(YEAR(Table134[[#This Row],[Last_Day]])=2022,7,IF(YEAR(Table134[[#This Row],[Last_Day]])=2023,10,"Không xác định")))</f>
        <v>7</v>
      </c>
      <c r="M545" s="15">
        <f>Table134[[#This Row],[avg_number_of_purchases]]*Table1345[[#This Row],[avg_purchase_value]]*Table1345[[#This Row],[expected_lifespan]]</f>
        <v>8485.1198394495423</v>
      </c>
      <c r="N545" t="s">
        <v>12048</v>
      </c>
    </row>
    <row r="546" spans="1:14" x14ac:dyDescent="0.3">
      <c r="A546" s="2" t="s">
        <v>544</v>
      </c>
      <c r="B546" s="2" t="s">
        <v>12040</v>
      </c>
      <c r="C546" s="2">
        <v>50</v>
      </c>
      <c r="D546" s="2" t="s">
        <v>12043</v>
      </c>
      <c r="E546" s="2">
        <f>COUNTIF(Table16[customer_id],Table13[[#This Row],[customer_id]])</f>
        <v>7</v>
      </c>
      <c r="F546" s="13">
        <f>SUMIFS(Table16[Purchase_history],Table16[customer_id],Table13[[#This Row],[customer_id]])</f>
        <v>6657.11</v>
      </c>
      <c r="G546" s="20">
        <v>44221</v>
      </c>
      <c r="H546" s="21">
        <v>44787</v>
      </c>
      <c r="I546" s="15">
        <f>(Table134[[#This Row],[Last_Day]]-Table134[[#This Row],[First_Day]]+1)/365</f>
        <v>1.5534246575342465</v>
      </c>
      <c r="J546" s="59">
        <f>Table134[[#This Row],[number_of_purchases]]/Table134[[#This Row],[customer_total_years]]</f>
        <v>4.5061728395061733</v>
      </c>
      <c r="K546" s="13">
        <f>Table134[[#This Row],[purchase_history]]/Table134[[#This Row],[number_of_purchases]]</f>
        <v>951.01571428571424</v>
      </c>
      <c r="L546" s="2">
        <f>IF(YEAR(Table134[[#This Row],[Last_Day]])=2021,5,IF(YEAR(Table134[[#This Row],[Last_Day]])=2022,7,IF(YEAR(Table134[[#This Row],[Last_Day]])=2023,10,"Không xác định")))</f>
        <v>7</v>
      </c>
      <c r="M546" s="15">
        <f>Table134[[#This Row],[avg_number_of_purchases]]*Table1345[[#This Row],[avg_purchase_value]]*Table1345[[#This Row],[expected_lifespan]]</f>
        <v>29998.088271604938</v>
      </c>
      <c r="N546" t="s">
        <v>12046</v>
      </c>
    </row>
    <row r="547" spans="1:14" x14ac:dyDescent="0.3">
      <c r="A547" s="2" t="s">
        <v>545</v>
      </c>
      <c r="B547" s="2" t="s">
        <v>12045</v>
      </c>
      <c r="C547" s="2">
        <v>27</v>
      </c>
      <c r="D547" s="2" t="s">
        <v>12043</v>
      </c>
      <c r="E547" s="2">
        <f>COUNTIF(Table16[customer_id],Table13[[#This Row],[customer_id]])</f>
        <v>4</v>
      </c>
      <c r="F547" s="13">
        <f>SUMIFS(Table16[Purchase_history],Table16[customer_id],Table13[[#This Row],[customer_id]])</f>
        <v>8981.2199999999993</v>
      </c>
      <c r="G547" s="20">
        <v>44540</v>
      </c>
      <c r="H547" s="21">
        <v>44855</v>
      </c>
      <c r="I547" s="15">
        <f>(Table134[[#This Row],[Last_Day]]-Table134[[#This Row],[First_Day]]+1)/365</f>
        <v>0.86575342465753424</v>
      </c>
      <c r="J547" s="59">
        <f>Table134[[#This Row],[number_of_purchases]]/Table134[[#This Row],[customer_total_years]]</f>
        <v>4.6202531645569618</v>
      </c>
      <c r="K547" s="13">
        <f>Table134[[#This Row],[purchase_history]]/Table134[[#This Row],[number_of_purchases]]</f>
        <v>2245.3049999999998</v>
      </c>
      <c r="L547" s="2">
        <f>IF(YEAR(Table134[[#This Row],[Last_Day]])=2021,5,IF(YEAR(Table134[[#This Row],[Last_Day]])=2022,7,IF(YEAR(Table134[[#This Row],[Last_Day]])=2023,10,"Không xác định")))</f>
        <v>7</v>
      </c>
      <c r="M547" s="15">
        <f>Table134[[#This Row],[avg_number_of_purchases]]*Table1345[[#This Row],[avg_purchase_value]]*Table1345[[#This Row],[expected_lifespan]]</f>
        <v>72617.142721518976</v>
      </c>
      <c r="N547" t="s">
        <v>12042</v>
      </c>
    </row>
    <row r="548" spans="1:14" x14ac:dyDescent="0.3">
      <c r="A548" s="2" t="s">
        <v>546</v>
      </c>
      <c r="B548" s="2" t="s">
        <v>12045</v>
      </c>
      <c r="C548" s="2">
        <v>54</v>
      </c>
      <c r="D548" s="2" t="s">
        <v>12041</v>
      </c>
      <c r="E548" s="2">
        <f>COUNTIF(Table16[customer_id],Table13[[#This Row],[customer_id]])</f>
        <v>5</v>
      </c>
      <c r="F548" s="13">
        <f>SUMIFS(Table16[Purchase_history],Table16[customer_id],Table13[[#This Row],[customer_id]])</f>
        <v>11461.619999999999</v>
      </c>
      <c r="G548" s="20">
        <v>44373</v>
      </c>
      <c r="H548" s="21">
        <v>44988</v>
      </c>
      <c r="I548" s="15">
        <f>(Table134[[#This Row],[Last_Day]]-Table134[[#This Row],[First_Day]]+1)/365</f>
        <v>1.6876712328767123</v>
      </c>
      <c r="J548" s="59">
        <f>Table134[[#This Row],[number_of_purchases]]/Table134[[#This Row],[customer_total_years]]</f>
        <v>2.9626623376623376</v>
      </c>
      <c r="K548" s="13">
        <f>Table134[[#This Row],[purchase_history]]/Table134[[#This Row],[number_of_purchases]]</f>
        <v>2292.3239999999996</v>
      </c>
      <c r="L548" s="2">
        <f>IF(YEAR(Table134[[#This Row],[Last_Day]])=2021,5,IF(YEAR(Table134[[#This Row],[Last_Day]])=2022,7,IF(YEAR(Table134[[#This Row],[Last_Day]])=2023,10,"Không xác định")))</f>
        <v>10</v>
      </c>
      <c r="M548" s="15">
        <f>Table134[[#This Row],[avg_number_of_purchases]]*Table1345[[#This Row],[avg_purchase_value]]*Table1345[[#This Row],[expected_lifespan]]</f>
        <v>67913.819805194784</v>
      </c>
      <c r="N548" t="s">
        <v>12044</v>
      </c>
    </row>
    <row r="549" spans="1:14" x14ac:dyDescent="0.3">
      <c r="A549" s="2" t="s">
        <v>547</v>
      </c>
      <c r="B549" s="2" t="s">
        <v>12045</v>
      </c>
      <c r="C549" s="2">
        <v>43</v>
      </c>
      <c r="D549" s="2" t="s">
        <v>12049</v>
      </c>
      <c r="E549" s="2">
        <f>COUNTIF(Table16[customer_id],Table13[[#This Row],[customer_id]])</f>
        <v>3</v>
      </c>
      <c r="F549" s="13">
        <f>SUMIFS(Table16[Purchase_history],Table16[customer_id],Table13[[#This Row],[customer_id]])</f>
        <v>7222.8799999999992</v>
      </c>
      <c r="G549" s="20">
        <v>44757</v>
      </c>
      <c r="H549" s="21">
        <v>44921</v>
      </c>
      <c r="I549" s="15">
        <f>(Table134[[#This Row],[Last_Day]]-Table134[[#This Row],[First_Day]]+1)/365</f>
        <v>0.45205479452054792</v>
      </c>
      <c r="J549" s="59">
        <f>Table134[[#This Row],[number_of_purchases]]/Table134[[#This Row],[customer_total_years]]</f>
        <v>6.6363636363636367</v>
      </c>
      <c r="K549" s="13">
        <f>Table134[[#This Row],[purchase_history]]/Table134[[#This Row],[number_of_purchases]]</f>
        <v>2407.6266666666666</v>
      </c>
      <c r="L549" s="2">
        <f>IF(YEAR(Table134[[#This Row],[Last_Day]])=2021,5,IF(YEAR(Table134[[#This Row],[Last_Day]])=2022,7,IF(YEAR(Table134[[#This Row],[Last_Day]])=2023,10,"Không xác định")))</f>
        <v>7</v>
      </c>
      <c r="M549" s="15">
        <f>Table134[[#This Row],[avg_number_of_purchases]]*Table1345[[#This Row],[avg_purchase_value]]*Table1345[[#This Row],[expected_lifespan]]</f>
        <v>111845.20242424242</v>
      </c>
      <c r="N549" t="s">
        <v>12047</v>
      </c>
    </row>
    <row r="550" spans="1:14" x14ac:dyDescent="0.3">
      <c r="A550" s="2" t="s">
        <v>548</v>
      </c>
      <c r="B550" s="2" t="s">
        <v>12045</v>
      </c>
      <c r="C550" s="2">
        <v>61</v>
      </c>
      <c r="D550" s="2" t="s">
        <v>12043</v>
      </c>
      <c r="E550" s="2">
        <f>COUNTIF(Table16[customer_id],Table13[[#This Row],[customer_id]])</f>
        <v>4</v>
      </c>
      <c r="F550" s="13">
        <f>SUMIFS(Table16[Purchase_history],Table16[customer_id],Table13[[#This Row],[customer_id]])</f>
        <v>36151.71</v>
      </c>
      <c r="G550" s="20">
        <v>44652</v>
      </c>
      <c r="H550" s="21">
        <v>44822</v>
      </c>
      <c r="I550" s="15">
        <f>(Table134[[#This Row],[Last_Day]]-Table134[[#This Row],[First_Day]]+1)/365</f>
        <v>0.46849315068493153</v>
      </c>
      <c r="J550" s="59">
        <f>Table134[[#This Row],[number_of_purchases]]/Table134[[#This Row],[customer_total_years]]</f>
        <v>8.5380116959064321</v>
      </c>
      <c r="K550" s="13">
        <f>Table134[[#This Row],[purchase_history]]/Table134[[#This Row],[number_of_purchases]]</f>
        <v>9037.9274999999998</v>
      </c>
      <c r="L550" s="2">
        <f>IF(YEAR(Table134[[#This Row],[Last_Day]])=2021,5,IF(YEAR(Table134[[#This Row],[Last_Day]])=2022,7,IF(YEAR(Table134[[#This Row],[Last_Day]])=2023,10,"Không xác định")))</f>
        <v>7</v>
      </c>
      <c r="M550" s="15">
        <f>Table134[[#This Row],[avg_number_of_purchases]]*Table1345[[#This Row],[avg_purchase_value]]*Table1345[[#This Row],[expected_lifespan]]</f>
        <v>540161.5149122806</v>
      </c>
      <c r="N550" t="s">
        <v>12046</v>
      </c>
    </row>
    <row r="551" spans="1:14" x14ac:dyDescent="0.3">
      <c r="A551" s="2" t="s">
        <v>549</v>
      </c>
      <c r="B551" s="2" t="s">
        <v>12045</v>
      </c>
      <c r="C551" s="2">
        <v>30</v>
      </c>
      <c r="D551" s="2" t="s">
        <v>12043</v>
      </c>
      <c r="E551" s="2">
        <f>COUNTIF(Table16[customer_id],Table13[[#This Row],[customer_id]])</f>
        <v>2</v>
      </c>
      <c r="F551" s="13">
        <f>SUMIFS(Table16[Purchase_history],Table16[customer_id],Table13[[#This Row],[customer_id]])</f>
        <v>9485.84</v>
      </c>
      <c r="G551" s="20">
        <v>44620</v>
      </c>
      <c r="H551" s="21">
        <v>44916</v>
      </c>
      <c r="I551" s="15">
        <f>(Table134[[#This Row],[Last_Day]]-Table134[[#This Row],[First_Day]]+1)/365</f>
        <v>0.81369863013698629</v>
      </c>
      <c r="J551" s="59">
        <f>Table134[[#This Row],[number_of_purchases]]/Table134[[#This Row],[customer_total_years]]</f>
        <v>2.457912457912458</v>
      </c>
      <c r="K551" s="13">
        <f>Table134[[#This Row],[purchase_history]]/Table134[[#This Row],[number_of_purchases]]</f>
        <v>4742.92</v>
      </c>
      <c r="L551" s="2">
        <f>IF(YEAR(Table134[[#This Row],[Last_Day]])=2021,5,IF(YEAR(Table134[[#This Row],[Last_Day]])=2022,7,IF(YEAR(Table134[[#This Row],[Last_Day]])=2023,10,"Không xác định")))</f>
        <v>7</v>
      </c>
      <c r="M551" s="15">
        <f>Table134[[#This Row],[avg_number_of_purchases]]*Table1345[[#This Row],[avg_purchase_value]]*Table1345[[#This Row],[expected_lifespan]]</f>
        <v>81603.775084175082</v>
      </c>
      <c r="N551" t="s">
        <v>12042</v>
      </c>
    </row>
    <row r="552" spans="1:14" x14ac:dyDescent="0.3">
      <c r="A552" s="2" t="s">
        <v>550</v>
      </c>
      <c r="B552" s="2" t="s">
        <v>12040</v>
      </c>
      <c r="C552" s="2">
        <v>25</v>
      </c>
      <c r="D552" s="2" t="s">
        <v>12049</v>
      </c>
      <c r="E552" s="2">
        <f>COUNTIF(Table16[customer_id],Table13[[#This Row],[customer_id]])</f>
        <v>7</v>
      </c>
      <c r="F552" s="13">
        <f>SUMIFS(Table16[Purchase_history],Table16[customer_id],Table13[[#This Row],[customer_id]])</f>
        <v>11050.23</v>
      </c>
      <c r="G552" s="20">
        <v>44553</v>
      </c>
      <c r="H552" s="21">
        <v>44967</v>
      </c>
      <c r="I552" s="15">
        <f>(Table134[[#This Row],[Last_Day]]-Table134[[#This Row],[First_Day]]+1)/365</f>
        <v>1.1369863013698631</v>
      </c>
      <c r="J552" s="59">
        <f>Table134[[#This Row],[number_of_purchases]]/Table134[[#This Row],[customer_total_years]]</f>
        <v>6.1566265060240957</v>
      </c>
      <c r="K552" s="13">
        <f>Table134[[#This Row],[purchase_history]]/Table134[[#This Row],[number_of_purchases]]</f>
        <v>1578.6042857142857</v>
      </c>
      <c r="L552" s="2">
        <f>IF(YEAR(Table134[[#This Row],[Last_Day]])=2021,5,IF(YEAR(Table134[[#This Row],[Last_Day]])=2022,7,IF(YEAR(Table134[[#This Row],[Last_Day]])=2023,10,"Không xác định")))</f>
        <v>10</v>
      </c>
      <c r="M552" s="15">
        <f>Table134[[#This Row],[avg_number_of_purchases]]*Table1345[[#This Row],[avg_purchase_value]]*Table1345[[#This Row],[expected_lifespan]]</f>
        <v>97188.769879518062</v>
      </c>
      <c r="N552" t="s">
        <v>12048</v>
      </c>
    </row>
    <row r="553" spans="1:14" x14ac:dyDescent="0.3">
      <c r="A553" s="2" t="s">
        <v>551</v>
      </c>
      <c r="B553" s="2" t="s">
        <v>12040</v>
      </c>
      <c r="C553" s="2">
        <v>61</v>
      </c>
      <c r="D553" s="2" t="s">
        <v>12049</v>
      </c>
      <c r="E553" s="2">
        <f>COUNTIF(Table16[customer_id],Table13[[#This Row],[customer_id]])</f>
        <v>4</v>
      </c>
      <c r="F553" s="13">
        <f>SUMIFS(Table16[Purchase_history],Table16[customer_id],Table13[[#This Row],[customer_id]])</f>
        <v>8828.83</v>
      </c>
      <c r="G553" s="20">
        <v>44337</v>
      </c>
      <c r="H553" s="21">
        <v>44946</v>
      </c>
      <c r="I553" s="15">
        <f>(Table134[[#This Row],[Last_Day]]-Table134[[#This Row],[First_Day]]+1)/365</f>
        <v>1.6712328767123288</v>
      </c>
      <c r="J553" s="59">
        <f>Table134[[#This Row],[number_of_purchases]]/Table134[[#This Row],[customer_total_years]]</f>
        <v>2.3934426229508197</v>
      </c>
      <c r="K553" s="13">
        <f>Table134[[#This Row],[purchase_history]]/Table134[[#This Row],[number_of_purchases]]</f>
        <v>2207.2075</v>
      </c>
      <c r="L553" s="2">
        <f>IF(YEAR(Table134[[#This Row],[Last_Day]])=2021,5,IF(YEAR(Table134[[#This Row],[Last_Day]])=2022,7,IF(YEAR(Table134[[#This Row],[Last_Day]])=2023,10,"Không xác định")))</f>
        <v>10</v>
      </c>
      <c r="M553" s="15">
        <f>Table134[[#This Row],[avg_number_of_purchases]]*Table1345[[#This Row],[avg_purchase_value]]*Table1345[[#This Row],[expected_lifespan]]</f>
        <v>52828.245081967216</v>
      </c>
      <c r="N553" t="s">
        <v>12046</v>
      </c>
    </row>
    <row r="554" spans="1:14" x14ac:dyDescent="0.3">
      <c r="A554" s="2" t="s">
        <v>552</v>
      </c>
      <c r="B554" s="2" t="s">
        <v>12040</v>
      </c>
      <c r="C554" s="2">
        <v>51</v>
      </c>
      <c r="D554" s="2" t="s">
        <v>12049</v>
      </c>
      <c r="E554" s="2">
        <f>COUNTIF(Table16[customer_id],Table13[[#This Row],[customer_id]])</f>
        <v>7</v>
      </c>
      <c r="F554" s="13">
        <f>SUMIFS(Table16[Purchase_history],Table16[customer_id],Table13[[#This Row],[customer_id]])</f>
        <v>10720.14</v>
      </c>
      <c r="G554" s="20">
        <v>44492</v>
      </c>
      <c r="H554" s="21">
        <v>44932</v>
      </c>
      <c r="I554" s="15">
        <f>(Table134[[#This Row],[Last_Day]]-Table134[[#This Row],[First_Day]]+1)/365</f>
        <v>1.2082191780821918</v>
      </c>
      <c r="J554" s="59">
        <f>Table134[[#This Row],[number_of_purchases]]/Table134[[#This Row],[customer_total_years]]</f>
        <v>5.7936507936507935</v>
      </c>
      <c r="K554" s="13">
        <f>Table134[[#This Row],[purchase_history]]/Table134[[#This Row],[number_of_purchases]]</f>
        <v>1531.4485714285713</v>
      </c>
      <c r="L554" s="2">
        <f>IF(YEAR(Table134[[#This Row],[Last_Day]])=2021,5,IF(YEAR(Table134[[#This Row],[Last_Day]])=2022,7,IF(YEAR(Table134[[#This Row],[Last_Day]])=2023,10,"Không xác định")))</f>
        <v>10</v>
      </c>
      <c r="M554" s="15">
        <f>Table134[[#This Row],[avg_number_of_purchases]]*Table1345[[#This Row],[avg_purchase_value]]*Table1345[[#This Row],[expected_lifespan]]</f>
        <v>88726.782312925148</v>
      </c>
      <c r="N554" t="s">
        <v>12044</v>
      </c>
    </row>
    <row r="555" spans="1:14" x14ac:dyDescent="0.3">
      <c r="A555" s="2" t="s">
        <v>553</v>
      </c>
      <c r="B555" s="2" t="s">
        <v>12045</v>
      </c>
      <c r="C555" s="2">
        <v>37</v>
      </c>
      <c r="D555" s="2" t="s">
        <v>12049</v>
      </c>
      <c r="E555" s="2">
        <f>COUNTIF(Table16[customer_id],Table13[[#This Row],[customer_id]])</f>
        <v>6</v>
      </c>
      <c r="F555" s="13">
        <f>SUMIFS(Table16[Purchase_history],Table16[customer_id],Table13[[#This Row],[customer_id]])</f>
        <v>11265.31</v>
      </c>
      <c r="G555" s="20">
        <v>44373</v>
      </c>
      <c r="H555" s="21">
        <v>44723</v>
      </c>
      <c r="I555" s="15">
        <f>(Table134[[#This Row],[Last_Day]]-Table134[[#This Row],[First_Day]]+1)/365</f>
        <v>0.9616438356164384</v>
      </c>
      <c r="J555" s="59">
        <f>Table134[[#This Row],[number_of_purchases]]/Table134[[#This Row],[customer_total_years]]</f>
        <v>6.2393162393162394</v>
      </c>
      <c r="K555" s="13">
        <f>Table134[[#This Row],[purchase_history]]/Table134[[#This Row],[number_of_purchases]]</f>
        <v>1877.5516666666665</v>
      </c>
      <c r="L555" s="2">
        <f>IF(YEAR(Table134[[#This Row],[Last_Day]])=2021,5,IF(YEAR(Table134[[#This Row],[Last_Day]])=2022,7,IF(YEAR(Table134[[#This Row],[Last_Day]])=2023,10,"Không xác định")))</f>
        <v>7</v>
      </c>
      <c r="M555" s="15">
        <f>Table134[[#This Row],[avg_number_of_purchases]]*Table1345[[#This Row],[avg_purchase_value]]*Table1345[[#This Row],[expected_lifespan]]</f>
        <v>82002.470227920232</v>
      </c>
      <c r="N555" t="s">
        <v>12047</v>
      </c>
    </row>
    <row r="556" spans="1:14" x14ac:dyDescent="0.3">
      <c r="A556" s="2" t="s">
        <v>554</v>
      </c>
      <c r="B556" s="2" t="s">
        <v>12040</v>
      </c>
      <c r="C556" s="2">
        <v>43</v>
      </c>
      <c r="D556" s="2" t="s">
        <v>12043</v>
      </c>
      <c r="E556" s="2">
        <f>COUNTIF(Table16[customer_id],Table13[[#This Row],[customer_id]])</f>
        <v>6</v>
      </c>
      <c r="F556" s="13">
        <f>SUMIFS(Table16[Purchase_history],Table16[customer_id],Table13[[#This Row],[customer_id]])</f>
        <v>9304.18</v>
      </c>
      <c r="G556" s="20">
        <v>44355</v>
      </c>
      <c r="H556" s="21">
        <v>44985</v>
      </c>
      <c r="I556" s="15">
        <f>(Table134[[#This Row],[Last_Day]]-Table134[[#This Row],[First_Day]]+1)/365</f>
        <v>1.7287671232876711</v>
      </c>
      <c r="J556" s="59">
        <f>Table134[[#This Row],[number_of_purchases]]/Table134[[#This Row],[customer_total_years]]</f>
        <v>3.47068145800317</v>
      </c>
      <c r="K556" s="13">
        <f>Table134[[#This Row],[purchase_history]]/Table134[[#This Row],[number_of_purchases]]</f>
        <v>1550.6966666666667</v>
      </c>
      <c r="L556" s="2">
        <f>IF(YEAR(Table134[[#This Row],[Last_Day]])=2021,5,IF(YEAR(Table134[[#This Row],[Last_Day]])=2022,7,IF(YEAR(Table134[[#This Row],[Last_Day]])=2023,10,"Không xác định")))</f>
        <v>10</v>
      </c>
      <c r="M556" s="15">
        <f>Table134[[#This Row],[avg_number_of_purchases]]*Table1345[[#This Row],[avg_purchase_value]]*Table1345[[#This Row],[expected_lifespan]]</f>
        <v>53819.741679873223</v>
      </c>
      <c r="N556" t="s">
        <v>12048</v>
      </c>
    </row>
    <row r="557" spans="1:14" x14ac:dyDescent="0.3">
      <c r="A557" s="2" t="s">
        <v>555</v>
      </c>
      <c r="B557" s="2" t="s">
        <v>12045</v>
      </c>
      <c r="C557" s="2">
        <v>49</v>
      </c>
      <c r="D557" s="2" t="s">
        <v>12043</v>
      </c>
      <c r="E557" s="2">
        <f>COUNTIF(Table16[customer_id],Table13[[#This Row],[customer_id]])</f>
        <v>4</v>
      </c>
      <c r="F557" s="13">
        <f>SUMIFS(Table16[Purchase_history],Table16[customer_id],Table13[[#This Row],[customer_id]])</f>
        <v>524.76</v>
      </c>
      <c r="G557" s="20">
        <v>44220</v>
      </c>
      <c r="H557" s="21">
        <v>44855</v>
      </c>
      <c r="I557" s="15">
        <f>(Table134[[#This Row],[Last_Day]]-Table134[[#This Row],[First_Day]]+1)/365</f>
        <v>1.7424657534246575</v>
      </c>
      <c r="J557" s="59">
        <f>Table134[[#This Row],[number_of_purchases]]/Table134[[#This Row],[customer_total_years]]</f>
        <v>2.2955974842767297</v>
      </c>
      <c r="K557" s="13">
        <f>Table134[[#This Row],[purchase_history]]/Table134[[#This Row],[number_of_purchases]]</f>
        <v>131.19</v>
      </c>
      <c r="L557" s="2">
        <f>IF(YEAR(Table134[[#This Row],[Last_Day]])=2021,5,IF(YEAR(Table134[[#This Row],[Last_Day]])=2022,7,IF(YEAR(Table134[[#This Row],[Last_Day]])=2023,10,"Không xác định")))</f>
        <v>7</v>
      </c>
      <c r="M557" s="15">
        <f>Table134[[#This Row],[avg_number_of_purchases]]*Table1345[[#This Row],[avg_purchase_value]]*Table1345[[#This Row],[expected_lifespan]]</f>
        <v>2108.1160377358492</v>
      </c>
      <c r="N557" t="s">
        <v>12046</v>
      </c>
    </row>
    <row r="558" spans="1:14" x14ac:dyDescent="0.3">
      <c r="A558" s="2" t="s">
        <v>556</v>
      </c>
      <c r="B558" s="2" t="s">
        <v>12045</v>
      </c>
      <c r="C558" s="2">
        <v>26</v>
      </c>
      <c r="D558" s="2" t="s">
        <v>12049</v>
      </c>
      <c r="E558" s="2">
        <f>COUNTIF(Table16[customer_id],Table13[[#This Row],[customer_id]])</f>
        <v>8</v>
      </c>
      <c r="F558" s="13">
        <f>SUMIFS(Table16[Purchase_history],Table16[customer_id],Table13[[#This Row],[customer_id]])</f>
        <v>5624.25</v>
      </c>
      <c r="G558" s="20">
        <v>44478</v>
      </c>
      <c r="H558" s="21">
        <v>44979</v>
      </c>
      <c r="I558" s="15">
        <f>(Table134[[#This Row],[Last_Day]]-Table134[[#This Row],[First_Day]]+1)/365</f>
        <v>1.3753424657534246</v>
      </c>
      <c r="J558" s="59">
        <f>Table134[[#This Row],[number_of_purchases]]/Table134[[#This Row],[customer_total_years]]</f>
        <v>5.8167330677290838</v>
      </c>
      <c r="K558" s="13">
        <f>Table134[[#This Row],[purchase_history]]/Table134[[#This Row],[number_of_purchases]]</f>
        <v>703.03125</v>
      </c>
      <c r="L558" s="2">
        <f>IF(YEAR(Table134[[#This Row],[Last_Day]])=2021,5,IF(YEAR(Table134[[#This Row],[Last_Day]])=2022,7,IF(YEAR(Table134[[#This Row],[Last_Day]])=2023,10,"Không xác định")))</f>
        <v>10</v>
      </c>
      <c r="M558" s="15">
        <f>Table134[[#This Row],[avg_number_of_purchases]]*Table1345[[#This Row],[avg_purchase_value]]*Table1345[[#This Row],[expected_lifespan]]</f>
        <v>40893.451195219124</v>
      </c>
      <c r="N558" t="s">
        <v>12044</v>
      </c>
    </row>
    <row r="559" spans="1:14" x14ac:dyDescent="0.3">
      <c r="A559" s="2" t="s">
        <v>557</v>
      </c>
      <c r="B559" s="2" t="s">
        <v>12040</v>
      </c>
      <c r="C559" s="2">
        <v>50</v>
      </c>
      <c r="D559" s="2" t="s">
        <v>12043</v>
      </c>
      <c r="E559" s="2">
        <f>COUNTIF(Table16[customer_id],Table13[[#This Row],[customer_id]])</f>
        <v>4</v>
      </c>
      <c r="F559" s="13">
        <f>SUMIFS(Table16[Purchase_history],Table16[customer_id],Table13[[#This Row],[customer_id]])</f>
        <v>5725.4700000000012</v>
      </c>
      <c r="G559" s="20">
        <v>44203</v>
      </c>
      <c r="H559" s="21">
        <v>44572</v>
      </c>
      <c r="I559" s="15">
        <f>(Table134[[#This Row],[Last_Day]]-Table134[[#This Row],[First_Day]]+1)/365</f>
        <v>1.0136986301369864</v>
      </c>
      <c r="J559" s="59">
        <f>Table134[[#This Row],[number_of_purchases]]/Table134[[#This Row],[customer_total_years]]</f>
        <v>3.9459459459459456</v>
      </c>
      <c r="K559" s="13">
        <f>Table134[[#This Row],[purchase_history]]/Table134[[#This Row],[number_of_purchases]]</f>
        <v>1431.3675000000003</v>
      </c>
      <c r="L559" s="2">
        <f>IF(YEAR(Table134[[#This Row],[Last_Day]])=2021,5,IF(YEAR(Table134[[#This Row],[Last_Day]])=2022,7,IF(YEAR(Table134[[#This Row],[Last_Day]])=2023,10,"Không xác định")))</f>
        <v>7</v>
      </c>
      <c r="M559" s="15">
        <f>Table134[[#This Row],[avg_number_of_purchases]]*Table1345[[#This Row],[avg_purchase_value]]*Table1345[[#This Row],[expected_lifespan]]</f>
        <v>39536.691486486496</v>
      </c>
      <c r="N559" t="s">
        <v>12047</v>
      </c>
    </row>
    <row r="560" spans="1:14" x14ac:dyDescent="0.3">
      <c r="A560" s="2" t="s">
        <v>558</v>
      </c>
      <c r="B560" s="2" t="s">
        <v>12040</v>
      </c>
      <c r="C560" s="2">
        <v>39</v>
      </c>
      <c r="D560" s="2" t="s">
        <v>12043</v>
      </c>
      <c r="E560" s="2">
        <f>COUNTIF(Table16[customer_id],Table13[[#This Row],[customer_id]])</f>
        <v>4</v>
      </c>
      <c r="F560" s="13">
        <f>SUMIFS(Table16[Purchase_history],Table16[customer_id],Table13[[#This Row],[customer_id]])</f>
        <v>3614.95</v>
      </c>
      <c r="G560" s="20">
        <v>44257</v>
      </c>
      <c r="H560" s="21">
        <v>44794</v>
      </c>
      <c r="I560" s="15">
        <f>(Table134[[#This Row],[Last_Day]]-Table134[[#This Row],[First_Day]]+1)/365</f>
        <v>1.473972602739726</v>
      </c>
      <c r="J560" s="59">
        <f>Table134[[#This Row],[number_of_purchases]]/Table134[[#This Row],[customer_total_years]]</f>
        <v>2.7137546468401488</v>
      </c>
      <c r="K560" s="13">
        <f>Table134[[#This Row],[purchase_history]]/Table134[[#This Row],[number_of_purchases]]</f>
        <v>903.73749999999995</v>
      </c>
      <c r="L560" s="2">
        <f>IF(YEAR(Table134[[#This Row],[Last_Day]])=2021,5,IF(YEAR(Table134[[#This Row],[Last_Day]])=2022,7,IF(YEAR(Table134[[#This Row],[Last_Day]])=2023,10,"Không xác định")))</f>
        <v>7</v>
      </c>
      <c r="M560" s="15">
        <f>Table134[[#This Row],[avg_number_of_purchases]]*Table1345[[#This Row],[avg_purchase_value]]*Table1345[[#This Row],[expected_lifespan]]</f>
        <v>17167.652881040889</v>
      </c>
      <c r="N560" t="s">
        <v>12047</v>
      </c>
    </row>
    <row r="561" spans="1:14" x14ac:dyDescent="0.3">
      <c r="A561" s="2" t="s">
        <v>559</v>
      </c>
      <c r="B561" s="2" t="s">
        <v>12045</v>
      </c>
      <c r="C561" s="2">
        <v>43</v>
      </c>
      <c r="D561" s="2" t="s">
        <v>12043</v>
      </c>
      <c r="E561" s="2">
        <f>COUNTIF(Table16[customer_id],Table13[[#This Row],[customer_id]])</f>
        <v>4</v>
      </c>
      <c r="F561" s="13">
        <f>SUMIFS(Table16[Purchase_history],Table16[customer_id],Table13[[#This Row],[customer_id]])</f>
        <v>17151.64</v>
      </c>
      <c r="G561" s="20">
        <v>44254</v>
      </c>
      <c r="H561" s="21">
        <v>44883</v>
      </c>
      <c r="I561" s="15">
        <f>(Table134[[#This Row],[Last_Day]]-Table134[[#This Row],[First_Day]]+1)/365</f>
        <v>1.726027397260274</v>
      </c>
      <c r="J561" s="59">
        <f>Table134[[#This Row],[number_of_purchases]]/Table134[[#This Row],[customer_total_years]]</f>
        <v>2.3174603174603172</v>
      </c>
      <c r="K561" s="13">
        <f>Table134[[#This Row],[purchase_history]]/Table134[[#This Row],[number_of_purchases]]</f>
        <v>4287.91</v>
      </c>
      <c r="L561" s="2">
        <f>IF(YEAR(Table134[[#This Row],[Last_Day]])=2021,5,IF(YEAR(Table134[[#This Row],[Last_Day]])=2022,7,IF(YEAR(Table134[[#This Row],[Last_Day]])=2023,10,"Không xác định")))</f>
        <v>7</v>
      </c>
      <c r="M561" s="15">
        <f>Table134[[#This Row],[avg_number_of_purchases]]*Table1345[[#This Row],[avg_purchase_value]]*Table1345[[#This Row],[expected_lifespan]]</f>
        <v>69559.42888888887</v>
      </c>
      <c r="N561" t="s">
        <v>12048</v>
      </c>
    </row>
    <row r="562" spans="1:14" x14ac:dyDescent="0.3">
      <c r="A562" s="2" t="s">
        <v>560</v>
      </c>
      <c r="B562" s="2" t="s">
        <v>12040</v>
      </c>
      <c r="C562" s="2">
        <v>29</v>
      </c>
      <c r="D562" s="2" t="s">
        <v>12041</v>
      </c>
      <c r="E562" s="2">
        <f>COUNTIF(Table16[customer_id],Table13[[#This Row],[customer_id]])</f>
        <v>6</v>
      </c>
      <c r="F562" s="13">
        <f>SUMIFS(Table16[Purchase_history],Table16[customer_id],Table13[[#This Row],[customer_id]])</f>
        <v>34711.1</v>
      </c>
      <c r="G562" s="20">
        <v>44440</v>
      </c>
      <c r="H562" s="21">
        <v>44941</v>
      </c>
      <c r="I562" s="15">
        <f>(Table134[[#This Row],[Last_Day]]-Table134[[#This Row],[First_Day]]+1)/365</f>
        <v>1.3753424657534246</v>
      </c>
      <c r="J562" s="59">
        <f>Table134[[#This Row],[number_of_purchases]]/Table134[[#This Row],[customer_total_years]]</f>
        <v>4.3625498007968133</v>
      </c>
      <c r="K562" s="13">
        <f>Table134[[#This Row],[purchase_history]]/Table134[[#This Row],[number_of_purchases]]</f>
        <v>5785.1833333333334</v>
      </c>
      <c r="L562" s="2">
        <f>IF(YEAR(Table134[[#This Row],[Last_Day]])=2021,5,IF(YEAR(Table134[[#This Row],[Last_Day]])=2022,7,IF(YEAR(Table134[[#This Row],[Last_Day]])=2023,10,"Không xác định")))</f>
        <v>10</v>
      </c>
      <c r="M562" s="15">
        <f>Table134[[#This Row],[avg_number_of_purchases]]*Table1345[[#This Row],[avg_purchase_value]]*Table1345[[#This Row],[expected_lifespan]]</f>
        <v>252381.50398406378</v>
      </c>
      <c r="N562" t="s">
        <v>12046</v>
      </c>
    </row>
    <row r="563" spans="1:14" x14ac:dyDescent="0.3">
      <c r="A563" s="2" t="s">
        <v>561</v>
      </c>
      <c r="B563" s="2" t="s">
        <v>12045</v>
      </c>
      <c r="C563" s="2">
        <v>50</v>
      </c>
      <c r="D563" s="2" t="s">
        <v>12043</v>
      </c>
      <c r="E563" s="2">
        <f>COUNTIF(Table16[customer_id],Table13[[#This Row],[customer_id]])</f>
        <v>5</v>
      </c>
      <c r="F563" s="13">
        <f>SUMIFS(Table16[Purchase_history],Table16[customer_id],Table13[[#This Row],[customer_id]])</f>
        <v>18256.830000000002</v>
      </c>
      <c r="G563" s="20">
        <v>44235</v>
      </c>
      <c r="H563" s="21">
        <v>44849</v>
      </c>
      <c r="I563" s="15">
        <f>(Table134[[#This Row],[Last_Day]]-Table134[[#This Row],[First_Day]]+1)/365</f>
        <v>1.6849315068493151</v>
      </c>
      <c r="J563" s="59">
        <f>Table134[[#This Row],[number_of_purchases]]/Table134[[#This Row],[customer_total_years]]</f>
        <v>2.9674796747967478</v>
      </c>
      <c r="K563" s="13">
        <f>Table134[[#This Row],[purchase_history]]/Table134[[#This Row],[number_of_purchases]]</f>
        <v>3651.3660000000004</v>
      </c>
      <c r="L563" s="2">
        <f>IF(YEAR(Table134[[#This Row],[Last_Day]])=2021,5,IF(YEAR(Table134[[#This Row],[Last_Day]])=2022,7,IF(YEAR(Table134[[#This Row],[Last_Day]])=2023,10,"Không xác định")))</f>
        <v>7</v>
      </c>
      <c r="M563" s="15">
        <f>Table134[[#This Row],[avg_number_of_purchases]]*Table1345[[#This Row],[avg_purchase_value]]*Table1345[[#This Row],[expected_lifespan]]</f>
        <v>75847.480731707328</v>
      </c>
      <c r="N563" t="s">
        <v>12042</v>
      </c>
    </row>
    <row r="564" spans="1:14" x14ac:dyDescent="0.3">
      <c r="A564" s="2" t="s">
        <v>562</v>
      </c>
      <c r="B564" s="2" t="s">
        <v>12045</v>
      </c>
      <c r="C564" s="2">
        <v>26</v>
      </c>
      <c r="D564" s="2" t="s">
        <v>12049</v>
      </c>
      <c r="E564" s="2">
        <f>COUNTIF(Table16[customer_id],Table13[[#This Row],[customer_id]])</f>
        <v>9</v>
      </c>
      <c r="F564" s="13">
        <f>SUMIFS(Table16[Purchase_history],Table16[customer_id],Table13[[#This Row],[customer_id]])</f>
        <v>7577.3799999999992</v>
      </c>
      <c r="G564" s="20">
        <v>44219</v>
      </c>
      <c r="H564" s="21">
        <v>44917</v>
      </c>
      <c r="I564" s="15">
        <f>(Table134[[#This Row],[Last_Day]]-Table134[[#This Row],[First_Day]]+1)/365</f>
        <v>1.9150684931506849</v>
      </c>
      <c r="J564" s="59">
        <f>Table134[[#This Row],[number_of_purchases]]/Table134[[#This Row],[customer_total_years]]</f>
        <v>4.6995708154506435</v>
      </c>
      <c r="K564" s="13">
        <f>Table134[[#This Row],[purchase_history]]/Table134[[#This Row],[number_of_purchases]]</f>
        <v>841.93111111111102</v>
      </c>
      <c r="L564" s="2">
        <f>IF(YEAR(Table134[[#This Row],[Last_Day]])=2021,5,IF(YEAR(Table134[[#This Row],[Last_Day]])=2022,7,IF(YEAR(Table134[[#This Row],[Last_Day]])=2023,10,"Không xác định")))</f>
        <v>7</v>
      </c>
      <c r="M564" s="15">
        <f>Table134[[#This Row],[avg_number_of_purchases]]*Table1345[[#This Row],[avg_purchase_value]]*Table1345[[#This Row],[expected_lifespan]]</f>
        <v>27697.004148783974</v>
      </c>
      <c r="N564" t="s">
        <v>12047</v>
      </c>
    </row>
    <row r="565" spans="1:14" x14ac:dyDescent="0.3">
      <c r="A565" s="2" t="s">
        <v>563</v>
      </c>
      <c r="B565" s="2" t="s">
        <v>12040</v>
      </c>
      <c r="C565" s="2">
        <v>29</v>
      </c>
      <c r="D565" s="2" t="s">
        <v>12041</v>
      </c>
      <c r="E565" s="2">
        <f>COUNTIF(Table16[customer_id],Table13[[#This Row],[customer_id]])</f>
        <v>2</v>
      </c>
      <c r="F565" s="13">
        <f>SUMIFS(Table16[Purchase_history],Table16[customer_id],Table13[[#This Row],[customer_id]])</f>
        <v>2447.75</v>
      </c>
      <c r="G565" s="20">
        <v>44437</v>
      </c>
      <c r="H565" s="21">
        <v>44964</v>
      </c>
      <c r="I565" s="15">
        <f>(Table134[[#This Row],[Last_Day]]-Table134[[#This Row],[First_Day]]+1)/365</f>
        <v>1.4465753424657535</v>
      </c>
      <c r="J565" s="59">
        <f>Table134[[#This Row],[number_of_purchases]]/Table134[[#This Row],[customer_total_years]]</f>
        <v>1.3825757575757576</v>
      </c>
      <c r="K565" s="13">
        <f>Table134[[#This Row],[purchase_history]]/Table134[[#This Row],[number_of_purchases]]</f>
        <v>1223.875</v>
      </c>
      <c r="L565" s="2">
        <f>IF(YEAR(Table134[[#This Row],[Last_Day]])=2021,5,IF(YEAR(Table134[[#This Row],[Last_Day]])=2022,7,IF(YEAR(Table134[[#This Row],[Last_Day]])=2023,10,"Không xác định")))</f>
        <v>10</v>
      </c>
      <c r="M565" s="15">
        <f>Table134[[#This Row],[avg_number_of_purchases]]*Table1345[[#This Row],[avg_purchase_value]]*Table1345[[#This Row],[expected_lifespan]]</f>
        <v>16920.999053030304</v>
      </c>
      <c r="N565" t="s">
        <v>12042</v>
      </c>
    </row>
    <row r="566" spans="1:14" x14ac:dyDescent="0.3">
      <c r="A566" s="2" t="s">
        <v>564</v>
      </c>
      <c r="B566" s="2" t="s">
        <v>12040</v>
      </c>
      <c r="C566" s="2">
        <v>22</v>
      </c>
      <c r="D566" s="2" t="s">
        <v>12043</v>
      </c>
      <c r="E566" s="2">
        <f>COUNTIF(Table16[customer_id],Table13[[#This Row],[customer_id]])</f>
        <v>3</v>
      </c>
      <c r="F566" s="13">
        <f>SUMIFS(Table16[Purchase_history],Table16[customer_id],Table13[[#This Row],[customer_id]])</f>
        <v>7700.4800000000005</v>
      </c>
      <c r="G566" s="20">
        <v>44248</v>
      </c>
      <c r="H566" s="21">
        <v>44913</v>
      </c>
      <c r="I566" s="15">
        <f>(Table134[[#This Row],[Last_Day]]-Table134[[#This Row],[First_Day]]+1)/365</f>
        <v>1.8246575342465754</v>
      </c>
      <c r="J566" s="59">
        <f>Table134[[#This Row],[number_of_purchases]]/Table134[[#This Row],[customer_total_years]]</f>
        <v>1.644144144144144</v>
      </c>
      <c r="K566" s="13">
        <f>Table134[[#This Row],[purchase_history]]/Table134[[#This Row],[number_of_purchases]]</f>
        <v>2566.8266666666668</v>
      </c>
      <c r="L566" s="2">
        <f>IF(YEAR(Table134[[#This Row],[Last_Day]])=2021,5,IF(YEAR(Table134[[#This Row],[Last_Day]])=2022,7,IF(YEAR(Table134[[#This Row],[Last_Day]])=2023,10,"Không xác định")))</f>
        <v>7</v>
      </c>
      <c r="M566" s="15">
        <f>Table134[[#This Row],[avg_number_of_purchases]]*Table1345[[#This Row],[avg_purchase_value]]*Table1345[[#This Row],[expected_lifespan]]</f>
        <v>29541.631231231233</v>
      </c>
      <c r="N566" t="s">
        <v>12044</v>
      </c>
    </row>
    <row r="567" spans="1:14" x14ac:dyDescent="0.3">
      <c r="A567" s="2" t="s">
        <v>565</v>
      </c>
      <c r="B567" s="2" t="s">
        <v>12040</v>
      </c>
      <c r="C567" s="2">
        <v>59</v>
      </c>
      <c r="D567" s="2" t="s">
        <v>12043</v>
      </c>
      <c r="E567" s="2">
        <f>COUNTIF(Table16[customer_id],Table13[[#This Row],[customer_id]])</f>
        <v>5</v>
      </c>
      <c r="F567" s="13">
        <f>SUMIFS(Table16[Purchase_history],Table16[customer_id],Table13[[#This Row],[customer_id]])</f>
        <v>784.18</v>
      </c>
      <c r="G567" s="20">
        <v>44222</v>
      </c>
      <c r="H567" s="21">
        <v>44911</v>
      </c>
      <c r="I567" s="15">
        <f>(Table134[[#This Row],[Last_Day]]-Table134[[#This Row],[First_Day]]+1)/365</f>
        <v>1.8904109589041096</v>
      </c>
      <c r="J567" s="59">
        <f>Table134[[#This Row],[number_of_purchases]]/Table134[[#This Row],[customer_total_years]]</f>
        <v>2.6449275362318843</v>
      </c>
      <c r="K567" s="13">
        <f>Table134[[#This Row],[purchase_history]]/Table134[[#This Row],[number_of_purchases]]</f>
        <v>156.83599999999998</v>
      </c>
      <c r="L567" s="2">
        <f>IF(YEAR(Table134[[#This Row],[Last_Day]])=2021,5,IF(YEAR(Table134[[#This Row],[Last_Day]])=2022,7,IF(YEAR(Table134[[#This Row],[Last_Day]])=2023,10,"Không xác định")))</f>
        <v>7</v>
      </c>
      <c r="M567" s="15">
        <f>Table134[[#This Row],[avg_number_of_purchases]]*Table1345[[#This Row],[avg_purchase_value]]*Table1345[[#This Row],[expected_lifespan]]</f>
        <v>2903.7389855072465</v>
      </c>
      <c r="N567" t="s">
        <v>12048</v>
      </c>
    </row>
    <row r="568" spans="1:14" x14ac:dyDescent="0.3">
      <c r="A568" s="2" t="s">
        <v>566</v>
      </c>
      <c r="B568" s="2" t="s">
        <v>12040</v>
      </c>
      <c r="C568" s="2">
        <v>19</v>
      </c>
      <c r="D568" s="2" t="s">
        <v>12043</v>
      </c>
      <c r="E568" s="2">
        <f>COUNTIF(Table16[customer_id],Table13[[#This Row],[customer_id]])</f>
        <v>2</v>
      </c>
      <c r="F568" s="13">
        <f>SUMIFS(Table16[Purchase_history],Table16[customer_id],Table13[[#This Row],[customer_id]])</f>
        <v>358.4</v>
      </c>
      <c r="G568" s="20">
        <v>44540</v>
      </c>
      <c r="H568" s="21">
        <v>44733</v>
      </c>
      <c r="I568" s="15">
        <f>(Table134[[#This Row],[Last_Day]]-Table134[[#This Row],[First_Day]]+1)/365</f>
        <v>0.53150684931506853</v>
      </c>
      <c r="J568" s="59">
        <f>Table134[[#This Row],[number_of_purchases]]/Table134[[#This Row],[customer_total_years]]</f>
        <v>3.7628865979381443</v>
      </c>
      <c r="K568" s="13">
        <f>Table134[[#This Row],[purchase_history]]/Table134[[#This Row],[number_of_purchases]]</f>
        <v>179.2</v>
      </c>
      <c r="L568" s="2">
        <f>IF(YEAR(Table134[[#This Row],[Last_Day]])=2021,5,IF(YEAR(Table134[[#This Row],[Last_Day]])=2022,7,IF(YEAR(Table134[[#This Row],[Last_Day]])=2023,10,"Không xác định")))</f>
        <v>7</v>
      </c>
      <c r="M568" s="15">
        <f>Table134[[#This Row],[avg_number_of_purchases]]*Table1345[[#This Row],[avg_purchase_value]]*Table1345[[#This Row],[expected_lifespan]]</f>
        <v>4720.1649484536083</v>
      </c>
      <c r="N568" t="s">
        <v>12044</v>
      </c>
    </row>
    <row r="569" spans="1:14" x14ac:dyDescent="0.3">
      <c r="A569" s="2" t="s">
        <v>567</v>
      </c>
      <c r="B569" s="2" t="s">
        <v>12045</v>
      </c>
      <c r="C569" s="2">
        <v>28</v>
      </c>
      <c r="D569" s="2" t="s">
        <v>12041</v>
      </c>
      <c r="E569" s="2">
        <f>COUNTIF(Table16[customer_id],Table13[[#This Row],[customer_id]])</f>
        <v>6</v>
      </c>
      <c r="F569" s="13">
        <f>SUMIFS(Table16[Purchase_history],Table16[customer_id],Table13[[#This Row],[customer_id]])</f>
        <v>21168.23</v>
      </c>
      <c r="G569" s="20">
        <v>44226</v>
      </c>
      <c r="H569" s="21">
        <v>44900</v>
      </c>
      <c r="I569" s="15">
        <f>(Table134[[#This Row],[Last_Day]]-Table134[[#This Row],[First_Day]]+1)/365</f>
        <v>1.8493150684931507</v>
      </c>
      <c r="J569" s="59">
        <f>Table134[[#This Row],[number_of_purchases]]/Table134[[#This Row],[customer_total_years]]</f>
        <v>3.2444444444444445</v>
      </c>
      <c r="K569" s="13">
        <f>Table134[[#This Row],[purchase_history]]/Table134[[#This Row],[number_of_purchases]]</f>
        <v>3528.0383333333334</v>
      </c>
      <c r="L569" s="2">
        <f>IF(YEAR(Table134[[#This Row],[Last_Day]])=2021,5,IF(YEAR(Table134[[#This Row],[Last_Day]])=2022,7,IF(YEAR(Table134[[#This Row],[Last_Day]])=2023,10,"Không xác định")))</f>
        <v>7</v>
      </c>
      <c r="M569" s="15">
        <f>Table134[[#This Row],[avg_number_of_purchases]]*Table1345[[#This Row],[avg_purchase_value]]*Table1345[[#This Row],[expected_lifespan]]</f>
        <v>80125.670592592593</v>
      </c>
      <c r="N569" t="s">
        <v>12047</v>
      </c>
    </row>
    <row r="570" spans="1:14" x14ac:dyDescent="0.3">
      <c r="A570" s="2" t="s">
        <v>568</v>
      </c>
      <c r="B570" s="2" t="s">
        <v>12040</v>
      </c>
      <c r="C570" s="2">
        <v>47</v>
      </c>
      <c r="D570" s="2" t="s">
        <v>12041</v>
      </c>
      <c r="E570" s="2">
        <f>COUNTIF(Table16[customer_id],Table13[[#This Row],[customer_id]])</f>
        <v>5</v>
      </c>
      <c r="F570" s="13">
        <f>SUMIFS(Table16[Purchase_history],Table16[customer_id],Table13[[#This Row],[customer_id]])</f>
        <v>7522.4399999999987</v>
      </c>
      <c r="G570" s="20">
        <v>44328</v>
      </c>
      <c r="H570" s="21">
        <v>44823</v>
      </c>
      <c r="I570" s="15">
        <f>(Table134[[#This Row],[Last_Day]]-Table134[[#This Row],[First_Day]]+1)/365</f>
        <v>1.3589041095890411</v>
      </c>
      <c r="J570" s="59">
        <f>Table134[[#This Row],[number_of_purchases]]/Table134[[#This Row],[customer_total_years]]</f>
        <v>3.679435483870968</v>
      </c>
      <c r="K570" s="13">
        <f>Table134[[#This Row],[purchase_history]]/Table134[[#This Row],[number_of_purchases]]</f>
        <v>1504.4879999999998</v>
      </c>
      <c r="L570" s="2">
        <f>IF(YEAR(Table134[[#This Row],[Last_Day]])=2021,5,IF(YEAR(Table134[[#This Row],[Last_Day]])=2022,7,IF(YEAR(Table134[[#This Row],[Last_Day]])=2023,10,"Không xác định")))</f>
        <v>7</v>
      </c>
      <c r="M570" s="15">
        <f>Table134[[#This Row],[avg_number_of_purchases]]*Table1345[[#This Row],[avg_purchase_value]]*Table1345[[#This Row],[expected_lifespan]]</f>
        <v>38749.665725806444</v>
      </c>
      <c r="N570" t="s">
        <v>12046</v>
      </c>
    </row>
    <row r="571" spans="1:14" x14ac:dyDescent="0.3">
      <c r="A571" s="2" t="s">
        <v>569</v>
      </c>
      <c r="B571" s="2" t="s">
        <v>12045</v>
      </c>
      <c r="C571" s="2">
        <v>30</v>
      </c>
      <c r="D571" s="2" t="s">
        <v>12041</v>
      </c>
      <c r="E571" s="2">
        <f>COUNTIF(Table16[customer_id],Table13[[#This Row],[customer_id]])</f>
        <v>3</v>
      </c>
      <c r="F571" s="13">
        <f>SUMIFS(Table16[Purchase_history],Table16[customer_id],Table13[[#This Row],[customer_id]])</f>
        <v>235.35000000000002</v>
      </c>
      <c r="G571" s="20">
        <v>44572</v>
      </c>
      <c r="H571" s="21">
        <v>44942</v>
      </c>
      <c r="I571" s="15">
        <f>(Table134[[#This Row],[Last_Day]]-Table134[[#This Row],[First_Day]]+1)/365</f>
        <v>1.0164383561643835</v>
      </c>
      <c r="J571" s="59">
        <f>Table134[[#This Row],[number_of_purchases]]/Table134[[#This Row],[customer_total_years]]</f>
        <v>2.9514824797843668</v>
      </c>
      <c r="K571" s="13">
        <f>Table134[[#This Row],[purchase_history]]/Table134[[#This Row],[number_of_purchases]]</f>
        <v>78.45</v>
      </c>
      <c r="L571" s="2">
        <f>IF(YEAR(Table134[[#This Row],[Last_Day]])=2021,5,IF(YEAR(Table134[[#This Row],[Last_Day]])=2022,7,IF(YEAR(Table134[[#This Row],[Last_Day]])=2023,10,"Không xác định")))</f>
        <v>10</v>
      </c>
      <c r="M571" s="15">
        <f>Table134[[#This Row],[avg_number_of_purchases]]*Table1345[[#This Row],[avg_purchase_value]]*Table1345[[#This Row],[expected_lifespan]]</f>
        <v>2315.4380053908358</v>
      </c>
      <c r="N571" t="s">
        <v>12046</v>
      </c>
    </row>
    <row r="572" spans="1:14" x14ac:dyDescent="0.3">
      <c r="A572" s="2" t="s">
        <v>570</v>
      </c>
      <c r="B572" s="2" t="s">
        <v>12040</v>
      </c>
      <c r="C572" s="2">
        <v>20</v>
      </c>
      <c r="D572" s="2" t="s">
        <v>12041</v>
      </c>
      <c r="E572" s="2">
        <f>COUNTIF(Table16[customer_id],Table13[[#This Row],[customer_id]])</f>
        <v>6</v>
      </c>
      <c r="F572" s="13">
        <f>SUMIFS(Table16[Purchase_history],Table16[customer_id],Table13[[#This Row],[customer_id]])</f>
        <v>30307.25</v>
      </c>
      <c r="G572" s="20">
        <v>44440</v>
      </c>
      <c r="H572" s="21">
        <v>44815</v>
      </c>
      <c r="I572" s="15">
        <f>(Table134[[#This Row],[Last_Day]]-Table134[[#This Row],[First_Day]]+1)/365</f>
        <v>1.0301369863013699</v>
      </c>
      <c r="J572" s="59">
        <f>Table134[[#This Row],[number_of_purchases]]/Table134[[#This Row],[customer_total_years]]</f>
        <v>5.8244680851063828</v>
      </c>
      <c r="K572" s="13">
        <f>Table134[[#This Row],[purchase_history]]/Table134[[#This Row],[number_of_purchases]]</f>
        <v>5051.208333333333</v>
      </c>
      <c r="L572" s="2">
        <f>IF(YEAR(Table134[[#This Row],[Last_Day]])=2021,5,IF(YEAR(Table134[[#This Row],[Last_Day]])=2022,7,IF(YEAR(Table134[[#This Row],[Last_Day]])=2023,10,"Không xác định")))</f>
        <v>7</v>
      </c>
      <c r="M572" s="15">
        <f>Table134[[#This Row],[avg_number_of_purchases]]*Table1345[[#This Row],[avg_purchase_value]]*Table1345[[#This Row],[expected_lifespan]]</f>
        <v>205944.21210106381</v>
      </c>
      <c r="N572" t="s">
        <v>12042</v>
      </c>
    </row>
    <row r="573" spans="1:14" x14ac:dyDescent="0.3">
      <c r="A573" s="2" t="s">
        <v>571</v>
      </c>
      <c r="B573" s="2" t="s">
        <v>12045</v>
      </c>
      <c r="C573" s="2">
        <v>49</v>
      </c>
      <c r="D573" s="2" t="s">
        <v>12043</v>
      </c>
      <c r="E573" s="2">
        <f>COUNTIF(Table16[customer_id],Table13[[#This Row],[customer_id]])</f>
        <v>2</v>
      </c>
      <c r="F573" s="13">
        <f>SUMIFS(Table16[Purchase_history],Table16[customer_id],Table13[[#This Row],[customer_id]])</f>
        <v>1442.72</v>
      </c>
      <c r="G573" s="20">
        <v>44540</v>
      </c>
      <c r="H573" s="21">
        <v>44651</v>
      </c>
      <c r="I573" s="15">
        <f>(Table134[[#This Row],[Last_Day]]-Table134[[#This Row],[First_Day]]+1)/365</f>
        <v>0.30684931506849317</v>
      </c>
      <c r="J573" s="59">
        <f>Table134[[#This Row],[number_of_purchases]]/Table134[[#This Row],[customer_total_years]]</f>
        <v>6.5178571428571423</v>
      </c>
      <c r="K573" s="13">
        <f>Table134[[#This Row],[purchase_history]]/Table134[[#This Row],[number_of_purchases]]</f>
        <v>721.36</v>
      </c>
      <c r="L573" s="2">
        <f>IF(YEAR(Table134[[#This Row],[Last_Day]])=2021,5,IF(YEAR(Table134[[#This Row],[Last_Day]])=2022,7,IF(YEAR(Table134[[#This Row],[Last_Day]])=2023,10,"Không xác định")))</f>
        <v>7</v>
      </c>
      <c r="M573" s="15">
        <f>Table134[[#This Row],[avg_number_of_purchases]]*Table1345[[#This Row],[avg_purchase_value]]*Table1345[[#This Row],[expected_lifespan]]</f>
        <v>32912.049999999996</v>
      </c>
      <c r="N573" t="s">
        <v>12042</v>
      </c>
    </row>
    <row r="574" spans="1:14" x14ac:dyDescent="0.3">
      <c r="A574" s="2" t="s">
        <v>572</v>
      </c>
      <c r="B574" s="2" t="s">
        <v>12040</v>
      </c>
      <c r="C574" s="2">
        <v>39</v>
      </c>
      <c r="D574" s="2" t="s">
        <v>12049</v>
      </c>
      <c r="E574" s="2">
        <f>COUNTIF(Table16[customer_id],Table13[[#This Row],[customer_id]])</f>
        <v>3</v>
      </c>
      <c r="F574" s="13">
        <f>SUMIFS(Table16[Purchase_history],Table16[customer_id],Table13[[#This Row],[customer_id]])</f>
        <v>3919.28</v>
      </c>
      <c r="G574" s="20">
        <v>44591</v>
      </c>
      <c r="H574" s="21">
        <v>44795</v>
      </c>
      <c r="I574" s="15">
        <f>(Table134[[#This Row],[Last_Day]]-Table134[[#This Row],[First_Day]]+1)/365</f>
        <v>0.56164383561643838</v>
      </c>
      <c r="J574" s="59">
        <f>Table134[[#This Row],[number_of_purchases]]/Table134[[#This Row],[customer_total_years]]</f>
        <v>5.3414634146341458</v>
      </c>
      <c r="K574" s="13">
        <f>Table134[[#This Row],[purchase_history]]/Table134[[#This Row],[number_of_purchases]]</f>
        <v>1306.4266666666667</v>
      </c>
      <c r="L574" s="2">
        <f>IF(YEAR(Table134[[#This Row],[Last_Day]])=2021,5,IF(YEAR(Table134[[#This Row],[Last_Day]])=2022,7,IF(YEAR(Table134[[#This Row],[Last_Day]])=2023,10,"Không xác định")))</f>
        <v>7</v>
      </c>
      <c r="M574" s="15">
        <f>Table134[[#This Row],[avg_number_of_purchases]]*Table1345[[#This Row],[avg_purchase_value]]*Table1345[[#This Row],[expected_lifespan]]</f>
        <v>48847.611707317075</v>
      </c>
      <c r="N574" t="s">
        <v>12044</v>
      </c>
    </row>
    <row r="575" spans="1:14" x14ac:dyDescent="0.3">
      <c r="A575" s="2" t="s">
        <v>573</v>
      </c>
      <c r="B575" s="2" t="s">
        <v>12040</v>
      </c>
      <c r="C575" s="2">
        <v>66</v>
      </c>
      <c r="D575" s="2" t="s">
        <v>12043</v>
      </c>
      <c r="E575" s="2">
        <f>COUNTIF(Table16[customer_id],Table13[[#This Row],[customer_id]])</f>
        <v>2</v>
      </c>
      <c r="F575" s="13">
        <f>SUMIFS(Table16[Purchase_history],Table16[customer_id],Table13[[#This Row],[customer_id]])</f>
        <v>952.19</v>
      </c>
      <c r="G575" s="20">
        <v>44515</v>
      </c>
      <c r="H575" s="21">
        <v>44768</v>
      </c>
      <c r="I575" s="15">
        <f>(Table134[[#This Row],[Last_Day]]-Table134[[#This Row],[First_Day]]+1)/365</f>
        <v>0.69589041095890414</v>
      </c>
      <c r="J575" s="59">
        <f>Table134[[#This Row],[number_of_purchases]]/Table134[[#This Row],[customer_total_years]]</f>
        <v>2.8740157480314958</v>
      </c>
      <c r="K575" s="13">
        <f>Table134[[#This Row],[purchase_history]]/Table134[[#This Row],[number_of_purchases]]</f>
        <v>476.09500000000003</v>
      </c>
      <c r="L575" s="2">
        <f>IF(YEAR(Table134[[#This Row],[Last_Day]])=2021,5,IF(YEAR(Table134[[#This Row],[Last_Day]])=2022,7,IF(YEAR(Table134[[#This Row],[Last_Day]])=2023,10,"Không xác định")))</f>
        <v>7</v>
      </c>
      <c r="M575" s="15">
        <f>Table134[[#This Row],[avg_number_of_purchases]]*Table1345[[#This Row],[avg_purchase_value]]*Table1345[[#This Row],[expected_lifespan]]</f>
        <v>9578.1316929133845</v>
      </c>
      <c r="N575" t="s">
        <v>12048</v>
      </c>
    </row>
    <row r="576" spans="1:14" x14ac:dyDescent="0.3">
      <c r="A576" s="2" t="s">
        <v>574</v>
      </c>
      <c r="B576" s="2" t="s">
        <v>12045</v>
      </c>
      <c r="C576" s="2">
        <v>23</v>
      </c>
      <c r="D576" s="2" t="s">
        <v>12043</v>
      </c>
      <c r="E576" s="2">
        <f>COUNTIF(Table16[customer_id],Table13[[#This Row],[customer_id]])</f>
        <v>6</v>
      </c>
      <c r="F576" s="13">
        <f>SUMIFS(Table16[Purchase_history],Table16[customer_id],Table13[[#This Row],[customer_id]])</f>
        <v>12398.719999999998</v>
      </c>
      <c r="G576" s="20">
        <v>44237</v>
      </c>
      <c r="H576" s="21">
        <v>44768</v>
      </c>
      <c r="I576" s="15">
        <f>(Table134[[#This Row],[Last_Day]]-Table134[[#This Row],[First_Day]]+1)/365</f>
        <v>1.4575342465753425</v>
      </c>
      <c r="J576" s="59">
        <f>Table134[[#This Row],[number_of_purchases]]/Table134[[#This Row],[customer_total_years]]</f>
        <v>4.1165413533834583</v>
      </c>
      <c r="K576" s="13">
        <f>Table134[[#This Row],[purchase_history]]/Table134[[#This Row],[number_of_purchases]]</f>
        <v>2066.4533333333329</v>
      </c>
      <c r="L576" s="2">
        <f>IF(YEAR(Table134[[#This Row],[Last_Day]])=2021,5,IF(YEAR(Table134[[#This Row],[Last_Day]])=2022,7,IF(YEAR(Table134[[#This Row],[Last_Day]])=2023,10,"Không xác định")))</f>
        <v>7</v>
      </c>
      <c r="M576" s="15">
        <f>Table134[[#This Row],[avg_number_of_purchases]]*Table1345[[#This Row],[avg_purchase_value]]*Table1345[[#This Row],[expected_lifespan]]</f>
        <v>59546.484210526301</v>
      </c>
      <c r="N576" t="s">
        <v>12047</v>
      </c>
    </row>
    <row r="577" spans="1:14" x14ac:dyDescent="0.3">
      <c r="A577" s="2" t="s">
        <v>575</v>
      </c>
      <c r="B577" s="2" t="s">
        <v>12045</v>
      </c>
      <c r="C577" s="2">
        <v>33</v>
      </c>
      <c r="D577" s="2" t="s">
        <v>12043</v>
      </c>
      <c r="E577" s="2">
        <f>COUNTIF(Table16[customer_id],Table13[[#This Row],[customer_id]])</f>
        <v>9</v>
      </c>
      <c r="F577" s="13">
        <f>SUMIFS(Table16[Purchase_history],Table16[customer_id],Table13[[#This Row],[customer_id]])</f>
        <v>49427.009999999995</v>
      </c>
      <c r="G577" s="20">
        <v>44402</v>
      </c>
      <c r="H577" s="21">
        <v>44961</v>
      </c>
      <c r="I577" s="15">
        <f>(Table134[[#This Row],[Last_Day]]-Table134[[#This Row],[First_Day]]+1)/365</f>
        <v>1.5342465753424657</v>
      </c>
      <c r="J577" s="59">
        <f>Table134[[#This Row],[number_of_purchases]]/Table134[[#This Row],[customer_total_years]]</f>
        <v>5.8660714285714288</v>
      </c>
      <c r="K577" s="13">
        <f>Table134[[#This Row],[purchase_history]]/Table134[[#This Row],[number_of_purchases]]</f>
        <v>5491.8899999999994</v>
      </c>
      <c r="L577" s="2">
        <f>IF(YEAR(Table134[[#This Row],[Last_Day]])=2021,5,IF(YEAR(Table134[[#This Row],[Last_Day]])=2022,7,IF(YEAR(Table134[[#This Row],[Last_Day]])=2023,10,"Không xác định")))</f>
        <v>10</v>
      </c>
      <c r="M577" s="15">
        <f>Table134[[#This Row],[avg_number_of_purchases]]*Table1345[[#This Row],[avg_purchase_value]]*Table1345[[#This Row],[expected_lifespan]]</f>
        <v>322158.19017857144</v>
      </c>
      <c r="N577" t="s">
        <v>12048</v>
      </c>
    </row>
    <row r="578" spans="1:14" x14ac:dyDescent="0.3">
      <c r="A578" s="2" t="s">
        <v>576</v>
      </c>
      <c r="B578" s="2" t="s">
        <v>12040</v>
      </c>
      <c r="C578" s="2">
        <v>67</v>
      </c>
      <c r="D578" s="2" t="s">
        <v>12043</v>
      </c>
      <c r="E578" s="2">
        <f>COUNTIF(Table16[customer_id],Table13[[#This Row],[customer_id]])</f>
        <v>4</v>
      </c>
      <c r="F578" s="13">
        <f>SUMIFS(Table16[Purchase_history],Table16[customer_id],Table13[[#This Row],[customer_id]])</f>
        <v>26291.07</v>
      </c>
      <c r="G578" s="20">
        <v>44275</v>
      </c>
      <c r="H578" s="21">
        <v>44655</v>
      </c>
      <c r="I578" s="15">
        <f>(Table134[[#This Row],[Last_Day]]-Table134[[#This Row],[First_Day]]+1)/365</f>
        <v>1.0438356164383562</v>
      </c>
      <c r="J578" s="59">
        <f>Table134[[#This Row],[number_of_purchases]]/Table134[[#This Row],[customer_total_years]]</f>
        <v>3.8320209973753281</v>
      </c>
      <c r="K578" s="13">
        <f>Table134[[#This Row],[purchase_history]]/Table134[[#This Row],[number_of_purchases]]</f>
        <v>6572.7674999999999</v>
      </c>
      <c r="L578" s="2">
        <f>IF(YEAR(Table134[[#This Row],[Last_Day]])=2021,5,IF(YEAR(Table134[[#This Row],[Last_Day]])=2022,7,IF(YEAR(Table134[[#This Row],[Last_Day]])=2023,10,"Không xác định")))</f>
        <v>7</v>
      </c>
      <c r="M578" s="15">
        <f>Table134[[#This Row],[avg_number_of_purchases]]*Table1345[[#This Row],[avg_purchase_value]]*Table1345[[#This Row],[expected_lifespan]]</f>
        <v>176308.881496063</v>
      </c>
      <c r="N578" t="s">
        <v>12047</v>
      </c>
    </row>
    <row r="579" spans="1:14" x14ac:dyDescent="0.3">
      <c r="A579" s="2" t="s">
        <v>577</v>
      </c>
      <c r="B579" s="2" t="s">
        <v>12040</v>
      </c>
      <c r="C579" s="2">
        <v>52</v>
      </c>
      <c r="D579" s="2" t="s">
        <v>12043</v>
      </c>
      <c r="E579" s="2">
        <f>COUNTIF(Table16[customer_id],Table13[[#This Row],[customer_id]])</f>
        <v>7</v>
      </c>
      <c r="F579" s="13">
        <f>SUMIFS(Table16[Purchase_history],Table16[customer_id],Table13[[#This Row],[customer_id]])</f>
        <v>21067.919999999998</v>
      </c>
      <c r="G579" s="20">
        <v>44276</v>
      </c>
      <c r="H579" s="21">
        <v>44819</v>
      </c>
      <c r="I579" s="15">
        <f>(Table134[[#This Row],[Last_Day]]-Table134[[#This Row],[First_Day]]+1)/365</f>
        <v>1.4904109589041097</v>
      </c>
      <c r="J579" s="59">
        <f>Table134[[#This Row],[number_of_purchases]]/Table134[[#This Row],[customer_total_years]]</f>
        <v>4.6966911764705879</v>
      </c>
      <c r="K579" s="13">
        <f>Table134[[#This Row],[purchase_history]]/Table134[[#This Row],[number_of_purchases]]</f>
        <v>3009.7028571428568</v>
      </c>
      <c r="L579" s="2">
        <f>IF(YEAR(Table134[[#This Row],[Last_Day]])=2021,5,IF(YEAR(Table134[[#This Row],[Last_Day]])=2022,7,IF(YEAR(Table134[[#This Row],[Last_Day]])=2023,10,"Không xác định")))</f>
        <v>7</v>
      </c>
      <c r="M579" s="15">
        <f>Table134[[#This Row],[avg_number_of_purchases]]*Table1345[[#This Row],[avg_purchase_value]]*Table1345[[#This Row],[expected_lifespan]]</f>
        <v>98949.513970588217</v>
      </c>
      <c r="N579" t="s">
        <v>12042</v>
      </c>
    </row>
    <row r="580" spans="1:14" x14ac:dyDescent="0.3">
      <c r="A580" s="2" t="s">
        <v>578</v>
      </c>
      <c r="B580" s="2" t="s">
        <v>12040</v>
      </c>
      <c r="C580" s="2">
        <v>48</v>
      </c>
      <c r="D580" s="2" t="s">
        <v>12049</v>
      </c>
      <c r="E580" s="2">
        <f>COUNTIF(Table16[customer_id],Table13[[#This Row],[customer_id]])</f>
        <v>4</v>
      </c>
      <c r="F580" s="13">
        <f>SUMIFS(Table16[Purchase_history],Table16[customer_id],Table13[[#This Row],[customer_id]])</f>
        <v>7775.36</v>
      </c>
      <c r="G580" s="20">
        <v>44373</v>
      </c>
      <c r="H580" s="21">
        <v>44902</v>
      </c>
      <c r="I580" s="15">
        <f>(Table134[[#This Row],[Last_Day]]-Table134[[#This Row],[First_Day]]+1)/365</f>
        <v>1.452054794520548</v>
      </c>
      <c r="J580" s="59">
        <f>Table134[[#This Row],[number_of_purchases]]/Table134[[#This Row],[customer_total_years]]</f>
        <v>2.7547169811320753</v>
      </c>
      <c r="K580" s="13">
        <f>Table134[[#This Row],[purchase_history]]/Table134[[#This Row],[number_of_purchases]]</f>
        <v>1943.84</v>
      </c>
      <c r="L580" s="2">
        <f>IF(YEAR(Table134[[#This Row],[Last_Day]])=2021,5,IF(YEAR(Table134[[#This Row],[Last_Day]])=2022,7,IF(YEAR(Table134[[#This Row],[Last_Day]])=2023,10,"Không xác định")))</f>
        <v>7</v>
      </c>
      <c r="M580" s="15">
        <f>Table134[[#This Row],[avg_number_of_purchases]]*Table1345[[#This Row],[avg_purchase_value]]*Table1345[[#This Row],[expected_lifespan]]</f>
        <v>37483.103396226412</v>
      </c>
      <c r="N580" t="s">
        <v>12042</v>
      </c>
    </row>
    <row r="581" spans="1:14" x14ac:dyDescent="0.3">
      <c r="A581" s="2" t="s">
        <v>579</v>
      </c>
      <c r="B581" s="2" t="s">
        <v>12045</v>
      </c>
      <c r="C581" s="2">
        <v>56</v>
      </c>
      <c r="D581" s="2" t="s">
        <v>12043</v>
      </c>
      <c r="E581" s="2">
        <f>COUNTIF(Table16[customer_id],Table13[[#This Row],[customer_id]])</f>
        <v>5</v>
      </c>
      <c r="F581" s="13">
        <f>SUMIFS(Table16[Purchase_history],Table16[customer_id],Table13[[#This Row],[customer_id]])</f>
        <v>9893.1500000000015</v>
      </c>
      <c r="G581" s="20">
        <v>44248</v>
      </c>
      <c r="H581" s="21">
        <v>44665</v>
      </c>
      <c r="I581" s="15">
        <f>(Table134[[#This Row],[Last_Day]]-Table134[[#This Row],[First_Day]]+1)/365</f>
        <v>1.1452054794520548</v>
      </c>
      <c r="J581" s="59">
        <f>Table134[[#This Row],[number_of_purchases]]/Table134[[#This Row],[customer_total_years]]</f>
        <v>4.366028708133971</v>
      </c>
      <c r="K581" s="13">
        <f>Table134[[#This Row],[purchase_history]]/Table134[[#This Row],[number_of_purchases]]</f>
        <v>1978.6300000000003</v>
      </c>
      <c r="L581" s="2">
        <f>IF(YEAR(Table134[[#This Row],[Last_Day]])=2021,5,IF(YEAR(Table134[[#This Row],[Last_Day]])=2022,7,IF(YEAR(Table134[[#This Row],[Last_Day]])=2023,10,"Không xác định")))</f>
        <v>7</v>
      </c>
      <c r="M581" s="15">
        <f>Table134[[#This Row],[avg_number_of_purchases]]*Table1345[[#This Row],[avg_purchase_value]]*Table1345[[#This Row],[expected_lifespan]]</f>
        <v>60471.287679425841</v>
      </c>
      <c r="N581" t="s">
        <v>12048</v>
      </c>
    </row>
    <row r="582" spans="1:14" x14ac:dyDescent="0.3">
      <c r="A582" s="2" t="s">
        <v>580</v>
      </c>
      <c r="B582" s="2" t="s">
        <v>12040</v>
      </c>
      <c r="C582" s="2">
        <v>41</v>
      </c>
      <c r="D582" s="2" t="s">
        <v>12041</v>
      </c>
      <c r="E582" s="2">
        <f>COUNTIF(Table16[customer_id],Table13[[#This Row],[customer_id]])</f>
        <v>3</v>
      </c>
      <c r="F582" s="13">
        <f>SUMIFS(Table16[Purchase_history],Table16[customer_id],Table13[[#This Row],[customer_id]])</f>
        <v>10032.32</v>
      </c>
      <c r="G582" s="20">
        <v>44348</v>
      </c>
      <c r="H582" s="21">
        <v>44879</v>
      </c>
      <c r="I582" s="15">
        <f>(Table134[[#This Row],[Last_Day]]-Table134[[#This Row],[First_Day]]+1)/365</f>
        <v>1.4575342465753425</v>
      </c>
      <c r="J582" s="59">
        <f>Table134[[#This Row],[number_of_purchases]]/Table134[[#This Row],[customer_total_years]]</f>
        <v>2.0582706766917291</v>
      </c>
      <c r="K582" s="13">
        <f>Table134[[#This Row],[purchase_history]]/Table134[[#This Row],[number_of_purchases]]</f>
        <v>3344.1066666666666</v>
      </c>
      <c r="L582" s="2">
        <f>IF(YEAR(Table134[[#This Row],[Last_Day]])=2021,5,IF(YEAR(Table134[[#This Row],[Last_Day]])=2022,7,IF(YEAR(Table134[[#This Row],[Last_Day]])=2023,10,"Không xác định")))</f>
        <v>7</v>
      </c>
      <c r="M582" s="15">
        <f>Table134[[#This Row],[avg_number_of_purchases]]*Table1345[[#This Row],[avg_purchase_value]]*Table1345[[#This Row],[expected_lifespan]]</f>
        <v>48181.536842105255</v>
      </c>
      <c r="N582" t="s">
        <v>12047</v>
      </c>
    </row>
    <row r="583" spans="1:14" x14ac:dyDescent="0.3">
      <c r="A583" s="2" t="s">
        <v>581</v>
      </c>
      <c r="B583" s="2" t="s">
        <v>12040</v>
      </c>
      <c r="C583" s="2">
        <v>68</v>
      </c>
      <c r="D583" s="2" t="s">
        <v>12041</v>
      </c>
      <c r="E583" s="2">
        <f>COUNTIF(Table16[customer_id],Table13[[#This Row],[customer_id]])</f>
        <v>2</v>
      </c>
      <c r="F583" s="13">
        <f>SUMIFS(Table16[Purchase_history],Table16[customer_id],Table13[[#This Row],[customer_id]])</f>
        <v>6600.68</v>
      </c>
      <c r="G583" s="20">
        <v>44211</v>
      </c>
      <c r="H583" s="21">
        <v>44769</v>
      </c>
      <c r="I583" s="15">
        <f>(Table134[[#This Row],[Last_Day]]-Table134[[#This Row],[First_Day]]+1)/365</f>
        <v>1.5315068493150685</v>
      </c>
      <c r="J583" s="59">
        <f>Table134[[#This Row],[number_of_purchases]]/Table134[[#This Row],[customer_total_years]]</f>
        <v>1.3059033989266546</v>
      </c>
      <c r="K583" s="13">
        <f>Table134[[#This Row],[purchase_history]]/Table134[[#This Row],[number_of_purchases]]</f>
        <v>3300.34</v>
      </c>
      <c r="L583" s="2">
        <f>IF(YEAR(Table134[[#This Row],[Last_Day]])=2021,5,IF(YEAR(Table134[[#This Row],[Last_Day]])=2022,7,IF(YEAR(Table134[[#This Row],[Last_Day]])=2023,10,"Không xác định")))</f>
        <v>7</v>
      </c>
      <c r="M583" s="15">
        <f>Table134[[#This Row],[avg_number_of_purchases]]*Table1345[[#This Row],[avg_purchase_value]]*Table1345[[#This Row],[expected_lifespan]]</f>
        <v>30169.476565295168</v>
      </c>
      <c r="N583" t="s">
        <v>12044</v>
      </c>
    </row>
    <row r="584" spans="1:14" x14ac:dyDescent="0.3">
      <c r="A584" s="2" t="s">
        <v>582</v>
      </c>
      <c r="B584" s="2" t="s">
        <v>12040</v>
      </c>
      <c r="C584" s="2">
        <v>47</v>
      </c>
      <c r="D584" s="2" t="s">
        <v>12041</v>
      </c>
      <c r="E584" s="2">
        <f>COUNTIF(Table16[customer_id],Table13[[#This Row],[customer_id]])</f>
        <v>6</v>
      </c>
      <c r="F584" s="13">
        <f>SUMIFS(Table16[Purchase_history],Table16[customer_id],Table13[[#This Row],[customer_id]])</f>
        <v>18286.82</v>
      </c>
      <c r="G584" s="20">
        <v>44436</v>
      </c>
      <c r="H584" s="21">
        <v>44862</v>
      </c>
      <c r="I584" s="15">
        <f>(Table134[[#This Row],[Last_Day]]-Table134[[#This Row],[First_Day]]+1)/365</f>
        <v>1.1698630136986301</v>
      </c>
      <c r="J584" s="59">
        <f>Table134[[#This Row],[number_of_purchases]]/Table134[[#This Row],[customer_total_years]]</f>
        <v>5.1288056206088992</v>
      </c>
      <c r="K584" s="13">
        <f>Table134[[#This Row],[purchase_history]]/Table134[[#This Row],[number_of_purchases]]</f>
        <v>3047.8033333333333</v>
      </c>
      <c r="L584" s="2">
        <f>IF(YEAR(Table134[[#This Row],[Last_Day]])=2021,5,IF(YEAR(Table134[[#This Row],[Last_Day]])=2022,7,IF(YEAR(Table134[[#This Row],[Last_Day]])=2023,10,"Không xác định")))</f>
        <v>7</v>
      </c>
      <c r="M584" s="15">
        <f>Table134[[#This Row],[avg_number_of_purchases]]*Table1345[[#This Row],[avg_purchase_value]]*Table1345[[#This Row],[expected_lifespan]]</f>
        <v>109421.13606557377</v>
      </c>
      <c r="N584" t="s">
        <v>12044</v>
      </c>
    </row>
    <row r="585" spans="1:14" x14ac:dyDescent="0.3">
      <c r="A585" s="2" t="s">
        <v>583</v>
      </c>
      <c r="B585" s="2" t="s">
        <v>12045</v>
      </c>
      <c r="C585" s="2">
        <v>47</v>
      </c>
      <c r="D585" s="2" t="s">
        <v>12043</v>
      </c>
      <c r="E585" s="2">
        <f>COUNTIF(Table16[customer_id],Table13[[#This Row],[customer_id]])</f>
        <v>8</v>
      </c>
      <c r="F585" s="13">
        <f>SUMIFS(Table16[Purchase_history],Table16[customer_id],Table13[[#This Row],[customer_id]])</f>
        <v>28858.46</v>
      </c>
      <c r="G585" s="20">
        <v>44489</v>
      </c>
      <c r="H585" s="21">
        <v>44921</v>
      </c>
      <c r="I585" s="15">
        <f>(Table134[[#This Row],[Last_Day]]-Table134[[#This Row],[First_Day]]+1)/365</f>
        <v>1.1863013698630136</v>
      </c>
      <c r="J585" s="59">
        <f>Table134[[#This Row],[number_of_purchases]]/Table134[[#This Row],[customer_total_years]]</f>
        <v>6.7436489607390309</v>
      </c>
      <c r="K585" s="13">
        <f>Table134[[#This Row],[purchase_history]]/Table134[[#This Row],[number_of_purchases]]</f>
        <v>3607.3074999999999</v>
      </c>
      <c r="L585" s="2">
        <f>IF(YEAR(Table134[[#This Row],[Last_Day]])=2021,5,IF(YEAR(Table134[[#This Row],[Last_Day]])=2022,7,IF(YEAR(Table134[[#This Row],[Last_Day]])=2023,10,"Không xác định")))</f>
        <v>7</v>
      </c>
      <c r="M585" s="15">
        <f>Table134[[#This Row],[avg_number_of_purchases]]*Table1345[[#This Row],[avg_purchase_value]]*Table1345[[#This Row],[expected_lifespan]]</f>
        <v>170284.90831408778</v>
      </c>
      <c r="N585" t="s">
        <v>12048</v>
      </c>
    </row>
    <row r="586" spans="1:14" x14ac:dyDescent="0.3">
      <c r="A586" s="2" t="s">
        <v>584</v>
      </c>
      <c r="B586" s="2" t="s">
        <v>12040</v>
      </c>
      <c r="C586" s="2">
        <v>63</v>
      </c>
      <c r="D586" s="2" t="s">
        <v>12043</v>
      </c>
      <c r="E586" s="2">
        <f>COUNTIF(Table16[customer_id],Table13[[#This Row],[customer_id]])</f>
        <v>6</v>
      </c>
      <c r="F586" s="13">
        <f>SUMIFS(Table16[Purchase_history],Table16[customer_id],Table13[[#This Row],[customer_id]])</f>
        <v>6967.24</v>
      </c>
      <c r="G586" s="20">
        <v>44254</v>
      </c>
      <c r="H586" s="21">
        <v>44940</v>
      </c>
      <c r="I586" s="15">
        <f>(Table134[[#This Row],[Last_Day]]-Table134[[#This Row],[First_Day]]+1)/365</f>
        <v>1.8821917808219177</v>
      </c>
      <c r="J586" s="59">
        <f>Table134[[#This Row],[number_of_purchases]]/Table134[[#This Row],[customer_total_years]]</f>
        <v>3.1877729257641922</v>
      </c>
      <c r="K586" s="13">
        <f>Table134[[#This Row],[purchase_history]]/Table134[[#This Row],[number_of_purchases]]</f>
        <v>1161.2066666666667</v>
      </c>
      <c r="L586" s="2">
        <f>IF(YEAR(Table134[[#This Row],[Last_Day]])=2021,5,IF(YEAR(Table134[[#This Row],[Last_Day]])=2022,7,IF(YEAR(Table134[[#This Row],[Last_Day]])=2023,10,"Không xác định")))</f>
        <v>10</v>
      </c>
      <c r="M586" s="15">
        <f>Table134[[#This Row],[avg_number_of_purchases]]*Table1345[[#This Row],[avg_purchase_value]]*Table1345[[#This Row],[expected_lifespan]]</f>
        <v>37016.631732168855</v>
      </c>
      <c r="N586" t="s">
        <v>12047</v>
      </c>
    </row>
    <row r="587" spans="1:14" x14ac:dyDescent="0.3">
      <c r="A587" s="2" t="s">
        <v>585</v>
      </c>
      <c r="B587" s="2" t="s">
        <v>12040</v>
      </c>
      <c r="C587" s="2">
        <v>63</v>
      </c>
      <c r="D587" s="2" t="s">
        <v>12043</v>
      </c>
      <c r="E587" s="2">
        <f>COUNTIF(Table16[customer_id],Table13[[#This Row],[customer_id]])</f>
        <v>5</v>
      </c>
      <c r="F587" s="13">
        <f>SUMIFS(Table16[Purchase_history],Table16[customer_id],Table13[[#This Row],[customer_id]])</f>
        <v>6186.72</v>
      </c>
      <c r="G587" s="20">
        <v>44381</v>
      </c>
      <c r="H587" s="21">
        <v>44936</v>
      </c>
      <c r="I587" s="15">
        <f>(Table134[[#This Row],[Last_Day]]-Table134[[#This Row],[First_Day]]+1)/365</f>
        <v>1.5232876712328767</v>
      </c>
      <c r="J587" s="59">
        <f>Table134[[#This Row],[number_of_purchases]]/Table134[[#This Row],[customer_total_years]]</f>
        <v>3.2823741007194247</v>
      </c>
      <c r="K587" s="13">
        <f>Table134[[#This Row],[purchase_history]]/Table134[[#This Row],[number_of_purchases]]</f>
        <v>1237.3440000000001</v>
      </c>
      <c r="L587" s="2">
        <f>IF(YEAR(Table134[[#This Row],[Last_Day]])=2021,5,IF(YEAR(Table134[[#This Row],[Last_Day]])=2022,7,IF(YEAR(Table134[[#This Row],[Last_Day]])=2023,10,"Không xác định")))</f>
        <v>10</v>
      </c>
      <c r="M587" s="15">
        <f>Table134[[#This Row],[avg_number_of_purchases]]*Table1345[[#This Row],[avg_purchase_value]]*Table1345[[#This Row],[expected_lifespan]]</f>
        <v>40614.258992805764</v>
      </c>
      <c r="N587" t="s">
        <v>12048</v>
      </c>
    </row>
    <row r="588" spans="1:14" x14ac:dyDescent="0.3">
      <c r="A588" s="2" t="s">
        <v>586</v>
      </c>
      <c r="B588" s="2" t="s">
        <v>12040</v>
      </c>
      <c r="C588" s="2">
        <v>22</v>
      </c>
      <c r="D588" s="2" t="s">
        <v>12041</v>
      </c>
      <c r="E588" s="2">
        <f>COUNTIF(Table16[customer_id],Table13[[#This Row],[customer_id]])</f>
        <v>2</v>
      </c>
      <c r="F588" s="13">
        <f>SUMIFS(Table16[Purchase_history],Table16[customer_id],Table13[[#This Row],[customer_id]])</f>
        <v>5451.84</v>
      </c>
      <c r="G588" s="20">
        <v>44506</v>
      </c>
      <c r="H588" s="21">
        <v>44803</v>
      </c>
      <c r="I588" s="15">
        <f>(Table134[[#This Row],[Last_Day]]-Table134[[#This Row],[First_Day]]+1)/365</f>
        <v>0.81643835616438354</v>
      </c>
      <c r="J588" s="59">
        <f>Table134[[#This Row],[number_of_purchases]]/Table134[[#This Row],[customer_total_years]]</f>
        <v>2.4496644295302015</v>
      </c>
      <c r="K588" s="13">
        <f>Table134[[#This Row],[purchase_history]]/Table134[[#This Row],[number_of_purchases]]</f>
        <v>2725.92</v>
      </c>
      <c r="L588" s="2">
        <f>IF(YEAR(Table134[[#This Row],[Last_Day]])=2021,5,IF(YEAR(Table134[[#This Row],[Last_Day]])=2022,7,IF(YEAR(Table134[[#This Row],[Last_Day]])=2023,10,"Không xác định")))</f>
        <v>7</v>
      </c>
      <c r="M588" s="15">
        <f>Table134[[#This Row],[avg_number_of_purchases]]*Table1345[[#This Row],[avg_purchase_value]]*Table1345[[#This Row],[expected_lifespan]]</f>
        <v>46743.124832214773</v>
      </c>
      <c r="N588" t="s">
        <v>12044</v>
      </c>
    </row>
    <row r="589" spans="1:14" x14ac:dyDescent="0.3">
      <c r="A589" s="2" t="s">
        <v>587</v>
      </c>
      <c r="B589" s="2" t="s">
        <v>12045</v>
      </c>
      <c r="C589" s="2">
        <v>26</v>
      </c>
      <c r="D589" s="2" t="s">
        <v>12043</v>
      </c>
      <c r="E589" s="2">
        <f>COUNTIF(Table16[customer_id],Table13[[#This Row],[customer_id]])</f>
        <v>4</v>
      </c>
      <c r="F589" s="13">
        <f>SUMIFS(Table16[Purchase_history],Table16[customer_id],Table13[[#This Row],[customer_id]])</f>
        <v>25227.89</v>
      </c>
      <c r="G589" s="20">
        <v>44212</v>
      </c>
      <c r="H589" s="21">
        <v>44899</v>
      </c>
      <c r="I589" s="15">
        <f>(Table134[[#This Row],[Last_Day]]-Table134[[#This Row],[First_Day]]+1)/365</f>
        <v>1.8849315068493151</v>
      </c>
      <c r="J589" s="59">
        <f>Table134[[#This Row],[number_of_purchases]]/Table134[[#This Row],[customer_total_years]]</f>
        <v>2.1220930232558137</v>
      </c>
      <c r="K589" s="13">
        <f>Table134[[#This Row],[purchase_history]]/Table134[[#This Row],[number_of_purchases]]</f>
        <v>6306.9724999999999</v>
      </c>
      <c r="L589" s="2">
        <f>IF(YEAR(Table134[[#This Row],[Last_Day]])=2021,5,IF(YEAR(Table134[[#This Row],[Last_Day]])=2022,7,IF(YEAR(Table134[[#This Row],[Last_Day]])=2023,10,"Không xác định")))</f>
        <v>7</v>
      </c>
      <c r="M589" s="15">
        <f>Table134[[#This Row],[avg_number_of_purchases]]*Table1345[[#This Row],[avg_purchase_value]]*Table1345[[#This Row],[expected_lifespan]]</f>
        <v>93687.876380813948</v>
      </c>
      <c r="N589" t="s">
        <v>12044</v>
      </c>
    </row>
    <row r="590" spans="1:14" x14ac:dyDescent="0.3">
      <c r="A590" s="2" t="s">
        <v>588</v>
      </c>
      <c r="B590" s="2" t="s">
        <v>12045</v>
      </c>
      <c r="C590" s="2">
        <v>18</v>
      </c>
      <c r="D590" s="2" t="s">
        <v>12049</v>
      </c>
      <c r="E590" s="2">
        <f>COUNTIF(Table16[customer_id],Table13[[#This Row],[customer_id]])</f>
        <v>4</v>
      </c>
      <c r="F590" s="13">
        <f>SUMIFS(Table16[Purchase_history],Table16[customer_id],Table13[[#This Row],[customer_id]])</f>
        <v>10819.999999999998</v>
      </c>
      <c r="G590" s="20">
        <v>44272</v>
      </c>
      <c r="H590" s="21">
        <v>44868</v>
      </c>
      <c r="I590" s="15">
        <f>(Table134[[#This Row],[Last_Day]]-Table134[[#This Row],[First_Day]]+1)/365</f>
        <v>1.6356164383561644</v>
      </c>
      <c r="J590" s="59">
        <f>Table134[[#This Row],[number_of_purchases]]/Table134[[#This Row],[customer_total_years]]</f>
        <v>2.4455611390284755</v>
      </c>
      <c r="K590" s="13">
        <f>Table134[[#This Row],[purchase_history]]/Table134[[#This Row],[number_of_purchases]]</f>
        <v>2704.9999999999995</v>
      </c>
      <c r="L590" s="2">
        <f>IF(YEAR(Table134[[#This Row],[Last_Day]])=2021,5,IF(YEAR(Table134[[#This Row],[Last_Day]])=2022,7,IF(YEAR(Table134[[#This Row],[Last_Day]])=2023,10,"Không xác định")))</f>
        <v>7</v>
      </c>
      <c r="M590" s="15">
        <f>Table134[[#This Row],[avg_number_of_purchases]]*Table1345[[#This Row],[avg_purchase_value]]*Table1345[[#This Row],[expected_lifespan]]</f>
        <v>46306.700167504176</v>
      </c>
      <c r="N590" t="s">
        <v>12047</v>
      </c>
    </row>
    <row r="591" spans="1:14" x14ac:dyDescent="0.3">
      <c r="A591" s="2" t="s">
        <v>589</v>
      </c>
      <c r="B591" s="2" t="s">
        <v>12040</v>
      </c>
      <c r="C591" s="2">
        <v>22</v>
      </c>
      <c r="D591" s="2" t="s">
        <v>12041</v>
      </c>
      <c r="E591" s="2">
        <f>COUNTIF(Table16[customer_id],Table13[[#This Row],[customer_id]])</f>
        <v>5</v>
      </c>
      <c r="F591" s="13">
        <f>SUMIFS(Table16[Purchase_history],Table16[customer_id],Table13[[#This Row],[customer_id]])</f>
        <v>19084.16</v>
      </c>
      <c r="G591" s="20">
        <v>44645</v>
      </c>
      <c r="H591" s="21">
        <v>44916</v>
      </c>
      <c r="I591" s="15">
        <f>(Table134[[#This Row],[Last_Day]]-Table134[[#This Row],[First_Day]]+1)/365</f>
        <v>0.74520547945205484</v>
      </c>
      <c r="J591" s="59">
        <f>Table134[[#This Row],[number_of_purchases]]/Table134[[#This Row],[customer_total_years]]</f>
        <v>6.7095588235294112</v>
      </c>
      <c r="K591" s="13">
        <f>Table134[[#This Row],[purchase_history]]/Table134[[#This Row],[number_of_purchases]]</f>
        <v>3816.8319999999999</v>
      </c>
      <c r="L591" s="2">
        <f>IF(YEAR(Table134[[#This Row],[Last_Day]])=2021,5,IF(YEAR(Table134[[#This Row],[Last_Day]])=2022,7,IF(YEAR(Table134[[#This Row],[Last_Day]])=2023,10,"Không xác định")))</f>
        <v>7</v>
      </c>
      <c r="M591" s="15">
        <f>Table134[[#This Row],[avg_number_of_purchases]]*Table1345[[#This Row],[avg_purchase_value]]*Table1345[[#This Row],[expected_lifespan]]</f>
        <v>179264.81176470587</v>
      </c>
      <c r="N591" t="s">
        <v>12047</v>
      </c>
    </row>
    <row r="592" spans="1:14" x14ac:dyDescent="0.3">
      <c r="A592" s="2" t="s">
        <v>590</v>
      </c>
      <c r="B592" s="2" t="s">
        <v>12040</v>
      </c>
      <c r="C592" s="2">
        <v>41</v>
      </c>
      <c r="D592" s="2" t="s">
        <v>12049</v>
      </c>
      <c r="E592" s="2">
        <f>COUNTIF(Table16[customer_id],Table13[[#This Row],[customer_id]])</f>
        <v>3</v>
      </c>
      <c r="F592" s="13">
        <f>SUMIFS(Table16[Purchase_history],Table16[customer_id],Table13[[#This Row],[customer_id]])</f>
        <v>509.78999999999996</v>
      </c>
      <c r="G592" s="20">
        <v>44353</v>
      </c>
      <c r="H592" s="21">
        <v>44738</v>
      </c>
      <c r="I592" s="15">
        <f>(Table134[[#This Row],[Last_Day]]-Table134[[#This Row],[First_Day]]+1)/365</f>
        <v>1.0575342465753426</v>
      </c>
      <c r="J592" s="59">
        <f>Table134[[#This Row],[number_of_purchases]]/Table134[[#This Row],[customer_total_years]]</f>
        <v>2.8367875647668392</v>
      </c>
      <c r="K592" s="13">
        <f>Table134[[#This Row],[purchase_history]]/Table134[[#This Row],[number_of_purchases]]</f>
        <v>169.92999999999998</v>
      </c>
      <c r="L592" s="2">
        <f>IF(YEAR(Table134[[#This Row],[Last_Day]])=2021,5,IF(YEAR(Table134[[#This Row],[Last_Day]])=2022,7,IF(YEAR(Table134[[#This Row],[Last_Day]])=2023,10,"Không xác định")))</f>
        <v>7</v>
      </c>
      <c r="M592" s="15">
        <f>Table134[[#This Row],[avg_number_of_purchases]]*Table1345[[#This Row],[avg_purchase_value]]*Table1345[[#This Row],[expected_lifespan]]</f>
        <v>3374.3871761658024</v>
      </c>
      <c r="N592" t="s">
        <v>12042</v>
      </c>
    </row>
    <row r="593" spans="1:14" x14ac:dyDescent="0.3">
      <c r="A593" s="2" t="s">
        <v>591</v>
      </c>
      <c r="B593" s="2" t="s">
        <v>12040</v>
      </c>
      <c r="C593" s="2">
        <v>67</v>
      </c>
      <c r="D593" s="2" t="s">
        <v>12041</v>
      </c>
      <c r="E593" s="2">
        <f>COUNTIF(Table16[customer_id],Table13[[#This Row],[customer_id]])</f>
        <v>9</v>
      </c>
      <c r="F593" s="13">
        <f>SUMIFS(Table16[Purchase_history],Table16[customer_id],Table13[[#This Row],[customer_id]])</f>
        <v>19414.61</v>
      </c>
      <c r="G593" s="20">
        <v>44233</v>
      </c>
      <c r="H593" s="21">
        <v>44916</v>
      </c>
      <c r="I593" s="15">
        <f>(Table134[[#This Row],[Last_Day]]-Table134[[#This Row],[First_Day]]+1)/365</f>
        <v>1.8739726027397261</v>
      </c>
      <c r="J593" s="59">
        <f>Table134[[#This Row],[number_of_purchases]]/Table134[[#This Row],[customer_total_years]]</f>
        <v>4.8026315789473681</v>
      </c>
      <c r="K593" s="13">
        <f>Table134[[#This Row],[purchase_history]]/Table134[[#This Row],[number_of_purchases]]</f>
        <v>2157.1788888888891</v>
      </c>
      <c r="L593" s="2">
        <f>IF(YEAR(Table134[[#This Row],[Last_Day]])=2021,5,IF(YEAR(Table134[[#This Row],[Last_Day]])=2022,7,IF(YEAR(Table134[[#This Row],[Last_Day]])=2023,10,"Không xác định")))</f>
        <v>7</v>
      </c>
      <c r="M593" s="15">
        <f>Table134[[#This Row],[avg_number_of_purchases]]*Table1345[[#This Row],[avg_purchase_value]]*Table1345[[#This Row],[expected_lifespan]]</f>
        <v>72520.948172514618</v>
      </c>
      <c r="N593" t="s">
        <v>12044</v>
      </c>
    </row>
    <row r="594" spans="1:14" x14ac:dyDescent="0.3">
      <c r="A594" s="2" t="s">
        <v>592</v>
      </c>
      <c r="B594" s="2" t="s">
        <v>12040</v>
      </c>
      <c r="C594" s="2">
        <v>22</v>
      </c>
      <c r="D594" s="2" t="s">
        <v>12041</v>
      </c>
      <c r="E594" s="2">
        <f>COUNTIF(Table16[customer_id],Table13[[#This Row],[customer_id]])</f>
        <v>6</v>
      </c>
      <c r="F594" s="13">
        <f>SUMIFS(Table16[Purchase_history],Table16[customer_id],Table13[[#This Row],[customer_id]])</f>
        <v>6909.4</v>
      </c>
      <c r="G594" s="20">
        <v>44257</v>
      </c>
      <c r="H594" s="21">
        <v>44875</v>
      </c>
      <c r="I594" s="15">
        <f>(Table134[[#This Row],[Last_Day]]-Table134[[#This Row],[First_Day]]+1)/365</f>
        <v>1.6958904109589041</v>
      </c>
      <c r="J594" s="59">
        <f>Table134[[#This Row],[number_of_purchases]]/Table134[[#This Row],[customer_total_years]]</f>
        <v>3.5379644588045234</v>
      </c>
      <c r="K594" s="13">
        <f>Table134[[#This Row],[purchase_history]]/Table134[[#This Row],[number_of_purchases]]</f>
        <v>1151.5666666666666</v>
      </c>
      <c r="L594" s="2">
        <f>IF(YEAR(Table134[[#This Row],[Last_Day]])=2021,5,IF(YEAR(Table134[[#This Row],[Last_Day]])=2022,7,IF(YEAR(Table134[[#This Row],[Last_Day]])=2023,10,"Không xác định")))</f>
        <v>7</v>
      </c>
      <c r="M594" s="15">
        <f>Table134[[#This Row],[avg_number_of_purchases]]*Table1345[[#This Row],[avg_purchase_value]]*Table1345[[#This Row],[expected_lifespan]]</f>
        <v>28519.413570274635</v>
      </c>
      <c r="N594" t="s">
        <v>12044</v>
      </c>
    </row>
    <row r="595" spans="1:14" x14ac:dyDescent="0.3">
      <c r="A595" s="2" t="s">
        <v>593</v>
      </c>
      <c r="B595" s="2" t="s">
        <v>12040</v>
      </c>
      <c r="C595" s="2">
        <v>41</v>
      </c>
      <c r="D595" s="2" t="s">
        <v>12043</v>
      </c>
      <c r="E595" s="2">
        <f>COUNTIF(Table16[customer_id],Table13[[#This Row],[customer_id]])</f>
        <v>5</v>
      </c>
      <c r="F595" s="13">
        <f>SUMIFS(Table16[Purchase_history],Table16[customer_id],Table13[[#This Row],[customer_id]])</f>
        <v>15851.21</v>
      </c>
      <c r="G595" s="20">
        <v>44236</v>
      </c>
      <c r="H595" s="21">
        <v>44477</v>
      </c>
      <c r="I595" s="15">
        <f>(Table134[[#This Row],[Last_Day]]-Table134[[#This Row],[First_Day]]+1)/365</f>
        <v>0.66301369863013704</v>
      </c>
      <c r="J595" s="59">
        <f>Table134[[#This Row],[number_of_purchases]]/Table134[[#This Row],[customer_total_years]]</f>
        <v>7.5413223140495864</v>
      </c>
      <c r="K595" s="13">
        <f>Table134[[#This Row],[purchase_history]]/Table134[[#This Row],[number_of_purchases]]</f>
        <v>3170.2419999999997</v>
      </c>
      <c r="L595" s="2">
        <f>IF(YEAR(Table134[[#This Row],[Last_Day]])=2021,5,IF(YEAR(Table134[[#This Row],[Last_Day]])=2022,7,IF(YEAR(Table134[[#This Row],[Last_Day]])=2023,10,"Không xác định")))</f>
        <v>5</v>
      </c>
      <c r="M595" s="15">
        <f>Table134[[#This Row],[avg_number_of_purchases]]*Table1345[[#This Row],[avg_purchase_value]]*Table1345[[#This Row],[expected_lifespan]]</f>
        <v>119539.08367768594</v>
      </c>
      <c r="N595" t="s">
        <v>12046</v>
      </c>
    </row>
    <row r="596" spans="1:14" x14ac:dyDescent="0.3">
      <c r="A596" s="2" t="s">
        <v>594</v>
      </c>
      <c r="B596" s="2" t="s">
        <v>12040</v>
      </c>
      <c r="C596" s="2">
        <v>54</v>
      </c>
      <c r="D596" s="2" t="s">
        <v>12043</v>
      </c>
      <c r="E596" s="2">
        <f>COUNTIF(Table16[customer_id],Table13[[#This Row],[customer_id]])</f>
        <v>8</v>
      </c>
      <c r="F596" s="13">
        <f>SUMIFS(Table16[Purchase_history],Table16[customer_id],Table13[[#This Row],[customer_id]])</f>
        <v>18849.12</v>
      </c>
      <c r="G596" s="20">
        <v>44371</v>
      </c>
      <c r="H596" s="21">
        <v>44796</v>
      </c>
      <c r="I596" s="15">
        <f>(Table134[[#This Row],[Last_Day]]-Table134[[#This Row],[First_Day]]+1)/365</f>
        <v>1.167123287671233</v>
      </c>
      <c r="J596" s="59">
        <f>Table134[[#This Row],[number_of_purchases]]/Table134[[#This Row],[customer_total_years]]</f>
        <v>6.8544600938967131</v>
      </c>
      <c r="K596" s="13">
        <f>Table134[[#This Row],[purchase_history]]/Table134[[#This Row],[number_of_purchases]]</f>
        <v>2356.14</v>
      </c>
      <c r="L596" s="2">
        <f>IF(YEAR(Table134[[#This Row],[Last_Day]])=2021,5,IF(YEAR(Table134[[#This Row],[Last_Day]])=2022,7,IF(YEAR(Table134[[#This Row],[Last_Day]])=2023,10,"Không xác định")))</f>
        <v>7</v>
      </c>
      <c r="M596" s="15">
        <f>Table134[[#This Row],[avg_number_of_purchases]]*Table1345[[#This Row],[avg_purchase_value]]*Table1345[[#This Row],[expected_lifespan]]</f>
        <v>113050.4732394366</v>
      </c>
      <c r="N596" t="s">
        <v>12047</v>
      </c>
    </row>
    <row r="597" spans="1:14" x14ac:dyDescent="0.3">
      <c r="A597" s="2" t="s">
        <v>595</v>
      </c>
      <c r="B597" s="2" t="s">
        <v>12040</v>
      </c>
      <c r="C597" s="2">
        <v>66</v>
      </c>
      <c r="D597" s="2" t="s">
        <v>12041</v>
      </c>
      <c r="E597" s="2">
        <f>COUNTIF(Table16[customer_id],Table13[[#This Row],[customer_id]])</f>
        <v>7</v>
      </c>
      <c r="F597" s="13">
        <f>SUMIFS(Table16[Purchase_history],Table16[customer_id],Table13[[#This Row],[customer_id]])</f>
        <v>20313.68</v>
      </c>
      <c r="G597" s="20">
        <v>44325</v>
      </c>
      <c r="H597" s="21">
        <v>44952</v>
      </c>
      <c r="I597" s="15">
        <f>(Table134[[#This Row],[Last_Day]]-Table134[[#This Row],[First_Day]]+1)/365</f>
        <v>1.7205479452054795</v>
      </c>
      <c r="J597" s="59">
        <f>Table134[[#This Row],[number_of_purchases]]/Table134[[#This Row],[customer_total_years]]</f>
        <v>4.0684713375796173</v>
      </c>
      <c r="K597" s="13">
        <f>Table134[[#This Row],[purchase_history]]/Table134[[#This Row],[number_of_purchases]]</f>
        <v>2901.9542857142856</v>
      </c>
      <c r="L597" s="2">
        <f>IF(YEAR(Table134[[#This Row],[Last_Day]])=2021,5,IF(YEAR(Table134[[#This Row],[Last_Day]])=2022,7,IF(YEAR(Table134[[#This Row],[Last_Day]])=2023,10,"Không xác định")))</f>
        <v>10</v>
      </c>
      <c r="M597" s="15">
        <f>Table134[[#This Row],[avg_number_of_purchases]]*Table1345[[#This Row],[avg_purchase_value]]*Table1345[[#This Row],[expected_lifespan]]</f>
        <v>118065.17834394902</v>
      </c>
      <c r="N597" t="s">
        <v>12044</v>
      </c>
    </row>
    <row r="598" spans="1:14" x14ac:dyDescent="0.3">
      <c r="A598" s="2" t="s">
        <v>596</v>
      </c>
      <c r="B598" s="2" t="s">
        <v>12045</v>
      </c>
      <c r="C598" s="2">
        <v>24</v>
      </c>
      <c r="D598" s="2" t="s">
        <v>12043</v>
      </c>
      <c r="E598" s="2">
        <f>COUNTIF(Table16[customer_id],Table13[[#This Row],[customer_id]])</f>
        <v>6</v>
      </c>
      <c r="F598" s="13">
        <f>SUMIFS(Table16[Purchase_history],Table16[customer_id],Table13[[#This Row],[customer_id]])</f>
        <v>6441.869999999999</v>
      </c>
      <c r="G598" s="20">
        <v>44405</v>
      </c>
      <c r="H598" s="21">
        <v>44992</v>
      </c>
      <c r="I598" s="15">
        <f>(Table134[[#This Row],[Last_Day]]-Table134[[#This Row],[First_Day]]+1)/365</f>
        <v>1.6109589041095891</v>
      </c>
      <c r="J598" s="59">
        <f>Table134[[#This Row],[number_of_purchases]]/Table134[[#This Row],[customer_total_years]]</f>
        <v>3.7244897959183674</v>
      </c>
      <c r="K598" s="13">
        <f>Table134[[#This Row],[purchase_history]]/Table134[[#This Row],[number_of_purchases]]</f>
        <v>1073.6449999999998</v>
      </c>
      <c r="L598" s="2">
        <f>IF(YEAR(Table134[[#This Row],[Last_Day]])=2021,5,IF(YEAR(Table134[[#This Row],[Last_Day]])=2022,7,IF(YEAR(Table134[[#This Row],[Last_Day]])=2023,10,"Không xác định")))</f>
        <v>10</v>
      </c>
      <c r="M598" s="15">
        <f>Table134[[#This Row],[avg_number_of_purchases]]*Table1345[[#This Row],[avg_purchase_value]]*Table1345[[#This Row],[expected_lifespan]]</f>
        <v>39987.798469387744</v>
      </c>
      <c r="N598" t="s">
        <v>12044</v>
      </c>
    </row>
    <row r="599" spans="1:14" x14ac:dyDescent="0.3">
      <c r="A599" s="2" t="s">
        <v>597</v>
      </c>
      <c r="B599" s="2" t="s">
        <v>12040</v>
      </c>
      <c r="C599" s="2">
        <v>56</v>
      </c>
      <c r="D599" s="2" t="s">
        <v>12043</v>
      </c>
      <c r="E599" s="2">
        <f>COUNTIF(Table16[customer_id],Table13[[#This Row],[customer_id]])</f>
        <v>6</v>
      </c>
      <c r="F599" s="13">
        <f>SUMIFS(Table16[Purchase_history],Table16[customer_id],Table13[[#This Row],[customer_id]])</f>
        <v>4967.12</v>
      </c>
      <c r="G599" s="20">
        <v>44305</v>
      </c>
      <c r="H599" s="21">
        <v>44944</v>
      </c>
      <c r="I599" s="15">
        <f>(Table134[[#This Row],[Last_Day]]-Table134[[#This Row],[First_Day]]+1)/365</f>
        <v>1.7534246575342465</v>
      </c>
      <c r="J599" s="59">
        <f>Table134[[#This Row],[number_of_purchases]]/Table134[[#This Row],[customer_total_years]]</f>
        <v>3.421875</v>
      </c>
      <c r="K599" s="13">
        <f>Table134[[#This Row],[purchase_history]]/Table134[[#This Row],[number_of_purchases]]</f>
        <v>827.85333333333335</v>
      </c>
      <c r="L599" s="2">
        <f>IF(YEAR(Table134[[#This Row],[Last_Day]])=2021,5,IF(YEAR(Table134[[#This Row],[Last_Day]])=2022,7,IF(YEAR(Table134[[#This Row],[Last_Day]])=2023,10,"Không xác định")))</f>
        <v>10</v>
      </c>
      <c r="M599" s="15">
        <f>Table134[[#This Row],[avg_number_of_purchases]]*Table1345[[#This Row],[avg_purchase_value]]*Table1345[[#This Row],[expected_lifespan]]</f>
        <v>28328.106250000001</v>
      </c>
      <c r="N599" t="s">
        <v>12044</v>
      </c>
    </row>
    <row r="600" spans="1:14" x14ac:dyDescent="0.3">
      <c r="A600" s="2" t="s">
        <v>598</v>
      </c>
      <c r="B600" s="2" t="s">
        <v>12045</v>
      </c>
      <c r="C600" s="2">
        <v>23</v>
      </c>
      <c r="D600" s="2" t="s">
        <v>12041</v>
      </c>
      <c r="E600" s="2">
        <f>COUNTIF(Table16[customer_id],Table13[[#This Row],[customer_id]])</f>
        <v>6</v>
      </c>
      <c r="F600" s="13">
        <f>SUMIFS(Table16[Purchase_history],Table16[customer_id],Table13[[#This Row],[customer_id]])</f>
        <v>5811.0599999999995</v>
      </c>
      <c r="G600" s="20">
        <v>44356</v>
      </c>
      <c r="H600" s="21">
        <v>44692</v>
      </c>
      <c r="I600" s="15">
        <f>(Table134[[#This Row],[Last_Day]]-Table134[[#This Row],[First_Day]]+1)/365</f>
        <v>0.92328767123287669</v>
      </c>
      <c r="J600" s="59">
        <f>Table134[[#This Row],[number_of_purchases]]/Table134[[#This Row],[customer_total_years]]</f>
        <v>6.4985163204747778</v>
      </c>
      <c r="K600" s="13">
        <f>Table134[[#This Row],[purchase_history]]/Table134[[#This Row],[number_of_purchases]]</f>
        <v>968.50999999999988</v>
      </c>
      <c r="L600" s="2">
        <f>IF(YEAR(Table134[[#This Row],[Last_Day]])=2021,5,IF(YEAR(Table134[[#This Row],[Last_Day]])=2022,7,IF(YEAR(Table134[[#This Row],[Last_Day]])=2023,10,"Không xác định")))</f>
        <v>7</v>
      </c>
      <c r="M600" s="15">
        <f>Table134[[#This Row],[avg_number_of_purchases]]*Table1345[[#This Row],[avg_purchase_value]]*Table1345[[#This Row],[expected_lifespan]]</f>
        <v>44057.146290801189</v>
      </c>
      <c r="N600" t="s">
        <v>12044</v>
      </c>
    </row>
    <row r="601" spans="1:14" x14ac:dyDescent="0.3">
      <c r="A601" s="2" t="s">
        <v>599</v>
      </c>
      <c r="B601" s="2" t="s">
        <v>12040</v>
      </c>
      <c r="C601" s="2">
        <v>48</v>
      </c>
      <c r="D601" s="2" t="s">
        <v>12043</v>
      </c>
      <c r="E601" s="2">
        <f>COUNTIF(Table16[customer_id],Table13[[#This Row],[customer_id]])</f>
        <v>7</v>
      </c>
      <c r="F601" s="13">
        <f>SUMIFS(Table16[Purchase_history],Table16[customer_id],Table13[[#This Row],[customer_id]])</f>
        <v>6412.9499999999989</v>
      </c>
      <c r="G601" s="20">
        <v>44282</v>
      </c>
      <c r="H601" s="21">
        <v>44762</v>
      </c>
      <c r="I601" s="15">
        <f>(Table134[[#This Row],[Last_Day]]-Table134[[#This Row],[First_Day]]+1)/365</f>
        <v>1.3178082191780822</v>
      </c>
      <c r="J601" s="59">
        <f>Table134[[#This Row],[number_of_purchases]]/Table134[[#This Row],[customer_total_years]]</f>
        <v>5.3118503118503115</v>
      </c>
      <c r="K601" s="13">
        <f>Table134[[#This Row],[purchase_history]]/Table134[[#This Row],[number_of_purchases]]</f>
        <v>916.13571428571413</v>
      </c>
      <c r="L601" s="2">
        <f>IF(YEAR(Table134[[#This Row],[Last_Day]])=2021,5,IF(YEAR(Table134[[#This Row],[Last_Day]])=2022,7,IF(YEAR(Table134[[#This Row],[Last_Day]])=2023,10,"Không xác định")))</f>
        <v>7</v>
      </c>
      <c r="M601" s="15">
        <f>Table134[[#This Row],[avg_number_of_purchases]]*Table1345[[#This Row],[avg_purchase_value]]*Table1345[[#This Row],[expected_lifespan]]</f>
        <v>34064.630457380452</v>
      </c>
      <c r="N601" t="s">
        <v>12048</v>
      </c>
    </row>
    <row r="602" spans="1:14" x14ac:dyDescent="0.3">
      <c r="A602" s="2" t="s">
        <v>600</v>
      </c>
      <c r="B602" s="2" t="s">
        <v>12040</v>
      </c>
      <c r="C602" s="2">
        <v>41</v>
      </c>
      <c r="D602" s="2" t="s">
        <v>12043</v>
      </c>
      <c r="E602" s="2">
        <f>COUNTIF(Table16[customer_id],Table13[[#This Row],[customer_id]])</f>
        <v>4</v>
      </c>
      <c r="F602" s="13">
        <f>SUMIFS(Table16[Purchase_history],Table16[customer_id],Table13[[#This Row],[customer_id]])</f>
        <v>15126.779999999999</v>
      </c>
      <c r="G602" s="20">
        <v>44314</v>
      </c>
      <c r="H602" s="21">
        <v>44885</v>
      </c>
      <c r="I602" s="15">
        <f>(Table134[[#This Row],[Last_Day]]-Table134[[#This Row],[First_Day]]+1)/365</f>
        <v>1.5671232876712329</v>
      </c>
      <c r="J602" s="59">
        <f>Table134[[#This Row],[number_of_purchases]]/Table134[[#This Row],[customer_total_years]]</f>
        <v>2.5524475524475525</v>
      </c>
      <c r="K602" s="13">
        <f>Table134[[#This Row],[purchase_history]]/Table134[[#This Row],[number_of_purchases]]</f>
        <v>3781.6949999999997</v>
      </c>
      <c r="L602" s="2">
        <f>IF(YEAR(Table134[[#This Row],[Last_Day]])=2021,5,IF(YEAR(Table134[[#This Row],[Last_Day]])=2022,7,IF(YEAR(Table134[[#This Row],[Last_Day]])=2023,10,"Không xác định")))</f>
        <v>7</v>
      </c>
      <c r="M602" s="15">
        <f>Table134[[#This Row],[avg_number_of_purchases]]*Table1345[[#This Row],[avg_purchase_value]]*Table1345[[#This Row],[expected_lifespan]]</f>
        <v>67568.047027972018</v>
      </c>
      <c r="N602" t="s">
        <v>12047</v>
      </c>
    </row>
    <row r="603" spans="1:14" x14ac:dyDescent="0.3">
      <c r="A603" s="2" t="s">
        <v>601</v>
      </c>
      <c r="B603" s="2" t="s">
        <v>12045</v>
      </c>
      <c r="C603" s="2">
        <v>39</v>
      </c>
      <c r="D603" s="2" t="s">
        <v>12041</v>
      </c>
      <c r="E603" s="2">
        <f>COUNTIF(Table16[customer_id],Table13[[#This Row],[customer_id]])</f>
        <v>5</v>
      </c>
      <c r="F603" s="13">
        <f>SUMIFS(Table16[Purchase_history],Table16[customer_id],Table13[[#This Row],[customer_id]])</f>
        <v>11547.89</v>
      </c>
      <c r="G603" s="20">
        <v>44595</v>
      </c>
      <c r="H603" s="21">
        <v>44943</v>
      </c>
      <c r="I603" s="15">
        <f>(Table134[[#This Row],[Last_Day]]-Table134[[#This Row],[First_Day]]+1)/365</f>
        <v>0.95616438356164379</v>
      </c>
      <c r="J603" s="59">
        <f>Table134[[#This Row],[number_of_purchases]]/Table134[[#This Row],[customer_total_years]]</f>
        <v>5.2292263610315191</v>
      </c>
      <c r="K603" s="13">
        <f>Table134[[#This Row],[purchase_history]]/Table134[[#This Row],[number_of_purchases]]</f>
        <v>2309.578</v>
      </c>
      <c r="L603" s="2">
        <f>IF(YEAR(Table134[[#This Row],[Last_Day]])=2021,5,IF(YEAR(Table134[[#This Row],[Last_Day]])=2022,7,IF(YEAR(Table134[[#This Row],[Last_Day]])=2023,10,"Không xác định")))</f>
        <v>10</v>
      </c>
      <c r="M603" s="15">
        <f>Table134[[#This Row],[avg_number_of_purchases]]*Table1345[[#This Row],[avg_purchase_value]]*Table1345[[#This Row],[expected_lifespan]]</f>
        <v>120773.06160458452</v>
      </c>
      <c r="N603" t="s">
        <v>12048</v>
      </c>
    </row>
    <row r="604" spans="1:14" x14ac:dyDescent="0.3">
      <c r="A604" s="2" t="s">
        <v>602</v>
      </c>
      <c r="B604" s="2" t="s">
        <v>12040</v>
      </c>
      <c r="C604" s="2">
        <v>53</v>
      </c>
      <c r="D604" s="2" t="s">
        <v>12043</v>
      </c>
      <c r="E604" s="2">
        <f>COUNTIF(Table16[customer_id],Table13[[#This Row],[customer_id]])</f>
        <v>7</v>
      </c>
      <c r="F604" s="13">
        <f>SUMIFS(Table16[Purchase_history],Table16[customer_id],Table13[[#This Row],[customer_id]])</f>
        <v>18779.189999999999</v>
      </c>
      <c r="G604" s="20">
        <v>44323</v>
      </c>
      <c r="H604" s="21">
        <v>44931</v>
      </c>
      <c r="I604" s="15">
        <f>(Table134[[#This Row],[Last_Day]]-Table134[[#This Row],[First_Day]]+1)/365</f>
        <v>1.6684931506849314</v>
      </c>
      <c r="J604" s="59">
        <f>Table134[[#This Row],[number_of_purchases]]/Table134[[#This Row],[customer_total_years]]</f>
        <v>4.195402298850575</v>
      </c>
      <c r="K604" s="13">
        <f>Table134[[#This Row],[purchase_history]]/Table134[[#This Row],[number_of_purchases]]</f>
        <v>2682.7414285714285</v>
      </c>
      <c r="L604" s="2">
        <f>IF(YEAR(Table134[[#This Row],[Last_Day]])=2021,5,IF(YEAR(Table134[[#This Row],[Last_Day]])=2022,7,IF(YEAR(Table134[[#This Row],[Last_Day]])=2023,10,"Không xác định")))</f>
        <v>10</v>
      </c>
      <c r="M604" s="15">
        <f>Table134[[#This Row],[avg_number_of_purchases]]*Table1345[[#This Row],[avg_purchase_value]]*Table1345[[#This Row],[expected_lifespan]]</f>
        <v>112551.79556650246</v>
      </c>
      <c r="N604" t="s">
        <v>12046</v>
      </c>
    </row>
    <row r="605" spans="1:14" x14ac:dyDescent="0.3">
      <c r="A605" s="2" t="s">
        <v>603</v>
      </c>
      <c r="B605" s="2" t="s">
        <v>12040</v>
      </c>
      <c r="C605" s="2">
        <v>28</v>
      </c>
      <c r="D605" s="2" t="s">
        <v>12049</v>
      </c>
      <c r="E605" s="2">
        <f>COUNTIF(Table16[customer_id],Table13[[#This Row],[customer_id]])</f>
        <v>3</v>
      </c>
      <c r="F605" s="13">
        <f>SUMIFS(Table16[Purchase_history],Table16[customer_id],Table13[[#This Row],[customer_id]])</f>
        <v>12603.52</v>
      </c>
      <c r="G605" s="20">
        <v>44376</v>
      </c>
      <c r="H605" s="21">
        <v>44659</v>
      </c>
      <c r="I605" s="15">
        <f>(Table134[[#This Row],[Last_Day]]-Table134[[#This Row],[First_Day]]+1)/365</f>
        <v>0.77808219178082194</v>
      </c>
      <c r="J605" s="59">
        <f>Table134[[#This Row],[number_of_purchases]]/Table134[[#This Row],[customer_total_years]]</f>
        <v>3.8556338028169015</v>
      </c>
      <c r="K605" s="13">
        <f>Table134[[#This Row],[purchase_history]]/Table134[[#This Row],[number_of_purchases]]</f>
        <v>4201.1733333333332</v>
      </c>
      <c r="L605" s="2">
        <f>IF(YEAR(Table134[[#This Row],[Last_Day]])=2021,5,IF(YEAR(Table134[[#This Row],[Last_Day]])=2022,7,IF(YEAR(Table134[[#This Row],[Last_Day]])=2023,10,"Không xác định")))</f>
        <v>7</v>
      </c>
      <c r="M605" s="15">
        <f>Table134[[#This Row],[avg_number_of_purchases]]*Table1345[[#This Row],[avg_purchase_value]]*Table1345[[#This Row],[expected_lifespan]]</f>
        <v>113387.3014084507</v>
      </c>
      <c r="N605" t="s">
        <v>12048</v>
      </c>
    </row>
    <row r="606" spans="1:14" x14ac:dyDescent="0.3">
      <c r="A606" s="2" t="s">
        <v>604</v>
      </c>
      <c r="B606" s="2" t="s">
        <v>12045</v>
      </c>
      <c r="C606" s="2">
        <v>36</v>
      </c>
      <c r="D606" s="2" t="s">
        <v>12043</v>
      </c>
      <c r="E606" s="2">
        <f>COUNTIF(Table16[customer_id],Table13[[#This Row],[customer_id]])</f>
        <v>4</v>
      </c>
      <c r="F606" s="13">
        <f>SUMIFS(Table16[Purchase_history],Table16[customer_id],Table13[[#This Row],[customer_id]])</f>
        <v>3478.7599999999998</v>
      </c>
      <c r="G606" s="20">
        <v>44449</v>
      </c>
      <c r="H606" s="21">
        <v>44935</v>
      </c>
      <c r="I606" s="15">
        <f>(Table134[[#This Row],[Last_Day]]-Table134[[#This Row],[First_Day]]+1)/365</f>
        <v>1.3342465753424657</v>
      </c>
      <c r="J606" s="59">
        <f>Table134[[#This Row],[number_of_purchases]]/Table134[[#This Row],[customer_total_years]]</f>
        <v>2.9979466119096512</v>
      </c>
      <c r="K606" s="13">
        <f>Table134[[#This Row],[purchase_history]]/Table134[[#This Row],[number_of_purchases]]</f>
        <v>869.68999999999994</v>
      </c>
      <c r="L606" s="2">
        <f>IF(YEAR(Table134[[#This Row],[Last_Day]])=2021,5,IF(YEAR(Table134[[#This Row],[Last_Day]])=2022,7,IF(YEAR(Table134[[#This Row],[Last_Day]])=2023,10,"Không xác định")))</f>
        <v>10</v>
      </c>
      <c r="M606" s="15">
        <f>Table134[[#This Row],[avg_number_of_purchases]]*Table1345[[#This Row],[avg_purchase_value]]*Table1345[[#This Row],[expected_lifespan]]</f>
        <v>26072.841889117044</v>
      </c>
      <c r="N606" t="s">
        <v>12042</v>
      </c>
    </row>
    <row r="607" spans="1:14" x14ac:dyDescent="0.3">
      <c r="A607" s="2" t="s">
        <v>605</v>
      </c>
      <c r="B607" s="2" t="s">
        <v>12040</v>
      </c>
      <c r="C607" s="2">
        <v>36</v>
      </c>
      <c r="D607" s="2" t="s">
        <v>12043</v>
      </c>
      <c r="E607" s="2">
        <f>COUNTIF(Table16[customer_id],Table13[[#This Row],[customer_id]])</f>
        <v>6</v>
      </c>
      <c r="F607" s="13">
        <f>SUMIFS(Table16[Purchase_history],Table16[customer_id],Table13[[#This Row],[customer_id]])</f>
        <v>36461.96</v>
      </c>
      <c r="G607" s="20">
        <v>44254</v>
      </c>
      <c r="H607" s="21">
        <v>44885</v>
      </c>
      <c r="I607" s="15">
        <f>(Table134[[#This Row],[Last_Day]]-Table134[[#This Row],[First_Day]]+1)/365</f>
        <v>1.7315068493150685</v>
      </c>
      <c r="J607" s="59">
        <f>Table134[[#This Row],[number_of_purchases]]/Table134[[#This Row],[customer_total_years]]</f>
        <v>3.4651898734177213</v>
      </c>
      <c r="K607" s="13">
        <f>Table134[[#This Row],[purchase_history]]/Table134[[#This Row],[number_of_purchases]]</f>
        <v>6076.9933333333329</v>
      </c>
      <c r="L607" s="2">
        <f>IF(YEAR(Table134[[#This Row],[Last_Day]])=2021,5,IF(YEAR(Table134[[#This Row],[Last_Day]])=2022,7,IF(YEAR(Table134[[#This Row],[Last_Day]])=2023,10,"Không xác định")))</f>
        <v>7</v>
      </c>
      <c r="M607" s="15">
        <f>Table134[[#This Row],[avg_number_of_purchases]]*Table1345[[#This Row],[avg_purchase_value]]*Table1345[[#This Row],[expected_lifespan]]</f>
        <v>147405.55031645566</v>
      </c>
      <c r="N607" t="s">
        <v>12047</v>
      </c>
    </row>
    <row r="608" spans="1:14" x14ac:dyDescent="0.3">
      <c r="A608" s="2" t="s">
        <v>606</v>
      </c>
      <c r="B608" s="2" t="s">
        <v>12040</v>
      </c>
      <c r="C608" s="2">
        <v>54</v>
      </c>
      <c r="D608" s="2" t="s">
        <v>12041</v>
      </c>
      <c r="E608" s="2">
        <f>COUNTIF(Table16[customer_id],Table13[[#This Row],[customer_id]])</f>
        <v>8</v>
      </c>
      <c r="F608" s="13">
        <f>SUMIFS(Table16[Purchase_history],Table16[customer_id],Table13[[#This Row],[customer_id]])</f>
        <v>17812.189999999999</v>
      </c>
      <c r="G608" s="20">
        <v>44222</v>
      </c>
      <c r="H608" s="21">
        <v>44923</v>
      </c>
      <c r="I608" s="15">
        <f>(Table134[[#This Row],[Last_Day]]-Table134[[#This Row],[First_Day]]+1)/365</f>
        <v>1.9232876712328768</v>
      </c>
      <c r="J608" s="59">
        <f>Table134[[#This Row],[number_of_purchases]]/Table134[[#This Row],[customer_total_years]]</f>
        <v>4.1595441595441596</v>
      </c>
      <c r="K608" s="13">
        <f>Table134[[#This Row],[purchase_history]]/Table134[[#This Row],[number_of_purchases]]</f>
        <v>2226.5237499999998</v>
      </c>
      <c r="L608" s="2">
        <f>IF(YEAR(Table134[[#This Row],[Last_Day]])=2021,5,IF(YEAR(Table134[[#This Row],[Last_Day]])=2022,7,IF(YEAR(Table134[[#This Row],[Last_Day]])=2023,10,"Không xác định")))</f>
        <v>7</v>
      </c>
      <c r="M608" s="15">
        <f>Table134[[#This Row],[avg_number_of_purchases]]*Table1345[[#This Row],[avg_purchase_value]]*Table1345[[#This Row],[expected_lifespan]]</f>
        <v>64829.267022792017</v>
      </c>
      <c r="N608" t="s">
        <v>12046</v>
      </c>
    </row>
    <row r="609" spans="1:14" x14ac:dyDescent="0.3">
      <c r="A609" s="2" t="s">
        <v>607</v>
      </c>
      <c r="B609" s="2" t="s">
        <v>12040</v>
      </c>
      <c r="C609" s="2">
        <v>68</v>
      </c>
      <c r="D609" s="2" t="s">
        <v>12041</v>
      </c>
      <c r="E609" s="2">
        <f>COUNTIF(Table16[customer_id],Table13[[#This Row],[customer_id]])</f>
        <v>6</v>
      </c>
      <c r="F609" s="13">
        <f>SUMIFS(Table16[Purchase_history],Table16[customer_id],Table13[[#This Row],[customer_id]])</f>
        <v>2395.6799999999998</v>
      </c>
      <c r="G609" s="20">
        <v>44343</v>
      </c>
      <c r="H609" s="21">
        <v>44977</v>
      </c>
      <c r="I609" s="15">
        <f>(Table134[[#This Row],[Last_Day]]-Table134[[#This Row],[First_Day]]+1)/365</f>
        <v>1.7397260273972603</v>
      </c>
      <c r="J609" s="59">
        <f>Table134[[#This Row],[number_of_purchases]]/Table134[[#This Row],[customer_total_years]]</f>
        <v>3.4488188976377949</v>
      </c>
      <c r="K609" s="13">
        <f>Table134[[#This Row],[purchase_history]]/Table134[[#This Row],[number_of_purchases]]</f>
        <v>399.28</v>
      </c>
      <c r="L609" s="2">
        <f>IF(YEAR(Table134[[#This Row],[Last_Day]])=2021,5,IF(YEAR(Table134[[#This Row],[Last_Day]])=2022,7,IF(YEAR(Table134[[#This Row],[Last_Day]])=2023,10,"Không xác định")))</f>
        <v>10</v>
      </c>
      <c r="M609" s="15">
        <f>Table134[[#This Row],[avg_number_of_purchases]]*Table1345[[#This Row],[avg_purchase_value]]*Table1345[[#This Row],[expected_lifespan]]</f>
        <v>13770.444094488186</v>
      </c>
      <c r="N609" t="s">
        <v>12046</v>
      </c>
    </row>
    <row r="610" spans="1:14" x14ac:dyDescent="0.3">
      <c r="A610" s="2" t="s">
        <v>608</v>
      </c>
      <c r="B610" s="2" t="s">
        <v>12045</v>
      </c>
      <c r="C610" s="2">
        <v>51</v>
      </c>
      <c r="D610" s="2" t="s">
        <v>12043</v>
      </c>
      <c r="E610" s="2">
        <f>COUNTIF(Table16[customer_id],Table13[[#This Row],[customer_id]])</f>
        <v>7</v>
      </c>
      <c r="F610" s="13">
        <f>SUMIFS(Table16[Purchase_history],Table16[customer_id],Table13[[#This Row],[customer_id]])</f>
        <v>35680.840000000004</v>
      </c>
      <c r="G610" s="20">
        <v>44400</v>
      </c>
      <c r="H610" s="21">
        <v>44844</v>
      </c>
      <c r="I610" s="15">
        <f>(Table134[[#This Row],[Last_Day]]-Table134[[#This Row],[First_Day]]+1)/365</f>
        <v>1.2191780821917808</v>
      </c>
      <c r="J610" s="59">
        <f>Table134[[#This Row],[number_of_purchases]]/Table134[[#This Row],[customer_total_years]]</f>
        <v>5.7415730337078656</v>
      </c>
      <c r="K610" s="13">
        <f>Table134[[#This Row],[purchase_history]]/Table134[[#This Row],[number_of_purchases]]</f>
        <v>5097.2628571428577</v>
      </c>
      <c r="L610" s="2">
        <f>IF(YEAR(Table134[[#This Row],[Last_Day]])=2021,5,IF(YEAR(Table134[[#This Row],[Last_Day]])=2022,7,IF(YEAR(Table134[[#This Row],[Last_Day]])=2023,10,"Không xác định")))</f>
        <v>7</v>
      </c>
      <c r="M610" s="15">
        <f>Table134[[#This Row],[avg_number_of_purchases]]*Table1345[[#This Row],[avg_purchase_value]]*Table1345[[#This Row],[expected_lifespan]]</f>
        <v>204864.14876404498</v>
      </c>
      <c r="N610" t="s">
        <v>12042</v>
      </c>
    </row>
    <row r="611" spans="1:14" x14ac:dyDescent="0.3">
      <c r="A611" s="2" t="s">
        <v>609</v>
      </c>
      <c r="B611" s="2" t="s">
        <v>12045</v>
      </c>
      <c r="C611" s="2">
        <v>43</v>
      </c>
      <c r="D611" s="2" t="s">
        <v>12043</v>
      </c>
      <c r="E611" s="2">
        <f>COUNTIF(Table16[customer_id],Table13[[#This Row],[customer_id]])</f>
        <v>6</v>
      </c>
      <c r="F611" s="13">
        <f>SUMIFS(Table16[Purchase_history],Table16[customer_id],Table13[[#This Row],[customer_id]])</f>
        <v>10911.67</v>
      </c>
      <c r="G611" s="20">
        <v>44248</v>
      </c>
      <c r="H611" s="21">
        <v>44916</v>
      </c>
      <c r="I611" s="15">
        <f>(Table134[[#This Row],[Last_Day]]-Table134[[#This Row],[First_Day]]+1)/365</f>
        <v>1.832876712328767</v>
      </c>
      <c r="J611" s="59">
        <f>Table134[[#This Row],[number_of_purchases]]/Table134[[#This Row],[customer_total_years]]</f>
        <v>3.2735426008968611</v>
      </c>
      <c r="K611" s="13">
        <f>Table134[[#This Row],[purchase_history]]/Table134[[#This Row],[number_of_purchases]]</f>
        <v>1818.6116666666667</v>
      </c>
      <c r="L611" s="2">
        <f>IF(YEAR(Table134[[#This Row],[Last_Day]])=2021,5,IF(YEAR(Table134[[#This Row],[Last_Day]])=2022,7,IF(YEAR(Table134[[#This Row],[Last_Day]])=2023,10,"Không xác định")))</f>
        <v>7</v>
      </c>
      <c r="M611" s="15">
        <f>Table134[[#This Row],[avg_number_of_purchases]]*Table1345[[#This Row],[avg_purchase_value]]*Table1345[[#This Row],[expected_lifespan]]</f>
        <v>41673.119357249627</v>
      </c>
      <c r="N611" t="s">
        <v>12047</v>
      </c>
    </row>
    <row r="612" spans="1:14" x14ac:dyDescent="0.3">
      <c r="A612" s="2" t="s">
        <v>610</v>
      </c>
      <c r="B612" s="2" t="s">
        <v>12040</v>
      </c>
      <c r="C612" s="2">
        <v>40</v>
      </c>
      <c r="D612" s="2" t="s">
        <v>12043</v>
      </c>
      <c r="E612" s="2">
        <f>COUNTIF(Table16[customer_id],Table13[[#This Row],[customer_id]])</f>
        <v>5</v>
      </c>
      <c r="F612" s="13">
        <f>SUMIFS(Table16[Purchase_history],Table16[customer_id],Table13[[#This Row],[customer_id]])</f>
        <v>20380.07</v>
      </c>
      <c r="G612" s="20">
        <v>44325</v>
      </c>
      <c r="H612" s="21">
        <v>44749</v>
      </c>
      <c r="I612" s="15">
        <f>(Table134[[#This Row],[Last_Day]]-Table134[[#This Row],[First_Day]]+1)/365</f>
        <v>1.1643835616438356</v>
      </c>
      <c r="J612" s="59">
        <f>Table134[[#This Row],[number_of_purchases]]/Table134[[#This Row],[customer_total_years]]</f>
        <v>4.2941176470588234</v>
      </c>
      <c r="K612" s="13">
        <f>Table134[[#This Row],[purchase_history]]/Table134[[#This Row],[number_of_purchases]]</f>
        <v>4076.0140000000001</v>
      </c>
      <c r="L612" s="2">
        <f>IF(YEAR(Table134[[#This Row],[Last_Day]])=2021,5,IF(YEAR(Table134[[#This Row],[Last_Day]])=2022,7,IF(YEAR(Table134[[#This Row],[Last_Day]])=2023,10,"Không xác định")))</f>
        <v>7</v>
      </c>
      <c r="M612" s="15">
        <f>Table134[[#This Row],[avg_number_of_purchases]]*Table1345[[#This Row],[avg_purchase_value]]*Table1345[[#This Row],[expected_lifespan]]</f>
        <v>122520.18552941177</v>
      </c>
      <c r="N612" t="s">
        <v>12044</v>
      </c>
    </row>
    <row r="613" spans="1:14" x14ac:dyDescent="0.3">
      <c r="A613" s="2" t="s">
        <v>611</v>
      </c>
      <c r="B613" s="2" t="s">
        <v>12045</v>
      </c>
      <c r="C613" s="2">
        <v>47</v>
      </c>
      <c r="D613" s="2" t="s">
        <v>12043</v>
      </c>
      <c r="E613" s="2">
        <f>COUNTIF(Table16[customer_id],Table13[[#This Row],[customer_id]])</f>
        <v>4</v>
      </c>
      <c r="F613" s="13">
        <f>SUMIFS(Table16[Purchase_history],Table16[customer_id],Table13[[#This Row],[customer_id]])</f>
        <v>15044.75</v>
      </c>
      <c r="G613" s="20">
        <v>44337</v>
      </c>
      <c r="H613" s="21">
        <v>44825</v>
      </c>
      <c r="I613" s="15">
        <f>(Table134[[#This Row],[Last_Day]]-Table134[[#This Row],[First_Day]]+1)/365</f>
        <v>1.3397260273972602</v>
      </c>
      <c r="J613" s="59">
        <f>Table134[[#This Row],[number_of_purchases]]/Table134[[#This Row],[customer_total_years]]</f>
        <v>2.9856850715746424</v>
      </c>
      <c r="K613" s="13">
        <f>Table134[[#This Row],[purchase_history]]/Table134[[#This Row],[number_of_purchases]]</f>
        <v>3761.1875</v>
      </c>
      <c r="L613" s="2">
        <f>IF(YEAR(Table134[[#This Row],[Last_Day]])=2021,5,IF(YEAR(Table134[[#This Row],[Last_Day]])=2022,7,IF(YEAR(Table134[[#This Row],[Last_Day]])=2023,10,"Không xác định")))</f>
        <v>7</v>
      </c>
      <c r="M613" s="15">
        <f>Table134[[#This Row],[avg_number_of_purchases]]*Table1345[[#This Row],[avg_purchase_value]]*Table1345[[#This Row],[expected_lifespan]]</f>
        <v>78608.049591002055</v>
      </c>
      <c r="N613" t="s">
        <v>12044</v>
      </c>
    </row>
    <row r="614" spans="1:14" x14ac:dyDescent="0.3">
      <c r="A614" s="2" t="s">
        <v>612</v>
      </c>
      <c r="B614" s="2" t="s">
        <v>12045</v>
      </c>
      <c r="C614" s="2">
        <v>24</v>
      </c>
      <c r="D614" s="2" t="s">
        <v>12041</v>
      </c>
      <c r="E614" s="2">
        <f>COUNTIF(Table16[customer_id],Table13[[#This Row],[customer_id]])</f>
        <v>7</v>
      </c>
      <c r="F614" s="13">
        <f>SUMIFS(Table16[Purchase_history],Table16[customer_id],Table13[[#This Row],[customer_id]])</f>
        <v>14863.010000000002</v>
      </c>
      <c r="G614" s="20">
        <v>44286</v>
      </c>
      <c r="H614" s="21">
        <v>44983</v>
      </c>
      <c r="I614" s="15">
        <f>(Table134[[#This Row],[Last_Day]]-Table134[[#This Row],[First_Day]]+1)/365</f>
        <v>1.9123287671232876</v>
      </c>
      <c r="J614" s="59">
        <f>Table134[[#This Row],[number_of_purchases]]/Table134[[#This Row],[customer_total_years]]</f>
        <v>3.6604584527220632</v>
      </c>
      <c r="K614" s="13">
        <f>Table134[[#This Row],[purchase_history]]/Table134[[#This Row],[number_of_purchases]]</f>
        <v>2123.287142857143</v>
      </c>
      <c r="L614" s="2">
        <f>IF(YEAR(Table134[[#This Row],[Last_Day]])=2021,5,IF(YEAR(Table134[[#This Row],[Last_Day]])=2022,7,IF(YEAR(Table134[[#This Row],[Last_Day]])=2023,10,"Không xác định")))</f>
        <v>10</v>
      </c>
      <c r="M614" s="15">
        <f>Table134[[#This Row],[avg_number_of_purchases]]*Table1345[[#This Row],[avg_purchase_value]]*Table1345[[#This Row],[expected_lifespan]]</f>
        <v>77722.043696275083</v>
      </c>
      <c r="N614" t="s">
        <v>12042</v>
      </c>
    </row>
    <row r="615" spans="1:14" x14ac:dyDescent="0.3">
      <c r="A615" s="2" t="s">
        <v>613</v>
      </c>
      <c r="B615" s="2" t="s">
        <v>12040</v>
      </c>
      <c r="C615" s="2">
        <v>57</v>
      </c>
      <c r="D615" s="2" t="s">
        <v>12043</v>
      </c>
      <c r="E615" s="2">
        <f>COUNTIF(Table16[customer_id],Table13[[#This Row],[customer_id]])</f>
        <v>6</v>
      </c>
      <c r="F615" s="13">
        <f>SUMIFS(Table16[Purchase_history],Table16[customer_id],Table13[[#This Row],[customer_id]])</f>
        <v>734.13</v>
      </c>
      <c r="G615" s="20">
        <v>44236</v>
      </c>
      <c r="H615" s="21">
        <v>44965</v>
      </c>
      <c r="I615" s="15">
        <f>(Table134[[#This Row],[Last_Day]]-Table134[[#This Row],[First_Day]]+1)/365</f>
        <v>2</v>
      </c>
      <c r="J615" s="59">
        <f>Table134[[#This Row],[number_of_purchases]]/Table134[[#This Row],[customer_total_years]]</f>
        <v>3</v>
      </c>
      <c r="K615" s="13">
        <f>Table134[[#This Row],[purchase_history]]/Table134[[#This Row],[number_of_purchases]]</f>
        <v>122.355</v>
      </c>
      <c r="L615" s="2">
        <f>IF(YEAR(Table134[[#This Row],[Last_Day]])=2021,5,IF(YEAR(Table134[[#This Row],[Last_Day]])=2022,7,IF(YEAR(Table134[[#This Row],[Last_Day]])=2023,10,"Không xác định")))</f>
        <v>10</v>
      </c>
      <c r="M615" s="15">
        <f>Table134[[#This Row],[avg_number_of_purchases]]*Table1345[[#This Row],[avg_purchase_value]]*Table1345[[#This Row],[expected_lifespan]]</f>
        <v>3670.65</v>
      </c>
      <c r="N615" t="s">
        <v>12044</v>
      </c>
    </row>
    <row r="616" spans="1:14" x14ac:dyDescent="0.3">
      <c r="A616" s="2" t="s">
        <v>614</v>
      </c>
      <c r="B616" s="2" t="s">
        <v>12040</v>
      </c>
      <c r="C616" s="2">
        <v>34</v>
      </c>
      <c r="D616" s="2" t="s">
        <v>12041</v>
      </c>
      <c r="E616" s="2">
        <f>COUNTIF(Table16[customer_id],Table13[[#This Row],[customer_id]])</f>
        <v>7</v>
      </c>
      <c r="F616" s="13">
        <f>SUMIFS(Table16[Purchase_history],Table16[customer_id],Table13[[#This Row],[customer_id]])</f>
        <v>6837.35</v>
      </c>
      <c r="G616" s="20">
        <v>44203</v>
      </c>
      <c r="H616" s="21">
        <v>44781</v>
      </c>
      <c r="I616" s="15">
        <f>(Table134[[#This Row],[Last_Day]]-Table134[[#This Row],[First_Day]]+1)/365</f>
        <v>1.5863013698630137</v>
      </c>
      <c r="J616" s="59">
        <f>Table134[[#This Row],[number_of_purchases]]/Table134[[#This Row],[customer_total_years]]</f>
        <v>4.4127806563039726</v>
      </c>
      <c r="K616" s="13">
        <f>Table134[[#This Row],[purchase_history]]/Table134[[#This Row],[number_of_purchases]]</f>
        <v>976.76428571428573</v>
      </c>
      <c r="L616" s="2">
        <f>IF(YEAR(Table134[[#This Row],[Last_Day]])=2021,5,IF(YEAR(Table134[[#This Row],[Last_Day]])=2022,7,IF(YEAR(Table134[[#This Row],[Last_Day]])=2023,10,"Không xác định")))</f>
        <v>7</v>
      </c>
      <c r="M616" s="15">
        <f>Table134[[#This Row],[avg_number_of_purchases]]*Table1345[[#This Row],[avg_purchase_value]]*Table1345[[#This Row],[expected_lifespan]]</f>
        <v>30171.725820379965</v>
      </c>
      <c r="N616" t="s">
        <v>12048</v>
      </c>
    </row>
    <row r="617" spans="1:14" x14ac:dyDescent="0.3">
      <c r="A617" s="2" t="s">
        <v>615</v>
      </c>
      <c r="B617" s="2" t="s">
        <v>12045</v>
      </c>
      <c r="C617" s="2">
        <v>22</v>
      </c>
      <c r="D617" s="2" t="s">
        <v>12043</v>
      </c>
      <c r="E617" s="2">
        <f>COUNTIF(Table16[customer_id],Table13[[#This Row],[customer_id]])</f>
        <v>4</v>
      </c>
      <c r="F617" s="13">
        <f>SUMIFS(Table16[Purchase_history],Table16[customer_id],Table13[[#This Row],[customer_id]])</f>
        <v>16570.260000000002</v>
      </c>
      <c r="G617" s="20">
        <v>44444</v>
      </c>
      <c r="H617" s="21">
        <v>44772</v>
      </c>
      <c r="I617" s="15">
        <f>(Table134[[#This Row],[Last_Day]]-Table134[[#This Row],[First_Day]]+1)/365</f>
        <v>0.90136986301369859</v>
      </c>
      <c r="J617" s="59">
        <f>Table134[[#This Row],[number_of_purchases]]/Table134[[#This Row],[customer_total_years]]</f>
        <v>4.4376899696048637</v>
      </c>
      <c r="K617" s="13">
        <f>Table134[[#This Row],[purchase_history]]/Table134[[#This Row],[number_of_purchases]]</f>
        <v>4142.5650000000005</v>
      </c>
      <c r="L617" s="2">
        <f>IF(YEAR(Table134[[#This Row],[Last_Day]])=2021,5,IF(YEAR(Table134[[#This Row],[Last_Day]])=2022,7,IF(YEAR(Table134[[#This Row],[Last_Day]])=2023,10,"Không xác định")))</f>
        <v>7</v>
      </c>
      <c r="M617" s="15">
        <f>Table134[[#This Row],[avg_number_of_purchases]]*Table1345[[#This Row],[avg_purchase_value]]*Table1345[[#This Row],[expected_lifespan]]</f>
        <v>128683.93404255321</v>
      </c>
      <c r="N617" t="s">
        <v>12042</v>
      </c>
    </row>
    <row r="618" spans="1:14" x14ac:dyDescent="0.3">
      <c r="A618" s="2" t="s">
        <v>616</v>
      </c>
      <c r="B618" s="2" t="s">
        <v>12040</v>
      </c>
      <c r="C618" s="2">
        <v>58</v>
      </c>
      <c r="D618" s="2" t="s">
        <v>12049</v>
      </c>
      <c r="E618" s="2">
        <f>COUNTIF(Table16[customer_id],Table13[[#This Row],[customer_id]])</f>
        <v>7</v>
      </c>
      <c r="F618" s="13">
        <f>SUMIFS(Table16[Purchase_history],Table16[customer_id],Table13[[#This Row],[customer_id]])</f>
        <v>9851.81</v>
      </c>
      <c r="G618" s="20">
        <v>44237</v>
      </c>
      <c r="H618" s="21">
        <v>44947</v>
      </c>
      <c r="I618" s="15">
        <f>(Table134[[#This Row],[Last_Day]]-Table134[[#This Row],[First_Day]]+1)/365</f>
        <v>1.9479452054794522</v>
      </c>
      <c r="J618" s="59">
        <f>Table134[[#This Row],[number_of_purchases]]/Table134[[#This Row],[customer_total_years]]</f>
        <v>3.5935302390998594</v>
      </c>
      <c r="K618" s="13">
        <f>Table134[[#This Row],[purchase_history]]/Table134[[#This Row],[number_of_purchases]]</f>
        <v>1407.4014285714286</v>
      </c>
      <c r="L618" s="2">
        <f>IF(YEAR(Table134[[#This Row],[Last_Day]])=2021,5,IF(YEAR(Table134[[#This Row],[Last_Day]])=2022,7,IF(YEAR(Table134[[#This Row],[Last_Day]])=2023,10,"Không xác định")))</f>
        <v>10</v>
      </c>
      <c r="M618" s="15">
        <f>Table134[[#This Row],[avg_number_of_purchases]]*Table1345[[#This Row],[avg_purchase_value]]*Table1345[[#This Row],[expected_lifespan]]</f>
        <v>50575.395921237694</v>
      </c>
      <c r="N618" t="s">
        <v>12047</v>
      </c>
    </row>
    <row r="619" spans="1:14" x14ac:dyDescent="0.3">
      <c r="A619" s="2" t="s">
        <v>617</v>
      </c>
      <c r="B619" s="2" t="s">
        <v>12040</v>
      </c>
      <c r="C619" s="2">
        <v>30</v>
      </c>
      <c r="D619" s="2" t="s">
        <v>12041</v>
      </c>
      <c r="E619" s="2">
        <f>COUNTIF(Table16[customer_id],Table13[[#This Row],[customer_id]])</f>
        <v>6</v>
      </c>
      <c r="F619" s="13">
        <f>SUMIFS(Table16[Purchase_history],Table16[customer_id],Table13[[#This Row],[customer_id]])</f>
        <v>5217.82</v>
      </c>
      <c r="G619" s="20">
        <v>44386</v>
      </c>
      <c r="H619" s="21">
        <v>44835</v>
      </c>
      <c r="I619" s="15">
        <f>(Table134[[#This Row],[Last_Day]]-Table134[[#This Row],[First_Day]]+1)/365</f>
        <v>1.2328767123287672</v>
      </c>
      <c r="J619" s="59">
        <f>Table134[[#This Row],[number_of_purchases]]/Table134[[#This Row],[customer_total_years]]</f>
        <v>4.8666666666666663</v>
      </c>
      <c r="K619" s="13">
        <f>Table134[[#This Row],[purchase_history]]/Table134[[#This Row],[number_of_purchases]]</f>
        <v>869.63666666666666</v>
      </c>
      <c r="L619" s="2">
        <f>IF(YEAR(Table134[[#This Row],[Last_Day]])=2021,5,IF(YEAR(Table134[[#This Row],[Last_Day]])=2022,7,IF(YEAR(Table134[[#This Row],[Last_Day]])=2023,10,"Không xác định")))</f>
        <v>7</v>
      </c>
      <c r="M619" s="15">
        <f>Table134[[#This Row],[avg_number_of_purchases]]*Table1345[[#This Row],[avg_purchase_value]]*Table1345[[#This Row],[expected_lifespan]]</f>
        <v>29625.622444444438</v>
      </c>
      <c r="N619" t="s">
        <v>12044</v>
      </c>
    </row>
    <row r="620" spans="1:14" x14ac:dyDescent="0.3">
      <c r="A620" s="2" t="s">
        <v>618</v>
      </c>
      <c r="B620" s="2" t="s">
        <v>12040</v>
      </c>
      <c r="C620" s="2">
        <v>34</v>
      </c>
      <c r="D620" s="2" t="s">
        <v>12049</v>
      </c>
      <c r="E620" s="2">
        <f>COUNTIF(Table16[customer_id],Table13[[#This Row],[customer_id]])</f>
        <v>7</v>
      </c>
      <c r="F620" s="13">
        <f>SUMIFS(Table16[Purchase_history],Table16[customer_id],Table13[[#This Row],[customer_id]])</f>
        <v>33023.199999999997</v>
      </c>
      <c r="G620" s="20">
        <v>44200</v>
      </c>
      <c r="H620" s="21">
        <v>44934</v>
      </c>
      <c r="I620" s="15">
        <f>(Table134[[#This Row],[Last_Day]]-Table134[[#This Row],[First_Day]]+1)/365</f>
        <v>2.0136986301369864</v>
      </c>
      <c r="J620" s="59">
        <f>Table134[[#This Row],[number_of_purchases]]/Table134[[#This Row],[customer_total_years]]</f>
        <v>3.4761904761904763</v>
      </c>
      <c r="K620" s="13">
        <f>Table134[[#This Row],[purchase_history]]/Table134[[#This Row],[number_of_purchases]]</f>
        <v>4717.5999999999995</v>
      </c>
      <c r="L620" s="2">
        <f>IF(YEAR(Table134[[#This Row],[Last_Day]])=2021,5,IF(YEAR(Table134[[#This Row],[Last_Day]])=2022,7,IF(YEAR(Table134[[#This Row],[Last_Day]])=2023,10,"Không xác định")))</f>
        <v>10</v>
      </c>
      <c r="M620" s="15">
        <f>Table134[[#This Row],[avg_number_of_purchases]]*Table1345[[#This Row],[avg_purchase_value]]*Table1345[[#This Row],[expected_lifespan]]</f>
        <v>163992.76190476189</v>
      </c>
      <c r="N620" t="s">
        <v>12044</v>
      </c>
    </row>
    <row r="621" spans="1:14" x14ac:dyDescent="0.3">
      <c r="A621" s="2" t="s">
        <v>619</v>
      </c>
      <c r="B621" s="2" t="s">
        <v>12040</v>
      </c>
      <c r="C621" s="2">
        <v>56</v>
      </c>
      <c r="D621" s="2" t="s">
        <v>12041</v>
      </c>
      <c r="E621" s="2">
        <f>COUNTIF(Table16[customer_id],Table13[[#This Row],[customer_id]])</f>
        <v>7</v>
      </c>
      <c r="F621" s="13">
        <f>SUMIFS(Table16[Purchase_history],Table16[customer_id],Table13[[#This Row],[customer_id]])</f>
        <v>20487.739999999998</v>
      </c>
      <c r="G621" s="20">
        <v>44390</v>
      </c>
      <c r="H621" s="21">
        <v>44939</v>
      </c>
      <c r="I621" s="15">
        <f>(Table134[[#This Row],[Last_Day]]-Table134[[#This Row],[First_Day]]+1)/365</f>
        <v>1.5068493150684932</v>
      </c>
      <c r="J621" s="59">
        <f>Table134[[#This Row],[number_of_purchases]]/Table134[[#This Row],[customer_total_years]]</f>
        <v>4.6454545454545455</v>
      </c>
      <c r="K621" s="13">
        <f>Table134[[#This Row],[purchase_history]]/Table134[[#This Row],[number_of_purchases]]</f>
        <v>2926.8199999999997</v>
      </c>
      <c r="L621" s="2">
        <f>IF(YEAR(Table134[[#This Row],[Last_Day]])=2021,5,IF(YEAR(Table134[[#This Row],[Last_Day]])=2022,7,IF(YEAR(Table134[[#This Row],[Last_Day]])=2023,10,"Không xác định")))</f>
        <v>10</v>
      </c>
      <c r="M621" s="15">
        <f>Table134[[#This Row],[avg_number_of_purchases]]*Table1345[[#This Row],[avg_purchase_value]]*Table1345[[#This Row],[expected_lifespan]]</f>
        <v>135964.09272727271</v>
      </c>
      <c r="N621" t="s">
        <v>12042</v>
      </c>
    </row>
    <row r="622" spans="1:14" x14ac:dyDescent="0.3">
      <c r="A622" s="2" t="s">
        <v>620</v>
      </c>
      <c r="B622" s="2" t="s">
        <v>12040</v>
      </c>
      <c r="C622" s="2">
        <v>40</v>
      </c>
      <c r="D622" s="2" t="s">
        <v>12049</v>
      </c>
      <c r="E622" s="2">
        <f>COUNTIF(Table16[customer_id],Table13[[#This Row],[customer_id]])</f>
        <v>8</v>
      </c>
      <c r="F622" s="13">
        <f>SUMIFS(Table16[Purchase_history],Table16[customer_id],Table13[[#This Row],[customer_id]])</f>
        <v>28604.92</v>
      </c>
      <c r="G622" s="20">
        <v>44303</v>
      </c>
      <c r="H622" s="21">
        <v>44900</v>
      </c>
      <c r="I622" s="15">
        <f>(Table134[[#This Row],[Last_Day]]-Table134[[#This Row],[First_Day]]+1)/365</f>
        <v>1.6383561643835616</v>
      </c>
      <c r="J622" s="59">
        <f>Table134[[#This Row],[number_of_purchases]]/Table134[[#This Row],[customer_total_years]]</f>
        <v>4.8829431438127093</v>
      </c>
      <c r="K622" s="13">
        <f>Table134[[#This Row],[purchase_history]]/Table134[[#This Row],[number_of_purchases]]</f>
        <v>3575.6149999999998</v>
      </c>
      <c r="L622" s="2">
        <f>IF(YEAR(Table134[[#This Row],[Last_Day]])=2021,5,IF(YEAR(Table134[[#This Row],[Last_Day]])=2022,7,IF(YEAR(Table134[[#This Row],[Last_Day]])=2023,10,"Không xác định")))</f>
        <v>7</v>
      </c>
      <c r="M622" s="15">
        <f>Table134[[#This Row],[avg_number_of_purchases]]*Table1345[[#This Row],[avg_purchase_value]]*Table1345[[#This Row],[expected_lifespan]]</f>
        <v>122216.67324414715</v>
      </c>
      <c r="N622" t="s">
        <v>12044</v>
      </c>
    </row>
    <row r="623" spans="1:14" x14ac:dyDescent="0.3">
      <c r="A623" s="2" t="s">
        <v>621</v>
      </c>
      <c r="B623" s="2" t="s">
        <v>12040</v>
      </c>
      <c r="C623" s="2">
        <v>19</v>
      </c>
      <c r="D623" s="2" t="s">
        <v>12041</v>
      </c>
      <c r="E623" s="2">
        <f>COUNTIF(Table16[customer_id],Table13[[#This Row],[customer_id]])</f>
        <v>4</v>
      </c>
      <c r="F623" s="13">
        <f>SUMIFS(Table16[Purchase_history],Table16[customer_id],Table13[[#This Row],[customer_id]])</f>
        <v>6195.3600000000006</v>
      </c>
      <c r="G623" s="20">
        <v>44370</v>
      </c>
      <c r="H623" s="21">
        <v>44949</v>
      </c>
      <c r="I623" s="15">
        <f>(Table134[[#This Row],[Last_Day]]-Table134[[#This Row],[First_Day]]+1)/365</f>
        <v>1.5890410958904109</v>
      </c>
      <c r="J623" s="59">
        <f>Table134[[#This Row],[number_of_purchases]]/Table134[[#This Row],[customer_total_years]]</f>
        <v>2.5172413793103448</v>
      </c>
      <c r="K623" s="13">
        <f>Table134[[#This Row],[purchase_history]]/Table134[[#This Row],[number_of_purchases]]</f>
        <v>1548.8400000000001</v>
      </c>
      <c r="L623" s="2">
        <f>IF(YEAR(Table134[[#This Row],[Last_Day]])=2021,5,IF(YEAR(Table134[[#This Row],[Last_Day]])=2022,7,IF(YEAR(Table134[[#This Row],[Last_Day]])=2023,10,"Không xác định")))</f>
        <v>10</v>
      </c>
      <c r="M623" s="15">
        <f>Table134[[#This Row],[avg_number_of_purchases]]*Table1345[[#This Row],[avg_purchase_value]]*Table1345[[#This Row],[expected_lifespan]]</f>
        <v>38988.041379310351</v>
      </c>
      <c r="N623" t="s">
        <v>12044</v>
      </c>
    </row>
    <row r="624" spans="1:14" x14ac:dyDescent="0.3">
      <c r="A624" s="2" t="s">
        <v>622</v>
      </c>
      <c r="B624" s="2" t="s">
        <v>12040</v>
      </c>
      <c r="C624" s="2">
        <v>52</v>
      </c>
      <c r="D624" s="2" t="s">
        <v>12041</v>
      </c>
      <c r="E624" s="2">
        <f>COUNTIF(Table16[customer_id],Table13[[#This Row],[customer_id]])</f>
        <v>7</v>
      </c>
      <c r="F624" s="13">
        <f>SUMIFS(Table16[Purchase_history],Table16[customer_id],Table13[[#This Row],[customer_id]])</f>
        <v>11563.5</v>
      </c>
      <c r="G624" s="20">
        <v>44308</v>
      </c>
      <c r="H624" s="21">
        <v>44934</v>
      </c>
      <c r="I624" s="15">
        <f>(Table134[[#This Row],[Last_Day]]-Table134[[#This Row],[First_Day]]+1)/365</f>
        <v>1.7178082191780821</v>
      </c>
      <c r="J624" s="59">
        <f>Table134[[#This Row],[number_of_purchases]]/Table134[[#This Row],[customer_total_years]]</f>
        <v>4.0749601275917069</v>
      </c>
      <c r="K624" s="13">
        <f>Table134[[#This Row],[purchase_history]]/Table134[[#This Row],[number_of_purchases]]</f>
        <v>1651.9285714285713</v>
      </c>
      <c r="L624" s="2">
        <f>IF(YEAR(Table134[[#This Row],[Last_Day]])=2021,5,IF(YEAR(Table134[[#This Row],[Last_Day]])=2022,7,IF(YEAR(Table134[[#This Row],[Last_Day]])=2023,10,"Không xác định")))</f>
        <v>10</v>
      </c>
      <c r="M624" s="15">
        <f>Table134[[#This Row],[avg_number_of_purchases]]*Table1345[[#This Row],[avg_purchase_value]]*Table1345[[#This Row],[expected_lifespan]]</f>
        <v>67315.430622009575</v>
      </c>
      <c r="N624" t="s">
        <v>12048</v>
      </c>
    </row>
    <row r="625" spans="1:14" x14ac:dyDescent="0.3">
      <c r="A625" s="2" t="s">
        <v>623</v>
      </c>
      <c r="B625" s="2" t="s">
        <v>12040</v>
      </c>
      <c r="C625" s="2">
        <v>32</v>
      </c>
      <c r="D625" s="2" t="s">
        <v>12041</v>
      </c>
      <c r="E625" s="2">
        <f>COUNTIF(Table16[customer_id],Table13[[#This Row],[customer_id]])</f>
        <v>6</v>
      </c>
      <c r="F625" s="13">
        <f>SUMIFS(Table16[Purchase_history],Table16[customer_id],Table13[[#This Row],[customer_id]])</f>
        <v>11559.96</v>
      </c>
      <c r="G625" s="20">
        <v>44314</v>
      </c>
      <c r="H625" s="21">
        <v>44921</v>
      </c>
      <c r="I625" s="15">
        <f>(Table134[[#This Row],[Last_Day]]-Table134[[#This Row],[First_Day]]+1)/365</f>
        <v>1.6657534246575343</v>
      </c>
      <c r="J625" s="59">
        <f>Table134[[#This Row],[number_of_purchases]]/Table134[[#This Row],[customer_total_years]]</f>
        <v>3.6019736842105261</v>
      </c>
      <c r="K625" s="13">
        <f>Table134[[#This Row],[purchase_history]]/Table134[[#This Row],[number_of_purchases]]</f>
        <v>1926.6599999999999</v>
      </c>
      <c r="L625" s="2">
        <f>IF(YEAR(Table134[[#This Row],[Last_Day]])=2021,5,IF(YEAR(Table134[[#This Row],[Last_Day]])=2022,7,IF(YEAR(Table134[[#This Row],[Last_Day]])=2023,10,"Không xác định")))</f>
        <v>7</v>
      </c>
      <c r="M625" s="15">
        <f>Table134[[#This Row],[avg_number_of_purchases]]*Table1345[[#This Row],[avg_purchase_value]]*Table1345[[#This Row],[expected_lifespan]]</f>
        <v>48578.450328947365</v>
      </c>
      <c r="N625" t="s">
        <v>12047</v>
      </c>
    </row>
    <row r="626" spans="1:14" x14ac:dyDescent="0.3">
      <c r="A626" s="2" t="s">
        <v>624</v>
      </c>
      <c r="B626" s="2" t="s">
        <v>12040</v>
      </c>
      <c r="C626" s="2">
        <v>50</v>
      </c>
      <c r="D626" s="2" t="s">
        <v>12043</v>
      </c>
      <c r="E626" s="2">
        <f>COUNTIF(Table16[customer_id],Table13[[#This Row],[customer_id]])</f>
        <v>2</v>
      </c>
      <c r="F626" s="13">
        <f>SUMIFS(Table16[Purchase_history],Table16[customer_id],Table13[[#This Row],[customer_id]])</f>
        <v>10202.720000000001</v>
      </c>
      <c r="G626" s="20">
        <v>44367</v>
      </c>
      <c r="H626" s="21">
        <v>44422</v>
      </c>
      <c r="I626" s="15">
        <f>(Table134[[#This Row],[Last_Day]]-Table134[[#This Row],[First_Day]]+1)/365</f>
        <v>0.15342465753424658</v>
      </c>
      <c r="J626" s="59">
        <f>Table134[[#This Row],[number_of_purchases]]/Table134[[#This Row],[customer_total_years]]</f>
        <v>13.035714285714285</v>
      </c>
      <c r="K626" s="13">
        <f>Table134[[#This Row],[purchase_history]]/Table134[[#This Row],[number_of_purchases]]</f>
        <v>5101.3600000000006</v>
      </c>
      <c r="L626" s="2">
        <f>IF(YEAR(Table134[[#This Row],[Last_Day]])=2021,5,IF(YEAR(Table134[[#This Row],[Last_Day]])=2022,7,IF(YEAR(Table134[[#This Row],[Last_Day]])=2023,10,"Không xác định")))</f>
        <v>5</v>
      </c>
      <c r="M626" s="15">
        <f>Table134[[#This Row],[avg_number_of_purchases]]*Table1345[[#This Row],[avg_purchase_value]]*Table1345[[#This Row],[expected_lifespan]]</f>
        <v>332499.35714285716</v>
      </c>
      <c r="N626" t="s">
        <v>12044</v>
      </c>
    </row>
    <row r="627" spans="1:14" x14ac:dyDescent="0.3">
      <c r="A627" s="2" t="s">
        <v>625</v>
      </c>
      <c r="B627" s="2" t="s">
        <v>12045</v>
      </c>
      <c r="C627" s="2">
        <v>53</v>
      </c>
      <c r="D627" s="2" t="s">
        <v>12043</v>
      </c>
      <c r="E627" s="2">
        <f>COUNTIF(Table16[customer_id],Table13[[#This Row],[customer_id]])</f>
        <v>4</v>
      </c>
      <c r="F627" s="13">
        <f>SUMIFS(Table16[Purchase_history],Table16[customer_id],Table13[[#This Row],[customer_id]])</f>
        <v>15926.899999999998</v>
      </c>
      <c r="G627" s="20">
        <v>44240</v>
      </c>
      <c r="H627" s="21">
        <v>44681</v>
      </c>
      <c r="I627" s="15">
        <f>(Table134[[#This Row],[Last_Day]]-Table134[[#This Row],[First_Day]]+1)/365</f>
        <v>1.210958904109589</v>
      </c>
      <c r="J627" s="59">
        <f>Table134[[#This Row],[number_of_purchases]]/Table134[[#This Row],[customer_total_years]]</f>
        <v>3.3031674208144799</v>
      </c>
      <c r="K627" s="13">
        <f>Table134[[#This Row],[purchase_history]]/Table134[[#This Row],[number_of_purchases]]</f>
        <v>3981.7249999999995</v>
      </c>
      <c r="L627" s="2">
        <f>IF(YEAR(Table134[[#This Row],[Last_Day]])=2021,5,IF(YEAR(Table134[[#This Row],[Last_Day]])=2022,7,IF(YEAR(Table134[[#This Row],[Last_Day]])=2023,10,"Không xác định")))</f>
        <v>7</v>
      </c>
      <c r="M627" s="15">
        <f>Table134[[#This Row],[avg_number_of_purchases]]*Table1345[[#This Row],[avg_purchase_value]]*Table1345[[#This Row],[expected_lifespan]]</f>
        <v>92066.13009049774</v>
      </c>
      <c r="N627" t="s">
        <v>12047</v>
      </c>
    </row>
    <row r="628" spans="1:14" x14ac:dyDescent="0.3">
      <c r="A628" s="2" t="s">
        <v>626</v>
      </c>
      <c r="B628" s="2" t="s">
        <v>12040</v>
      </c>
      <c r="C628" s="2">
        <v>57</v>
      </c>
      <c r="D628" s="2" t="s">
        <v>12043</v>
      </c>
      <c r="E628" s="2">
        <f>COUNTIF(Table16[customer_id],Table13[[#This Row],[customer_id]])</f>
        <v>4</v>
      </c>
      <c r="F628" s="13">
        <f>SUMIFS(Table16[Purchase_history],Table16[customer_id],Table13[[#This Row],[customer_id]])</f>
        <v>8088.64</v>
      </c>
      <c r="G628" s="20">
        <v>44227</v>
      </c>
      <c r="H628" s="21">
        <v>44678</v>
      </c>
      <c r="I628" s="15">
        <f>(Table134[[#This Row],[Last_Day]]-Table134[[#This Row],[First_Day]]+1)/365</f>
        <v>1.2383561643835617</v>
      </c>
      <c r="J628" s="59">
        <f>Table134[[#This Row],[number_of_purchases]]/Table134[[#This Row],[customer_total_years]]</f>
        <v>3.2300884955752212</v>
      </c>
      <c r="K628" s="13">
        <f>Table134[[#This Row],[purchase_history]]/Table134[[#This Row],[number_of_purchases]]</f>
        <v>2022.16</v>
      </c>
      <c r="L628" s="2">
        <f>IF(YEAR(Table134[[#This Row],[Last_Day]])=2021,5,IF(YEAR(Table134[[#This Row],[Last_Day]])=2022,7,IF(YEAR(Table134[[#This Row],[Last_Day]])=2023,10,"Không xác định")))</f>
        <v>7</v>
      </c>
      <c r="M628" s="15">
        <f>Table134[[#This Row],[avg_number_of_purchases]]*Table1345[[#This Row],[avg_purchase_value]]*Table1345[[#This Row],[expected_lifespan]]</f>
        <v>45722.290265486728</v>
      </c>
      <c r="N628" t="s">
        <v>12047</v>
      </c>
    </row>
    <row r="629" spans="1:14" x14ac:dyDescent="0.3">
      <c r="A629" s="2" t="s">
        <v>627</v>
      </c>
      <c r="B629" s="2" t="s">
        <v>12040</v>
      </c>
      <c r="C629" s="2">
        <v>59</v>
      </c>
      <c r="D629" s="2" t="s">
        <v>12049</v>
      </c>
      <c r="E629" s="2">
        <f>COUNTIF(Table16[customer_id],Table13[[#This Row],[customer_id]])</f>
        <v>4</v>
      </c>
      <c r="F629" s="13">
        <f>SUMIFS(Table16[Purchase_history],Table16[customer_id],Table13[[#This Row],[customer_id]])</f>
        <v>11149.119999999999</v>
      </c>
      <c r="G629" s="20">
        <v>44302</v>
      </c>
      <c r="H629" s="21">
        <v>44981</v>
      </c>
      <c r="I629" s="15">
        <f>(Table134[[#This Row],[Last_Day]]-Table134[[#This Row],[First_Day]]+1)/365</f>
        <v>1.8630136986301369</v>
      </c>
      <c r="J629" s="59">
        <f>Table134[[#This Row],[number_of_purchases]]/Table134[[#This Row],[customer_total_years]]</f>
        <v>2.1470588235294117</v>
      </c>
      <c r="K629" s="13">
        <f>Table134[[#This Row],[purchase_history]]/Table134[[#This Row],[number_of_purchases]]</f>
        <v>2787.2799999999997</v>
      </c>
      <c r="L629" s="2">
        <f>IF(YEAR(Table134[[#This Row],[Last_Day]])=2021,5,IF(YEAR(Table134[[#This Row],[Last_Day]])=2022,7,IF(YEAR(Table134[[#This Row],[Last_Day]])=2023,10,"Không xác định")))</f>
        <v>10</v>
      </c>
      <c r="M629" s="15">
        <f>Table134[[#This Row],[avg_number_of_purchases]]*Table1345[[#This Row],[avg_purchase_value]]*Table1345[[#This Row],[expected_lifespan]]</f>
        <v>59844.541176470586</v>
      </c>
      <c r="N629" t="s">
        <v>12047</v>
      </c>
    </row>
    <row r="630" spans="1:14" x14ac:dyDescent="0.3">
      <c r="A630" s="2" t="s">
        <v>628</v>
      </c>
      <c r="B630" s="2" t="s">
        <v>12045</v>
      </c>
      <c r="C630" s="2">
        <v>49</v>
      </c>
      <c r="D630" s="2" t="s">
        <v>12043</v>
      </c>
      <c r="E630" s="2">
        <f>COUNTIF(Table16[customer_id],Table13[[#This Row],[customer_id]])</f>
        <v>6</v>
      </c>
      <c r="F630" s="13">
        <f>SUMIFS(Table16[Purchase_history],Table16[customer_id],Table13[[#This Row],[customer_id]])</f>
        <v>11140.349999999999</v>
      </c>
      <c r="G630" s="20">
        <v>44250</v>
      </c>
      <c r="H630" s="21">
        <v>44888</v>
      </c>
      <c r="I630" s="15">
        <f>(Table134[[#This Row],[Last_Day]]-Table134[[#This Row],[First_Day]]+1)/365</f>
        <v>1.7506849315068493</v>
      </c>
      <c r="J630" s="59">
        <f>Table134[[#This Row],[number_of_purchases]]/Table134[[#This Row],[customer_total_years]]</f>
        <v>3.427230046948357</v>
      </c>
      <c r="K630" s="13">
        <f>Table134[[#This Row],[purchase_history]]/Table134[[#This Row],[number_of_purchases]]</f>
        <v>1856.7249999999997</v>
      </c>
      <c r="L630" s="2">
        <f>IF(YEAR(Table134[[#This Row],[Last_Day]])=2021,5,IF(YEAR(Table134[[#This Row],[Last_Day]])=2022,7,IF(YEAR(Table134[[#This Row],[Last_Day]])=2023,10,"Không xác định")))</f>
        <v>7</v>
      </c>
      <c r="M630" s="15">
        <f>Table134[[#This Row],[avg_number_of_purchases]]*Table1345[[#This Row],[avg_purchase_value]]*Table1345[[#This Row],[expected_lifespan]]</f>
        <v>44543.965962441311</v>
      </c>
      <c r="N630" t="s">
        <v>12047</v>
      </c>
    </row>
    <row r="631" spans="1:14" x14ac:dyDescent="0.3">
      <c r="A631" s="2" t="s">
        <v>629</v>
      </c>
      <c r="B631" s="2" t="s">
        <v>12045</v>
      </c>
      <c r="C631" s="2">
        <v>31</v>
      </c>
      <c r="D631" s="2" t="s">
        <v>12043</v>
      </c>
      <c r="E631" s="2">
        <f>COUNTIF(Table16[customer_id],Table13[[#This Row],[customer_id]])</f>
        <v>5</v>
      </c>
      <c r="F631" s="13">
        <f>SUMIFS(Table16[Purchase_history],Table16[customer_id],Table13[[#This Row],[customer_id]])</f>
        <v>12773.980000000001</v>
      </c>
      <c r="G631" s="20">
        <v>44315</v>
      </c>
      <c r="H631" s="21">
        <v>44950</v>
      </c>
      <c r="I631" s="15">
        <f>(Table134[[#This Row],[Last_Day]]-Table134[[#This Row],[First_Day]]+1)/365</f>
        <v>1.7424657534246575</v>
      </c>
      <c r="J631" s="59">
        <f>Table134[[#This Row],[number_of_purchases]]/Table134[[#This Row],[customer_total_years]]</f>
        <v>2.8694968553459121</v>
      </c>
      <c r="K631" s="13">
        <f>Table134[[#This Row],[purchase_history]]/Table134[[#This Row],[number_of_purchases]]</f>
        <v>2554.7960000000003</v>
      </c>
      <c r="L631" s="2">
        <f>IF(YEAR(Table134[[#This Row],[Last_Day]])=2021,5,IF(YEAR(Table134[[#This Row],[Last_Day]])=2022,7,IF(YEAR(Table134[[#This Row],[Last_Day]])=2023,10,"Không xác định")))</f>
        <v>10</v>
      </c>
      <c r="M631" s="15">
        <f>Table134[[#This Row],[avg_number_of_purchases]]*Table1345[[#This Row],[avg_purchase_value]]*Table1345[[#This Row],[expected_lifespan]]</f>
        <v>73309.790880503162</v>
      </c>
      <c r="N631" t="s">
        <v>12047</v>
      </c>
    </row>
    <row r="632" spans="1:14" x14ac:dyDescent="0.3">
      <c r="A632" s="2" t="s">
        <v>630</v>
      </c>
      <c r="B632" s="2" t="s">
        <v>12045</v>
      </c>
      <c r="C632" s="2">
        <v>48</v>
      </c>
      <c r="D632" s="2" t="s">
        <v>12049</v>
      </c>
      <c r="E632" s="2">
        <f>COUNTIF(Table16[customer_id],Table13[[#This Row],[customer_id]])</f>
        <v>5</v>
      </c>
      <c r="F632" s="13">
        <f>SUMIFS(Table16[Purchase_history],Table16[customer_id],Table13[[#This Row],[customer_id]])</f>
        <v>27538.95</v>
      </c>
      <c r="G632" s="20">
        <v>44402</v>
      </c>
      <c r="H632" s="21">
        <v>44693</v>
      </c>
      <c r="I632" s="15">
        <f>(Table134[[#This Row],[Last_Day]]-Table134[[#This Row],[First_Day]]+1)/365</f>
        <v>0.8</v>
      </c>
      <c r="J632" s="59">
        <f>Table134[[#This Row],[number_of_purchases]]/Table134[[#This Row],[customer_total_years]]</f>
        <v>6.25</v>
      </c>
      <c r="K632" s="13">
        <f>Table134[[#This Row],[purchase_history]]/Table134[[#This Row],[number_of_purchases]]</f>
        <v>5507.79</v>
      </c>
      <c r="L632" s="2">
        <f>IF(YEAR(Table134[[#This Row],[Last_Day]])=2021,5,IF(YEAR(Table134[[#This Row],[Last_Day]])=2022,7,IF(YEAR(Table134[[#This Row],[Last_Day]])=2023,10,"Không xác định")))</f>
        <v>7</v>
      </c>
      <c r="M632" s="15">
        <f>Table134[[#This Row],[avg_number_of_purchases]]*Table1345[[#This Row],[avg_purchase_value]]*Table1345[[#This Row],[expected_lifespan]]</f>
        <v>240965.8125</v>
      </c>
      <c r="N632" t="s">
        <v>12047</v>
      </c>
    </row>
    <row r="633" spans="1:14" x14ac:dyDescent="0.3">
      <c r="A633" s="2" t="s">
        <v>631</v>
      </c>
      <c r="B633" s="2" t="s">
        <v>12040</v>
      </c>
      <c r="C633" s="2">
        <v>43</v>
      </c>
      <c r="D633" s="2" t="s">
        <v>12043</v>
      </c>
      <c r="E633" s="2">
        <f>COUNTIF(Table16[customer_id],Table13[[#This Row],[customer_id]])</f>
        <v>6</v>
      </c>
      <c r="F633" s="13">
        <f>SUMIFS(Table16[Purchase_history],Table16[customer_id],Table13[[#This Row],[customer_id]])</f>
        <v>1019.9499999999999</v>
      </c>
      <c r="G633" s="20">
        <v>44276</v>
      </c>
      <c r="H633" s="21">
        <v>44923</v>
      </c>
      <c r="I633" s="15">
        <f>(Table134[[#This Row],[Last_Day]]-Table134[[#This Row],[First_Day]]+1)/365</f>
        <v>1.7753424657534247</v>
      </c>
      <c r="J633" s="59">
        <f>Table134[[#This Row],[number_of_purchases]]/Table134[[#This Row],[customer_total_years]]</f>
        <v>3.3796296296296298</v>
      </c>
      <c r="K633" s="13">
        <f>Table134[[#This Row],[purchase_history]]/Table134[[#This Row],[number_of_purchases]]</f>
        <v>169.99166666666665</v>
      </c>
      <c r="L633" s="2">
        <f>IF(YEAR(Table134[[#This Row],[Last_Day]])=2021,5,IF(YEAR(Table134[[#This Row],[Last_Day]])=2022,7,IF(YEAR(Table134[[#This Row],[Last_Day]])=2023,10,"Không xác định")))</f>
        <v>7</v>
      </c>
      <c r="M633" s="15">
        <f>Table134[[#This Row],[avg_number_of_purchases]]*Table1345[[#This Row],[avg_purchase_value]]*Table1345[[#This Row],[expected_lifespan]]</f>
        <v>4021.5621141975307</v>
      </c>
      <c r="N633" t="s">
        <v>12042</v>
      </c>
    </row>
    <row r="634" spans="1:14" x14ac:dyDescent="0.3">
      <c r="A634" s="2" t="s">
        <v>632</v>
      </c>
      <c r="B634" s="2" t="s">
        <v>12040</v>
      </c>
      <c r="C634" s="2">
        <v>21</v>
      </c>
      <c r="D634" s="2" t="s">
        <v>12043</v>
      </c>
      <c r="E634" s="2">
        <f>COUNTIF(Table16[customer_id],Table13[[#This Row],[customer_id]])</f>
        <v>5</v>
      </c>
      <c r="F634" s="13">
        <f>SUMIFS(Table16[Purchase_history],Table16[customer_id],Table13[[#This Row],[customer_id]])</f>
        <v>9000.11</v>
      </c>
      <c r="G634" s="20">
        <v>44325</v>
      </c>
      <c r="H634" s="21">
        <v>44775</v>
      </c>
      <c r="I634" s="15">
        <f>(Table134[[#This Row],[Last_Day]]-Table134[[#This Row],[First_Day]]+1)/365</f>
        <v>1.2356164383561643</v>
      </c>
      <c r="J634" s="59">
        <f>Table134[[#This Row],[number_of_purchases]]/Table134[[#This Row],[customer_total_years]]</f>
        <v>4.0465631929046566</v>
      </c>
      <c r="K634" s="13">
        <f>Table134[[#This Row],[purchase_history]]/Table134[[#This Row],[number_of_purchases]]</f>
        <v>1800.0220000000002</v>
      </c>
      <c r="L634" s="2">
        <f>IF(YEAR(Table134[[#This Row],[Last_Day]])=2021,5,IF(YEAR(Table134[[#This Row],[Last_Day]])=2022,7,IF(YEAR(Table134[[#This Row],[Last_Day]])=2023,10,"Không xác định")))</f>
        <v>7</v>
      </c>
      <c r="M634" s="15">
        <f>Table134[[#This Row],[avg_number_of_purchases]]*Table1345[[#This Row],[avg_purchase_value]]*Table1345[[#This Row],[expected_lifespan]]</f>
        <v>50987.319401330387</v>
      </c>
      <c r="N634" t="s">
        <v>12042</v>
      </c>
    </row>
    <row r="635" spans="1:14" x14ac:dyDescent="0.3">
      <c r="A635" s="2" t="s">
        <v>633</v>
      </c>
      <c r="B635" s="2" t="s">
        <v>12040</v>
      </c>
      <c r="C635" s="2">
        <v>27</v>
      </c>
      <c r="D635" s="2" t="s">
        <v>12049</v>
      </c>
      <c r="E635" s="2">
        <f>COUNTIF(Table16[customer_id],Table13[[#This Row],[customer_id]])</f>
        <v>4</v>
      </c>
      <c r="F635" s="13">
        <f>SUMIFS(Table16[Purchase_history],Table16[customer_id],Table13[[#This Row],[customer_id]])</f>
        <v>8859.24</v>
      </c>
      <c r="G635" s="20">
        <v>44220</v>
      </c>
      <c r="H635" s="21">
        <v>44883</v>
      </c>
      <c r="I635" s="15">
        <f>(Table134[[#This Row],[Last_Day]]-Table134[[#This Row],[First_Day]]+1)/365</f>
        <v>1.8191780821917809</v>
      </c>
      <c r="J635" s="59">
        <f>Table134[[#This Row],[number_of_purchases]]/Table134[[#This Row],[customer_total_years]]</f>
        <v>2.1987951807228914</v>
      </c>
      <c r="K635" s="13">
        <f>Table134[[#This Row],[purchase_history]]/Table134[[#This Row],[number_of_purchases]]</f>
        <v>2214.81</v>
      </c>
      <c r="L635" s="2">
        <f>IF(YEAR(Table134[[#This Row],[Last_Day]])=2021,5,IF(YEAR(Table134[[#This Row],[Last_Day]])=2022,7,IF(YEAR(Table134[[#This Row],[Last_Day]])=2023,10,"Không xác định")))</f>
        <v>7</v>
      </c>
      <c r="M635" s="15">
        <f>Table134[[#This Row],[avg_number_of_purchases]]*Table1345[[#This Row],[avg_purchase_value]]*Table1345[[#This Row],[expected_lifespan]]</f>
        <v>34089.39487951807</v>
      </c>
      <c r="N635" t="s">
        <v>12042</v>
      </c>
    </row>
    <row r="636" spans="1:14" x14ac:dyDescent="0.3">
      <c r="A636" s="2" t="s">
        <v>634</v>
      </c>
      <c r="B636" s="2" t="s">
        <v>12040</v>
      </c>
      <c r="C636" s="2">
        <v>32</v>
      </c>
      <c r="D636" s="2" t="s">
        <v>12041</v>
      </c>
      <c r="E636" s="2">
        <f>COUNTIF(Table16[customer_id],Table13[[#This Row],[customer_id]])</f>
        <v>4</v>
      </c>
      <c r="F636" s="13">
        <f>SUMIFS(Table16[Purchase_history],Table16[customer_id],Table13[[#This Row],[customer_id]])</f>
        <v>4326.8600000000006</v>
      </c>
      <c r="G636" s="20">
        <v>44260</v>
      </c>
      <c r="H636" s="21">
        <v>44891</v>
      </c>
      <c r="I636" s="15">
        <f>(Table134[[#This Row],[Last_Day]]-Table134[[#This Row],[First_Day]]+1)/365</f>
        <v>1.7315068493150685</v>
      </c>
      <c r="J636" s="59">
        <f>Table134[[#This Row],[number_of_purchases]]/Table134[[#This Row],[customer_total_years]]</f>
        <v>2.3101265822784809</v>
      </c>
      <c r="K636" s="13">
        <f>Table134[[#This Row],[purchase_history]]/Table134[[#This Row],[number_of_purchases]]</f>
        <v>1081.7150000000001</v>
      </c>
      <c r="L636" s="2">
        <f>IF(YEAR(Table134[[#This Row],[Last_Day]])=2021,5,IF(YEAR(Table134[[#This Row],[Last_Day]])=2022,7,IF(YEAR(Table134[[#This Row],[Last_Day]])=2023,10,"Không xác định")))</f>
        <v>7</v>
      </c>
      <c r="M636" s="15">
        <f>Table134[[#This Row],[avg_number_of_purchases]]*Table1345[[#This Row],[avg_purchase_value]]*Table1345[[#This Row],[expected_lifespan]]</f>
        <v>17492.290031645571</v>
      </c>
      <c r="N636" t="s">
        <v>12046</v>
      </c>
    </row>
    <row r="637" spans="1:14" x14ac:dyDescent="0.3">
      <c r="A637" s="2" t="s">
        <v>635</v>
      </c>
      <c r="B637" s="2" t="s">
        <v>12040</v>
      </c>
      <c r="C637" s="2">
        <v>29</v>
      </c>
      <c r="D637" s="2" t="s">
        <v>12041</v>
      </c>
      <c r="E637" s="2">
        <f>COUNTIF(Table16[customer_id],Table13[[#This Row],[customer_id]])</f>
        <v>4</v>
      </c>
      <c r="F637" s="13">
        <f>SUMIFS(Table16[Purchase_history],Table16[customer_id],Table13[[#This Row],[customer_id]])</f>
        <v>230.99</v>
      </c>
      <c r="G637" s="20">
        <v>44299</v>
      </c>
      <c r="H637" s="21">
        <v>44893</v>
      </c>
      <c r="I637" s="15">
        <f>(Table134[[#This Row],[Last_Day]]-Table134[[#This Row],[First_Day]]+1)/365</f>
        <v>1.6301369863013699</v>
      </c>
      <c r="J637" s="59">
        <f>Table134[[#This Row],[number_of_purchases]]/Table134[[#This Row],[customer_total_years]]</f>
        <v>2.4537815126050417</v>
      </c>
      <c r="K637" s="13">
        <f>Table134[[#This Row],[purchase_history]]/Table134[[#This Row],[number_of_purchases]]</f>
        <v>57.747500000000002</v>
      </c>
      <c r="L637" s="2">
        <f>IF(YEAR(Table134[[#This Row],[Last_Day]])=2021,5,IF(YEAR(Table134[[#This Row],[Last_Day]])=2022,7,IF(YEAR(Table134[[#This Row],[Last_Day]])=2023,10,"Không xác định")))</f>
        <v>7</v>
      </c>
      <c r="M637" s="15">
        <f>Table134[[#This Row],[avg_number_of_purchases]]*Table1345[[#This Row],[avg_purchase_value]]*Table1345[[#This Row],[expected_lifespan]]</f>
        <v>991.89823529411763</v>
      </c>
      <c r="N637" t="s">
        <v>12048</v>
      </c>
    </row>
    <row r="638" spans="1:14" x14ac:dyDescent="0.3">
      <c r="A638" s="2" t="s">
        <v>636</v>
      </c>
      <c r="B638" s="2" t="s">
        <v>12040</v>
      </c>
      <c r="C638" s="2">
        <v>43</v>
      </c>
      <c r="D638" s="2" t="s">
        <v>12043</v>
      </c>
      <c r="E638" s="2">
        <f>COUNTIF(Table16[customer_id],Table13[[#This Row],[customer_id]])</f>
        <v>4</v>
      </c>
      <c r="F638" s="13">
        <f>SUMIFS(Table16[Purchase_history],Table16[customer_id],Table13[[#This Row],[customer_id]])</f>
        <v>16556.04</v>
      </c>
      <c r="G638" s="20">
        <v>44419</v>
      </c>
      <c r="H638" s="21">
        <v>44973</v>
      </c>
      <c r="I638" s="15">
        <f>(Table134[[#This Row],[Last_Day]]-Table134[[#This Row],[First_Day]]+1)/365</f>
        <v>1.5205479452054795</v>
      </c>
      <c r="J638" s="59">
        <f>Table134[[#This Row],[number_of_purchases]]/Table134[[#This Row],[customer_total_years]]</f>
        <v>2.6306306306306304</v>
      </c>
      <c r="K638" s="13">
        <f>Table134[[#This Row],[purchase_history]]/Table134[[#This Row],[number_of_purchases]]</f>
        <v>4139.01</v>
      </c>
      <c r="L638" s="2">
        <f>IF(YEAR(Table134[[#This Row],[Last_Day]])=2021,5,IF(YEAR(Table134[[#This Row],[Last_Day]])=2022,7,IF(YEAR(Table134[[#This Row],[Last_Day]])=2023,10,"Không xác định")))</f>
        <v>10</v>
      </c>
      <c r="M638" s="15">
        <f>Table134[[#This Row],[avg_number_of_purchases]]*Table1345[[#This Row],[avg_purchase_value]]*Table1345[[#This Row],[expected_lifespan]]</f>
        <v>108882.06486486486</v>
      </c>
      <c r="N638" t="s">
        <v>12046</v>
      </c>
    </row>
    <row r="639" spans="1:14" x14ac:dyDescent="0.3">
      <c r="A639" s="2" t="s">
        <v>637</v>
      </c>
      <c r="B639" s="2" t="s">
        <v>12045</v>
      </c>
      <c r="C639" s="2">
        <v>27</v>
      </c>
      <c r="D639" s="2" t="s">
        <v>12043</v>
      </c>
      <c r="E639" s="2">
        <f>COUNTIF(Table16[customer_id],Table13[[#This Row],[customer_id]])</f>
        <v>6</v>
      </c>
      <c r="F639" s="13">
        <f>SUMIFS(Table16[Purchase_history],Table16[customer_id],Table13[[#This Row],[customer_id]])</f>
        <v>12539.599999999999</v>
      </c>
      <c r="G639" s="20">
        <v>44242</v>
      </c>
      <c r="H639" s="21">
        <v>44909</v>
      </c>
      <c r="I639" s="15">
        <f>(Table134[[#This Row],[Last_Day]]-Table134[[#This Row],[First_Day]]+1)/365</f>
        <v>1.8301369863013699</v>
      </c>
      <c r="J639" s="59">
        <f>Table134[[#This Row],[number_of_purchases]]/Table134[[#This Row],[customer_total_years]]</f>
        <v>3.2784431137724552</v>
      </c>
      <c r="K639" s="13">
        <f>Table134[[#This Row],[purchase_history]]/Table134[[#This Row],[number_of_purchases]]</f>
        <v>2089.9333333333329</v>
      </c>
      <c r="L639" s="2">
        <f>IF(YEAR(Table134[[#This Row],[Last_Day]])=2021,5,IF(YEAR(Table134[[#This Row],[Last_Day]])=2022,7,IF(YEAR(Table134[[#This Row],[Last_Day]])=2023,10,"Không xác định")))</f>
        <v>7</v>
      </c>
      <c r="M639" s="15">
        <f>Table134[[#This Row],[avg_number_of_purchases]]*Table1345[[#This Row],[avg_purchase_value]]*Table1345[[#This Row],[expected_lifespan]]</f>
        <v>47962.092814371252</v>
      </c>
      <c r="N639" t="s">
        <v>12047</v>
      </c>
    </row>
    <row r="640" spans="1:14" x14ac:dyDescent="0.3">
      <c r="A640" s="2" t="s">
        <v>638</v>
      </c>
      <c r="B640" s="2" t="s">
        <v>12045</v>
      </c>
      <c r="C640" s="2">
        <v>24</v>
      </c>
      <c r="D640" s="2" t="s">
        <v>12043</v>
      </c>
      <c r="E640" s="2">
        <f>COUNTIF(Table16[customer_id],Table13[[#This Row],[customer_id]])</f>
        <v>2</v>
      </c>
      <c r="F640" s="13">
        <f>SUMIFS(Table16[Purchase_history],Table16[customer_id],Table13[[#This Row],[customer_id]])</f>
        <v>305.31</v>
      </c>
      <c r="G640" s="20">
        <v>44670</v>
      </c>
      <c r="H640" s="21">
        <v>44950</v>
      </c>
      <c r="I640" s="15">
        <f>(Table134[[#This Row],[Last_Day]]-Table134[[#This Row],[First_Day]]+1)/365</f>
        <v>0.76986301369863008</v>
      </c>
      <c r="J640" s="59">
        <f>Table134[[#This Row],[number_of_purchases]]/Table134[[#This Row],[customer_total_years]]</f>
        <v>2.5978647686832743</v>
      </c>
      <c r="K640" s="13">
        <f>Table134[[#This Row],[purchase_history]]/Table134[[#This Row],[number_of_purchases]]</f>
        <v>152.655</v>
      </c>
      <c r="L640" s="2">
        <f>IF(YEAR(Table134[[#This Row],[Last_Day]])=2021,5,IF(YEAR(Table134[[#This Row],[Last_Day]])=2022,7,IF(YEAR(Table134[[#This Row],[Last_Day]])=2023,10,"Không xác định")))</f>
        <v>10</v>
      </c>
      <c r="M640" s="15">
        <f>Table134[[#This Row],[avg_number_of_purchases]]*Table1345[[#This Row],[avg_purchase_value]]*Table1345[[#This Row],[expected_lifespan]]</f>
        <v>3965.7704626334526</v>
      </c>
      <c r="N640" t="s">
        <v>12046</v>
      </c>
    </row>
    <row r="641" spans="1:14" x14ac:dyDescent="0.3">
      <c r="A641" s="2" t="s">
        <v>639</v>
      </c>
      <c r="B641" s="2" t="s">
        <v>12045</v>
      </c>
      <c r="C641" s="2">
        <v>68</v>
      </c>
      <c r="D641" s="2" t="s">
        <v>12043</v>
      </c>
      <c r="E641" s="2">
        <f>COUNTIF(Table16[customer_id],Table13[[#This Row],[customer_id]])</f>
        <v>2</v>
      </c>
      <c r="F641" s="13">
        <f>SUMIFS(Table16[Purchase_history],Table16[customer_id],Table13[[#This Row],[customer_id]])</f>
        <v>4330.75</v>
      </c>
      <c r="G641" s="20">
        <v>44296</v>
      </c>
      <c r="H641" s="21">
        <v>44481</v>
      </c>
      <c r="I641" s="15">
        <f>(Table134[[#This Row],[Last_Day]]-Table134[[#This Row],[First_Day]]+1)/365</f>
        <v>0.50958904109589043</v>
      </c>
      <c r="J641" s="59">
        <f>Table134[[#This Row],[number_of_purchases]]/Table134[[#This Row],[customer_total_years]]</f>
        <v>3.924731182795699</v>
      </c>
      <c r="K641" s="13">
        <f>Table134[[#This Row],[purchase_history]]/Table134[[#This Row],[number_of_purchases]]</f>
        <v>2165.375</v>
      </c>
      <c r="L641" s="2">
        <f>IF(YEAR(Table134[[#This Row],[Last_Day]])=2021,5,IF(YEAR(Table134[[#This Row],[Last_Day]])=2022,7,IF(YEAR(Table134[[#This Row],[Last_Day]])=2023,10,"Không xác định")))</f>
        <v>5</v>
      </c>
      <c r="M641" s="15">
        <f>Table134[[#This Row],[avg_number_of_purchases]]*Table1345[[#This Row],[avg_purchase_value]]*Table1345[[#This Row],[expected_lifespan]]</f>
        <v>42492.573924731187</v>
      </c>
      <c r="N641" t="s">
        <v>12044</v>
      </c>
    </row>
    <row r="642" spans="1:14" x14ac:dyDescent="0.3">
      <c r="A642" s="2" t="s">
        <v>640</v>
      </c>
      <c r="B642" s="2" t="s">
        <v>12040</v>
      </c>
      <c r="C642" s="2">
        <v>32</v>
      </c>
      <c r="D642" s="2" t="s">
        <v>12049</v>
      </c>
      <c r="E642" s="2">
        <f>COUNTIF(Table16[customer_id],Table13[[#This Row],[customer_id]])</f>
        <v>5</v>
      </c>
      <c r="F642" s="13">
        <f>SUMIFS(Table16[Purchase_history],Table16[customer_id],Table13[[#This Row],[customer_id]])</f>
        <v>7060.24</v>
      </c>
      <c r="G642" s="20">
        <v>44285</v>
      </c>
      <c r="H642" s="21">
        <v>44943</v>
      </c>
      <c r="I642" s="15">
        <f>(Table134[[#This Row],[Last_Day]]-Table134[[#This Row],[First_Day]]+1)/365</f>
        <v>1.8054794520547945</v>
      </c>
      <c r="J642" s="59">
        <f>Table134[[#This Row],[number_of_purchases]]/Table134[[#This Row],[customer_total_years]]</f>
        <v>2.7693474962063731</v>
      </c>
      <c r="K642" s="13">
        <f>Table134[[#This Row],[purchase_history]]/Table134[[#This Row],[number_of_purchases]]</f>
        <v>1412.048</v>
      </c>
      <c r="L642" s="2">
        <f>IF(YEAR(Table134[[#This Row],[Last_Day]])=2021,5,IF(YEAR(Table134[[#This Row],[Last_Day]])=2022,7,IF(YEAR(Table134[[#This Row],[Last_Day]])=2023,10,"Không xác định")))</f>
        <v>10</v>
      </c>
      <c r="M642" s="15">
        <f>Table134[[#This Row],[avg_number_of_purchases]]*Table1345[[#This Row],[avg_purchase_value]]*Table1345[[#This Row],[expected_lifespan]]</f>
        <v>39104.515933232171</v>
      </c>
      <c r="N642" t="s">
        <v>12042</v>
      </c>
    </row>
    <row r="643" spans="1:14" x14ac:dyDescent="0.3">
      <c r="A643" s="2" t="s">
        <v>641</v>
      </c>
      <c r="B643" s="2" t="s">
        <v>12045</v>
      </c>
      <c r="C643" s="2">
        <v>45</v>
      </c>
      <c r="D643" s="2" t="s">
        <v>12049</v>
      </c>
      <c r="E643" s="2">
        <f>COUNTIF(Table16[customer_id],Table13[[#This Row],[customer_id]])</f>
        <v>4</v>
      </c>
      <c r="F643" s="13">
        <f>SUMIFS(Table16[Purchase_history],Table16[customer_id],Table13[[#This Row],[customer_id]])</f>
        <v>3483.42</v>
      </c>
      <c r="G643" s="20">
        <v>44309</v>
      </c>
      <c r="H643" s="21">
        <v>44924</v>
      </c>
      <c r="I643" s="15">
        <f>(Table134[[#This Row],[Last_Day]]-Table134[[#This Row],[First_Day]]+1)/365</f>
        <v>1.6876712328767123</v>
      </c>
      <c r="J643" s="59">
        <f>Table134[[#This Row],[number_of_purchases]]/Table134[[#This Row],[customer_total_years]]</f>
        <v>2.3701298701298703</v>
      </c>
      <c r="K643" s="13">
        <f>Table134[[#This Row],[purchase_history]]/Table134[[#This Row],[number_of_purchases]]</f>
        <v>870.85500000000002</v>
      </c>
      <c r="L643" s="2">
        <f>IF(YEAR(Table134[[#This Row],[Last_Day]])=2021,5,IF(YEAR(Table134[[#This Row],[Last_Day]])=2022,7,IF(YEAR(Table134[[#This Row],[Last_Day]])=2023,10,"Không xác định")))</f>
        <v>7</v>
      </c>
      <c r="M643" s="15">
        <f>Table134[[#This Row],[avg_number_of_purchases]]*Table1345[[#This Row],[avg_purchase_value]]*Table1345[[#This Row],[expected_lifespan]]</f>
        <v>14448.276136363636</v>
      </c>
      <c r="N643" t="s">
        <v>12047</v>
      </c>
    </row>
    <row r="644" spans="1:14" x14ac:dyDescent="0.3">
      <c r="A644" s="2" t="s">
        <v>642</v>
      </c>
      <c r="B644" s="2" t="s">
        <v>12045</v>
      </c>
      <c r="C644" s="2">
        <v>34</v>
      </c>
      <c r="D644" s="2" t="s">
        <v>12041</v>
      </c>
      <c r="E644" s="2">
        <f>COUNTIF(Table16[customer_id],Table13[[#This Row],[customer_id]])</f>
        <v>5</v>
      </c>
      <c r="F644" s="13">
        <f>SUMIFS(Table16[Purchase_history],Table16[customer_id],Table13[[#This Row],[customer_id]])</f>
        <v>8802.68</v>
      </c>
      <c r="G644" s="20">
        <v>44488</v>
      </c>
      <c r="H644" s="21">
        <v>44737</v>
      </c>
      <c r="I644" s="15">
        <f>(Table134[[#This Row],[Last_Day]]-Table134[[#This Row],[First_Day]]+1)/365</f>
        <v>0.68493150684931503</v>
      </c>
      <c r="J644" s="59">
        <f>Table134[[#This Row],[number_of_purchases]]/Table134[[#This Row],[customer_total_years]]</f>
        <v>7.3000000000000007</v>
      </c>
      <c r="K644" s="13">
        <f>Table134[[#This Row],[purchase_history]]/Table134[[#This Row],[number_of_purchases]]</f>
        <v>1760.5360000000001</v>
      </c>
      <c r="L644" s="2">
        <f>IF(YEAR(Table134[[#This Row],[Last_Day]])=2021,5,IF(YEAR(Table134[[#This Row],[Last_Day]])=2022,7,IF(YEAR(Table134[[#This Row],[Last_Day]])=2023,10,"Không xác định")))</f>
        <v>7</v>
      </c>
      <c r="M644" s="15">
        <f>Table134[[#This Row],[avg_number_of_purchases]]*Table1345[[#This Row],[avg_purchase_value]]*Table1345[[#This Row],[expected_lifespan]]</f>
        <v>89963.38960000001</v>
      </c>
      <c r="N644" t="s">
        <v>12047</v>
      </c>
    </row>
    <row r="645" spans="1:14" x14ac:dyDescent="0.3">
      <c r="A645" s="2" t="s">
        <v>643</v>
      </c>
      <c r="B645" s="2" t="s">
        <v>12045</v>
      </c>
      <c r="C645" s="2">
        <v>54</v>
      </c>
      <c r="D645" s="2" t="s">
        <v>12043</v>
      </c>
      <c r="E645" s="2">
        <f>COUNTIF(Table16[customer_id],Table13[[#This Row],[customer_id]])</f>
        <v>7</v>
      </c>
      <c r="F645" s="13">
        <f>SUMIFS(Table16[Purchase_history],Table16[customer_id],Table13[[#This Row],[customer_id]])</f>
        <v>7553.8099999999995</v>
      </c>
      <c r="G645" s="20">
        <v>44308</v>
      </c>
      <c r="H645" s="21">
        <v>44886</v>
      </c>
      <c r="I645" s="15">
        <f>(Table134[[#This Row],[Last_Day]]-Table134[[#This Row],[First_Day]]+1)/365</f>
        <v>1.5863013698630137</v>
      </c>
      <c r="J645" s="59">
        <f>Table134[[#This Row],[number_of_purchases]]/Table134[[#This Row],[customer_total_years]]</f>
        <v>4.4127806563039726</v>
      </c>
      <c r="K645" s="13">
        <f>Table134[[#This Row],[purchase_history]]/Table134[[#This Row],[number_of_purchases]]</f>
        <v>1079.1157142857141</v>
      </c>
      <c r="L645" s="2">
        <f>IF(YEAR(Table134[[#This Row],[Last_Day]])=2021,5,IF(YEAR(Table134[[#This Row],[Last_Day]])=2022,7,IF(YEAR(Table134[[#This Row],[Last_Day]])=2023,10,"Không xác định")))</f>
        <v>7</v>
      </c>
      <c r="M645" s="15">
        <f>Table134[[#This Row],[avg_number_of_purchases]]*Table1345[[#This Row],[avg_purchase_value]]*Table1345[[#This Row],[expected_lifespan]]</f>
        <v>33333.306649395505</v>
      </c>
      <c r="N645" t="s">
        <v>12044</v>
      </c>
    </row>
    <row r="646" spans="1:14" x14ac:dyDescent="0.3">
      <c r="A646" s="2" t="s">
        <v>644</v>
      </c>
      <c r="B646" s="2" t="s">
        <v>12040</v>
      </c>
      <c r="C646" s="2">
        <v>54</v>
      </c>
      <c r="D646" s="2" t="s">
        <v>12041</v>
      </c>
      <c r="E646" s="2">
        <f>COUNTIF(Table16[customer_id],Table13[[#This Row],[customer_id]])</f>
        <v>11</v>
      </c>
      <c r="F646" s="13">
        <f>SUMIFS(Table16[Purchase_history],Table16[customer_id],Table13[[#This Row],[customer_id]])</f>
        <v>21140.789999999997</v>
      </c>
      <c r="G646" s="20">
        <v>44404</v>
      </c>
      <c r="H646" s="21">
        <v>44901</v>
      </c>
      <c r="I646" s="15">
        <f>(Table134[[#This Row],[Last_Day]]-Table134[[#This Row],[First_Day]]+1)/365</f>
        <v>1.3643835616438356</v>
      </c>
      <c r="J646" s="59">
        <f>Table134[[#This Row],[number_of_purchases]]/Table134[[#This Row],[customer_total_years]]</f>
        <v>8.0622489959839356</v>
      </c>
      <c r="K646" s="13">
        <f>Table134[[#This Row],[purchase_history]]/Table134[[#This Row],[number_of_purchases]]</f>
        <v>1921.8899999999996</v>
      </c>
      <c r="L646" s="2">
        <f>IF(YEAR(Table134[[#This Row],[Last_Day]])=2021,5,IF(YEAR(Table134[[#This Row],[Last_Day]])=2022,7,IF(YEAR(Table134[[#This Row],[Last_Day]])=2023,10,"Không xác định")))</f>
        <v>7</v>
      </c>
      <c r="M646" s="15">
        <f>Table134[[#This Row],[avg_number_of_purchases]]*Table1345[[#This Row],[avg_purchase_value]]*Table1345[[#This Row],[expected_lifespan]]</f>
        <v>108463.29006024094</v>
      </c>
      <c r="N646" t="s">
        <v>12044</v>
      </c>
    </row>
    <row r="647" spans="1:14" x14ac:dyDescent="0.3">
      <c r="A647" s="2" t="s">
        <v>645</v>
      </c>
      <c r="B647" s="2" t="s">
        <v>12040</v>
      </c>
      <c r="C647" s="2">
        <v>42</v>
      </c>
      <c r="D647" s="2" t="s">
        <v>12043</v>
      </c>
      <c r="E647" s="2">
        <f>COUNTIF(Table16[customer_id],Table13[[#This Row],[customer_id]])</f>
        <v>5</v>
      </c>
      <c r="F647" s="13">
        <f>SUMIFS(Table16[Purchase_history],Table16[customer_id],Table13[[#This Row],[customer_id]])</f>
        <v>9237.99</v>
      </c>
      <c r="G647" s="20">
        <v>44371</v>
      </c>
      <c r="H647" s="21">
        <v>44911</v>
      </c>
      <c r="I647" s="15">
        <f>(Table134[[#This Row],[Last_Day]]-Table134[[#This Row],[First_Day]]+1)/365</f>
        <v>1.4821917808219178</v>
      </c>
      <c r="J647" s="59">
        <f>Table134[[#This Row],[number_of_purchases]]/Table134[[#This Row],[customer_total_years]]</f>
        <v>3.3733826247689462</v>
      </c>
      <c r="K647" s="13">
        <f>Table134[[#This Row],[purchase_history]]/Table134[[#This Row],[number_of_purchases]]</f>
        <v>1847.598</v>
      </c>
      <c r="L647" s="2">
        <f>IF(YEAR(Table134[[#This Row],[Last_Day]])=2021,5,IF(YEAR(Table134[[#This Row],[Last_Day]])=2022,7,IF(YEAR(Table134[[#This Row],[Last_Day]])=2023,10,"Không xác định")))</f>
        <v>7</v>
      </c>
      <c r="M647" s="15">
        <f>Table134[[#This Row],[avg_number_of_purchases]]*Table1345[[#This Row],[avg_purchase_value]]*Table1345[[#This Row],[expected_lifespan]]</f>
        <v>43628.584935304985</v>
      </c>
      <c r="N647" t="s">
        <v>12042</v>
      </c>
    </row>
    <row r="648" spans="1:14" x14ac:dyDescent="0.3">
      <c r="A648" s="2" t="s">
        <v>646</v>
      </c>
      <c r="B648" s="2" t="s">
        <v>12045</v>
      </c>
      <c r="C648" s="2">
        <v>21</v>
      </c>
      <c r="D648" s="2" t="s">
        <v>12049</v>
      </c>
      <c r="E648" s="2">
        <f>COUNTIF(Table16[customer_id],Table13[[#This Row],[customer_id]])</f>
        <v>3</v>
      </c>
      <c r="F648" s="13">
        <f>SUMIFS(Table16[Purchase_history],Table16[customer_id],Table13[[#This Row],[customer_id]])</f>
        <v>7807.31</v>
      </c>
      <c r="G648" s="20">
        <v>44262</v>
      </c>
      <c r="H648" s="21">
        <v>44794</v>
      </c>
      <c r="I648" s="15">
        <f>(Table134[[#This Row],[Last_Day]]-Table134[[#This Row],[First_Day]]+1)/365</f>
        <v>1.4602739726027398</v>
      </c>
      <c r="J648" s="59">
        <f>Table134[[#This Row],[number_of_purchases]]/Table134[[#This Row],[customer_total_years]]</f>
        <v>2.0544090056285178</v>
      </c>
      <c r="K648" s="13">
        <f>Table134[[#This Row],[purchase_history]]/Table134[[#This Row],[number_of_purchases]]</f>
        <v>2602.436666666667</v>
      </c>
      <c r="L648" s="2">
        <f>IF(YEAR(Table134[[#This Row],[Last_Day]])=2021,5,IF(YEAR(Table134[[#This Row],[Last_Day]])=2022,7,IF(YEAR(Table134[[#This Row],[Last_Day]])=2023,10,"Không xác định")))</f>
        <v>7</v>
      </c>
      <c r="M648" s="15">
        <f>Table134[[#This Row],[avg_number_of_purchases]]*Table1345[[#This Row],[avg_purchase_value]]*Table1345[[#This Row],[expected_lifespan]]</f>
        <v>37425.285272045032</v>
      </c>
      <c r="N648" t="s">
        <v>12044</v>
      </c>
    </row>
    <row r="649" spans="1:14" x14ac:dyDescent="0.3">
      <c r="A649" s="2" t="s">
        <v>647</v>
      </c>
      <c r="B649" s="2" t="s">
        <v>12040</v>
      </c>
      <c r="C649" s="2">
        <v>26</v>
      </c>
      <c r="D649" s="2" t="s">
        <v>12049</v>
      </c>
      <c r="E649" s="2">
        <f>COUNTIF(Table16[customer_id],Table13[[#This Row],[customer_id]])</f>
        <v>3</v>
      </c>
      <c r="F649" s="13">
        <f>SUMIFS(Table16[Purchase_history],Table16[customer_id],Table13[[#This Row],[customer_id]])</f>
        <v>922.72</v>
      </c>
      <c r="G649" s="20">
        <v>44365</v>
      </c>
      <c r="H649" s="21">
        <v>44979</v>
      </c>
      <c r="I649" s="15">
        <f>(Table134[[#This Row],[Last_Day]]-Table134[[#This Row],[First_Day]]+1)/365</f>
        <v>1.6849315068493151</v>
      </c>
      <c r="J649" s="59">
        <f>Table134[[#This Row],[number_of_purchases]]/Table134[[#This Row],[customer_total_years]]</f>
        <v>1.7804878048780488</v>
      </c>
      <c r="K649" s="13">
        <f>Table134[[#This Row],[purchase_history]]/Table134[[#This Row],[number_of_purchases]]</f>
        <v>307.57333333333332</v>
      </c>
      <c r="L649" s="2">
        <f>IF(YEAR(Table134[[#This Row],[Last_Day]])=2021,5,IF(YEAR(Table134[[#This Row],[Last_Day]])=2022,7,IF(YEAR(Table134[[#This Row],[Last_Day]])=2023,10,"Không xác định")))</f>
        <v>10</v>
      </c>
      <c r="M649" s="15">
        <f>Table134[[#This Row],[avg_number_of_purchases]]*Table1345[[#This Row],[avg_purchase_value]]*Table1345[[#This Row],[expected_lifespan]]</f>
        <v>5476.3056910569103</v>
      </c>
      <c r="N649" t="s">
        <v>12047</v>
      </c>
    </row>
    <row r="650" spans="1:14" x14ac:dyDescent="0.3">
      <c r="A650" s="2" t="s">
        <v>648</v>
      </c>
      <c r="B650" s="2" t="s">
        <v>12040</v>
      </c>
      <c r="C650" s="2">
        <v>23</v>
      </c>
      <c r="D650" s="2" t="s">
        <v>12043</v>
      </c>
      <c r="E650" s="2">
        <f>COUNTIF(Table16[customer_id],Table13[[#This Row],[customer_id]])</f>
        <v>8</v>
      </c>
      <c r="F650" s="13">
        <f>SUMIFS(Table16[Purchase_history],Table16[customer_id],Table13[[#This Row],[customer_id]])</f>
        <v>15022.880000000001</v>
      </c>
      <c r="G650" s="20">
        <v>44335</v>
      </c>
      <c r="H650" s="21">
        <v>44946</v>
      </c>
      <c r="I650" s="15">
        <f>(Table134[[#This Row],[Last_Day]]-Table134[[#This Row],[First_Day]]+1)/365</f>
        <v>1.6767123287671233</v>
      </c>
      <c r="J650" s="59">
        <f>Table134[[#This Row],[number_of_purchases]]/Table134[[#This Row],[customer_total_years]]</f>
        <v>4.7712418300653594</v>
      </c>
      <c r="K650" s="13">
        <f>Table134[[#This Row],[purchase_history]]/Table134[[#This Row],[number_of_purchases]]</f>
        <v>1877.8600000000001</v>
      </c>
      <c r="L650" s="2">
        <f>IF(YEAR(Table134[[#This Row],[Last_Day]])=2021,5,IF(YEAR(Table134[[#This Row],[Last_Day]])=2022,7,IF(YEAR(Table134[[#This Row],[Last_Day]])=2023,10,"Không xác định")))</f>
        <v>10</v>
      </c>
      <c r="M650" s="15">
        <f>Table134[[#This Row],[avg_number_of_purchases]]*Table1345[[#This Row],[avg_purchase_value]]*Table1345[[#This Row],[expected_lifespan]]</f>
        <v>89597.241830065352</v>
      </c>
      <c r="N650" t="s">
        <v>12048</v>
      </c>
    </row>
    <row r="651" spans="1:14" x14ac:dyDescent="0.3">
      <c r="A651" s="2" t="s">
        <v>649</v>
      </c>
      <c r="B651" s="2" t="s">
        <v>12040</v>
      </c>
      <c r="C651" s="2">
        <v>41</v>
      </c>
      <c r="D651" s="2" t="s">
        <v>12043</v>
      </c>
      <c r="E651" s="2">
        <f>COUNTIF(Table16[customer_id],Table13[[#This Row],[customer_id]])</f>
        <v>6</v>
      </c>
      <c r="F651" s="13">
        <f>SUMIFS(Table16[Purchase_history],Table16[customer_id],Table13[[#This Row],[customer_id]])</f>
        <v>1943.9399999999998</v>
      </c>
      <c r="G651" s="20">
        <v>44246</v>
      </c>
      <c r="H651" s="21">
        <v>44946</v>
      </c>
      <c r="I651" s="15">
        <f>(Table134[[#This Row],[Last_Day]]-Table134[[#This Row],[First_Day]]+1)/365</f>
        <v>1.9205479452054794</v>
      </c>
      <c r="J651" s="59">
        <f>Table134[[#This Row],[number_of_purchases]]/Table134[[#This Row],[customer_total_years]]</f>
        <v>3.1241084165477888</v>
      </c>
      <c r="K651" s="13">
        <f>Table134[[#This Row],[purchase_history]]/Table134[[#This Row],[number_of_purchases]]</f>
        <v>323.98999999999995</v>
      </c>
      <c r="L651" s="2">
        <f>IF(YEAR(Table134[[#This Row],[Last_Day]])=2021,5,IF(YEAR(Table134[[#This Row],[Last_Day]])=2022,7,IF(YEAR(Table134[[#This Row],[Last_Day]])=2023,10,"Không xác định")))</f>
        <v>10</v>
      </c>
      <c r="M651" s="15">
        <f>Table134[[#This Row],[avg_number_of_purchases]]*Table1345[[#This Row],[avg_purchase_value]]*Table1345[[#This Row],[expected_lifespan]]</f>
        <v>10121.79885877318</v>
      </c>
      <c r="N651" t="s">
        <v>12042</v>
      </c>
    </row>
    <row r="652" spans="1:14" x14ac:dyDescent="0.3">
      <c r="A652" s="2" t="s">
        <v>650</v>
      </c>
      <c r="B652" s="2" t="s">
        <v>12040</v>
      </c>
      <c r="C652" s="2">
        <v>36</v>
      </c>
      <c r="D652" s="2" t="s">
        <v>12041</v>
      </c>
      <c r="E652" s="2">
        <f>COUNTIF(Table16[customer_id],Table13[[#This Row],[customer_id]])</f>
        <v>7</v>
      </c>
      <c r="F652" s="13">
        <f>SUMIFS(Table16[Purchase_history],Table16[customer_id],Table13[[#This Row],[customer_id]])</f>
        <v>754.22</v>
      </c>
      <c r="G652" s="20">
        <v>44501</v>
      </c>
      <c r="H652" s="21">
        <v>44966</v>
      </c>
      <c r="I652" s="15">
        <f>(Table134[[#This Row],[Last_Day]]-Table134[[#This Row],[First_Day]]+1)/365</f>
        <v>1.2767123287671234</v>
      </c>
      <c r="J652" s="59">
        <f>Table134[[#This Row],[number_of_purchases]]/Table134[[#This Row],[customer_total_years]]</f>
        <v>5.4828326180257507</v>
      </c>
      <c r="K652" s="13">
        <f>Table134[[#This Row],[purchase_history]]/Table134[[#This Row],[number_of_purchases]]</f>
        <v>107.74571428571429</v>
      </c>
      <c r="L652" s="2">
        <f>IF(YEAR(Table134[[#This Row],[Last_Day]])=2021,5,IF(YEAR(Table134[[#This Row],[Last_Day]])=2022,7,IF(YEAR(Table134[[#This Row],[Last_Day]])=2023,10,"Không xác định")))</f>
        <v>10</v>
      </c>
      <c r="M652" s="15">
        <f>Table134[[#This Row],[avg_number_of_purchases]]*Table1345[[#This Row],[avg_purchase_value]]*Table1345[[#This Row],[expected_lifespan]]</f>
        <v>5907.5171673819741</v>
      </c>
      <c r="N652" t="s">
        <v>12048</v>
      </c>
    </row>
    <row r="653" spans="1:14" x14ac:dyDescent="0.3">
      <c r="A653" s="2" t="s">
        <v>651</v>
      </c>
      <c r="B653" s="2" t="s">
        <v>12045</v>
      </c>
      <c r="C653" s="2">
        <v>52</v>
      </c>
      <c r="D653" s="2" t="s">
        <v>12041</v>
      </c>
      <c r="E653" s="2">
        <f>COUNTIF(Table16[customer_id],Table13[[#This Row],[customer_id]])</f>
        <v>5</v>
      </c>
      <c r="F653" s="13">
        <f>SUMIFS(Table16[Purchase_history],Table16[customer_id],Table13[[#This Row],[customer_id]])</f>
        <v>22990.35</v>
      </c>
      <c r="G653" s="20">
        <v>44206</v>
      </c>
      <c r="H653" s="21">
        <v>44966</v>
      </c>
      <c r="I653" s="15">
        <f>(Table134[[#This Row],[Last_Day]]-Table134[[#This Row],[First_Day]]+1)/365</f>
        <v>2.0849315068493151</v>
      </c>
      <c r="J653" s="59">
        <f>Table134[[#This Row],[number_of_purchases]]/Table134[[#This Row],[customer_total_years]]</f>
        <v>2.3981603153745072</v>
      </c>
      <c r="K653" s="13">
        <f>Table134[[#This Row],[purchase_history]]/Table134[[#This Row],[number_of_purchases]]</f>
        <v>4598.07</v>
      </c>
      <c r="L653" s="2">
        <f>IF(YEAR(Table134[[#This Row],[Last_Day]])=2021,5,IF(YEAR(Table134[[#This Row],[Last_Day]])=2022,7,IF(YEAR(Table134[[#This Row],[Last_Day]])=2023,10,"Không xác định")))</f>
        <v>10</v>
      </c>
      <c r="M653" s="15">
        <f>Table134[[#This Row],[avg_number_of_purchases]]*Table1345[[#This Row],[avg_purchase_value]]*Table1345[[#This Row],[expected_lifespan]]</f>
        <v>110269.09001314059</v>
      </c>
      <c r="N653" t="s">
        <v>12046</v>
      </c>
    </row>
    <row r="654" spans="1:14" x14ac:dyDescent="0.3">
      <c r="A654" s="2" t="s">
        <v>652</v>
      </c>
      <c r="B654" s="2" t="s">
        <v>12040</v>
      </c>
      <c r="C654" s="2">
        <v>44</v>
      </c>
      <c r="D654" s="2" t="s">
        <v>12043</v>
      </c>
      <c r="E654" s="2">
        <f>COUNTIF(Table16[customer_id],Table13[[#This Row],[customer_id]])</f>
        <v>4</v>
      </c>
      <c r="F654" s="13">
        <f>SUMIFS(Table16[Purchase_history],Table16[customer_id],Table13[[#This Row],[customer_id]])</f>
        <v>7495.1699999999992</v>
      </c>
      <c r="G654" s="20">
        <v>44209</v>
      </c>
      <c r="H654" s="21">
        <v>44889</v>
      </c>
      <c r="I654" s="15">
        <f>(Table134[[#This Row],[Last_Day]]-Table134[[#This Row],[First_Day]]+1)/365</f>
        <v>1.8657534246575342</v>
      </c>
      <c r="J654" s="59">
        <f>Table134[[#This Row],[number_of_purchases]]/Table134[[#This Row],[customer_total_years]]</f>
        <v>2.1439060205580027</v>
      </c>
      <c r="K654" s="13">
        <f>Table134[[#This Row],[purchase_history]]/Table134[[#This Row],[number_of_purchases]]</f>
        <v>1873.7924999999998</v>
      </c>
      <c r="L654" s="2">
        <f>IF(YEAR(Table134[[#This Row],[Last_Day]])=2021,5,IF(YEAR(Table134[[#This Row],[Last_Day]])=2022,7,IF(YEAR(Table134[[#This Row],[Last_Day]])=2023,10,"Không xác định")))</f>
        <v>7</v>
      </c>
      <c r="M654" s="15">
        <f>Table134[[#This Row],[avg_number_of_purchases]]*Table1345[[#This Row],[avg_purchase_value]]*Table1345[[#This Row],[expected_lifespan]]</f>
        <v>28120.645154185015</v>
      </c>
      <c r="N654" t="s">
        <v>12047</v>
      </c>
    </row>
    <row r="655" spans="1:14" x14ac:dyDescent="0.3">
      <c r="A655" s="2" t="s">
        <v>653</v>
      </c>
      <c r="B655" s="2" t="s">
        <v>12045</v>
      </c>
      <c r="C655" s="2">
        <v>23</v>
      </c>
      <c r="D655" s="2" t="s">
        <v>12043</v>
      </c>
      <c r="E655" s="2">
        <f>COUNTIF(Table16[customer_id],Table13[[#This Row],[customer_id]])</f>
        <v>7</v>
      </c>
      <c r="F655" s="13">
        <f>SUMIFS(Table16[Purchase_history],Table16[customer_id],Table13[[#This Row],[customer_id]])</f>
        <v>28420.68</v>
      </c>
      <c r="G655" s="20">
        <v>44388</v>
      </c>
      <c r="H655" s="21">
        <v>44781</v>
      </c>
      <c r="I655" s="15">
        <f>(Table134[[#This Row],[Last_Day]]-Table134[[#This Row],[First_Day]]+1)/365</f>
        <v>1.0794520547945206</v>
      </c>
      <c r="J655" s="59">
        <f>Table134[[#This Row],[number_of_purchases]]/Table134[[#This Row],[customer_total_years]]</f>
        <v>6.4847715736040605</v>
      </c>
      <c r="K655" s="13">
        <f>Table134[[#This Row],[purchase_history]]/Table134[[#This Row],[number_of_purchases]]</f>
        <v>4060.0971428571429</v>
      </c>
      <c r="L655" s="2">
        <f>IF(YEAR(Table134[[#This Row],[Last_Day]])=2021,5,IF(YEAR(Table134[[#This Row],[Last_Day]])=2022,7,IF(YEAR(Table134[[#This Row],[Last_Day]])=2023,10,"Không xác định")))</f>
        <v>7</v>
      </c>
      <c r="M655" s="15">
        <f>Table134[[#This Row],[avg_number_of_purchases]]*Table1345[[#This Row],[avg_purchase_value]]*Table1345[[#This Row],[expected_lifespan]]</f>
        <v>184301.61776649745</v>
      </c>
      <c r="N655" t="s">
        <v>12048</v>
      </c>
    </row>
    <row r="656" spans="1:14" x14ac:dyDescent="0.3">
      <c r="A656" s="2" t="s">
        <v>654</v>
      </c>
      <c r="B656" s="2" t="s">
        <v>12045</v>
      </c>
      <c r="C656" s="2">
        <v>30</v>
      </c>
      <c r="D656" s="2" t="s">
        <v>12043</v>
      </c>
      <c r="E656" s="2">
        <f>COUNTIF(Table16[customer_id],Table13[[#This Row],[customer_id]])</f>
        <v>6</v>
      </c>
      <c r="F656" s="13">
        <f>SUMIFS(Table16[Purchase_history],Table16[customer_id],Table13[[#This Row],[customer_id]])</f>
        <v>11011.6</v>
      </c>
      <c r="G656" s="20">
        <v>44382</v>
      </c>
      <c r="H656" s="21">
        <v>44918</v>
      </c>
      <c r="I656" s="15">
        <f>(Table134[[#This Row],[Last_Day]]-Table134[[#This Row],[First_Day]]+1)/365</f>
        <v>1.4712328767123288</v>
      </c>
      <c r="J656" s="59">
        <f>Table134[[#This Row],[number_of_purchases]]/Table134[[#This Row],[customer_total_years]]</f>
        <v>4.0782122905027931</v>
      </c>
      <c r="K656" s="13">
        <f>Table134[[#This Row],[purchase_history]]/Table134[[#This Row],[number_of_purchases]]</f>
        <v>1835.2666666666667</v>
      </c>
      <c r="L656" s="2">
        <f>IF(YEAR(Table134[[#This Row],[Last_Day]])=2021,5,IF(YEAR(Table134[[#This Row],[Last_Day]])=2022,7,IF(YEAR(Table134[[#This Row],[Last_Day]])=2023,10,"Không xác định")))</f>
        <v>7</v>
      </c>
      <c r="M656" s="15">
        <f>Table134[[#This Row],[avg_number_of_purchases]]*Table1345[[#This Row],[avg_purchase_value]]*Table1345[[#This Row],[expected_lifespan]]</f>
        <v>52392.249534450653</v>
      </c>
      <c r="N656" t="s">
        <v>12042</v>
      </c>
    </row>
    <row r="657" spans="1:14" x14ac:dyDescent="0.3">
      <c r="A657" s="2" t="s">
        <v>655</v>
      </c>
      <c r="B657" s="2" t="s">
        <v>12040</v>
      </c>
      <c r="C657" s="2">
        <v>55</v>
      </c>
      <c r="D657" s="2" t="s">
        <v>12043</v>
      </c>
      <c r="E657" s="2">
        <f>COUNTIF(Table16[customer_id],Table13[[#This Row],[customer_id]])</f>
        <v>4</v>
      </c>
      <c r="F657" s="13">
        <f>SUMIFS(Table16[Purchase_history],Table16[customer_id],Table13[[#This Row],[customer_id]])</f>
        <v>823.14999999999986</v>
      </c>
      <c r="G657" s="20">
        <v>44337</v>
      </c>
      <c r="H657" s="21">
        <v>44703</v>
      </c>
      <c r="I657" s="15">
        <f>(Table134[[#This Row],[Last_Day]]-Table134[[#This Row],[First_Day]]+1)/365</f>
        <v>1.0054794520547945</v>
      </c>
      <c r="J657" s="59">
        <f>Table134[[#This Row],[number_of_purchases]]/Table134[[#This Row],[customer_total_years]]</f>
        <v>3.9782016348773843</v>
      </c>
      <c r="K657" s="13">
        <f>Table134[[#This Row],[purchase_history]]/Table134[[#This Row],[number_of_purchases]]</f>
        <v>205.78749999999997</v>
      </c>
      <c r="L657" s="2">
        <f>IF(YEAR(Table134[[#This Row],[Last_Day]])=2021,5,IF(YEAR(Table134[[#This Row],[Last_Day]])=2022,7,IF(YEAR(Table134[[#This Row],[Last_Day]])=2023,10,"Không xác định")))</f>
        <v>7</v>
      </c>
      <c r="M657" s="15">
        <f>Table134[[#This Row],[avg_number_of_purchases]]*Table1345[[#This Row],[avg_purchase_value]]*Table1345[[#This Row],[expected_lifespan]]</f>
        <v>5730.6491825613066</v>
      </c>
      <c r="N657" t="s">
        <v>12046</v>
      </c>
    </row>
    <row r="658" spans="1:14" x14ac:dyDescent="0.3">
      <c r="A658" s="2" t="s">
        <v>656</v>
      </c>
      <c r="B658" s="2" t="s">
        <v>12040</v>
      </c>
      <c r="C658" s="2">
        <v>60</v>
      </c>
      <c r="D658" s="2" t="s">
        <v>12049</v>
      </c>
      <c r="E658" s="2">
        <f>COUNTIF(Table16[customer_id],Table13[[#This Row],[customer_id]])</f>
        <v>4</v>
      </c>
      <c r="F658" s="13">
        <f>SUMIFS(Table16[Purchase_history],Table16[customer_id],Table13[[#This Row],[customer_id]])</f>
        <v>16183.39</v>
      </c>
      <c r="G658" s="20">
        <v>44223</v>
      </c>
      <c r="H658" s="21">
        <v>44956</v>
      </c>
      <c r="I658" s="15">
        <f>(Table134[[#This Row],[Last_Day]]-Table134[[#This Row],[First_Day]]+1)/365</f>
        <v>2.010958904109589</v>
      </c>
      <c r="J658" s="59">
        <f>Table134[[#This Row],[number_of_purchases]]/Table134[[#This Row],[customer_total_years]]</f>
        <v>1.9891008174386922</v>
      </c>
      <c r="K658" s="13">
        <f>Table134[[#This Row],[purchase_history]]/Table134[[#This Row],[number_of_purchases]]</f>
        <v>4045.8474999999999</v>
      </c>
      <c r="L658" s="2">
        <f>IF(YEAR(Table134[[#This Row],[Last_Day]])=2021,5,IF(YEAR(Table134[[#This Row],[Last_Day]])=2022,7,IF(YEAR(Table134[[#This Row],[Last_Day]])=2023,10,"Không xác định")))</f>
        <v>10</v>
      </c>
      <c r="M658" s="15">
        <f>Table134[[#This Row],[avg_number_of_purchases]]*Table1345[[#This Row],[avg_purchase_value]]*Table1345[[#This Row],[expected_lifespan]]</f>
        <v>80475.985694822884</v>
      </c>
      <c r="N658" t="s">
        <v>12048</v>
      </c>
    </row>
    <row r="659" spans="1:14" x14ac:dyDescent="0.3">
      <c r="A659" s="2" t="s">
        <v>657</v>
      </c>
      <c r="B659" s="2" t="s">
        <v>12045</v>
      </c>
      <c r="C659" s="2">
        <v>64</v>
      </c>
      <c r="D659" s="2" t="s">
        <v>12043</v>
      </c>
      <c r="E659" s="2">
        <f>COUNTIF(Table16[customer_id],Table13[[#This Row],[customer_id]])</f>
        <v>3</v>
      </c>
      <c r="F659" s="13">
        <f>SUMIFS(Table16[Purchase_history],Table16[customer_id],Table13[[#This Row],[customer_id]])</f>
        <v>1311.12</v>
      </c>
      <c r="G659" s="20">
        <v>44524</v>
      </c>
      <c r="H659" s="21">
        <v>44543</v>
      </c>
      <c r="I659" s="15">
        <f>(Table134[[#This Row],[Last_Day]]-Table134[[#This Row],[First_Day]]+1)/365</f>
        <v>5.4794520547945202E-2</v>
      </c>
      <c r="J659" s="59">
        <f>Table134[[#This Row],[number_of_purchases]]/Table134[[#This Row],[customer_total_years]]</f>
        <v>54.75</v>
      </c>
      <c r="K659" s="13">
        <f>Table134[[#This Row],[purchase_history]]/Table134[[#This Row],[number_of_purchases]]</f>
        <v>437.03999999999996</v>
      </c>
      <c r="L659" s="2">
        <f>IF(YEAR(Table134[[#This Row],[Last_Day]])=2021,5,IF(YEAR(Table134[[#This Row],[Last_Day]])=2022,7,IF(YEAR(Table134[[#This Row],[Last_Day]])=2023,10,"Không xác định")))</f>
        <v>5</v>
      </c>
      <c r="M659" s="15">
        <f>Table134[[#This Row],[avg_number_of_purchases]]*Table1345[[#This Row],[avg_purchase_value]]*Table1345[[#This Row],[expected_lifespan]]</f>
        <v>119639.7</v>
      </c>
      <c r="N659" t="s">
        <v>12042</v>
      </c>
    </row>
    <row r="660" spans="1:14" x14ac:dyDescent="0.3">
      <c r="A660" s="2" t="s">
        <v>658</v>
      </c>
      <c r="B660" s="2" t="s">
        <v>12045</v>
      </c>
      <c r="C660" s="2">
        <v>52</v>
      </c>
      <c r="D660" s="2" t="s">
        <v>12041</v>
      </c>
      <c r="E660" s="2">
        <f>COUNTIF(Table16[customer_id],Table13[[#This Row],[customer_id]])</f>
        <v>2</v>
      </c>
      <c r="F660" s="13">
        <f>SUMIFS(Table16[Purchase_history],Table16[customer_id],Table13[[#This Row],[customer_id]])</f>
        <v>2544.04</v>
      </c>
      <c r="G660" s="20">
        <v>44346</v>
      </c>
      <c r="H660" s="21">
        <v>44499</v>
      </c>
      <c r="I660" s="15">
        <f>(Table134[[#This Row],[Last_Day]]-Table134[[#This Row],[First_Day]]+1)/365</f>
        <v>0.42191780821917807</v>
      </c>
      <c r="J660" s="59">
        <f>Table134[[#This Row],[number_of_purchases]]/Table134[[#This Row],[customer_total_years]]</f>
        <v>4.7402597402597406</v>
      </c>
      <c r="K660" s="13">
        <f>Table134[[#This Row],[purchase_history]]/Table134[[#This Row],[number_of_purchases]]</f>
        <v>1272.02</v>
      </c>
      <c r="L660" s="2">
        <f>IF(YEAR(Table134[[#This Row],[Last_Day]])=2021,5,IF(YEAR(Table134[[#This Row],[Last_Day]])=2022,7,IF(YEAR(Table134[[#This Row],[Last_Day]])=2023,10,"Không xác định")))</f>
        <v>5</v>
      </c>
      <c r="M660" s="15">
        <f>Table134[[#This Row],[avg_number_of_purchases]]*Table1345[[#This Row],[avg_purchase_value]]*Table1345[[#This Row],[expected_lifespan]]</f>
        <v>30148.525974025975</v>
      </c>
      <c r="N660" t="s">
        <v>12044</v>
      </c>
    </row>
    <row r="661" spans="1:14" x14ac:dyDescent="0.3">
      <c r="A661" s="2" t="s">
        <v>659</v>
      </c>
      <c r="B661" s="2" t="s">
        <v>12045</v>
      </c>
      <c r="C661" s="2">
        <v>50</v>
      </c>
      <c r="D661" s="2" t="s">
        <v>12043</v>
      </c>
      <c r="E661" s="2">
        <f>COUNTIF(Table16[customer_id],Table13[[#This Row],[customer_id]])</f>
        <v>6</v>
      </c>
      <c r="F661" s="13">
        <f>SUMIFS(Table16[Purchase_history],Table16[customer_id],Table13[[#This Row],[customer_id]])</f>
        <v>14965.549999999997</v>
      </c>
      <c r="G661" s="20">
        <v>44220</v>
      </c>
      <c r="H661" s="21">
        <v>44866</v>
      </c>
      <c r="I661" s="15">
        <f>(Table134[[#This Row],[Last_Day]]-Table134[[#This Row],[First_Day]]+1)/365</f>
        <v>1.7726027397260273</v>
      </c>
      <c r="J661" s="59">
        <f>Table134[[#This Row],[number_of_purchases]]/Table134[[#This Row],[customer_total_years]]</f>
        <v>3.3848531684698608</v>
      </c>
      <c r="K661" s="13">
        <f>Table134[[#This Row],[purchase_history]]/Table134[[#This Row],[number_of_purchases]]</f>
        <v>2494.2583333333328</v>
      </c>
      <c r="L661" s="2">
        <f>IF(YEAR(Table134[[#This Row],[Last_Day]])=2021,5,IF(YEAR(Table134[[#This Row],[Last_Day]])=2022,7,IF(YEAR(Table134[[#This Row],[Last_Day]])=2023,10,"Không xác định")))</f>
        <v>7</v>
      </c>
      <c r="M661" s="15">
        <f>Table134[[#This Row],[avg_number_of_purchases]]*Table1345[[#This Row],[avg_purchase_value]]*Table1345[[#This Row],[expected_lifespan]]</f>
        <v>59098.88755795981</v>
      </c>
      <c r="N661" t="s">
        <v>12042</v>
      </c>
    </row>
    <row r="662" spans="1:14" x14ac:dyDescent="0.3">
      <c r="A662" s="2" t="s">
        <v>660</v>
      </c>
      <c r="B662" s="2" t="s">
        <v>12040</v>
      </c>
      <c r="C662" s="2">
        <v>68</v>
      </c>
      <c r="D662" s="2" t="s">
        <v>12041</v>
      </c>
      <c r="E662" s="2">
        <f>COUNTIF(Table16[customer_id],Table13[[#This Row],[customer_id]])</f>
        <v>6</v>
      </c>
      <c r="F662" s="13">
        <f>SUMIFS(Table16[Purchase_history],Table16[customer_id],Table13[[#This Row],[customer_id]])</f>
        <v>8084.46</v>
      </c>
      <c r="G662" s="20">
        <v>44243</v>
      </c>
      <c r="H662" s="21">
        <v>44926</v>
      </c>
      <c r="I662" s="15">
        <f>(Table134[[#This Row],[Last_Day]]-Table134[[#This Row],[First_Day]]+1)/365</f>
        <v>1.8739726027397261</v>
      </c>
      <c r="J662" s="59">
        <f>Table134[[#This Row],[number_of_purchases]]/Table134[[#This Row],[customer_total_years]]</f>
        <v>3.2017543859649122</v>
      </c>
      <c r="K662" s="13">
        <f>Table134[[#This Row],[purchase_history]]/Table134[[#This Row],[number_of_purchases]]</f>
        <v>1347.41</v>
      </c>
      <c r="L662" s="2">
        <f>IF(YEAR(Table134[[#This Row],[Last_Day]])=2021,5,IF(YEAR(Table134[[#This Row],[Last_Day]])=2022,7,IF(YEAR(Table134[[#This Row],[Last_Day]])=2023,10,"Không xác định")))</f>
        <v>7</v>
      </c>
      <c r="M662" s="15">
        <f>Table134[[#This Row],[avg_number_of_purchases]]*Table1345[[#This Row],[avg_purchase_value]]*Table1345[[#This Row],[expected_lifespan]]</f>
        <v>30198.531140350875</v>
      </c>
      <c r="N662" t="s">
        <v>12046</v>
      </c>
    </row>
    <row r="663" spans="1:14" x14ac:dyDescent="0.3">
      <c r="A663" s="2" t="s">
        <v>661</v>
      </c>
      <c r="B663" s="2" t="s">
        <v>12045</v>
      </c>
      <c r="C663" s="2">
        <v>58</v>
      </c>
      <c r="D663" s="2" t="s">
        <v>12041</v>
      </c>
      <c r="E663" s="2">
        <f>COUNTIF(Table16[customer_id],Table13[[#This Row],[customer_id]])</f>
        <v>5</v>
      </c>
      <c r="F663" s="13">
        <f>SUMIFS(Table16[Purchase_history],Table16[customer_id],Table13[[#This Row],[customer_id]])</f>
        <v>1297.6399999999999</v>
      </c>
      <c r="G663" s="20">
        <v>44341</v>
      </c>
      <c r="H663" s="21">
        <v>44890</v>
      </c>
      <c r="I663" s="15">
        <f>(Table134[[#This Row],[Last_Day]]-Table134[[#This Row],[First_Day]]+1)/365</f>
        <v>1.5068493150684932</v>
      </c>
      <c r="J663" s="59">
        <f>Table134[[#This Row],[number_of_purchases]]/Table134[[#This Row],[customer_total_years]]</f>
        <v>3.3181818181818183</v>
      </c>
      <c r="K663" s="13">
        <f>Table134[[#This Row],[purchase_history]]/Table134[[#This Row],[number_of_purchases]]</f>
        <v>259.52799999999996</v>
      </c>
      <c r="L663" s="2">
        <f>IF(YEAR(Table134[[#This Row],[Last_Day]])=2021,5,IF(YEAR(Table134[[#This Row],[Last_Day]])=2022,7,IF(YEAR(Table134[[#This Row],[Last_Day]])=2023,10,"Không xác định")))</f>
        <v>7</v>
      </c>
      <c r="M663" s="15">
        <f>Table134[[#This Row],[avg_number_of_purchases]]*Table1345[[#This Row],[avg_purchase_value]]*Table1345[[#This Row],[expected_lifespan]]</f>
        <v>6028.1276363636362</v>
      </c>
      <c r="N663" t="s">
        <v>12048</v>
      </c>
    </row>
    <row r="664" spans="1:14" x14ac:dyDescent="0.3">
      <c r="A664" s="2" t="s">
        <v>662</v>
      </c>
      <c r="B664" s="2" t="s">
        <v>12040</v>
      </c>
      <c r="C664" s="2">
        <v>27</v>
      </c>
      <c r="D664" s="2" t="s">
        <v>12049</v>
      </c>
      <c r="E664" s="2">
        <f>COUNTIF(Table16[customer_id],Table13[[#This Row],[customer_id]])</f>
        <v>9</v>
      </c>
      <c r="F664" s="13">
        <f>SUMIFS(Table16[Purchase_history],Table16[customer_id],Table13[[#This Row],[customer_id]])</f>
        <v>27402.61</v>
      </c>
      <c r="G664" s="20">
        <v>44241</v>
      </c>
      <c r="H664" s="21">
        <v>44985</v>
      </c>
      <c r="I664" s="15">
        <f>(Table134[[#This Row],[Last_Day]]-Table134[[#This Row],[First_Day]]+1)/365</f>
        <v>2.0410958904109591</v>
      </c>
      <c r="J664" s="59">
        <f>Table134[[#This Row],[number_of_purchases]]/Table134[[#This Row],[customer_total_years]]</f>
        <v>4.4093959731543624</v>
      </c>
      <c r="K664" s="13">
        <f>Table134[[#This Row],[purchase_history]]/Table134[[#This Row],[number_of_purchases]]</f>
        <v>3044.7344444444443</v>
      </c>
      <c r="L664" s="2">
        <f>IF(YEAR(Table134[[#This Row],[Last_Day]])=2021,5,IF(YEAR(Table134[[#This Row],[Last_Day]])=2022,7,IF(YEAR(Table134[[#This Row],[Last_Day]])=2023,10,"Không xác định")))</f>
        <v>10</v>
      </c>
      <c r="M664" s="15">
        <f>Table134[[#This Row],[avg_number_of_purchases]]*Table1345[[#This Row],[avg_purchase_value]]*Table1345[[#This Row],[expected_lifespan]]</f>
        <v>134254.39798657718</v>
      </c>
      <c r="N664" t="s">
        <v>12047</v>
      </c>
    </row>
    <row r="665" spans="1:14" x14ac:dyDescent="0.3">
      <c r="A665" s="2" t="s">
        <v>663</v>
      </c>
      <c r="B665" s="2" t="s">
        <v>12045</v>
      </c>
      <c r="C665" s="2">
        <v>33</v>
      </c>
      <c r="D665" s="2" t="s">
        <v>12043</v>
      </c>
      <c r="E665" s="2">
        <f>COUNTIF(Table16[customer_id],Table13[[#This Row],[customer_id]])</f>
        <v>5</v>
      </c>
      <c r="F665" s="13">
        <f>SUMIFS(Table16[Purchase_history],Table16[customer_id],Table13[[#This Row],[customer_id]])</f>
        <v>26386.11</v>
      </c>
      <c r="G665" s="20">
        <v>44606</v>
      </c>
      <c r="H665" s="21">
        <v>44918</v>
      </c>
      <c r="I665" s="15">
        <f>(Table134[[#This Row],[Last_Day]]-Table134[[#This Row],[First_Day]]+1)/365</f>
        <v>0.8575342465753425</v>
      </c>
      <c r="J665" s="59">
        <f>Table134[[#This Row],[number_of_purchases]]/Table134[[#This Row],[customer_total_years]]</f>
        <v>5.8306709265175716</v>
      </c>
      <c r="K665" s="13">
        <f>Table134[[#This Row],[purchase_history]]/Table134[[#This Row],[number_of_purchases]]</f>
        <v>5277.2219999999998</v>
      </c>
      <c r="L665" s="2">
        <f>IF(YEAR(Table134[[#This Row],[Last_Day]])=2021,5,IF(YEAR(Table134[[#This Row],[Last_Day]])=2022,7,IF(YEAR(Table134[[#This Row],[Last_Day]])=2023,10,"Không xác định")))</f>
        <v>7</v>
      </c>
      <c r="M665" s="15">
        <f>Table134[[#This Row],[avg_number_of_purchases]]*Table1345[[#This Row],[avg_purchase_value]]*Table1345[[#This Row],[expected_lifespan]]</f>
        <v>215388.21421725236</v>
      </c>
      <c r="N665" t="s">
        <v>12048</v>
      </c>
    </row>
    <row r="666" spans="1:14" x14ac:dyDescent="0.3">
      <c r="A666" s="2" t="s">
        <v>664</v>
      </c>
      <c r="B666" s="2" t="s">
        <v>12040</v>
      </c>
      <c r="C666" s="2">
        <v>61</v>
      </c>
      <c r="D666" s="2" t="s">
        <v>12043</v>
      </c>
      <c r="E666" s="2">
        <f>COUNTIF(Table16[customer_id],Table13[[#This Row],[customer_id]])</f>
        <v>7</v>
      </c>
      <c r="F666" s="13">
        <f>SUMIFS(Table16[Purchase_history],Table16[customer_id],Table13[[#This Row],[customer_id]])</f>
        <v>3785.98</v>
      </c>
      <c r="G666" s="20">
        <v>44234</v>
      </c>
      <c r="H666" s="21">
        <v>44927</v>
      </c>
      <c r="I666" s="15">
        <f>(Table134[[#This Row],[Last_Day]]-Table134[[#This Row],[First_Day]]+1)/365</f>
        <v>1.9013698630136986</v>
      </c>
      <c r="J666" s="59">
        <f>Table134[[#This Row],[number_of_purchases]]/Table134[[#This Row],[customer_total_years]]</f>
        <v>3.6815561959654177</v>
      </c>
      <c r="K666" s="13">
        <f>Table134[[#This Row],[purchase_history]]/Table134[[#This Row],[number_of_purchases]]</f>
        <v>540.85428571428577</v>
      </c>
      <c r="L666" s="2">
        <f>IF(YEAR(Table134[[#This Row],[Last_Day]])=2021,5,IF(YEAR(Table134[[#This Row],[Last_Day]])=2022,7,IF(YEAR(Table134[[#This Row],[Last_Day]])=2023,10,"Không xác định")))</f>
        <v>10</v>
      </c>
      <c r="M666" s="15">
        <f>Table134[[#This Row],[avg_number_of_purchases]]*Table1345[[#This Row],[avg_purchase_value]]*Table1345[[#This Row],[expected_lifespan]]</f>
        <v>19911.854466858789</v>
      </c>
      <c r="N666" t="s">
        <v>12048</v>
      </c>
    </row>
    <row r="667" spans="1:14" x14ac:dyDescent="0.3">
      <c r="A667" s="2" t="s">
        <v>665</v>
      </c>
      <c r="B667" s="2" t="s">
        <v>12040</v>
      </c>
      <c r="C667" s="2">
        <v>19</v>
      </c>
      <c r="D667" s="2" t="s">
        <v>12043</v>
      </c>
      <c r="E667" s="2">
        <f>COUNTIF(Table16[customer_id],Table13[[#This Row],[customer_id]])</f>
        <v>4</v>
      </c>
      <c r="F667" s="13">
        <f>SUMIFS(Table16[Purchase_history],Table16[customer_id],Table13[[#This Row],[customer_id]])</f>
        <v>35057.89</v>
      </c>
      <c r="G667" s="20">
        <v>44366</v>
      </c>
      <c r="H667" s="21">
        <v>44986</v>
      </c>
      <c r="I667" s="15">
        <f>(Table134[[#This Row],[Last_Day]]-Table134[[#This Row],[First_Day]]+1)/365</f>
        <v>1.7013698630136986</v>
      </c>
      <c r="J667" s="59">
        <f>Table134[[#This Row],[number_of_purchases]]/Table134[[#This Row],[customer_total_years]]</f>
        <v>2.3510466988727856</v>
      </c>
      <c r="K667" s="13">
        <f>Table134[[#This Row],[purchase_history]]/Table134[[#This Row],[number_of_purchases]]</f>
        <v>8764.4724999999999</v>
      </c>
      <c r="L667" s="2">
        <f>IF(YEAR(Table134[[#This Row],[Last_Day]])=2021,5,IF(YEAR(Table134[[#This Row],[Last_Day]])=2022,7,IF(YEAR(Table134[[#This Row],[Last_Day]])=2023,10,"Không xác định")))</f>
        <v>10</v>
      </c>
      <c r="M667" s="15">
        <f>Table134[[#This Row],[avg_number_of_purchases]]*Table1345[[#This Row],[avg_purchase_value]]*Table1345[[#This Row],[expected_lifespan]]</f>
        <v>206056.8413848631</v>
      </c>
      <c r="N667" t="s">
        <v>12046</v>
      </c>
    </row>
    <row r="668" spans="1:14" x14ac:dyDescent="0.3">
      <c r="A668" s="2" t="s">
        <v>666</v>
      </c>
      <c r="B668" s="2" t="s">
        <v>12040</v>
      </c>
      <c r="C668" s="2">
        <v>23</v>
      </c>
      <c r="D668" s="2" t="s">
        <v>12049</v>
      </c>
      <c r="E668" s="2">
        <f>COUNTIF(Table16[customer_id],Table13[[#This Row],[customer_id]])</f>
        <v>4</v>
      </c>
      <c r="F668" s="13">
        <f>SUMIFS(Table16[Purchase_history],Table16[customer_id],Table13[[#This Row],[customer_id]])</f>
        <v>19952.89</v>
      </c>
      <c r="G668" s="20">
        <v>44436</v>
      </c>
      <c r="H668" s="21">
        <v>44730</v>
      </c>
      <c r="I668" s="15">
        <f>(Table134[[#This Row],[Last_Day]]-Table134[[#This Row],[First_Day]]+1)/365</f>
        <v>0.80821917808219179</v>
      </c>
      <c r="J668" s="59">
        <f>Table134[[#This Row],[number_of_purchases]]/Table134[[#This Row],[customer_total_years]]</f>
        <v>4.9491525423728815</v>
      </c>
      <c r="K668" s="13">
        <f>Table134[[#This Row],[purchase_history]]/Table134[[#This Row],[number_of_purchases]]</f>
        <v>4988.2224999999999</v>
      </c>
      <c r="L668" s="2">
        <f>IF(YEAR(Table134[[#This Row],[Last_Day]])=2021,5,IF(YEAR(Table134[[#This Row],[Last_Day]])=2022,7,IF(YEAR(Table134[[#This Row],[Last_Day]])=2023,10,"Không xác định")))</f>
        <v>7</v>
      </c>
      <c r="M668" s="15">
        <f>Table134[[#This Row],[avg_number_of_purchases]]*Table1345[[#This Row],[avg_purchase_value]]*Table1345[[#This Row],[expected_lifespan]]</f>
        <v>172812.31847457628</v>
      </c>
      <c r="N668" t="s">
        <v>12046</v>
      </c>
    </row>
    <row r="669" spans="1:14" x14ac:dyDescent="0.3">
      <c r="A669" s="2" t="s">
        <v>667</v>
      </c>
      <c r="B669" s="2" t="s">
        <v>12045</v>
      </c>
      <c r="C669" s="2">
        <v>30</v>
      </c>
      <c r="D669" s="2" t="s">
        <v>12041</v>
      </c>
      <c r="E669" s="2">
        <f>COUNTIF(Table16[customer_id],Table13[[#This Row],[customer_id]])</f>
        <v>3</v>
      </c>
      <c r="F669" s="13">
        <f>SUMIFS(Table16[Purchase_history],Table16[customer_id],Table13[[#This Row],[customer_id]])</f>
        <v>3651.36</v>
      </c>
      <c r="G669" s="20">
        <v>44216</v>
      </c>
      <c r="H669" s="21">
        <v>44732</v>
      </c>
      <c r="I669" s="15">
        <f>(Table134[[#This Row],[Last_Day]]-Table134[[#This Row],[First_Day]]+1)/365</f>
        <v>1.4164383561643836</v>
      </c>
      <c r="J669" s="59">
        <f>Table134[[#This Row],[number_of_purchases]]/Table134[[#This Row],[customer_total_years]]</f>
        <v>2.1179883945841391</v>
      </c>
      <c r="K669" s="13">
        <f>Table134[[#This Row],[purchase_history]]/Table134[[#This Row],[number_of_purchases]]</f>
        <v>1217.1200000000001</v>
      </c>
      <c r="L669" s="2">
        <f>IF(YEAR(Table134[[#This Row],[Last_Day]])=2021,5,IF(YEAR(Table134[[#This Row],[Last_Day]])=2022,7,IF(YEAR(Table134[[#This Row],[Last_Day]])=2023,10,"Không xác định")))</f>
        <v>7</v>
      </c>
      <c r="M669" s="15">
        <f>Table134[[#This Row],[avg_number_of_purchases]]*Table1345[[#This Row],[avg_purchase_value]]*Table1345[[#This Row],[expected_lifespan]]</f>
        <v>18044.922243713732</v>
      </c>
      <c r="N669" t="s">
        <v>12046</v>
      </c>
    </row>
    <row r="670" spans="1:14" x14ac:dyDescent="0.3">
      <c r="A670" s="2" t="s">
        <v>668</v>
      </c>
      <c r="B670" s="2" t="s">
        <v>12045</v>
      </c>
      <c r="C670" s="2">
        <v>56</v>
      </c>
      <c r="D670" s="2" t="s">
        <v>12043</v>
      </c>
      <c r="E670" s="2">
        <f>COUNTIF(Table16[customer_id],Table13[[#This Row],[customer_id]])</f>
        <v>9</v>
      </c>
      <c r="F670" s="13">
        <f>SUMIFS(Table16[Purchase_history],Table16[customer_id],Table13[[#This Row],[customer_id]])</f>
        <v>8206.75</v>
      </c>
      <c r="G670" s="20">
        <v>44216</v>
      </c>
      <c r="H670" s="21">
        <v>44966</v>
      </c>
      <c r="I670" s="15">
        <f>(Table134[[#This Row],[Last_Day]]-Table134[[#This Row],[First_Day]]+1)/365</f>
        <v>2.0575342465753423</v>
      </c>
      <c r="J670" s="59">
        <f>Table134[[#This Row],[number_of_purchases]]/Table134[[#This Row],[customer_total_years]]</f>
        <v>4.3741677762982691</v>
      </c>
      <c r="K670" s="13">
        <f>Table134[[#This Row],[purchase_history]]/Table134[[#This Row],[number_of_purchases]]</f>
        <v>911.86111111111109</v>
      </c>
      <c r="L670" s="2">
        <f>IF(YEAR(Table134[[#This Row],[Last_Day]])=2021,5,IF(YEAR(Table134[[#This Row],[Last_Day]])=2022,7,IF(YEAR(Table134[[#This Row],[Last_Day]])=2023,10,"Không xác định")))</f>
        <v>10</v>
      </c>
      <c r="M670" s="15">
        <f>Table134[[#This Row],[avg_number_of_purchases]]*Table1345[[#This Row],[avg_purchase_value]]*Table1345[[#This Row],[expected_lifespan]]</f>
        <v>39886.334886817574</v>
      </c>
      <c r="N670" t="s">
        <v>12048</v>
      </c>
    </row>
    <row r="671" spans="1:14" x14ac:dyDescent="0.3">
      <c r="A671" s="2" t="s">
        <v>669</v>
      </c>
      <c r="B671" s="2" t="s">
        <v>12040</v>
      </c>
      <c r="C671" s="2">
        <v>67</v>
      </c>
      <c r="D671" s="2" t="s">
        <v>12043</v>
      </c>
      <c r="E671" s="2">
        <f>COUNTIF(Table16[customer_id],Table13[[#This Row],[customer_id]])</f>
        <v>4</v>
      </c>
      <c r="F671" s="13">
        <f>SUMIFS(Table16[Purchase_history],Table16[customer_id],Table13[[#This Row],[customer_id]])</f>
        <v>16888.420000000002</v>
      </c>
      <c r="G671" s="20">
        <v>44247</v>
      </c>
      <c r="H671" s="21">
        <v>44853</v>
      </c>
      <c r="I671" s="15">
        <f>(Table134[[#This Row],[Last_Day]]-Table134[[#This Row],[First_Day]]+1)/365</f>
        <v>1.6630136986301369</v>
      </c>
      <c r="J671" s="59">
        <f>Table134[[#This Row],[number_of_purchases]]/Table134[[#This Row],[customer_total_years]]</f>
        <v>2.4052718286655685</v>
      </c>
      <c r="K671" s="13">
        <f>Table134[[#This Row],[purchase_history]]/Table134[[#This Row],[number_of_purchases]]</f>
        <v>4222.1050000000005</v>
      </c>
      <c r="L671" s="2">
        <f>IF(YEAR(Table134[[#This Row],[Last_Day]])=2021,5,IF(YEAR(Table134[[#This Row],[Last_Day]])=2022,7,IF(YEAR(Table134[[#This Row],[Last_Day]])=2023,10,"Không xác định")))</f>
        <v>7</v>
      </c>
      <c r="M671" s="15">
        <f>Table134[[#This Row],[avg_number_of_purchases]]*Table1345[[#This Row],[avg_purchase_value]]*Table1345[[#This Row],[expected_lifespan]]</f>
        <v>71087.171499176286</v>
      </c>
      <c r="N671" t="s">
        <v>12042</v>
      </c>
    </row>
    <row r="672" spans="1:14" x14ac:dyDescent="0.3">
      <c r="A672" s="2" t="s">
        <v>670</v>
      </c>
      <c r="B672" s="2" t="s">
        <v>12045</v>
      </c>
      <c r="C672" s="2">
        <v>43</v>
      </c>
      <c r="D672" s="2" t="s">
        <v>12049</v>
      </c>
      <c r="E672" s="2">
        <f>COUNTIF(Table16[customer_id],Table13[[#This Row],[customer_id]])</f>
        <v>6</v>
      </c>
      <c r="F672" s="13">
        <f>SUMIFS(Table16[Purchase_history],Table16[customer_id],Table13[[#This Row],[customer_id]])</f>
        <v>21162.77</v>
      </c>
      <c r="G672" s="20">
        <v>44289</v>
      </c>
      <c r="H672" s="21">
        <v>44806</v>
      </c>
      <c r="I672" s="15">
        <f>(Table134[[#This Row],[Last_Day]]-Table134[[#This Row],[First_Day]]+1)/365</f>
        <v>1.4191780821917808</v>
      </c>
      <c r="J672" s="59">
        <f>Table134[[#This Row],[number_of_purchases]]/Table134[[#This Row],[customer_total_years]]</f>
        <v>4.2277992277992276</v>
      </c>
      <c r="K672" s="13">
        <f>Table134[[#This Row],[purchase_history]]/Table134[[#This Row],[number_of_purchases]]</f>
        <v>3527.1283333333336</v>
      </c>
      <c r="L672" s="2">
        <f>IF(YEAR(Table134[[#This Row],[Last_Day]])=2021,5,IF(YEAR(Table134[[#This Row],[Last_Day]])=2022,7,IF(YEAR(Table134[[#This Row],[Last_Day]])=2023,10,"Không xác định")))</f>
        <v>7</v>
      </c>
      <c r="M672" s="15">
        <f>Table134[[#This Row],[avg_number_of_purchases]]*Table1345[[#This Row],[avg_purchase_value]]*Table1345[[#This Row],[expected_lifespan]]</f>
        <v>104383.9331081081</v>
      </c>
      <c r="N672" t="s">
        <v>12046</v>
      </c>
    </row>
    <row r="673" spans="1:14" x14ac:dyDescent="0.3">
      <c r="A673" s="2" t="s">
        <v>671</v>
      </c>
      <c r="B673" s="2" t="s">
        <v>12040</v>
      </c>
      <c r="C673" s="2">
        <v>65</v>
      </c>
      <c r="D673" s="2" t="s">
        <v>12043</v>
      </c>
      <c r="E673" s="2">
        <f>COUNTIF(Table16[customer_id],Table13[[#This Row],[customer_id]])</f>
        <v>6</v>
      </c>
      <c r="F673" s="13">
        <f>SUMIFS(Table16[Purchase_history],Table16[customer_id],Table13[[#This Row],[customer_id]])</f>
        <v>13955.939999999999</v>
      </c>
      <c r="G673" s="20">
        <v>44202</v>
      </c>
      <c r="H673" s="21">
        <v>44862</v>
      </c>
      <c r="I673" s="15">
        <f>(Table134[[#This Row],[Last_Day]]-Table134[[#This Row],[First_Day]]+1)/365</f>
        <v>1.810958904109589</v>
      </c>
      <c r="J673" s="59">
        <f>Table134[[#This Row],[number_of_purchases]]/Table134[[#This Row],[customer_total_years]]</f>
        <v>3.313161875945537</v>
      </c>
      <c r="K673" s="13">
        <f>Table134[[#This Row],[purchase_history]]/Table134[[#This Row],[number_of_purchases]]</f>
        <v>2325.9899999999998</v>
      </c>
      <c r="L673" s="2">
        <f>IF(YEAR(Table134[[#This Row],[Last_Day]])=2021,5,IF(YEAR(Table134[[#This Row],[Last_Day]])=2022,7,IF(YEAR(Table134[[#This Row],[Last_Day]])=2023,10,"Không xác định")))</f>
        <v>7</v>
      </c>
      <c r="M673" s="15">
        <f>Table134[[#This Row],[avg_number_of_purchases]]*Table1345[[#This Row],[avg_purchase_value]]*Table1345[[#This Row],[expected_lifespan]]</f>
        <v>53944.669742813909</v>
      </c>
      <c r="N673" t="s">
        <v>12048</v>
      </c>
    </row>
    <row r="674" spans="1:14" x14ac:dyDescent="0.3">
      <c r="A674" s="2" t="s">
        <v>672</v>
      </c>
      <c r="B674" s="2" t="s">
        <v>12045</v>
      </c>
      <c r="C674" s="2">
        <v>22</v>
      </c>
      <c r="D674" s="2" t="s">
        <v>12043</v>
      </c>
      <c r="E674" s="2">
        <f>COUNTIF(Table16[customer_id],Table13[[#This Row],[customer_id]])</f>
        <v>7</v>
      </c>
      <c r="F674" s="13">
        <f>SUMIFS(Table16[Purchase_history],Table16[customer_id],Table13[[#This Row],[customer_id]])</f>
        <v>29736.339999999997</v>
      </c>
      <c r="G674" s="20">
        <v>44445</v>
      </c>
      <c r="H674" s="21">
        <v>44931</v>
      </c>
      <c r="I674" s="15">
        <f>(Table134[[#This Row],[Last_Day]]-Table134[[#This Row],[First_Day]]+1)/365</f>
        <v>1.3342465753424657</v>
      </c>
      <c r="J674" s="59">
        <f>Table134[[#This Row],[number_of_purchases]]/Table134[[#This Row],[customer_total_years]]</f>
        <v>5.2464065708418897</v>
      </c>
      <c r="K674" s="13">
        <f>Table134[[#This Row],[purchase_history]]/Table134[[#This Row],[number_of_purchases]]</f>
        <v>4248.0485714285705</v>
      </c>
      <c r="L674" s="2">
        <f>IF(YEAR(Table134[[#This Row],[Last_Day]])=2021,5,IF(YEAR(Table134[[#This Row],[Last_Day]])=2022,7,IF(YEAR(Table134[[#This Row],[Last_Day]])=2023,10,"Không xác định")))</f>
        <v>10</v>
      </c>
      <c r="M674" s="15">
        <f>Table134[[#This Row],[avg_number_of_purchases]]*Table1345[[#This Row],[avg_purchase_value]]*Table1345[[#This Row],[expected_lifespan]]</f>
        <v>222869.89938398355</v>
      </c>
      <c r="N674" t="s">
        <v>12048</v>
      </c>
    </row>
    <row r="675" spans="1:14" x14ac:dyDescent="0.3">
      <c r="A675" s="2" t="s">
        <v>673</v>
      </c>
      <c r="B675" s="2" t="s">
        <v>12040</v>
      </c>
      <c r="C675" s="2">
        <v>34</v>
      </c>
      <c r="D675" s="2" t="s">
        <v>12049</v>
      </c>
      <c r="E675" s="2">
        <f>COUNTIF(Table16[customer_id],Table13[[#This Row],[customer_id]])</f>
        <v>6</v>
      </c>
      <c r="F675" s="13">
        <f>SUMIFS(Table16[Purchase_history],Table16[customer_id],Table13[[#This Row],[customer_id]])</f>
        <v>22765.86</v>
      </c>
      <c r="G675" s="20">
        <v>44287</v>
      </c>
      <c r="H675" s="21">
        <v>44972</v>
      </c>
      <c r="I675" s="15">
        <f>(Table134[[#This Row],[Last_Day]]-Table134[[#This Row],[First_Day]]+1)/365</f>
        <v>1.8794520547945206</v>
      </c>
      <c r="J675" s="59">
        <f>Table134[[#This Row],[number_of_purchases]]/Table134[[#This Row],[customer_total_years]]</f>
        <v>3.1924198250728861</v>
      </c>
      <c r="K675" s="13">
        <f>Table134[[#This Row],[purchase_history]]/Table134[[#This Row],[number_of_purchases]]</f>
        <v>3794.31</v>
      </c>
      <c r="L675" s="2">
        <f>IF(YEAR(Table134[[#This Row],[Last_Day]])=2021,5,IF(YEAR(Table134[[#This Row],[Last_Day]])=2022,7,IF(YEAR(Table134[[#This Row],[Last_Day]])=2023,10,"Không xác định")))</f>
        <v>10</v>
      </c>
      <c r="M675" s="15">
        <f>Table134[[#This Row],[avg_number_of_purchases]]*Table1345[[#This Row],[avg_purchase_value]]*Table1345[[#This Row],[expected_lifespan]]</f>
        <v>121130.30466472302</v>
      </c>
      <c r="N675" t="s">
        <v>12047</v>
      </c>
    </row>
    <row r="676" spans="1:14" x14ac:dyDescent="0.3">
      <c r="A676" s="2" t="s">
        <v>674</v>
      </c>
      <c r="B676" s="2" t="s">
        <v>12045</v>
      </c>
      <c r="C676" s="2">
        <v>46</v>
      </c>
      <c r="D676" s="2" t="s">
        <v>12043</v>
      </c>
      <c r="E676" s="2">
        <f>COUNTIF(Table16[customer_id],Table13[[#This Row],[customer_id]])</f>
        <v>5</v>
      </c>
      <c r="F676" s="13">
        <f>SUMIFS(Table16[Purchase_history],Table16[customer_id],Table13[[#This Row],[customer_id]])</f>
        <v>844.59999999999991</v>
      </c>
      <c r="G676" s="20">
        <v>44377</v>
      </c>
      <c r="H676" s="21">
        <v>44933</v>
      </c>
      <c r="I676" s="15">
        <f>(Table134[[#This Row],[Last_Day]]-Table134[[#This Row],[First_Day]]+1)/365</f>
        <v>1.526027397260274</v>
      </c>
      <c r="J676" s="59">
        <f>Table134[[#This Row],[number_of_purchases]]/Table134[[#This Row],[customer_total_years]]</f>
        <v>3.2764811490125672</v>
      </c>
      <c r="K676" s="13">
        <f>Table134[[#This Row],[purchase_history]]/Table134[[#This Row],[number_of_purchases]]</f>
        <v>168.92</v>
      </c>
      <c r="L676" s="2">
        <f>IF(YEAR(Table134[[#This Row],[Last_Day]])=2021,5,IF(YEAR(Table134[[#This Row],[Last_Day]])=2022,7,IF(YEAR(Table134[[#This Row],[Last_Day]])=2023,10,"Không xác định")))</f>
        <v>10</v>
      </c>
      <c r="M676" s="15">
        <f>Table134[[#This Row],[avg_number_of_purchases]]*Table1345[[#This Row],[avg_purchase_value]]*Table1345[[#This Row],[expected_lifespan]]</f>
        <v>5534.6319569120278</v>
      </c>
      <c r="N676" t="s">
        <v>12044</v>
      </c>
    </row>
    <row r="677" spans="1:14" x14ac:dyDescent="0.3">
      <c r="A677" s="2" t="s">
        <v>675</v>
      </c>
      <c r="B677" s="2" t="s">
        <v>12040</v>
      </c>
      <c r="C677" s="2">
        <v>67</v>
      </c>
      <c r="D677" s="2" t="s">
        <v>12049</v>
      </c>
      <c r="E677" s="2">
        <f>COUNTIF(Table16[customer_id],Table13[[#This Row],[customer_id]])</f>
        <v>6</v>
      </c>
      <c r="F677" s="13">
        <f>SUMIFS(Table16[Purchase_history],Table16[customer_id],Table13[[#This Row],[customer_id]])</f>
        <v>4102.8300000000008</v>
      </c>
      <c r="G677" s="20">
        <v>44226</v>
      </c>
      <c r="H677" s="21">
        <v>44665</v>
      </c>
      <c r="I677" s="15">
        <f>(Table134[[#This Row],[Last_Day]]-Table134[[#This Row],[First_Day]]+1)/365</f>
        <v>1.2054794520547945</v>
      </c>
      <c r="J677" s="59">
        <f>Table134[[#This Row],[number_of_purchases]]/Table134[[#This Row],[customer_total_years]]</f>
        <v>4.9772727272727275</v>
      </c>
      <c r="K677" s="13">
        <f>Table134[[#This Row],[purchase_history]]/Table134[[#This Row],[number_of_purchases]]</f>
        <v>683.80500000000018</v>
      </c>
      <c r="L677" s="2">
        <f>IF(YEAR(Table134[[#This Row],[Last_Day]])=2021,5,IF(YEAR(Table134[[#This Row],[Last_Day]])=2022,7,IF(YEAR(Table134[[#This Row],[Last_Day]])=2023,10,"Không xác định")))</f>
        <v>7</v>
      </c>
      <c r="M677" s="15">
        <f>Table134[[#This Row],[avg_number_of_purchases]]*Table1345[[#This Row],[avg_purchase_value]]*Table1345[[#This Row],[expected_lifespan]]</f>
        <v>23824.387840909098</v>
      </c>
      <c r="N677" t="s">
        <v>12048</v>
      </c>
    </row>
    <row r="678" spans="1:14" x14ac:dyDescent="0.3">
      <c r="A678" s="2" t="s">
        <v>676</v>
      </c>
      <c r="B678" s="2" t="s">
        <v>12045</v>
      </c>
      <c r="C678" s="2">
        <v>38</v>
      </c>
      <c r="D678" s="2" t="s">
        <v>12043</v>
      </c>
      <c r="E678" s="2">
        <f>COUNTIF(Table16[customer_id],Table13[[#This Row],[customer_id]])</f>
        <v>7</v>
      </c>
      <c r="F678" s="13">
        <f>SUMIFS(Table16[Purchase_history],Table16[customer_id],Table13[[#This Row],[customer_id]])</f>
        <v>28257.169999999995</v>
      </c>
      <c r="G678" s="20">
        <v>44302</v>
      </c>
      <c r="H678" s="21">
        <v>44972</v>
      </c>
      <c r="I678" s="15">
        <f>(Table134[[#This Row],[Last_Day]]-Table134[[#This Row],[First_Day]]+1)/365</f>
        <v>1.8383561643835618</v>
      </c>
      <c r="J678" s="59">
        <f>Table134[[#This Row],[number_of_purchases]]/Table134[[#This Row],[customer_total_years]]</f>
        <v>3.8077496274217584</v>
      </c>
      <c r="K678" s="13">
        <f>Table134[[#This Row],[purchase_history]]/Table134[[#This Row],[number_of_purchases]]</f>
        <v>4036.7385714285706</v>
      </c>
      <c r="L678" s="2">
        <f>IF(YEAR(Table134[[#This Row],[Last_Day]])=2021,5,IF(YEAR(Table134[[#This Row],[Last_Day]])=2022,7,IF(YEAR(Table134[[#This Row],[Last_Day]])=2023,10,"Không xác định")))</f>
        <v>10</v>
      </c>
      <c r="M678" s="15">
        <f>Table134[[#This Row],[avg_number_of_purchases]]*Table1345[[#This Row],[avg_purchase_value]]*Table1345[[#This Row],[expected_lifespan]]</f>
        <v>153708.89791356181</v>
      </c>
      <c r="N678" t="s">
        <v>12044</v>
      </c>
    </row>
    <row r="679" spans="1:14" x14ac:dyDescent="0.3">
      <c r="A679" s="2" t="s">
        <v>677</v>
      </c>
      <c r="B679" s="2" t="s">
        <v>12040</v>
      </c>
      <c r="C679" s="2">
        <v>31</v>
      </c>
      <c r="D679" s="2" t="s">
        <v>12049</v>
      </c>
      <c r="E679" s="2">
        <f>COUNTIF(Table16[customer_id],Table13[[#This Row],[customer_id]])</f>
        <v>1</v>
      </c>
      <c r="F679" s="13">
        <f>SUMIFS(Table16[Purchase_history],Table16[customer_id],Table13[[#This Row],[customer_id]])</f>
        <v>187.68</v>
      </c>
      <c r="G679" s="20">
        <v>44568</v>
      </c>
      <c r="H679" s="21">
        <v>44568</v>
      </c>
      <c r="I679" s="15">
        <f>(Table134[[#This Row],[Last_Day]]-Table134[[#This Row],[First_Day]]+1)/365</f>
        <v>2.7397260273972603E-3</v>
      </c>
      <c r="J679" s="59">
        <f>Table134[[#This Row],[number_of_purchases]]/Table134[[#This Row],[customer_total_years]]</f>
        <v>365</v>
      </c>
      <c r="K679" s="13">
        <f>Table134[[#This Row],[purchase_history]]/Table134[[#This Row],[number_of_purchases]]</f>
        <v>187.68</v>
      </c>
      <c r="L679" s="2">
        <f>IF(YEAR(Table134[[#This Row],[Last_Day]])=2021,5,IF(YEAR(Table134[[#This Row],[Last_Day]])=2022,7,IF(YEAR(Table134[[#This Row],[Last_Day]])=2023,10,"Không xác định")))</f>
        <v>7</v>
      </c>
      <c r="M679" s="15">
        <f>Table134[[#This Row],[avg_number_of_purchases]]*Table1345[[#This Row],[avg_purchase_value]]*Table1345[[#This Row],[expected_lifespan]]</f>
        <v>479522.39999999997</v>
      </c>
      <c r="N679" t="s">
        <v>12042</v>
      </c>
    </row>
    <row r="680" spans="1:14" x14ac:dyDescent="0.3">
      <c r="A680" s="2" t="s">
        <v>678</v>
      </c>
      <c r="B680" s="2" t="s">
        <v>12045</v>
      </c>
      <c r="C680" s="2">
        <v>24</v>
      </c>
      <c r="D680" s="2" t="s">
        <v>12041</v>
      </c>
      <c r="E680" s="2">
        <f>COUNTIF(Table16[customer_id],Table13[[#This Row],[customer_id]])</f>
        <v>3</v>
      </c>
      <c r="F680" s="13">
        <f>SUMIFS(Table16[Purchase_history],Table16[customer_id],Table13[[#This Row],[customer_id]])</f>
        <v>6111.03</v>
      </c>
      <c r="G680" s="20">
        <v>44199</v>
      </c>
      <c r="H680" s="21">
        <v>44616</v>
      </c>
      <c r="I680" s="15">
        <f>(Table134[[#This Row],[Last_Day]]-Table134[[#This Row],[First_Day]]+1)/365</f>
        <v>1.1452054794520548</v>
      </c>
      <c r="J680" s="59">
        <f>Table134[[#This Row],[number_of_purchases]]/Table134[[#This Row],[customer_total_years]]</f>
        <v>2.6196172248803831</v>
      </c>
      <c r="K680" s="13">
        <f>Table134[[#This Row],[purchase_history]]/Table134[[#This Row],[number_of_purchases]]</f>
        <v>2037.01</v>
      </c>
      <c r="L680" s="2">
        <f>IF(YEAR(Table134[[#This Row],[Last_Day]])=2021,5,IF(YEAR(Table134[[#This Row],[Last_Day]])=2022,7,IF(YEAR(Table134[[#This Row],[Last_Day]])=2023,10,"Không xác định")))</f>
        <v>7</v>
      </c>
      <c r="M680" s="15">
        <f>Table134[[#This Row],[avg_number_of_purchases]]*Table1345[[#This Row],[avg_purchase_value]]*Table1345[[#This Row],[expected_lifespan]]</f>
        <v>37353.305382775128</v>
      </c>
      <c r="N680" t="s">
        <v>12042</v>
      </c>
    </row>
    <row r="681" spans="1:14" x14ac:dyDescent="0.3">
      <c r="A681" s="2" t="s">
        <v>679</v>
      </c>
      <c r="B681" s="2" t="s">
        <v>12040</v>
      </c>
      <c r="C681" s="2">
        <v>49</v>
      </c>
      <c r="D681" s="2" t="s">
        <v>12043</v>
      </c>
      <c r="E681" s="2">
        <f>COUNTIF(Table16[customer_id],Table13[[#This Row],[customer_id]])</f>
        <v>3</v>
      </c>
      <c r="F681" s="13">
        <f>SUMIFS(Table16[Purchase_history],Table16[customer_id],Table13[[#This Row],[customer_id]])</f>
        <v>3243.2000000000003</v>
      </c>
      <c r="G681" s="20">
        <v>44297</v>
      </c>
      <c r="H681" s="21">
        <v>44693</v>
      </c>
      <c r="I681" s="15">
        <f>(Table134[[#This Row],[Last_Day]]-Table134[[#This Row],[First_Day]]+1)/365</f>
        <v>1.0876712328767124</v>
      </c>
      <c r="J681" s="59">
        <f>Table134[[#This Row],[number_of_purchases]]/Table134[[#This Row],[customer_total_years]]</f>
        <v>2.7581863979848866</v>
      </c>
      <c r="K681" s="13">
        <f>Table134[[#This Row],[purchase_history]]/Table134[[#This Row],[number_of_purchases]]</f>
        <v>1081.0666666666668</v>
      </c>
      <c r="L681" s="2">
        <f>IF(YEAR(Table134[[#This Row],[Last_Day]])=2021,5,IF(YEAR(Table134[[#This Row],[Last_Day]])=2022,7,IF(YEAR(Table134[[#This Row],[Last_Day]])=2023,10,"Không xác định")))</f>
        <v>7</v>
      </c>
      <c r="M681" s="15">
        <f>Table134[[#This Row],[avg_number_of_purchases]]*Table1345[[#This Row],[avg_purchase_value]]*Table1345[[#This Row],[expected_lifespan]]</f>
        <v>20872.483627204034</v>
      </c>
      <c r="N681" t="s">
        <v>12047</v>
      </c>
    </row>
    <row r="682" spans="1:14" x14ac:dyDescent="0.3">
      <c r="A682" s="2" t="s">
        <v>680</v>
      </c>
      <c r="B682" s="2" t="s">
        <v>12045</v>
      </c>
      <c r="C682" s="2">
        <v>50</v>
      </c>
      <c r="D682" s="2" t="s">
        <v>12041</v>
      </c>
      <c r="E682" s="2">
        <f>COUNTIF(Table16[customer_id],Table13[[#This Row],[customer_id]])</f>
        <v>3</v>
      </c>
      <c r="F682" s="13">
        <f>SUMIFS(Table16[Purchase_history],Table16[customer_id],Table13[[#This Row],[customer_id]])</f>
        <v>11219.31</v>
      </c>
      <c r="G682" s="20">
        <v>44256</v>
      </c>
      <c r="H682" s="21">
        <v>44712</v>
      </c>
      <c r="I682" s="15">
        <f>(Table134[[#This Row],[Last_Day]]-Table134[[#This Row],[First_Day]]+1)/365</f>
        <v>1.252054794520548</v>
      </c>
      <c r="J682" s="59">
        <f>Table134[[#This Row],[number_of_purchases]]/Table134[[#This Row],[customer_total_years]]</f>
        <v>2.3960612691466081</v>
      </c>
      <c r="K682" s="13">
        <f>Table134[[#This Row],[purchase_history]]/Table134[[#This Row],[number_of_purchases]]</f>
        <v>3739.77</v>
      </c>
      <c r="L682" s="2">
        <f>IF(YEAR(Table134[[#This Row],[Last_Day]])=2021,5,IF(YEAR(Table134[[#This Row],[Last_Day]])=2022,7,IF(YEAR(Table134[[#This Row],[Last_Day]])=2023,10,"Không xác định")))</f>
        <v>7</v>
      </c>
      <c r="M682" s="15">
        <f>Table134[[#This Row],[avg_number_of_purchases]]*Table1345[[#This Row],[avg_purchase_value]]*Table1345[[#This Row],[expected_lifespan]]</f>
        <v>62725.026367614875</v>
      </c>
      <c r="N682" t="s">
        <v>12047</v>
      </c>
    </row>
    <row r="683" spans="1:14" x14ac:dyDescent="0.3">
      <c r="A683" s="2" t="s">
        <v>681</v>
      </c>
      <c r="B683" s="2" t="s">
        <v>12045</v>
      </c>
      <c r="C683" s="2">
        <v>69</v>
      </c>
      <c r="D683" s="2" t="s">
        <v>12041</v>
      </c>
      <c r="E683" s="2">
        <f>COUNTIF(Table16[customer_id],Table13[[#This Row],[customer_id]])</f>
        <v>3</v>
      </c>
      <c r="F683" s="13">
        <f>SUMIFS(Table16[Purchase_history],Table16[customer_id],Table13[[#This Row],[customer_id]])</f>
        <v>7558.76</v>
      </c>
      <c r="G683" s="20">
        <v>44674</v>
      </c>
      <c r="H683" s="21">
        <v>44991</v>
      </c>
      <c r="I683" s="15">
        <f>(Table134[[#This Row],[Last_Day]]-Table134[[#This Row],[First_Day]]+1)/365</f>
        <v>0.87123287671232874</v>
      </c>
      <c r="J683" s="59">
        <f>Table134[[#This Row],[number_of_purchases]]/Table134[[#This Row],[customer_total_years]]</f>
        <v>3.4433962264150946</v>
      </c>
      <c r="K683" s="13">
        <f>Table134[[#This Row],[purchase_history]]/Table134[[#This Row],[number_of_purchases]]</f>
        <v>2519.5866666666666</v>
      </c>
      <c r="L683" s="2">
        <f>IF(YEAR(Table134[[#This Row],[Last_Day]])=2021,5,IF(YEAR(Table134[[#This Row],[Last_Day]])=2022,7,IF(YEAR(Table134[[#This Row],[Last_Day]])=2023,10,"Không xác định")))</f>
        <v>10</v>
      </c>
      <c r="M683" s="15">
        <f>Table134[[#This Row],[avg_number_of_purchases]]*Table1345[[#This Row],[avg_purchase_value]]*Table1345[[#This Row],[expected_lifespan]]</f>
        <v>86759.352201257861</v>
      </c>
      <c r="N683" t="s">
        <v>12044</v>
      </c>
    </row>
    <row r="684" spans="1:14" x14ac:dyDescent="0.3">
      <c r="A684" s="2" t="s">
        <v>682</v>
      </c>
      <c r="B684" s="2" t="s">
        <v>12045</v>
      </c>
      <c r="C684" s="2">
        <v>40</v>
      </c>
      <c r="D684" s="2" t="s">
        <v>12041</v>
      </c>
      <c r="E684" s="2">
        <f>COUNTIF(Table16[customer_id],Table13[[#This Row],[customer_id]])</f>
        <v>8</v>
      </c>
      <c r="F684" s="13">
        <f>SUMIFS(Table16[Purchase_history],Table16[customer_id],Table13[[#This Row],[customer_id]])</f>
        <v>3660.2600000000007</v>
      </c>
      <c r="G684" s="20">
        <v>44211</v>
      </c>
      <c r="H684" s="21">
        <v>44783</v>
      </c>
      <c r="I684" s="15">
        <f>(Table134[[#This Row],[Last_Day]]-Table134[[#This Row],[First_Day]]+1)/365</f>
        <v>1.5698630136986302</v>
      </c>
      <c r="J684" s="59">
        <f>Table134[[#This Row],[number_of_purchases]]/Table134[[#This Row],[customer_total_years]]</f>
        <v>5.0959860383944147</v>
      </c>
      <c r="K684" s="13">
        <f>Table134[[#This Row],[purchase_history]]/Table134[[#This Row],[number_of_purchases]]</f>
        <v>457.53250000000008</v>
      </c>
      <c r="L684" s="2">
        <f>IF(YEAR(Table134[[#This Row],[Last_Day]])=2021,5,IF(YEAR(Table134[[#This Row],[Last_Day]])=2022,7,IF(YEAR(Table134[[#This Row],[Last_Day]])=2023,10,"Không xác định")))</f>
        <v>7</v>
      </c>
      <c r="M684" s="15">
        <f>Table134[[#This Row],[avg_number_of_purchases]]*Table1345[[#This Row],[avg_purchase_value]]*Table1345[[#This Row],[expected_lifespan]]</f>
        <v>16321.054624781849</v>
      </c>
      <c r="N684" t="s">
        <v>12044</v>
      </c>
    </row>
    <row r="685" spans="1:14" x14ac:dyDescent="0.3">
      <c r="A685" s="2" t="s">
        <v>683</v>
      </c>
      <c r="B685" s="2" t="s">
        <v>12040</v>
      </c>
      <c r="C685" s="2">
        <v>56</v>
      </c>
      <c r="D685" s="2" t="s">
        <v>12041</v>
      </c>
      <c r="E685" s="2">
        <f>COUNTIF(Table16[customer_id],Table13[[#This Row],[customer_id]])</f>
        <v>4</v>
      </c>
      <c r="F685" s="13">
        <f>SUMIFS(Table16[Purchase_history],Table16[customer_id],Table13[[#This Row],[customer_id]])</f>
        <v>2294.3199999999997</v>
      </c>
      <c r="G685" s="20">
        <v>44391</v>
      </c>
      <c r="H685" s="21">
        <v>44990</v>
      </c>
      <c r="I685" s="15">
        <f>(Table134[[#This Row],[Last_Day]]-Table134[[#This Row],[First_Day]]+1)/365</f>
        <v>1.6438356164383561</v>
      </c>
      <c r="J685" s="59">
        <f>Table134[[#This Row],[number_of_purchases]]/Table134[[#This Row],[customer_total_years]]</f>
        <v>2.4333333333333336</v>
      </c>
      <c r="K685" s="13">
        <f>Table134[[#This Row],[purchase_history]]/Table134[[#This Row],[number_of_purchases]]</f>
        <v>573.57999999999993</v>
      </c>
      <c r="L685" s="2">
        <f>IF(YEAR(Table134[[#This Row],[Last_Day]])=2021,5,IF(YEAR(Table134[[#This Row],[Last_Day]])=2022,7,IF(YEAR(Table134[[#This Row],[Last_Day]])=2023,10,"Không xác định")))</f>
        <v>10</v>
      </c>
      <c r="M685" s="15">
        <f>Table134[[#This Row],[avg_number_of_purchases]]*Table1345[[#This Row],[avg_purchase_value]]*Table1345[[#This Row],[expected_lifespan]]</f>
        <v>13957.113333333331</v>
      </c>
      <c r="N685" t="s">
        <v>12044</v>
      </c>
    </row>
    <row r="686" spans="1:14" x14ac:dyDescent="0.3">
      <c r="A686" s="2" t="s">
        <v>684</v>
      </c>
      <c r="B686" s="2" t="s">
        <v>12040</v>
      </c>
      <c r="C686" s="2">
        <v>23</v>
      </c>
      <c r="D686" s="2" t="s">
        <v>12041</v>
      </c>
      <c r="E686" s="2">
        <f>COUNTIF(Table16[customer_id],Table13[[#This Row],[customer_id]])</f>
        <v>4</v>
      </c>
      <c r="F686" s="13">
        <f>SUMIFS(Table16[Purchase_history],Table16[customer_id],Table13[[#This Row],[customer_id]])</f>
        <v>1971.6</v>
      </c>
      <c r="G686" s="20">
        <v>44304</v>
      </c>
      <c r="H686" s="21">
        <v>44977</v>
      </c>
      <c r="I686" s="15">
        <f>(Table134[[#This Row],[Last_Day]]-Table134[[#This Row],[First_Day]]+1)/365</f>
        <v>1.8465753424657534</v>
      </c>
      <c r="J686" s="59">
        <f>Table134[[#This Row],[number_of_purchases]]/Table134[[#This Row],[customer_total_years]]</f>
        <v>2.1661721068249258</v>
      </c>
      <c r="K686" s="13">
        <f>Table134[[#This Row],[purchase_history]]/Table134[[#This Row],[number_of_purchases]]</f>
        <v>492.9</v>
      </c>
      <c r="L686" s="2">
        <f>IF(YEAR(Table134[[#This Row],[Last_Day]])=2021,5,IF(YEAR(Table134[[#This Row],[Last_Day]])=2022,7,IF(YEAR(Table134[[#This Row],[Last_Day]])=2023,10,"Không xác định")))</f>
        <v>10</v>
      </c>
      <c r="M686" s="15">
        <f>Table134[[#This Row],[avg_number_of_purchases]]*Table1345[[#This Row],[avg_purchase_value]]*Table1345[[#This Row],[expected_lifespan]]</f>
        <v>10677.062314540057</v>
      </c>
      <c r="N686" t="s">
        <v>12042</v>
      </c>
    </row>
    <row r="687" spans="1:14" x14ac:dyDescent="0.3">
      <c r="A687" s="2" t="s">
        <v>685</v>
      </c>
      <c r="B687" s="2" t="s">
        <v>12045</v>
      </c>
      <c r="C687" s="2">
        <v>36</v>
      </c>
      <c r="D687" s="2" t="s">
        <v>12043</v>
      </c>
      <c r="E687" s="2">
        <f>COUNTIF(Table16[customer_id],Table13[[#This Row],[customer_id]])</f>
        <v>4</v>
      </c>
      <c r="F687" s="13">
        <f>SUMIFS(Table16[Purchase_history],Table16[customer_id],Table13[[#This Row],[customer_id]])</f>
        <v>998.20999999999992</v>
      </c>
      <c r="G687" s="20">
        <v>44387</v>
      </c>
      <c r="H687" s="21">
        <v>44690</v>
      </c>
      <c r="I687" s="15">
        <f>(Table134[[#This Row],[Last_Day]]-Table134[[#This Row],[First_Day]]+1)/365</f>
        <v>0.83287671232876714</v>
      </c>
      <c r="J687" s="59">
        <f>Table134[[#This Row],[number_of_purchases]]/Table134[[#This Row],[customer_total_years]]</f>
        <v>4.8026315789473681</v>
      </c>
      <c r="K687" s="13">
        <f>Table134[[#This Row],[purchase_history]]/Table134[[#This Row],[number_of_purchases]]</f>
        <v>249.55249999999998</v>
      </c>
      <c r="L687" s="2">
        <f>IF(YEAR(Table134[[#This Row],[Last_Day]])=2021,5,IF(YEAR(Table134[[#This Row],[Last_Day]])=2022,7,IF(YEAR(Table134[[#This Row],[Last_Day]])=2023,10,"Không xác định")))</f>
        <v>7</v>
      </c>
      <c r="M687" s="15">
        <f>Table134[[#This Row],[avg_number_of_purchases]]*Table1345[[#This Row],[avg_purchase_value]]*Table1345[[#This Row],[expected_lifespan]]</f>
        <v>8389.5610197368405</v>
      </c>
      <c r="N687" t="s">
        <v>12047</v>
      </c>
    </row>
    <row r="688" spans="1:14" x14ac:dyDescent="0.3">
      <c r="A688" s="2" t="s">
        <v>686</v>
      </c>
      <c r="B688" s="2" t="s">
        <v>12045</v>
      </c>
      <c r="C688" s="2">
        <v>24</v>
      </c>
      <c r="D688" s="2" t="s">
        <v>12041</v>
      </c>
      <c r="E688" s="2">
        <f>COUNTIF(Table16[customer_id],Table13[[#This Row],[customer_id]])</f>
        <v>7</v>
      </c>
      <c r="F688" s="13">
        <f>SUMIFS(Table16[Purchase_history],Table16[customer_id],Table13[[#This Row],[customer_id]])</f>
        <v>32427.26</v>
      </c>
      <c r="G688" s="20">
        <v>44340</v>
      </c>
      <c r="H688" s="21">
        <v>44928</v>
      </c>
      <c r="I688" s="15">
        <f>(Table134[[#This Row],[Last_Day]]-Table134[[#This Row],[First_Day]]+1)/365</f>
        <v>1.6136986301369862</v>
      </c>
      <c r="J688" s="59">
        <f>Table134[[#This Row],[number_of_purchases]]/Table134[[#This Row],[customer_total_years]]</f>
        <v>4.3378607809847205</v>
      </c>
      <c r="K688" s="13">
        <f>Table134[[#This Row],[purchase_history]]/Table134[[#This Row],[number_of_purchases]]</f>
        <v>4632.4657142857141</v>
      </c>
      <c r="L688" s="2">
        <f>IF(YEAR(Table134[[#This Row],[Last_Day]])=2021,5,IF(YEAR(Table134[[#This Row],[Last_Day]])=2022,7,IF(YEAR(Table134[[#This Row],[Last_Day]])=2023,10,"Không xác định")))</f>
        <v>10</v>
      </c>
      <c r="M688" s="15">
        <f>Table134[[#This Row],[avg_number_of_purchases]]*Table1345[[#This Row],[avg_purchase_value]]*Table1345[[#This Row],[expected_lifespan]]</f>
        <v>200949.91341256368</v>
      </c>
      <c r="N688" t="s">
        <v>12048</v>
      </c>
    </row>
    <row r="689" spans="1:14" x14ac:dyDescent="0.3">
      <c r="A689" s="2" t="s">
        <v>687</v>
      </c>
      <c r="B689" s="2" t="s">
        <v>12040</v>
      </c>
      <c r="C689" s="2">
        <v>26</v>
      </c>
      <c r="D689" s="2" t="s">
        <v>12043</v>
      </c>
      <c r="E689" s="2">
        <f>COUNTIF(Table16[customer_id],Table13[[#This Row],[customer_id]])</f>
        <v>7</v>
      </c>
      <c r="F689" s="13">
        <f>SUMIFS(Table16[Purchase_history],Table16[customer_id],Table13[[#This Row],[customer_id]])</f>
        <v>17211.25</v>
      </c>
      <c r="G689" s="20">
        <v>44301</v>
      </c>
      <c r="H689" s="21">
        <v>44902</v>
      </c>
      <c r="I689" s="15">
        <f>(Table134[[#This Row],[Last_Day]]-Table134[[#This Row],[First_Day]]+1)/365</f>
        <v>1.6493150684931508</v>
      </c>
      <c r="J689" s="59">
        <f>Table134[[#This Row],[number_of_purchases]]/Table134[[#This Row],[customer_total_years]]</f>
        <v>4.2441860465116275</v>
      </c>
      <c r="K689" s="13">
        <f>Table134[[#This Row],[purchase_history]]/Table134[[#This Row],[number_of_purchases]]</f>
        <v>2458.75</v>
      </c>
      <c r="L689" s="2">
        <f>IF(YEAR(Table134[[#This Row],[Last_Day]])=2021,5,IF(YEAR(Table134[[#This Row],[Last_Day]])=2022,7,IF(YEAR(Table134[[#This Row],[Last_Day]])=2023,10,"Không xác định")))</f>
        <v>7</v>
      </c>
      <c r="M689" s="15">
        <f>Table134[[#This Row],[avg_number_of_purchases]]*Table1345[[#This Row],[avg_purchase_value]]*Table1345[[#This Row],[expected_lifespan]]</f>
        <v>73047.747093023252</v>
      </c>
      <c r="N689" t="s">
        <v>12047</v>
      </c>
    </row>
    <row r="690" spans="1:14" x14ac:dyDescent="0.3">
      <c r="A690" s="2" t="s">
        <v>688</v>
      </c>
      <c r="B690" s="2" t="s">
        <v>12045</v>
      </c>
      <c r="C690" s="2">
        <v>58</v>
      </c>
      <c r="D690" s="2" t="s">
        <v>12043</v>
      </c>
      <c r="E690" s="2">
        <f>COUNTIF(Table16[customer_id],Table13[[#This Row],[customer_id]])</f>
        <v>7</v>
      </c>
      <c r="F690" s="13">
        <f>SUMIFS(Table16[Purchase_history],Table16[customer_id],Table13[[#This Row],[customer_id]])</f>
        <v>11316.68</v>
      </c>
      <c r="G690" s="20">
        <v>44413</v>
      </c>
      <c r="H690" s="21">
        <v>44897</v>
      </c>
      <c r="I690" s="15">
        <f>(Table134[[#This Row],[Last_Day]]-Table134[[#This Row],[First_Day]]+1)/365</f>
        <v>1.3287671232876712</v>
      </c>
      <c r="J690" s="59">
        <f>Table134[[#This Row],[number_of_purchases]]/Table134[[#This Row],[customer_total_years]]</f>
        <v>5.268041237113402</v>
      </c>
      <c r="K690" s="13">
        <f>Table134[[#This Row],[purchase_history]]/Table134[[#This Row],[number_of_purchases]]</f>
        <v>1616.6685714285716</v>
      </c>
      <c r="L690" s="2">
        <f>IF(YEAR(Table134[[#This Row],[Last_Day]])=2021,5,IF(YEAR(Table134[[#This Row],[Last_Day]])=2022,7,IF(YEAR(Table134[[#This Row],[Last_Day]])=2023,10,"Không xác định")))</f>
        <v>7</v>
      </c>
      <c r="M690" s="15">
        <f>Table134[[#This Row],[avg_number_of_purchases]]*Table1345[[#This Row],[avg_purchase_value]]*Table1345[[#This Row],[expected_lifespan]]</f>
        <v>59616.736907216502</v>
      </c>
      <c r="N690" t="s">
        <v>12048</v>
      </c>
    </row>
    <row r="691" spans="1:14" x14ac:dyDescent="0.3">
      <c r="A691" s="2" t="s">
        <v>689</v>
      </c>
      <c r="B691" s="2" t="s">
        <v>12040</v>
      </c>
      <c r="C691" s="2">
        <v>20</v>
      </c>
      <c r="D691" s="2" t="s">
        <v>12041</v>
      </c>
      <c r="E691" s="2">
        <f>COUNTIF(Table16[customer_id],Table13[[#This Row],[customer_id]])</f>
        <v>8</v>
      </c>
      <c r="F691" s="13">
        <f>SUMIFS(Table16[Purchase_history],Table16[customer_id],Table13[[#This Row],[customer_id]])</f>
        <v>48517.66</v>
      </c>
      <c r="G691" s="20">
        <v>44247</v>
      </c>
      <c r="H691" s="21">
        <v>44911</v>
      </c>
      <c r="I691" s="15">
        <f>(Table134[[#This Row],[Last_Day]]-Table134[[#This Row],[First_Day]]+1)/365</f>
        <v>1.821917808219178</v>
      </c>
      <c r="J691" s="59">
        <f>Table134[[#This Row],[number_of_purchases]]/Table134[[#This Row],[customer_total_years]]</f>
        <v>4.3909774436090228</v>
      </c>
      <c r="K691" s="13">
        <f>Table134[[#This Row],[purchase_history]]/Table134[[#This Row],[number_of_purchases]]</f>
        <v>6064.7075000000004</v>
      </c>
      <c r="L691" s="2">
        <f>IF(YEAR(Table134[[#This Row],[Last_Day]])=2021,5,IF(YEAR(Table134[[#This Row],[Last_Day]])=2022,7,IF(YEAR(Table134[[#This Row],[Last_Day]])=2023,10,"Không xác định")))</f>
        <v>7</v>
      </c>
      <c r="M691" s="15">
        <f>Table134[[#This Row],[avg_number_of_purchases]]*Table1345[[#This Row],[avg_purchase_value]]*Table1345[[#This Row],[expected_lifespan]]</f>
        <v>186409.95684210528</v>
      </c>
      <c r="N691" t="s">
        <v>12047</v>
      </c>
    </row>
    <row r="692" spans="1:14" x14ac:dyDescent="0.3">
      <c r="A692" s="2" t="s">
        <v>690</v>
      </c>
      <c r="B692" s="2" t="s">
        <v>12040</v>
      </c>
      <c r="C692" s="2">
        <v>56</v>
      </c>
      <c r="D692" s="2" t="s">
        <v>12041</v>
      </c>
      <c r="E692" s="2">
        <f>COUNTIF(Table16[customer_id],Table13[[#This Row],[customer_id]])</f>
        <v>2</v>
      </c>
      <c r="F692" s="13">
        <f>SUMIFS(Table16[Purchase_history],Table16[customer_id],Table13[[#This Row],[customer_id]])</f>
        <v>5448.5999999999995</v>
      </c>
      <c r="G692" s="20">
        <v>44379</v>
      </c>
      <c r="H692" s="21">
        <v>44609</v>
      </c>
      <c r="I692" s="15">
        <f>(Table134[[#This Row],[Last_Day]]-Table134[[#This Row],[First_Day]]+1)/365</f>
        <v>0.63287671232876708</v>
      </c>
      <c r="J692" s="59">
        <f>Table134[[#This Row],[number_of_purchases]]/Table134[[#This Row],[customer_total_years]]</f>
        <v>3.1601731601731604</v>
      </c>
      <c r="K692" s="13">
        <f>Table134[[#This Row],[purchase_history]]/Table134[[#This Row],[number_of_purchases]]</f>
        <v>2724.2999999999997</v>
      </c>
      <c r="L692" s="2">
        <f>IF(YEAR(Table134[[#This Row],[Last_Day]])=2021,5,IF(YEAR(Table134[[#This Row],[Last_Day]])=2022,7,IF(YEAR(Table134[[#This Row],[Last_Day]])=2023,10,"Không xác định")))</f>
        <v>7</v>
      </c>
      <c r="M692" s="15">
        <f>Table134[[#This Row],[avg_number_of_purchases]]*Table1345[[#This Row],[avg_purchase_value]]*Table1345[[#This Row],[expected_lifespan]]</f>
        <v>60264.818181818184</v>
      </c>
      <c r="N692" t="s">
        <v>12048</v>
      </c>
    </row>
    <row r="693" spans="1:14" x14ac:dyDescent="0.3">
      <c r="A693" s="2" t="s">
        <v>691</v>
      </c>
      <c r="B693" s="2" t="s">
        <v>12040</v>
      </c>
      <c r="C693" s="2">
        <v>59</v>
      </c>
      <c r="D693" s="2" t="s">
        <v>12043</v>
      </c>
      <c r="E693" s="2">
        <f>COUNTIF(Table16[customer_id],Table13[[#This Row],[customer_id]])</f>
        <v>4</v>
      </c>
      <c r="F693" s="13">
        <f>SUMIFS(Table16[Purchase_history],Table16[customer_id],Table13[[#This Row],[customer_id]])</f>
        <v>15982.599999999999</v>
      </c>
      <c r="G693" s="20">
        <v>44261</v>
      </c>
      <c r="H693" s="21">
        <v>44707</v>
      </c>
      <c r="I693" s="15">
        <f>(Table134[[#This Row],[Last_Day]]-Table134[[#This Row],[First_Day]]+1)/365</f>
        <v>1.2246575342465753</v>
      </c>
      <c r="J693" s="59">
        <f>Table134[[#This Row],[number_of_purchases]]/Table134[[#This Row],[customer_total_years]]</f>
        <v>3.2662192393736018</v>
      </c>
      <c r="K693" s="13">
        <f>Table134[[#This Row],[purchase_history]]/Table134[[#This Row],[number_of_purchases]]</f>
        <v>3995.6499999999996</v>
      </c>
      <c r="L693" s="2">
        <f>IF(YEAR(Table134[[#This Row],[Last_Day]])=2021,5,IF(YEAR(Table134[[#This Row],[Last_Day]])=2022,7,IF(YEAR(Table134[[#This Row],[Last_Day]])=2023,10,"Không xác định")))</f>
        <v>7</v>
      </c>
      <c r="M693" s="15">
        <f>Table134[[#This Row],[avg_number_of_purchases]]*Table1345[[#This Row],[avg_purchase_value]]*Table1345[[#This Row],[expected_lifespan]]</f>
        <v>91354.682326621914</v>
      </c>
      <c r="N693" t="s">
        <v>12048</v>
      </c>
    </row>
    <row r="694" spans="1:14" x14ac:dyDescent="0.3">
      <c r="A694" s="2" t="s">
        <v>692</v>
      </c>
      <c r="B694" s="2" t="s">
        <v>12040</v>
      </c>
      <c r="C694" s="2">
        <v>69</v>
      </c>
      <c r="D694" s="2" t="s">
        <v>12041</v>
      </c>
      <c r="E694" s="2">
        <f>COUNTIF(Table16[customer_id],Table13[[#This Row],[customer_id]])</f>
        <v>6</v>
      </c>
      <c r="F694" s="13">
        <f>SUMIFS(Table16[Purchase_history],Table16[customer_id],Table13[[#This Row],[customer_id]])</f>
        <v>12109.300000000001</v>
      </c>
      <c r="G694" s="20">
        <v>44615</v>
      </c>
      <c r="H694" s="21">
        <v>44987</v>
      </c>
      <c r="I694" s="15">
        <f>(Table134[[#This Row],[Last_Day]]-Table134[[#This Row],[First_Day]]+1)/365</f>
        <v>1.021917808219178</v>
      </c>
      <c r="J694" s="59">
        <f>Table134[[#This Row],[number_of_purchases]]/Table134[[#This Row],[customer_total_years]]</f>
        <v>5.8713136729222528</v>
      </c>
      <c r="K694" s="13">
        <f>Table134[[#This Row],[purchase_history]]/Table134[[#This Row],[number_of_purchases]]</f>
        <v>2018.2166666666669</v>
      </c>
      <c r="L694" s="2">
        <f>IF(YEAR(Table134[[#This Row],[Last_Day]])=2021,5,IF(YEAR(Table134[[#This Row],[Last_Day]])=2022,7,IF(YEAR(Table134[[#This Row],[Last_Day]])=2023,10,"Không xác định")))</f>
        <v>10</v>
      </c>
      <c r="M694" s="15">
        <f>Table134[[#This Row],[avg_number_of_purchases]]*Table1345[[#This Row],[avg_purchase_value]]*Table1345[[#This Row],[expected_lifespan]]</f>
        <v>118495.83109919576</v>
      </c>
      <c r="N694" t="s">
        <v>12046</v>
      </c>
    </row>
    <row r="695" spans="1:14" x14ac:dyDescent="0.3">
      <c r="A695" s="2" t="s">
        <v>693</v>
      </c>
      <c r="B695" s="2" t="s">
        <v>12045</v>
      </c>
      <c r="C695" s="2">
        <v>30</v>
      </c>
      <c r="D695" s="2" t="s">
        <v>12043</v>
      </c>
      <c r="E695" s="2">
        <f>COUNTIF(Table16[customer_id],Table13[[#This Row],[customer_id]])</f>
        <v>4</v>
      </c>
      <c r="F695" s="13">
        <f>SUMIFS(Table16[Purchase_history],Table16[customer_id],Table13[[#This Row],[customer_id]])</f>
        <v>7567.8599999999988</v>
      </c>
      <c r="G695" s="20">
        <v>44322</v>
      </c>
      <c r="H695" s="21">
        <v>44848</v>
      </c>
      <c r="I695" s="15">
        <f>(Table134[[#This Row],[Last_Day]]-Table134[[#This Row],[First_Day]]+1)/365</f>
        <v>1.4438356164383561</v>
      </c>
      <c r="J695" s="59">
        <f>Table134[[#This Row],[number_of_purchases]]/Table134[[#This Row],[customer_total_years]]</f>
        <v>2.7703984819734346</v>
      </c>
      <c r="K695" s="13">
        <f>Table134[[#This Row],[purchase_history]]/Table134[[#This Row],[number_of_purchases]]</f>
        <v>1891.9649999999997</v>
      </c>
      <c r="L695" s="2">
        <f>IF(YEAR(Table134[[#This Row],[Last_Day]])=2021,5,IF(YEAR(Table134[[#This Row],[Last_Day]])=2022,7,IF(YEAR(Table134[[#This Row],[Last_Day]])=2023,10,"Không xác định")))</f>
        <v>7</v>
      </c>
      <c r="M695" s="15">
        <f>Table134[[#This Row],[avg_number_of_purchases]]*Table1345[[#This Row],[avg_purchase_value]]*Table1345[[#This Row],[expected_lifespan]]</f>
        <v>36690.478747628076</v>
      </c>
      <c r="N695" t="s">
        <v>12046</v>
      </c>
    </row>
    <row r="696" spans="1:14" x14ac:dyDescent="0.3">
      <c r="A696" s="2" t="s">
        <v>694</v>
      </c>
      <c r="B696" s="2" t="s">
        <v>12045</v>
      </c>
      <c r="C696" s="2">
        <v>38</v>
      </c>
      <c r="D696" s="2" t="s">
        <v>12043</v>
      </c>
      <c r="E696" s="2">
        <f>COUNTIF(Table16[customer_id],Table13[[#This Row],[customer_id]])</f>
        <v>4</v>
      </c>
      <c r="F696" s="13">
        <f>SUMIFS(Table16[Purchase_history],Table16[customer_id],Table13[[#This Row],[customer_id]])</f>
        <v>15044.829999999998</v>
      </c>
      <c r="G696" s="20">
        <v>44271</v>
      </c>
      <c r="H696" s="21">
        <v>44750</v>
      </c>
      <c r="I696" s="15">
        <f>(Table134[[#This Row],[Last_Day]]-Table134[[#This Row],[First_Day]]+1)/365</f>
        <v>1.3150684931506849</v>
      </c>
      <c r="J696" s="59">
        <f>Table134[[#This Row],[number_of_purchases]]/Table134[[#This Row],[customer_total_years]]</f>
        <v>3.041666666666667</v>
      </c>
      <c r="K696" s="13">
        <f>Table134[[#This Row],[purchase_history]]/Table134[[#This Row],[number_of_purchases]]</f>
        <v>3761.2074999999995</v>
      </c>
      <c r="L696" s="2">
        <f>IF(YEAR(Table134[[#This Row],[Last_Day]])=2021,5,IF(YEAR(Table134[[#This Row],[Last_Day]])=2022,7,IF(YEAR(Table134[[#This Row],[Last_Day]])=2023,10,"Không xác định")))</f>
        <v>7</v>
      </c>
      <c r="M696" s="15">
        <f>Table134[[#This Row],[avg_number_of_purchases]]*Table1345[[#This Row],[avg_purchase_value]]*Table1345[[#This Row],[expected_lifespan]]</f>
        <v>80082.37635416667</v>
      </c>
      <c r="N696" t="s">
        <v>12046</v>
      </c>
    </row>
    <row r="697" spans="1:14" x14ac:dyDescent="0.3">
      <c r="A697" s="2" t="s">
        <v>695</v>
      </c>
      <c r="B697" s="2" t="s">
        <v>12040</v>
      </c>
      <c r="C697" s="2">
        <v>42</v>
      </c>
      <c r="D697" s="2" t="s">
        <v>12041</v>
      </c>
      <c r="E697" s="2">
        <f>COUNTIF(Table16[customer_id],Table13[[#This Row],[customer_id]])</f>
        <v>8</v>
      </c>
      <c r="F697" s="13">
        <f>SUMIFS(Table16[Purchase_history],Table16[customer_id],Table13[[#This Row],[customer_id]])</f>
        <v>4013.49</v>
      </c>
      <c r="G697" s="20">
        <v>44294</v>
      </c>
      <c r="H697" s="21">
        <v>44989</v>
      </c>
      <c r="I697" s="15">
        <f>(Table134[[#This Row],[Last_Day]]-Table134[[#This Row],[First_Day]]+1)/365</f>
        <v>1.9068493150684931</v>
      </c>
      <c r="J697" s="59">
        <f>Table134[[#This Row],[number_of_purchases]]/Table134[[#This Row],[customer_total_years]]</f>
        <v>4.195402298850575</v>
      </c>
      <c r="K697" s="13">
        <f>Table134[[#This Row],[purchase_history]]/Table134[[#This Row],[number_of_purchases]]</f>
        <v>501.68624999999997</v>
      </c>
      <c r="L697" s="2">
        <f>IF(YEAR(Table134[[#This Row],[Last_Day]])=2021,5,IF(YEAR(Table134[[#This Row],[Last_Day]])=2022,7,IF(YEAR(Table134[[#This Row],[Last_Day]])=2023,10,"Không xác định")))</f>
        <v>10</v>
      </c>
      <c r="M697" s="15">
        <f>Table134[[#This Row],[avg_number_of_purchases]]*Table1345[[#This Row],[avg_purchase_value]]*Table1345[[#This Row],[expected_lifespan]]</f>
        <v>21047.756465517239</v>
      </c>
      <c r="N697" t="s">
        <v>12048</v>
      </c>
    </row>
    <row r="698" spans="1:14" x14ac:dyDescent="0.3">
      <c r="A698" s="2" t="s">
        <v>696</v>
      </c>
      <c r="B698" s="2" t="s">
        <v>12040</v>
      </c>
      <c r="C698" s="2">
        <v>42</v>
      </c>
      <c r="D698" s="2" t="s">
        <v>12049</v>
      </c>
      <c r="E698" s="2">
        <f>COUNTIF(Table16[customer_id],Table13[[#This Row],[customer_id]])</f>
        <v>2</v>
      </c>
      <c r="F698" s="13">
        <f>SUMIFS(Table16[Purchase_history],Table16[customer_id],Table13[[#This Row],[customer_id]])</f>
        <v>2736.5600000000004</v>
      </c>
      <c r="G698" s="20">
        <v>44927</v>
      </c>
      <c r="H698" s="21">
        <v>44967</v>
      </c>
      <c r="I698" s="15">
        <f>(Table134[[#This Row],[Last_Day]]-Table134[[#This Row],[First_Day]]+1)/365</f>
        <v>0.11232876712328767</v>
      </c>
      <c r="J698" s="59">
        <f>Table134[[#This Row],[number_of_purchases]]/Table134[[#This Row],[customer_total_years]]</f>
        <v>17.804878048780488</v>
      </c>
      <c r="K698" s="13">
        <f>Table134[[#This Row],[purchase_history]]/Table134[[#This Row],[number_of_purchases]]</f>
        <v>1368.2800000000002</v>
      </c>
      <c r="L698" s="2">
        <f>IF(YEAR(Table134[[#This Row],[Last_Day]])=2021,5,IF(YEAR(Table134[[#This Row],[Last_Day]])=2022,7,IF(YEAR(Table134[[#This Row],[Last_Day]])=2023,10,"Không xác định")))</f>
        <v>10</v>
      </c>
      <c r="M698" s="15">
        <f>Table134[[#This Row],[avg_number_of_purchases]]*Table1345[[#This Row],[avg_purchase_value]]*Table1345[[#This Row],[expected_lifespan]]</f>
        <v>243620.58536585368</v>
      </c>
      <c r="N698" t="s">
        <v>12044</v>
      </c>
    </row>
    <row r="699" spans="1:14" x14ac:dyDescent="0.3">
      <c r="A699" s="2" t="s">
        <v>697</v>
      </c>
      <c r="B699" s="2" t="s">
        <v>12045</v>
      </c>
      <c r="C699" s="2">
        <v>46</v>
      </c>
      <c r="D699" s="2" t="s">
        <v>12041</v>
      </c>
      <c r="E699" s="2">
        <f>COUNTIF(Table16[customer_id],Table13[[#This Row],[customer_id]])</f>
        <v>4</v>
      </c>
      <c r="F699" s="13">
        <f>SUMIFS(Table16[Purchase_history],Table16[customer_id],Table13[[#This Row],[customer_id]])</f>
        <v>5363.59</v>
      </c>
      <c r="G699" s="20">
        <v>44507</v>
      </c>
      <c r="H699" s="21">
        <v>44735</v>
      </c>
      <c r="I699" s="15">
        <f>(Table134[[#This Row],[Last_Day]]-Table134[[#This Row],[First_Day]]+1)/365</f>
        <v>0.62739726027397258</v>
      </c>
      <c r="J699" s="59">
        <f>Table134[[#This Row],[number_of_purchases]]/Table134[[#This Row],[customer_total_years]]</f>
        <v>6.3755458515283845</v>
      </c>
      <c r="K699" s="13">
        <f>Table134[[#This Row],[purchase_history]]/Table134[[#This Row],[number_of_purchases]]</f>
        <v>1340.8975</v>
      </c>
      <c r="L699" s="2">
        <f>IF(YEAR(Table134[[#This Row],[Last_Day]])=2021,5,IF(YEAR(Table134[[#This Row],[Last_Day]])=2022,7,IF(YEAR(Table134[[#This Row],[Last_Day]])=2023,10,"Không xác định")))</f>
        <v>7</v>
      </c>
      <c r="M699" s="15">
        <f>Table134[[#This Row],[avg_number_of_purchases]]*Table1345[[#This Row],[avg_purchase_value]]*Table1345[[#This Row],[expected_lifespan]]</f>
        <v>59842.67445414848</v>
      </c>
      <c r="N699" t="s">
        <v>12046</v>
      </c>
    </row>
    <row r="700" spans="1:14" x14ac:dyDescent="0.3">
      <c r="A700" s="2" t="s">
        <v>698</v>
      </c>
      <c r="B700" s="2" t="s">
        <v>12045</v>
      </c>
      <c r="C700" s="2">
        <v>35</v>
      </c>
      <c r="D700" s="2" t="s">
        <v>12043</v>
      </c>
      <c r="E700" s="2">
        <f>COUNTIF(Table16[customer_id],Table13[[#This Row],[customer_id]])</f>
        <v>4</v>
      </c>
      <c r="F700" s="13">
        <f>SUMIFS(Table16[Purchase_history],Table16[customer_id],Table13[[#This Row],[customer_id]])</f>
        <v>6027.36</v>
      </c>
      <c r="G700" s="20">
        <v>44240</v>
      </c>
      <c r="H700" s="21">
        <v>44716</v>
      </c>
      <c r="I700" s="15">
        <f>(Table134[[#This Row],[Last_Day]]-Table134[[#This Row],[First_Day]]+1)/365</f>
        <v>1.3068493150684932</v>
      </c>
      <c r="J700" s="59">
        <f>Table134[[#This Row],[number_of_purchases]]/Table134[[#This Row],[customer_total_years]]</f>
        <v>3.0607966457023057</v>
      </c>
      <c r="K700" s="13">
        <f>Table134[[#This Row],[purchase_history]]/Table134[[#This Row],[number_of_purchases]]</f>
        <v>1506.84</v>
      </c>
      <c r="L700" s="2">
        <f>IF(YEAR(Table134[[#This Row],[Last_Day]])=2021,5,IF(YEAR(Table134[[#This Row],[Last_Day]])=2022,7,IF(YEAR(Table134[[#This Row],[Last_Day]])=2023,10,"Không xác định")))</f>
        <v>7</v>
      </c>
      <c r="M700" s="15">
        <f>Table134[[#This Row],[avg_number_of_purchases]]*Table1345[[#This Row],[avg_purchase_value]]*Table1345[[#This Row],[expected_lifespan]]</f>
        <v>32284.915723270435</v>
      </c>
      <c r="N700" t="s">
        <v>12044</v>
      </c>
    </row>
    <row r="701" spans="1:14" x14ac:dyDescent="0.3">
      <c r="A701" s="2" t="s">
        <v>699</v>
      </c>
      <c r="B701" s="2" t="s">
        <v>12045</v>
      </c>
      <c r="C701" s="2">
        <v>53</v>
      </c>
      <c r="D701" s="2" t="s">
        <v>12043</v>
      </c>
      <c r="E701" s="2">
        <f>COUNTIF(Table16[customer_id],Table13[[#This Row],[customer_id]])</f>
        <v>9</v>
      </c>
      <c r="F701" s="13">
        <f>SUMIFS(Table16[Purchase_history],Table16[customer_id],Table13[[#This Row],[customer_id]])</f>
        <v>22418.57</v>
      </c>
      <c r="G701" s="20">
        <v>44200</v>
      </c>
      <c r="H701" s="21">
        <v>44637</v>
      </c>
      <c r="I701" s="15">
        <f>(Table134[[#This Row],[Last_Day]]-Table134[[#This Row],[First_Day]]+1)/365</f>
        <v>1.2</v>
      </c>
      <c r="J701" s="59">
        <f>Table134[[#This Row],[number_of_purchases]]/Table134[[#This Row],[customer_total_years]]</f>
        <v>7.5</v>
      </c>
      <c r="K701" s="13">
        <f>Table134[[#This Row],[purchase_history]]/Table134[[#This Row],[number_of_purchases]]</f>
        <v>2490.9522222222222</v>
      </c>
      <c r="L701" s="2">
        <f>IF(YEAR(Table134[[#This Row],[Last_Day]])=2021,5,IF(YEAR(Table134[[#This Row],[Last_Day]])=2022,7,IF(YEAR(Table134[[#This Row],[Last_Day]])=2023,10,"Không xác định")))</f>
        <v>7</v>
      </c>
      <c r="M701" s="15">
        <f>Table134[[#This Row],[avg_number_of_purchases]]*Table1345[[#This Row],[avg_purchase_value]]*Table1345[[#This Row],[expected_lifespan]]</f>
        <v>130774.99166666667</v>
      </c>
      <c r="N701" t="s">
        <v>12047</v>
      </c>
    </row>
    <row r="702" spans="1:14" x14ac:dyDescent="0.3">
      <c r="A702" s="2" t="s">
        <v>700</v>
      </c>
      <c r="B702" s="2" t="s">
        <v>12040</v>
      </c>
      <c r="C702" s="2">
        <v>60</v>
      </c>
      <c r="D702" s="2" t="s">
        <v>12043</v>
      </c>
      <c r="E702" s="2">
        <f>COUNTIF(Table16[customer_id],Table13[[#This Row],[customer_id]])</f>
        <v>4</v>
      </c>
      <c r="F702" s="13">
        <f>SUMIFS(Table16[Purchase_history],Table16[customer_id],Table13[[#This Row],[customer_id]])</f>
        <v>769.46</v>
      </c>
      <c r="G702" s="20">
        <v>44518</v>
      </c>
      <c r="H702" s="21">
        <v>44902</v>
      </c>
      <c r="I702" s="15">
        <f>(Table134[[#This Row],[Last_Day]]-Table134[[#This Row],[First_Day]]+1)/365</f>
        <v>1.0547945205479452</v>
      </c>
      <c r="J702" s="59">
        <f>Table134[[#This Row],[number_of_purchases]]/Table134[[#This Row],[customer_total_years]]</f>
        <v>3.7922077922077921</v>
      </c>
      <c r="K702" s="13">
        <f>Table134[[#This Row],[purchase_history]]/Table134[[#This Row],[number_of_purchases]]</f>
        <v>192.36500000000001</v>
      </c>
      <c r="L702" s="2">
        <f>IF(YEAR(Table134[[#This Row],[Last_Day]])=2021,5,IF(YEAR(Table134[[#This Row],[Last_Day]])=2022,7,IF(YEAR(Table134[[#This Row],[Last_Day]])=2023,10,"Không xác định")))</f>
        <v>7</v>
      </c>
      <c r="M702" s="15">
        <f>Table134[[#This Row],[avg_number_of_purchases]]*Table1345[[#This Row],[avg_purchase_value]]*Table1345[[#This Row],[expected_lifespan]]</f>
        <v>5106.4163636363637</v>
      </c>
      <c r="N702" t="s">
        <v>12048</v>
      </c>
    </row>
    <row r="703" spans="1:14" x14ac:dyDescent="0.3">
      <c r="A703" s="2" t="s">
        <v>701</v>
      </c>
      <c r="B703" s="2" t="s">
        <v>12040</v>
      </c>
      <c r="C703" s="2">
        <v>63</v>
      </c>
      <c r="D703" s="2" t="s">
        <v>12043</v>
      </c>
      <c r="E703" s="2">
        <f>COUNTIF(Table16[customer_id],Table13[[#This Row],[customer_id]])</f>
        <v>7</v>
      </c>
      <c r="F703" s="13">
        <f>SUMIFS(Table16[Purchase_history],Table16[customer_id],Table13[[#This Row],[customer_id]])</f>
        <v>12577.599999999999</v>
      </c>
      <c r="G703" s="20">
        <v>44327</v>
      </c>
      <c r="H703" s="21">
        <v>44789</v>
      </c>
      <c r="I703" s="15">
        <f>(Table134[[#This Row],[Last_Day]]-Table134[[#This Row],[First_Day]]+1)/365</f>
        <v>1.2684931506849315</v>
      </c>
      <c r="J703" s="59">
        <f>Table134[[#This Row],[number_of_purchases]]/Table134[[#This Row],[customer_total_years]]</f>
        <v>5.518358531317495</v>
      </c>
      <c r="K703" s="13">
        <f>Table134[[#This Row],[purchase_history]]/Table134[[#This Row],[number_of_purchases]]</f>
        <v>1796.7999999999997</v>
      </c>
      <c r="L703" s="2">
        <f>IF(YEAR(Table134[[#This Row],[Last_Day]])=2021,5,IF(YEAR(Table134[[#This Row],[Last_Day]])=2022,7,IF(YEAR(Table134[[#This Row],[Last_Day]])=2023,10,"Không xác định")))</f>
        <v>7</v>
      </c>
      <c r="M703" s="15">
        <f>Table134[[#This Row],[avg_number_of_purchases]]*Table1345[[#This Row],[avg_purchase_value]]*Table1345[[#This Row],[expected_lifespan]]</f>
        <v>69407.706263498912</v>
      </c>
      <c r="N703" t="s">
        <v>12044</v>
      </c>
    </row>
    <row r="704" spans="1:14" x14ac:dyDescent="0.3">
      <c r="A704" s="2" t="s">
        <v>702</v>
      </c>
      <c r="B704" s="2" t="s">
        <v>12045</v>
      </c>
      <c r="C704" s="2">
        <v>58</v>
      </c>
      <c r="D704" s="2" t="s">
        <v>12041</v>
      </c>
      <c r="E704" s="2">
        <f>COUNTIF(Table16[customer_id],Table13[[#This Row],[customer_id]])</f>
        <v>3</v>
      </c>
      <c r="F704" s="13">
        <f>SUMIFS(Table16[Purchase_history],Table16[customer_id],Table13[[#This Row],[customer_id]])</f>
        <v>991.29999999999984</v>
      </c>
      <c r="G704" s="20">
        <v>44348</v>
      </c>
      <c r="H704" s="21">
        <v>44682</v>
      </c>
      <c r="I704" s="15">
        <f>(Table134[[#This Row],[Last_Day]]-Table134[[#This Row],[First_Day]]+1)/365</f>
        <v>0.9178082191780822</v>
      </c>
      <c r="J704" s="59">
        <f>Table134[[#This Row],[number_of_purchases]]/Table134[[#This Row],[customer_total_years]]</f>
        <v>3.2686567164179103</v>
      </c>
      <c r="K704" s="13">
        <f>Table134[[#This Row],[purchase_history]]/Table134[[#This Row],[number_of_purchases]]</f>
        <v>330.43333333333328</v>
      </c>
      <c r="L704" s="2">
        <f>IF(YEAR(Table134[[#This Row],[Last_Day]])=2021,5,IF(YEAR(Table134[[#This Row],[Last_Day]])=2022,7,IF(YEAR(Table134[[#This Row],[Last_Day]])=2023,10,"Không xác định")))</f>
        <v>7</v>
      </c>
      <c r="M704" s="15">
        <f>Table134[[#This Row],[avg_number_of_purchases]]*Table1345[[#This Row],[avg_purchase_value]]*Table1345[[#This Row],[expected_lifespan]]</f>
        <v>7560.5119402985065</v>
      </c>
      <c r="N704" t="s">
        <v>12042</v>
      </c>
    </row>
    <row r="705" spans="1:14" x14ac:dyDescent="0.3">
      <c r="A705" s="2" t="s">
        <v>703</v>
      </c>
      <c r="B705" s="2" t="s">
        <v>12040</v>
      </c>
      <c r="C705" s="2">
        <v>38</v>
      </c>
      <c r="D705" s="2" t="s">
        <v>12043</v>
      </c>
      <c r="E705" s="2">
        <f>COUNTIF(Table16[customer_id],Table13[[#This Row],[customer_id]])</f>
        <v>2</v>
      </c>
      <c r="F705" s="13">
        <f>SUMIFS(Table16[Purchase_history],Table16[customer_id],Table13[[#This Row],[customer_id]])</f>
        <v>9902.68</v>
      </c>
      <c r="G705" s="20">
        <v>44504</v>
      </c>
      <c r="H705" s="21">
        <v>44937</v>
      </c>
      <c r="I705" s="15">
        <f>(Table134[[#This Row],[Last_Day]]-Table134[[#This Row],[First_Day]]+1)/365</f>
        <v>1.189041095890411</v>
      </c>
      <c r="J705" s="59">
        <f>Table134[[#This Row],[number_of_purchases]]/Table134[[#This Row],[customer_total_years]]</f>
        <v>1.6820276497695852</v>
      </c>
      <c r="K705" s="13">
        <f>Table134[[#This Row],[purchase_history]]/Table134[[#This Row],[number_of_purchases]]</f>
        <v>4951.34</v>
      </c>
      <c r="L705" s="2">
        <f>IF(YEAR(Table134[[#This Row],[Last_Day]])=2021,5,IF(YEAR(Table134[[#This Row],[Last_Day]])=2022,7,IF(YEAR(Table134[[#This Row],[Last_Day]])=2023,10,"Không xác định")))</f>
        <v>10</v>
      </c>
      <c r="M705" s="15">
        <f>Table134[[#This Row],[avg_number_of_purchases]]*Table1345[[#This Row],[avg_purchase_value]]*Table1345[[#This Row],[expected_lifespan]]</f>
        <v>83282.907834101381</v>
      </c>
      <c r="N705" t="s">
        <v>12046</v>
      </c>
    </row>
    <row r="706" spans="1:14" x14ac:dyDescent="0.3">
      <c r="A706" s="2" t="s">
        <v>704</v>
      </c>
      <c r="B706" s="2" t="s">
        <v>12040</v>
      </c>
      <c r="C706" s="2">
        <v>44</v>
      </c>
      <c r="D706" s="2" t="s">
        <v>12041</v>
      </c>
      <c r="E706" s="2">
        <f>COUNTIF(Table16[customer_id],Table13[[#This Row],[customer_id]])</f>
        <v>8</v>
      </c>
      <c r="F706" s="13">
        <f>SUMIFS(Table16[Purchase_history],Table16[customer_id],Table13[[#This Row],[customer_id]])</f>
        <v>23047.170000000002</v>
      </c>
      <c r="G706" s="20">
        <v>44218</v>
      </c>
      <c r="H706" s="21">
        <v>44939</v>
      </c>
      <c r="I706" s="15">
        <f>(Table134[[#This Row],[Last_Day]]-Table134[[#This Row],[First_Day]]+1)/365</f>
        <v>1.978082191780822</v>
      </c>
      <c r="J706" s="59">
        <f>Table134[[#This Row],[number_of_purchases]]/Table134[[#This Row],[customer_total_years]]</f>
        <v>4.0443213296398888</v>
      </c>
      <c r="K706" s="13">
        <f>Table134[[#This Row],[purchase_history]]/Table134[[#This Row],[number_of_purchases]]</f>
        <v>2880.8962500000002</v>
      </c>
      <c r="L706" s="2">
        <f>IF(YEAR(Table134[[#This Row],[Last_Day]])=2021,5,IF(YEAR(Table134[[#This Row],[Last_Day]])=2022,7,IF(YEAR(Table134[[#This Row],[Last_Day]])=2023,10,"Không xác định")))</f>
        <v>10</v>
      </c>
      <c r="M706" s="15">
        <f>Table134[[#This Row],[avg_number_of_purchases]]*Table1345[[#This Row],[avg_purchase_value]]*Table1345[[#This Row],[expected_lifespan]]</f>
        <v>116512.70152354571</v>
      </c>
      <c r="N706" t="s">
        <v>12042</v>
      </c>
    </row>
    <row r="707" spans="1:14" x14ac:dyDescent="0.3">
      <c r="A707" s="2" t="s">
        <v>705</v>
      </c>
      <c r="B707" s="2" t="s">
        <v>12045</v>
      </c>
      <c r="C707" s="2">
        <v>22</v>
      </c>
      <c r="D707" s="2" t="s">
        <v>12043</v>
      </c>
      <c r="E707" s="2">
        <f>COUNTIF(Table16[customer_id],Table13[[#This Row],[customer_id]])</f>
        <v>3</v>
      </c>
      <c r="F707" s="13">
        <f>SUMIFS(Table16[Purchase_history],Table16[customer_id],Table13[[#This Row],[customer_id]])</f>
        <v>590.77</v>
      </c>
      <c r="G707" s="20">
        <v>44240</v>
      </c>
      <c r="H707" s="21">
        <v>44912</v>
      </c>
      <c r="I707" s="15">
        <f>(Table134[[#This Row],[Last_Day]]-Table134[[#This Row],[First_Day]]+1)/365</f>
        <v>1.8438356164383563</v>
      </c>
      <c r="J707" s="59">
        <f>Table134[[#This Row],[number_of_purchases]]/Table134[[#This Row],[customer_total_years]]</f>
        <v>1.6270430906389302</v>
      </c>
      <c r="K707" s="13">
        <f>Table134[[#This Row],[purchase_history]]/Table134[[#This Row],[number_of_purchases]]</f>
        <v>196.92333333333332</v>
      </c>
      <c r="L707" s="2">
        <f>IF(YEAR(Table134[[#This Row],[Last_Day]])=2021,5,IF(YEAR(Table134[[#This Row],[Last_Day]])=2022,7,IF(YEAR(Table134[[#This Row],[Last_Day]])=2023,10,"Không xác định")))</f>
        <v>7</v>
      </c>
      <c r="M707" s="15">
        <f>Table134[[#This Row],[avg_number_of_purchases]]*Table1345[[#This Row],[avg_purchase_value]]*Table1345[[#This Row],[expected_lifespan]]</f>
        <v>2242.8192421991084</v>
      </c>
      <c r="N707" t="s">
        <v>12047</v>
      </c>
    </row>
    <row r="708" spans="1:14" x14ac:dyDescent="0.3">
      <c r="A708" s="2" t="s">
        <v>706</v>
      </c>
      <c r="B708" s="2" t="s">
        <v>12040</v>
      </c>
      <c r="C708" s="2">
        <v>44</v>
      </c>
      <c r="D708" s="2" t="s">
        <v>12049</v>
      </c>
      <c r="E708" s="2">
        <f>COUNTIF(Table16[customer_id],Table13[[#This Row],[customer_id]])</f>
        <v>9</v>
      </c>
      <c r="F708" s="13">
        <f>SUMIFS(Table16[Purchase_history],Table16[customer_id],Table13[[#This Row],[customer_id]])</f>
        <v>31991.85</v>
      </c>
      <c r="G708" s="20">
        <v>44241</v>
      </c>
      <c r="H708" s="21">
        <v>44962</v>
      </c>
      <c r="I708" s="15">
        <f>(Table134[[#This Row],[Last_Day]]-Table134[[#This Row],[First_Day]]+1)/365</f>
        <v>1.978082191780822</v>
      </c>
      <c r="J708" s="59">
        <f>Table134[[#This Row],[number_of_purchases]]/Table134[[#This Row],[customer_total_years]]</f>
        <v>4.5498614958448753</v>
      </c>
      <c r="K708" s="13">
        <f>Table134[[#This Row],[purchase_history]]/Table134[[#This Row],[number_of_purchases]]</f>
        <v>3554.6499999999996</v>
      </c>
      <c r="L708" s="2">
        <f>IF(YEAR(Table134[[#This Row],[Last_Day]])=2021,5,IF(YEAR(Table134[[#This Row],[Last_Day]])=2022,7,IF(YEAR(Table134[[#This Row],[Last_Day]])=2023,10,"Không xác định")))</f>
        <v>10</v>
      </c>
      <c r="M708" s="15">
        <f>Table134[[#This Row],[avg_number_of_purchases]]*Table1345[[#This Row],[avg_purchase_value]]*Table1345[[#This Row],[expected_lifespan]]</f>
        <v>161731.65166204984</v>
      </c>
      <c r="N708" t="s">
        <v>12042</v>
      </c>
    </row>
    <row r="709" spans="1:14" x14ac:dyDescent="0.3">
      <c r="A709" s="2" t="s">
        <v>707</v>
      </c>
      <c r="B709" s="2" t="s">
        <v>12045</v>
      </c>
      <c r="C709" s="2">
        <v>63</v>
      </c>
      <c r="D709" s="2" t="s">
        <v>12043</v>
      </c>
      <c r="E709" s="2">
        <f>COUNTIF(Table16[customer_id],Table13[[#This Row],[customer_id]])</f>
        <v>4</v>
      </c>
      <c r="F709" s="13">
        <f>SUMIFS(Table16[Purchase_history],Table16[customer_id],Table13[[#This Row],[customer_id]])</f>
        <v>19845.939999999999</v>
      </c>
      <c r="G709" s="20">
        <v>44559</v>
      </c>
      <c r="H709" s="21">
        <v>44987</v>
      </c>
      <c r="I709" s="15">
        <f>(Table134[[#This Row],[Last_Day]]-Table134[[#This Row],[First_Day]]+1)/365</f>
        <v>1.1753424657534246</v>
      </c>
      <c r="J709" s="59">
        <f>Table134[[#This Row],[number_of_purchases]]/Table134[[#This Row],[customer_total_years]]</f>
        <v>3.4032634032634035</v>
      </c>
      <c r="K709" s="13">
        <f>Table134[[#This Row],[purchase_history]]/Table134[[#This Row],[number_of_purchases]]</f>
        <v>4961.4849999999997</v>
      </c>
      <c r="L709" s="2">
        <f>IF(YEAR(Table134[[#This Row],[Last_Day]])=2021,5,IF(YEAR(Table134[[#This Row],[Last_Day]])=2022,7,IF(YEAR(Table134[[#This Row],[Last_Day]])=2023,10,"Không xác định")))</f>
        <v>10</v>
      </c>
      <c r="M709" s="15">
        <f>Table134[[#This Row],[avg_number_of_purchases]]*Table1345[[#This Row],[avg_purchase_value]]*Table1345[[#This Row],[expected_lifespan]]</f>
        <v>168852.40326340325</v>
      </c>
      <c r="N709" t="s">
        <v>12046</v>
      </c>
    </row>
    <row r="710" spans="1:14" x14ac:dyDescent="0.3">
      <c r="A710" s="2" t="s">
        <v>708</v>
      </c>
      <c r="B710" s="2" t="s">
        <v>12040</v>
      </c>
      <c r="C710" s="2">
        <v>32</v>
      </c>
      <c r="D710" s="2" t="s">
        <v>12041</v>
      </c>
      <c r="E710" s="2">
        <f>COUNTIF(Table16[customer_id],Table13[[#This Row],[customer_id]])</f>
        <v>5</v>
      </c>
      <c r="F710" s="13">
        <f>SUMIFS(Table16[Purchase_history],Table16[customer_id],Table13[[#This Row],[customer_id]])</f>
        <v>14839.939999999999</v>
      </c>
      <c r="G710" s="20">
        <v>44533</v>
      </c>
      <c r="H710" s="21">
        <v>44792</v>
      </c>
      <c r="I710" s="15">
        <f>(Table134[[#This Row],[Last_Day]]-Table134[[#This Row],[First_Day]]+1)/365</f>
        <v>0.71232876712328763</v>
      </c>
      <c r="J710" s="59">
        <f>Table134[[#This Row],[number_of_purchases]]/Table134[[#This Row],[customer_total_years]]</f>
        <v>7.0192307692307701</v>
      </c>
      <c r="K710" s="13">
        <f>Table134[[#This Row],[purchase_history]]/Table134[[#This Row],[number_of_purchases]]</f>
        <v>2967.9879999999998</v>
      </c>
      <c r="L710" s="2">
        <f>IF(YEAR(Table134[[#This Row],[Last_Day]])=2021,5,IF(YEAR(Table134[[#This Row],[Last_Day]])=2022,7,IF(YEAR(Table134[[#This Row],[Last_Day]])=2023,10,"Không xác định")))</f>
        <v>7</v>
      </c>
      <c r="M710" s="15">
        <f>Table134[[#This Row],[avg_number_of_purchases]]*Table1345[[#This Row],[avg_purchase_value]]*Table1345[[#This Row],[expected_lifespan]]</f>
        <v>145830.94884615386</v>
      </c>
      <c r="N710" t="s">
        <v>12048</v>
      </c>
    </row>
    <row r="711" spans="1:14" x14ac:dyDescent="0.3">
      <c r="A711" s="2" t="s">
        <v>709</v>
      </c>
      <c r="B711" s="2" t="s">
        <v>12045</v>
      </c>
      <c r="C711" s="2">
        <v>53</v>
      </c>
      <c r="D711" s="2" t="s">
        <v>12049</v>
      </c>
      <c r="E711" s="2">
        <f>COUNTIF(Table16[customer_id],Table13[[#This Row],[customer_id]])</f>
        <v>3</v>
      </c>
      <c r="F711" s="13">
        <f>SUMIFS(Table16[Purchase_history],Table16[customer_id],Table13[[#This Row],[customer_id]])</f>
        <v>1359.98</v>
      </c>
      <c r="G711" s="20">
        <v>44387</v>
      </c>
      <c r="H711" s="21">
        <v>44891</v>
      </c>
      <c r="I711" s="15">
        <f>(Table134[[#This Row],[Last_Day]]-Table134[[#This Row],[First_Day]]+1)/365</f>
        <v>1.3835616438356164</v>
      </c>
      <c r="J711" s="59">
        <f>Table134[[#This Row],[number_of_purchases]]/Table134[[#This Row],[customer_total_years]]</f>
        <v>2.1683168316831685</v>
      </c>
      <c r="K711" s="13">
        <f>Table134[[#This Row],[purchase_history]]/Table134[[#This Row],[number_of_purchases]]</f>
        <v>453.32666666666665</v>
      </c>
      <c r="L711" s="2">
        <f>IF(YEAR(Table134[[#This Row],[Last_Day]])=2021,5,IF(YEAR(Table134[[#This Row],[Last_Day]])=2022,7,IF(YEAR(Table134[[#This Row],[Last_Day]])=2023,10,"Không xác định")))</f>
        <v>7</v>
      </c>
      <c r="M711" s="15">
        <f>Table134[[#This Row],[avg_number_of_purchases]]*Table1345[[#This Row],[avg_purchase_value]]*Table1345[[#This Row],[expected_lifespan]]</f>
        <v>6880.6908910891088</v>
      </c>
      <c r="N711" t="s">
        <v>12044</v>
      </c>
    </row>
    <row r="712" spans="1:14" x14ac:dyDescent="0.3">
      <c r="A712" s="2" t="s">
        <v>710</v>
      </c>
      <c r="B712" s="2" t="s">
        <v>12040</v>
      </c>
      <c r="C712" s="2">
        <v>45</v>
      </c>
      <c r="D712" s="2" t="s">
        <v>12041</v>
      </c>
      <c r="E712" s="2">
        <f>COUNTIF(Table16[customer_id],Table13[[#This Row],[customer_id]])</f>
        <v>8</v>
      </c>
      <c r="F712" s="13">
        <f>SUMIFS(Table16[Purchase_history],Table16[customer_id],Table13[[#This Row],[customer_id]])</f>
        <v>2426.62</v>
      </c>
      <c r="G712" s="20">
        <v>44262</v>
      </c>
      <c r="H712" s="21">
        <v>44698</v>
      </c>
      <c r="I712" s="15">
        <f>(Table134[[#This Row],[Last_Day]]-Table134[[#This Row],[First_Day]]+1)/365</f>
        <v>1.1972602739726028</v>
      </c>
      <c r="J712" s="59">
        <f>Table134[[#This Row],[number_of_purchases]]/Table134[[#This Row],[customer_total_years]]</f>
        <v>6.6819221967963385</v>
      </c>
      <c r="K712" s="13">
        <f>Table134[[#This Row],[purchase_history]]/Table134[[#This Row],[number_of_purchases]]</f>
        <v>303.32749999999999</v>
      </c>
      <c r="L712" s="2">
        <f>IF(YEAR(Table134[[#This Row],[Last_Day]])=2021,5,IF(YEAR(Table134[[#This Row],[Last_Day]])=2022,7,IF(YEAR(Table134[[#This Row],[Last_Day]])=2023,10,"Không xác định")))</f>
        <v>7</v>
      </c>
      <c r="M712" s="15">
        <f>Table134[[#This Row],[avg_number_of_purchases]]*Table1345[[#This Row],[avg_purchase_value]]*Table1345[[#This Row],[expected_lifespan]]</f>
        <v>14187.675286041189</v>
      </c>
      <c r="N712" t="s">
        <v>12047</v>
      </c>
    </row>
    <row r="713" spans="1:14" x14ac:dyDescent="0.3">
      <c r="A713" s="2" t="s">
        <v>711</v>
      </c>
      <c r="B713" s="2" t="s">
        <v>12040</v>
      </c>
      <c r="C713" s="2">
        <v>62</v>
      </c>
      <c r="D713" s="2" t="s">
        <v>12041</v>
      </c>
      <c r="E713" s="2">
        <f>COUNTIF(Table16[customer_id],Table13[[#This Row],[customer_id]])</f>
        <v>4</v>
      </c>
      <c r="F713" s="13">
        <f>SUMIFS(Table16[Purchase_history],Table16[customer_id],Table13[[#This Row],[customer_id]])</f>
        <v>9343.23</v>
      </c>
      <c r="G713" s="20">
        <v>44348</v>
      </c>
      <c r="H713" s="21">
        <v>44910</v>
      </c>
      <c r="I713" s="15">
        <f>(Table134[[#This Row],[Last_Day]]-Table134[[#This Row],[First_Day]]+1)/365</f>
        <v>1.5424657534246575</v>
      </c>
      <c r="J713" s="59">
        <f>Table134[[#This Row],[number_of_purchases]]/Table134[[#This Row],[customer_total_years]]</f>
        <v>2.5932504440497337</v>
      </c>
      <c r="K713" s="13">
        <f>Table134[[#This Row],[purchase_history]]/Table134[[#This Row],[number_of_purchases]]</f>
        <v>2335.8074999999999</v>
      </c>
      <c r="L713" s="2">
        <f>IF(YEAR(Table134[[#This Row],[Last_Day]])=2021,5,IF(YEAR(Table134[[#This Row],[Last_Day]])=2022,7,IF(YEAR(Table134[[#This Row],[Last_Day]])=2023,10,"Không xác định")))</f>
        <v>7</v>
      </c>
      <c r="M713" s="15">
        <f>Table134[[#This Row],[avg_number_of_purchases]]*Table1345[[#This Row],[avg_purchase_value]]*Table1345[[#This Row],[expected_lifespan]]</f>
        <v>42401.336856127884</v>
      </c>
      <c r="N713" t="s">
        <v>12044</v>
      </c>
    </row>
    <row r="714" spans="1:14" x14ac:dyDescent="0.3">
      <c r="A714" s="2" t="s">
        <v>712</v>
      </c>
      <c r="B714" s="2" t="s">
        <v>12045</v>
      </c>
      <c r="C714" s="2">
        <v>52</v>
      </c>
      <c r="D714" s="2" t="s">
        <v>12043</v>
      </c>
      <c r="E714" s="2">
        <f>COUNTIF(Table16[customer_id],Table13[[#This Row],[customer_id]])</f>
        <v>8</v>
      </c>
      <c r="F714" s="13">
        <f>SUMIFS(Table16[Purchase_history],Table16[customer_id],Table13[[#This Row],[customer_id]])</f>
        <v>34839.919999999998</v>
      </c>
      <c r="G714" s="20">
        <v>44444</v>
      </c>
      <c r="H714" s="21">
        <v>44983</v>
      </c>
      <c r="I714" s="15">
        <f>(Table134[[#This Row],[Last_Day]]-Table134[[#This Row],[First_Day]]+1)/365</f>
        <v>1.4794520547945205</v>
      </c>
      <c r="J714" s="59">
        <f>Table134[[#This Row],[number_of_purchases]]/Table134[[#This Row],[customer_total_years]]</f>
        <v>5.4074074074074074</v>
      </c>
      <c r="K714" s="13">
        <f>Table134[[#This Row],[purchase_history]]/Table134[[#This Row],[number_of_purchases]]</f>
        <v>4354.99</v>
      </c>
      <c r="L714" s="2">
        <f>IF(YEAR(Table134[[#This Row],[Last_Day]])=2021,5,IF(YEAR(Table134[[#This Row],[Last_Day]])=2022,7,IF(YEAR(Table134[[#This Row],[Last_Day]])=2023,10,"Không xác định")))</f>
        <v>10</v>
      </c>
      <c r="M714" s="15">
        <f>Table134[[#This Row],[avg_number_of_purchases]]*Table1345[[#This Row],[avg_purchase_value]]*Table1345[[#This Row],[expected_lifespan]]</f>
        <v>235492.05185185184</v>
      </c>
      <c r="N714" t="s">
        <v>12046</v>
      </c>
    </row>
    <row r="715" spans="1:14" x14ac:dyDescent="0.3">
      <c r="A715" s="2" t="s">
        <v>713</v>
      </c>
      <c r="B715" s="2" t="s">
        <v>12040</v>
      </c>
      <c r="C715" s="2">
        <v>54</v>
      </c>
      <c r="D715" s="2" t="s">
        <v>12049</v>
      </c>
      <c r="E715" s="2">
        <f>COUNTIF(Table16[customer_id],Table13[[#This Row],[customer_id]])</f>
        <v>3</v>
      </c>
      <c r="F715" s="13">
        <f>SUMIFS(Table16[Purchase_history],Table16[customer_id],Table13[[#This Row],[customer_id]])</f>
        <v>2786.44</v>
      </c>
      <c r="G715" s="20">
        <v>44385</v>
      </c>
      <c r="H715" s="21">
        <v>44969</v>
      </c>
      <c r="I715" s="15">
        <f>(Table134[[#This Row],[Last_Day]]-Table134[[#This Row],[First_Day]]+1)/365</f>
        <v>1.6027397260273972</v>
      </c>
      <c r="J715" s="59">
        <f>Table134[[#This Row],[number_of_purchases]]/Table134[[#This Row],[customer_total_years]]</f>
        <v>1.8717948717948718</v>
      </c>
      <c r="K715" s="13">
        <f>Table134[[#This Row],[purchase_history]]/Table134[[#This Row],[number_of_purchases]]</f>
        <v>928.81333333333339</v>
      </c>
      <c r="L715" s="2">
        <f>IF(YEAR(Table134[[#This Row],[Last_Day]])=2021,5,IF(YEAR(Table134[[#This Row],[Last_Day]])=2022,7,IF(YEAR(Table134[[#This Row],[Last_Day]])=2023,10,"Không xác định")))</f>
        <v>10</v>
      </c>
      <c r="M715" s="15">
        <f>Table134[[#This Row],[avg_number_of_purchases]]*Table1345[[#This Row],[avg_purchase_value]]*Table1345[[#This Row],[expected_lifespan]]</f>
        <v>17385.480341880342</v>
      </c>
      <c r="N715" t="s">
        <v>12046</v>
      </c>
    </row>
    <row r="716" spans="1:14" x14ac:dyDescent="0.3">
      <c r="A716" s="2" t="s">
        <v>714</v>
      </c>
      <c r="B716" s="2" t="s">
        <v>12040</v>
      </c>
      <c r="C716" s="2">
        <v>22</v>
      </c>
      <c r="D716" s="2" t="s">
        <v>12043</v>
      </c>
      <c r="E716" s="2">
        <f>COUNTIF(Table16[customer_id],Table13[[#This Row],[customer_id]])</f>
        <v>3</v>
      </c>
      <c r="F716" s="13">
        <f>SUMIFS(Table16[Purchase_history],Table16[customer_id],Table13[[#This Row],[customer_id]])</f>
        <v>8164.29</v>
      </c>
      <c r="G716" s="20">
        <v>44246</v>
      </c>
      <c r="H716" s="21">
        <v>44411</v>
      </c>
      <c r="I716" s="15">
        <f>(Table134[[#This Row],[Last_Day]]-Table134[[#This Row],[First_Day]]+1)/365</f>
        <v>0.45479452054794522</v>
      </c>
      <c r="J716" s="59">
        <f>Table134[[#This Row],[number_of_purchases]]/Table134[[#This Row],[customer_total_years]]</f>
        <v>6.5963855421686741</v>
      </c>
      <c r="K716" s="13">
        <f>Table134[[#This Row],[purchase_history]]/Table134[[#This Row],[number_of_purchases]]</f>
        <v>2721.43</v>
      </c>
      <c r="L716" s="2">
        <f>IF(YEAR(Table134[[#This Row],[Last_Day]])=2021,5,IF(YEAR(Table134[[#This Row],[Last_Day]])=2022,7,IF(YEAR(Table134[[#This Row],[Last_Day]])=2023,10,"Không xác định")))</f>
        <v>5</v>
      </c>
      <c r="M716" s="15">
        <f>Table134[[#This Row],[avg_number_of_purchases]]*Table1345[[#This Row],[avg_purchase_value]]*Table1345[[#This Row],[expected_lifespan]]</f>
        <v>89758.007530120463</v>
      </c>
      <c r="N716" t="s">
        <v>12048</v>
      </c>
    </row>
    <row r="717" spans="1:14" x14ac:dyDescent="0.3">
      <c r="A717" s="2" t="s">
        <v>715</v>
      </c>
      <c r="B717" s="2" t="s">
        <v>12045</v>
      </c>
      <c r="C717" s="2">
        <v>34</v>
      </c>
      <c r="D717" s="2" t="s">
        <v>12049</v>
      </c>
      <c r="E717" s="2">
        <f>COUNTIF(Table16[customer_id],Table13[[#This Row],[customer_id]])</f>
        <v>2</v>
      </c>
      <c r="F717" s="13">
        <f>SUMIFS(Table16[Purchase_history],Table16[customer_id],Table13[[#This Row],[customer_id]])</f>
        <v>1500.3999999999999</v>
      </c>
      <c r="G717" s="20">
        <v>44784</v>
      </c>
      <c r="H717" s="21">
        <v>44909</v>
      </c>
      <c r="I717" s="15">
        <f>(Table134[[#This Row],[Last_Day]]-Table134[[#This Row],[First_Day]]+1)/365</f>
        <v>0.34520547945205482</v>
      </c>
      <c r="J717" s="59">
        <f>Table134[[#This Row],[number_of_purchases]]/Table134[[#This Row],[customer_total_years]]</f>
        <v>5.7936507936507935</v>
      </c>
      <c r="K717" s="13">
        <f>Table134[[#This Row],[purchase_history]]/Table134[[#This Row],[number_of_purchases]]</f>
        <v>750.19999999999993</v>
      </c>
      <c r="L717" s="2">
        <f>IF(YEAR(Table134[[#This Row],[Last_Day]])=2021,5,IF(YEAR(Table134[[#This Row],[Last_Day]])=2022,7,IF(YEAR(Table134[[#This Row],[Last_Day]])=2023,10,"Không xác định")))</f>
        <v>7</v>
      </c>
      <c r="M717" s="15">
        <f>Table134[[#This Row],[avg_number_of_purchases]]*Table1345[[#This Row],[avg_purchase_value]]*Table1345[[#This Row],[expected_lifespan]]</f>
        <v>30424.777777777774</v>
      </c>
      <c r="N717" t="s">
        <v>12046</v>
      </c>
    </row>
    <row r="718" spans="1:14" x14ac:dyDescent="0.3">
      <c r="A718" s="2" t="s">
        <v>716</v>
      </c>
      <c r="B718" s="2" t="s">
        <v>12045</v>
      </c>
      <c r="C718" s="2">
        <v>43</v>
      </c>
      <c r="D718" s="2" t="s">
        <v>12043</v>
      </c>
      <c r="E718" s="2">
        <f>COUNTIF(Table16[customer_id],Table13[[#This Row],[customer_id]])</f>
        <v>4</v>
      </c>
      <c r="F718" s="13">
        <f>SUMIFS(Table16[Purchase_history],Table16[customer_id],Table13[[#This Row],[customer_id]])</f>
        <v>3899.3100000000004</v>
      </c>
      <c r="G718" s="20">
        <v>44526</v>
      </c>
      <c r="H718" s="21">
        <v>44781</v>
      </c>
      <c r="I718" s="15">
        <f>(Table134[[#This Row],[Last_Day]]-Table134[[#This Row],[First_Day]]+1)/365</f>
        <v>0.70136986301369864</v>
      </c>
      <c r="J718" s="59">
        <f>Table134[[#This Row],[number_of_purchases]]/Table134[[#This Row],[customer_total_years]]</f>
        <v>5.703125</v>
      </c>
      <c r="K718" s="13">
        <f>Table134[[#This Row],[purchase_history]]/Table134[[#This Row],[number_of_purchases]]</f>
        <v>974.8275000000001</v>
      </c>
      <c r="L718" s="2">
        <f>IF(YEAR(Table134[[#This Row],[Last_Day]])=2021,5,IF(YEAR(Table134[[#This Row],[Last_Day]])=2022,7,IF(YEAR(Table134[[#This Row],[Last_Day]])=2023,10,"Không xác định")))</f>
        <v>7</v>
      </c>
      <c r="M718" s="15">
        <f>Table134[[#This Row],[avg_number_of_purchases]]*Table1345[[#This Row],[avg_purchase_value]]*Table1345[[#This Row],[expected_lifespan]]</f>
        <v>38916.941601562503</v>
      </c>
      <c r="N718" t="s">
        <v>12047</v>
      </c>
    </row>
    <row r="719" spans="1:14" x14ac:dyDescent="0.3">
      <c r="A719" s="2" t="s">
        <v>717</v>
      </c>
      <c r="B719" s="2" t="s">
        <v>12040</v>
      </c>
      <c r="C719" s="2">
        <v>33</v>
      </c>
      <c r="D719" s="2" t="s">
        <v>12043</v>
      </c>
      <c r="E719" s="2">
        <f>COUNTIF(Table16[customer_id],Table13[[#This Row],[customer_id]])</f>
        <v>4</v>
      </c>
      <c r="F719" s="13">
        <f>SUMIFS(Table16[Purchase_history],Table16[customer_id],Table13[[#This Row],[customer_id]])</f>
        <v>5953.7599999999993</v>
      </c>
      <c r="G719" s="20">
        <v>44300</v>
      </c>
      <c r="H719" s="21">
        <v>44435</v>
      </c>
      <c r="I719" s="15">
        <f>(Table134[[#This Row],[Last_Day]]-Table134[[#This Row],[First_Day]]+1)/365</f>
        <v>0.37260273972602742</v>
      </c>
      <c r="J719" s="59">
        <f>Table134[[#This Row],[number_of_purchases]]/Table134[[#This Row],[customer_total_years]]</f>
        <v>10.735294117647058</v>
      </c>
      <c r="K719" s="13">
        <f>Table134[[#This Row],[purchase_history]]/Table134[[#This Row],[number_of_purchases]]</f>
        <v>1488.4399999999998</v>
      </c>
      <c r="L719" s="2">
        <f>IF(YEAR(Table134[[#This Row],[Last_Day]])=2021,5,IF(YEAR(Table134[[#This Row],[Last_Day]])=2022,7,IF(YEAR(Table134[[#This Row],[Last_Day]])=2023,10,"Không xác định")))</f>
        <v>5</v>
      </c>
      <c r="M719" s="15">
        <f>Table134[[#This Row],[avg_number_of_purchases]]*Table1345[[#This Row],[avg_purchase_value]]*Table1345[[#This Row],[expected_lifespan]]</f>
        <v>79894.205882352922</v>
      </c>
      <c r="N719" t="s">
        <v>12042</v>
      </c>
    </row>
    <row r="720" spans="1:14" x14ac:dyDescent="0.3">
      <c r="A720" s="2" t="s">
        <v>718</v>
      </c>
      <c r="B720" s="2" t="s">
        <v>12040</v>
      </c>
      <c r="C720" s="2">
        <v>36</v>
      </c>
      <c r="D720" s="2" t="s">
        <v>12041</v>
      </c>
      <c r="E720" s="2">
        <f>COUNTIF(Table16[customer_id],Table13[[#This Row],[customer_id]])</f>
        <v>5</v>
      </c>
      <c r="F720" s="13">
        <f>SUMIFS(Table16[Purchase_history],Table16[customer_id],Table13[[#This Row],[customer_id]])</f>
        <v>41502.93</v>
      </c>
      <c r="G720" s="20">
        <v>44242</v>
      </c>
      <c r="H720" s="21">
        <v>44671</v>
      </c>
      <c r="I720" s="15">
        <f>(Table134[[#This Row],[Last_Day]]-Table134[[#This Row],[First_Day]]+1)/365</f>
        <v>1.178082191780822</v>
      </c>
      <c r="J720" s="59">
        <f>Table134[[#This Row],[number_of_purchases]]/Table134[[#This Row],[customer_total_years]]</f>
        <v>4.2441860465116275</v>
      </c>
      <c r="K720" s="13">
        <f>Table134[[#This Row],[purchase_history]]/Table134[[#This Row],[number_of_purchases]]</f>
        <v>8300.5859999999993</v>
      </c>
      <c r="L720" s="2">
        <f>IF(YEAR(Table134[[#This Row],[Last_Day]])=2021,5,IF(YEAR(Table134[[#This Row],[Last_Day]])=2022,7,IF(YEAR(Table134[[#This Row],[Last_Day]])=2023,10,"Không xác định")))</f>
        <v>7</v>
      </c>
      <c r="M720" s="15">
        <f>Table134[[#This Row],[avg_number_of_purchases]]*Table1345[[#This Row],[avg_purchase_value]]*Table1345[[#This Row],[expected_lifespan]]</f>
        <v>246604.61895348833</v>
      </c>
      <c r="N720" t="s">
        <v>12047</v>
      </c>
    </row>
    <row r="721" spans="1:14" x14ac:dyDescent="0.3">
      <c r="A721" s="2" t="s">
        <v>719</v>
      </c>
      <c r="B721" s="2" t="s">
        <v>12045</v>
      </c>
      <c r="C721" s="2">
        <v>62</v>
      </c>
      <c r="D721" s="2" t="s">
        <v>12041</v>
      </c>
      <c r="E721" s="2">
        <f>COUNTIF(Table16[customer_id],Table13[[#This Row],[customer_id]])</f>
        <v>3</v>
      </c>
      <c r="F721" s="13">
        <f>SUMIFS(Table16[Purchase_history],Table16[customer_id],Table13[[#This Row],[customer_id]])</f>
        <v>1886.7199999999998</v>
      </c>
      <c r="G721" s="20">
        <v>44498</v>
      </c>
      <c r="H721" s="21">
        <v>44828</v>
      </c>
      <c r="I721" s="15">
        <f>(Table134[[#This Row],[Last_Day]]-Table134[[#This Row],[First_Day]]+1)/365</f>
        <v>0.9068493150684932</v>
      </c>
      <c r="J721" s="59">
        <f>Table134[[#This Row],[number_of_purchases]]/Table134[[#This Row],[customer_total_years]]</f>
        <v>3.3081570996978851</v>
      </c>
      <c r="K721" s="13">
        <f>Table134[[#This Row],[purchase_history]]/Table134[[#This Row],[number_of_purchases]]</f>
        <v>628.90666666666664</v>
      </c>
      <c r="L721" s="2">
        <f>IF(YEAR(Table134[[#This Row],[Last_Day]])=2021,5,IF(YEAR(Table134[[#This Row],[Last_Day]])=2022,7,IF(YEAR(Table134[[#This Row],[Last_Day]])=2023,10,"Không xác định")))</f>
        <v>7</v>
      </c>
      <c r="M721" s="15">
        <f>Table134[[#This Row],[avg_number_of_purchases]]*Table1345[[#This Row],[avg_purchase_value]]*Table1345[[#This Row],[expected_lifespan]]</f>
        <v>14563.654380664651</v>
      </c>
      <c r="N721" t="s">
        <v>12046</v>
      </c>
    </row>
    <row r="722" spans="1:14" x14ac:dyDescent="0.3">
      <c r="A722" s="2" t="s">
        <v>720</v>
      </c>
      <c r="B722" s="2" t="s">
        <v>12040</v>
      </c>
      <c r="C722" s="2">
        <v>47</v>
      </c>
      <c r="D722" s="2" t="s">
        <v>12043</v>
      </c>
      <c r="E722" s="2">
        <f>COUNTIF(Table16[customer_id],Table13[[#This Row],[customer_id]])</f>
        <v>7</v>
      </c>
      <c r="F722" s="13">
        <f>SUMIFS(Table16[Purchase_history],Table16[customer_id],Table13[[#This Row],[customer_id]])</f>
        <v>7642.6900000000005</v>
      </c>
      <c r="G722" s="20">
        <v>44228</v>
      </c>
      <c r="H722" s="21">
        <v>44990</v>
      </c>
      <c r="I722" s="15">
        <f>(Table134[[#This Row],[Last_Day]]-Table134[[#This Row],[First_Day]]+1)/365</f>
        <v>2.0904109589041098</v>
      </c>
      <c r="J722" s="59">
        <f>Table134[[#This Row],[number_of_purchases]]/Table134[[#This Row],[customer_total_years]]</f>
        <v>3.3486238532110089</v>
      </c>
      <c r="K722" s="13">
        <f>Table134[[#This Row],[purchase_history]]/Table134[[#This Row],[number_of_purchases]]</f>
        <v>1091.8128571428572</v>
      </c>
      <c r="L722" s="2">
        <f>IF(YEAR(Table134[[#This Row],[Last_Day]])=2021,5,IF(YEAR(Table134[[#This Row],[Last_Day]])=2022,7,IF(YEAR(Table134[[#This Row],[Last_Day]])=2023,10,"Không xác định")))</f>
        <v>10</v>
      </c>
      <c r="M722" s="15">
        <f>Table134[[#This Row],[avg_number_of_purchases]]*Table1345[[#This Row],[avg_purchase_value]]*Table1345[[#This Row],[expected_lifespan]]</f>
        <v>36560.705766710351</v>
      </c>
      <c r="N722" t="s">
        <v>12047</v>
      </c>
    </row>
    <row r="723" spans="1:14" x14ac:dyDescent="0.3">
      <c r="A723" s="2" t="s">
        <v>721</v>
      </c>
      <c r="B723" s="2" t="s">
        <v>12040</v>
      </c>
      <c r="C723" s="2">
        <v>34</v>
      </c>
      <c r="D723" s="2" t="s">
        <v>12049</v>
      </c>
      <c r="E723" s="2">
        <f>COUNTIF(Table16[customer_id],Table13[[#This Row],[customer_id]])</f>
        <v>8</v>
      </c>
      <c r="F723" s="13">
        <f>SUMIFS(Table16[Purchase_history],Table16[customer_id],Table13[[#This Row],[customer_id]])</f>
        <v>8803.9399999999987</v>
      </c>
      <c r="G723" s="20">
        <v>44244</v>
      </c>
      <c r="H723" s="21">
        <v>44820</v>
      </c>
      <c r="I723" s="15">
        <f>(Table134[[#This Row],[Last_Day]]-Table134[[#This Row],[First_Day]]+1)/365</f>
        <v>1.5808219178082192</v>
      </c>
      <c r="J723" s="59">
        <f>Table134[[#This Row],[number_of_purchases]]/Table134[[#This Row],[customer_total_years]]</f>
        <v>5.0606585788561524</v>
      </c>
      <c r="K723" s="13">
        <f>Table134[[#This Row],[purchase_history]]/Table134[[#This Row],[number_of_purchases]]</f>
        <v>1100.4924999999998</v>
      </c>
      <c r="L723" s="2">
        <f>IF(YEAR(Table134[[#This Row],[Last_Day]])=2021,5,IF(YEAR(Table134[[#This Row],[Last_Day]])=2022,7,IF(YEAR(Table134[[#This Row],[Last_Day]])=2023,10,"Không xác định")))</f>
        <v>7</v>
      </c>
      <c r="M723" s="15">
        <f>Table134[[#This Row],[avg_number_of_purchases]]*Table1345[[#This Row],[avg_purchase_value]]*Table1345[[#This Row],[expected_lifespan]]</f>
        <v>38984.517677642973</v>
      </c>
      <c r="N723" t="s">
        <v>12048</v>
      </c>
    </row>
    <row r="724" spans="1:14" x14ac:dyDescent="0.3">
      <c r="A724" s="2" t="s">
        <v>722</v>
      </c>
      <c r="B724" s="2" t="s">
        <v>12040</v>
      </c>
      <c r="C724" s="2">
        <v>65</v>
      </c>
      <c r="D724" s="2" t="s">
        <v>12049</v>
      </c>
      <c r="E724" s="2">
        <f>COUNTIF(Table16[customer_id],Table13[[#This Row],[customer_id]])</f>
        <v>7</v>
      </c>
      <c r="F724" s="13">
        <f>SUMIFS(Table16[Purchase_history],Table16[customer_id],Table13[[#This Row],[customer_id]])</f>
        <v>23689.89</v>
      </c>
      <c r="G724" s="20">
        <v>44259</v>
      </c>
      <c r="H724" s="21">
        <v>44971</v>
      </c>
      <c r="I724" s="15">
        <f>(Table134[[#This Row],[Last_Day]]-Table134[[#This Row],[First_Day]]+1)/365</f>
        <v>1.9534246575342467</v>
      </c>
      <c r="J724" s="59">
        <f>Table134[[#This Row],[number_of_purchases]]/Table134[[#This Row],[customer_total_years]]</f>
        <v>3.5834502103786816</v>
      </c>
      <c r="K724" s="13">
        <f>Table134[[#This Row],[purchase_history]]/Table134[[#This Row],[number_of_purchases]]</f>
        <v>3384.27</v>
      </c>
      <c r="L724" s="2">
        <f>IF(YEAR(Table134[[#This Row],[Last_Day]])=2021,5,IF(YEAR(Table134[[#This Row],[Last_Day]])=2022,7,IF(YEAR(Table134[[#This Row],[Last_Day]])=2023,10,"Không xác định")))</f>
        <v>10</v>
      </c>
      <c r="M724" s="15">
        <f>Table134[[#This Row],[avg_number_of_purchases]]*Table1345[[#This Row],[avg_purchase_value]]*Table1345[[#This Row],[expected_lifespan]]</f>
        <v>121273.63043478261</v>
      </c>
      <c r="N724" t="s">
        <v>12042</v>
      </c>
    </row>
    <row r="725" spans="1:14" x14ac:dyDescent="0.3">
      <c r="A725" s="2" t="s">
        <v>723</v>
      </c>
      <c r="B725" s="2" t="s">
        <v>12045</v>
      </c>
      <c r="C725" s="2">
        <v>45</v>
      </c>
      <c r="D725" s="2" t="s">
        <v>12041</v>
      </c>
      <c r="E725" s="2">
        <f>COUNTIF(Table16[customer_id],Table13[[#This Row],[customer_id]])</f>
        <v>7</v>
      </c>
      <c r="F725" s="13">
        <f>SUMIFS(Table16[Purchase_history],Table16[customer_id],Table13[[#This Row],[customer_id]])</f>
        <v>26136.22</v>
      </c>
      <c r="G725" s="20">
        <v>44267</v>
      </c>
      <c r="H725" s="21">
        <v>44839</v>
      </c>
      <c r="I725" s="15">
        <f>(Table134[[#This Row],[Last_Day]]-Table134[[#This Row],[First_Day]]+1)/365</f>
        <v>1.5698630136986302</v>
      </c>
      <c r="J725" s="59">
        <f>Table134[[#This Row],[number_of_purchases]]/Table134[[#This Row],[customer_total_years]]</f>
        <v>4.4589877835951128</v>
      </c>
      <c r="K725" s="13">
        <f>Table134[[#This Row],[purchase_history]]/Table134[[#This Row],[number_of_purchases]]</f>
        <v>3733.7457142857143</v>
      </c>
      <c r="L725" s="2">
        <f>IF(YEAR(Table134[[#This Row],[Last_Day]])=2021,5,IF(YEAR(Table134[[#This Row],[Last_Day]])=2022,7,IF(YEAR(Table134[[#This Row],[Last_Day]])=2023,10,"Không xác định")))</f>
        <v>7</v>
      </c>
      <c r="M725" s="15">
        <f>Table134[[#This Row],[avg_number_of_purchases]]*Table1345[[#This Row],[avg_purchase_value]]*Table1345[[#This Row],[expected_lifespan]]</f>
        <v>116541.08568935425</v>
      </c>
      <c r="N725" t="s">
        <v>12046</v>
      </c>
    </row>
    <row r="726" spans="1:14" x14ac:dyDescent="0.3">
      <c r="A726" s="2" t="s">
        <v>724</v>
      </c>
      <c r="B726" s="2" t="s">
        <v>12045</v>
      </c>
      <c r="C726" s="2">
        <v>48</v>
      </c>
      <c r="D726" s="2" t="s">
        <v>12043</v>
      </c>
      <c r="E726" s="2">
        <f>COUNTIF(Table16[customer_id],Table13[[#This Row],[customer_id]])</f>
        <v>10</v>
      </c>
      <c r="F726" s="13">
        <f>SUMIFS(Table16[Purchase_history],Table16[customer_id],Table13[[#This Row],[customer_id]])</f>
        <v>17289.8</v>
      </c>
      <c r="G726" s="20">
        <v>44205</v>
      </c>
      <c r="H726" s="21">
        <v>44953</v>
      </c>
      <c r="I726" s="15">
        <f>(Table134[[#This Row],[Last_Day]]-Table134[[#This Row],[First_Day]]+1)/365</f>
        <v>2.0520547945205481</v>
      </c>
      <c r="J726" s="59">
        <f>Table134[[#This Row],[number_of_purchases]]/Table134[[#This Row],[customer_total_years]]</f>
        <v>4.8731642189586113</v>
      </c>
      <c r="K726" s="13">
        <f>Table134[[#This Row],[purchase_history]]/Table134[[#This Row],[number_of_purchases]]</f>
        <v>1728.98</v>
      </c>
      <c r="L726" s="2">
        <f>IF(YEAR(Table134[[#This Row],[Last_Day]])=2021,5,IF(YEAR(Table134[[#This Row],[Last_Day]])=2022,7,IF(YEAR(Table134[[#This Row],[Last_Day]])=2023,10,"Không xác định")))</f>
        <v>10</v>
      </c>
      <c r="M726" s="15">
        <f>Table134[[#This Row],[avg_number_of_purchases]]*Table1345[[#This Row],[avg_purchase_value]]*Table1345[[#This Row],[expected_lifespan]]</f>
        <v>84256.034712950612</v>
      </c>
      <c r="N726" t="s">
        <v>12046</v>
      </c>
    </row>
    <row r="727" spans="1:14" x14ac:dyDescent="0.3">
      <c r="A727" s="2" t="s">
        <v>725</v>
      </c>
      <c r="B727" s="2" t="s">
        <v>12040</v>
      </c>
      <c r="C727" s="2">
        <v>47</v>
      </c>
      <c r="D727" s="2" t="s">
        <v>12043</v>
      </c>
      <c r="E727" s="2">
        <f>COUNTIF(Table16[customer_id],Table13[[#This Row],[customer_id]])</f>
        <v>6</v>
      </c>
      <c r="F727" s="13">
        <f>SUMIFS(Table16[Purchase_history],Table16[customer_id],Table13[[#This Row],[customer_id]])</f>
        <v>1290.6100000000001</v>
      </c>
      <c r="G727" s="20">
        <v>44204</v>
      </c>
      <c r="H727" s="21">
        <v>44971</v>
      </c>
      <c r="I727" s="15">
        <f>(Table134[[#This Row],[Last_Day]]-Table134[[#This Row],[First_Day]]+1)/365</f>
        <v>2.1041095890410957</v>
      </c>
      <c r="J727" s="59">
        <f>Table134[[#This Row],[number_of_purchases]]/Table134[[#This Row],[customer_total_years]]</f>
        <v>2.8515625000000004</v>
      </c>
      <c r="K727" s="13">
        <f>Table134[[#This Row],[purchase_history]]/Table134[[#This Row],[number_of_purchases]]</f>
        <v>215.10166666666669</v>
      </c>
      <c r="L727" s="2">
        <f>IF(YEAR(Table134[[#This Row],[Last_Day]])=2021,5,IF(YEAR(Table134[[#This Row],[Last_Day]])=2022,7,IF(YEAR(Table134[[#This Row],[Last_Day]])=2023,10,"Không xác định")))</f>
        <v>10</v>
      </c>
      <c r="M727" s="15">
        <f>Table134[[#This Row],[avg_number_of_purchases]]*Table1345[[#This Row],[avg_purchase_value]]*Table1345[[#This Row],[expected_lifespan]]</f>
        <v>6133.7584635416679</v>
      </c>
      <c r="N727" t="s">
        <v>12047</v>
      </c>
    </row>
    <row r="728" spans="1:14" x14ac:dyDescent="0.3">
      <c r="A728" s="2" t="s">
        <v>726</v>
      </c>
      <c r="B728" s="2" t="s">
        <v>12045</v>
      </c>
      <c r="C728" s="2">
        <v>42</v>
      </c>
      <c r="D728" s="2" t="s">
        <v>12043</v>
      </c>
      <c r="E728" s="2">
        <f>COUNTIF(Table16[customer_id],Table13[[#This Row],[customer_id]])</f>
        <v>5</v>
      </c>
      <c r="F728" s="13">
        <f>SUMIFS(Table16[Purchase_history],Table16[customer_id],Table13[[#This Row],[customer_id]])</f>
        <v>12754.34</v>
      </c>
      <c r="G728" s="20">
        <v>44351</v>
      </c>
      <c r="H728" s="21">
        <v>44840</v>
      </c>
      <c r="I728" s="15">
        <f>(Table134[[#This Row],[Last_Day]]-Table134[[#This Row],[First_Day]]+1)/365</f>
        <v>1.3424657534246576</v>
      </c>
      <c r="J728" s="59">
        <f>Table134[[#This Row],[number_of_purchases]]/Table134[[#This Row],[customer_total_years]]</f>
        <v>3.7244897959183674</v>
      </c>
      <c r="K728" s="13">
        <f>Table134[[#This Row],[purchase_history]]/Table134[[#This Row],[number_of_purchases]]</f>
        <v>2550.8679999999999</v>
      </c>
      <c r="L728" s="2">
        <f>IF(YEAR(Table134[[#This Row],[Last_Day]])=2021,5,IF(YEAR(Table134[[#This Row],[Last_Day]])=2022,7,IF(YEAR(Table134[[#This Row],[Last_Day]])=2023,10,"Không xác định")))</f>
        <v>7</v>
      </c>
      <c r="M728" s="15">
        <f>Table134[[#This Row],[avg_number_of_purchases]]*Table1345[[#This Row],[avg_purchase_value]]*Table1345[[#This Row],[expected_lifespan]]</f>
        <v>66504.772857142845</v>
      </c>
      <c r="N728" t="s">
        <v>12047</v>
      </c>
    </row>
    <row r="729" spans="1:14" x14ac:dyDescent="0.3">
      <c r="A729" s="2" t="s">
        <v>727</v>
      </c>
      <c r="B729" s="2" t="s">
        <v>12045</v>
      </c>
      <c r="C729" s="2">
        <v>42</v>
      </c>
      <c r="D729" s="2" t="s">
        <v>12049</v>
      </c>
      <c r="E729" s="2">
        <f>COUNTIF(Table16[customer_id],Table13[[#This Row],[customer_id]])</f>
        <v>5</v>
      </c>
      <c r="F729" s="13">
        <f>SUMIFS(Table16[Purchase_history],Table16[customer_id],Table13[[#This Row],[customer_id]])</f>
        <v>18683.64</v>
      </c>
      <c r="G729" s="20">
        <v>44218</v>
      </c>
      <c r="H729" s="21">
        <v>44699</v>
      </c>
      <c r="I729" s="15">
        <f>(Table134[[#This Row],[Last_Day]]-Table134[[#This Row],[First_Day]]+1)/365</f>
        <v>1.3205479452054794</v>
      </c>
      <c r="J729" s="59">
        <f>Table134[[#This Row],[number_of_purchases]]/Table134[[#This Row],[customer_total_years]]</f>
        <v>3.786307053941909</v>
      </c>
      <c r="K729" s="13">
        <f>Table134[[#This Row],[purchase_history]]/Table134[[#This Row],[number_of_purchases]]</f>
        <v>3736.7280000000001</v>
      </c>
      <c r="L729" s="2">
        <f>IF(YEAR(Table134[[#This Row],[Last_Day]])=2021,5,IF(YEAR(Table134[[#This Row],[Last_Day]])=2022,7,IF(YEAR(Table134[[#This Row],[Last_Day]])=2023,10,"Không xác định")))</f>
        <v>7</v>
      </c>
      <c r="M729" s="15">
        <f>Table134[[#This Row],[avg_number_of_purchases]]*Table1345[[#This Row],[avg_purchase_value]]*Table1345[[#This Row],[expected_lifespan]]</f>
        <v>99038.797095435686</v>
      </c>
      <c r="N729" t="s">
        <v>12048</v>
      </c>
    </row>
    <row r="730" spans="1:14" x14ac:dyDescent="0.3">
      <c r="A730" s="2" t="s">
        <v>728</v>
      </c>
      <c r="B730" s="2" t="s">
        <v>12040</v>
      </c>
      <c r="C730" s="2">
        <v>69</v>
      </c>
      <c r="D730" s="2" t="s">
        <v>12049</v>
      </c>
      <c r="E730" s="2">
        <f>COUNTIF(Table16[customer_id],Table13[[#This Row],[customer_id]])</f>
        <v>7</v>
      </c>
      <c r="F730" s="13">
        <f>SUMIFS(Table16[Purchase_history],Table16[customer_id],Table13[[#This Row],[customer_id]])</f>
        <v>18299.829999999998</v>
      </c>
      <c r="G730" s="20">
        <v>44213</v>
      </c>
      <c r="H730" s="21">
        <v>44935</v>
      </c>
      <c r="I730" s="15">
        <f>(Table134[[#This Row],[Last_Day]]-Table134[[#This Row],[First_Day]]+1)/365</f>
        <v>1.9808219178082191</v>
      </c>
      <c r="J730" s="59">
        <f>Table134[[#This Row],[number_of_purchases]]/Table134[[#This Row],[customer_total_years]]</f>
        <v>3.5338865836791147</v>
      </c>
      <c r="K730" s="13">
        <f>Table134[[#This Row],[purchase_history]]/Table134[[#This Row],[number_of_purchases]]</f>
        <v>2614.2614285714285</v>
      </c>
      <c r="L730" s="2">
        <f>IF(YEAR(Table134[[#This Row],[Last_Day]])=2021,5,IF(YEAR(Table134[[#This Row],[Last_Day]])=2022,7,IF(YEAR(Table134[[#This Row],[Last_Day]])=2023,10,"Không xác định")))</f>
        <v>10</v>
      </c>
      <c r="M730" s="15">
        <f>Table134[[#This Row],[avg_number_of_purchases]]*Table1345[[#This Row],[avg_purchase_value]]*Table1345[[#This Row],[expected_lifespan]]</f>
        <v>92385.033886583682</v>
      </c>
      <c r="N730" t="s">
        <v>12044</v>
      </c>
    </row>
    <row r="731" spans="1:14" x14ac:dyDescent="0.3">
      <c r="A731" s="2" t="s">
        <v>729</v>
      </c>
      <c r="B731" s="2" t="s">
        <v>12040</v>
      </c>
      <c r="C731" s="2">
        <v>43</v>
      </c>
      <c r="D731" s="2" t="s">
        <v>12041</v>
      </c>
      <c r="E731" s="2">
        <f>COUNTIF(Table16[customer_id],Table13[[#This Row],[customer_id]])</f>
        <v>3</v>
      </c>
      <c r="F731" s="13">
        <f>SUMIFS(Table16[Purchase_history],Table16[customer_id],Table13[[#This Row],[customer_id]])</f>
        <v>1166.77</v>
      </c>
      <c r="G731" s="20">
        <v>44230</v>
      </c>
      <c r="H731" s="21">
        <v>44792</v>
      </c>
      <c r="I731" s="15">
        <f>(Table134[[#This Row],[Last_Day]]-Table134[[#This Row],[First_Day]]+1)/365</f>
        <v>1.5424657534246575</v>
      </c>
      <c r="J731" s="59">
        <f>Table134[[#This Row],[number_of_purchases]]/Table134[[#This Row],[customer_total_years]]</f>
        <v>1.9449378330373002</v>
      </c>
      <c r="K731" s="13">
        <f>Table134[[#This Row],[purchase_history]]/Table134[[#This Row],[number_of_purchases]]</f>
        <v>388.92333333333335</v>
      </c>
      <c r="L731" s="2">
        <f>IF(YEAR(Table134[[#This Row],[Last_Day]])=2021,5,IF(YEAR(Table134[[#This Row],[Last_Day]])=2022,7,IF(YEAR(Table134[[#This Row],[Last_Day]])=2023,10,"Không xác định")))</f>
        <v>7</v>
      </c>
      <c r="M731" s="15">
        <f>Table134[[#This Row],[avg_number_of_purchases]]*Table1345[[#This Row],[avg_purchase_value]]*Table1345[[#This Row],[expected_lifespan]]</f>
        <v>5295.0219360568381</v>
      </c>
      <c r="N731" t="s">
        <v>12046</v>
      </c>
    </row>
    <row r="732" spans="1:14" x14ac:dyDescent="0.3">
      <c r="A732" s="2" t="s">
        <v>730</v>
      </c>
      <c r="B732" s="2" t="s">
        <v>12040</v>
      </c>
      <c r="C732" s="2">
        <v>43</v>
      </c>
      <c r="D732" s="2" t="s">
        <v>12049</v>
      </c>
      <c r="E732" s="2">
        <f>COUNTIF(Table16[customer_id],Table13[[#This Row],[customer_id]])</f>
        <v>3</v>
      </c>
      <c r="F732" s="13">
        <f>SUMIFS(Table16[Purchase_history],Table16[customer_id],Table13[[#This Row],[customer_id]])</f>
        <v>14703.96</v>
      </c>
      <c r="G732" s="20">
        <v>44573</v>
      </c>
      <c r="H732" s="21">
        <v>44916</v>
      </c>
      <c r="I732" s="15">
        <f>(Table134[[#This Row],[Last_Day]]-Table134[[#This Row],[First_Day]]+1)/365</f>
        <v>0.94246575342465755</v>
      </c>
      <c r="J732" s="59">
        <f>Table134[[#This Row],[number_of_purchases]]/Table134[[#This Row],[customer_total_years]]</f>
        <v>3.183139534883721</v>
      </c>
      <c r="K732" s="13">
        <f>Table134[[#This Row],[purchase_history]]/Table134[[#This Row],[number_of_purchases]]</f>
        <v>4901.32</v>
      </c>
      <c r="L732" s="2">
        <f>IF(YEAR(Table134[[#This Row],[Last_Day]])=2021,5,IF(YEAR(Table134[[#This Row],[Last_Day]])=2022,7,IF(YEAR(Table134[[#This Row],[Last_Day]])=2023,10,"Không xác định")))</f>
        <v>7</v>
      </c>
      <c r="M732" s="15">
        <f>Table134[[#This Row],[avg_number_of_purchases]]*Table1345[[#This Row],[avg_purchase_value]]*Table1345[[#This Row],[expected_lifespan]]</f>
        <v>109211.09825581395</v>
      </c>
      <c r="N732" t="s">
        <v>12042</v>
      </c>
    </row>
    <row r="733" spans="1:14" x14ac:dyDescent="0.3">
      <c r="A733" s="2" t="s">
        <v>731</v>
      </c>
      <c r="B733" s="2" t="s">
        <v>12045</v>
      </c>
      <c r="C733" s="2">
        <v>22</v>
      </c>
      <c r="D733" s="2" t="s">
        <v>12043</v>
      </c>
      <c r="E733" s="2">
        <f>COUNTIF(Table16[customer_id],Table13[[#This Row],[customer_id]])</f>
        <v>4</v>
      </c>
      <c r="F733" s="13">
        <f>SUMIFS(Table16[Purchase_history],Table16[customer_id],Table13[[#This Row],[customer_id]])</f>
        <v>8499.69</v>
      </c>
      <c r="G733" s="20">
        <v>44332</v>
      </c>
      <c r="H733" s="21">
        <v>44985</v>
      </c>
      <c r="I733" s="15">
        <f>(Table134[[#This Row],[Last_Day]]-Table134[[#This Row],[First_Day]]+1)/365</f>
        <v>1.7917808219178082</v>
      </c>
      <c r="J733" s="59">
        <f>Table134[[#This Row],[number_of_purchases]]/Table134[[#This Row],[customer_total_years]]</f>
        <v>2.2324159021406729</v>
      </c>
      <c r="K733" s="13">
        <f>Table134[[#This Row],[purchase_history]]/Table134[[#This Row],[number_of_purchases]]</f>
        <v>2124.9225000000001</v>
      </c>
      <c r="L733" s="2">
        <f>IF(YEAR(Table134[[#This Row],[Last_Day]])=2021,5,IF(YEAR(Table134[[#This Row],[Last_Day]])=2022,7,IF(YEAR(Table134[[#This Row],[Last_Day]])=2023,10,"Không xác định")))</f>
        <v>10</v>
      </c>
      <c r="M733" s="15">
        <f>Table134[[#This Row],[avg_number_of_purchases]]*Table1345[[#This Row],[avg_purchase_value]]*Table1345[[#This Row],[expected_lifespan]]</f>
        <v>47437.107798165147</v>
      </c>
      <c r="N733" t="s">
        <v>12047</v>
      </c>
    </row>
    <row r="734" spans="1:14" x14ac:dyDescent="0.3">
      <c r="A734" s="2" t="s">
        <v>732</v>
      </c>
      <c r="B734" s="2" t="s">
        <v>12045</v>
      </c>
      <c r="C734" s="2">
        <v>22</v>
      </c>
      <c r="D734" s="2" t="s">
        <v>12041</v>
      </c>
      <c r="E734" s="2">
        <f>COUNTIF(Table16[customer_id],Table13[[#This Row],[customer_id]])</f>
        <v>2</v>
      </c>
      <c r="F734" s="13">
        <f>SUMIFS(Table16[Purchase_history],Table16[customer_id],Table13[[#This Row],[customer_id]])</f>
        <v>5442.19</v>
      </c>
      <c r="G734" s="20">
        <v>44260</v>
      </c>
      <c r="H734" s="21">
        <v>44287</v>
      </c>
      <c r="I734" s="15">
        <f>(Table134[[#This Row],[Last_Day]]-Table134[[#This Row],[First_Day]]+1)/365</f>
        <v>7.6712328767123292E-2</v>
      </c>
      <c r="J734" s="59">
        <f>Table134[[#This Row],[number_of_purchases]]/Table134[[#This Row],[customer_total_years]]</f>
        <v>26.071428571428569</v>
      </c>
      <c r="K734" s="13">
        <f>Table134[[#This Row],[purchase_history]]/Table134[[#This Row],[number_of_purchases]]</f>
        <v>2721.0949999999998</v>
      </c>
      <c r="L734" s="2">
        <f>IF(YEAR(Table134[[#This Row],[Last_Day]])=2021,5,IF(YEAR(Table134[[#This Row],[Last_Day]])=2022,7,IF(YEAR(Table134[[#This Row],[Last_Day]])=2023,10,"Không xác định")))</f>
        <v>5</v>
      </c>
      <c r="M734" s="15">
        <f>Table134[[#This Row],[avg_number_of_purchases]]*Table1345[[#This Row],[avg_purchase_value]]*Table1345[[#This Row],[expected_lifespan]]</f>
        <v>354714.1696428571</v>
      </c>
      <c r="N734" t="s">
        <v>12044</v>
      </c>
    </row>
    <row r="735" spans="1:14" x14ac:dyDescent="0.3">
      <c r="A735" s="2" t="s">
        <v>733</v>
      </c>
      <c r="B735" s="2" t="s">
        <v>12040</v>
      </c>
      <c r="C735" s="2">
        <v>67</v>
      </c>
      <c r="D735" s="2" t="s">
        <v>12043</v>
      </c>
      <c r="E735" s="2">
        <f>COUNTIF(Table16[customer_id],Table13[[#This Row],[customer_id]])</f>
        <v>6</v>
      </c>
      <c r="F735" s="13">
        <f>SUMIFS(Table16[Purchase_history],Table16[customer_id],Table13[[#This Row],[customer_id]])</f>
        <v>20211.640000000003</v>
      </c>
      <c r="G735" s="20">
        <v>44220</v>
      </c>
      <c r="H735" s="21">
        <v>44953</v>
      </c>
      <c r="I735" s="15">
        <f>(Table134[[#This Row],[Last_Day]]-Table134[[#This Row],[First_Day]]+1)/365</f>
        <v>2.010958904109589</v>
      </c>
      <c r="J735" s="59">
        <f>Table134[[#This Row],[number_of_purchases]]/Table134[[#This Row],[customer_total_years]]</f>
        <v>2.9836512261580381</v>
      </c>
      <c r="K735" s="13">
        <f>Table134[[#This Row],[purchase_history]]/Table134[[#This Row],[number_of_purchases]]</f>
        <v>3368.606666666667</v>
      </c>
      <c r="L735" s="2">
        <f>IF(YEAR(Table134[[#This Row],[Last_Day]])=2021,5,IF(YEAR(Table134[[#This Row],[Last_Day]])=2022,7,IF(YEAR(Table134[[#This Row],[Last_Day]])=2023,10,"Không xác định")))</f>
        <v>10</v>
      </c>
      <c r="M735" s="15">
        <f>Table134[[#This Row],[avg_number_of_purchases]]*Table1345[[#This Row],[avg_purchase_value]]*Table1345[[#This Row],[expected_lifespan]]</f>
        <v>100507.47411444143</v>
      </c>
      <c r="N735" t="s">
        <v>12042</v>
      </c>
    </row>
    <row r="736" spans="1:14" x14ac:dyDescent="0.3">
      <c r="A736" s="2" t="s">
        <v>734</v>
      </c>
      <c r="B736" s="2" t="s">
        <v>12040</v>
      </c>
      <c r="C736" s="2">
        <v>45</v>
      </c>
      <c r="D736" s="2" t="s">
        <v>12043</v>
      </c>
      <c r="E736" s="2">
        <f>COUNTIF(Table16[customer_id],Table13[[#This Row],[customer_id]])</f>
        <v>6</v>
      </c>
      <c r="F736" s="13">
        <f>SUMIFS(Table16[Purchase_history],Table16[customer_id],Table13[[#This Row],[customer_id]])</f>
        <v>34256.35</v>
      </c>
      <c r="G736" s="20">
        <v>44318</v>
      </c>
      <c r="H736" s="21">
        <v>44967</v>
      </c>
      <c r="I736" s="15">
        <f>(Table134[[#This Row],[Last_Day]]-Table134[[#This Row],[First_Day]]+1)/365</f>
        <v>1.7808219178082192</v>
      </c>
      <c r="J736" s="59">
        <f>Table134[[#This Row],[number_of_purchases]]/Table134[[#This Row],[customer_total_years]]</f>
        <v>3.3692307692307693</v>
      </c>
      <c r="K736" s="13">
        <f>Table134[[#This Row],[purchase_history]]/Table134[[#This Row],[number_of_purchases]]</f>
        <v>5709.3916666666664</v>
      </c>
      <c r="L736" s="2">
        <f>IF(YEAR(Table134[[#This Row],[Last_Day]])=2021,5,IF(YEAR(Table134[[#This Row],[Last_Day]])=2022,7,IF(YEAR(Table134[[#This Row],[Last_Day]])=2023,10,"Không xác định")))</f>
        <v>10</v>
      </c>
      <c r="M736" s="15">
        <f>Table134[[#This Row],[avg_number_of_purchases]]*Table1345[[#This Row],[avg_purchase_value]]*Table1345[[#This Row],[expected_lifespan]]</f>
        <v>192362.58076923079</v>
      </c>
      <c r="N736" t="s">
        <v>12048</v>
      </c>
    </row>
    <row r="737" spans="1:14" x14ac:dyDescent="0.3">
      <c r="A737" s="2" t="s">
        <v>735</v>
      </c>
      <c r="B737" s="2" t="s">
        <v>12045</v>
      </c>
      <c r="C737" s="2">
        <v>49</v>
      </c>
      <c r="D737" s="2" t="s">
        <v>12041</v>
      </c>
      <c r="E737" s="2">
        <f>COUNTIF(Table16[customer_id],Table13[[#This Row],[customer_id]])</f>
        <v>1</v>
      </c>
      <c r="F737" s="13">
        <f>SUMIFS(Table16[Purchase_history],Table16[customer_id],Table13[[#This Row],[customer_id]])</f>
        <v>2700.7200000000003</v>
      </c>
      <c r="G737" s="20">
        <v>44788</v>
      </c>
      <c r="H737" s="21">
        <v>44788</v>
      </c>
      <c r="I737" s="15">
        <f>(Table134[[#This Row],[Last_Day]]-Table134[[#This Row],[First_Day]]+1)/365</f>
        <v>2.7397260273972603E-3</v>
      </c>
      <c r="J737" s="59">
        <f>Table134[[#This Row],[number_of_purchases]]/Table134[[#This Row],[customer_total_years]]</f>
        <v>365</v>
      </c>
      <c r="K737" s="13">
        <f>Table134[[#This Row],[purchase_history]]/Table134[[#This Row],[number_of_purchases]]</f>
        <v>2700.7200000000003</v>
      </c>
      <c r="L737" s="2">
        <f>IF(YEAR(Table134[[#This Row],[Last_Day]])=2021,5,IF(YEAR(Table134[[#This Row],[Last_Day]])=2022,7,IF(YEAR(Table134[[#This Row],[Last_Day]])=2023,10,"Không xác định")))</f>
        <v>7</v>
      </c>
      <c r="M737" s="15">
        <f>Table134[[#This Row],[avg_number_of_purchases]]*Table1345[[#This Row],[avg_purchase_value]]*Table1345[[#This Row],[expected_lifespan]]</f>
        <v>6900339.6000000006</v>
      </c>
      <c r="N737" t="s">
        <v>12042</v>
      </c>
    </row>
    <row r="738" spans="1:14" x14ac:dyDescent="0.3">
      <c r="A738" s="2" t="s">
        <v>736</v>
      </c>
      <c r="B738" s="2" t="s">
        <v>12045</v>
      </c>
      <c r="C738" s="2">
        <v>57</v>
      </c>
      <c r="D738" s="2" t="s">
        <v>12043</v>
      </c>
      <c r="E738" s="2">
        <f>COUNTIF(Table16[customer_id],Table13[[#This Row],[customer_id]])</f>
        <v>4</v>
      </c>
      <c r="F738" s="13">
        <f>SUMIFS(Table16[Purchase_history],Table16[customer_id],Table13[[#This Row],[customer_id]])</f>
        <v>6111.2300000000005</v>
      </c>
      <c r="G738" s="20">
        <v>44434</v>
      </c>
      <c r="H738" s="21">
        <v>44922</v>
      </c>
      <c r="I738" s="15">
        <f>(Table134[[#This Row],[Last_Day]]-Table134[[#This Row],[First_Day]]+1)/365</f>
        <v>1.3397260273972602</v>
      </c>
      <c r="J738" s="59">
        <f>Table134[[#This Row],[number_of_purchases]]/Table134[[#This Row],[customer_total_years]]</f>
        <v>2.9856850715746424</v>
      </c>
      <c r="K738" s="13">
        <f>Table134[[#This Row],[purchase_history]]/Table134[[#This Row],[number_of_purchases]]</f>
        <v>1527.8075000000001</v>
      </c>
      <c r="L738" s="2">
        <f>IF(YEAR(Table134[[#This Row],[Last_Day]])=2021,5,IF(YEAR(Table134[[#This Row],[Last_Day]])=2022,7,IF(YEAR(Table134[[#This Row],[Last_Day]])=2023,10,"Không xác định")))</f>
        <v>7</v>
      </c>
      <c r="M738" s="15">
        <f>Table134[[#This Row],[avg_number_of_purchases]]*Table1345[[#This Row],[avg_purchase_value]]*Table1345[[#This Row],[expected_lifespan]]</f>
        <v>31930.864314928433</v>
      </c>
      <c r="N738" t="s">
        <v>12048</v>
      </c>
    </row>
    <row r="739" spans="1:14" x14ac:dyDescent="0.3">
      <c r="A739" s="2" t="s">
        <v>737</v>
      </c>
      <c r="B739" s="2" t="s">
        <v>12040</v>
      </c>
      <c r="C739" s="2">
        <v>49</v>
      </c>
      <c r="D739" s="2" t="s">
        <v>12043</v>
      </c>
      <c r="E739" s="2">
        <f>COUNTIF(Table16[customer_id],Table13[[#This Row],[customer_id]])</f>
        <v>7</v>
      </c>
      <c r="F739" s="13">
        <f>SUMIFS(Table16[Purchase_history],Table16[customer_id],Table13[[#This Row],[customer_id]])</f>
        <v>4029.4300000000003</v>
      </c>
      <c r="G739" s="20">
        <v>44260</v>
      </c>
      <c r="H739" s="21">
        <v>44965</v>
      </c>
      <c r="I739" s="15">
        <f>(Table134[[#This Row],[Last_Day]]-Table134[[#This Row],[First_Day]]+1)/365</f>
        <v>1.9342465753424658</v>
      </c>
      <c r="J739" s="59">
        <f>Table134[[#This Row],[number_of_purchases]]/Table134[[#This Row],[customer_total_years]]</f>
        <v>3.6189801699716715</v>
      </c>
      <c r="K739" s="13">
        <f>Table134[[#This Row],[purchase_history]]/Table134[[#This Row],[number_of_purchases]]</f>
        <v>575.63285714285723</v>
      </c>
      <c r="L739" s="2">
        <f>IF(YEAR(Table134[[#This Row],[Last_Day]])=2021,5,IF(YEAR(Table134[[#This Row],[Last_Day]])=2022,7,IF(YEAR(Table134[[#This Row],[Last_Day]])=2023,10,"Không xác định")))</f>
        <v>10</v>
      </c>
      <c r="M739" s="15">
        <f>Table134[[#This Row],[avg_number_of_purchases]]*Table1345[[#This Row],[avg_purchase_value]]*Table1345[[#This Row],[expected_lifespan]]</f>
        <v>20832.038951841365</v>
      </c>
      <c r="N739" t="s">
        <v>12044</v>
      </c>
    </row>
    <row r="740" spans="1:14" x14ac:dyDescent="0.3">
      <c r="A740" s="2" t="s">
        <v>738</v>
      </c>
      <c r="B740" s="2" t="s">
        <v>12040</v>
      </c>
      <c r="C740" s="2">
        <v>41</v>
      </c>
      <c r="D740" s="2" t="s">
        <v>12043</v>
      </c>
      <c r="E740" s="2">
        <f>COUNTIF(Table16[customer_id],Table13[[#This Row],[customer_id]])</f>
        <v>6</v>
      </c>
      <c r="F740" s="13">
        <f>SUMIFS(Table16[Purchase_history],Table16[customer_id],Table13[[#This Row],[customer_id]])</f>
        <v>2418.9</v>
      </c>
      <c r="G740" s="20">
        <v>44214</v>
      </c>
      <c r="H740" s="21">
        <v>44889</v>
      </c>
      <c r="I740" s="15">
        <f>(Table134[[#This Row],[Last_Day]]-Table134[[#This Row],[First_Day]]+1)/365</f>
        <v>1.8520547945205479</v>
      </c>
      <c r="J740" s="59">
        <f>Table134[[#This Row],[number_of_purchases]]/Table134[[#This Row],[customer_total_years]]</f>
        <v>3.2396449704142012</v>
      </c>
      <c r="K740" s="13">
        <f>Table134[[#This Row],[purchase_history]]/Table134[[#This Row],[number_of_purchases]]</f>
        <v>403.15000000000003</v>
      </c>
      <c r="L740" s="2">
        <f>IF(YEAR(Table134[[#This Row],[Last_Day]])=2021,5,IF(YEAR(Table134[[#This Row],[Last_Day]])=2022,7,IF(YEAR(Table134[[#This Row],[Last_Day]])=2023,10,"Không xác định")))</f>
        <v>7</v>
      </c>
      <c r="M740" s="15">
        <f>Table134[[#This Row],[avg_number_of_purchases]]*Table1345[[#This Row],[avg_purchase_value]]*Table1345[[#This Row],[expected_lifespan]]</f>
        <v>9142.4400887573975</v>
      </c>
      <c r="N740" t="s">
        <v>12048</v>
      </c>
    </row>
    <row r="741" spans="1:14" x14ac:dyDescent="0.3">
      <c r="A741" s="2" t="s">
        <v>739</v>
      </c>
      <c r="B741" s="2" t="s">
        <v>12040</v>
      </c>
      <c r="C741" s="2">
        <v>64</v>
      </c>
      <c r="D741" s="2" t="s">
        <v>12041</v>
      </c>
      <c r="E741" s="2">
        <f>COUNTIF(Table16[customer_id],Table13[[#This Row],[customer_id]])</f>
        <v>6</v>
      </c>
      <c r="F741" s="13">
        <f>SUMIFS(Table16[Purchase_history],Table16[customer_id],Table13[[#This Row],[customer_id]])</f>
        <v>42223.88</v>
      </c>
      <c r="G741" s="20">
        <v>44339</v>
      </c>
      <c r="H741" s="21">
        <v>44977</v>
      </c>
      <c r="I741" s="15">
        <f>(Table134[[#This Row],[Last_Day]]-Table134[[#This Row],[First_Day]]+1)/365</f>
        <v>1.7506849315068493</v>
      </c>
      <c r="J741" s="59">
        <f>Table134[[#This Row],[number_of_purchases]]/Table134[[#This Row],[customer_total_years]]</f>
        <v>3.427230046948357</v>
      </c>
      <c r="K741" s="13">
        <f>Table134[[#This Row],[purchase_history]]/Table134[[#This Row],[number_of_purchases]]</f>
        <v>7037.3133333333326</v>
      </c>
      <c r="L741" s="2">
        <f>IF(YEAR(Table134[[#This Row],[Last_Day]])=2021,5,IF(YEAR(Table134[[#This Row],[Last_Day]])=2022,7,IF(YEAR(Table134[[#This Row],[Last_Day]])=2023,10,"Không xác định")))</f>
        <v>10</v>
      </c>
      <c r="M741" s="15">
        <f>Table134[[#This Row],[avg_number_of_purchases]]*Table1345[[#This Row],[avg_purchase_value]]*Table1345[[#This Row],[expected_lifespan]]</f>
        <v>241184.91705790296</v>
      </c>
      <c r="N741" t="s">
        <v>12042</v>
      </c>
    </row>
    <row r="742" spans="1:14" x14ac:dyDescent="0.3">
      <c r="A742" s="2" t="s">
        <v>740</v>
      </c>
      <c r="B742" s="2" t="s">
        <v>12045</v>
      </c>
      <c r="C742" s="2">
        <v>31</v>
      </c>
      <c r="D742" s="2" t="s">
        <v>12041</v>
      </c>
      <c r="E742" s="2">
        <f>COUNTIF(Table16[customer_id],Table13[[#This Row],[customer_id]])</f>
        <v>6</v>
      </c>
      <c r="F742" s="13">
        <f>SUMIFS(Table16[Purchase_history],Table16[customer_id],Table13[[#This Row],[customer_id]])</f>
        <v>28186.54</v>
      </c>
      <c r="G742" s="20">
        <v>44197</v>
      </c>
      <c r="H742" s="21">
        <v>44545</v>
      </c>
      <c r="I742" s="15">
        <f>(Table134[[#This Row],[Last_Day]]-Table134[[#This Row],[First_Day]]+1)/365</f>
        <v>0.95616438356164379</v>
      </c>
      <c r="J742" s="59">
        <f>Table134[[#This Row],[number_of_purchases]]/Table134[[#This Row],[customer_total_years]]</f>
        <v>6.2750716332378227</v>
      </c>
      <c r="K742" s="13">
        <f>Table134[[#This Row],[purchase_history]]/Table134[[#This Row],[number_of_purchases]]</f>
        <v>4697.7566666666671</v>
      </c>
      <c r="L742" s="2">
        <f>IF(YEAR(Table134[[#This Row],[Last_Day]])=2021,5,IF(YEAR(Table134[[#This Row],[Last_Day]])=2022,7,IF(YEAR(Table134[[#This Row],[Last_Day]])=2023,10,"Không xác định")))</f>
        <v>5</v>
      </c>
      <c r="M742" s="15">
        <f>Table134[[#This Row],[avg_number_of_purchases]]*Table1345[[#This Row],[avg_purchase_value]]*Table1345[[#This Row],[expected_lifespan]]</f>
        <v>147393.79799426938</v>
      </c>
      <c r="N742" t="s">
        <v>12044</v>
      </c>
    </row>
    <row r="743" spans="1:14" x14ac:dyDescent="0.3">
      <c r="A743" s="2" t="s">
        <v>741</v>
      </c>
      <c r="B743" s="2" t="s">
        <v>12040</v>
      </c>
      <c r="C743" s="2">
        <v>51</v>
      </c>
      <c r="D743" s="2" t="s">
        <v>12043</v>
      </c>
      <c r="E743" s="2">
        <f>COUNTIF(Table16[customer_id],Table13[[#This Row],[customer_id]])</f>
        <v>3</v>
      </c>
      <c r="F743" s="13">
        <f>SUMIFS(Table16[Purchase_history],Table16[customer_id],Table13[[#This Row],[customer_id]])</f>
        <v>5934.96</v>
      </c>
      <c r="G743" s="20">
        <v>44214</v>
      </c>
      <c r="H743" s="21">
        <v>44752</v>
      </c>
      <c r="I743" s="15">
        <f>(Table134[[#This Row],[Last_Day]]-Table134[[#This Row],[First_Day]]+1)/365</f>
        <v>1.4767123287671233</v>
      </c>
      <c r="J743" s="59">
        <f>Table134[[#This Row],[number_of_purchases]]/Table134[[#This Row],[customer_total_years]]</f>
        <v>2.0315398886827456</v>
      </c>
      <c r="K743" s="13">
        <f>Table134[[#This Row],[purchase_history]]/Table134[[#This Row],[number_of_purchases]]</f>
        <v>1978.32</v>
      </c>
      <c r="L743" s="2">
        <f>IF(YEAR(Table134[[#This Row],[Last_Day]])=2021,5,IF(YEAR(Table134[[#This Row],[Last_Day]])=2022,7,IF(YEAR(Table134[[#This Row],[Last_Day]])=2023,10,"Không xác định")))</f>
        <v>7</v>
      </c>
      <c r="M743" s="15">
        <f>Table134[[#This Row],[avg_number_of_purchases]]*Table1345[[#This Row],[avg_purchase_value]]*Table1345[[#This Row],[expected_lifespan]]</f>
        <v>28133.251948051944</v>
      </c>
      <c r="N743" t="s">
        <v>12048</v>
      </c>
    </row>
    <row r="744" spans="1:14" x14ac:dyDescent="0.3">
      <c r="A744" s="2" t="s">
        <v>742</v>
      </c>
      <c r="B744" s="2" t="s">
        <v>12040</v>
      </c>
      <c r="C744" s="2">
        <v>57</v>
      </c>
      <c r="D744" s="2" t="s">
        <v>12041</v>
      </c>
      <c r="E744" s="2">
        <f>COUNTIF(Table16[customer_id],Table13[[#This Row],[customer_id]])</f>
        <v>8</v>
      </c>
      <c r="F744" s="13">
        <f>SUMIFS(Table16[Purchase_history],Table16[customer_id],Table13[[#This Row],[customer_id]])</f>
        <v>39910.089999999997</v>
      </c>
      <c r="G744" s="20">
        <v>44218</v>
      </c>
      <c r="H744" s="21">
        <v>44913</v>
      </c>
      <c r="I744" s="15">
        <f>(Table134[[#This Row],[Last_Day]]-Table134[[#This Row],[First_Day]]+1)/365</f>
        <v>1.9068493150684931</v>
      </c>
      <c r="J744" s="59">
        <f>Table134[[#This Row],[number_of_purchases]]/Table134[[#This Row],[customer_total_years]]</f>
        <v>4.195402298850575</v>
      </c>
      <c r="K744" s="13">
        <f>Table134[[#This Row],[purchase_history]]/Table134[[#This Row],[number_of_purchases]]</f>
        <v>4988.7612499999996</v>
      </c>
      <c r="L744" s="2">
        <f>IF(YEAR(Table134[[#This Row],[Last_Day]])=2021,5,IF(YEAR(Table134[[#This Row],[Last_Day]])=2022,7,IF(YEAR(Table134[[#This Row],[Last_Day]])=2023,10,"Không xác định")))</f>
        <v>7</v>
      </c>
      <c r="M744" s="15">
        <f>Table134[[#This Row],[avg_number_of_purchases]]*Table1345[[#This Row],[avg_purchase_value]]*Table1345[[#This Row],[expected_lifespan]]</f>
        <v>146509.02291666667</v>
      </c>
      <c r="N744" t="s">
        <v>12047</v>
      </c>
    </row>
    <row r="745" spans="1:14" x14ac:dyDescent="0.3">
      <c r="A745" s="2" t="s">
        <v>743</v>
      </c>
      <c r="B745" s="2" t="s">
        <v>12040</v>
      </c>
      <c r="C745" s="2">
        <v>65</v>
      </c>
      <c r="D745" s="2" t="s">
        <v>12049</v>
      </c>
      <c r="E745" s="2">
        <f>COUNTIF(Table16[customer_id],Table13[[#This Row],[customer_id]])</f>
        <v>3</v>
      </c>
      <c r="F745" s="13">
        <f>SUMIFS(Table16[Purchase_history],Table16[customer_id],Table13[[#This Row],[customer_id]])</f>
        <v>32409.18</v>
      </c>
      <c r="G745" s="20">
        <v>44209</v>
      </c>
      <c r="H745" s="21">
        <v>44894</v>
      </c>
      <c r="I745" s="15">
        <f>(Table134[[#This Row],[Last_Day]]-Table134[[#This Row],[First_Day]]+1)/365</f>
        <v>1.8794520547945206</v>
      </c>
      <c r="J745" s="59">
        <f>Table134[[#This Row],[number_of_purchases]]/Table134[[#This Row],[customer_total_years]]</f>
        <v>1.5962099125364431</v>
      </c>
      <c r="K745" s="13">
        <f>Table134[[#This Row],[purchase_history]]/Table134[[#This Row],[number_of_purchases]]</f>
        <v>10803.06</v>
      </c>
      <c r="L745" s="2">
        <f>IF(YEAR(Table134[[#This Row],[Last_Day]])=2021,5,IF(YEAR(Table134[[#This Row],[Last_Day]])=2022,7,IF(YEAR(Table134[[#This Row],[Last_Day]])=2023,10,"Không xác định")))</f>
        <v>7</v>
      </c>
      <c r="M745" s="15">
        <f>Table134[[#This Row],[avg_number_of_purchases]]*Table1345[[#This Row],[avg_purchase_value]]*Table1345[[#This Row],[expected_lifespan]]</f>
        <v>120707.66020408162</v>
      </c>
      <c r="N745" t="s">
        <v>12042</v>
      </c>
    </row>
    <row r="746" spans="1:14" x14ac:dyDescent="0.3">
      <c r="A746" s="2" t="s">
        <v>744</v>
      </c>
      <c r="B746" s="2" t="s">
        <v>12040</v>
      </c>
      <c r="C746" s="2">
        <v>28</v>
      </c>
      <c r="D746" s="2" t="s">
        <v>12043</v>
      </c>
      <c r="E746" s="2">
        <f>COUNTIF(Table16[customer_id],Table13[[#This Row],[customer_id]])</f>
        <v>11</v>
      </c>
      <c r="F746" s="13">
        <f>SUMIFS(Table16[Purchase_history],Table16[customer_id],Table13[[#This Row],[customer_id]])</f>
        <v>17415.129999999997</v>
      </c>
      <c r="G746" s="20">
        <v>44199</v>
      </c>
      <c r="H746" s="21">
        <v>44938</v>
      </c>
      <c r="I746" s="15">
        <f>(Table134[[#This Row],[Last_Day]]-Table134[[#This Row],[First_Day]]+1)/365</f>
        <v>2.0273972602739727</v>
      </c>
      <c r="J746" s="59">
        <f>Table134[[#This Row],[number_of_purchases]]/Table134[[#This Row],[customer_total_years]]</f>
        <v>5.4256756756756754</v>
      </c>
      <c r="K746" s="13">
        <f>Table134[[#This Row],[purchase_history]]/Table134[[#This Row],[number_of_purchases]]</f>
        <v>1583.1936363636362</v>
      </c>
      <c r="L746" s="2">
        <f>IF(YEAR(Table134[[#This Row],[Last_Day]])=2021,5,IF(YEAR(Table134[[#This Row],[Last_Day]])=2022,7,IF(YEAR(Table134[[#This Row],[Last_Day]])=2023,10,"Không xác định")))</f>
        <v>10</v>
      </c>
      <c r="M746" s="15">
        <f>Table134[[#This Row],[avg_number_of_purchases]]*Table1345[[#This Row],[avg_purchase_value]]*Table1345[[#This Row],[expected_lifespan]]</f>
        <v>85898.952027027</v>
      </c>
      <c r="N746" t="s">
        <v>12044</v>
      </c>
    </row>
    <row r="747" spans="1:14" x14ac:dyDescent="0.3">
      <c r="A747" s="2" t="s">
        <v>745</v>
      </c>
      <c r="B747" s="2" t="s">
        <v>12040</v>
      </c>
      <c r="C747" s="2">
        <v>48</v>
      </c>
      <c r="D747" s="2" t="s">
        <v>12049</v>
      </c>
      <c r="E747" s="2">
        <f>COUNTIF(Table16[customer_id],Table13[[#This Row],[customer_id]])</f>
        <v>2</v>
      </c>
      <c r="F747" s="13">
        <f>SUMIFS(Table16[Purchase_history],Table16[customer_id],Table13[[#This Row],[customer_id]])</f>
        <v>3417.18</v>
      </c>
      <c r="G747" s="20">
        <v>44223</v>
      </c>
      <c r="H747" s="21">
        <v>44507</v>
      </c>
      <c r="I747" s="15">
        <f>(Table134[[#This Row],[Last_Day]]-Table134[[#This Row],[First_Day]]+1)/365</f>
        <v>0.78082191780821919</v>
      </c>
      <c r="J747" s="59">
        <f>Table134[[#This Row],[number_of_purchases]]/Table134[[#This Row],[customer_total_years]]</f>
        <v>2.5614035087719298</v>
      </c>
      <c r="K747" s="13">
        <f>Table134[[#This Row],[purchase_history]]/Table134[[#This Row],[number_of_purchases]]</f>
        <v>1708.59</v>
      </c>
      <c r="L747" s="2">
        <f>IF(YEAR(Table134[[#This Row],[Last_Day]])=2021,5,IF(YEAR(Table134[[#This Row],[Last_Day]])=2022,7,IF(YEAR(Table134[[#This Row],[Last_Day]])=2023,10,"Không xác định")))</f>
        <v>5</v>
      </c>
      <c r="M747" s="15">
        <f>Table134[[#This Row],[avg_number_of_purchases]]*Table1345[[#This Row],[avg_purchase_value]]*Table1345[[#This Row],[expected_lifespan]]</f>
        <v>21881.942105263155</v>
      </c>
      <c r="N747" t="s">
        <v>12048</v>
      </c>
    </row>
    <row r="748" spans="1:14" x14ac:dyDescent="0.3">
      <c r="A748" s="2" t="s">
        <v>746</v>
      </c>
      <c r="B748" s="2" t="s">
        <v>12040</v>
      </c>
      <c r="C748" s="2">
        <v>46</v>
      </c>
      <c r="D748" s="2" t="s">
        <v>12043</v>
      </c>
      <c r="E748" s="2">
        <f>COUNTIF(Table16[customer_id],Table13[[#This Row],[customer_id]])</f>
        <v>10</v>
      </c>
      <c r="F748" s="13">
        <f>SUMIFS(Table16[Purchase_history],Table16[customer_id],Table13[[#This Row],[customer_id]])</f>
        <v>25981.600000000002</v>
      </c>
      <c r="G748" s="20">
        <v>44344</v>
      </c>
      <c r="H748" s="21">
        <v>44957</v>
      </c>
      <c r="I748" s="15">
        <f>(Table134[[#This Row],[Last_Day]]-Table134[[#This Row],[First_Day]]+1)/365</f>
        <v>1.6821917808219178</v>
      </c>
      <c r="J748" s="59">
        <f>Table134[[#This Row],[number_of_purchases]]/Table134[[#This Row],[customer_total_years]]</f>
        <v>5.9446254071661242</v>
      </c>
      <c r="K748" s="13">
        <f>Table134[[#This Row],[purchase_history]]/Table134[[#This Row],[number_of_purchases]]</f>
        <v>2598.1600000000003</v>
      </c>
      <c r="L748" s="2">
        <f>IF(YEAR(Table134[[#This Row],[Last_Day]])=2021,5,IF(YEAR(Table134[[#This Row],[Last_Day]])=2022,7,IF(YEAR(Table134[[#This Row],[Last_Day]])=2023,10,"Không xác định")))</f>
        <v>10</v>
      </c>
      <c r="M748" s="15">
        <f>Table134[[#This Row],[avg_number_of_purchases]]*Table1345[[#This Row],[avg_purchase_value]]*Table1345[[#This Row],[expected_lifespan]]</f>
        <v>154450.87947882738</v>
      </c>
      <c r="N748" t="s">
        <v>12048</v>
      </c>
    </row>
    <row r="749" spans="1:14" x14ac:dyDescent="0.3">
      <c r="A749" s="2" t="s">
        <v>747</v>
      </c>
      <c r="B749" s="2" t="s">
        <v>12040</v>
      </c>
      <c r="C749" s="2">
        <v>63</v>
      </c>
      <c r="D749" s="2" t="s">
        <v>12049</v>
      </c>
      <c r="E749" s="2">
        <f>COUNTIF(Table16[customer_id],Table13[[#This Row],[customer_id]])</f>
        <v>2</v>
      </c>
      <c r="F749" s="13">
        <f>SUMIFS(Table16[Purchase_history],Table16[customer_id],Table13[[#This Row],[customer_id]])</f>
        <v>600.16</v>
      </c>
      <c r="G749" s="20">
        <v>44371</v>
      </c>
      <c r="H749" s="21">
        <v>44776</v>
      </c>
      <c r="I749" s="15">
        <f>(Table134[[#This Row],[Last_Day]]-Table134[[#This Row],[First_Day]]+1)/365</f>
        <v>1.1123287671232878</v>
      </c>
      <c r="J749" s="59">
        <f>Table134[[#This Row],[number_of_purchases]]/Table134[[#This Row],[customer_total_years]]</f>
        <v>1.7980295566502462</v>
      </c>
      <c r="K749" s="13">
        <f>Table134[[#This Row],[purchase_history]]/Table134[[#This Row],[number_of_purchases]]</f>
        <v>300.08</v>
      </c>
      <c r="L749" s="2">
        <f>IF(YEAR(Table134[[#This Row],[Last_Day]])=2021,5,IF(YEAR(Table134[[#This Row],[Last_Day]])=2022,7,IF(YEAR(Table134[[#This Row],[Last_Day]])=2023,10,"Không xác định")))</f>
        <v>7</v>
      </c>
      <c r="M749" s="15">
        <f>Table134[[#This Row],[avg_number_of_purchases]]*Table1345[[#This Row],[avg_purchase_value]]*Table1345[[#This Row],[expected_lifespan]]</f>
        <v>3776.8689655172411</v>
      </c>
      <c r="N749" t="s">
        <v>12044</v>
      </c>
    </row>
    <row r="750" spans="1:14" x14ac:dyDescent="0.3">
      <c r="A750" s="2" t="s">
        <v>748</v>
      </c>
      <c r="B750" s="2" t="s">
        <v>12040</v>
      </c>
      <c r="C750" s="2">
        <v>61</v>
      </c>
      <c r="D750" s="2" t="s">
        <v>12049</v>
      </c>
      <c r="E750" s="2">
        <f>COUNTIF(Table16[customer_id],Table13[[#This Row],[customer_id]])</f>
        <v>2</v>
      </c>
      <c r="F750" s="13">
        <f>SUMIFS(Table16[Purchase_history],Table16[customer_id],Table13[[#This Row],[customer_id]])</f>
        <v>15304.33</v>
      </c>
      <c r="G750" s="20">
        <v>44336</v>
      </c>
      <c r="H750" s="21">
        <v>44928</v>
      </c>
      <c r="I750" s="15">
        <f>(Table134[[#This Row],[Last_Day]]-Table134[[#This Row],[First_Day]]+1)/365</f>
        <v>1.6246575342465754</v>
      </c>
      <c r="J750" s="59">
        <f>Table134[[#This Row],[number_of_purchases]]/Table134[[#This Row],[customer_total_years]]</f>
        <v>1.2310286677908937</v>
      </c>
      <c r="K750" s="13">
        <f>Table134[[#This Row],[purchase_history]]/Table134[[#This Row],[number_of_purchases]]</f>
        <v>7652.165</v>
      </c>
      <c r="L750" s="2">
        <f>IF(YEAR(Table134[[#This Row],[Last_Day]])=2021,5,IF(YEAR(Table134[[#This Row],[Last_Day]])=2022,7,IF(YEAR(Table134[[#This Row],[Last_Day]])=2023,10,"Không xác định")))</f>
        <v>10</v>
      </c>
      <c r="M750" s="15">
        <f>Table134[[#This Row],[avg_number_of_purchases]]*Table1345[[#This Row],[avg_purchase_value]]*Table1345[[#This Row],[expected_lifespan]]</f>
        <v>94200.344856661046</v>
      </c>
      <c r="N750" t="s">
        <v>12048</v>
      </c>
    </row>
    <row r="751" spans="1:14" x14ac:dyDescent="0.3">
      <c r="A751" s="2" t="s">
        <v>749</v>
      </c>
      <c r="B751" s="2" t="s">
        <v>12040</v>
      </c>
      <c r="C751" s="2">
        <v>52</v>
      </c>
      <c r="D751" s="2" t="s">
        <v>12043</v>
      </c>
      <c r="E751" s="2">
        <f>COUNTIF(Table16[customer_id],Table13[[#This Row],[customer_id]])</f>
        <v>5</v>
      </c>
      <c r="F751" s="13">
        <f>SUMIFS(Table16[Purchase_history],Table16[customer_id],Table13[[#This Row],[customer_id]])</f>
        <v>31339.32</v>
      </c>
      <c r="G751" s="20">
        <v>44259</v>
      </c>
      <c r="H751" s="21">
        <v>44849</v>
      </c>
      <c r="I751" s="15">
        <f>(Table134[[#This Row],[Last_Day]]-Table134[[#This Row],[First_Day]]+1)/365</f>
        <v>1.6191780821917807</v>
      </c>
      <c r="J751" s="59">
        <f>Table134[[#This Row],[number_of_purchases]]/Table134[[#This Row],[customer_total_years]]</f>
        <v>3.0879864636209815</v>
      </c>
      <c r="K751" s="13">
        <f>Table134[[#This Row],[purchase_history]]/Table134[[#This Row],[number_of_purchases]]</f>
        <v>6267.8639999999996</v>
      </c>
      <c r="L751" s="2">
        <f>IF(YEAR(Table134[[#This Row],[Last_Day]])=2021,5,IF(YEAR(Table134[[#This Row],[Last_Day]])=2022,7,IF(YEAR(Table134[[#This Row],[Last_Day]])=2023,10,"Không xác định")))</f>
        <v>7</v>
      </c>
      <c r="M751" s="15">
        <f>Table134[[#This Row],[avg_number_of_purchases]]*Table1345[[#This Row],[avg_purchase_value]]*Table1345[[#This Row],[expected_lifespan]]</f>
        <v>135485.55431472079</v>
      </c>
      <c r="N751" t="s">
        <v>12047</v>
      </c>
    </row>
    <row r="752" spans="1:14" x14ac:dyDescent="0.3">
      <c r="A752" s="2" t="s">
        <v>750</v>
      </c>
      <c r="B752" s="2" t="s">
        <v>12040</v>
      </c>
      <c r="C752" s="2">
        <v>58</v>
      </c>
      <c r="D752" s="2" t="s">
        <v>12041</v>
      </c>
      <c r="E752" s="2">
        <f>COUNTIF(Table16[customer_id],Table13[[#This Row],[customer_id]])</f>
        <v>2</v>
      </c>
      <c r="F752" s="13">
        <f>SUMIFS(Table16[Purchase_history],Table16[customer_id],Table13[[#This Row],[customer_id]])</f>
        <v>462.71999999999997</v>
      </c>
      <c r="G752" s="20">
        <v>44695</v>
      </c>
      <c r="H752" s="21">
        <v>44869</v>
      </c>
      <c r="I752" s="15">
        <f>(Table134[[#This Row],[Last_Day]]-Table134[[#This Row],[First_Day]]+1)/365</f>
        <v>0.47945205479452052</v>
      </c>
      <c r="J752" s="59">
        <f>Table134[[#This Row],[number_of_purchases]]/Table134[[#This Row],[customer_total_years]]</f>
        <v>4.1714285714285717</v>
      </c>
      <c r="K752" s="13">
        <f>Table134[[#This Row],[purchase_history]]/Table134[[#This Row],[number_of_purchases]]</f>
        <v>231.35999999999999</v>
      </c>
      <c r="L752" s="2">
        <f>IF(YEAR(Table134[[#This Row],[Last_Day]])=2021,5,IF(YEAR(Table134[[#This Row],[Last_Day]])=2022,7,IF(YEAR(Table134[[#This Row],[Last_Day]])=2023,10,"Không xác định")))</f>
        <v>7</v>
      </c>
      <c r="M752" s="15">
        <f>Table134[[#This Row],[avg_number_of_purchases]]*Table1345[[#This Row],[avg_purchase_value]]*Table1345[[#This Row],[expected_lifespan]]</f>
        <v>6755.7119999999995</v>
      </c>
      <c r="N752" t="s">
        <v>12042</v>
      </c>
    </row>
    <row r="753" spans="1:14" x14ac:dyDescent="0.3">
      <c r="A753" s="2" t="s">
        <v>751</v>
      </c>
      <c r="B753" s="2" t="s">
        <v>12040</v>
      </c>
      <c r="C753" s="2">
        <v>21</v>
      </c>
      <c r="D753" s="2" t="s">
        <v>12049</v>
      </c>
      <c r="E753" s="2">
        <f>COUNTIF(Table16[customer_id],Table13[[#This Row],[customer_id]])</f>
        <v>6</v>
      </c>
      <c r="F753" s="13">
        <f>SUMIFS(Table16[Purchase_history],Table16[customer_id],Table13[[#This Row],[customer_id]])</f>
        <v>2433.59</v>
      </c>
      <c r="G753" s="20">
        <v>44390</v>
      </c>
      <c r="H753" s="21">
        <v>44839</v>
      </c>
      <c r="I753" s="15">
        <f>(Table134[[#This Row],[Last_Day]]-Table134[[#This Row],[First_Day]]+1)/365</f>
        <v>1.2328767123287672</v>
      </c>
      <c r="J753" s="59">
        <f>Table134[[#This Row],[number_of_purchases]]/Table134[[#This Row],[customer_total_years]]</f>
        <v>4.8666666666666663</v>
      </c>
      <c r="K753" s="13">
        <f>Table134[[#This Row],[purchase_history]]/Table134[[#This Row],[number_of_purchases]]</f>
        <v>405.59833333333336</v>
      </c>
      <c r="L753" s="2">
        <f>IF(YEAR(Table134[[#This Row],[Last_Day]])=2021,5,IF(YEAR(Table134[[#This Row],[Last_Day]])=2022,7,IF(YEAR(Table134[[#This Row],[Last_Day]])=2023,10,"Không xác định")))</f>
        <v>7</v>
      </c>
      <c r="M753" s="15">
        <f>Table134[[#This Row],[avg_number_of_purchases]]*Table1345[[#This Row],[avg_purchase_value]]*Table1345[[#This Row],[expected_lifespan]]</f>
        <v>13817.383222222223</v>
      </c>
      <c r="N753" t="s">
        <v>12046</v>
      </c>
    </row>
    <row r="754" spans="1:14" x14ac:dyDescent="0.3">
      <c r="A754" s="2" t="s">
        <v>752</v>
      </c>
      <c r="B754" s="2" t="s">
        <v>12040</v>
      </c>
      <c r="C754" s="2">
        <v>54</v>
      </c>
      <c r="D754" s="2" t="s">
        <v>12041</v>
      </c>
      <c r="E754" s="2">
        <f>COUNTIF(Table16[customer_id],Table13[[#This Row],[customer_id]])</f>
        <v>4</v>
      </c>
      <c r="F754" s="13">
        <f>SUMIFS(Table16[Purchase_history],Table16[customer_id],Table13[[#This Row],[customer_id]])</f>
        <v>20748.449999999997</v>
      </c>
      <c r="G754" s="20">
        <v>44265</v>
      </c>
      <c r="H754" s="21">
        <v>44951</v>
      </c>
      <c r="I754" s="15">
        <f>(Table134[[#This Row],[Last_Day]]-Table134[[#This Row],[First_Day]]+1)/365</f>
        <v>1.8821917808219177</v>
      </c>
      <c r="J754" s="59">
        <f>Table134[[#This Row],[number_of_purchases]]/Table134[[#This Row],[customer_total_years]]</f>
        <v>2.1251819505094613</v>
      </c>
      <c r="K754" s="13">
        <f>Table134[[#This Row],[purchase_history]]/Table134[[#This Row],[number_of_purchases]]</f>
        <v>5187.1124999999993</v>
      </c>
      <c r="L754" s="2">
        <f>IF(YEAR(Table134[[#This Row],[Last_Day]])=2021,5,IF(YEAR(Table134[[#This Row],[Last_Day]])=2022,7,IF(YEAR(Table134[[#This Row],[Last_Day]])=2023,10,"Không xác định")))</f>
        <v>10</v>
      </c>
      <c r="M754" s="15">
        <f>Table134[[#This Row],[avg_number_of_purchases]]*Table1345[[#This Row],[avg_purchase_value]]*Table1345[[#This Row],[expected_lifespan]]</f>
        <v>110235.57860262007</v>
      </c>
      <c r="N754" t="s">
        <v>12047</v>
      </c>
    </row>
    <row r="755" spans="1:14" x14ac:dyDescent="0.3">
      <c r="A755" s="2" t="s">
        <v>753</v>
      </c>
      <c r="B755" s="2" t="s">
        <v>12040</v>
      </c>
      <c r="C755" s="2">
        <v>26</v>
      </c>
      <c r="D755" s="2" t="s">
        <v>12041</v>
      </c>
      <c r="E755" s="2">
        <f>COUNTIF(Table16[customer_id],Table13[[#This Row],[customer_id]])</f>
        <v>5</v>
      </c>
      <c r="F755" s="13">
        <f>SUMIFS(Table16[Purchase_history],Table16[customer_id],Table13[[#This Row],[customer_id]])</f>
        <v>15474.130000000001</v>
      </c>
      <c r="G755" s="20">
        <v>44351</v>
      </c>
      <c r="H755" s="21">
        <v>44925</v>
      </c>
      <c r="I755" s="15">
        <f>(Table134[[#This Row],[Last_Day]]-Table134[[#This Row],[First_Day]]+1)/365</f>
        <v>1.5753424657534247</v>
      </c>
      <c r="J755" s="59">
        <f>Table134[[#This Row],[number_of_purchases]]/Table134[[#This Row],[customer_total_years]]</f>
        <v>3.1739130434782608</v>
      </c>
      <c r="K755" s="13">
        <f>Table134[[#This Row],[purchase_history]]/Table134[[#This Row],[number_of_purchases]]</f>
        <v>3094.826</v>
      </c>
      <c r="L755" s="2">
        <f>IF(YEAR(Table134[[#This Row],[Last_Day]])=2021,5,IF(YEAR(Table134[[#This Row],[Last_Day]])=2022,7,IF(YEAR(Table134[[#This Row],[Last_Day]])=2023,10,"Không xác định")))</f>
        <v>7</v>
      </c>
      <c r="M755" s="15">
        <f>Table134[[#This Row],[avg_number_of_purchases]]*Table1345[[#This Row],[avg_purchase_value]]*Table1345[[#This Row],[expected_lifespan]]</f>
        <v>68758.960260869557</v>
      </c>
      <c r="N755" t="s">
        <v>12046</v>
      </c>
    </row>
    <row r="756" spans="1:14" x14ac:dyDescent="0.3">
      <c r="A756" s="2" t="s">
        <v>754</v>
      </c>
      <c r="B756" s="2" t="s">
        <v>12045</v>
      </c>
      <c r="C756" s="2">
        <v>45</v>
      </c>
      <c r="D756" s="2" t="s">
        <v>12043</v>
      </c>
      <c r="E756" s="2">
        <f>COUNTIF(Table16[customer_id],Table13[[#This Row],[customer_id]])</f>
        <v>3</v>
      </c>
      <c r="F756" s="13">
        <f>SUMIFS(Table16[Purchase_history],Table16[customer_id],Table13[[#This Row],[customer_id]])</f>
        <v>3300.88</v>
      </c>
      <c r="G756" s="20">
        <v>44405</v>
      </c>
      <c r="H756" s="21">
        <v>44871</v>
      </c>
      <c r="I756" s="15">
        <f>(Table134[[#This Row],[Last_Day]]-Table134[[#This Row],[First_Day]]+1)/365</f>
        <v>1.2794520547945205</v>
      </c>
      <c r="J756" s="59">
        <f>Table134[[#This Row],[number_of_purchases]]/Table134[[#This Row],[customer_total_years]]</f>
        <v>2.3447537473233404</v>
      </c>
      <c r="K756" s="13">
        <f>Table134[[#This Row],[purchase_history]]/Table134[[#This Row],[number_of_purchases]]</f>
        <v>1100.2933333333333</v>
      </c>
      <c r="L756" s="2">
        <f>IF(YEAR(Table134[[#This Row],[Last_Day]])=2021,5,IF(YEAR(Table134[[#This Row],[Last_Day]])=2022,7,IF(YEAR(Table134[[#This Row],[Last_Day]])=2023,10,"Không xác định")))</f>
        <v>7</v>
      </c>
      <c r="M756" s="15">
        <f>Table134[[#This Row],[avg_number_of_purchases]]*Table1345[[#This Row],[avg_purchase_value]]*Table1345[[#This Row],[expected_lifespan]]</f>
        <v>18059.418415417556</v>
      </c>
      <c r="N756" t="s">
        <v>12048</v>
      </c>
    </row>
    <row r="757" spans="1:14" x14ac:dyDescent="0.3">
      <c r="A757" s="2" t="s">
        <v>755</v>
      </c>
      <c r="B757" s="2" t="s">
        <v>12045</v>
      </c>
      <c r="C757" s="2">
        <v>49</v>
      </c>
      <c r="D757" s="2" t="s">
        <v>12043</v>
      </c>
      <c r="E757" s="2">
        <f>COUNTIF(Table16[customer_id],Table13[[#This Row],[customer_id]])</f>
        <v>3</v>
      </c>
      <c r="F757" s="13">
        <f>SUMIFS(Table16[Purchase_history],Table16[customer_id],Table13[[#This Row],[customer_id]])</f>
        <v>27287.42</v>
      </c>
      <c r="G757" s="20">
        <v>44215</v>
      </c>
      <c r="H757" s="21">
        <v>44581</v>
      </c>
      <c r="I757" s="15">
        <f>(Table134[[#This Row],[Last_Day]]-Table134[[#This Row],[First_Day]]+1)/365</f>
        <v>1.0054794520547945</v>
      </c>
      <c r="J757" s="59">
        <f>Table134[[#This Row],[number_of_purchases]]/Table134[[#This Row],[customer_total_years]]</f>
        <v>2.9836512261580381</v>
      </c>
      <c r="K757" s="13">
        <f>Table134[[#This Row],[purchase_history]]/Table134[[#This Row],[number_of_purchases]]</f>
        <v>9095.8066666666655</v>
      </c>
      <c r="L757" s="2">
        <f>IF(YEAR(Table134[[#This Row],[Last_Day]])=2021,5,IF(YEAR(Table134[[#This Row],[Last_Day]])=2022,7,IF(YEAR(Table134[[#This Row],[Last_Day]])=2023,10,"Không xác định")))</f>
        <v>7</v>
      </c>
      <c r="M757" s="15">
        <f>Table134[[#This Row],[avg_number_of_purchases]]*Table1345[[#This Row],[avg_purchase_value]]*Table1345[[#This Row],[expected_lifespan]]</f>
        <v>189971.00299727518</v>
      </c>
      <c r="N757" t="s">
        <v>12044</v>
      </c>
    </row>
    <row r="758" spans="1:14" x14ac:dyDescent="0.3">
      <c r="A758" s="2" t="s">
        <v>756</v>
      </c>
      <c r="B758" s="2" t="s">
        <v>12040</v>
      </c>
      <c r="C758" s="2">
        <v>24</v>
      </c>
      <c r="D758" s="2" t="s">
        <v>12041</v>
      </c>
      <c r="E758" s="2">
        <f>COUNTIF(Table16[customer_id],Table13[[#This Row],[customer_id]])</f>
        <v>5</v>
      </c>
      <c r="F758" s="13">
        <f>SUMIFS(Table16[Purchase_history],Table16[customer_id],Table13[[#This Row],[customer_id]])</f>
        <v>8965.2000000000007</v>
      </c>
      <c r="G758" s="20">
        <v>44310</v>
      </c>
      <c r="H758" s="21">
        <v>44960</v>
      </c>
      <c r="I758" s="15">
        <f>(Table134[[#This Row],[Last_Day]]-Table134[[#This Row],[First_Day]]+1)/365</f>
        <v>1.7835616438356163</v>
      </c>
      <c r="J758" s="59">
        <f>Table134[[#This Row],[number_of_purchases]]/Table134[[#This Row],[customer_total_years]]</f>
        <v>2.8033794162826422</v>
      </c>
      <c r="K758" s="13">
        <f>Table134[[#This Row],[purchase_history]]/Table134[[#This Row],[number_of_purchases]]</f>
        <v>1793.0400000000002</v>
      </c>
      <c r="L758" s="2">
        <f>IF(YEAR(Table134[[#This Row],[Last_Day]])=2021,5,IF(YEAR(Table134[[#This Row],[Last_Day]])=2022,7,IF(YEAR(Table134[[#This Row],[Last_Day]])=2023,10,"Không xác định")))</f>
        <v>10</v>
      </c>
      <c r="M758" s="15">
        <f>Table134[[#This Row],[avg_number_of_purchases]]*Table1345[[#This Row],[avg_purchase_value]]*Table1345[[#This Row],[expected_lifespan]]</f>
        <v>50265.71428571429</v>
      </c>
      <c r="N758" t="s">
        <v>12048</v>
      </c>
    </row>
    <row r="759" spans="1:14" x14ac:dyDescent="0.3">
      <c r="A759" s="2" t="s">
        <v>757</v>
      </c>
      <c r="B759" s="2" t="s">
        <v>12045</v>
      </c>
      <c r="C759" s="2">
        <v>38</v>
      </c>
      <c r="D759" s="2" t="s">
        <v>12041</v>
      </c>
      <c r="E759" s="2">
        <f>COUNTIF(Table16[customer_id],Table13[[#This Row],[customer_id]])</f>
        <v>5</v>
      </c>
      <c r="F759" s="13">
        <f>SUMIFS(Table16[Purchase_history],Table16[customer_id],Table13[[#This Row],[customer_id]])</f>
        <v>19443.46</v>
      </c>
      <c r="G759" s="20">
        <v>44363</v>
      </c>
      <c r="H759" s="21">
        <v>44860</v>
      </c>
      <c r="I759" s="15">
        <f>(Table134[[#This Row],[Last_Day]]-Table134[[#This Row],[First_Day]]+1)/365</f>
        <v>1.3643835616438356</v>
      </c>
      <c r="J759" s="59">
        <f>Table134[[#This Row],[number_of_purchases]]/Table134[[#This Row],[customer_total_years]]</f>
        <v>3.6646586345381529</v>
      </c>
      <c r="K759" s="13">
        <f>Table134[[#This Row],[purchase_history]]/Table134[[#This Row],[number_of_purchases]]</f>
        <v>3888.692</v>
      </c>
      <c r="L759" s="2">
        <f>IF(YEAR(Table134[[#This Row],[Last_Day]])=2021,5,IF(YEAR(Table134[[#This Row],[Last_Day]])=2022,7,IF(YEAR(Table134[[#This Row],[Last_Day]])=2023,10,"Không xác định")))</f>
        <v>7</v>
      </c>
      <c r="M759" s="15">
        <f>Table134[[#This Row],[avg_number_of_purchases]]*Table1345[[#This Row],[avg_purchase_value]]*Table1345[[#This Row],[expected_lifespan]]</f>
        <v>99755.101004016076</v>
      </c>
      <c r="N759" t="s">
        <v>12046</v>
      </c>
    </row>
    <row r="760" spans="1:14" x14ac:dyDescent="0.3">
      <c r="A760" s="2" t="s">
        <v>758</v>
      </c>
      <c r="B760" s="2" t="s">
        <v>12045</v>
      </c>
      <c r="C760" s="2">
        <v>23</v>
      </c>
      <c r="D760" s="2" t="s">
        <v>12043</v>
      </c>
      <c r="E760" s="2">
        <f>COUNTIF(Table16[customer_id],Table13[[#This Row],[customer_id]])</f>
        <v>4</v>
      </c>
      <c r="F760" s="13">
        <f>SUMIFS(Table16[Purchase_history],Table16[customer_id],Table13[[#This Row],[customer_id]])</f>
        <v>12969.34</v>
      </c>
      <c r="G760" s="20">
        <v>44199</v>
      </c>
      <c r="H760" s="21">
        <v>44740</v>
      </c>
      <c r="I760" s="15">
        <f>(Table134[[#This Row],[Last_Day]]-Table134[[#This Row],[First_Day]]+1)/365</f>
        <v>1.484931506849315</v>
      </c>
      <c r="J760" s="59">
        <f>Table134[[#This Row],[number_of_purchases]]/Table134[[#This Row],[customer_total_years]]</f>
        <v>2.6937269372693731</v>
      </c>
      <c r="K760" s="13">
        <f>Table134[[#This Row],[purchase_history]]/Table134[[#This Row],[number_of_purchases]]</f>
        <v>3242.335</v>
      </c>
      <c r="L760" s="2">
        <f>IF(YEAR(Table134[[#This Row],[Last_Day]])=2021,5,IF(YEAR(Table134[[#This Row],[Last_Day]])=2022,7,IF(YEAR(Table134[[#This Row],[Last_Day]])=2023,10,"Không xác định")))</f>
        <v>7</v>
      </c>
      <c r="M760" s="15">
        <f>Table134[[#This Row],[avg_number_of_purchases]]*Table1345[[#This Row],[avg_purchase_value]]*Table1345[[#This Row],[expected_lifespan]]</f>
        <v>61137.755904059049</v>
      </c>
      <c r="N760" t="s">
        <v>12042</v>
      </c>
    </row>
    <row r="761" spans="1:14" x14ac:dyDescent="0.3">
      <c r="A761" s="2" t="s">
        <v>759</v>
      </c>
      <c r="B761" s="2" t="s">
        <v>12045</v>
      </c>
      <c r="C761" s="2">
        <v>61</v>
      </c>
      <c r="D761" s="2" t="s">
        <v>12049</v>
      </c>
      <c r="E761" s="2">
        <f>COUNTIF(Table16[customer_id],Table13[[#This Row],[customer_id]])</f>
        <v>5</v>
      </c>
      <c r="F761" s="13">
        <f>SUMIFS(Table16[Purchase_history],Table16[customer_id],Table13[[#This Row],[customer_id]])</f>
        <v>3989.1800000000003</v>
      </c>
      <c r="G761" s="20">
        <v>44257</v>
      </c>
      <c r="H761" s="21">
        <v>44939</v>
      </c>
      <c r="I761" s="15">
        <f>(Table134[[#This Row],[Last_Day]]-Table134[[#This Row],[First_Day]]+1)/365</f>
        <v>1.8712328767123287</v>
      </c>
      <c r="J761" s="59">
        <f>Table134[[#This Row],[number_of_purchases]]/Table134[[#This Row],[customer_total_years]]</f>
        <v>2.6720351390922401</v>
      </c>
      <c r="K761" s="13">
        <f>Table134[[#This Row],[purchase_history]]/Table134[[#This Row],[number_of_purchases]]</f>
        <v>797.83600000000001</v>
      </c>
      <c r="L761" s="2">
        <f>IF(YEAR(Table134[[#This Row],[Last_Day]])=2021,5,IF(YEAR(Table134[[#This Row],[Last_Day]])=2022,7,IF(YEAR(Table134[[#This Row],[Last_Day]])=2023,10,"Không xác định")))</f>
        <v>10</v>
      </c>
      <c r="M761" s="15">
        <f>Table134[[#This Row],[avg_number_of_purchases]]*Table1345[[#This Row],[avg_purchase_value]]*Table1345[[#This Row],[expected_lifespan]]</f>
        <v>21318.458272327967</v>
      </c>
      <c r="N761" t="s">
        <v>12047</v>
      </c>
    </row>
    <row r="762" spans="1:14" x14ac:dyDescent="0.3">
      <c r="A762" s="2" t="s">
        <v>760</v>
      </c>
      <c r="B762" s="2" t="s">
        <v>12045</v>
      </c>
      <c r="C762" s="2">
        <v>23</v>
      </c>
      <c r="D762" s="2" t="s">
        <v>12041</v>
      </c>
      <c r="E762" s="2">
        <f>COUNTIF(Table16[customer_id],Table13[[#This Row],[customer_id]])</f>
        <v>5</v>
      </c>
      <c r="F762" s="13">
        <f>SUMIFS(Table16[Purchase_history],Table16[customer_id],Table13[[#This Row],[customer_id]])</f>
        <v>3803.17</v>
      </c>
      <c r="G762" s="20">
        <v>44553</v>
      </c>
      <c r="H762" s="21">
        <v>44972</v>
      </c>
      <c r="I762" s="15">
        <f>(Table134[[#This Row],[Last_Day]]-Table134[[#This Row],[First_Day]]+1)/365</f>
        <v>1.1506849315068493</v>
      </c>
      <c r="J762" s="59">
        <f>Table134[[#This Row],[number_of_purchases]]/Table134[[#This Row],[customer_total_years]]</f>
        <v>4.3452380952380958</v>
      </c>
      <c r="K762" s="13">
        <f>Table134[[#This Row],[purchase_history]]/Table134[[#This Row],[number_of_purchases]]</f>
        <v>760.63400000000001</v>
      </c>
      <c r="L762" s="2">
        <f>IF(YEAR(Table134[[#This Row],[Last_Day]])=2021,5,IF(YEAR(Table134[[#This Row],[Last_Day]])=2022,7,IF(YEAR(Table134[[#This Row],[Last_Day]])=2023,10,"Không xác định")))</f>
        <v>10</v>
      </c>
      <c r="M762" s="15">
        <f>Table134[[#This Row],[avg_number_of_purchases]]*Table1345[[#This Row],[avg_purchase_value]]*Table1345[[#This Row],[expected_lifespan]]</f>
        <v>33051.358333333337</v>
      </c>
      <c r="N762" t="s">
        <v>12046</v>
      </c>
    </row>
    <row r="763" spans="1:14" x14ac:dyDescent="0.3">
      <c r="A763" s="2" t="s">
        <v>761</v>
      </c>
      <c r="B763" s="2" t="s">
        <v>12045</v>
      </c>
      <c r="C763" s="2">
        <v>50</v>
      </c>
      <c r="D763" s="2" t="s">
        <v>12043</v>
      </c>
      <c r="E763" s="2">
        <f>COUNTIF(Table16[customer_id],Table13[[#This Row],[customer_id]])</f>
        <v>5</v>
      </c>
      <c r="F763" s="13">
        <f>SUMIFS(Table16[Purchase_history],Table16[customer_id],Table13[[#This Row],[customer_id]])</f>
        <v>31804.04</v>
      </c>
      <c r="G763" s="20">
        <v>44305</v>
      </c>
      <c r="H763" s="21">
        <v>44881</v>
      </c>
      <c r="I763" s="15">
        <f>(Table134[[#This Row],[Last_Day]]-Table134[[#This Row],[First_Day]]+1)/365</f>
        <v>1.5808219178082192</v>
      </c>
      <c r="J763" s="59">
        <f>Table134[[#This Row],[number_of_purchases]]/Table134[[#This Row],[customer_total_years]]</f>
        <v>3.1629116117850953</v>
      </c>
      <c r="K763" s="13">
        <f>Table134[[#This Row],[purchase_history]]/Table134[[#This Row],[number_of_purchases]]</f>
        <v>6360.808</v>
      </c>
      <c r="L763" s="2">
        <f>IF(YEAR(Table134[[#This Row],[Last_Day]])=2021,5,IF(YEAR(Table134[[#This Row],[Last_Day]])=2022,7,IF(YEAR(Table134[[#This Row],[Last_Day]])=2023,10,"Không xác định")))</f>
        <v>7</v>
      </c>
      <c r="M763" s="15">
        <f>Table134[[#This Row],[avg_number_of_purchases]]*Table1345[[#This Row],[avg_purchase_value]]*Table1345[[#This Row],[expected_lifespan]]</f>
        <v>140830.71438474869</v>
      </c>
      <c r="N763" t="s">
        <v>12047</v>
      </c>
    </row>
    <row r="764" spans="1:14" x14ac:dyDescent="0.3">
      <c r="A764" s="2" t="s">
        <v>762</v>
      </c>
      <c r="B764" s="2" t="s">
        <v>12045</v>
      </c>
      <c r="C764" s="2">
        <v>24</v>
      </c>
      <c r="D764" s="2" t="s">
        <v>12043</v>
      </c>
      <c r="E764" s="2">
        <f>COUNTIF(Table16[customer_id],Table13[[#This Row],[customer_id]])</f>
        <v>9</v>
      </c>
      <c r="F764" s="13">
        <f>SUMIFS(Table16[Purchase_history],Table16[customer_id],Table13[[#This Row],[customer_id]])</f>
        <v>47619.42</v>
      </c>
      <c r="G764" s="20">
        <v>44331</v>
      </c>
      <c r="H764" s="21">
        <v>44981</v>
      </c>
      <c r="I764" s="15">
        <f>(Table134[[#This Row],[Last_Day]]-Table134[[#This Row],[First_Day]]+1)/365</f>
        <v>1.7835616438356163</v>
      </c>
      <c r="J764" s="59">
        <f>Table134[[#This Row],[number_of_purchases]]/Table134[[#This Row],[customer_total_years]]</f>
        <v>5.0460829493087562</v>
      </c>
      <c r="K764" s="13">
        <f>Table134[[#This Row],[purchase_history]]/Table134[[#This Row],[number_of_purchases]]</f>
        <v>5291.0466666666662</v>
      </c>
      <c r="L764" s="2">
        <f>IF(YEAR(Table134[[#This Row],[Last_Day]])=2021,5,IF(YEAR(Table134[[#This Row],[Last_Day]])=2022,7,IF(YEAR(Table134[[#This Row],[Last_Day]])=2023,10,"Không xác định")))</f>
        <v>10</v>
      </c>
      <c r="M764" s="15">
        <f>Table134[[#This Row],[avg_number_of_purchases]]*Table1345[[#This Row],[avg_purchase_value]]*Table1345[[#This Row],[expected_lifespan]]</f>
        <v>266990.60368663596</v>
      </c>
      <c r="N764" t="s">
        <v>12048</v>
      </c>
    </row>
    <row r="765" spans="1:14" x14ac:dyDescent="0.3">
      <c r="A765" s="2" t="s">
        <v>763</v>
      </c>
      <c r="B765" s="2" t="s">
        <v>12040</v>
      </c>
      <c r="C765" s="2">
        <v>44</v>
      </c>
      <c r="D765" s="2" t="s">
        <v>12041</v>
      </c>
      <c r="E765" s="2">
        <f>COUNTIF(Table16[customer_id],Table13[[#This Row],[customer_id]])</f>
        <v>6</v>
      </c>
      <c r="F765" s="13">
        <f>SUMIFS(Table16[Purchase_history],Table16[customer_id],Table13[[#This Row],[customer_id]])</f>
        <v>16345.72</v>
      </c>
      <c r="G765" s="20">
        <v>44452</v>
      </c>
      <c r="H765" s="21">
        <v>44953</v>
      </c>
      <c r="I765" s="15">
        <f>(Table134[[#This Row],[Last_Day]]-Table134[[#This Row],[First_Day]]+1)/365</f>
        <v>1.3753424657534246</v>
      </c>
      <c r="J765" s="59">
        <f>Table134[[#This Row],[number_of_purchases]]/Table134[[#This Row],[customer_total_years]]</f>
        <v>4.3625498007968133</v>
      </c>
      <c r="K765" s="13">
        <f>Table134[[#This Row],[purchase_history]]/Table134[[#This Row],[number_of_purchases]]</f>
        <v>2724.2866666666664</v>
      </c>
      <c r="L765" s="2">
        <f>IF(YEAR(Table134[[#This Row],[Last_Day]])=2021,5,IF(YEAR(Table134[[#This Row],[Last_Day]])=2022,7,IF(YEAR(Table134[[#This Row],[Last_Day]])=2023,10,"Không xác định")))</f>
        <v>10</v>
      </c>
      <c r="M765" s="15">
        <f>Table134[[#This Row],[avg_number_of_purchases]]*Table1345[[#This Row],[avg_purchase_value]]*Table1345[[#This Row],[expected_lifespan]]</f>
        <v>118848.3625498008</v>
      </c>
      <c r="N765" t="s">
        <v>12044</v>
      </c>
    </row>
    <row r="766" spans="1:14" x14ac:dyDescent="0.3">
      <c r="A766" s="2" t="s">
        <v>764</v>
      </c>
      <c r="B766" s="2" t="s">
        <v>12045</v>
      </c>
      <c r="C766" s="2">
        <v>63</v>
      </c>
      <c r="D766" s="2" t="s">
        <v>12041</v>
      </c>
      <c r="E766" s="2">
        <f>COUNTIF(Table16[customer_id],Table13[[#This Row],[customer_id]])</f>
        <v>4</v>
      </c>
      <c r="F766" s="13">
        <f>SUMIFS(Table16[Purchase_history],Table16[customer_id],Table13[[#This Row],[customer_id]])</f>
        <v>531.17000000000007</v>
      </c>
      <c r="G766" s="20">
        <v>44223</v>
      </c>
      <c r="H766" s="21">
        <v>44873</v>
      </c>
      <c r="I766" s="15">
        <f>(Table134[[#This Row],[Last_Day]]-Table134[[#This Row],[First_Day]]+1)/365</f>
        <v>1.7835616438356163</v>
      </c>
      <c r="J766" s="59">
        <f>Table134[[#This Row],[number_of_purchases]]/Table134[[#This Row],[customer_total_years]]</f>
        <v>2.242703533026114</v>
      </c>
      <c r="K766" s="13">
        <f>Table134[[#This Row],[purchase_history]]/Table134[[#This Row],[number_of_purchases]]</f>
        <v>132.79250000000002</v>
      </c>
      <c r="L766" s="2">
        <f>IF(YEAR(Table134[[#This Row],[Last_Day]])=2021,5,IF(YEAR(Table134[[#This Row],[Last_Day]])=2022,7,IF(YEAR(Table134[[#This Row],[Last_Day]])=2023,10,"Không xác định")))</f>
        <v>7</v>
      </c>
      <c r="M766" s="15">
        <f>Table134[[#This Row],[avg_number_of_purchases]]*Table1345[[#This Row],[avg_purchase_value]]*Table1345[[#This Row],[expected_lifespan]]</f>
        <v>2084.6994623655919</v>
      </c>
      <c r="N766" t="s">
        <v>12047</v>
      </c>
    </row>
    <row r="767" spans="1:14" x14ac:dyDescent="0.3">
      <c r="A767" s="2" t="s">
        <v>765</v>
      </c>
      <c r="B767" s="2" t="s">
        <v>12040</v>
      </c>
      <c r="C767" s="2">
        <v>31</v>
      </c>
      <c r="D767" s="2" t="s">
        <v>12049</v>
      </c>
      <c r="E767" s="2">
        <f>COUNTIF(Table16[customer_id],Table13[[#This Row],[customer_id]])</f>
        <v>7</v>
      </c>
      <c r="F767" s="13">
        <f>SUMIFS(Table16[Purchase_history],Table16[customer_id],Table13[[#This Row],[customer_id]])</f>
        <v>16547.839999999997</v>
      </c>
      <c r="G767" s="20">
        <v>44227</v>
      </c>
      <c r="H767" s="21">
        <v>44926</v>
      </c>
      <c r="I767" s="15">
        <f>(Table134[[#This Row],[Last_Day]]-Table134[[#This Row],[First_Day]]+1)/365</f>
        <v>1.9178082191780821</v>
      </c>
      <c r="J767" s="59">
        <f>Table134[[#This Row],[number_of_purchases]]/Table134[[#This Row],[customer_total_years]]</f>
        <v>3.6500000000000004</v>
      </c>
      <c r="K767" s="13">
        <f>Table134[[#This Row],[purchase_history]]/Table134[[#This Row],[number_of_purchases]]</f>
        <v>2363.9771428571426</v>
      </c>
      <c r="L767" s="2">
        <f>IF(YEAR(Table134[[#This Row],[Last_Day]])=2021,5,IF(YEAR(Table134[[#This Row],[Last_Day]])=2022,7,IF(YEAR(Table134[[#This Row],[Last_Day]])=2023,10,"Không xác định")))</f>
        <v>7</v>
      </c>
      <c r="M767" s="15">
        <f>Table134[[#This Row],[avg_number_of_purchases]]*Table1345[[#This Row],[avg_purchase_value]]*Table1345[[#This Row],[expected_lifespan]]</f>
        <v>60399.615999999995</v>
      </c>
      <c r="N767" t="s">
        <v>12042</v>
      </c>
    </row>
    <row r="768" spans="1:14" x14ac:dyDescent="0.3">
      <c r="A768" s="2" t="s">
        <v>766</v>
      </c>
      <c r="B768" s="2" t="s">
        <v>12045</v>
      </c>
      <c r="C768" s="2">
        <v>46</v>
      </c>
      <c r="D768" s="2" t="s">
        <v>12043</v>
      </c>
      <c r="E768" s="2">
        <f>COUNTIF(Table16[customer_id],Table13[[#This Row],[customer_id]])</f>
        <v>4</v>
      </c>
      <c r="F768" s="13">
        <f>SUMIFS(Table16[Purchase_history],Table16[customer_id],Table13[[#This Row],[customer_id]])</f>
        <v>10952.029999999999</v>
      </c>
      <c r="G768" s="20">
        <v>44381</v>
      </c>
      <c r="H768" s="21">
        <v>44981</v>
      </c>
      <c r="I768" s="15">
        <f>(Table134[[#This Row],[Last_Day]]-Table134[[#This Row],[First_Day]]+1)/365</f>
        <v>1.6465753424657534</v>
      </c>
      <c r="J768" s="59">
        <f>Table134[[#This Row],[number_of_purchases]]/Table134[[#This Row],[customer_total_years]]</f>
        <v>2.4292845257903495</v>
      </c>
      <c r="K768" s="13">
        <f>Table134[[#This Row],[purchase_history]]/Table134[[#This Row],[number_of_purchases]]</f>
        <v>2738.0074999999997</v>
      </c>
      <c r="L768" s="2">
        <f>IF(YEAR(Table134[[#This Row],[Last_Day]])=2021,5,IF(YEAR(Table134[[#This Row],[Last_Day]])=2022,7,IF(YEAR(Table134[[#This Row],[Last_Day]])=2023,10,"Không xác định")))</f>
        <v>10</v>
      </c>
      <c r="M768" s="15">
        <f>Table134[[#This Row],[avg_number_of_purchases]]*Table1345[[#This Row],[avg_purchase_value]]*Table1345[[#This Row],[expected_lifespan]]</f>
        <v>66513.992512479192</v>
      </c>
      <c r="N768" t="s">
        <v>12048</v>
      </c>
    </row>
    <row r="769" spans="1:14" x14ac:dyDescent="0.3">
      <c r="A769" s="2" t="s">
        <v>767</v>
      </c>
      <c r="B769" s="2" t="s">
        <v>12040</v>
      </c>
      <c r="C769" s="2">
        <v>38</v>
      </c>
      <c r="D769" s="2" t="s">
        <v>12041</v>
      </c>
      <c r="E769" s="2">
        <f>COUNTIF(Table16[customer_id],Table13[[#This Row],[customer_id]])</f>
        <v>7</v>
      </c>
      <c r="F769" s="13">
        <f>SUMIFS(Table16[Purchase_history],Table16[customer_id],Table13[[#This Row],[customer_id]])</f>
        <v>8353.67</v>
      </c>
      <c r="G769" s="20">
        <v>44349</v>
      </c>
      <c r="H769" s="21">
        <v>44979</v>
      </c>
      <c r="I769" s="15">
        <f>(Table134[[#This Row],[Last_Day]]-Table134[[#This Row],[First_Day]]+1)/365</f>
        <v>1.7287671232876711</v>
      </c>
      <c r="J769" s="59">
        <f>Table134[[#This Row],[number_of_purchases]]/Table134[[#This Row],[customer_total_years]]</f>
        <v>4.0491283676703649</v>
      </c>
      <c r="K769" s="13">
        <f>Table134[[#This Row],[purchase_history]]/Table134[[#This Row],[number_of_purchases]]</f>
        <v>1193.3814285714286</v>
      </c>
      <c r="L769" s="2">
        <f>IF(YEAR(Table134[[#This Row],[Last_Day]])=2021,5,IF(YEAR(Table134[[#This Row],[Last_Day]])=2022,7,IF(YEAR(Table134[[#This Row],[Last_Day]])=2023,10,"Không xác định")))</f>
        <v>10</v>
      </c>
      <c r="M769" s="15">
        <f>Table134[[#This Row],[avg_number_of_purchases]]*Table1345[[#This Row],[avg_purchase_value]]*Table1345[[#This Row],[expected_lifespan]]</f>
        <v>48321.54595879557</v>
      </c>
      <c r="N769" t="s">
        <v>12044</v>
      </c>
    </row>
    <row r="770" spans="1:14" x14ac:dyDescent="0.3">
      <c r="A770" s="2" t="s">
        <v>768</v>
      </c>
      <c r="B770" s="2" t="s">
        <v>12040</v>
      </c>
      <c r="C770" s="2">
        <v>43</v>
      </c>
      <c r="D770" s="2" t="s">
        <v>12041</v>
      </c>
      <c r="E770" s="2">
        <f>COUNTIF(Table16[customer_id],Table13[[#This Row],[customer_id]])</f>
        <v>2</v>
      </c>
      <c r="F770" s="13">
        <f>SUMIFS(Table16[Purchase_history],Table16[customer_id],Table13[[#This Row],[customer_id]])</f>
        <v>4500.08</v>
      </c>
      <c r="G770" s="20">
        <v>44393</v>
      </c>
      <c r="H770" s="21">
        <v>44649</v>
      </c>
      <c r="I770" s="15">
        <f>(Table134[[#This Row],[Last_Day]]-Table134[[#This Row],[First_Day]]+1)/365</f>
        <v>0.70410958904109588</v>
      </c>
      <c r="J770" s="59">
        <f>Table134[[#This Row],[number_of_purchases]]/Table134[[#This Row],[customer_total_years]]</f>
        <v>2.840466926070039</v>
      </c>
      <c r="K770" s="13">
        <f>Table134[[#This Row],[purchase_history]]/Table134[[#This Row],[number_of_purchases]]</f>
        <v>2250.04</v>
      </c>
      <c r="L770" s="2">
        <f>IF(YEAR(Table134[[#This Row],[Last_Day]])=2021,5,IF(YEAR(Table134[[#This Row],[Last_Day]])=2022,7,IF(YEAR(Table134[[#This Row],[Last_Day]])=2023,10,"Không xác định")))</f>
        <v>7</v>
      </c>
      <c r="M770" s="15">
        <f>Table134[[#This Row],[avg_number_of_purchases]]*Table1345[[#This Row],[avg_purchase_value]]*Table1345[[#This Row],[expected_lifespan]]</f>
        <v>44738.149416342414</v>
      </c>
      <c r="N770" t="s">
        <v>12042</v>
      </c>
    </row>
    <row r="771" spans="1:14" x14ac:dyDescent="0.3">
      <c r="A771" s="2" t="s">
        <v>769</v>
      </c>
      <c r="B771" s="2" t="s">
        <v>12045</v>
      </c>
      <c r="C771" s="2">
        <v>26</v>
      </c>
      <c r="D771" s="2" t="s">
        <v>12041</v>
      </c>
      <c r="E771" s="2">
        <f>COUNTIF(Table16[customer_id],Table13[[#This Row],[customer_id]])</f>
        <v>3</v>
      </c>
      <c r="F771" s="13">
        <f>SUMIFS(Table16[Purchase_history],Table16[customer_id],Table13[[#This Row],[customer_id]])</f>
        <v>1377.18</v>
      </c>
      <c r="G771" s="20">
        <v>44417</v>
      </c>
      <c r="H771" s="21">
        <v>44892</v>
      </c>
      <c r="I771" s="15">
        <f>(Table134[[#This Row],[Last_Day]]-Table134[[#This Row],[First_Day]]+1)/365</f>
        <v>1.3041095890410959</v>
      </c>
      <c r="J771" s="59">
        <f>Table134[[#This Row],[number_of_purchases]]/Table134[[#This Row],[customer_total_years]]</f>
        <v>2.3004201680672272</v>
      </c>
      <c r="K771" s="13">
        <f>Table134[[#This Row],[purchase_history]]/Table134[[#This Row],[number_of_purchases]]</f>
        <v>459.06</v>
      </c>
      <c r="L771" s="2">
        <f>IF(YEAR(Table134[[#This Row],[Last_Day]])=2021,5,IF(YEAR(Table134[[#This Row],[Last_Day]])=2022,7,IF(YEAR(Table134[[#This Row],[Last_Day]])=2023,10,"Không xác định")))</f>
        <v>7</v>
      </c>
      <c r="M771" s="15">
        <f>Table134[[#This Row],[avg_number_of_purchases]]*Table1345[[#This Row],[avg_purchase_value]]*Table1345[[#This Row],[expected_lifespan]]</f>
        <v>7392.2161764705888</v>
      </c>
      <c r="N771" t="s">
        <v>12048</v>
      </c>
    </row>
    <row r="772" spans="1:14" x14ac:dyDescent="0.3">
      <c r="A772" s="2" t="s">
        <v>770</v>
      </c>
      <c r="B772" s="2" t="s">
        <v>12045</v>
      </c>
      <c r="C772" s="2">
        <v>50</v>
      </c>
      <c r="D772" s="2" t="s">
        <v>12043</v>
      </c>
      <c r="E772" s="2">
        <f>COUNTIF(Table16[customer_id],Table13[[#This Row],[customer_id]])</f>
        <v>8</v>
      </c>
      <c r="F772" s="13">
        <f>SUMIFS(Table16[Purchase_history],Table16[customer_id],Table13[[#This Row],[customer_id]])</f>
        <v>6562.1</v>
      </c>
      <c r="G772" s="20">
        <v>44249</v>
      </c>
      <c r="H772" s="21">
        <v>44979</v>
      </c>
      <c r="I772" s="15">
        <f>(Table134[[#This Row],[Last_Day]]-Table134[[#This Row],[First_Day]]+1)/365</f>
        <v>2.0027397260273974</v>
      </c>
      <c r="J772" s="59">
        <f>Table134[[#This Row],[number_of_purchases]]/Table134[[#This Row],[customer_total_years]]</f>
        <v>3.9945280437756496</v>
      </c>
      <c r="K772" s="13">
        <f>Table134[[#This Row],[purchase_history]]/Table134[[#This Row],[number_of_purchases]]</f>
        <v>820.26250000000005</v>
      </c>
      <c r="L772" s="2">
        <f>IF(YEAR(Table134[[#This Row],[Last_Day]])=2021,5,IF(YEAR(Table134[[#This Row],[Last_Day]])=2022,7,IF(YEAR(Table134[[#This Row],[Last_Day]])=2023,10,"Không xác định")))</f>
        <v>10</v>
      </c>
      <c r="M772" s="15">
        <f>Table134[[#This Row],[avg_number_of_purchases]]*Table1345[[#This Row],[avg_purchase_value]]*Table1345[[#This Row],[expected_lifespan]]</f>
        <v>32765.615595075244</v>
      </c>
      <c r="N772" t="s">
        <v>12044</v>
      </c>
    </row>
    <row r="773" spans="1:14" x14ac:dyDescent="0.3">
      <c r="A773" s="2" t="s">
        <v>771</v>
      </c>
      <c r="B773" s="2" t="s">
        <v>12040</v>
      </c>
      <c r="C773" s="2">
        <v>45</v>
      </c>
      <c r="D773" s="2" t="s">
        <v>12049</v>
      </c>
      <c r="E773" s="2">
        <f>COUNTIF(Table16[customer_id],Table13[[#This Row],[customer_id]])</f>
        <v>8</v>
      </c>
      <c r="F773" s="13">
        <f>SUMIFS(Table16[Purchase_history],Table16[customer_id],Table13[[#This Row],[customer_id]])</f>
        <v>15652.689999999999</v>
      </c>
      <c r="G773" s="20">
        <v>44367</v>
      </c>
      <c r="H773" s="21">
        <v>44718</v>
      </c>
      <c r="I773" s="15">
        <f>(Table134[[#This Row],[Last_Day]]-Table134[[#This Row],[First_Day]]+1)/365</f>
        <v>0.96438356164383565</v>
      </c>
      <c r="J773" s="59">
        <f>Table134[[#This Row],[number_of_purchases]]/Table134[[#This Row],[customer_total_years]]</f>
        <v>8.295454545454545</v>
      </c>
      <c r="K773" s="13">
        <f>Table134[[#This Row],[purchase_history]]/Table134[[#This Row],[number_of_purchases]]</f>
        <v>1956.5862499999998</v>
      </c>
      <c r="L773" s="2">
        <f>IF(YEAR(Table134[[#This Row],[Last_Day]])=2021,5,IF(YEAR(Table134[[#This Row],[Last_Day]])=2022,7,IF(YEAR(Table134[[#This Row],[Last_Day]])=2023,10,"Không xác định")))</f>
        <v>7</v>
      </c>
      <c r="M773" s="15">
        <f>Table134[[#This Row],[avg_number_of_purchases]]*Table1345[[#This Row],[avg_purchase_value]]*Table1345[[#This Row],[expected_lifespan]]</f>
        <v>113615.40610795454</v>
      </c>
      <c r="N773" t="s">
        <v>12042</v>
      </c>
    </row>
    <row r="774" spans="1:14" x14ac:dyDescent="0.3">
      <c r="A774" s="2" t="s">
        <v>772</v>
      </c>
      <c r="B774" s="2" t="s">
        <v>12045</v>
      </c>
      <c r="C774" s="2">
        <v>42</v>
      </c>
      <c r="D774" s="2" t="s">
        <v>12041</v>
      </c>
      <c r="E774" s="2">
        <f>COUNTIF(Table16[customer_id],Table13[[#This Row],[customer_id]])</f>
        <v>6</v>
      </c>
      <c r="F774" s="13">
        <f>SUMIFS(Table16[Purchase_history],Table16[customer_id],Table13[[#This Row],[customer_id]])</f>
        <v>15637.34</v>
      </c>
      <c r="G774" s="20">
        <v>44348</v>
      </c>
      <c r="H774" s="21">
        <v>44807</v>
      </c>
      <c r="I774" s="15">
        <f>(Table134[[#This Row],[Last_Day]]-Table134[[#This Row],[First_Day]]+1)/365</f>
        <v>1.2602739726027397</v>
      </c>
      <c r="J774" s="59">
        <f>Table134[[#This Row],[number_of_purchases]]/Table134[[#This Row],[customer_total_years]]</f>
        <v>4.7608695652173916</v>
      </c>
      <c r="K774" s="13">
        <f>Table134[[#This Row],[purchase_history]]/Table134[[#This Row],[number_of_purchases]]</f>
        <v>2606.2233333333334</v>
      </c>
      <c r="L774" s="2">
        <f>IF(YEAR(Table134[[#This Row],[Last_Day]])=2021,5,IF(YEAR(Table134[[#This Row],[Last_Day]])=2022,7,IF(YEAR(Table134[[#This Row],[Last_Day]])=2023,10,"Không xác định")))</f>
        <v>7</v>
      </c>
      <c r="M774" s="15">
        <f>Table134[[#This Row],[avg_number_of_purchases]]*Table1345[[#This Row],[avg_purchase_value]]*Table1345[[#This Row],[expected_lifespan]]</f>
        <v>86855.225434782609</v>
      </c>
      <c r="N774" t="s">
        <v>12042</v>
      </c>
    </row>
    <row r="775" spans="1:14" x14ac:dyDescent="0.3">
      <c r="A775" s="2" t="s">
        <v>773</v>
      </c>
      <c r="B775" s="2" t="s">
        <v>12040</v>
      </c>
      <c r="C775" s="2">
        <v>62</v>
      </c>
      <c r="D775" s="2" t="s">
        <v>12043</v>
      </c>
      <c r="E775" s="2">
        <f>COUNTIF(Table16[customer_id],Table13[[#This Row],[customer_id]])</f>
        <v>10</v>
      </c>
      <c r="F775" s="13">
        <f>SUMIFS(Table16[Purchase_history],Table16[customer_id],Table13[[#This Row],[customer_id]])</f>
        <v>33927.380000000005</v>
      </c>
      <c r="G775" s="20">
        <v>44224</v>
      </c>
      <c r="H775" s="21">
        <v>44913</v>
      </c>
      <c r="I775" s="15">
        <f>(Table134[[#This Row],[Last_Day]]-Table134[[#This Row],[First_Day]]+1)/365</f>
        <v>1.8904109589041096</v>
      </c>
      <c r="J775" s="59">
        <f>Table134[[#This Row],[number_of_purchases]]/Table134[[#This Row],[customer_total_years]]</f>
        <v>5.2898550724637685</v>
      </c>
      <c r="K775" s="13">
        <f>Table134[[#This Row],[purchase_history]]/Table134[[#This Row],[number_of_purchases]]</f>
        <v>3392.7380000000003</v>
      </c>
      <c r="L775" s="2">
        <f>IF(YEAR(Table134[[#This Row],[Last_Day]])=2021,5,IF(YEAR(Table134[[#This Row],[Last_Day]])=2022,7,IF(YEAR(Table134[[#This Row],[Last_Day]])=2023,10,"Không xác định")))</f>
        <v>7</v>
      </c>
      <c r="M775" s="15">
        <f>Table134[[#This Row],[avg_number_of_purchases]]*Table1345[[#This Row],[avg_purchase_value]]*Table1345[[#This Row],[expected_lifespan]]</f>
        <v>125629.64623188408</v>
      </c>
      <c r="N775" t="s">
        <v>12047</v>
      </c>
    </row>
    <row r="776" spans="1:14" x14ac:dyDescent="0.3">
      <c r="A776" s="2" t="s">
        <v>774</v>
      </c>
      <c r="B776" s="2" t="s">
        <v>12045</v>
      </c>
      <c r="C776" s="2">
        <v>26</v>
      </c>
      <c r="D776" s="2" t="s">
        <v>12043</v>
      </c>
      <c r="E776" s="2">
        <f>COUNTIF(Table16[customer_id],Table13[[#This Row],[customer_id]])</f>
        <v>7</v>
      </c>
      <c r="F776" s="13">
        <f>SUMIFS(Table16[Purchase_history],Table16[customer_id],Table13[[#This Row],[customer_id]])</f>
        <v>28193.730000000003</v>
      </c>
      <c r="G776" s="20">
        <v>44238</v>
      </c>
      <c r="H776" s="21">
        <v>44966</v>
      </c>
      <c r="I776" s="15">
        <f>(Table134[[#This Row],[Last_Day]]-Table134[[#This Row],[First_Day]]+1)/365</f>
        <v>1.9972602739726026</v>
      </c>
      <c r="J776" s="59">
        <f>Table134[[#This Row],[number_of_purchases]]/Table134[[#This Row],[customer_total_years]]</f>
        <v>3.5048010973936901</v>
      </c>
      <c r="K776" s="13">
        <f>Table134[[#This Row],[purchase_history]]/Table134[[#This Row],[number_of_purchases]]</f>
        <v>4027.6757142857145</v>
      </c>
      <c r="L776" s="2">
        <f>IF(YEAR(Table134[[#This Row],[Last_Day]])=2021,5,IF(YEAR(Table134[[#This Row],[Last_Day]])=2022,7,IF(YEAR(Table134[[#This Row],[Last_Day]])=2023,10,"Không xác định")))</f>
        <v>10</v>
      </c>
      <c r="M776" s="15">
        <f>Table134[[#This Row],[avg_number_of_purchases]]*Table1345[[#This Row],[avg_purchase_value]]*Table1345[[#This Row],[expected_lifespan]]</f>
        <v>141162.02263374487</v>
      </c>
      <c r="N776" t="s">
        <v>12048</v>
      </c>
    </row>
    <row r="777" spans="1:14" x14ac:dyDescent="0.3">
      <c r="A777" s="2" t="s">
        <v>775</v>
      </c>
      <c r="B777" s="2" t="s">
        <v>12045</v>
      </c>
      <c r="C777" s="2">
        <v>36</v>
      </c>
      <c r="D777" s="2" t="s">
        <v>12041</v>
      </c>
      <c r="E777" s="2">
        <f>COUNTIF(Table16[customer_id],Table13[[#This Row],[customer_id]])</f>
        <v>6</v>
      </c>
      <c r="F777" s="13">
        <f>SUMIFS(Table16[Purchase_history],Table16[customer_id],Table13[[#This Row],[customer_id]])</f>
        <v>4092.8200000000006</v>
      </c>
      <c r="G777" s="20">
        <v>44242</v>
      </c>
      <c r="H777" s="21">
        <v>44961</v>
      </c>
      <c r="I777" s="15">
        <f>(Table134[[#This Row],[Last_Day]]-Table134[[#This Row],[First_Day]]+1)/365</f>
        <v>1.9726027397260273</v>
      </c>
      <c r="J777" s="59">
        <f>Table134[[#This Row],[number_of_purchases]]/Table134[[#This Row],[customer_total_years]]</f>
        <v>3.041666666666667</v>
      </c>
      <c r="K777" s="13">
        <f>Table134[[#This Row],[purchase_history]]/Table134[[#This Row],[number_of_purchases]]</f>
        <v>682.13666666666677</v>
      </c>
      <c r="L777" s="2">
        <f>IF(YEAR(Table134[[#This Row],[Last_Day]])=2021,5,IF(YEAR(Table134[[#This Row],[Last_Day]])=2022,7,IF(YEAR(Table134[[#This Row],[Last_Day]])=2023,10,"Không xác định")))</f>
        <v>10</v>
      </c>
      <c r="M777" s="15">
        <f>Table134[[#This Row],[avg_number_of_purchases]]*Table1345[[#This Row],[avg_purchase_value]]*Table1345[[#This Row],[expected_lifespan]]</f>
        <v>20748.323611111118</v>
      </c>
      <c r="N777" t="s">
        <v>12047</v>
      </c>
    </row>
    <row r="778" spans="1:14" x14ac:dyDescent="0.3">
      <c r="A778" s="2" t="s">
        <v>776</v>
      </c>
      <c r="B778" s="2" t="s">
        <v>12040</v>
      </c>
      <c r="C778" s="2">
        <v>22</v>
      </c>
      <c r="D778" s="2" t="s">
        <v>12041</v>
      </c>
      <c r="E778" s="2">
        <f>COUNTIF(Table16[customer_id],Table13[[#This Row],[customer_id]])</f>
        <v>5</v>
      </c>
      <c r="F778" s="13">
        <f>SUMIFS(Table16[Purchase_history],Table16[customer_id],Table13[[#This Row],[customer_id]])</f>
        <v>9530.98</v>
      </c>
      <c r="G778" s="20">
        <v>44226</v>
      </c>
      <c r="H778" s="21">
        <v>44855</v>
      </c>
      <c r="I778" s="15">
        <f>(Table134[[#This Row],[Last_Day]]-Table134[[#This Row],[First_Day]]+1)/365</f>
        <v>1.726027397260274</v>
      </c>
      <c r="J778" s="59">
        <f>Table134[[#This Row],[number_of_purchases]]/Table134[[#This Row],[customer_total_years]]</f>
        <v>2.8968253968253967</v>
      </c>
      <c r="K778" s="13">
        <f>Table134[[#This Row],[purchase_history]]/Table134[[#This Row],[number_of_purchases]]</f>
        <v>1906.1959999999999</v>
      </c>
      <c r="L778" s="2">
        <f>IF(YEAR(Table134[[#This Row],[Last_Day]])=2021,5,IF(YEAR(Table134[[#This Row],[Last_Day]])=2022,7,IF(YEAR(Table134[[#This Row],[Last_Day]])=2023,10,"Không xác định")))</f>
        <v>7</v>
      </c>
      <c r="M778" s="15">
        <f>Table134[[#This Row],[avg_number_of_purchases]]*Table1345[[#This Row],[avg_purchase_value]]*Table1345[[#This Row],[expected_lifespan]]</f>
        <v>38653.418888888889</v>
      </c>
      <c r="N778" t="s">
        <v>12047</v>
      </c>
    </row>
    <row r="779" spans="1:14" x14ac:dyDescent="0.3">
      <c r="A779" s="2" t="s">
        <v>777</v>
      </c>
      <c r="B779" s="2" t="s">
        <v>12045</v>
      </c>
      <c r="C779" s="2">
        <v>18</v>
      </c>
      <c r="D779" s="2" t="s">
        <v>12043</v>
      </c>
      <c r="E779" s="2">
        <f>COUNTIF(Table16[customer_id],Table13[[#This Row],[customer_id]])</f>
        <v>4</v>
      </c>
      <c r="F779" s="13">
        <f>SUMIFS(Table16[Purchase_history],Table16[customer_id],Table13[[#This Row],[customer_id]])</f>
        <v>22206.17</v>
      </c>
      <c r="G779" s="20">
        <v>44504</v>
      </c>
      <c r="H779" s="21">
        <v>44911</v>
      </c>
      <c r="I779" s="15">
        <f>(Table134[[#This Row],[Last_Day]]-Table134[[#This Row],[First_Day]]+1)/365</f>
        <v>1.1178082191780823</v>
      </c>
      <c r="J779" s="59">
        <f>Table134[[#This Row],[number_of_purchases]]/Table134[[#This Row],[customer_total_years]]</f>
        <v>3.5784313725490193</v>
      </c>
      <c r="K779" s="13">
        <f>Table134[[#This Row],[purchase_history]]/Table134[[#This Row],[number_of_purchases]]</f>
        <v>5551.5424999999996</v>
      </c>
      <c r="L779" s="2">
        <f>IF(YEAR(Table134[[#This Row],[Last_Day]])=2021,5,IF(YEAR(Table134[[#This Row],[Last_Day]])=2022,7,IF(YEAR(Table134[[#This Row],[Last_Day]])=2023,10,"Không xác định")))</f>
        <v>7</v>
      </c>
      <c r="M779" s="15">
        <f>Table134[[#This Row],[avg_number_of_purchases]]*Table1345[[#This Row],[avg_purchase_value]]*Table1345[[#This Row],[expected_lifespan]]</f>
        <v>139060.69693627447</v>
      </c>
      <c r="N779" t="s">
        <v>12046</v>
      </c>
    </row>
    <row r="780" spans="1:14" x14ac:dyDescent="0.3">
      <c r="A780" s="2" t="s">
        <v>778</v>
      </c>
      <c r="B780" s="2" t="s">
        <v>12040</v>
      </c>
      <c r="C780" s="2">
        <v>45</v>
      </c>
      <c r="D780" s="2" t="s">
        <v>12049</v>
      </c>
      <c r="E780" s="2">
        <f>COUNTIF(Table16[customer_id],Table13[[#This Row],[customer_id]])</f>
        <v>2</v>
      </c>
      <c r="F780" s="13">
        <f>SUMIFS(Table16[Purchase_history],Table16[customer_id],Table13[[#This Row],[customer_id]])</f>
        <v>2844.0800000000004</v>
      </c>
      <c r="G780" s="20">
        <v>44972</v>
      </c>
      <c r="H780" s="21">
        <v>44993</v>
      </c>
      <c r="I780" s="15">
        <f>(Table134[[#This Row],[Last_Day]]-Table134[[#This Row],[First_Day]]+1)/365</f>
        <v>6.0273972602739728E-2</v>
      </c>
      <c r="J780" s="59">
        <f>Table134[[#This Row],[number_of_purchases]]/Table134[[#This Row],[customer_total_years]]</f>
        <v>33.18181818181818</v>
      </c>
      <c r="K780" s="13">
        <f>Table134[[#This Row],[purchase_history]]/Table134[[#This Row],[number_of_purchases]]</f>
        <v>1422.0400000000002</v>
      </c>
      <c r="L780" s="2">
        <f>IF(YEAR(Table134[[#This Row],[Last_Day]])=2021,5,IF(YEAR(Table134[[#This Row],[Last_Day]])=2022,7,IF(YEAR(Table134[[#This Row],[Last_Day]])=2023,10,"Không xác định")))</f>
        <v>10</v>
      </c>
      <c r="M780" s="15">
        <f>Table134[[#This Row],[avg_number_of_purchases]]*Table1345[[#This Row],[avg_purchase_value]]*Table1345[[#This Row],[expected_lifespan]]</f>
        <v>471858.72727272735</v>
      </c>
      <c r="N780" t="s">
        <v>12047</v>
      </c>
    </row>
    <row r="781" spans="1:14" x14ac:dyDescent="0.3">
      <c r="A781" s="2" t="s">
        <v>779</v>
      </c>
      <c r="B781" s="2" t="s">
        <v>12040</v>
      </c>
      <c r="C781" s="2">
        <v>20</v>
      </c>
      <c r="D781" s="2" t="s">
        <v>12041</v>
      </c>
      <c r="E781" s="2">
        <f>COUNTIF(Table16[customer_id],Table13[[#This Row],[customer_id]])</f>
        <v>6</v>
      </c>
      <c r="F781" s="13">
        <f>SUMIFS(Table16[Purchase_history],Table16[customer_id],Table13[[#This Row],[customer_id]])</f>
        <v>12323.39</v>
      </c>
      <c r="G781" s="20">
        <v>44285</v>
      </c>
      <c r="H781" s="21">
        <v>44834</v>
      </c>
      <c r="I781" s="15">
        <f>(Table134[[#This Row],[Last_Day]]-Table134[[#This Row],[First_Day]]+1)/365</f>
        <v>1.5068493150684932</v>
      </c>
      <c r="J781" s="59">
        <f>Table134[[#This Row],[number_of_purchases]]/Table134[[#This Row],[customer_total_years]]</f>
        <v>3.9818181818181819</v>
      </c>
      <c r="K781" s="13">
        <f>Table134[[#This Row],[purchase_history]]/Table134[[#This Row],[number_of_purchases]]</f>
        <v>2053.8983333333331</v>
      </c>
      <c r="L781" s="2">
        <f>IF(YEAR(Table134[[#This Row],[Last_Day]])=2021,5,IF(YEAR(Table134[[#This Row],[Last_Day]])=2022,7,IF(YEAR(Table134[[#This Row],[Last_Day]])=2023,10,"Không xác định")))</f>
        <v>7</v>
      </c>
      <c r="M781" s="15">
        <f>Table134[[#This Row],[avg_number_of_purchases]]*Table1345[[#This Row],[avg_purchase_value]]*Table1345[[#This Row],[expected_lifespan]]</f>
        <v>57247.748090909088</v>
      </c>
      <c r="N781" t="s">
        <v>12044</v>
      </c>
    </row>
    <row r="782" spans="1:14" x14ac:dyDescent="0.3">
      <c r="A782" s="2" t="s">
        <v>780</v>
      </c>
      <c r="B782" s="2" t="s">
        <v>12045</v>
      </c>
      <c r="C782" s="2">
        <v>44</v>
      </c>
      <c r="D782" s="2" t="s">
        <v>12041</v>
      </c>
      <c r="E782" s="2">
        <f>COUNTIF(Table16[customer_id],Table13[[#This Row],[customer_id]])</f>
        <v>6</v>
      </c>
      <c r="F782" s="13">
        <f>SUMIFS(Table16[Purchase_history],Table16[customer_id],Table13[[#This Row],[customer_id]])</f>
        <v>16158.789999999997</v>
      </c>
      <c r="G782" s="20">
        <v>44231</v>
      </c>
      <c r="H782" s="21">
        <v>44846</v>
      </c>
      <c r="I782" s="15">
        <f>(Table134[[#This Row],[Last_Day]]-Table134[[#This Row],[First_Day]]+1)/365</f>
        <v>1.6876712328767123</v>
      </c>
      <c r="J782" s="59">
        <f>Table134[[#This Row],[number_of_purchases]]/Table134[[#This Row],[customer_total_years]]</f>
        <v>3.5551948051948052</v>
      </c>
      <c r="K782" s="13">
        <f>Table134[[#This Row],[purchase_history]]/Table134[[#This Row],[number_of_purchases]]</f>
        <v>2693.1316666666662</v>
      </c>
      <c r="L782" s="2">
        <f>IF(YEAR(Table134[[#This Row],[Last_Day]])=2021,5,IF(YEAR(Table134[[#This Row],[Last_Day]])=2022,7,IF(YEAR(Table134[[#This Row],[Last_Day]])=2023,10,"Không xác định")))</f>
        <v>7</v>
      </c>
      <c r="M782" s="15">
        <f>Table134[[#This Row],[avg_number_of_purchases]]*Table1345[[#This Row],[avg_purchase_value]]*Table1345[[#This Row],[expected_lifespan]]</f>
        <v>67022.253977272718</v>
      </c>
      <c r="N782" t="s">
        <v>12048</v>
      </c>
    </row>
    <row r="783" spans="1:14" x14ac:dyDescent="0.3">
      <c r="A783" s="2" t="s">
        <v>781</v>
      </c>
      <c r="B783" s="2" t="s">
        <v>12040</v>
      </c>
      <c r="C783" s="2">
        <v>36</v>
      </c>
      <c r="D783" s="2" t="s">
        <v>12041</v>
      </c>
      <c r="E783" s="2">
        <f>COUNTIF(Table16[customer_id],Table13[[#This Row],[customer_id]])</f>
        <v>7</v>
      </c>
      <c r="F783" s="13">
        <f>SUMIFS(Table16[Purchase_history],Table16[customer_id],Table13[[#This Row],[customer_id]])</f>
        <v>17743.869999999995</v>
      </c>
      <c r="G783" s="20">
        <v>44408</v>
      </c>
      <c r="H783" s="21">
        <v>44961</v>
      </c>
      <c r="I783" s="15">
        <f>(Table134[[#This Row],[Last_Day]]-Table134[[#This Row],[First_Day]]+1)/365</f>
        <v>1.5178082191780822</v>
      </c>
      <c r="J783" s="59">
        <f>Table134[[#This Row],[number_of_purchases]]/Table134[[#This Row],[customer_total_years]]</f>
        <v>4.6119133574007218</v>
      </c>
      <c r="K783" s="13">
        <f>Table134[[#This Row],[purchase_history]]/Table134[[#This Row],[number_of_purchases]]</f>
        <v>2534.838571428571</v>
      </c>
      <c r="L783" s="2">
        <f>IF(YEAR(Table134[[#This Row],[Last_Day]])=2021,5,IF(YEAR(Table134[[#This Row],[Last_Day]])=2022,7,IF(YEAR(Table134[[#This Row],[Last_Day]])=2023,10,"Không xác định")))</f>
        <v>10</v>
      </c>
      <c r="M783" s="15">
        <f>Table134[[#This Row],[avg_number_of_purchases]]*Table1345[[#This Row],[avg_purchase_value]]*Table1345[[#This Row],[expected_lifespan]]</f>
        <v>116904.55866425989</v>
      </c>
      <c r="N783" t="s">
        <v>12046</v>
      </c>
    </row>
    <row r="784" spans="1:14" x14ac:dyDescent="0.3">
      <c r="A784" s="2" t="s">
        <v>782</v>
      </c>
      <c r="B784" s="2" t="s">
        <v>12040</v>
      </c>
      <c r="C784" s="2">
        <v>31</v>
      </c>
      <c r="D784" s="2" t="s">
        <v>12041</v>
      </c>
      <c r="E784" s="2">
        <f>COUNTIF(Table16[customer_id],Table13[[#This Row],[customer_id]])</f>
        <v>7</v>
      </c>
      <c r="F784" s="13">
        <f>SUMIFS(Table16[Purchase_history],Table16[customer_id],Table13[[#This Row],[customer_id]])</f>
        <v>7555.5299999999988</v>
      </c>
      <c r="G784" s="20">
        <v>44367</v>
      </c>
      <c r="H784" s="21">
        <v>44958</v>
      </c>
      <c r="I784" s="15">
        <f>(Table134[[#This Row],[Last_Day]]-Table134[[#This Row],[First_Day]]+1)/365</f>
        <v>1.6219178082191781</v>
      </c>
      <c r="J784" s="59">
        <f>Table134[[#This Row],[number_of_purchases]]/Table134[[#This Row],[customer_total_years]]</f>
        <v>4.3158783783783781</v>
      </c>
      <c r="K784" s="13">
        <f>Table134[[#This Row],[purchase_history]]/Table134[[#This Row],[number_of_purchases]]</f>
        <v>1079.3614285714284</v>
      </c>
      <c r="L784" s="2">
        <f>IF(YEAR(Table134[[#This Row],[Last_Day]])=2021,5,IF(YEAR(Table134[[#This Row],[Last_Day]])=2022,7,IF(YEAR(Table134[[#This Row],[Last_Day]])=2023,10,"Không xác định")))</f>
        <v>10</v>
      </c>
      <c r="M784" s="15">
        <f>Table134[[#This Row],[avg_number_of_purchases]]*Table1345[[#This Row],[avg_purchase_value]]*Table1345[[#This Row],[expected_lifespan]]</f>
        <v>46583.926520270259</v>
      </c>
      <c r="N784" t="s">
        <v>12046</v>
      </c>
    </row>
    <row r="785" spans="1:14" x14ac:dyDescent="0.3">
      <c r="A785" s="2" t="s">
        <v>783</v>
      </c>
      <c r="B785" s="2" t="s">
        <v>12040</v>
      </c>
      <c r="C785" s="2">
        <v>57</v>
      </c>
      <c r="D785" s="2" t="s">
        <v>12043</v>
      </c>
      <c r="E785" s="2">
        <f>COUNTIF(Table16[customer_id],Table13[[#This Row],[customer_id]])</f>
        <v>3</v>
      </c>
      <c r="F785" s="13">
        <f>SUMIFS(Table16[Purchase_history],Table16[customer_id],Table13[[#This Row],[customer_id]])</f>
        <v>10919.18</v>
      </c>
      <c r="G785" s="20">
        <v>44225</v>
      </c>
      <c r="H785" s="21">
        <v>44722</v>
      </c>
      <c r="I785" s="15">
        <f>(Table134[[#This Row],[Last_Day]]-Table134[[#This Row],[First_Day]]+1)/365</f>
        <v>1.3643835616438356</v>
      </c>
      <c r="J785" s="59">
        <f>Table134[[#This Row],[number_of_purchases]]/Table134[[#This Row],[customer_total_years]]</f>
        <v>2.1987951807228918</v>
      </c>
      <c r="K785" s="13">
        <f>Table134[[#This Row],[purchase_history]]/Table134[[#This Row],[number_of_purchases]]</f>
        <v>3639.7266666666669</v>
      </c>
      <c r="L785" s="2">
        <f>IF(YEAR(Table134[[#This Row],[Last_Day]])=2021,5,IF(YEAR(Table134[[#This Row],[Last_Day]])=2022,7,IF(YEAR(Table134[[#This Row],[Last_Day]])=2023,10,"Không xác định")))</f>
        <v>7</v>
      </c>
      <c r="M785" s="15">
        <f>Table134[[#This Row],[avg_number_of_purchases]]*Table1345[[#This Row],[avg_purchase_value]]*Table1345[[#This Row],[expected_lifespan]]</f>
        <v>56021.094176706836</v>
      </c>
      <c r="N785" t="s">
        <v>12047</v>
      </c>
    </row>
    <row r="786" spans="1:14" x14ac:dyDescent="0.3">
      <c r="A786" s="2" t="s">
        <v>784</v>
      </c>
      <c r="B786" s="2" t="s">
        <v>12040</v>
      </c>
      <c r="C786" s="2">
        <v>39</v>
      </c>
      <c r="D786" s="2" t="s">
        <v>12043</v>
      </c>
      <c r="E786" s="2">
        <f>COUNTIF(Table16[customer_id],Table13[[#This Row],[customer_id]])</f>
        <v>6</v>
      </c>
      <c r="F786" s="13">
        <f>SUMIFS(Table16[Purchase_history],Table16[customer_id],Table13[[#This Row],[customer_id]])</f>
        <v>4654.6400000000003</v>
      </c>
      <c r="G786" s="20">
        <v>44217</v>
      </c>
      <c r="H786" s="21">
        <v>44905</v>
      </c>
      <c r="I786" s="15">
        <f>(Table134[[#This Row],[Last_Day]]-Table134[[#This Row],[First_Day]]+1)/365</f>
        <v>1.8876712328767122</v>
      </c>
      <c r="J786" s="59">
        <f>Table134[[#This Row],[number_of_purchases]]/Table134[[#This Row],[customer_total_years]]</f>
        <v>3.1785195936139332</v>
      </c>
      <c r="K786" s="13">
        <f>Table134[[#This Row],[purchase_history]]/Table134[[#This Row],[number_of_purchases]]</f>
        <v>775.77333333333343</v>
      </c>
      <c r="L786" s="2">
        <f>IF(YEAR(Table134[[#This Row],[Last_Day]])=2021,5,IF(YEAR(Table134[[#This Row],[Last_Day]])=2022,7,IF(YEAR(Table134[[#This Row],[Last_Day]])=2023,10,"Không xác định")))</f>
        <v>7</v>
      </c>
      <c r="M786" s="15">
        <f>Table134[[#This Row],[avg_number_of_purchases]]*Table1345[[#This Row],[avg_purchase_value]]*Table1345[[#This Row],[expected_lifespan]]</f>
        <v>17260.675181422353</v>
      </c>
      <c r="N786" t="s">
        <v>12046</v>
      </c>
    </row>
    <row r="787" spans="1:14" x14ac:dyDescent="0.3">
      <c r="A787" s="2" t="s">
        <v>785</v>
      </c>
      <c r="B787" s="2" t="s">
        <v>12040</v>
      </c>
      <c r="C787" s="2">
        <v>54</v>
      </c>
      <c r="D787" s="2" t="s">
        <v>12043</v>
      </c>
      <c r="E787" s="2">
        <f>COUNTIF(Table16[customer_id],Table13[[#This Row],[customer_id]])</f>
        <v>7</v>
      </c>
      <c r="F787" s="13">
        <f>SUMIFS(Table16[Purchase_history],Table16[customer_id],Table13[[#This Row],[customer_id]])</f>
        <v>3740.6800000000003</v>
      </c>
      <c r="G787" s="20">
        <v>44236</v>
      </c>
      <c r="H787" s="21">
        <v>44693</v>
      </c>
      <c r="I787" s="15">
        <f>(Table134[[#This Row],[Last_Day]]-Table134[[#This Row],[First_Day]]+1)/365</f>
        <v>1.2547945205479452</v>
      </c>
      <c r="J787" s="59">
        <f>Table134[[#This Row],[number_of_purchases]]/Table134[[#This Row],[customer_total_years]]</f>
        <v>5.5786026200873362</v>
      </c>
      <c r="K787" s="13">
        <f>Table134[[#This Row],[purchase_history]]/Table134[[#This Row],[number_of_purchases]]</f>
        <v>534.38285714285723</v>
      </c>
      <c r="L787" s="2">
        <f>IF(YEAR(Table134[[#This Row],[Last_Day]])=2021,5,IF(YEAR(Table134[[#This Row],[Last_Day]])=2022,7,IF(YEAR(Table134[[#This Row],[Last_Day]])=2023,10,"Không xác định")))</f>
        <v>7</v>
      </c>
      <c r="M787" s="15">
        <f>Table134[[#This Row],[avg_number_of_purchases]]*Table1345[[#This Row],[avg_purchase_value]]*Table1345[[#This Row],[expected_lifespan]]</f>
        <v>20867.767248908298</v>
      </c>
      <c r="N787" t="s">
        <v>12044</v>
      </c>
    </row>
    <row r="788" spans="1:14" x14ac:dyDescent="0.3">
      <c r="A788" s="2" t="s">
        <v>786</v>
      </c>
      <c r="B788" s="2" t="s">
        <v>12045</v>
      </c>
      <c r="C788" s="2">
        <v>46</v>
      </c>
      <c r="D788" s="2" t="s">
        <v>12041</v>
      </c>
      <c r="E788" s="2">
        <f>COUNTIF(Table16[customer_id],Table13[[#This Row],[customer_id]])</f>
        <v>1</v>
      </c>
      <c r="F788" s="13">
        <f>SUMIFS(Table16[Purchase_history],Table16[customer_id],Table13[[#This Row],[customer_id]])</f>
        <v>5.23</v>
      </c>
      <c r="G788" s="20">
        <v>44700</v>
      </c>
      <c r="H788" s="21">
        <v>44700</v>
      </c>
      <c r="I788" s="15">
        <f>(Table134[[#This Row],[Last_Day]]-Table134[[#This Row],[First_Day]]+1)/365</f>
        <v>2.7397260273972603E-3</v>
      </c>
      <c r="J788" s="59">
        <f>Table134[[#This Row],[number_of_purchases]]/Table134[[#This Row],[customer_total_years]]</f>
        <v>365</v>
      </c>
      <c r="K788" s="13">
        <f>Table134[[#This Row],[purchase_history]]/Table134[[#This Row],[number_of_purchases]]</f>
        <v>5.23</v>
      </c>
      <c r="L788" s="2">
        <f>IF(YEAR(Table134[[#This Row],[Last_Day]])=2021,5,IF(YEAR(Table134[[#This Row],[Last_Day]])=2022,7,IF(YEAR(Table134[[#This Row],[Last_Day]])=2023,10,"Không xác định")))</f>
        <v>7</v>
      </c>
      <c r="M788" s="15">
        <f>Table134[[#This Row],[avg_number_of_purchases]]*Table1345[[#This Row],[avg_purchase_value]]*Table1345[[#This Row],[expected_lifespan]]</f>
        <v>13362.65</v>
      </c>
      <c r="N788" t="s">
        <v>12042</v>
      </c>
    </row>
    <row r="789" spans="1:14" x14ac:dyDescent="0.3">
      <c r="A789" s="2" t="s">
        <v>787</v>
      </c>
      <c r="B789" s="2" t="s">
        <v>12040</v>
      </c>
      <c r="C789" s="2">
        <v>23</v>
      </c>
      <c r="D789" s="2" t="s">
        <v>12043</v>
      </c>
      <c r="E789" s="2">
        <f>COUNTIF(Table16[customer_id],Table13[[#This Row],[customer_id]])</f>
        <v>5</v>
      </c>
      <c r="F789" s="13">
        <f>SUMIFS(Table16[Purchase_history],Table16[customer_id],Table13[[#This Row],[customer_id]])</f>
        <v>3651.23</v>
      </c>
      <c r="G789" s="20">
        <v>44415</v>
      </c>
      <c r="H789" s="21">
        <v>44841</v>
      </c>
      <c r="I789" s="15">
        <f>(Table134[[#This Row],[Last_Day]]-Table134[[#This Row],[First_Day]]+1)/365</f>
        <v>1.1698630136986301</v>
      </c>
      <c r="J789" s="59">
        <f>Table134[[#This Row],[number_of_purchases]]/Table134[[#This Row],[customer_total_years]]</f>
        <v>4.2740046838407499</v>
      </c>
      <c r="K789" s="13">
        <f>Table134[[#This Row],[purchase_history]]/Table134[[#This Row],[number_of_purchases]]</f>
        <v>730.24599999999998</v>
      </c>
      <c r="L789" s="2">
        <f>IF(YEAR(Table134[[#This Row],[Last_Day]])=2021,5,IF(YEAR(Table134[[#This Row],[Last_Day]])=2022,7,IF(YEAR(Table134[[#This Row],[Last_Day]])=2023,10,"Không xác định")))</f>
        <v>7</v>
      </c>
      <c r="M789" s="15">
        <f>Table134[[#This Row],[avg_number_of_purchases]]*Table1345[[#This Row],[avg_purchase_value]]*Table1345[[#This Row],[expected_lifespan]]</f>
        <v>21847.523770491807</v>
      </c>
      <c r="N789" t="s">
        <v>12047</v>
      </c>
    </row>
    <row r="790" spans="1:14" x14ac:dyDescent="0.3">
      <c r="A790" s="2" t="s">
        <v>788</v>
      </c>
      <c r="B790" s="2" t="s">
        <v>12040</v>
      </c>
      <c r="C790" s="2">
        <v>67</v>
      </c>
      <c r="D790" s="2" t="s">
        <v>12043</v>
      </c>
      <c r="E790" s="2">
        <f>COUNTIF(Table16[customer_id],Table13[[#This Row],[customer_id]])</f>
        <v>4</v>
      </c>
      <c r="F790" s="13">
        <f>SUMIFS(Table16[Purchase_history],Table16[customer_id],Table13[[#This Row],[customer_id]])</f>
        <v>9244.7999999999993</v>
      </c>
      <c r="G790" s="20">
        <v>44200</v>
      </c>
      <c r="H790" s="21">
        <v>44519</v>
      </c>
      <c r="I790" s="15">
        <f>(Table134[[#This Row],[Last_Day]]-Table134[[#This Row],[First_Day]]+1)/365</f>
        <v>0.87671232876712324</v>
      </c>
      <c r="J790" s="59">
        <f>Table134[[#This Row],[number_of_purchases]]/Table134[[#This Row],[customer_total_years]]</f>
        <v>4.5625</v>
      </c>
      <c r="K790" s="13">
        <f>Table134[[#This Row],[purchase_history]]/Table134[[#This Row],[number_of_purchases]]</f>
        <v>2311.1999999999998</v>
      </c>
      <c r="L790" s="2">
        <f>IF(YEAR(Table134[[#This Row],[Last_Day]])=2021,5,IF(YEAR(Table134[[#This Row],[Last_Day]])=2022,7,IF(YEAR(Table134[[#This Row],[Last_Day]])=2023,10,"Không xác định")))</f>
        <v>5</v>
      </c>
      <c r="M790" s="15">
        <f>Table134[[#This Row],[avg_number_of_purchases]]*Table1345[[#This Row],[avg_purchase_value]]*Table1345[[#This Row],[expected_lifespan]]</f>
        <v>52724.249999999993</v>
      </c>
      <c r="N790" t="s">
        <v>12044</v>
      </c>
    </row>
    <row r="791" spans="1:14" x14ac:dyDescent="0.3">
      <c r="A791" s="2" t="s">
        <v>789</v>
      </c>
      <c r="B791" s="2" t="s">
        <v>12040</v>
      </c>
      <c r="C791" s="2">
        <v>29</v>
      </c>
      <c r="D791" s="2" t="s">
        <v>12049</v>
      </c>
      <c r="E791" s="2">
        <f>COUNTIF(Table16[customer_id],Table13[[#This Row],[customer_id]])</f>
        <v>4</v>
      </c>
      <c r="F791" s="13">
        <f>SUMIFS(Table16[Purchase_history],Table16[customer_id],Table13[[#This Row],[customer_id]])</f>
        <v>4087.36</v>
      </c>
      <c r="G791" s="20">
        <v>44227</v>
      </c>
      <c r="H791" s="21">
        <v>44991</v>
      </c>
      <c r="I791" s="15">
        <f>(Table134[[#This Row],[Last_Day]]-Table134[[#This Row],[First_Day]]+1)/365</f>
        <v>2.095890410958904</v>
      </c>
      <c r="J791" s="59">
        <f>Table134[[#This Row],[number_of_purchases]]/Table134[[#This Row],[customer_total_years]]</f>
        <v>1.9084967320261439</v>
      </c>
      <c r="K791" s="13">
        <f>Table134[[#This Row],[purchase_history]]/Table134[[#This Row],[number_of_purchases]]</f>
        <v>1021.84</v>
      </c>
      <c r="L791" s="2">
        <f>IF(YEAR(Table134[[#This Row],[Last_Day]])=2021,5,IF(YEAR(Table134[[#This Row],[Last_Day]])=2022,7,IF(YEAR(Table134[[#This Row],[Last_Day]])=2023,10,"Không xác định")))</f>
        <v>10</v>
      </c>
      <c r="M791" s="15">
        <f>Table134[[#This Row],[avg_number_of_purchases]]*Table1345[[#This Row],[avg_purchase_value]]*Table1345[[#This Row],[expected_lifespan]]</f>
        <v>19501.783006535949</v>
      </c>
      <c r="N791" t="s">
        <v>12044</v>
      </c>
    </row>
    <row r="792" spans="1:14" x14ac:dyDescent="0.3">
      <c r="A792" s="2" t="s">
        <v>790</v>
      </c>
      <c r="B792" s="2" t="s">
        <v>12040</v>
      </c>
      <c r="C792" s="2">
        <v>41</v>
      </c>
      <c r="D792" s="2" t="s">
        <v>12049</v>
      </c>
      <c r="E792" s="2">
        <f>COUNTIF(Table16[customer_id],Table13[[#This Row],[customer_id]])</f>
        <v>6</v>
      </c>
      <c r="F792" s="13">
        <f>SUMIFS(Table16[Purchase_history],Table16[customer_id],Table13[[#This Row],[customer_id]])</f>
        <v>2068.58</v>
      </c>
      <c r="G792" s="20">
        <v>44318</v>
      </c>
      <c r="H792" s="21">
        <v>44901</v>
      </c>
      <c r="I792" s="15">
        <f>(Table134[[#This Row],[Last_Day]]-Table134[[#This Row],[First_Day]]+1)/365</f>
        <v>1.6</v>
      </c>
      <c r="J792" s="59">
        <f>Table134[[#This Row],[number_of_purchases]]/Table134[[#This Row],[customer_total_years]]</f>
        <v>3.75</v>
      </c>
      <c r="K792" s="13">
        <f>Table134[[#This Row],[purchase_history]]/Table134[[#This Row],[number_of_purchases]]</f>
        <v>344.76333333333332</v>
      </c>
      <c r="L792" s="2">
        <f>IF(YEAR(Table134[[#This Row],[Last_Day]])=2021,5,IF(YEAR(Table134[[#This Row],[Last_Day]])=2022,7,IF(YEAR(Table134[[#This Row],[Last_Day]])=2023,10,"Không xác định")))</f>
        <v>7</v>
      </c>
      <c r="M792" s="15">
        <f>Table134[[#This Row],[avg_number_of_purchases]]*Table1345[[#This Row],[avg_purchase_value]]*Table1345[[#This Row],[expected_lifespan]]</f>
        <v>9050.0375000000004</v>
      </c>
      <c r="N792" t="s">
        <v>12046</v>
      </c>
    </row>
    <row r="793" spans="1:14" x14ac:dyDescent="0.3">
      <c r="A793" s="2" t="s">
        <v>791</v>
      </c>
      <c r="B793" s="2" t="s">
        <v>12045</v>
      </c>
      <c r="C793" s="2">
        <v>66</v>
      </c>
      <c r="D793" s="2" t="s">
        <v>12043</v>
      </c>
      <c r="E793" s="2">
        <f>COUNTIF(Table16[customer_id],Table13[[#This Row],[customer_id]])</f>
        <v>4</v>
      </c>
      <c r="F793" s="13">
        <f>SUMIFS(Table16[Purchase_history],Table16[customer_id],Table13[[#This Row],[customer_id]])</f>
        <v>1304.9399999999998</v>
      </c>
      <c r="G793" s="20">
        <v>44510</v>
      </c>
      <c r="H793" s="21">
        <v>44645</v>
      </c>
      <c r="I793" s="15">
        <f>(Table134[[#This Row],[Last_Day]]-Table134[[#This Row],[First_Day]]+1)/365</f>
        <v>0.37260273972602742</v>
      </c>
      <c r="J793" s="59">
        <f>Table134[[#This Row],[number_of_purchases]]/Table134[[#This Row],[customer_total_years]]</f>
        <v>10.735294117647058</v>
      </c>
      <c r="K793" s="13">
        <f>Table134[[#This Row],[purchase_history]]/Table134[[#This Row],[number_of_purchases]]</f>
        <v>326.23499999999996</v>
      </c>
      <c r="L793" s="2">
        <f>IF(YEAR(Table134[[#This Row],[Last_Day]])=2021,5,IF(YEAR(Table134[[#This Row],[Last_Day]])=2022,7,IF(YEAR(Table134[[#This Row],[Last_Day]])=2023,10,"Không xác định")))</f>
        <v>7</v>
      </c>
      <c r="M793" s="15">
        <f>Table134[[#This Row],[avg_number_of_purchases]]*Table1345[[#This Row],[avg_purchase_value]]*Table1345[[#This Row],[expected_lifespan]]</f>
        <v>24515.600735294112</v>
      </c>
      <c r="N793" t="s">
        <v>12042</v>
      </c>
    </row>
    <row r="794" spans="1:14" x14ac:dyDescent="0.3">
      <c r="A794" s="2" t="s">
        <v>792</v>
      </c>
      <c r="B794" s="2" t="s">
        <v>12040</v>
      </c>
      <c r="C794" s="2">
        <v>68</v>
      </c>
      <c r="D794" s="2" t="s">
        <v>12049</v>
      </c>
      <c r="E794" s="2">
        <f>COUNTIF(Table16[customer_id],Table13[[#This Row],[customer_id]])</f>
        <v>7</v>
      </c>
      <c r="F794" s="13">
        <f>SUMIFS(Table16[Purchase_history],Table16[customer_id],Table13[[#This Row],[customer_id]])</f>
        <v>25548.71</v>
      </c>
      <c r="G794" s="20">
        <v>44342</v>
      </c>
      <c r="H794" s="21">
        <v>44978</v>
      </c>
      <c r="I794" s="15">
        <f>(Table134[[#This Row],[Last_Day]]-Table134[[#This Row],[First_Day]]+1)/365</f>
        <v>1.7452054794520548</v>
      </c>
      <c r="J794" s="59">
        <f>Table134[[#This Row],[number_of_purchases]]/Table134[[#This Row],[customer_total_years]]</f>
        <v>4.0109890109890109</v>
      </c>
      <c r="K794" s="13">
        <f>Table134[[#This Row],[purchase_history]]/Table134[[#This Row],[number_of_purchases]]</f>
        <v>3649.815714285714</v>
      </c>
      <c r="L794" s="2">
        <f>IF(YEAR(Table134[[#This Row],[Last_Day]])=2021,5,IF(YEAR(Table134[[#This Row],[Last_Day]])=2022,7,IF(YEAR(Table134[[#This Row],[Last_Day]])=2023,10,"Không xác định")))</f>
        <v>10</v>
      </c>
      <c r="M794" s="15">
        <f>Table134[[#This Row],[avg_number_of_purchases]]*Table1345[[#This Row],[avg_purchase_value]]*Table1345[[#This Row],[expected_lifespan]]</f>
        <v>146393.70722135008</v>
      </c>
      <c r="N794" t="s">
        <v>12048</v>
      </c>
    </row>
    <row r="795" spans="1:14" x14ac:dyDescent="0.3">
      <c r="A795" s="2" t="s">
        <v>793</v>
      </c>
      <c r="B795" s="2" t="s">
        <v>12045</v>
      </c>
      <c r="C795" s="2">
        <v>52</v>
      </c>
      <c r="D795" s="2" t="s">
        <v>12043</v>
      </c>
      <c r="E795" s="2">
        <f>COUNTIF(Table16[customer_id],Table13[[#This Row],[customer_id]])</f>
        <v>7</v>
      </c>
      <c r="F795" s="13">
        <f>SUMIFS(Table16[Purchase_history],Table16[customer_id],Table13[[#This Row],[customer_id]])</f>
        <v>9420.86</v>
      </c>
      <c r="G795" s="20">
        <v>44231</v>
      </c>
      <c r="H795" s="21">
        <v>44923</v>
      </c>
      <c r="I795" s="15">
        <f>(Table134[[#This Row],[Last_Day]]-Table134[[#This Row],[First_Day]]+1)/365</f>
        <v>1.8986301369863015</v>
      </c>
      <c r="J795" s="59">
        <f>Table134[[#This Row],[number_of_purchases]]/Table134[[#This Row],[customer_total_years]]</f>
        <v>3.6868686868686869</v>
      </c>
      <c r="K795" s="13">
        <f>Table134[[#This Row],[purchase_history]]/Table134[[#This Row],[number_of_purchases]]</f>
        <v>1345.8371428571429</v>
      </c>
      <c r="L795" s="2">
        <f>IF(YEAR(Table134[[#This Row],[Last_Day]])=2021,5,IF(YEAR(Table134[[#This Row],[Last_Day]])=2022,7,IF(YEAR(Table134[[#This Row],[Last_Day]])=2023,10,"Không xác định")))</f>
        <v>7</v>
      </c>
      <c r="M795" s="15">
        <f>Table134[[#This Row],[avg_number_of_purchases]]*Table1345[[#This Row],[avg_purchase_value]]*Table1345[[#This Row],[expected_lifespan]]</f>
        <v>34733.473737373737</v>
      </c>
      <c r="N795" t="s">
        <v>12048</v>
      </c>
    </row>
    <row r="796" spans="1:14" x14ac:dyDescent="0.3">
      <c r="A796" s="2" t="s">
        <v>794</v>
      </c>
      <c r="B796" s="2" t="s">
        <v>12040</v>
      </c>
      <c r="C796" s="2">
        <v>42</v>
      </c>
      <c r="D796" s="2" t="s">
        <v>12041</v>
      </c>
      <c r="E796" s="2">
        <f>COUNTIF(Table16[customer_id],Table13[[#This Row],[customer_id]])</f>
        <v>3</v>
      </c>
      <c r="F796" s="13">
        <f>SUMIFS(Table16[Purchase_history],Table16[customer_id],Table13[[#This Row],[customer_id]])</f>
        <v>12324.199999999999</v>
      </c>
      <c r="G796" s="20">
        <v>44785</v>
      </c>
      <c r="H796" s="21">
        <v>44965</v>
      </c>
      <c r="I796" s="15">
        <f>(Table134[[#This Row],[Last_Day]]-Table134[[#This Row],[First_Day]]+1)/365</f>
        <v>0.49589041095890413</v>
      </c>
      <c r="J796" s="59">
        <f>Table134[[#This Row],[number_of_purchases]]/Table134[[#This Row],[customer_total_years]]</f>
        <v>6.0497237569060776</v>
      </c>
      <c r="K796" s="13">
        <f>Table134[[#This Row],[purchase_history]]/Table134[[#This Row],[number_of_purchases]]</f>
        <v>4108.0666666666666</v>
      </c>
      <c r="L796" s="2">
        <f>IF(YEAR(Table134[[#This Row],[Last_Day]])=2021,5,IF(YEAR(Table134[[#This Row],[Last_Day]])=2022,7,IF(YEAR(Table134[[#This Row],[Last_Day]])=2023,10,"Không xác định")))</f>
        <v>10</v>
      </c>
      <c r="M796" s="15">
        <f>Table134[[#This Row],[avg_number_of_purchases]]*Table1345[[#This Row],[avg_purchase_value]]*Table1345[[#This Row],[expected_lifespan]]</f>
        <v>248526.68508287292</v>
      </c>
      <c r="N796" t="s">
        <v>12042</v>
      </c>
    </row>
    <row r="797" spans="1:14" x14ac:dyDescent="0.3">
      <c r="A797" s="2" t="s">
        <v>795</v>
      </c>
      <c r="B797" s="2" t="s">
        <v>12040</v>
      </c>
      <c r="C797" s="2">
        <v>27</v>
      </c>
      <c r="D797" s="2" t="s">
        <v>12043</v>
      </c>
      <c r="E797" s="2">
        <f>COUNTIF(Table16[customer_id],Table13[[#This Row],[customer_id]])</f>
        <v>2</v>
      </c>
      <c r="F797" s="13">
        <f>SUMIFS(Table16[Purchase_history],Table16[customer_id],Table13[[#This Row],[customer_id]])</f>
        <v>75.75</v>
      </c>
      <c r="G797" s="20">
        <v>44687</v>
      </c>
      <c r="H797" s="21">
        <v>44877</v>
      </c>
      <c r="I797" s="15">
        <f>(Table134[[#This Row],[Last_Day]]-Table134[[#This Row],[First_Day]]+1)/365</f>
        <v>0.52328767123287667</v>
      </c>
      <c r="J797" s="59">
        <f>Table134[[#This Row],[number_of_purchases]]/Table134[[#This Row],[customer_total_years]]</f>
        <v>3.8219895287958119</v>
      </c>
      <c r="K797" s="13">
        <f>Table134[[#This Row],[purchase_history]]/Table134[[#This Row],[number_of_purchases]]</f>
        <v>37.875</v>
      </c>
      <c r="L797" s="2">
        <f>IF(YEAR(Table134[[#This Row],[Last_Day]])=2021,5,IF(YEAR(Table134[[#This Row],[Last_Day]])=2022,7,IF(YEAR(Table134[[#This Row],[Last_Day]])=2023,10,"Không xác định")))</f>
        <v>7</v>
      </c>
      <c r="M797" s="15">
        <f>Table134[[#This Row],[avg_number_of_purchases]]*Table1345[[#This Row],[avg_purchase_value]]*Table1345[[#This Row],[expected_lifespan]]</f>
        <v>1013.3049738219897</v>
      </c>
      <c r="N797" t="s">
        <v>12044</v>
      </c>
    </row>
    <row r="798" spans="1:14" x14ac:dyDescent="0.3">
      <c r="A798" s="2" t="s">
        <v>796</v>
      </c>
      <c r="B798" s="2" t="s">
        <v>12045</v>
      </c>
      <c r="C798" s="2">
        <v>61</v>
      </c>
      <c r="D798" s="2" t="s">
        <v>12043</v>
      </c>
      <c r="E798" s="2">
        <f>COUNTIF(Table16[customer_id],Table13[[#This Row],[customer_id]])</f>
        <v>4</v>
      </c>
      <c r="F798" s="13">
        <f>SUMIFS(Table16[Purchase_history],Table16[customer_id],Table13[[#This Row],[customer_id]])</f>
        <v>1712.1299999999999</v>
      </c>
      <c r="G798" s="20">
        <v>44591</v>
      </c>
      <c r="H798" s="21">
        <v>44748</v>
      </c>
      <c r="I798" s="15">
        <f>(Table134[[#This Row],[Last_Day]]-Table134[[#This Row],[First_Day]]+1)/365</f>
        <v>0.43287671232876712</v>
      </c>
      <c r="J798" s="59">
        <f>Table134[[#This Row],[number_of_purchases]]/Table134[[#This Row],[customer_total_years]]</f>
        <v>9.2405063291139236</v>
      </c>
      <c r="K798" s="13">
        <f>Table134[[#This Row],[purchase_history]]/Table134[[#This Row],[number_of_purchases]]</f>
        <v>428.03249999999997</v>
      </c>
      <c r="L798" s="2">
        <f>IF(YEAR(Table134[[#This Row],[Last_Day]])=2021,5,IF(YEAR(Table134[[#This Row],[Last_Day]])=2022,7,IF(YEAR(Table134[[#This Row],[Last_Day]])=2023,10,"Không xác định")))</f>
        <v>7</v>
      </c>
      <c r="M798" s="15">
        <f>Table134[[#This Row],[avg_number_of_purchases]]*Table1345[[#This Row],[avg_purchase_value]]*Table1345[[#This Row],[expected_lifespan]]</f>
        <v>27686.659177215188</v>
      </c>
      <c r="N798" t="s">
        <v>12048</v>
      </c>
    </row>
    <row r="799" spans="1:14" x14ac:dyDescent="0.3">
      <c r="A799" s="2" t="s">
        <v>797</v>
      </c>
      <c r="B799" s="2" t="s">
        <v>12040</v>
      </c>
      <c r="C799" s="2">
        <v>67</v>
      </c>
      <c r="D799" s="2" t="s">
        <v>12049</v>
      </c>
      <c r="E799" s="2">
        <f>COUNTIF(Table16[customer_id],Table13[[#This Row],[customer_id]])</f>
        <v>8</v>
      </c>
      <c r="F799" s="13">
        <f>SUMIFS(Table16[Purchase_history],Table16[customer_id],Table13[[#This Row],[customer_id]])</f>
        <v>11575.16</v>
      </c>
      <c r="G799" s="20">
        <v>44232</v>
      </c>
      <c r="H799" s="21">
        <v>44964</v>
      </c>
      <c r="I799" s="15">
        <f>(Table134[[#This Row],[Last_Day]]-Table134[[#This Row],[First_Day]]+1)/365</f>
        <v>2.0082191780821916</v>
      </c>
      <c r="J799" s="59">
        <f>Table134[[#This Row],[number_of_purchases]]/Table134[[#This Row],[customer_total_years]]</f>
        <v>3.9836289222373811</v>
      </c>
      <c r="K799" s="13">
        <f>Table134[[#This Row],[purchase_history]]/Table134[[#This Row],[number_of_purchases]]</f>
        <v>1446.895</v>
      </c>
      <c r="L799" s="2">
        <f>IF(YEAR(Table134[[#This Row],[Last_Day]])=2021,5,IF(YEAR(Table134[[#This Row],[Last_Day]])=2022,7,IF(YEAR(Table134[[#This Row],[Last_Day]])=2023,10,"Không xác định")))</f>
        <v>10</v>
      </c>
      <c r="M799" s="15">
        <f>Table134[[#This Row],[avg_number_of_purchases]]*Table1345[[#This Row],[avg_purchase_value]]*Table1345[[#This Row],[expected_lifespan]]</f>
        <v>57638.927694406557</v>
      </c>
      <c r="N799" t="s">
        <v>12047</v>
      </c>
    </row>
    <row r="800" spans="1:14" x14ac:dyDescent="0.3">
      <c r="A800" s="2" t="s">
        <v>798</v>
      </c>
      <c r="B800" s="2" t="s">
        <v>12040</v>
      </c>
      <c r="C800" s="2">
        <v>60</v>
      </c>
      <c r="D800" s="2" t="s">
        <v>12041</v>
      </c>
      <c r="E800" s="2">
        <f>COUNTIF(Table16[customer_id],Table13[[#This Row],[customer_id]])</f>
        <v>2</v>
      </c>
      <c r="F800" s="13">
        <f>SUMIFS(Table16[Purchase_history],Table16[customer_id],Table13[[#This Row],[customer_id]])</f>
        <v>1316.58</v>
      </c>
      <c r="G800" s="20">
        <v>44315</v>
      </c>
      <c r="H800" s="21">
        <v>44912</v>
      </c>
      <c r="I800" s="15">
        <f>(Table134[[#This Row],[Last_Day]]-Table134[[#This Row],[First_Day]]+1)/365</f>
        <v>1.6383561643835616</v>
      </c>
      <c r="J800" s="59">
        <f>Table134[[#This Row],[number_of_purchases]]/Table134[[#This Row],[customer_total_years]]</f>
        <v>1.2207357859531773</v>
      </c>
      <c r="K800" s="13">
        <f>Table134[[#This Row],[purchase_history]]/Table134[[#This Row],[number_of_purchases]]</f>
        <v>658.29</v>
      </c>
      <c r="L800" s="2">
        <f>IF(YEAR(Table134[[#This Row],[Last_Day]])=2021,5,IF(YEAR(Table134[[#This Row],[Last_Day]])=2022,7,IF(YEAR(Table134[[#This Row],[Last_Day]])=2023,10,"Không xác định")))</f>
        <v>7</v>
      </c>
      <c r="M800" s="15">
        <f>Table134[[#This Row],[avg_number_of_purchases]]*Table1345[[#This Row],[avg_purchase_value]]*Table1345[[#This Row],[expected_lifespan]]</f>
        <v>5625.187123745819</v>
      </c>
      <c r="N800" t="s">
        <v>12044</v>
      </c>
    </row>
    <row r="801" spans="1:14" x14ac:dyDescent="0.3">
      <c r="A801" s="2" t="s">
        <v>799</v>
      </c>
      <c r="B801" s="2" t="s">
        <v>12040</v>
      </c>
      <c r="C801" s="2">
        <v>28</v>
      </c>
      <c r="D801" s="2" t="s">
        <v>12043</v>
      </c>
      <c r="E801" s="2">
        <f>COUNTIF(Table16[customer_id],Table13[[#This Row],[customer_id]])</f>
        <v>5</v>
      </c>
      <c r="F801" s="13">
        <f>SUMIFS(Table16[Purchase_history],Table16[customer_id],Table13[[#This Row],[customer_id]])</f>
        <v>7533.6</v>
      </c>
      <c r="G801" s="20">
        <v>44294</v>
      </c>
      <c r="H801" s="21">
        <v>44974</v>
      </c>
      <c r="I801" s="15">
        <f>(Table134[[#This Row],[Last_Day]]-Table134[[#This Row],[First_Day]]+1)/365</f>
        <v>1.8657534246575342</v>
      </c>
      <c r="J801" s="59">
        <f>Table134[[#This Row],[number_of_purchases]]/Table134[[#This Row],[customer_total_years]]</f>
        <v>2.6798825256975038</v>
      </c>
      <c r="K801" s="13">
        <f>Table134[[#This Row],[purchase_history]]/Table134[[#This Row],[number_of_purchases]]</f>
        <v>1506.72</v>
      </c>
      <c r="L801" s="2">
        <f>IF(YEAR(Table134[[#This Row],[Last_Day]])=2021,5,IF(YEAR(Table134[[#This Row],[Last_Day]])=2022,7,IF(YEAR(Table134[[#This Row],[Last_Day]])=2023,10,"Không xác định")))</f>
        <v>10</v>
      </c>
      <c r="M801" s="15">
        <f>Table134[[#This Row],[avg_number_of_purchases]]*Table1345[[#This Row],[avg_purchase_value]]*Table1345[[#This Row],[expected_lifespan]]</f>
        <v>40378.325991189427</v>
      </c>
      <c r="N801" t="s">
        <v>12046</v>
      </c>
    </row>
    <row r="802" spans="1:14" x14ac:dyDescent="0.3">
      <c r="A802" s="2" t="s">
        <v>800</v>
      </c>
      <c r="B802" s="2" t="s">
        <v>12045</v>
      </c>
      <c r="C802" s="2">
        <v>18</v>
      </c>
      <c r="D802" s="2" t="s">
        <v>12041</v>
      </c>
      <c r="E802" s="2">
        <f>COUNTIF(Table16[customer_id],Table13[[#This Row],[customer_id]])</f>
        <v>4</v>
      </c>
      <c r="F802" s="13">
        <f>SUMIFS(Table16[Purchase_history],Table16[customer_id],Table13[[#This Row],[customer_id]])</f>
        <v>9977.1200000000008</v>
      </c>
      <c r="G802" s="20">
        <v>44279</v>
      </c>
      <c r="H802" s="21">
        <v>44773</v>
      </c>
      <c r="I802" s="15">
        <f>(Table134[[#This Row],[Last_Day]]-Table134[[#This Row],[First_Day]]+1)/365</f>
        <v>1.3561643835616439</v>
      </c>
      <c r="J802" s="59">
        <f>Table134[[#This Row],[number_of_purchases]]/Table134[[#This Row],[customer_total_years]]</f>
        <v>2.9494949494949494</v>
      </c>
      <c r="K802" s="13">
        <f>Table134[[#This Row],[purchase_history]]/Table134[[#This Row],[number_of_purchases]]</f>
        <v>2494.2800000000002</v>
      </c>
      <c r="L802" s="2">
        <f>IF(YEAR(Table134[[#This Row],[Last_Day]])=2021,5,IF(YEAR(Table134[[#This Row],[Last_Day]])=2022,7,IF(YEAR(Table134[[#This Row],[Last_Day]])=2023,10,"Không xác định")))</f>
        <v>7</v>
      </c>
      <c r="M802" s="15">
        <f>Table134[[#This Row],[avg_number_of_purchases]]*Table1345[[#This Row],[avg_purchase_value]]*Table1345[[#This Row],[expected_lifespan]]</f>
        <v>51498.063838383838</v>
      </c>
      <c r="N802" t="s">
        <v>12047</v>
      </c>
    </row>
    <row r="803" spans="1:14" x14ac:dyDescent="0.3">
      <c r="A803" s="2" t="s">
        <v>801</v>
      </c>
      <c r="B803" s="2" t="s">
        <v>12040</v>
      </c>
      <c r="C803" s="2">
        <v>69</v>
      </c>
      <c r="D803" s="2" t="s">
        <v>12043</v>
      </c>
      <c r="E803" s="2">
        <f>COUNTIF(Table16[customer_id],Table13[[#This Row],[customer_id]])</f>
        <v>7</v>
      </c>
      <c r="F803" s="13">
        <f>SUMIFS(Table16[Purchase_history],Table16[customer_id],Table13[[#This Row],[customer_id]])</f>
        <v>30630.520000000004</v>
      </c>
      <c r="G803" s="20">
        <v>44312</v>
      </c>
      <c r="H803" s="21">
        <v>44983</v>
      </c>
      <c r="I803" s="15">
        <f>(Table134[[#This Row],[Last_Day]]-Table134[[#This Row],[First_Day]]+1)/365</f>
        <v>1.8410958904109589</v>
      </c>
      <c r="J803" s="59">
        <f>Table134[[#This Row],[number_of_purchases]]/Table134[[#This Row],[customer_total_years]]</f>
        <v>3.8020833333333335</v>
      </c>
      <c r="K803" s="13">
        <f>Table134[[#This Row],[purchase_history]]/Table134[[#This Row],[number_of_purchases]]</f>
        <v>4375.7885714285721</v>
      </c>
      <c r="L803" s="2">
        <f>IF(YEAR(Table134[[#This Row],[Last_Day]])=2021,5,IF(YEAR(Table134[[#This Row],[Last_Day]])=2022,7,IF(YEAR(Table134[[#This Row],[Last_Day]])=2023,10,"Không xác định")))</f>
        <v>10</v>
      </c>
      <c r="M803" s="15">
        <f>Table134[[#This Row],[avg_number_of_purchases]]*Table1345[[#This Row],[avg_purchase_value]]*Table1345[[#This Row],[expected_lifespan]]</f>
        <v>166371.1279761905</v>
      </c>
      <c r="N803" t="s">
        <v>12044</v>
      </c>
    </row>
    <row r="804" spans="1:14" x14ac:dyDescent="0.3">
      <c r="A804" s="2" t="s">
        <v>802</v>
      </c>
      <c r="B804" s="2" t="s">
        <v>12045</v>
      </c>
      <c r="C804" s="2">
        <v>21</v>
      </c>
      <c r="D804" s="2" t="s">
        <v>12049</v>
      </c>
      <c r="E804" s="2">
        <f>COUNTIF(Table16[customer_id],Table13[[#This Row],[customer_id]])</f>
        <v>5</v>
      </c>
      <c r="F804" s="13">
        <f>SUMIFS(Table16[Purchase_history],Table16[customer_id],Table13[[#This Row],[customer_id]])</f>
        <v>1748.79</v>
      </c>
      <c r="G804" s="20">
        <v>44343</v>
      </c>
      <c r="H804" s="21">
        <v>44775</v>
      </c>
      <c r="I804" s="15">
        <f>(Table134[[#This Row],[Last_Day]]-Table134[[#This Row],[First_Day]]+1)/365</f>
        <v>1.1863013698630136</v>
      </c>
      <c r="J804" s="59">
        <f>Table134[[#This Row],[number_of_purchases]]/Table134[[#This Row],[customer_total_years]]</f>
        <v>4.2147806004618937</v>
      </c>
      <c r="K804" s="13">
        <f>Table134[[#This Row],[purchase_history]]/Table134[[#This Row],[number_of_purchases]]</f>
        <v>349.75799999999998</v>
      </c>
      <c r="L804" s="2">
        <f>IF(YEAR(Table134[[#This Row],[Last_Day]])=2021,5,IF(YEAR(Table134[[#This Row],[Last_Day]])=2022,7,IF(YEAR(Table134[[#This Row],[Last_Day]])=2023,10,"Không xác định")))</f>
        <v>7</v>
      </c>
      <c r="M804" s="15">
        <f>Table134[[#This Row],[avg_number_of_purchases]]*Table1345[[#This Row],[avg_purchase_value]]*Table1345[[#This Row],[expected_lifespan]]</f>
        <v>10319.072632794456</v>
      </c>
      <c r="N804" t="s">
        <v>12042</v>
      </c>
    </row>
    <row r="805" spans="1:14" x14ac:dyDescent="0.3">
      <c r="A805" s="2" t="s">
        <v>803</v>
      </c>
      <c r="B805" s="2" t="s">
        <v>12040</v>
      </c>
      <c r="C805" s="2">
        <v>41</v>
      </c>
      <c r="D805" s="2" t="s">
        <v>12043</v>
      </c>
      <c r="E805" s="2">
        <f>COUNTIF(Table16[customer_id],Table13[[#This Row],[customer_id]])</f>
        <v>8</v>
      </c>
      <c r="F805" s="13">
        <f>SUMIFS(Table16[Purchase_history],Table16[customer_id],Table13[[#This Row],[customer_id]])</f>
        <v>13431.519999999999</v>
      </c>
      <c r="G805" s="20">
        <v>44224</v>
      </c>
      <c r="H805" s="21">
        <v>44604</v>
      </c>
      <c r="I805" s="15">
        <f>(Table134[[#This Row],[Last_Day]]-Table134[[#This Row],[First_Day]]+1)/365</f>
        <v>1.0438356164383562</v>
      </c>
      <c r="J805" s="59">
        <f>Table134[[#This Row],[number_of_purchases]]/Table134[[#This Row],[customer_total_years]]</f>
        <v>7.6640419947506562</v>
      </c>
      <c r="K805" s="13">
        <f>Table134[[#This Row],[purchase_history]]/Table134[[#This Row],[number_of_purchases]]</f>
        <v>1678.9399999999998</v>
      </c>
      <c r="L805" s="2">
        <f>IF(YEAR(Table134[[#This Row],[Last_Day]])=2021,5,IF(YEAR(Table134[[#This Row],[Last_Day]])=2022,7,IF(YEAR(Table134[[#This Row],[Last_Day]])=2023,10,"Không xác định")))</f>
        <v>7</v>
      </c>
      <c r="M805" s="15">
        <f>Table134[[#This Row],[avg_number_of_purchases]]*Table1345[[#This Row],[avg_purchase_value]]*Table1345[[#This Row],[expected_lifespan]]</f>
        <v>90072.266666666663</v>
      </c>
      <c r="N805" t="s">
        <v>12044</v>
      </c>
    </row>
    <row r="806" spans="1:14" x14ac:dyDescent="0.3">
      <c r="A806" s="2" t="s">
        <v>804</v>
      </c>
      <c r="B806" s="2" t="s">
        <v>12045</v>
      </c>
      <c r="C806" s="2">
        <v>26</v>
      </c>
      <c r="D806" s="2" t="s">
        <v>12041</v>
      </c>
      <c r="E806" s="2">
        <f>COUNTIF(Table16[customer_id],Table13[[#This Row],[customer_id]])</f>
        <v>8</v>
      </c>
      <c r="F806" s="13">
        <f>SUMIFS(Table16[Purchase_history],Table16[customer_id],Table13[[#This Row],[customer_id]])</f>
        <v>12717.31</v>
      </c>
      <c r="G806" s="20">
        <v>44345</v>
      </c>
      <c r="H806" s="21">
        <v>44989</v>
      </c>
      <c r="I806" s="15">
        <f>(Table134[[#This Row],[Last_Day]]-Table134[[#This Row],[First_Day]]+1)/365</f>
        <v>1.7671232876712328</v>
      </c>
      <c r="J806" s="59">
        <f>Table134[[#This Row],[number_of_purchases]]/Table134[[#This Row],[customer_total_years]]</f>
        <v>4.5271317829457365</v>
      </c>
      <c r="K806" s="13">
        <f>Table134[[#This Row],[purchase_history]]/Table134[[#This Row],[number_of_purchases]]</f>
        <v>1589.6637499999999</v>
      </c>
      <c r="L806" s="2">
        <f>IF(YEAR(Table134[[#This Row],[Last_Day]])=2021,5,IF(YEAR(Table134[[#This Row],[Last_Day]])=2022,7,IF(YEAR(Table134[[#This Row],[Last_Day]])=2023,10,"Không xác định")))</f>
        <v>10</v>
      </c>
      <c r="M806" s="15">
        <f>Table134[[#This Row],[avg_number_of_purchases]]*Table1345[[#This Row],[avg_purchase_value]]*Table1345[[#This Row],[expected_lifespan]]</f>
        <v>71966.172868217051</v>
      </c>
      <c r="N806" t="s">
        <v>12044</v>
      </c>
    </row>
    <row r="807" spans="1:14" x14ac:dyDescent="0.3">
      <c r="A807" s="2" t="s">
        <v>805</v>
      </c>
      <c r="B807" s="2" t="s">
        <v>12045</v>
      </c>
      <c r="C807" s="2">
        <v>30</v>
      </c>
      <c r="D807" s="2" t="s">
        <v>12043</v>
      </c>
      <c r="E807" s="2">
        <f>COUNTIF(Table16[customer_id],Table13[[#This Row],[customer_id]])</f>
        <v>3</v>
      </c>
      <c r="F807" s="13">
        <f>SUMIFS(Table16[Purchase_history],Table16[customer_id],Table13[[#This Row],[customer_id]])</f>
        <v>9902.64</v>
      </c>
      <c r="G807" s="20">
        <v>44321</v>
      </c>
      <c r="H807" s="21">
        <v>44592</v>
      </c>
      <c r="I807" s="15">
        <f>(Table134[[#This Row],[Last_Day]]-Table134[[#This Row],[First_Day]]+1)/365</f>
        <v>0.74520547945205484</v>
      </c>
      <c r="J807" s="59">
        <f>Table134[[#This Row],[number_of_purchases]]/Table134[[#This Row],[customer_total_years]]</f>
        <v>4.0257352941176467</v>
      </c>
      <c r="K807" s="13">
        <f>Table134[[#This Row],[purchase_history]]/Table134[[#This Row],[number_of_purchases]]</f>
        <v>3300.8799999999997</v>
      </c>
      <c r="L807" s="2">
        <f>IF(YEAR(Table134[[#This Row],[Last_Day]])=2021,5,IF(YEAR(Table134[[#This Row],[Last_Day]])=2022,7,IF(YEAR(Table134[[#This Row],[Last_Day]])=2023,10,"Không xác định")))</f>
        <v>7</v>
      </c>
      <c r="M807" s="15">
        <f>Table134[[#This Row],[avg_number_of_purchases]]*Table1345[[#This Row],[avg_purchase_value]]*Table1345[[#This Row],[expected_lifespan]]</f>
        <v>93019.283823529404</v>
      </c>
      <c r="N807" t="s">
        <v>12042</v>
      </c>
    </row>
    <row r="808" spans="1:14" x14ac:dyDescent="0.3">
      <c r="A808" s="2" t="s">
        <v>806</v>
      </c>
      <c r="B808" s="2" t="s">
        <v>12040</v>
      </c>
      <c r="C808" s="2">
        <v>61</v>
      </c>
      <c r="D808" s="2" t="s">
        <v>12043</v>
      </c>
      <c r="E808" s="2">
        <f>COUNTIF(Table16[customer_id],Table13[[#This Row],[customer_id]])</f>
        <v>4</v>
      </c>
      <c r="F808" s="13">
        <f>SUMIFS(Table16[Purchase_history],Table16[customer_id],Table13[[#This Row],[customer_id]])</f>
        <v>2446.0099999999998</v>
      </c>
      <c r="G808" s="20">
        <v>44431</v>
      </c>
      <c r="H808" s="21">
        <v>44982</v>
      </c>
      <c r="I808" s="15">
        <f>(Table134[[#This Row],[Last_Day]]-Table134[[#This Row],[First_Day]]+1)/365</f>
        <v>1.5123287671232877</v>
      </c>
      <c r="J808" s="59">
        <f>Table134[[#This Row],[number_of_purchases]]/Table134[[#This Row],[customer_total_years]]</f>
        <v>2.6449275362318843</v>
      </c>
      <c r="K808" s="13">
        <f>Table134[[#This Row],[purchase_history]]/Table134[[#This Row],[number_of_purchases]]</f>
        <v>611.50249999999994</v>
      </c>
      <c r="L808" s="2">
        <f>IF(YEAR(Table134[[#This Row],[Last_Day]])=2021,5,IF(YEAR(Table134[[#This Row],[Last_Day]])=2022,7,IF(YEAR(Table134[[#This Row],[Last_Day]])=2023,10,"Không xác định")))</f>
        <v>10</v>
      </c>
      <c r="M808" s="15">
        <f>Table134[[#This Row],[avg_number_of_purchases]]*Table1345[[#This Row],[avg_purchase_value]]*Table1345[[#This Row],[expected_lifespan]]</f>
        <v>16173.798007246376</v>
      </c>
      <c r="N808" t="s">
        <v>12044</v>
      </c>
    </row>
    <row r="809" spans="1:14" x14ac:dyDescent="0.3">
      <c r="A809" s="2" t="s">
        <v>807</v>
      </c>
      <c r="B809" s="2" t="s">
        <v>12045</v>
      </c>
      <c r="C809" s="2">
        <v>53</v>
      </c>
      <c r="D809" s="2" t="s">
        <v>12041</v>
      </c>
      <c r="E809" s="2">
        <f>COUNTIF(Table16[customer_id],Table13[[#This Row],[customer_id]])</f>
        <v>2</v>
      </c>
      <c r="F809" s="13">
        <f>SUMIFS(Table16[Purchase_history],Table16[customer_id],Table13[[#This Row],[customer_id]])</f>
        <v>5094.53</v>
      </c>
      <c r="G809" s="20">
        <v>44479</v>
      </c>
      <c r="H809" s="21">
        <v>44754</v>
      </c>
      <c r="I809" s="15">
        <f>(Table134[[#This Row],[Last_Day]]-Table134[[#This Row],[First_Day]]+1)/365</f>
        <v>0.75616438356164384</v>
      </c>
      <c r="J809" s="59">
        <f>Table134[[#This Row],[number_of_purchases]]/Table134[[#This Row],[customer_total_years]]</f>
        <v>2.6449275362318843</v>
      </c>
      <c r="K809" s="13">
        <f>Table134[[#This Row],[purchase_history]]/Table134[[#This Row],[number_of_purchases]]</f>
        <v>2547.2649999999999</v>
      </c>
      <c r="L809" s="2">
        <f>IF(YEAR(Table134[[#This Row],[Last_Day]])=2021,5,IF(YEAR(Table134[[#This Row],[Last_Day]])=2022,7,IF(YEAR(Table134[[#This Row],[Last_Day]])=2023,10,"Không xác định")))</f>
        <v>7</v>
      </c>
      <c r="M809" s="15">
        <f>Table134[[#This Row],[avg_number_of_purchases]]*Table1345[[#This Row],[avg_purchase_value]]*Table1345[[#This Row],[expected_lifespan]]</f>
        <v>47161.319384057977</v>
      </c>
      <c r="N809" t="s">
        <v>12042</v>
      </c>
    </row>
    <row r="810" spans="1:14" x14ac:dyDescent="0.3">
      <c r="A810" s="2" t="s">
        <v>808</v>
      </c>
      <c r="B810" s="2" t="s">
        <v>12040</v>
      </c>
      <c r="C810" s="2">
        <v>20</v>
      </c>
      <c r="D810" s="2" t="s">
        <v>12043</v>
      </c>
      <c r="E810" s="2">
        <f>COUNTIF(Table16[customer_id],Table13[[#This Row],[customer_id]])</f>
        <v>7</v>
      </c>
      <c r="F810" s="13">
        <f>SUMIFS(Table16[Purchase_history],Table16[customer_id],Table13[[#This Row],[customer_id]])</f>
        <v>11318.67</v>
      </c>
      <c r="G810" s="20">
        <v>44433</v>
      </c>
      <c r="H810" s="21">
        <v>44846</v>
      </c>
      <c r="I810" s="15">
        <f>(Table134[[#This Row],[Last_Day]]-Table134[[#This Row],[First_Day]]+1)/365</f>
        <v>1.1342465753424658</v>
      </c>
      <c r="J810" s="59">
        <f>Table134[[#This Row],[number_of_purchases]]/Table134[[#This Row],[customer_total_years]]</f>
        <v>6.1714975845410631</v>
      </c>
      <c r="K810" s="13">
        <f>Table134[[#This Row],[purchase_history]]/Table134[[#This Row],[number_of_purchases]]</f>
        <v>1616.9528571428571</v>
      </c>
      <c r="L810" s="2">
        <f>IF(YEAR(Table134[[#This Row],[Last_Day]])=2021,5,IF(YEAR(Table134[[#This Row],[Last_Day]])=2022,7,IF(YEAR(Table134[[#This Row],[Last_Day]])=2023,10,"Không xác định")))</f>
        <v>7</v>
      </c>
      <c r="M810" s="15">
        <f>Table134[[#This Row],[avg_number_of_purchases]]*Table1345[[#This Row],[avg_purchase_value]]*Table1345[[#This Row],[expected_lifespan]]</f>
        <v>69853.144565217386</v>
      </c>
      <c r="N810" t="s">
        <v>12046</v>
      </c>
    </row>
    <row r="811" spans="1:14" x14ac:dyDescent="0.3">
      <c r="A811" s="2" t="s">
        <v>809</v>
      </c>
      <c r="B811" s="2" t="s">
        <v>12040</v>
      </c>
      <c r="C811" s="2">
        <v>69</v>
      </c>
      <c r="D811" s="2" t="s">
        <v>12049</v>
      </c>
      <c r="E811" s="2">
        <f>COUNTIF(Table16[customer_id],Table13[[#This Row],[customer_id]])</f>
        <v>8</v>
      </c>
      <c r="F811" s="13">
        <f>SUMIFS(Table16[Purchase_history],Table16[customer_id],Table13[[#This Row],[customer_id]])</f>
        <v>25113.100000000002</v>
      </c>
      <c r="G811" s="20">
        <v>44355</v>
      </c>
      <c r="H811" s="21">
        <v>44847</v>
      </c>
      <c r="I811" s="15">
        <f>(Table134[[#This Row],[Last_Day]]-Table134[[#This Row],[First_Day]]+1)/365</f>
        <v>1.3506849315068492</v>
      </c>
      <c r="J811" s="59">
        <f>Table134[[#This Row],[number_of_purchases]]/Table134[[#This Row],[customer_total_years]]</f>
        <v>5.9229208924949299</v>
      </c>
      <c r="K811" s="13">
        <f>Table134[[#This Row],[purchase_history]]/Table134[[#This Row],[number_of_purchases]]</f>
        <v>3139.1375000000003</v>
      </c>
      <c r="L811" s="2">
        <f>IF(YEAR(Table134[[#This Row],[Last_Day]])=2021,5,IF(YEAR(Table134[[#This Row],[Last_Day]])=2022,7,IF(YEAR(Table134[[#This Row],[Last_Day]])=2023,10,"Không xác định")))</f>
        <v>7</v>
      </c>
      <c r="M811" s="15">
        <f>Table134[[#This Row],[avg_number_of_purchases]]*Table1345[[#This Row],[avg_purchase_value]]*Table1345[[#This Row],[expected_lifespan]]</f>
        <v>130150.04158215014</v>
      </c>
      <c r="N811" t="s">
        <v>12044</v>
      </c>
    </row>
    <row r="812" spans="1:14" x14ac:dyDescent="0.3">
      <c r="A812" s="2" t="s">
        <v>810</v>
      </c>
      <c r="B812" s="2" t="s">
        <v>12040</v>
      </c>
      <c r="C812" s="2">
        <v>48</v>
      </c>
      <c r="D812" s="2" t="s">
        <v>12041</v>
      </c>
      <c r="E812" s="2">
        <f>COUNTIF(Table16[customer_id],Table13[[#This Row],[customer_id]])</f>
        <v>4</v>
      </c>
      <c r="F812" s="13">
        <f>SUMIFS(Table16[Purchase_history],Table16[customer_id],Table13[[#This Row],[customer_id]])</f>
        <v>1744.56</v>
      </c>
      <c r="G812" s="20">
        <v>44412</v>
      </c>
      <c r="H812" s="21">
        <v>44546</v>
      </c>
      <c r="I812" s="15">
        <f>(Table134[[#This Row],[Last_Day]]-Table134[[#This Row],[First_Day]]+1)/365</f>
        <v>0.36986301369863012</v>
      </c>
      <c r="J812" s="59">
        <f>Table134[[#This Row],[number_of_purchases]]/Table134[[#This Row],[customer_total_years]]</f>
        <v>10.814814814814815</v>
      </c>
      <c r="K812" s="13">
        <f>Table134[[#This Row],[purchase_history]]/Table134[[#This Row],[number_of_purchases]]</f>
        <v>436.14</v>
      </c>
      <c r="L812" s="2">
        <f>IF(YEAR(Table134[[#This Row],[Last_Day]])=2021,5,IF(YEAR(Table134[[#This Row],[Last_Day]])=2022,7,IF(YEAR(Table134[[#This Row],[Last_Day]])=2023,10,"Không xác định")))</f>
        <v>5</v>
      </c>
      <c r="M812" s="15">
        <f>Table134[[#This Row],[avg_number_of_purchases]]*Table1345[[#This Row],[avg_purchase_value]]*Table1345[[#This Row],[expected_lifespan]]</f>
        <v>23583.866666666669</v>
      </c>
      <c r="N812" t="s">
        <v>12046</v>
      </c>
    </row>
    <row r="813" spans="1:14" x14ac:dyDescent="0.3">
      <c r="A813" s="2" t="s">
        <v>811</v>
      </c>
      <c r="B813" s="2" t="s">
        <v>12045</v>
      </c>
      <c r="C813" s="2">
        <v>49</v>
      </c>
      <c r="D813" s="2" t="s">
        <v>12049</v>
      </c>
      <c r="E813" s="2">
        <f>COUNTIF(Table16[customer_id],Table13[[#This Row],[customer_id]])</f>
        <v>3</v>
      </c>
      <c r="F813" s="13">
        <f>SUMIFS(Table16[Purchase_history],Table16[customer_id],Table13[[#This Row],[customer_id]])</f>
        <v>1047.67</v>
      </c>
      <c r="G813" s="20">
        <v>44240</v>
      </c>
      <c r="H813" s="21">
        <v>44616</v>
      </c>
      <c r="I813" s="15">
        <f>(Table134[[#This Row],[Last_Day]]-Table134[[#This Row],[First_Day]]+1)/365</f>
        <v>1.0328767123287672</v>
      </c>
      <c r="J813" s="59">
        <f>Table134[[#This Row],[number_of_purchases]]/Table134[[#This Row],[customer_total_years]]</f>
        <v>2.9045092838196283</v>
      </c>
      <c r="K813" s="13">
        <f>Table134[[#This Row],[purchase_history]]/Table134[[#This Row],[number_of_purchases]]</f>
        <v>349.22333333333336</v>
      </c>
      <c r="L813" s="2">
        <f>IF(YEAR(Table134[[#This Row],[Last_Day]])=2021,5,IF(YEAR(Table134[[#This Row],[Last_Day]])=2022,7,IF(YEAR(Table134[[#This Row],[Last_Day]])=2023,10,"Không xác định")))</f>
        <v>7</v>
      </c>
      <c r="M813" s="15">
        <f>Table134[[#This Row],[avg_number_of_purchases]]*Table1345[[#This Row],[avg_purchase_value]]*Table1345[[#This Row],[expected_lifespan]]</f>
        <v>7100.2568965517239</v>
      </c>
      <c r="N813" t="s">
        <v>12047</v>
      </c>
    </row>
    <row r="814" spans="1:14" x14ac:dyDescent="0.3">
      <c r="A814" s="2" t="s">
        <v>812</v>
      </c>
      <c r="B814" s="2" t="s">
        <v>12040</v>
      </c>
      <c r="C814" s="2">
        <v>40</v>
      </c>
      <c r="D814" s="2" t="s">
        <v>12043</v>
      </c>
      <c r="E814" s="2">
        <f>COUNTIF(Table16[customer_id],Table13[[#This Row],[customer_id]])</f>
        <v>2</v>
      </c>
      <c r="F814" s="13">
        <f>SUMIFS(Table16[Purchase_history],Table16[customer_id],Table13[[#This Row],[customer_id]])</f>
        <v>6001.5999999999995</v>
      </c>
      <c r="G814" s="20">
        <v>44494</v>
      </c>
      <c r="H814" s="21">
        <v>44513</v>
      </c>
      <c r="I814" s="15">
        <f>(Table134[[#This Row],[Last_Day]]-Table134[[#This Row],[First_Day]]+1)/365</f>
        <v>5.4794520547945202E-2</v>
      </c>
      <c r="J814" s="59">
        <f>Table134[[#This Row],[number_of_purchases]]/Table134[[#This Row],[customer_total_years]]</f>
        <v>36.5</v>
      </c>
      <c r="K814" s="13">
        <f>Table134[[#This Row],[purchase_history]]/Table134[[#This Row],[number_of_purchases]]</f>
        <v>3000.7999999999997</v>
      </c>
      <c r="L814" s="2">
        <f>IF(YEAR(Table134[[#This Row],[Last_Day]])=2021,5,IF(YEAR(Table134[[#This Row],[Last_Day]])=2022,7,IF(YEAR(Table134[[#This Row],[Last_Day]])=2023,10,"Không xác định")))</f>
        <v>5</v>
      </c>
      <c r="M814" s="15">
        <f>Table134[[#This Row],[avg_number_of_purchases]]*Table1345[[#This Row],[avg_purchase_value]]*Table1345[[#This Row],[expected_lifespan]]</f>
        <v>547646</v>
      </c>
      <c r="N814" t="s">
        <v>12047</v>
      </c>
    </row>
    <row r="815" spans="1:14" x14ac:dyDescent="0.3">
      <c r="A815" s="2" t="s">
        <v>813</v>
      </c>
      <c r="B815" s="2" t="s">
        <v>12040</v>
      </c>
      <c r="C815" s="2">
        <v>45</v>
      </c>
      <c r="D815" s="2" t="s">
        <v>12043</v>
      </c>
      <c r="E815" s="2">
        <f>COUNTIF(Table16[customer_id],Table13[[#This Row],[customer_id]])</f>
        <v>6</v>
      </c>
      <c r="F815" s="13">
        <f>SUMIFS(Table16[Purchase_history],Table16[customer_id],Table13[[#This Row],[customer_id]])</f>
        <v>11821.91</v>
      </c>
      <c r="G815" s="20">
        <v>44443</v>
      </c>
      <c r="H815" s="21">
        <v>44711</v>
      </c>
      <c r="I815" s="15">
        <f>(Table134[[#This Row],[Last_Day]]-Table134[[#This Row],[First_Day]]+1)/365</f>
        <v>0.73698630136986298</v>
      </c>
      <c r="J815" s="59">
        <f>Table134[[#This Row],[number_of_purchases]]/Table134[[#This Row],[customer_total_years]]</f>
        <v>8.1412639405204459</v>
      </c>
      <c r="K815" s="13">
        <f>Table134[[#This Row],[purchase_history]]/Table134[[#This Row],[number_of_purchases]]</f>
        <v>1970.3183333333334</v>
      </c>
      <c r="L815" s="2">
        <f>IF(YEAR(Table134[[#This Row],[Last_Day]])=2021,5,IF(YEAR(Table134[[#This Row],[Last_Day]])=2022,7,IF(YEAR(Table134[[#This Row],[Last_Day]])=2023,10,"Không xác định")))</f>
        <v>7</v>
      </c>
      <c r="M815" s="15">
        <f>Table134[[#This Row],[avg_number_of_purchases]]*Table1345[[#This Row],[avg_purchase_value]]*Table1345[[#This Row],[expected_lifespan]]</f>
        <v>112286.17118959108</v>
      </c>
      <c r="N815" t="s">
        <v>12044</v>
      </c>
    </row>
    <row r="816" spans="1:14" x14ac:dyDescent="0.3">
      <c r="A816" s="2" t="s">
        <v>814</v>
      </c>
      <c r="B816" s="2" t="s">
        <v>12040</v>
      </c>
      <c r="C816" s="2">
        <v>50</v>
      </c>
      <c r="D816" s="2" t="s">
        <v>12043</v>
      </c>
      <c r="E816" s="2">
        <f>COUNTIF(Table16[customer_id],Table13[[#This Row],[customer_id]])</f>
        <v>8</v>
      </c>
      <c r="F816" s="13">
        <f>SUMIFS(Table16[Purchase_history],Table16[customer_id],Table13[[#This Row],[customer_id]])</f>
        <v>16667.489999999998</v>
      </c>
      <c r="G816" s="20">
        <v>44257</v>
      </c>
      <c r="H816" s="21">
        <v>44891</v>
      </c>
      <c r="I816" s="15">
        <f>(Table134[[#This Row],[Last_Day]]-Table134[[#This Row],[First_Day]]+1)/365</f>
        <v>1.7397260273972603</v>
      </c>
      <c r="J816" s="59">
        <f>Table134[[#This Row],[number_of_purchases]]/Table134[[#This Row],[customer_total_years]]</f>
        <v>4.5984251968503935</v>
      </c>
      <c r="K816" s="13">
        <f>Table134[[#This Row],[purchase_history]]/Table134[[#This Row],[number_of_purchases]]</f>
        <v>2083.4362499999997</v>
      </c>
      <c r="L816" s="2">
        <f>IF(YEAR(Table134[[#This Row],[Last_Day]])=2021,5,IF(YEAR(Table134[[#This Row],[Last_Day]])=2022,7,IF(YEAR(Table134[[#This Row],[Last_Day]])=2023,10,"Không xác định")))</f>
        <v>7</v>
      </c>
      <c r="M816" s="15">
        <f>Table134[[#This Row],[avg_number_of_purchases]]*Table1345[[#This Row],[avg_purchase_value]]*Table1345[[#This Row],[expected_lifespan]]</f>
        <v>67063.680236220462</v>
      </c>
      <c r="N816" t="s">
        <v>12048</v>
      </c>
    </row>
    <row r="817" spans="1:14" x14ac:dyDescent="0.3">
      <c r="A817" s="2" t="s">
        <v>815</v>
      </c>
      <c r="B817" s="2" t="s">
        <v>12040</v>
      </c>
      <c r="C817" s="2">
        <v>50</v>
      </c>
      <c r="D817" s="2" t="s">
        <v>12041</v>
      </c>
      <c r="E817" s="2">
        <f>COUNTIF(Table16[customer_id],Table13[[#This Row],[customer_id]])</f>
        <v>5</v>
      </c>
      <c r="F817" s="13">
        <f>SUMIFS(Table16[Purchase_history],Table16[customer_id],Table13[[#This Row],[customer_id]])</f>
        <v>9673.8799999999992</v>
      </c>
      <c r="G817" s="20">
        <v>44343</v>
      </c>
      <c r="H817" s="21">
        <v>44821</v>
      </c>
      <c r="I817" s="15">
        <f>(Table134[[#This Row],[Last_Day]]-Table134[[#This Row],[First_Day]]+1)/365</f>
        <v>1.3123287671232877</v>
      </c>
      <c r="J817" s="59">
        <f>Table134[[#This Row],[number_of_purchases]]/Table134[[#This Row],[customer_total_years]]</f>
        <v>3.8100208768267221</v>
      </c>
      <c r="K817" s="13">
        <f>Table134[[#This Row],[purchase_history]]/Table134[[#This Row],[number_of_purchases]]</f>
        <v>1934.7759999999998</v>
      </c>
      <c r="L817" s="2">
        <f>IF(YEAR(Table134[[#This Row],[Last_Day]])=2021,5,IF(YEAR(Table134[[#This Row],[Last_Day]])=2022,7,IF(YEAR(Table134[[#This Row],[Last_Day]])=2023,10,"Không xác định")))</f>
        <v>7</v>
      </c>
      <c r="M817" s="15">
        <f>Table134[[#This Row],[avg_number_of_purchases]]*Table1345[[#This Row],[avg_purchase_value]]*Table1345[[#This Row],[expected_lifespan]]</f>
        <v>51600.758663883083</v>
      </c>
      <c r="N817" t="s">
        <v>12046</v>
      </c>
    </row>
    <row r="818" spans="1:14" x14ac:dyDescent="0.3">
      <c r="A818" s="2" t="s">
        <v>816</v>
      </c>
      <c r="B818" s="2" t="s">
        <v>12045</v>
      </c>
      <c r="C818" s="2">
        <v>50</v>
      </c>
      <c r="D818" s="2" t="s">
        <v>12041</v>
      </c>
      <c r="E818" s="2">
        <f>COUNTIF(Table16[customer_id],Table13[[#This Row],[customer_id]])</f>
        <v>6</v>
      </c>
      <c r="F818" s="13">
        <f>SUMIFS(Table16[Purchase_history],Table16[customer_id],Table13[[#This Row],[customer_id]])</f>
        <v>9603.15</v>
      </c>
      <c r="G818" s="20">
        <v>44252</v>
      </c>
      <c r="H818" s="21">
        <v>44935</v>
      </c>
      <c r="I818" s="15">
        <f>(Table134[[#This Row],[Last_Day]]-Table134[[#This Row],[First_Day]]+1)/365</f>
        <v>1.8739726027397261</v>
      </c>
      <c r="J818" s="59">
        <f>Table134[[#This Row],[number_of_purchases]]/Table134[[#This Row],[customer_total_years]]</f>
        <v>3.2017543859649122</v>
      </c>
      <c r="K818" s="13">
        <f>Table134[[#This Row],[purchase_history]]/Table134[[#This Row],[number_of_purchases]]</f>
        <v>1600.5249999999999</v>
      </c>
      <c r="L818" s="2">
        <f>IF(YEAR(Table134[[#This Row],[Last_Day]])=2021,5,IF(YEAR(Table134[[#This Row],[Last_Day]])=2022,7,IF(YEAR(Table134[[#This Row],[Last_Day]])=2023,10,"Không xác định")))</f>
        <v>10</v>
      </c>
      <c r="M818" s="15">
        <f>Table134[[#This Row],[avg_number_of_purchases]]*Table1345[[#This Row],[avg_purchase_value]]*Table1345[[#This Row],[expected_lifespan]]</f>
        <v>51244.879385964901</v>
      </c>
      <c r="N818" t="s">
        <v>12047</v>
      </c>
    </row>
    <row r="819" spans="1:14" x14ac:dyDescent="0.3">
      <c r="A819" s="2" t="s">
        <v>817</v>
      </c>
      <c r="B819" s="2" t="s">
        <v>12045</v>
      </c>
      <c r="C819" s="2">
        <v>49</v>
      </c>
      <c r="D819" s="2" t="s">
        <v>12043</v>
      </c>
      <c r="E819" s="2">
        <f>COUNTIF(Table16[customer_id],Table13[[#This Row],[customer_id]])</f>
        <v>8</v>
      </c>
      <c r="F819" s="13">
        <f>SUMIFS(Table16[Purchase_history],Table16[customer_id],Table13[[#This Row],[customer_id]])</f>
        <v>13817.849999999999</v>
      </c>
      <c r="G819" s="20">
        <v>44200</v>
      </c>
      <c r="H819" s="21">
        <v>44964</v>
      </c>
      <c r="I819" s="15">
        <f>(Table134[[#This Row],[Last_Day]]-Table134[[#This Row],[First_Day]]+1)/365</f>
        <v>2.095890410958904</v>
      </c>
      <c r="J819" s="59">
        <f>Table134[[#This Row],[number_of_purchases]]/Table134[[#This Row],[customer_total_years]]</f>
        <v>3.8169934640522878</v>
      </c>
      <c r="K819" s="13">
        <f>Table134[[#This Row],[purchase_history]]/Table134[[#This Row],[number_of_purchases]]</f>
        <v>1727.2312499999998</v>
      </c>
      <c r="L819" s="2">
        <f>IF(YEAR(Table134[[#This Row],[Last_Day]])=2021,5,IF(YEAR(Table134[[#This Row],[Last_Day]])=2022,7,IF(YEAR(Table134[[#This Row],[Last_Day]])=2023,10,"Không xác định")))</f>
        <v>10</v>
      </c>
      <c r="M819" s="15">
        <f>Table134[[#This Row],[avg_number_of_purchases]]*Table1345[[#This Row],[avg_purchase_value]]*Table1345[[#This Row],[expected_lifespan]]</f>
        <v>65928.303921568615</v>
      </c>
      <c r="N819" t="s">
        <v>12042</v>
      </c>
    </row>
    <row r="820" spans="1:14" x14ac:dyDescent="0.3">
      <c r="A820" s="2" t="s">
        <v>818</v>
      </c>
      <c r="B820" s="2" t="s">
        <v>12045</v>
      </c>
      <c r="C820" s="2">
        <v>27</v>
      </c>
      <c r="D820" s="2" t="s">
        <v>12049</v>
      </c>
      <c r="E820" s="2">
        <f>COUNTIF(Table16[customer_id],Table13[[#This Row],[customer_id]])</f>
        <v>3</v>
      </c>
      <c r="F820" s="13">
        <f>SUMIFS(Table16[Purchase_history],Table16[customer_id],Table13[[#This Row],[customer_id]])</f>
        <v>24667.94</v>
      </c>
      <c r="G820" s="20">
        <v>44291</v>
      </c>
      <c r="H820" s="21">
        <v>44504</v>
      </c>
      <c r="I820" s="15">
        <f>(Table134[[#This Row],[Last_Day]]-Table134[[#This Row],[First_Day]]+1)/365</f>
        <v>0.58630136986301373</v>
      </c>
      <c r="J820" s="59">
        <f>Table134[[#This Row],[number_of_purchases]]/Table134[[#This Row],[customer_total_years]]</f>
        <v>5.1168224299065415</v>
      </c>
      <c r="K820" s="13">
        <f>Table134[[#This Row],[purchase_history]]/Table134[[#This Row],[number_of_purchases]]</f>
        <v>8222.6466666666656</v>
      </c>
      <c r="L820" s="2">
        <f>IF(YEAR(Table134[[#This Row],[Last_Day]])=2021,5,IF(YEAR(Table134[[#This Row],[Last_Day]])=2022,7,IF(YEAR(Table134[[#This Row],[Last_Day]])=2023,10,"Không xác định")))</f>
        <v>5</v>
      </c>
      <c r="M820" s="15">
        <f>Table134[[#This Row],[avg_number_of_purchases]]*Table1345[[#This Row],[avg_purchase_value]]*Table1345[[#This Row],[expected_lifespan]]</f>
        <v>210369.11448598126</v>
      </c>
      <c r="N820" t="s">
        <v>12048</v>
      </c>
    </row>
    <row r="821" spans="1:14" x14ac:dyDescent="0.3">
      <c r="A821" s="2" t="s">
        <v>819</v>
      </c>
      <c r="B821" s="2" t="s">
        <v>12040</v>
      </c>
      <c r="C821" s="2">
        <v>27</v>
      </c>
      <c r="D821" s="2" t="s">
        <v>12041</v>
      </c>
      <c r="E821" s="2">
        <f>COUNTIF(Table16[customer_id],Table13[[#This Row],[customer_id]])</f>
        <v>4</v>
      </c>
      <c r="F821" s="13">
        <f>SUMIFS(Table16[Purchase_history],Table16[customer_id],Table13[[#This Row],[customer_id]])</f>
        <v>5016.07</v>
      </c>
      <c r="G821" s="20">
        <v>44216</v>
      </c>
      <c r="H821" s="21">
        <v>44611</v>
      </c>
      <c r="I821" s="15">
        <f>(Table134[[#This Row],[Last_Day]]-Table134[[#This Row],[First_Day]]+1)/365</f>
        <v>1.0849315068493151</v>
      </c>
      <c r="J821" s="59">
        <f>Table134[[#This Row],[number_of_purchases]]/Table134[[#This Row],[customer_total_years]]</f>
        <v>3.6868686868686869</v>
      </c>
      <c r="K821" s="13">
        <f>Table134[[#This Row],[purchase_history]]/Table134[[#This Row],[number_of_purchases]]</f>
        <v>1254.0174999999999</v>
      </c>
      <c r="L821" s="2">
        <f>IF(YEAR(Table134[[#This Row],[Last_Day]])=2021,5,IF(YEAR(Table134[[#This Row],[Last_Day]])=2022,7,IF(YEAR(Table134[[#This Row],[Last_Day]])=2023,10,"Không xác định")))</f>
        <v>7</v>
      </c>
      <c r="M821" s="15">
        <f>Table134[[#This Row],[avg_number_of_purchases]]*Table1345[[#This Row],[avg_purchase_value]]*Table1345[[#This Row],[expected_lifespan]]</f>
        <v>32363.784974747476</v>
      </c>
      <c r="N821" t="s">
        <v>12048</v>
      </c>
    </row>
    <row r="822" spans="1:14" x14ac:dyDescent="0.3">
      <c r="A822" s="2" t="s">
        <v>820</v>
      </c>
      <c r="B822" s="2" t="s">
        <v>12045</v>
      </c>
      <c r="C822" s="2">
        <v>22</v>
      </c>
      <c r="D822" s="2" t="s">
        <v>12043</v>
      </c>
      <c r="E822" s="2">
        <f>COUNTIF(Table16[customer_id],Table13[[#This Row],[customer_id]])</f>
        <v>4</v>
      </c>
      <c r="F822" s="13">
        <f>SUMIFS(Table16[Purchase_history],Table16[customer_id],Table13[[#This Row],[customer_id]])</f>
        <v>26644.22</v>
      </c>
      <c r="G822" s="20">
        <v>44480</v>
      </c>
      <c r="H822" s="21">
        <v>44976</v>
      </c>
      <c r="I822" s="15">
        <f>(Table134[[#This Row],[Last_Day]]-Table134[[#This Row],[First_Day]]+1)/365</f>
        <v>1.3616438356164384</v>
      </c>
      <c r="J822" s="59">
        <f>Table134[[#This Row],[number_of_purchases]]/Table134[[#This Row],[customer_total_years]]</f>
        <v>2.9376257545271627</v>
      </c>
      <c r="K822" s="13">
        <f>Table134[[#This Row],[purchase_history]]/Table134[[#This Row],[number_of_purchases]]</f>
        <v>6661.0550000000003</v>
      </c>
      <c r="L822" s="2">
        <f>IF(YEAR(Table134[[#This Row],[Last_Day]])=2021,5,IF(YEAR(Table134[[#This Row],[Last_Day]])=2022,7,IF(YEAR(Table134[[#This Row],[Last_Day]])=2023,10,"Không xác định")))</f>
        <v>10</v>
      </c>
      <c r="M822" s="15">
        <f>Table134[[#This Row],[avg_number_of_purchases]]*Table1345[[#This Row],[avg_purchase_value]]*Table1345[[#This Row],[expected_lifespan]]</f>
        <v>195676.8672032193</v>
      </c>
      <c r="N822" t="s">
        <v>12048</v>
      </c>
    </row>
    <row r="823" spans="1:14" x14ac:dyDescent="0.3">
      <c r="A823" s="2" t="s">
        <v>821</v>
      </c>
      <c r="B823" s="2" t="s">
        <v>12045</v>
      </c>
      <c r="C823" s="2">
        <v>57</v>
      </c>
      <c r="D823" s="2" t="s">
        <v>12041</v>
      </c>
      <c r="E823" s="2">
        <f>COUNTIF(Table16[customer_id],Table13[[#This Row],[customer_id]])</f>
        <v>7</v>
      </c>
      <c r="F823" s="13">
        <f>SUMIFS(Table16[Purchase_history],Table16[customer_id],Table13[[#This Row],[customer_id]])</f>
        <v>25272.62</v>
      </c>
      <c r="G823" s="20">
        <v>44232</v>
      </c>
      <c r="H823" s="21">
        <v>44769</v>
      </c>
      <c r="I823" s="15">
        <f>(Table134[[#This Row],[Last_Day]]-Table134[[#This Row],[First_Day]]+1)/365</f>
        <v>1.473972602739726</v>
      </c>
      <c r="J823" s="59">
        <f>Table134[[#This Row],[number_of_purchases]]/Table134[[#This Row],[customer_total_years]]</f>
        <v>4.7490706319702607</v>
      </c>
      <c r="K823" s="13">
        <f>Table134[[#This Row],[purchase_history]]/Table134[[#This Row],[number_of_purchases]]</f>
        <v>3610.3742857142856</v>
      </c>
      <c r="L823" s="2">
        <f>IF(YEAR(Table134[[#This Row],[Last_Day]])=2021,5,IF(YEAR(Table134[[#This Row],[Last_Day]])=2022,7,IF(YEAR(Table134[[#This Row],[Last_Day]])=2023,10,"Không xác định")))</f>
        <v>7</v>
      </c>
      <c r="M823" s="15">
        <f>Table134[[#This Row],[avg_number_of_purchases]]*Table1345[[#This Row],[avg_purchase_value]]*Table1345[[#This Row],[expected_lifespan]]</f>
        <v>120021.45743494426</v>
      </c>
      <c r="N823" t="s">
        <v>12046</v>
      </c>
    </row>
    <row r="824" spans="1:14" x14ac:dyDescent="0.3">
      <c r="A824" s="2" t="s">
        <v>822</v>
      </c>
      <c r="B824" s="2" t="s">
        <v>12045</v>
      </c>
      <c r="C824" s="2">
        <v>46</v>
      </c>
      <c r="D824" s="2" t="s">
        <v>12049</v>
      </c>
      <c r="E824" s="2">
        <f>COUNTIF(Table16[customer_id],Table13[[#This Row],[customer_id]])</f>
        <v>8</v>
      </c>
      <c r="F824" s="13">
        <f>SUMIFS(Table16[Purchase_history],Table16[customer_id],Table13[[#This Row],[customer_id]])</f>
        <v>13543.95</v>
      </c>
      <c r="G824" s="20">
        <v>44203</v>
      </c>
      <c r="H824" s="21">
        <v>44877</v>
      </c>
      <c r="I824" s="15">
        <f>(Table134[[#This Row],[Last_Day]]-Table134[[#This Row],[First_Day]]+1)/365</f>
        <v>1.8493150684931507</v>
      </c>
      <c r="J824" s="59">
        <f>Table134[[#This Row],[number_of_purchases]]/Table134[[#This Row],[customer_total_years]]</f>
        <v>4.325925925925926</v>
      </c>
      <c r="K824" s="13">
        <f>Table134[[#This Row],[purchase_history]]/Table134[[#This Row],[number_of_purchases]]</f>
        <v>1692.9937500000001</v>
      </c>
      <c r="L824" s="2">
        <f>IF(YEAR(Table134[[#This Row],[Last_Day]])=2021,5,IF(YEAR(Table134[[#This Row],[Last_Day]])=2022,7,IF(YEAR(Table134[[#This Row],[Last_Day]])=2023,10,"Không xác định")))</f>
        <v>7</v>
      </c>
      <c r="M824" s="15">
        <f>Table134[[#This Row],[avg_number_of_purchases]]*Table1345[[#This Row],[avg_purchase_value]]*Table1345[[#This Row],[expected_lifespan]]</f>
        <v>51266.358888888892</v>
      </c>
      <c r="N824" t="s">
        <v>12047</v>
      </c>
    </row>
    <row r="825" spans="1:14" x14ac:dyDescent="0.3">
      <c r="A825" s="2" t="s">
        <v>823</v>
      </c>
      <c r="B825" s="2" t="s">
        <v>12045</v>
      </c>
      <c r="C825" s="2">
        <v>39</v>
      </c>
      <c r="D825" s="2" t="s">
        <v>12049</v>
      </c>
      <c r="E825" s="2">
        <f>COUNTIF(Table16[customer_id],Table13[[#This Row],[customer_id]])</f>
        <v>6</v>
      </c>
      <c r="F825" s="13">
        <f>SUMIFS(Table16[Purchase_history],Table16[customer_id],Table13[[#This Row],[customer_id]])</f>
        <v>5408.8599999999988</v>
      </c>
      <c r="G825" s="20">
        <v>44205</v>
      </c>
      <c r="H825" s="21">
        <v>44919</v>
      </c>
      <c r="I825" s="15">
        <f>(Table134[[#This Row],[Last_Day]]-Table134[[#This Row],[First_Day]]+1)/365</f>
        <v>1.9589041095890412</v>
      </c>
      <c r="J825" s="59">
        <f>Table134[[#This Row],[number_of_purchases]]/Table134[[#This Row],[customer_total_years]]</f>
        <v>3.0629370629370629</v>
      </c>
      <c r="K825" s="13">
        <f>Table134[[#This Row],[purchase_history]]/Table134[[#This Row],[number_of_purchases]]</f>
        <v>901.47666666666646</v>
      </c>
      <c r="L825" s="2">
        <f>IF(YEAR(Table134[[#This Row],[Last_Day]])=2021,5,IF(YEAR(Table134[[#This Row],[Last_Day]])=2022,7,IF(YEAR(Table134[[#This Row],[Last_Day]])=2023,10,"Không xác định")))</f>
        <v>7</v>
      </c>
      <c r="M825" s="15">
        <f>Table134[[#This Row],[avg_number_of_purchases]]*Table1345[[#This Row],[avg_purchase_value]]*Table1345[[#This Row],[expected_lifespan]]</f>
        <v>19328.164055944049</v>
      </c>
      <c r="N825" t="s">
        <v>12048</v>
      </c>
    </row>
    <row r="826" spans="1:14" x14ac:dyDescent="0.3">
      <c r="A826" s="2" t="s">
        <v>824</v>
      </c>
      <c r="B826" s="2" t="s">
        <v>12040</v>
      </c>
      <c r="C826" s="2">
        <v>61</v>
      </c>
      <c r="D826" s="2" t="s">
        <v>12043</v>
      </c>
      <c r="E826" s="2">
        <f>COUNTIF(Table16[customer_id],Table13[[#This Row],[customer_id]])</f>
        <v>6</v>
      </c>
      <c r="F826" s="13">
        <f>SUMIFS(Table16[Purchase_history],Table16[customer_id],Table13[[#This Row],[customer_id]])</f>
        <v>12454.95</v>
      </c>
      <c r="G826" s="20">
        <v>44279</v>
      </c>
      <c r="H826" s="21">
        <v>44921</v>
      </c>
      <c r="I826" s="15">
        <f>(Table134[[#This Row],[Last_Day]]-Table134[[#This Row],[First_Day]]+1)/365</f>
        <v>1.7616438356164383</v>
      </c>
      <c r="J826" s="59">
        <f>Table134[[#This Row],[number_of_purchases]]/Table134[[#This Row],[customer_total_years]]</f>
        <v>3.405909797822706</v>
      </c>
      <c r="K826" s="13">
        <f>Table134[[#This Row],[purchase_history]]/Table134[[#This Row],[number_of_purchases]]</f>
        <v>2075.8250000000003</v>
      </c>
      <c r="L826" s="2">
        <f>IF(YEAR(Table134[[#This Row],[Last_Day]])=2021,5,IF(YEAR(Table134[[#This Row],[Last_Day]])=2022,7,IF(YEAR(Table134[[#This Row],[Last_Day]])=2023,10,"Không xác định")))</f>
        <v>7</v>
      </c>
      <c r="M826" s="15">
        <f>Table134[[#This Row],[avg_number_of_purchases]]*Table1345[[#This Row],[avg_purchase_value]]*Table1345[[#This Row],[expected_lifespan]]</f>
        <v>49490.508942457236</v>
      </c>
      <c r="N826" t="s">
        <v>12042</v>
      </c>
    </row>
    <row r="827" spans="1:14" x14ac:dyDescent="0.3">
      <c r="A827" s="2" t="s">
        <v>825</v>
      </c>
      <c r="B827" s="2" t="s">
        <v>12040</v>
      </c>
      <c r="C827" s="2">
        <v>64</v>
      </c>
      <c r="D827" s="2" t="s">
        <v>12043</v>
      </c>
      <c r="E827" s="2">
        <f>COUNTIF(Table16[customer_id],Table13[[#This Row],[customer_id]])</f>
        <v>7</v>
      </c>
      <c r="F827" s="13">
        <f>SUMIFS(Table16[Purchase_history],Table16[customer_id],Table13[[#This Row],[customer_id]])</f>
        <v>17235.419999999998</v>
      </c>
      <c r="G827" s="20">
        <v>44213</v>
      </c>
      <c r="H827" s="21">
        <v>44667</v>
      </c>
      <c r="I827" s="15">
        <f>(Table134[[#This Row],[Last_Day]]-Table134[[#This Row],[First_Day]]+1)/365</f>
        <v>1.2465753424657535</v>
      </c>
      <c r="J827" s="59">
        <f>Table134[[#This Row],[number_of_purchases]]/Table134[[#This Row],[customer_total_years]]</f>
        <v>5.615384615384615</v>
      </c>
      <c r="K827" s="13">
        <f>Table134[[#This Row],[purchase_history]]/Table134[[#This Row],[number_of_purchases]]</f>
        <v>2462.2028571428568</v>
      </c>
      <c r="L827" s="2">
        <f>IF(YEAR(Table134[[#This Row],[Last_Day]])=2021,5,IF(YEAR(Table134[[#This Row],[Last_Day]])=2022,7,IF(YEAR(Table134[[#This Row],[Last_Day]])=2023,10,"Không xác định")))</f>
        <v>7</v>
      </c>
      <c r="M827" s="15">
        <f>Table134[[#This Row],[avg_number_of_purchases]]*Table1345[[#This Row],[avg_purchase_value]]*Table1345[[#This Row],[expected_lifespan]]</f>
        <v>96783.51230769229</v>
      </c>
      <c r="N827" t="s">
        <v>12046</v>
      </c>
    </row>
    <row r="828" spans="1:14" x14ac:dyDescent="0.3">
      <c r="A828" s="2" t="s">
        <v>826</v>
      </c>
      <c r="B828" s="2" t="s">
        <v>12045</v>
      </c>
      <c r="C828" s="2">
        <v>34</v>
      </c>
      <c r="D828" s="2" t="s">
        <v>12049</v>
      </c>
      <c r="E828" s="2">
        <f>COUNTIF(Table16[customer_id],Table13[[#This Row],[customer_id]])</f>
        <v>9</v>
      </c>
      <c r="F828" s="13">
        <f>SUMIFS(Table16[Purchase_history],Table16[customer_id],Table13[[#This Row],[customer_id]])</f>
        <v>16320.99</v>
      </c>
      <c r="G828" s="20">
        <v>44270</v>
      </c>
      <c r="H828" s="21">
        <v>44982</v>
      </c>
      <c r="I828" s="15">
        <f>(Table134[[#This Row],[Last_Day]]-Table134[[#This Row],[First_Day]]+1)/365</f>
        <v>1.9534246575342467</v>
      </c>
      <c r="J828" s="59">
        <f>Table134[[#This Row],[number_of_purchases]]/Table134[[#This Row],[customer_total_years]]</f>
        <v>4.6072931276297338</v>
      </c>
      <c r="K828" s="13">
        <f>Table134[[#This Row],[purchase_history]]/Table134[[#This Row],[number_of_purchases]]</f>
        <v>1813.4433333333334</v>
      </c>
      <c r="L828" s="2">
        <f>IF(YEAR(Table134[[#This Row],[Last_Day]])=2021,5,IF(YEAR(Table134[[#This Row],[Last_Day]])=2022,7,IF(YEAR(Table134[[#This Row],[Last_Day]])=2023,10,"Không xác định")))</f>
        <v>10</v>
      </c>
      <c r="M828" s="15">
        <f>Table134[[#This Row],[avg_number_of_purchases]]*Table1345[[#This Row],[avg_purchase_value]]*Table1345[[#This Row],[expected_lifespan]]</f>
        <v>83550.650070126227</v>
      </c>
      <c r="N828" t="s">
        <v>12048</v>
      </c>
    </row>
    <row r="829" spans="1:14" x14ac:dyDescent="0.3">
      <c r="A829" s="2" t="s">
        <v>827</v>
      </c>
      <c r="B829" s="2" t="s">
        <v>12045</v>
      </c>
      <c r="C829" s="2">
        <v>30</v>
      </c>
      <c r="D829" s="2" t="s">
        <v>12049</v>
      </c>
      <c r="E829" s="2">
        <f>COUNTIF(Table16[customer_id],Table13[[#This Row],[customer_id]])</f>
        <v>7</v>
      </c>
      <c r="F829" s="13">
        <f>SUMIFS(Table16[Purchase_history],Table16[customer_id],Table13[[#This Row],[customer_id]])</f>
        <v>14491.659999999998</v>
      </c>
      <c r="G829" s="20">
        <v>44319</v>
      </c>
      <c r="H829" s="21">
        <v>44965</v>
      </c>
      <c r="I829" s="15">
        <f>(Table134[[#This Row],[Last_Day]]-Table134[[#This Row],[First_Day]]+1)/365</f>
        <v>1.7726027397260273</v>
      </c>
      <c r="J829" s="59">
        <f>Table134[[#This Row],[number_of_purchases]]/Table134[[#This Row],[customer_total_years]]</f>
        <v>3.9489953632148378</v>
      </c>
      <c r="K829" s="13">
        <f>Table134[[#This Row],[purchase_history]]/Table134[[#This Row],[number_of_purchases]]</f>
        <v>2070.2371428571428</v>
      </c>
      <c r="L829" s="2">
        <f>IF(YEAR(Table134[[#This Row],[Last_Day]])=2021,5,IF(YEAR(Table134[[#This Row],[Last_Day]])=2022,7,IF(YEAR(Table134[[#This Row],[Last_Day]])=2023,10,"Không xác định")))</f>
        <v>10</v>
      </c>
      <c r="M829" s="15">
        <f>Table134[[#This Row],[avg_number_of_purchases]]*Table1345[[#This Row],[avg_purchase_value]]*Table1345[[#This Row],[expected_lifespan]]</f>
        <v>81753.568778979912</v>
      </c>
      <c r="N829" t="s">
        <v>12048</v>
      </c>
    </row>
    <row r="830" spans="1:14" x14ac:dyDescent="0.3">
      <c r="A830" s="2" t="s">
        <v>828</v>
      </c>
      <c r="B830" s="2" t="s">
        <v>12045</v>
      </c>
      <c r="C830" s="2">
        <v>64</v>
      </c>
      <c r="D830" s="2" t="s">
        <v>12043</v>
      </c>
      <c r="E830" s="2">
        <f>COUNTIF(Table16[customer_id],Table13[[#This Row],[customer_id]])</f>
        <v>4</v>
      </c>
      <c r="F830" s="13">
        <f>SUMIFS(Table16[Purchase_history],Table16[customer_id],Table13[[#This Row],[customer_id]])</f>
        <v>4114.8099999999995</v>
      </c>
      <c r="G830" s="20">
        <v>44474</v>
      </c>
      <c r="H830" s="21">
        <v>44963</v>
      </c>
      <c r="I830" s="15">
        <f>(Table134[[#This Row],[Last_Day]]-Table134[[#This Row],[First_Day]]+1)/365</f>
        <v>1.3424657534246576</v>
      </c>
      <c r="J830" s="59">
        <f>Table134[[#This Row],[number_of_purchases]]/Table134[[#This Row],[customer_total_years]]</f>
        <v>2.9795918367346936</v>
      </c>
      <c r="K830" s="13">
        <f>Table134[[#This Row],[purchase_history]]/Table134[[#This Row],[number_of_purchases]]</f>
        <v>1028.7024999999999</v>
      </c>
      <c r="L830" s="2">
        <f>IF(YEAR(Table134[[#This Row],[Last_Day]])=2021,5,IF(YEAR(Table134[[#This Row],[Last_Day]])=2022,7,IF(YEAR(Table134[[#This Row],[Last_Day]])=2023,10,"Không xác định")))</f>
        <v>10</v>
      </c>
      <c r="M830" s="15">
        <f>Table134[[#This Row],[avg_number_of_purchases]]*Table1345[[#This Row],[avg_purchase_value]]*Table1345[[#This Row],[expected_lifespan]]</f>
        <v>30651.135714285705</v>
      </c>
      <c r="N830" t="s">
        <v>12042</v>
      </c>
    </row>
    <row r="831" spans="1:14" x14ac:dyDescent="0.3">
      <c r="A831" s="2" t="s">
        <v>829</v>
      </c>
      <c r="B831" s="2" t="s">
        <v>12045</v>
      </c>
      <c r="C831" s="2">
        <v>51</v>
      </c>
      <c r="D831" s="2" t="s">
        <v>12043</v>
      </c>
      <c r="E831" s="2">
        <f>COUNTIF(Table16[customer_id],Table13[[#This Row],[customer_id]])</f>
        <v>6</v>
      </c>
      <c r="F831" s="13">
        <f>SUMIFS(Table16[Purchase_history],Table16[customer_id],Table13[[#This Row],[customer_id]])</f>
        <v>2802.02</v>
      </c>
      <c r="G831" s="20">
        <v>44217</v>
      </c>
      <c r="H831" s="21">
        <v>44949</v>
      </c>
      <c r="I831" s="15">
        <f>(Table134[[#This Row],[Last_Day]]-Table134[[#This Row],[First_Day]]+1)/365</f>
        <v>2.0082191780821916</v>
      </c>
      <c r="J831" s="59">
        <f>Table134[[#This Row],[number_of_purchases]]/Table134[[#This Row],[customer_total_years]]</f>
        <v>2.9877216916780358</v>
      </c>
      <c r="K831" s="13">
        <f>Table134[[#This Row],[purchase_history]]/Table134[[#This Row],[number_of_purchases]]</f>
        <v>467.00333333333333</v>
      </c>
      <c r="L831" s="2">
        <f>IF(YEAR(Table134[[#This Row],[Last_Day]])=2021,5,IF(YEAR(Table134[[#This Row],[Last_Day]])=2022,7,IF(YEAR(Table134[[#This Row],[Last_Day]])=2023,10,"Không xác định")))</f>
        <v>10</v>
      </c>
      <c r="M831" s="15">
        <f>Table134[[#This Row],[avg_number_of_purchases]]*Table1345[[#This Row],[avg_purchase_value]]*Table1345[[#This Row],[expected_lifespan]]</f>
        <v>13952.759890859485</v>
      </c>
      <c r="N831" t="s">
        <v>12048</v>
      </c>
    </row>
    <row r="832" spans="1:14" x14ac:dyDescent="0.3">
      <c r="A832" s="2" t="s">
        <v>830</v>
      </c>
      <c r="B832" s="2" t="s">
        <v>12045</v>
      </c>
      <c r="C832" s="2">
        <v>58</v>
      </c>
      <c r="D832" s="2" t="s">
        <v>12041</v>
      </c>
      <c r="E832" s="2">
        <f>COUNTIF(Table16[customer_id],Table13[[#This Row],[customer_id]])</f>
        <v>4</v>
      </c>
      <c r="F832" s="13">
        <f>SUMIFS(Table16[Purchase_history],Table16[customer_id],Table13[[#This Row],[customer_id]])</f>
        <v>5541.3099999999995</v>
      </c>
      <c r="G832" s="20">
        <v>44439</v>
      </c>
      <c r="H832" s="21">
        <v>44745</v>
      </c>
      <c r="I832" s="15">
        <f>(Table134[[#This Row],[Last_Day]]-Table134[[#This Row],[First_Day]]+1)/365</f>
        <v>0.84109589041095889</v>
      </c>
      <c r="J832" s="59">
        <f>Table134[[#This Row],[number_of_purchases]]/Table134[[#This Row],[customer_total_years]]</f>
        <v>4.7557003257328994</v>
      </c>
      <c r="K832" s="13">
        <f>Table134[[#This Row],[purchase_history]]/Table134[[#This Row],[number_of_purchases]]</f>
        <v>1385.3274999999999</v>
      </c>
      <c r="L832" s="2">
        <f>IF(YEAR(Table134[[#This Row],[Last_Day]])=2021,5,IF(YEAR(Table134[[#This Row],[Last_Day]])=2022,7,IF(YEAR(Table134[[#This Row],[Last_Day]])=2023,10,"Không xác định")))</f>
        <v>7</v>
      </c>
      <c r="M832" s="15">
        <f>Table134[[#This Row],[avg_number_of_purchases]]*Table1345[[#This Row],[avg_purchase_value]]*Table1345[[#This Row],[expected_lifespan]]</f>
        <v>46117.417100977196</v>
      </c>
      <c r="N832" t="s">
        <v>12047</v>
      </c>
    </row>
    <row r="833" spans="1:14" x14ac:dyDescent="0.3">
      <c r="A833" s="2" t="s">
        <v>831</v>
      </c>
      <c r="B833" s="2" t="s">
        <v>12040</v>
      </c>
      <c r="C833" s="2">
        <v>25</v>
      </c>
      <c r="D833" s="2" t="s">
        <v>12041</v>
      </c>
      <c r="E833" s="2">
        <f>COUNTIF(Table16[customer_id],Table13[[#This Row],[customer_id]])</f>
        <v>8</v>
      </c>
      <c r="F833" s="13">
        <f>SUMIFS(Table16[Purchase_history],Table16[customer_id],Table13[[#This Row],[customer_id]])</f>
        <v>18732.95</v>
      </c>
      <c r="G833" s="20">
        <v>44382</v>
      </c>
      <c r="H833" s="21">
        <v>44874</v>
      </c>
      <c r="I833" s="15">
        <f>(Table134[[#This Row],[Last_Day]]-Table134[[#This Row],[First_Day]]+1)/365</f>
        <v>1.3506849315068492</v>
      </c>
      <c r="J833" s="59">
        <f>Table134[[#This Row],[number_of_purchases]]/Table134[[#This Row],[customer_total_years]]</f>
        <v>5.9229208924949299</v>
      </c>
      <c r="K833" s="13">
        <f>Table134[[#This Row],[purchase_history]]/Table134[[#This Row],[number_of_purchases]]</f>
        <v>2341.6187500000001</v>
      </c>
      <c r="L833" s="2">
        <f>IF(YEAR(Table134[[#This Row],[Last_Day]])=2021,5,IF(YEAR(Table134[[#This Row],[Last_Day]])=2022,7,IF(YEAR(Table134[[#This Row],[Last_Day]])=2023,10,"Không xác định")))</f>
        <v>7</v>
      </c>
      <c r="M833" s="15">
        <f>Table134[[#This Row],[avg_number_of_purchases]]*Table1345[[#This Row],[avg_purchase_value]]*Table1345[[#This Row],[expected_lifespan]]</f>
        <v>97084.558316430033</v>
      </c>
      <c r="N833" t="s">
        <v>12047</v>
      </c>
    </row>
    <row r="834" spans="1:14" x14ac:dyDescent="0.3">
      <c r="A834" s="2" t="s">
        <v>832</v>
      </c>
      <c r="B834" s="2" t="s">
        <v>12040</v>
      </c>
      <c r="C834" s="2">
        <v>28</v>
      </c>
      <c r="D834" s="2" t="s">
        <v>12049</v>
      </c>
      <c r="E834" s="2">
        <f>COUNTIF(Table16[customer_id],Table13[[#This Row],[customer_id]])</f>
        <v>3</v>
      </c>
      <c r="F834" s="13">
        <f>SUMIFS(Table16[Purchase_history],Table16[customer_id],Table13[[#This Row],[customer_id]])</f>
        <v>966.09999999999991</v>
      </c>
      <c r="G834" s="20">
        <v>44536</v>
      </c>
      <c r="H834" s="21">
        <v>44789</v>
      </c>
      <c r="I834" s="15">
        <f>(Table134[[#This Row],[Last_Day]]-Table134[[#This Row],[First_Day]]+1)/365</f>
        <v>0.69589041095890414</v>
      </c>
      <c r="J834" s="59">
        <f>Table134[[#This Row],[number_of_purchases]]/Table134[[#This Row],[customer_total_years]]</f>
        <v>4.3110236220472435</v>
      </c>
      <c r="K834" s="13">
        <f>Table134[[#This Row],[purchase_history]]/Table134[[#This Row],[number_of_purchases]]</f>
        <v>322.0333333333333</v>
      </c>
      <c r="L834" s="2">
        <f>IF(YEAR(Table134[[#This Row],[Last_Day]])=2021,5,IF(YEAR(Table134[[#This Row],[Last_Day]])=2022,7,IF(YEAR(Table134[[#This Row],[Last_Day]])=2023,10,"Không xác định")))</f>
        <v>7</v>
      </c>
      <c r="M834" s="15">
        <f>Table134[[#This Row],[avg_number_of_purchases]]*Table1345[[#This Row],[avg_purchase_value]]*Table1345[[#This Row],[expected_lifespan]]</f>
        <v>9718.0531496062977</v>
      </c>
      <c r="N834" t="s">
        <v>12044</v>
      </c>
    </row>
    <row r="835" spans="1:14" x14ac:dyDescent="0.3">
      <c r="A835" s="2" t="s">
        <v>833</v>
      </c>
      <c r="B835" s="2" t="s">
        <v>12045</v>
      </c>
      <c r="C835" s="2">
        <v>19</v>
      </c>
      <c r="D835" s="2" t="s">
        <v>12043</v>
      </c>
      <c r="E835" s="2">
        <f>COUNTIF(Table16[customer_id],Table13[[#This Row],[customer_id]])</f>
        <v>3</v>
      </c>
      <c r="F835" s="13">
        <f>SUMIFS(Table16[Purchase_history],Table16[customer_id],Table13[[#This Row],[customer_id]])</f>
        <v>171.41</v>
      </c>
      <c r="G835" s="20">
        <v>44325</v>
      </c>
      <c r="H835" s="21">
        <v>44972</v>
      </c>
      <c r="I835" s="15">
        <f>(Table134[[#This Row],[Last_Day]]-Table134[[#This Row],[First_Day]]+1)/365</f>
        <v>1.7753424657534247</v>
      </c>
      <c r="J835" s="59">
        <f>Table134[[#This Row],[number_of_purchases]]/Table134[[#This Row],[customer_total_years]]</f>
        <v>1.6898148148148149</v>
      </c>
      <c r="K835" s="13">
        <f>Table134[[#This Row],[purchase_history]]/Table134[[#This Row],[number_of_purchases]]</f>
        <v>57.136666666666663</v>
      </c>
      <c r="L835" s="2">
        <f>IF(YEAR(Table134[[#This Row],[Last_Day]])=2021,5,IF(YEAR(Table134[[#This Row],[Last_Day]])=2022,7,IF(YEAR(Table134[[#This Row],[Last_Day]])=2023,10,"Không xác định")))</f>
        <v>10</v>
      </c>
      <c r="M835" s="15">
        <f>Table134[[#This Row],[avg_number_of_purchases]]*Table1345[[#This Row],[avg_purchase_value]]*Table1345[[#This Row],[expected_lifespan]]</f>
        <v>965.50385802469134</v>
      </c>
      <c r="N835" t="s">
        <v>12042</v>
      </c>
    </row>
    <row r="836" spans="1:14" x14ac:dyDescent="0.3">
      <c r="A836" s="2" t="s">
        <v>834</v>
      </c>
      <c r="B836" s="2" t="s">
        <v>12040</v>
      </c>
      <c r="C836" s="2">
        <v>58</v>
      </c>
      <c r="D836" s="2" t="s">
        <v>12043</v>
      </c>
      <c r="E836" s="2">
        <f>COUNTIF(Table16[customer_id],Table13[[#This Row],[customer_id]])</f>
        <v>6</v>
      </c>
      <c r="F836" s="13">
        <f>SUMIFS(Table16[Purchase_history],Table16[customer_id],Table13[[#This Row],[customer_id]])</f>
        <v>18412.8</v>
      </c>
      <c r="G836" s="20">
        <v>44233</v>
      </c>
      <c r="H836" s="21">
        <v>44993</v>
      </c>
      <c r="I836" s="15">
        <f>(Table134[[#This Row],[Last_Day]]-Table134[[#This Row],[First_Day]]+1)/365</f>
        <v>2.0849315068493151</v>
      </c>
      <c r="J836" s="59">
        <f>Table134[[#This Row],[number_of_purchases]]/Table134[[#This Row],[customer_total_years]]</f>
        <v>2.8777923784494086</v>
      </c>
      <c r="K836" s="13">
        <f>Table134[[#This Row],[purchase_history]]/Table134[[#This Row],[number_of_purchases]]</f>
        <v>3068.7999999999997</v>
      </c>
      <c r="L836" s="2">
        <f>IF(YEAR(Table134[[#This Row],[Last_Day]])=2021,5,IF(YEAR(Table134[[#This Row],[Last_Day]])=2022,7,IF(YEAR(Table134[[#This Row],[Last_Day]])=2023,10,"Không xác định")))</f>
        <v>10</v>
      </c>
      <c r="M836" s="15">
        <f>Table134[[#This Row],[avg_number_of_purchases]]*Table1345[[#This Row],[avg_purchase_value]]*Table1345[[#This Row],[expected_lifespan]]</f>
        <v>88313.692509855449</v>
      </c>
      <c r="N836" t="s">
        <v>12044</v>
      </c>
    </row>
    <row r="837" spans="1:14" x14ac:dyDescent="0.3">
      <c r="A837" s="2" t="s">
        <v>835</v>
      </c>
      <c r="B837" s="2" t="s">
        <v>12045</v>
      </c>
      <c r="C837" s="2">
        <v>40</v>
      </c>
      <c r="D837" s="2" t="s">
        <v>12041</v>
      </c>
      <c r="E837" s="2">
        <f>COUNTIF(Table16[customer_id],Table13[[#This Row],[customer_id]])</f>
        <v>2</v>
      </c>
      <c r="F837" s="13">
        <f>SUMIFS(Table16[Purchase_history],Table16[customer_id],Table13[[#This Row],[customer_id]])</f>
        <v>3066.6600000000003</v>
      </c>
      <c r="G837" s="20">
        <v>44279</v>
      </c>
      <c r="H837" s="21">
        <v>44287</v>
      </c>
      <c r="I837" s="15">
        <f>(Table134[[#This Row],[Last_Day]]-Table134[[#This Row],[First_Day]]+1)/365</f>
        <v>2.4657534246575342E-2</v>
      </c>
      <c r="J837" s="59">
        <f>Table134[[#This Row],[number_of_purchases]]/Table134[[#This Row],[customer_total_years]]</f>
        <v>81.111111111111114</v>
      </c>
      <c r="K837" s="13">
        <f>Table134[[#This Row],[purchase_history]]/Table134[[#This Row],[number_of_purchases]]</f>
        <v>1533.3300000000002</v>
      </c>
      <c r="L837" s="2">
        <f>IF(YEAR(Table134[[#This Row],[Last_Day]])=2021,5,IF(YEAR(Table134[[#This Row],[Last_Day]])=2022,7,IF(YEAR(Table134[[#This Row],[Last_Day]])=2023,10,"Không xác định")))</f>
        <v>5</v>
      </c>
      <c r="M837" s="15">
        <f>Table134[[#This Row],[avg_number_of_purchases]]*Table1345[[#This Row],[avg_purchase_value]]*Table1345[[#This Row],[expected_lifespan]]</f>
        <v>621850.50000000012</v>
      </c>
      <c r="N837" t="s">
        <v>12048</v>
      </c>
    </row>
    <row r="838" spans="1:14" x14ac:dyDescent="0.3">
      <c r="A838" s="2" t="s">
        <v>836</v>
      </c>
      <c r="B838" s="2" t="s">
        <v>12045</v>
      </c>
      <c r="C838" s="2">
        <v>24</v>
      </c>
      <c r="D838" s="2" t="s">
        <v>12041</v>
      </c>
      <c r="E838" s="2">
        <f>COUNTIF(Table16[customer_id],Table13[[#This Row],[customer_id]])</f>
        <v>6</v>
      </c>
      <c r="F838" s="13">
        <f>SUMIFS(Table16[Purchase_history],Table16[customer_id],Table13[[#This Row],[customer_id]])</f>
        <v>8149.28</v>
      </c>
      <c r="G838" s="20">
        <v>44201</v>
      </c>
      <c r="H838" s="21">
        <v>44874</v>
      </c>
      <c r="I838" s="15">
        <f>(Table134[[#This Row],[Last_Day]]-Table134[[#This Row],[First_Day]]+1)/365</f>
        <v>1.8465753424657534</v>
      </c>
      <c r="J838" s="59">
        <f>Table134[[#This Row],[number_of_purchases]]/Table134[[#This Row],[customer_total_years]]</f>
        <v>3.2492581602373889</v>
      </c>
      <c r="K838" s="13">
        <f>Table134[[#This Row],[purchase_history]]/Table134[[#This Row],[number_of_purchases]]</f>
        <v>1358.2133333333334</v>
      </c>
      <c r="L838" s="2">
        <f>IF(YEAR(Table134[[#This Row],[Last_Day]])=2021,5,IF(YEAR(Table134[[#This Row],[Last_Day]])=2022,7,IF(YEAR(Table134[[#This Row],[Last_Day]])=2023,10,"Không xác định")))</f>
        <v>7</v>
      </c>
      <c r="M838" s="15">
        <f>Table134[[#This Row],[avg_number_of_purchases]]*Table1345[[#This Row],[avg_purchase_value]]*Table1345[[#This Row],[expected_lifespan]]</f>
        <v>30892.30029673591</v>
      </c>
      <c r="N838" t="s">
        <v>12048</v>
      </c>
    </row>
    <row r="839" spans="1:14" x14ac:dyDescent="0.3">
      <c r="A839" s="2" t="s">
        <v>837</v>
      </c>
      <c r="B839" s="2" t="s">
        <v>12045</v>
      </c>
      <c r="C839" s="2">
        <v>64</v>
      </c>
      <c r="D839" s="2" t="s">
        <v>12043</v>
      </c>
      <c r="E839" s="2">
        <f>COUNTIF(Table16[customer_id],Table13[[#This Row],[customer_id]])</f>
        <v>4</v>
      </c>
      <c r="F839" s="13">
        <f>SUMIFS(Table16[Purchase_history],Table16[customer_id],Table13[[#This Row],[customer_id]])</f>
        <v>1898.4499999999998</v>
      </c>
      <c r="G839" s="20">
        <v>44448</v>
      </c>
      <c r="H839" s="21">
        <v>44826</v>
      </c>
      <c r="I839" s="15">
        <f>(Table134[[#This Row],[Last_Day]]-Table134[[#This Row],[First_Day]]+1)/365</f>
        <v>1.0383561643835617</v>
      </c>
      <c r="J839" s="59">
        <f>Table134[[#This Row],[number_of_purchases]]/Table134[[#This Row],[customer_total_years]]</f>
        <v>3.8522427440633242</v>
      </c>
      <c r="K839" s="13">
        <f>Table134[[#This Row],[purchase_history]]/Table134[[#This Row],[number_of_purchases]]</f>
        <v>474.61249999999995</v>
      </c>
      <c r="L839" s="2">
        <f>IF(YEAR(Table134[[#This Row],[Last_Day]])=2021,5,IF(YEAR(Table134[[#This Row],[Last_Day]])=2022,7,IF(YEAR(Table134[[#This Row],[Last_Day]])=2023,10,"Không xác định")))</f>
        <v>7</v>
      </c>
      <c r="M839" s="15">
        <f>Table134[[#This Row],[avg_number_of_purchases]]*Table1345[[#This Row],[avg_purchase_value]]*Table1345[[#This Row],[expected_lifespan]]</f>
        <v>12798.257915567281</v>
      </c>
      <c r="N839" t="s">
        <v>12046</v>
      </c>
    </row>
    <row r="840" spans="1:14" x14ac:dyDescent="0.3">
      <c r="A840" s="2" t="s">
        <v>838</v>
      </c>
      <c r="B840" s="2" t="s">
        <v>12045</v>
      </c>
      <c r="C840" s="2">
        <v>51</v>
      </c>
      <c r="D840" s="2" t="s">
        <v>12049</v>
      </c>
      <c r="E840" s="2">
        <f>COUNTIF(Table16[customer_id],Table13[[#This Row],[customer_id]])</f>
        <v>4</v>
      </c>
      <c r="F840" s="13">
        <f>SUMIFS(Table16[Purchase_history],Table16[customer_id],Table13[[#This Row],[customer_id]])</f>
        <v>39569.78</v>
      </c>
      <c r="G840" s="20">
        <v>44350</v>
      </c>
      <c r="H840" s="21">
        <v>44697</v>
      </c>
      <c r="I840" s="15">
        <f>(Table134[[#This Row],[Last_Day]]-Table134[[#This Row],[First_Day]]+1)/365</f>
        <v>0.95342465753424654</v>
      </c>
      <c r="J840" s="59">
        <f>Table134[[#This Row],[number_of_purchases]]/Table134[[#This Row],[customer_total_years]]</f>
        <v>4.195402298850575</v>
      </c>
      <c r="K840" s="13">
        <f>Table134[[#This Row],[purchase_history]]/Table134[[#This Row],[number_of_purchases]]</f>
        <v>9892.4449999999997</v>
      </c>
      <c r="L840" s="2">
        <f>IF(YEAR(Table134[[#This Row],[Last_Day]])=2021,5,IF(YEAR(Table134[[#This Row],[Last_Day]])=2022,7,IF(YEAR(Table134[[#This Row],[Last_Day]])=2023,10,"Không xác định")))</f>
        <v>7</v>
      </c>
      <c r="M840" s="15">
        <f>Table134[[#This Row],[avg_number_of_purchases]]*Table1345[[#This Row],[avg_purchase_value]]*Table1345[[#This Row],[expected_lifespan]]</f>
        <v>290519.50545977015</v>
      </c>
      <c r="N840" t="s">
        <v>12047</v>
      </c>
    </row>
    <row r="841" spans="1:14" x14ac:dyDescent="0.3">
      <c r="A841" s="2" t="s">
        <v>839</v>
      </c>
      <c r="B841" s="2" t="s">
        <v>12040</v>
      </c>
      <c r="C841" s="2">
        <v>59</v>
      </c>
      <c r="D841" s="2" t="s">
        <v>12041</v>
      </c>
      <c r="E841" s="2">
        <f>COUNTIF(Table16[customer_id],Table13[[#This Row],[customer_id]])</f>
        <v>3</v>
      </c>
      <c r="F841" s="13">
        <f>SUMIFS(Table16[Purchase_history],Table16[customer_id],Table13[[#This Row],[customer_id]])</f>
        <v>16204.57</v>
      </c>
      <c r="G841" s="20">
        <v>44217</v>
      </c>
      <c r="H841" s="21">
        <v>44399</v>
      </c>
      <c r="I841" s="15">
        <f>(Table134[[#This Row],[Last_Day]]-Table134[[#This Row],[First_Day]]+1)/365</f>
        <v>0.50136986301369868</v>
      </c>
      <c r="J841" s="59">
        <f>Table134[[#This Row],[number_of_purchases]]/Table134[[#This Row],[customer_total_years]]</f>
        <v>5.9836065573770485</v>
      </c>
      <c r="K841" s="13">
        <f>Table134[[#This Row],[purchase_history]]/Table134[[#This Row],[number_of_purchases]]</f>
        <v>5401.5233333333335</v>
      </c>
      <c r="L841" s="2">
        <f>IF(YEAR(Table134[[#This Row],[Last_Day]])=2021,5,IF(YEAR(Table134[[#This Row],[Last_Day]])=2022,7,IF(YEAR(Table134[[#This Row],[Last_Day]])=2023,10,"Không xác định")))</f>
        <v>5</v>
      </c>
      <c r="M841" s="15">
        <f>Table134[[#This Row],[avg_number_of_purchases]]*Table1345[[#This Row],[avg_purchase_value]]*Table1345[[#This Row],[expected_lifespan]]</f>
        <v>161602.95218579235</v>
      </c>
      <c r="N841" t="s">
        <v>12047</v>
      </c>
    </row>
    <row r="842" spans="1:14" x14ac:dyDescent="0.3">
      <c r="A842" s="2" t="s">
        <v>840</v>
      </c>
      <c r="B842" s="2" t="s">
        <v>12040</v>
      </c>
      <c r="C842" s="2">
        <v>32</v>
      </c>
      <c r="D842" s="2" t="s">
        <v>12049</v>
      </c>
      <c r="E842" s="2">
        <f>COUNTIF(Table16[customer_id],Table13[[#This Row],[customer_id]])</f>
        <v>3</v>
      </c>
      <c r="F842" s="13">
        <f>SUMIFS(Table16[Purchase_history],Table16[customer_id],Table13[[#This Row],[customer_id]])</f>
        <v>2714.85</v>
      </c>
      <c r="G842" s="20">
        <v>44376</v>
      </c>
      <c r="H842" s="21">
        <v>44619</v>
      </c>
      <c r="I842" s="15">
        <f>(Table134[[#This Row],[Last_Day]]-Table134[[#This Row],[First_Day]]+1)/365</f>
        <v>0.66849315068493154</v>
      </c>
      <c r="J842" s="59">
        <f>Table134[[#This Row],[number_of_purchases]]/Table134[[#This Row],[customer_total_years]]</f>
        <v>4.4877049180327866</v>
      </c>
      <c r="K842" s="13">
        <f>Table134[[#This Row],[purchase_history]]/Table134[[#This Row],[number_of_purchases]]</f>
        <v>904.94999999999993</v>
      </c>
      <c r="L842" s="2">
        <f>IF(YEAR(Table134[[#This Row],[Last_Day]])=2021,5,IF(YEAR(Table134[[#This Row],[Last_Day]])=2022,7,IF(YEAR(Table134[[#This Row],[Last_Day]])=2023,10,"Không xác định")))</f>
        <v>7</v>
      </c>
      <c r="M842" s="15">
        <f>Table134[[#This Row],[avg_number_of_purchases]]*Table1345[[#This Row],[avg_purchase_value]]*Table1345[[#This Row],[expected_lifespan]]</f>
        <v>28428.039959016387</v>
      </c>
      <c r="N842" t="s">
        <v>12042</v>
      </c>
    </row>
    <row r="843" spans="1:14" x14ac:dyDescent="0.3">
      <c r="A843" s="2" t="s">
        <v>841</v>
      </c>
      <c r="B843" s="2" t="s">
        <v>12045</v>
      </c>
      <c r="C843" s="2">
        <v>36</v>
      </c>
      <c r="D843" s="2" t="s">
        <v>12043</v>
      </c>
      <c r="E843" s="2">
        <f>COUNTIF(Table16[customer_id],Table13[[#This Row],[customer_id]])</f>
        <v>4</v>
      </c>
      <c r="F843" s="13">
        <f>SUMIFS(Table16[Purchase_history],Table16[customer_id],Table13[[#This Row],[customer_id]])</f>
        <v>5109.04</v>
      </c>
      <c r="G843" s="20">
        <v>44201</v>
      </c>
      <c r="H843" s="21">
        <v>44973</v>
      </c>
      <c r="I843" s="15">
        <f>(Table134[[#This Row],[Last_Day]]-Table134[[#This Row],[First_Day]]+1)/365</f>
        <v>2.117808219178082</v>
      </c>
      <c r="J843" s="59">
        <f>Table134[[#This Row],[number_of_purchases]]/Table134[[#This Row],[customer_total_years]]</f>
        <v>1.8887451487710221</v>
      </c>
      <c r="K843" s="13">
        <f>Table134[[#This Row],[purchase_history]]/Table134[[#This Row],[number_of_purchases]]</f>
        <v>1277.26</v>
      </c>
      <c r="L843" s="2">
        <f>IF(YEAR(Table134[[#This Row],[Last_Day]])=2021,5,IF(YEAR(Table134[[#This Row],[Last_Day]])=2022,7,IF(YEAR(Table134[[#This Row],[Last_Day]])=2023,10,"Không xác định")))</f>
        <v>10</v>
      </c>
      <c r="M843" s="15">
        <f>Table134[[#This Row],[avg_number_of_purchases]]*Table1345[[#This Row],[avg_purchase_value]]*Table1345[[#This Row],[expected_lifespan]]</f>
        <v>24124.186287192755</v>
      </c>
      <c r="N843" t="s">
        <v>12048</v>
      </c>
    </row>
    <row r="844" spans="1:14" x14ac:dyDescent="0.3">
      <c r="A844" s="2" t="s">
        <v>842</v>
      </c>
      <c r="B844" s="2" t="s">
        <v>12040</v>
      </c>
      <c r="C844" s="2">
        <v>19</v>
      </c>
      <c r="D844" s="2" t="s">
        <v>12043</v>
      </c>
      <c r="E844" s="2">
        <f>COUNTIF(Table16[customer_id],Table13[[#This Row],[customer_id]])</f>
        <v>6</v>
      </c>
      <c r="F844" s="13">
        <f>SUMIFS(Table16[Purchase_history],Table16[customer_id],Table13[[#This Row],[customer_id]])</f>
        <v>13959.13</v>
      </c>
      <c r="G844" s="20">
        <v>44239</v>
      </c>
      <c r="H844" s="21">
        <v>44898</v>
      </c>
      <c r="I844" s="15">
        <f>(Table134[[#This Row],[Last_Day]]-Table134[[#This Row],[First_Day]]+1)/365</f>
        <v>1.8082191780821917</v>
      </c>
      <c r="J844" s="59">
        <f>Table134[[#This Row],[number_of_purchases]]/Table134[[#This Row],[customer_total_years]]</f>
        <v>3.3181818181818183</v>
      </c>
      <c r="K844" s="13">
        <f>Table134[[#This Row],[purchase_history]]/Table134[[#This Row],[number_of_purchases]]</f>
        <v>2326.5216666666665</v>
      </c>
      <c r="L844" s="2">
        <f>IF(YEAR(Table134[[#This Row],[Last_Day]])=2021,5,IF(YEAR(Table134[[#This Row],[Last_Day]])=2022,7,IF(YEAR(Table134[[#This Row],[Last_Day]])=2023,10,"Không xác định")))</f>
        <v>7</v>
      </c>
      <c r="M844" s="15">
        <f>Table134[[#This Row],[avg_number_of_purchases]]*Table1345[[#This Row],[avg_purchase_value]]*Table1345[[#This Row],[expected_lifespan]]</f>
        <v>54038.753257575758</v>
      </c>
      <c r="N844" t="s">
        <v>12048</v>
      </c>
    </row>
    <row r="845" spans="1:14" x14ac:dyDescent="0.3">
      <c r="A845" s="2" t="s">
        <v>843</v>
      </c>
      <c r="B845" s="2" t="s">
        <v>12040</v>
      </c>
      <c r="C845" s="2">
        <v>50</v>
      </c>
      <c r="D845" s="2" t="s">
        <v>12043</v>
      </c>
      <c r="E845" s="2">
        <f>COUNTIF(Table16[customer_id],Table13[[#This Row],[customer_id]])</f>
        <v>7</v>
      </c>
      <c r="F845" s="13">
        <f>SUMIFS(Table16[Purchase_history],Table16[customer_id],Table13[[#This Row],[customer_id]])</f>
        <v>7100.45</v>
      </c>
      <c r="G845" s="20">
        <v>44265</v>
      </c>
      <c r="H845" s="21">
        <v>44959</v>
      </c>
      <c r="I845" s="15">
        <f>(Table134[[#This Row],[Last_Day]]-Table134[[#This Row],[First_Day]]+1)/365</f>
        <v>1.904109589041096</v>
      </c>
      <c r="J845" s="59">
        <f>Table134[[#This Row],[number_of_purchases]]/Table134[[#This Row],[customer_total_years]]</f>
        <v>3.6762589928057552</v>
      </c>
      <c r="K845" s="13">
        <f>Table134[[#This Row],[purchase_history]]/Table134[[#This Row],[number_of_purchases]]</f>
        <v>1014.35</v>
      </c>
      <c r="L845" s="2">
        <f>IF(YEAR(Table134[[#This Row],[Last_Day]])=2021,5,IF(YEAR(Table134[[#This Row],[Last_Day]])=2022,7,IF(YEAR(Table134[[#This Row],[Last_Day]])=2023,10,"Không xác định")))</f>
        <v>10</v>
      </c>
      <c r="M845" s="15">
        <f>Table134[[#This Row],[avg_number_of_purchases]]*Table1345[[#This Row],[avg_purchase_value]]*Table1345[[#This Row],[expected_lifespan]]</f>
        <v>37290.133093525175</v>
      </c>
      <c r="N845" t="s">
        <v>12047</v>
      </c>
    </row>
    <row r="846" spans="1:14" x14ac:dyDescent="0.3">
      <c r="A846" s="2" t="s">
        <v>844</v>
      </c>
      <c r="B846" s="2" t="s">
        <v>12040</v>
      </c>
      <c r="C846" s="2">
        <v>58</v>
      </c>
      <c r="D846" s="2" t="s">
        <v>12041</v>
      </c>
      <c r="E846" s="2">
        <f>COUNTIF(Table16[customer_id],Table13[[#This Row],[customer_id]])</f>
        <v>5</v>
      </c>
      <c r="F846" s="13">
        <f>SUMIFS(Table16[Purchase_history],Table16[customer_id],Table13[[#This Row],[customer_id]])</f>
        <v>10594.7</v>
      </c>
      <c r="G846" s="20">
        <v>44310</v>
      </c>
      <c r="H846" s="21">
        <v>44856</v>
      </c>
      <c r="I846" s="15">
        <f>(Table134[[#This Row],[Last_Day]]-Table134[[#This Row],[First_Day]]+1)/365</f>
        <v>1.4986301369863013</v>
      </c>
      <c r="J846" s="59">
        <f>Table134[[#This Row],[number_of_purchases]]/Table134[[#This Row],[customer_total_years]]</f>
        <v>3.3363802559414992</v>
      </c>
      <c r="K846" s="13">
        <f>Table134[[#This Row],[purchase_history]]/Table134[[#This Row],[number_of_purchases]]</f>
        <v>2118.94</v>
      </c>
      <c r="L846" s="2">
        <f>IF(YEAR(Table134[[#This Row],[Last_Day]])=2021,5,IF(YEAR(Table134[[#This Row],[Last_Day]])=2022,7,IF(YEAR(Table134[[#This Row],[Last_Day]])=2023,10,"Không xác định")))</f>
        <v>7</v>
      </c>
      <c r="M846" s="15">
        <f>Table134[[#This Row],[avg_number_of_purchases]]*Table1345[[#This Row],[avg_purchase_value]]*Table1345[[#This Row],[expected_lifespan]]</f>
        <v>49487.127056672762</v>
      </c>
      <c r="N846" t="s">
        <v>12044</v>
      </c>
    </row>
    <row r="847" spans="1:14" x14ac:dyDescent="0.3">
      <c r="A847" s="2" t="s">
        <v>845</v>
      </c>
      <c r="B847" s="2" t="s">
        <v>12040</v>
      </c>
      <c r="C847" s="2">
        <v>41</v>
      </c>
      <c r="D847" s="2" t="s">
        <v>12041</v>
      </c>
      <c r="E847" s="2">
        <f>COUNTIF(Table16[customer_id],Table13[[#This Row],[customer_id]])</f>
        <v>5</v>
      </c>
      <c r="F847" s="13">
        <f>SUMIFS(Table16[Purchase_history],Table16[customer_id],Table13[[#This Row],[customer_id]])</f>
        <v>15049.810000000001</v>
      </c>
      <c r="G847" s="20">
        <v>44303</v>
      </c>
      <c r="H847" s="21">
        <v>44745</v>
      </c>
      <c r="I847" s="15">
        <f>(Table134[[#This Row],[Last_Day]]-Table134[[#This Row],[First_Day]]+1)/365</f>
        <v>1.2136986301369863</v>
      </c>
      <c r="J847" s="59">
        <f>Table134[[#This Row],[number_of_purchases]]/Table134[[#This Row],[customer_total_years]]</f>
        <v>4.1196388261851018</v>
      </c>
      <c r="K847" s="13">
        <f>Table134[[#This Row],[purchase_history]]/Table134[[#This Row],[number_of_purchases]]</f>
        <v>3009.9620000000004</v>
      </c>
      <c r="L847" s="2">
        <f>IF(YEAR(Table134[[#This Row],[Last_Day]])=2021,5,IF(YEAR(Table134[[#This Row],[Last_Day]])=2022,7,IF(YEAR(Table134[[#This Row],[Last_Day]])=2023,10,"Không xác định")))</f>
        <v>7</v>
      </c>
      <c r="M847" s="15">
        <f>Table134[[#This Row],[avg_number_of_purchases]]*Table1345[[#This Row],[avg_purchase_value]]*Table1345[[#This Row],[expected_lifespan]]</f>
        <v>86799.694243792343</v>
      </c>
      <c r="N847" t="s">
        <v>12046</v>
      </c>
    </row>
    <row r="848" spans="1:14" x14ac:dyDescent="0.3">
      <c r="A848" s="2" t="s">
        <v>846</v>
      </c>
      <c r="B848" s="2" t="s">
        <v>12040</v>
      </c>
      <c r="C848" s="2">
        <v>59</v>
      </c>
      <c r="D848" s="2" t="s">
        <v>12049</v>
      </c>
      <c r="E848" s="2">
        <f>COUNTIF(Table16[customer_id],Table13[[#This Row],[customer_id]])</f>
        <v>5</v>
      </c>
      <c r="F848" s="13">
        <f>SUMIFS(Table16[Purchase_history],Table16[customer_id],Table13[[#This Row],[customer_id]])</f>
        <v>9925.130000000001</v>
      </c>
      <c r="G848" s="20">
        <v>44258</v>
      </c>
      <c r="H848" s="21">
        <v>44529</v>
      </c>
      <c r="I848" s="15">
        <f>(Table134[[#This Row],[Last_Day]]-Table134[[#This Row],[First_Day]]+1)/365</f>
        <v>0.74520547945205484</v>
      </c>
      <c r="J848" s="59">
        <f>Table134[[#This Row],[number_of_purchases]]/Table134[[#This Row],[customer_total_years]]</f>
        <v>6.7095588235294112</v>
      </c>
      <c r="K848" s="13">
        <f>Table134[[#This Row],[purchase_history]]/Table134[[#This Row],[number_of_purchases]]</f>
        <v>1985.0260000000003</v>
      </c>
      <c r="L848" s="2">
        <f>IF(YEAR(Table134[[#This Row],[Last_Day]])=2021,5,IF(YEAR(Table134[[#This Row],[Last_Day]])=2022,7,IF(YEAR(Table134[[#This Row],[Last_Day]])=2023,10,"Không xác định")))</f>
        <v>5</v>
      </c>
      <c r="M848" s="15">
        <f>Table134[[#This Row],[avg_number_of_purchases]]*Table1345[[#This Row],[avg_purchase_value]]*Table1345[[#This Row],[expected_lifespan]]</f>
        <v>66593.243566176476</v>
      </c>
      <c r="N848" t="s">
        <v>12047</v>
      </c>
    </row>
    <row r="849" spans="1:14" x14ac:dyDescent="0.3">
      <c r="A849" s="2" t="s">
        <v>847</v>
      </c>
      <c r="B849" s="2" t="s">
        <v>12040</v>
      </c>
      <c r="C849" s="2">
        <v>52</v>
      </c>
      <c r="D849" s="2" t="s">
        <v>12049</v>
      </c>
      <c r="E849" s="2">
        <f>COUNTIF(Table16[customer_id],Table13[[#This Row],[customer_id]])</f>
        <v>7</v>
      </c>
      <c r="F849" s="13">
        <f>SUMIFS(Table16[Purchase_history],Table16[customer_id],Table13[[#This Row],[customer_id]])</f>
        <v>15159.49</v>
      </c>
      <c r="G849" s="20">
        <v>44212</v>
      </c>
      <c r="H849" s="21">
        <v>44696</v>
      </c>
      <c r="I849" s="15">
        <f>(Table134[[#This Row],[Last_Day]]-Table134[[#This Row],[First_Day]]+1)/365</f>
        <v>1.3287671232876712</v>
      </c>
      <c r="J849" s="59">
        <f>Table134[[#This Row],[number_of_purchases]]/Table134[[#This Row],[customer_total_years]]</f>
        <v>5.268041237113402</v>
      </c>
      <c r="K849" s="13">
        <f>Table134[[#This Row],[purchase_history]]/Table134[[#This Row],[number_of_purchases]]</f>
        <v>2165.6414285714286</v>
      </c>
      <c r="L849" s="2">
        <f>IF(YEAR(Table134[[#This Row],[Last_Day]])=2021,5,IF(YEAR(Table134[[#This Row],[Last_Day]])=2022,7,IF(YEAR(Table134[[#This Row],[Last_Day]])=2023,10,"Không xác định")))</f>
        <v>7</v>
      </c>
      <c r="M849" s="15">
        <f>Table134[[#This Row],[avg_number_of_purchases]]*Table1345[[#This Row],[avg_purchase_value]]*Table1345[[#This Row],[expected_lifespan]]</f>
        <v>79860.818453608241</v>
      </c>
      <c r="N849" t="s">
        <v>12044</v>
      </c>
    </row>
    <row r="850" spans="1:14" x14ac:dyDescent="0.3">
      <c r="A850" s="2" t="s">
        <v>848</v>
      </c>
      <c r="B850" s="2" t="s">
        <v>12040</v>
      </c>
      <c r="C850" s="2">
        <v>43</v>
      </c>
      <c r="D850" s="2" t="s">
        <v>12043</v>
      </c>
      <c r="E850" s="2">
        <f>COUNTIF(Table16[customer_id],Table13[[#This Row],[customer_id]])</f>
        <v>5</v>
      </c>
      <c r="F850" s="13">
        <f>SUMIFS(Table16[Purchase_history],Table16[customer_id],Table13[[#This Row],[customer_id]])</f>
        <v>6209.07</v>
      </c>
      <c r="G850" s="20">
        <v>44479</v>
      </c>
      <c r="H850" s="21">
        <v>44966</v>
      </c>
      <c r="I850" s="15">
        <f>(Table134[[#This Row],[Last_Day]]-Table134[[#This Row],[First_Day]]+1)/365</f>
        <v>1.3369863013698631</v>
      </c>
      <c r="J850" s="59">
        <f>Table134[[#This Row],[number_of_purchases]]/Table134[[#This Row],[customer_total_years]]</f>
        <v>3.7397540983606556</v>
      </c>
      <c r="K850" s="13">
        <f>Table134[[#This Row],[purchase_history]]/Table134[[#This Row],[number_of_purchases]]</f>
        <v>1241.8139999999999</v>
      </c>
      <c r="L850" s="2">
        <f>IF(YEAR(Table134[[#This Row],[Last_Day]])=2021,5,IF(YEAR(Table134[[#This Row],[Last_Day]])=2022,7,IF(YEAR(Table134[[#This Row],[Last_Day]])=2023,10,"Không xác định")))</f>
        <v>10</v>
      </c>
      <c r="M850" s="15">
        <f>Table134[[#This Row],[avg_number_of_purchases]]*Table1345[[#This Row],[avg_purchase_value]]*Table1345[[#This Row],[expected_lifespan]]</f>
        <v>46440.789959016387</v>
      </c>
      <c r="N850" t="s">
        <v>12044</v>
      </c>
    </row>
    <row r="851" spans="1:14" x14ac:dyDescent="0.3">
      <c r="A851" s="2" t="s">
        <v>849</v>
      </c>
      <c r="B851" s="2" t="s">
        <v>12045</v>
      </c>
      <c r="C851" s="2">
        <v>42</v>
      </c>
      <c r="D851" s="2" t="s">
        <v>12041</v>
      </c>
      <c r="E851" s="2">
        <f>COUNTIF(Table16[customer_id],Table13[[#This Row],[customer_id]])</f>
        <v>7</v>
      </c>
      <c r="F851" s="13">
        <f>SUMIFS(Table16[Purchase_history],Table16[customer_id],Table13[[#This Row],[customer_id]])</f>
        <v>30323.95</v>
      </c>
      <c r="G851" s="20">
        <v>44226</v>
      </c>
      <c r="H851" s="21">
        <v>44992</v>
      </c>
      <c r="I851" s="15">
        <f>(Table134[[#This Row],[Last_Day]]-Table134[[#This Row],[First_Day]]+1)/365</f>
        <v>2.1013698630136988</v>
      </c>
      <c r="J851" s="59">
        <f>Table134[[#This Row],[number_of_purchases]]/Table134[[#This Row],[customer_total_years]]</f>
        <v>3.3311603650586701</v>
      </c>
      <c r="K851" s="13">
        <f>Table134[[#This Row],[purchase_history]]/Table134[[#This Row],[number_of_purchases]]</f>
        <v>4331.9928571428572</v>
      </c>
      <c r="L851" s="2">
        <f>IF(YEAR(Table134[[#This Row],[Last_Day]])=2021,5,IF(YEAR(Table134[[#This Row],[Last_Day]])=2022,7,IF(YEAR(Table134[[#This Row],[Last_Day]])=2023,10,"Không xác định")))</f>
        <v>10</v>
      </c>
      <c r="M851" s="15">
        <f>Table134[[#This Row],[avg_number_of_purchases]]*Table1345[[#This Row],[avg_purchase_value]]*Table1345[[#This Row],[expected_lifespan]]</f>
        <v>144305.62907431551</v>
      </c>
      <c r="N851" t="s">
        <v>12048</v>
      </c>
    </row>
    <row r="852" spans="1:14" x14ac:dyDescent="0.3">
      <c r="A852" s="2" t="s">
        <v>850</v>
      </c>
      <c r="B852" s="2" t="s">
        <v>12040</v>
      </c>
      <c r="C852" s="2">
        <v>26</v>
      </c>
      <c r="D852" s="2" t="s">
        <v>12043</v>
      </c>
      <c r="E852" s="2">
        <f>COUNTIF(Table16[customer_id],Table13[[#This Row],[customer_id]])</f>
        <v>3</v>
      </c>
      <c r="F852" s="13">
        <f>SUMIFS(Table16[Purchase_history],Table16[customer_id],Table13[[#This Row],[customer_id]])</f>
        <v>3901.08</v>
      </c>
      <c r="G852" s="20">
        <v>44858</v>
      </c>
      <c r="H852" s="21">
        <v>44922</v>
      </c>
      <c r="I852" s="15">
        <f>(Table134[[#This Row],[Last_Day]]-Table134[[#This Row],[First_Day]]+1)/365</f>
        <v>0.17808219178082191</v>
      </c>
      <c r="J852" s="59">
        <f>Table134[[#This Row],[number_of_purchases]]/Table134[[#This Row],[customer_total_years]]</f>
        <v>16.846153846153847</v>
      </c>
      <c r="K852" s="13">
        <f>Table134[[#This Row],[purchase_history]]/Table134[[#This Row],[number_of_purchases]]</f>
        <v>1300.3599999999999</v>
      </c>
      <c r="L852" s="2">
        <f>IF(YEAR(Table134[[#This Row],[Last_Day]])=2021,5,IF(YEAR(Table134[[#This Row],[Last_Day]])=2022,7,IF(YEAR(Table134[[#This Row],[Last_Day]])=2023,10,"Không xác định")))</f>
        <v>7</v>
      </c>
      <c r="M852" s="15">
        <f>Table134[[#This Row],[avg_number_of_purchases]]*Table1345[[#This Row],[avg_purchase_value]]*Table1345[[#This Row],[expected_lifespan]]</f>
        <v>153342.45230769229</v>
      </c>
      <c r="N852" t="s">
        <v>12042</v>
      </c>
    </row>
    <row r="853" spans="1:14" x14ac:dyDescent="0.3">
      <c r="A853" s="2" t="s">
        <v>851</v>
      </c>
      <c r="B853" s="2" t="s">
        <v>12040</v>
      </c>
      <c r="C853" s="2">
        <v>54</v>
      </c>
      <c r="D853" s="2" t="s">
        <v>12041</v>
      </c>
      <c r="E853" s="2">
        <f>COUNTIF(Table16[customer_id],Table13[[#This Row],[customer_id]])</f>
        <v>6</v>
      </c>
      <c r="F853" s="13">
        <f>SUMIFS(Table16[Purchase_history],Table16[customer_id],Table13[[#This Row],[customer_id]])</f>
        <v>12398.349999999999</v>
      </c>
      <c r="G853" s="20">
        <v>44380</v>
      </c>
      <c r="H853" s="21">
        <v>44965</v>
      </c>
      <c r="I853" s="15">
        <f>(Table134[[#This Row],[Last_Day]]-Table134[[#This Row],[First_Day]]+1)/365</f>
        <v>1.6054794520547946</v>
      </c>
      <c r="J853" s="59">
        <f>Table134[[#This Row],[number_of_purchases]]/Table134[[#This Row],[customer_total_years]]</f>
        <v>3.7372013651877132</v>
      </c>
      <c r="K853" s="13">
        <f>Table134[[#This Row],[purchase_history]]/Table134[[#This Row],[number_of_purchases]]</f>
        <v>2066.3916666666664</v>
      </c>
      <c r="L853" s="2">
        <f>IF(YEAR(Table134[[#This Row],[Last_Day]])=2021,5,IF(YEAR(Table134[[#This Row],[Last_Day]])=2022,7,IF(YEAR(Table134[[#This Row],[Last_Day]])=2023,10,"Không xác định")))</f>
        <v>10</v>
      </c>
      <c r="M853" s="15">
        <f>Table134[[#This Row],[avg_number_of_purchases]]*Table1345[[#This Row],[avg_purchase_value]]*Table1345[[#This Row],[expected_lifespan]]</f>
        <v>77225.217576791794</v>
      </c>
      <c r="N853" t="s">
        <v>12048</v>
      </c>
    </row>
    <row r="854" spans="1:14" x14ac:dyDescent="0.3">
      <c r="A854" s="2" t="s">
        <v>852</v>
      </c>
      <c r="B854" s="2" t="s">
        <v>12045</v>
      </c>
      <c r="C854" s="2">
        <v>38</v>
      </c>
      <c r="D854" s="2" t="s">
        <v>12043</v>
      </c>
      <c r="E854" s="2">
        <f>COUNTIF(Table16[customer_id],Table13[[#This Row],[customer_id]])</f>
        <v>8</v>
      </c>
      <c r="F854" s="13">
        <f>SUMIFS(Table16[Purchase_history],Table16[customer_id],Table13[[#This Row],[customer_id]])</f>
        <v>9893.7899999999991</v>
      </c>
      <c r="G854" s="20">
        <v>44281</v>
      </c>
      <c r="H854" s="21">
        <v>44952</v>
      </c>
      <c r="I854" s="15">
        <f>(Table134[[#This Row],[Last_Day]]-Table134[[#This Row],[First_Day]]+1)/365</f>
        <v>1.8410958904109589</v>
      </c>
      <c r="J854" s="59">
        <f>Table134[[#This Row],[number_of_purchases]]/Table134[[#This Row],[customer_total_years]]</f>
        <v>4.3452380952380949</v>
      </c>
      <c r="K854" s="13">
        <f>Table134[[#This Row],[purchase_history]]/Table134[[#This Row],[number_of_purchases]]</f>
        <v>1236.7237499999999</v>
      </c>
      <c r="L854" s="2">
        <f>IF(YEAR(Table134[[#This Row],[Last_Day]])=2021,5,IF(YEAR(Table134[[#This Row],[Last_Day]])=2022,7,IF(YEAR(Table134[[#This Row],[Last_Day]])=2023,10,"Không xác định")))</f>
        <v>10</v>
      </c>
      <c r="M854" s="15">
        <f>Table134[[#This Row],[avg_number_of_purchases]]*Table1345[[#This Row],[avg_purchase_value]]*Table1345[[#This Row],[expected_lifespan]]</f>
        <v>53738.59151785713</v>
      </c>
      <c r="N854" t="s">
        <v>12042</v>
      </c>
    </row>
    <row r="855" spans="1:14" x14ac:dyDescent="0.3">
      <c r="A855" s="2" t="s">
        <v>853</v>
      </c>
      <c r="B855" s="2" t="s">
        <v>12040</v>
      </c>
      <c r="C855" s="2">
        <v>51</v>
      </c>
      <c r="D855" s="2" t="s">
        <v>12049</v>
      </c>
      <c r="E855" s="2">
        <f>COUNTIF(Table16[customer_id],Table13[[#This Row],[customer_id]])</f>
        <v>4</v>
      </c>
      <c r="F855" s="13">
        <f>SUMIFS(Table16[Purchase_history],Table16[customer_id],Table13[[#This Row],[customer_id]])</f>
        <v>8355.39</v>
      </c>
      <c r="G855" s="20">
        <v>44257</v>
      </c>
      <c r="H855" s="21">
        <v>44793</v>
      </c>
      <c r="I855" s="15">
        <f>(Table134[[#This Row],[Last_Day]]-Table134[[#This Row],[First_Day]]+1)/365</f>
        <v>1.4712328767123288</v>
      </c>
      <c r="J855" s="59">
        <f>Table134[[#This Row],[number_of_purchases]]/Table134[[#This Row],[customer_total_years]]</f>
        <v>2.7188081936685289</v>
      </c>
      <c r="K855" s="13">
        <f>Table134[[#This Row],[purchase_history]]/Table134[[#This Row],[number_of_purchases]]</f>
        <v>2088.8474999999999</v>
      </c>
      <c r="L855" s="2">
        <f>IF(YEAR(Table134[[#This Row],[Last_Day]])=2021,5,IF(YEAR(Table134[[#This Row],[Last_Day]])=2022,7,IF(YEAR(Table134[[#This Row],[Last_Day]])=2023,10,"Không xác định")))</f>
        <v>7</v>
      </c>
      <c r="M855" s="15">
        <f>Table134[[#This Row],[avg_number_of_purchases]]*Table1345[[#This Row],[avg_purchase_value]]*Table1345[[#This Row],[expected_lifespan]]</f>
        <v>39754.229888268157</v>
      </c>
      <c r="N855" t="s">
        <v>12047</v>
      </c>
    </row>
    <row r="856" spans="1:14" x14ac:dyDescent="0.3">
      <c r="A856" s="2" t="s">
        <v>854</v>
      </c>
      <c r="B856" s="2" t="s">
        <v>12040</v>
      </c>
      <c r="C856" s="2">
        <v>37</v>
      </c>
      <c r="D856" s="2" t="s">
        <v>12041</v>
      </c>
      <c r="E856" s="2">
        <f>COUNTIF(Table16[customer_id],Table13[[#This Row],[customer_id]])</f>
        <v>3</v>
      </c>
      <c r="F856" s="13">
        <f>SUMIFS(Table16[Purchase_history],Table16[customer_id],Table13[[#This Row],[customer_id]])</f>
        <v>9790.74</v>
      </c>
      <c r="G856" s="20">
        <v>44314</v>
      </c>
      <c r="H856" s="21">
        <v>44364</v>
      </c>
      <c r="I856" s="15">
        <f>(Table134[[#This Row],[Last_Day]]-Table134[[#This Row],[First_Day]]+1)/365</f>
        <v>0.13972602739726028</v>
      </c>
      <c r="J856" s="59">
        <f>Table134[[#This Row],[number_of_purchases]]/Table134[[#This Row],[customer_total_years]]</f>
        <v>21.470588235294116</v>
      </c>
      <c r="K856" s="13">
        <f>Table134[[#This Row],[purchase_history]]/Table134[[#This Row],[number_of_purchases]]</f>
        <v>3263.58</v>
      </c>
      <c r="L856" s="2">
        <f>IF(YEAR(Table134[[#This Row],[Last_Day]])=2021,5,IF(YEAR(Table134[[#This Row],[Last_Day]])=2022,7,IF(YEAR(Table134[[#This Row],[Last_Day]])=2023,10,"Không xác định")))</f>
        <v>5</v>
      </c>
      <c r="M856" s="15">
        <f>Table134[[#This Row],[avg_number_of_purchases]]*Table1345[[#This Row],[avg_purchase_value]]*Table1345[[#This Row],[expected_lifespan]]</f>
        <v>350354.91176470584</v>
      </c>
      <c r="N856" t="s">
        <v>12042</v>
      </c>
    </row>
    <row r="857" spans="1:14" x14ac:dyDescent="0.3">
      <c r="A857" s="2" t="s">
        <v>855</v>
      </c>
      <c r="B857" s="2" t="s">
        <v>12040</v>
      </c>
      <c r="C857" s="2">
        <v>57</v>
      </c>
      <c r="D857" s="2" t="s">
        <v>12049</v>
      </c>
      <c r="E857" s="2">
        <f>COUNTIF(Table16[customer_id],Table13[[#This Row],[customer_id]])</f>
        <v>5</v>
      </c>
      <c r="F857" s="13">
        <f>SUMIFS(Table16[Purchase_history],Table16[customer_id],Table13[[#This Row],[customer_id]])</f>
        <v>4095.83</v>
      </c>
      <c r="G857" s="20">
        <v>44252</v>
      </c>
      <c r="H857" s="21">
        <v>44812</v>
      </c>
      <c r="I857" s="15">
        <f>(Table134[[#This Row],[Last_Day]]-Table134[[#This Row],[First_Day]]+1)/365</f>
        <v>1.536986301369863</v>
      </c>
      <c r="J857" s="59">
        <f>Table134[[#This Row],[number_of_purchases]]/Table134[[#This Row],[customer_total_years]]</f>
        <v>3.2531194295900177</v>
      </c>
      <c r="K857" s="13">
        <f>Table134[[#This Row],[purchase_history]]/Table134[[#This Row],[number_of_purchases]]</f>
        <v>819.16599999999994</v>
      </c>
      <c r="L857" s="2">
        <f>IF(YEAR(Table134[[#This Row],[Last_Day]])=2021,5,IF(YEAR(Table134[[#This Row],[Last_Day]])=2022,7,IF(YEAR(Table134[[#This Row],[Last_Day]])=2023,10,"Không xác định")))</f>
        <v>7</v>
      </c>
      <c r="M857" s="15">
        <f>Table134[[#This Row],[avg_number_of_purchases]]*Table1345[[#This Row],[avg_purchase_value]]*Table1345[[#This Row],[expected_lifespan]]</f>
        <v>18653.913814616753</v>
      </c>
      <c r="N857" t="s">
        <v>12044</v>
      </c>
    </row>
    <row r="858" spans="1:14" x14ac:dyDescent="0.3">
      <c r="A858" s="2" t="s">
        <v>856</v>
      </c>
      <c r="B858" s="2" t="s">
        <v>12040</v>
      </c>
      <c r="C858" s="2">
        <v>67</v>
      </c>
      <c r="D858" s="2" t="s">
        <v>12043</v>
      </c>
      <c r="E858" s="2">
        <f>COUNTIF(Table16[customer_id],Table13[[#This Row],[customer_id]])</f>
        <v>2</v>
      </c>
      <c r="F858" s="13">
        <f>SUMIFS(Table16[Purchase_history],Table16[customer_id],Table13[[#This Row],[customer_id]])</f>
        <v>1362.96</v>
      </c>
      <c r="G858" s="20">
        <v>44528</v>
      </c>
      <c r="H858" s="21">
        <v>44851</v>
      </c>
      <c r="I858" s="15">
        <f>(Table134[[#This Row],[Last_Day]]-Table134[[#This Row],[First_Day]]+1)/365</f>
        <v>0.88767123287671235</v>
      </c>
      <c r="J858" s="59">
        <f>Table134[[#This Row],[number_of_purchases]]/Table134[[#This Row],[customer_total_years]]</f>
        <v>2.2530864197530862</v>
      </c>
      <c r="K858" s="13">
        <f>Table134[[#This Row],[purchase_history]]/Table134[[#This Row],[number_of_purchases]]</f>
        <v>681.48</v>
      </c>
      <c r="L858" s="2">
        <f>IF(YEAR(Table134[[#This Row],[Last_Day]])=2021,5,IF(YEAR(Table134[[#This Row],[Last_Day]])=2022,7,IF(YEAR(Table134[[#This Row],[Last_Day]])=2023,10,"Không xác định")))</f>
        <v>7</v>
      </c>
      <c r="M858" s="15">
        <f>Table134[[#This Row],[avg_number_of_purchases]]*Table1345[[#This Row],[avg_purchase_value]]*Table1345[[#This Row],[expected_lifespan]]</f>
        <v>10748.033333333333</v>
      </c>
      <c r="N858" t="s">
        <v>12042</v>
      </c>
    </row>
    <row r="859" spans="1:14" x14ac:dyDescent="0.3">
      <c r="A859" s="2" t="s">
        <v>857</v>
      </c>
      <c r="B859" s="2" t="s">
        <v>12040</v>
      </c>
      <c r="C859" s="2">
        <v>47</v>
      </c>
      <c r="D859" s="2" t="s">
        <v>12049</v>
      </c>
      <c r="E859" s="2">
        <f>COUNTIF(Table16[customer_id],Table13[[#This Row],[customer_id]])</f>
        <v>2</v>
      </c>
      <c r="F859" s="13">
        <f>SUMIFS(Table16[Purchase_history],Table16[customer_id],Table13[[#This Row],[customer_id]])</f>
        <v>347.15</v>
      </c>
      <c r="G859" s="20">
        <v>44237</v>
      </c>
      <c r="H859" s="21">
        <v>44252</v>
      </c>
      <c r="I859" s="15">
        <f>(Table134[[#This Row],[Last_Day]]-Table134[[#This Row],[First_Day]]+1)/365</f>
        <v>4.3835616438356165E-2</v>
      </c>
      <c r="J859" s="59">
        <f>Table134[[#This Row],[number_of_purchases]]/Table134[[#This Row],[customer_total_years]]</f>
        <v>45.625</v>
      </c>
      <c r="K859" s="13">
        <f>Table134[[#This Row],[purchase_history]]/Table134[[#This Row],[number_of_purchases]]</f>
        <v>173.57499999999999</v>
      </c>
      <c r="L859" s="2">
        <f>IF(YEAR(Table134[[#This Row],[Last_Day]])=2021,5,IF(YEAR(Table134[[#This Row],[Last_Day]])=2022,7,IF(YEAR(Table134[[#This Row],[Last_Day]])=2023,10,"Không xác định")))</f>
        <v>5</v>
      </c>
      <c r="M859" s="15">
        <f>Table134[[#This Row],[avg_number_of_purchases]]*Table1345[[#This Row],[avg_purchase_value]]*Table1345[[#This Row],[expected_lifespan]]</f>
        <v>39596.796874999993</v>
      </c>
      <c r="N859" t="s">
        <v>12044</v>
      </c>
    </row>
    <row r="860" spans="1:14" x14ac:dyDescent="0.3">
      <c r="A860" s="2" t="s">
        <v>858</v>
      </c>
      <c r="B860" s="2" t="s">
        <v>12045</v>
      </c>
      <c r="C860" s="2">
        <v>44</v>
      </c>
      <c r="D860" s="2" t="s">
        <v>12041</v>
      </c>
      <c r="E860" s="2">
        <f>COUNTIF(Table16[customer_id],Table13[[#This Row],[customer_id]])</f>
        <v>5</v>
      </c>
      <c r="F860" s="13">
        <f>SUMIFS(Table16[Purchase_history],Table16[customer_id],Table13[[#This Row],[customer_id]])</f>
        <v>35043.120000000003</v>
      </c>
      <c r="G860" s="20">
        <v>44447</v>
      </c>
      <c r="H860" s="21">
        <v>44932</v>
      </c>
      <c r="I860" s="15">
        <f>(Table134[[#This Row],[Last_Day]]-Table134[[#This Row],[First_Day]]+1)/365</f>
        <v>1.3315068493150686</v>
      </c>
      <c r="J860" s="59">
        <f>Table134[[#This Row],[number_of_purchases]]/Table134[[#This Row],[customer_total_years]]</f>
        <v>3.7551440329218106</v>
      </c>
      <c r="K860" s="13">
        <f>Table134[[#This Row],[purchase_history]]/Table134[[#This Row],[number_of_purchases]]</f>
        <v>7008.6240000000007</v>
      </c>
      <c r="L860" s="2">
        <f>IF(YEAR(Table134[[#This Row],[Last_Day]])=2021,5,IF(YEAR(Table134[[#This Row],[Last_Day]])=2022,7,IF(YEAR(Table134[[#This Row],[Last_Day]])=2023,10,"Không xác định")))</f>
        <v>10</v>
      </c>
      <c r="M860" s="15">
        <f>Table134[[#This Row],[avg_number_of_purchases]]*Table1345[[#This Row],[avg_purchase_value]]*Table1345[[#This Row],[expected_lifespan]]</f>
        <v>263183.92592592596</v>
      </c>
      <c r="N860" t="s">
        <v>12046</v>
      </c>
    </row>
    <row r="861" spans="1:14" x14ac:dyDescent="0.3">
      <c r="A861" s="2" t="s">
        <v>859</v>
      </c>
      <c r="B861" s="2" t="s">
        <v>12040</v>
      </c>
      <c r="C861" s="2">
        <v>22</v>
      </c>
      <c r="D861" s="2" t="s">
        <v>12043</v>
      </c>
      <c r="E861" s="2">
        <f>COUNTIF(Table16[customer_id],Table13[[#This Row],[customer_id]])</f>
        <v>5</v>
      </c>
      <c r="F861" s="13">
        <f>SUMIFS(Table16[Purchase_history],Table16[customer_id],Table13[[#This Row],[customer_id]])</f>
        <v>24138.07</v>
      </c>
      <c r="G861" s="20">
        <v>44491</v>
      </c>
      <c r="H861" s="21">
        <v>44833</v>
      </c>
      <c r="I861" s="15">
        <f>(Table134[[#This Row],[Last_Day]]-Table134[[#This Row],[First_Day]]+1)/365</f>
        <v>0.9397260273972603</v>
      </c>
      <c r="J861" s="59">
        <f>Table134[[#This Row],[number_of_purchases]]/Table134[[#This Row],[customer_total_years]]</f>
        <v>5.3206997084548107</v>
      </c>
      <c r="K861" s="13">
        <f>Table134[[#This Row],[purchase_history]]/Table134[[#This Row],[number_of_purchases]]</f>
        <v>4827.6139999999996</v>
      </c>
      <c r="L861" s="2">
        <f>IF(YEAR(Table134[[#This Row],[Last_Day]])=2021,5,IF(YEAR(Table134[[#This Row],[Last_Day]])=2022,7,IF(YEAR(Table134[[#This Row],[Last_Day]])=2023,10,"Không xác định")))</f>
        <v>7</v>
      </c>
      <c r="M861" s="15">
        <f>Table134[[#This Row],[avg_number_of_purchases]]*Table1345[[#This Row],[avg_purchase_value]]*Table1345[[#This Row],[expected_lifespan]]</f>
        <v>179803.99081632652</v>
      </c>
      <c r="N861" t="s">
        <v>12042</v>
      </c>
    </row>
    <row r="862" spans="1:14" x14ac:dyDescent="0.3">
      <c r="A862" s="2" t="s">
        <v>860</v>
      </c>
      <c r="B862" s="2" t="s">
        <v>12040</v>
      </c>
      <c r="C862" s="2">
        <v>43</v>
      </c>
      <c r="D862" s="2" t="s">
        <v>12043</v>
      </c>
      <c r="E862" s="2">
        <f>COUNTIF(Table16[customer_id],Table13[[#This Row],[customer_id]])</f>
        <v>5</v>
      </c>
      <c r="F862" s="13">
        <f>SUMIFS(Table16[Purchase_history],Table16[customer_id],Table13[[#This Row],[customer_id]])</f>
        <v>8451.08</v>
      </c>
      <c r="G862" s="20">
        <v>44299</v>
      </c>
      <c r="H862" s="21">
        <v>44754</v>
      </c>
      <c r="I862" s="15">
        <f>(Table134[[#This Row],[Last_Day]]-Table134[[#This Row],[First_Day]]+1)/365</f>
        <v>1.2493150684931507</v>
      </c>
      <c r="J862" s="59">
        <f>Table134[[#This Row],[number_of_purchases]]/Table134[[#This Row],[customer_total_years]]</f>
        <v>4.0021929824561404</v>
      </c>
      <c r="K862" s="13">
        <f>Table134[[#This Row],[purchase_history]]/Table134[[#This Row],[number_of_purchases]]</f>
        <v>1690.2159999999999</v>
      </c>
      <c r="L862" s="2">
        <f>IF(YEAR(Table134[[#This Row],[Last_Day]])=2021,5,IF(YEAR(Table134[[#This Row],[Last_Day]])=2022,7,IF(YEAR(Table134[[#This Row],[Last_Day]])=2023,10,"Không xác định")))</f>
        <v>7</v>
      </c>
      <c r="M862" s="15">
        <f>Table134[[#This Row],[avg_number_of_purchases]]*Table1345[[#This Row],[avg_purchase_value]]*Table1345[[#This Row],[expected_lifespan]]</f>
        <v>47351.994298245612</v>
      </c>
      <c r="N862" t="s">
        <v>12048</v>
      </c>
    </row>
    <row r="863" spans="1:14" x14ac:dyDescent="0.3">
      <c r="A863" s="2" t="s">
        <v>861</v>
      </c>
      <c r="B863" s="2" t="s">
        <v>12040</v>
      </c>
      <c r="C863" s="2">
        <v>44</v>
      </c>
      <c r="D863" s="2" t="s">
        <v>12041</v>
      </c>
      <c r="E863" s="2">
        <f>COUNTIF(Table16[customer_id],Table13[[#This Row],[customer_id]])</f>
        <v>6</v>
      </c>
      <c r="F863" s="13">
        <f>SUMIFS(Table16[Purchase_history],Table16[customer_id],Table13[[#This Row],[customer_id]])</f>
        <v>29654.910000000003</v>
      </c>
      <c r="G863" s="20">
        <v>44358</v>
      </c>
      <c r="H863" s="21">
        <v>44974</v>
      </c>
      <c r="I863" s="15">
        <f>(Table134[[#This Row],[Last_Day]]-Table134[[#This Row],[First_Day]]+1)/365</f>
        <v>1.6904109589041096</v>
      </c>
      <c r="J863" s="59">
        <f>Table134[[#This Row],[number_of_purchases]]/Table134[[#This Row],[customer_total_years]]</f>
        <v>3.5494327390599674</v>
      </c>
      <c r="K863" s="13">
        <f>Table134[[#This Row],[purchase_history]]/Table134[[#This Row],[number_of_purchases]]</f>
        <v>4942.4850000000006</v>
      </c>
      <c r="L863" s="2">
        <f>IF(YEAR(Table134[[#This Row],[Last_Day]])=2021,5,IF(YEAR(Table134[[#This Row],[Last_Day]])=2022,7,IF(YEAR(Table134[[#This Row],[Last_Day]])=2023,10,"Không xác định")))</f>
        <v>10</v>
      </c>
      <c r="M863" s="15">
        <f>Table134[[#This Row],[avg_number_of_purchases]]*Table1345[[#This Row],[avg_purchase_value]]*Table1345[[#This Row],[expected_lifespan]]</f>
        <v>175430.18071312807</v>
      </c>
      <c r="N863" t="s">
        <v>12048</v>
      </c>
    </row>
    <row r="864" spans="1:14" x14ac:dyDescent="0.3">
      <c r="A864" s="2" t="s">
        <v>862</v>
      </c>
      <c r="B864" s="2" t="s">
        <v>12040</v>
      </c>
      <c r="C864" s="2">
        <v>47</v>
      </c>
      <c r="D864" s="2" t="s">
        <v>12043</v>
      </c>
      <c r="E864" s="2">
        <f>COUNTIF(Table16[customer_id],Table13[[#This Row],[customer_id]])</f>
        <v>5</v>
      </c>
      <c r="F864" s="13">
        <f>SUMIFS(Table16[Purchase_history],Table16[customer_id],Table13[[#This Row],[customer_id]])</f>
        <v>1769.4</v>
      </c>
      <c r="G864" s="20">
        <v>44240</v>
      </c>
      <c r="H864" s="21">
        <v>44944</v>
      </c>
      <c r="I864" s="15">
        <f>(Table134[[#This Row],[Last_Day]]-Table134[[#This Row],[First_Day]]+1)/365</f>
        <v>1.9315068493150684</v>
      </c>
      <c r="J864" s="59">
        <f>Table134[[#This Row],[number_of_purchases]]/Table134[[#This Row],[customer_total_years]]</f>
        <v>2.5886524822695036</v>
      </c>
      <c r="K864" s="13">
        <f>Table134[[#This Row],[purchase_history]]/Table134[[#This Row],[number_of_purchases]]</f>
        <v>353.88</v>
      </c>
      <c r="L864" s="2">
        <f>IF(YEAR(Table134[[#This Row],[Last_Day]])=2021,5,IF(YEAR(Table134[[#This Row],[Last_Day]])=2022,7,IF(YEAR(Table134[[#This Row],[Last_Day]])=2023,10,"Không xác định")))</f>
        <v>10</v>
      </c>
      <c r="M864" s="15">
        <f>Table134[[#This Row],[avg_number_of_purchases]]*Table1345[[#This Row],[avg_purchase_value]]*Table1345[[#This Row],[expected_lifespan]]</f>
        <v>9160.7234042553191</v>
      </c>
      <c r="N864" t="s">
        <v>12048</v>
      </c>
    </row>
    <row r="865" spans="1:14" x14ac:dyDescent="0.3">
      <c r="A865" s="2" t="s">
        <v>863</v>
      </c>
      <c r="B865" s="2" t="s">
        <v>12040</v>
      </c>
      <c r="C865" s="2">
        <v>23</v>
      </c>
      <c r="D865" s="2" t="s">
        <v>12043</v>
      </c>
      <c r="E865" s="2">
        <f>COUNTIF(Table16[customer_id],Table13[[#This Row],[customer_id]])</f>
        <v>4</v>
      </c>
      <c r="F865" s="13">
        <f>SUMIFS(Table16[Purchase_history],Table16[customer_id],Table13[[#This Row],[customer_id]])</f>
        <v>20383.79</v>
      </c>
      <c r="G865" s="20">
        <v>44301</v>
      </c>
      <c r="H865" s="21">
        <v>44964</v>
      </c>
      <c r="I865" s="15">
        <f>(Table134[[#This Row],[Last_Day]]-Table134[[#This Row],[First_Day]]+1)/365</f>
        <v>1.8191780821917809</v>
      </c>
      <c r="J865" s="59">
        <f>Table134[[#This Row],[number_of_purchases]]/Table134[[#This Row],[customer_total_years]]</f>
        <v>2.1987951807228914</v>
      </c>
      <c r="K865" s="13">
        <f>Table134[[#This Row],[purchase_history]]/Table134[[#This Row],[number_of_purchases]]</f>
        <v>5095.9475000000002</v>
      </c>
      <c r="L865" s="2">
        <f>IF(YEAR(Table134[[#This Row],[Last_Day]])=2021,5,IF(YEAR(Table134[[#This Row],[Last_Day]])=2022,7,IF(YEAR(Table134[[#This Row],[Last_Day]])=2023,10,"Không xác định")))</f>
        <v>10</v>
      </c>
      <c r="M865" s="15">
        <f>Table134[[#This Row],[avg_number_of_purchases]]*Table1345[[#This Row],[avg_purchase_value]]*Table1345[[#This Row],[expected_lifespan]]</f>
        <v>112049.44804216867</v>
      </c>
      <c r="N865" t="s">
        <v>12046</v>
      </c>
    </row>
    <row r="866" spans="1:14" x14ac:dyDescent="0.3">
      <c r="A866" s="2" t="s">
        <v>864</v>
      </c>
      <c r="B866" s="2" t="s">
        <v>12045</v>
      </c>
      <c r="C866" s="2">
        <v>62</v>
      </c>
      <c r="D866" s="2" t="s">
        <v>12049</v>
      </c>
      <c r="E866" s="2">
        <f>COUNTIF(Table16[customer_id],Table13[[#This Row],[customer_id]])</f>
        <v>8</v>
      </c>
      <c r="F866" s="13">
        <f>SUMIFS(Table16[Purchase_history],Table16[customer_id],Table13[[#This Row],[customer_id]])</f>
        <v>9002.4</v>
      </c>
      <c r="G866" s="20">
        <v>44299</v>
      </c>
      <c r="H866" s="21">
        <v>44988</v>
      </c>
      <c r="I866" s="15">
        <f>(Table134[[#This Row],[Last_Day]]-Table134[[#This Row],[First_Day]]+1)/365</f>
        <v>1.8904109589041096</v>
      </c>
      <c r="J866" s="59">
        <f>Table134[[#This Row],[number_of_purchases]]/Table134[[#This Row],[customer_total_years]]</f>
        <v>4.2318840579710146</v>
      </c>
      <c r="K866" s="13">
        <f>Table134[[#This Row],[purchase_history]]/Table134[[#This Row],[number_of_purchases]]</f>
        <v>1125.3</v>
      </c>
      <c r="L866" s="2">
        <f>IF(YEAR(Table134[[#This Row],[Last_Day]])=2021,5,IF(YEAR(Table134[[#This Row],[Last_Day]])=2022,7,IF(YEAR(Table134[[#This Row],[Last_Day]])=2023,10,"Không xác định")))</f>
        <v>10</v>
      </c>
      <c r="M866" s="15">
        <f>Table134[[#This Row],[avg_number_of_purchases]]*Table1345[[#This Row],[avg_purchase_value]]*Table1345[[#This Row],[expected_lifespan]]</f>
        <v>47621.391304347824</v>
      </c>
      <c r="N866" t="s">
        <v>12047</v>
      </c>
    </row>
    <row r="867" spans="1:14" x14ac:dyDescent="0.3">
      <c r="A867" s="2" t="s">
        <v>865</v>
      </c>
      <c r="B867" s="2" t="s">
        <v>12040</v>
      </c>
      <c r="C867" s="2">
        <v>53</v>
      </c>
      <c r="D867" s="2" t="s">
        <v>12041</v>
      </c>
      <c r="E867" s="2">
        <f>COUNTIF(Table16[customer_id],Table13[[#This Row],[customer_id]])</f>
        <v>4</v>
      </c>
      <c r="F867" s="13">
        <f>SUMIFS(Table16[Purchase_history],Table16[customer_id],Table13[[#This Row],[customer_id]])</f>
        <v>2306.77</v>
      </c>
      <c r="G867" s="20">
        <v>44445</v>
      </c>
      <c r="H867" s="21">
        <v>44938</v>
      </c>
      <c r="I867" s="15">
        <f>(Table134[[#This Row],[Last_Day]]-Table134[[#This Row],[First_Day]]+1)/365</f>
        <v>1.3534246575342466</v>
      </c>
      <c r="J867" s="59">
        <f>Table134[[#This Row],[number_of_purchases]]/Table134[[#This Row],[customer_total_years]]</f>
        <v>2.9554655870445345</v>
      </c>
      <c r="K867" s="13">
        <f>Table134[[#This Row],[purchase_history]]/Table134[[#This Row],[number_of_purchases]]</f>
        <v>576.6925</v>
      </c>
      <c r="L867" s="2">
        <f>IF(YEAR(Table134[[#This Row],[Last_Day]])=2021,5,IF(YEAR(Table134[[#This Row],[Last_Day]])=2022,7,IF(YEAR(Table134[[#This Row],[Last_Day]])=2023,10,"Không xác định")))</f>
        <v>10</v>
      </c>
      <c r="M867" s="15">
        <f>Table134[[#This Row],[avg_number_of_purchases]]*Table1345[[#This Row],[avg_purchase_value]]*Table1345[[#This Row],[expected_lifespan]]</f>
        <v>17043.948380566802</v>
      </c>
      <c r="N867" t="s">
        <v>12042</v>
      </c>
    </row>
    <row r="868" spans="1:14" x14ac:dyDescent="0.3">
      <c r="A868" s="2" t="s">
        <v>866</v>
      </c>
      <c r="B868" s="2" t="s">
        <v>12045</v>
      </c>
      <c r="C868" s="2">
        <v>67</v>
      </c>
      <c r="D868" s="2" t="s">
        <v>12049</v>
      </c>
      <c r="E868" s="2">
        <f>COUNTIF(Table16[customer_id],Table13[[#This Row],[customer_id]])</f>
        <v>8</v>
      </c>
      <c r="F868" s="13">
        <f>SUMIFS(Table16[Purchase_history],Table16[customer_id],Table13[[#This Row],[customer_id]])</f>
        <v>11670.4</v>
      </c>
      <c r="G868" s="20">
        <v>44368</v>
      </c>
      <c r="H868" s="21">
        <v>44825</v>
      </c>
      <c r="I868" s="15">
        <f>(Table134[[#This Row],[Last_Day]]-Table134[[#This Row],[First_Day]]+1)/365</f>
        <v>1.2547945205479452</v>
      </c>
      <c r="J868" s="59">
        <f>Table134[[#This Row],[number_of_purchases]]/Table134[[#This Row],[customer_total_years]]</f>
        <v>6.3755458515283845</v>
      </c>
      <c r="K868" s="13">
        <f>Table134[[#This Row],[purchase_history]]/Table134[[#This Row],[number_of_purchases]]</f>
        <v>1458.8</v>
      </c>
      <c r="L868" s="2">
        <f>IF(YEAR(Table134[[#This Row],[Last_Day]])=2021,5,IF(YEAR(Table134[[#This Row],[Last_Day]])=2022,7,IF(YEAR(Table134[[#This Row],[Last_Day]])=2023,10,"Không xác định")))</f>
        <v>7</v>
      </c>
      <c r="M868" s="15">
        <f>Table134[[#This Row],[avg_number_of_purchases]]*Table1345[[#This Row],[avg_purchase_value]]*Table1345[[#This Row],[expected_lifespan]]</f>
        <v>65104.524017467251</v>
      </c>
      <c r="N868" t="s">
        <v>12047</v>
      </c>
    </row>
    <row r="869" spans="1:14" x14ac:dyDescent="0.3">
      <c r="A869" s="2" t="s">
        <v>867</v>
      </c>
      <c r="B869" s="2" t="s">
        <v>12040</v>
      </c>
      <c r="C869" s="2">
        <v>54</v>
      </c>
      <c r="D869" s="2" t="s">
        <v>12043</v>
      </c>
      <c r="E869" s="2">
        <f>COUNTIF(Table16[customer_id],Table13[[#This Row],[customer_id]])</f>
        <v>4</v>
      </c>
      <c r="F869" s="13">
        <f>SUMIFS(Table16[Purchase_history],Table16[customer_id],Table13[[#This Row],[customer_id]])</f>
        <v>22879.4</v>
      </c>
      <c r="G869" s="20">
        <v>44294</v>
      </c>
      <c r="H869" s="21">
        <v>44947</v>
      </c>
      <c r="I869" s="15">
        <f>(Table134[[#This Row],[Last_Day]]-Table134[[#This Row],[First_Day]]+1)/365</f>
        <v>1.7917808219178082</v>
      </c>
      <c r="J869" s="59">
        <f>Table134[[#This Row],[number_of_purchases]]/Table134[[#This Row],[customer_total_years]]</f>
        <v>2.2324159021406729</v>
      </c>
      <c r="K869" s="13">
        <f>Table134[[#This Row],[purchase_history]]/Table134[[#This Row],[number_of_purchases]]</f>
        <v>5719.85</v>
      </c>
      <c r="L869" s="2">
        <f>IF(YEAR(Table134[[#This Row],[Last_Day]])=2021,5,IF(YEAR(Table134[[#This Row],[Last_Day]])=2022,7,IF(YEAR(Table134[[#This Row],[Last_Day]])=2023,10,"Không xác định")))</f>
        <v>10</v>
      </c>
      <c r="M869" s="15">
        <f>Table134[[#This Row],[avg_number_of_purchases]]*Table1345[[#This Row],[avg_purchase_value]]*Table1345[[#This Row],[expected_lifespan]]</f>
        <v>127690.84097859327</v>
      </c>
      <c r="N869" t="s">
        <v>12046</v>
      </c>
    </row>
    <row r="870" spans="1:14" x14ac:dyDescent="0.3">
      <c r="A870" s="2" t="s">
        <v>868</v>
      </c>
      <c r="B870" s="2" t="s">
        <v>12040</v>
      </c>
      <c r="C870" s="2">
        <v>54</v>
      </c>
      <c r="D870" s="2" t="s">
        <v>12041</v>
      </c>
      <c r="E870" s="2">
        <f>COUNTIF(Table16[customer_id],Table13[[#This Row],[customer_id]])</f>
        <v>4</v>
      </c>
      <c r="F870" s="13">
        <f>SUMIFS(Table16[Purchase_history],Table16[customer_id],Table13[[#This Row],[customer_id]])</f>
        <v>7106.53</v>
      </c>
      <c r="G870" s="20">
        <v>44296</v>
      </c>
      <c r="H870" s="21">
        <v>44974</v>
      </c>
      <c r="I870" s="15">
        <f>(Table134[[#This Row],[Last_Day]]-Table134[[#This Row],[First_Day]]+1)/365</f>
        <v>1.8602739726027397</v>
      </c>
      <c r="J870" s="59">
        <f>Table134[[#This Row],[number_of_purchases]]/Table134[[#This Row],[customer_total_years]]</f>
        <v>2.150220913107511</v>
      </c>
      <c r="K870" s="13">
        <f>Table134[[#This Row],[purchase_history]]/Table134[[#This Row],[number_of_purchases]]</f>
        <v>1776.6324999999999</v>
      </c>
      <c r="L870" s="2">
        <f>IF(YEAR(Table134[[#This Row],[Last_Day]])=2021,5,IF(YEAR(Table134[[#This Row],[Last_Day]])=2022,7,IF(YEAR(Table134[[#This Row],[Last_Day]])=2023,10,"Không xác định")))</f>
        <v>10</v>
      </c>
      <c r="M870" s="15">
        <f>Table134[[#This Row],[avg_number_of_purchases]]*Table1345[[#This Row],[avg_purchase_value]]*Table1345[[#This Row],[expected_lifespan]]</f>
        <v>38201.523564064795</v>
      </c>
      <c r="N870" t="s">
        <v>12046</v>
      </c>
    </row>
    <row r="871" spans="1:14" x14ac:dyDescent="0.3">
      <c r="A871" s="2" t="s">
        <v>869</v>
      </c>
      <c r="B871" s="2" t="s">
        <v>12045</v>
      </c>
      <c r="C871" s="2">
        <v>44</v>
      </c>
      <c r="D871" s="2" t="s">
        <v>12041</v>
      </c>
      <c r="E871" s="2">
        <f>COUNTIF(Table16[customer_id],Table13[[#This Row],[customer_id]])</f>
        <v>6</v>
      </c>
      <c r="F871" s="13">
        <f>SUMIFS(Table16[Purchase_history],Table16[customer_id],Table13[[#This Row],[customer_id]])</f>
        <v>14339.439999999999</v>
      </c>
      <c r="G871" s="20">
        <v>44270</v>
      </c>
      <c r="H871" s="21">
        <v>44989</v>
      </c>
      <c r="I871" s="15">
        <f>(Table134[[#This Row],[Last_Day]]-Table134[[#This Row],[First_Day]]+1)/365</f>
        <v>1.9726027397260273</v>
      </c>
      <c r="J871" s="59">
        <f>Table134[[#This Row],[number_of_purchases]]/Table134[[#This Row],[customer_total_years]]</f>
        <v>3.041666666666667</v>
      </c>
      <c r="K871" s="13">
        <f>Table134[[#This Row],[purchase_history]]/Table134[[#This Row],[number_of_purchases]]</f>
        <v>2389.9066666666663</v>
      </c>
      <c r="L871" s="2">
        <f>IF(YEAR(Table134[[#This Row],[Last_Day]])=2021,5,IF(YEAR(Table134[[#This Row],[Last_Day]])=2022,7,IF(YEAR(Table134[[#This Row],[Last_Day]])=2023,10,"Không xác định")))</f>
        <v>10</v>
      </c>
      <c r="M871" s="15">
        <f>Table134[[#This Row],[avg_number_of_purchases]]*Table1345[[#This Row],[avg_purchase_value]]*Table1345[[#This Row],[expected_lifespan]]</f>
        <v>72692.994444444441</v>
      </c>
      <c r="N871" t="s">
        <v>12042</v>
      </c>
    </row>
    <row r="872" spans="1:14" x14ac:dyDescent="0.3">
      <c r="A872" s="2" t="s">
        <v>870</v>
      </c>
      <c r="B872" s="2" t="s">
        <v>12045</v>
      </c>
      <c r="C872" s="2">
        <v>54</v>
      </c>
      <c r="D872" s="2" t="s">
        <v>12043</v>
      </c>
      <c r="E872" s="2">
        <f>COUNTIF(Table16[customer_id],Table13[[#This Row],[customer_id]])</f>
        <v>5</v>
      </c>
      <c r="F872" s="13">
        <f>SUMIFS(Table16[Purchase_history],Table16[customer_id],Table13[[#This Row],[customer_id]])</f>
        <v>63518.66</v>
      </c>
      <c r="G872" s="20">
        <v>44454</v>
      </c>
      <c r="H872" s="21">
        <v>44758</v>
      </c>
      <c r="I872" s="15">
        <f>(Table134[[#This Row],[Last_Day]]-Table134[[#This Row],[First_Day]]+1)/365</f>
        <v>0.83561643835616439</v>
      </c>
      <c r="J872" s="59">
        <f>Table134[[#This Row],[number_of_purchases]]/Table134[[#This Row],[customer_total_years]]</f>
        <v>5.9836065573770494</v>
      </c>
      <c r="K872" s="13">
        <f>Table134[[#This Row],[purchase_history]]/Table134[[#This Row],[number_of_purchases]]</f>
        <v>12703.732</v>
      </c>
      <c r="L872" s="2">
        <f>IF(YEAR(Table134[[#This Row],[Last_Day]])=2021,5,IF(YEAR(Table134[[#This Row],[Last_Day]])=2022,7,IF(YEAR(Table134[[#This Row],[Last_Day]])=2023,10,"Không xác định")))</f>
        <v>7</v>
      </c>
      <c r="M872" s="15">
        <f>Table134[[#This Row],[avg_number_of_purchases]]*Table1345[[#This Row],[avg_purchase_value]]*Table1345[[#This Row],[expected_lifespan]]</f>
        <v>532098.93868852465</v>
      </c>
      <c r="N872" t="s">
        <v>12044</v>
      </c>
    </row>
    <row r="873" spans="1:14" x14ac:dyDescent="0.3">
      <c r="A873" s="2" t="s">
        <v>871</v>
      </c>
      <c r="B873" s="2" t="s">
        <v>12045</v>
      </c>
      <c r="C873" s="2">
        <v>64</v>
      </c>
      <c r="D873" s="2" t="s">
        <v>12043</v>
      </c>
      <c r="E873" s="2">
        <f>COUNTIF(Table16[customer_id],Table13[[#This Row],[customer_id]])</f>
        <v>6</v>
      </c>
      <c r="F873" s="13">
        <f>SUMIFS(Table16[Purchase_history],Table16[customer_id],Table13[[#This Row],[customer_id]])</f>
        <v>11940.03</v>
      </c>
      <c r="G873" s="20">
        <v>44292</v>
      </c>
      <c r="H873" s="21">
        <v>44672</v>
      </c>
      <c r="I873" s="15">
        <f>(Table134[[#This Row],[Last_Day]]-Table134[[#This Row],[First_Day]]+1)/365</f>
        <v>1.0438356164383562</v>
      </c>
      <c r="J873" s="59">
        <f>Table134[[#This Row],[number_of_purchases]]/Table134[[#This Row],[customer_total_years]]</f>
        <v>5.7480314960629917</v>
      </c>
      <c r="K873" s="13">
        <f>Table134[[#This Row],[purchase_history]]/Table134[[#This Row],[number_of_purchases]]</f>
        <v>1990.0050000000001</v>
      </c>
      <c r="L873" s="2">
        <f>IF(YEAR(Table134[[#This Row],[Last_Day]])=2021,5,IF(YEAR(Table134[[#This Row],[Last_Day]])=2022,7,IF(YEAR(Table134[[#This Row],[Last_Day]])=2023,10,"Không xác định")))</f>
        <v>7</v>
      </c>
      <c r="M873" s="15">
        <f>Table134[[#This Row],[avg_number_of_purchases]]*Table1345[[#This Row],[avg_purchase_value]]*Table1345[[#This Row],[expected_lifespan]]</f>
        <v>80070.279921259847</v>
      </c>
      <c r="N873" t="s">
        <v>12047</v>
      </c>
    </row>
    <row r="874" spans="1:14" x14ac:dyDescent="0.3">
      <c r="A874" s="2" t="s">
        <v>872</v>
      </c>
      <c r="B874" s="2" t="s">
        <v>12045</v>
      </c>
      <c r="C874" s="2">
        <v>55</v>
      </c>
      <c r="D874" s="2" t="s">
        <v>12041</v>
      </c>
      <c r="E874" s="2">
        <f>COUNTIF(Table16[customer_id],Table13[[#This Row],[customer_id]])</f>
        <v>2</v>
      </c>
      <c r="F874" s="13">
        <f>SUMIFS(Table16[Purchase_history],Table16[customer_id],Table13[[#This Row],[customer_id]])</f>
        <v>2721.6400000000003</v>
      </c>
      <c r="G874" s="20">
        <v>44963</v>
      </c>
      <c r="H874" s="21">
        <v>44978</v>
      </c>
      <c r="I874" s="15">
        <f>(Table134[[#This Row],[Last_Day]]-Table134[[#This Row],[First_Day]]+1)/365</f>
        <v>4.3835616438356165E-2</v>
      </c>
      <c r="J874" s="59">
        <f>Table134[[#This Row],[number_of_purchases]]/Table134[[#This Row],[customer_total_years]]</f>
        <v>45.625</v>
      </c>
      <c r="K874" s="13">
        <f>Table134[[#This Row],[purchase_history]]/Table134[[#This Row],[number_of_purchases]]</f>
        <v>1360.8200000000002</v>
      </c>
      <c r="L874" s="2">
        <f>IF(YEAR(Table134[[#This Row],[Last_Day]])=2021,5,IF(YEAR(Table134[[#This Row],[Last_Day]])=2022,7,IF(YEAR(Table134[[#This Row],[Last_Day]])=2023,10,"Không xác định")))</f>
        <v>10</v>
      </c>
      <c r="M874" s="15">
        <f>Table134[[#This Row],[avg_number_of_purchases]]*Table1345[[#This Row],[avg_purchase_value]]*Table1345[[#This Row],[expected_lifespan]]</f>
        <v>620874.125</v>
      </c>
      <c r="N874" t="s">
        <v>12047</v>
      </c>
    </row>
    <row r="875" spans="1:14" x14ac:dyDescent="0.3">
      <c r="A875" s="2" t="s">
        <v>873</v>
      </c>
      <c r="B875" s="2" t="s">
        <v>12040</v>
      </c>
      <c r="C875" s="2">
        <v>43</v>
      </c>
      <c r="D875" s="2" t="s">
        <v>12041</v>
      </c>
      <c r="E875" s="2">
        <f>COUNTIF(Table16[customer_id],Table13[[#This Row],[customer_id]])</f>
        <v>4</v>
      </c>
      <c r="F875" s="13">
        <f>SUMIFS(Table16[Purchase_history],Table16[customer_id],Table13[[#This Row],[customer_id]])</f>
        <v>1775.9699999999998</v>
      </c>
      <c r="G875" s="20">
        <v>44276</v>
      </c>
      <c r="H875" s="21">
        <v>44901</v>
      </c>
      <c r="I875" s="15">
        <f>(Table134[[#This Row],[Last_Day]]-Table134[[#This Row],[First_Day]]+1)/365</f>
        <v>1.715068493150685</v>
      </c>
      <c r="J875" s="59">
        <f>Table134[[#This Row],[number_of_purchases]]/Table134[[#This Row],[customer_total_years]]</f>
        <v>2.3322683706070286</v>
      </c>
      <c r="K875" s="13">
        <f>Table134[[#This Row],[purchase_history]]/Table134[[#This Row],[number_of_purchases]]</f>
        <v>443.99249999999995</v>
      </c>
      <c r="L875" s="2">
        <f>IF(YEAR(Table134[[#This Row],[Last_Day]])=2021,5,IF(YEAR(Table134[[#This Row],[Last_Day]])=2022,7,IF(YEAR(Table134[[#This Row],[Last_Day]])=2023,10,"Không xác định")))</f>
        <v>7</v>
      </c>
      <c r="M875" s="15">
        <f>Table134[[#This Row],[avg_number_of_purchases]]*Table1345[[#This Row],[avg_purchase_value]]*Table1345[[#This Row],[expected_lifespan]]</f>
        <v>7248.5676517571865</v>
      </c>
      <c r="N875" t="s">
        <v>12048</v>
      </c>
    </row>
    <row r="876" spans="1:14" x14ac:dyDescent="0.3">
      <c r="A876" s="2" t="s">
        <v>874</v>
      </c>
      <c r="B876" s="2" t="s">
        <v>12045</v>
      </c>
      <c r="C876" s="2">
        <v>22</v>
      </c>
      <c r="D876" s="2" t="s">
        <v>12041</v>
      </c>
      <c r="E876" s="2">
        <f>COUNTIF(Table16[customer_id],Table13[[#This Row],[customer_id]])</f>
        <v>4</v>
      </c>
      <c r="F876" s="13">
        <f>SUMIFS(Table16[Purchase_history],Table16[customer_id],Table13[[#This Row],[customer_id]])</f>
        <v>6315.7699999999995</v>
      </c>
      <c r="G876" s="20">
        <v>44592</v>
      </c>
      <c r="H876" s="21">
        <v>44957</v>
      </c>
      <c r="I876" s="15">
        <f>(Table134[[#This Row],[Last_Day]]-Table134[[#This Row],[First_Day]]+1)/365</f>
        <v>1.0027397260273974</v>
      </c>
      <c r="J876" s="59">
        <f>Table134[[#This Row],[number_of_purchases]]/Table134[[#This Row],[customer_total_years]]</f>
        <v>3.9890710382513657</v>
      </c>
      <c r="K876" s="13">
        <f>Table134[[#This Row],[purchase_history]]/Table134[[#This Row],[number_of_purchases]]</f>
        <v>1578.9424999999999</v>
      </c>
      <c r="L876" s="2">
        <f>IF(YEAR(Table134[[#This Row],[Last_Day]])=2021,5,IF(YEAR(Table134[[#This Row],[Last_Day]])=2022,7,IF(YEAR(Table134[[#This Row],[Last_Day]])=2023,10,"Không xác định")))</f>
        <v>10</v>
      </c>
      <c r="M876" s="15">
        <f>Table134[[#This Row],[avg_number_of_purchases]]*Table1345[[#This Row],[avg_purchase_value]]*Table1345[[#This Row],[expected_lifespan]]</f>
        <v>62985.137978142069</v>
      </c>
      <c r="N876" t="s">
        <v>12042</v>
      </c>
    </row>
    <row r="877" spans="1:14" x14ac:dyDescent="0.3">
      <c r="A877" s="2" t="s">
        <v>875</v>
      </c>
      <c r="B877" s="2" t="s">
        <v>12040</v>
      </c>
      <c r="C877" s="2">
        <v>19</v>
      </c>
      <c r="D877" s="2" t="s">
        <v>12043</v>
      </c>
      <c r="E877" s="2">
        <f>COUNTIF(Table16[customer_id],Table13[[#This Row],[customer_id]])</f>
        <v>2</v>
      </c>
      <c r="F877" s="13">
        <f>SUMIFS(Table16[Purchase_history],Table16[customer_id],Table13[[#This Row],[customer_id]])</f>
        <v>2721.6400000000003</v>
      </c>
      <c r="G877" s="20">
        <v>44504</v>
      </c>
      <c r="H877" s="21">
        <v>44744</v>
      </c>
      <c r="I877" s="15">
        <f>(Table134[[#This Row],[Last_Day]]-Table134[[#This Row],[First_Day]]+1)/365</f>
        <v>0.66027397260273968</v>
      </c>
      <c r="J877" s="59">
        <f>Table134[[#This Row],[number_of_purchases]]/Table134[[#This Row],[customer_total_years]]</f>
        <v>3.0290456431535273</v>
      </c>
      <c r="K877" s="13">
        <f>Table134[[#This Row],[purchase_history]]/Table134[[#This Row],[number_of_purchases]]</f>
        <v>1360.8200000000002</v>
      </c>
      <c r="L877" s="2">
        <f>IF(YEAR(Table134[[#This Row],[Last_Day]])=2021,5,IF(YEAR(Table134[[#This Row],[Last_Day]])=2022,7,IF(YEAR(Table134[[#This Row],[Last_Day]])=2023,10,"Không xác định")))</f>
        <v>7</v>
      </c>
      <c r="M877" s="15">
        <f>Table134[[#This Row],[avg_number_of_purchases]]*Table1345[[#This Row],[avg_purchase_value]]*Table1345[[#This Row],[expected_lifespan]]</f>
        <v>28853.901244813282</v>
      </c>
      <c r="N877" t="s">
        <v>12048</v>
      </c>
    </row>
    <row r="878" spans="1:14" x14ac:dyDescent="0.3">
      <c r="A878" s="2" t="s">
        <v>876</v>
      </c>
      <c r="B878" s="2" t="s">
        <v>12045</v>
      </c>
      <c r="C878" s="2">
        <v>34</v>
      </c>
      <c r="D878" s="2" t="s">
        <v>12041</v>
      </c>
      <c r="E878" s="2">
        <f>COUNTIF(Table16[customer_id],Table13[[#This Row],[customer_id]])</f>
        <v>4</v>
      </c>
      <c r="F878" s="13">
        <f>SUMIFS(Table16[Purchase_history],Table16[customer_id],Table13[[#This Row],[customer_id]])</f>
        <v>6729.8399999999992</v>
      </c>
      <c r="G878" s="20">
        <v>44345</v>
      </c>
      <c r="H878" s="21">
        <v>44692</v>
      </c>
      <c r="I878" s="15">
        <f>(Table134[[#This Row],[Last_Day]]-Table134[[#This Row],[First_Day]]+1)/365</f>
        <v>0.95342465753424654</v>
      </c>
      <c r="J878" s="59">
        <f>Table134[[#This Row],[number_of_purchases]]/Table134[[#This Row],[customer_total_years]]</f>
        <v>4.195402298850575</v>
      </c>
      <c r="K878" s="13">
        <f>Table134[[#This Row],[purchase_history]]/Table134[[#This Row],[number_of_purchases]]</f>
        <v>1682.4599999999998</v>
      </c>
      <c r="L878" s="2">
        <f>IF(YEAR(Table134[[#This Row],[Last_Day]])=2021,5,IF(YEAR(Table134[[#This Row],[Last_Day]])=2022,7,IF(YEAR(Table134[[#This Row],[Last_Day]])=2023,10,"Không xác định")))</f>
        <v>7</v>
      </c>
      <c r="M878" s="15">
        <f>Table134[[#This Row],[avg_number_of_purchases]]*Table1345[[#This Row],[avg_purchase_value]]*Table1345[[#This Row],[expected_lifespan]]</f>
        <v>49410.175862068965</v>
      </c>
      <c r="N878" t="s">
        <v>12047</v>
      </c>
    </row>
    <row r="879" spans="1:14" x14ac:dyDescent="0.3">
      <c r="A879" s="2" t="s">
        <v>877</v>
      </c>
      <c r="B879" s="2" t="s">
        <v>12040</v>
      </c>
      <c r="C879" s="2">
        <v>19</v>
      </c>
      <c r="D879" s="2" t="s">
        <v>12043</v>
      </c>
      <c r="E879" s="2">
        <f>COUNTIF(Table16[customer_id],Table13[[#This Row],[customer_id]])</f>
        <v>4</v>
      </c>
      <c r="F879" s="13">
        <f>SUMIFS(Table16[Purchase_history],Table16[customer_id],Table13[[#This Row],[customer_id]])</f>
        <v>1297.3399999999999</v>
      </c>
      <c r="G879" s="20">
        <v>44535</v>
      </c>
      <c r="H879" s="21">
        <v>44870</v>
      </c>
      <c r="I879" s="15">
        <f>(Table134[[#This Row],[Last_Day]]-Table134[[#This Row],[First_Day]]+1)/365</f>
        <v>0.92054794520547945</v>
      </c>
      <c r="J879" s="59">
        <f>Table134[[#This Row],[number_of_purchases]]/Table134[[#This Row],[customer_total_years]]</f>
        <v>4.3452380952380949</v>
      </c>
      <c r="K879" s="13">
        <f>Table134[[#This Row],[purchase_history]]/Table134[[#This Row],[number_of_purchases]]</f>
        <v>324.33499999999998</v>
      </c>
      <c r="L879" s="2">
        <f>IF(YEAR(Table134[[#This Row],[Last_Day]])=2021,5,IF(YEAR(Table134[[#This Row],[Last_Day]])=2022,7,IF(YEAR(Table134[[#This Row],[Last_Day]])=2023,10,"Không xác định")))</f>
        <v>7</v>
      </c>
      <c r="M879" s="15">
        <f>Table134[[#This Row],[avg_number_of_purchases]]*Table1345[[#This Row],[avg_purchase_value]]*Table1345[[#This Row],[expected_lifespan]]</f>
        <v>9865.189583333331</v>
      </c>
      <c r="N879" t="s">
        <v>12047</v>
      </c>
    </row>
    <row r="880" spans="1:14" x14ac:dyDescent="0.3">
      <c r="A880" s="2" t="s">
        <v>878</v>
      </c>
      <c r="B880" s="2" t="s">
        <v>12045</v>
      </c>
      <c r="C880" s="2">
        <v>57</v>
      </c>
      <c r="D880" s="2" t="s">
        <v>12041</v>
      </c>
      <c r="E880" s="2">
        <f>COUNTIF(Table16[customer_id],Table13[[#This Row],[customer_id]])</f>
        <v>6</v>
      </c>
      <c r="F880" s="13">
        <f>SUMIFS(Table16[Purchase_history],Table16[customer_id],Table13[[#This Row],[customer_id]])</f>
        <v>12805.95</v>
      </c>
      <c r="G880" s="20">
        <v>44350</v>
      </c>
      <c r="H880" s="21">
        <v>44885</v>
      </c>
      <c r="I880" s="15">
        <f>(Table134[[#This Row],[Last_Day]]-Table134[[#This Row],[First_Day]]+1)/365</f>
        <v>1.4684931506849315</v>
      </c>
      <c r="J880" s="59">
        <f>Table134[[#This Row],[number_of_purchases]]/Table134[[#This Row],[customer_total_years]]</f>
        <v>4.0858208955223878</v>
      </c>
      <c r="K880" s="13">
        <f>Table134[[#This Row],[purchase_history]]/Table134[[#This Row],[number_of_purchases]]</f>
        <v>2134.3250000000003</v>
      </c>
      <c r="L880" s="2">
        <f>IF(YEAR(Table134[[#This Row],[Last_Day]])=2021,5,IF(YEAR(Table134[[#This Row],[Last_Day]])=2022,7,IF(YEAR(Table134[[#This Row],[Last_Day]])=2023,10,"Không xác định")))</f>
        <v>7</v>
      </c>
      <c r="M880" s="15">
        <f>Table134[[#This Row],[avg_number_of_purchases]]*Table1345[[#This Row],[avg_purchase_value]]*Table1345[[#This Row],[expected_lifespan]]</f>
        <v>61043.287779850747</v>
      </c>
      <c r="N880" t="s">
        <v>12044</v>
      </c>
    </row>
    <row r="881" spans="1:14" x14ac:dyDescent="0.3">
      <c r="A881" s="2" t="s">
        <v>879</v>
      </c>
      <c r="B881" s="2" t="s">
        <v>12040</v>
      </c>
      <c r="C881" s="2">
        <v>34</v>
      </c>
      <c r="D881" s="2" t="s">
        <v>12043</v>
      </c>
      <c r="E881" s="2">
        <f>COUNTIF(Table16[customer_id],Table13[[#This Row],[customer_id]])</f>
        <v>8</v>
      </c>
      <c r="F881" s="13">
        <f>SUMIFS(Table16[Purchase_history],Table16[customer_id],Table13[[#This Row],[customer_id]])</f>
        <v>16975.890000000003</v>
      </c>
      <c r="G881" s="20">
        <v>44448</v>
      </c>
      <c r="H881" s="21">
        <v>44993</v>
      </c>
      <c r="I881" s="15">
        <f>(Table134[[#This Row],[Last_Day]]-Table134[[#This Row],[First_Day]]+1)/365</f>
        <v>1.4958904109589042</v>
      </c>
      <c r="J881" s="59">
        <f>Table134[[#This Row],[number_of_purchases]]/Table134[[#This Row],[customer_total_years]]</f>
        <v>5.3479853479853476</v>
      </c>
      <c r="K881" s="13">
        <f>Table134[[#This Row],[purchase_history]]/Table134[[#This Row],[number_of_purchases]]</f>
        <v>2121.9862500000004</v>
      </c>
      <c r="L881" s="2">
        <f>IF(YEAR(Table134[[#This Row],[Last_Day]])=2021,5,IF(YEAR(Table134[[#This Row],[Last_Day]])=2022,7,IF(YEAR(Table134[[#This Row],[Last_Day]])=2023,10,"Không xác định")))</f>
        <v>10</v>
      </c>
      <c r="M881" s="15">
        <f>Table134[[#This Row],[avg_number_of_purchases]]*Table1345[[#This Row],[avg_purchase_value]]*Table1345[[#This Row],[expected_lifespan]]</f>
        <v>113483.51373626376</v>
      </c>
      <c r="N881" t="s">
        <v>12042</v>
      </c>
    </row>
    <row r="882" spans="1:14" x14ac:dyDescent="0.3">
      <c r="A882" s="2" t="s">
        <v>880</v>
      </c>
      <c r="B882" s="2" t="s">
        <v>12040</v>
      </c>
      <c r="C882" s="2">
        <v>31</v>
      </c>
      <c r="D882" s="2" t="s">
        <v>12049</v>
      </c>
      <c r="E882" s="2">
        <f>COUNTIF(Table16[customer_id],Table13[[#This Row],[customer_id]])</f>
        <v>4</v>
      </c>
      <c r="F882" s="13">
        <f>SUMIFS(Table16[Purchase_history],Table16[customer_id],Table13[[#This Row],[customer_id]])</f>
        <v>2941.67</v>
      </c>
      <c r="G882" s="20">
        <v>44464</v>
      </c>
      <c r="H882" s="21">
        <v>44605</v>
      </c>
      <c r="I882" s="15">
        <f>(Table134[[#This Row],[Last_Day]]-Table134[[#This Row],[First_Day]]+1)/365</f>
        <v>0.38904109589041097</v>
      </c>
      <c r="J882" s="59">
        <f>Table134[[#This Row],[number_of_purchases]]/Table134[[#This Row],[customer_total_years]]</f>
        <v>10.28169014084507</v>
      </c>
      <c r="K882" s="13">
        <f>Table134[[#This Row],[purchase_history]]/Table134[[#This Row],[number_of_purchases]]</f>
        <v>735.41750000000002</v>
      </c>
      <c r="L882" s="2">
        <f>IF(YEAR(Table134[[#This Row],[Last_Day]])=2021,5,IF(YEAR(Table134[[#This Row],[Last_Day]])=2022,7,IF(YEAR(Table134[[#This Row],[Last_Day]])=2023,10,"Không xác định")))</f>
        <v>7</v>
      </c>
      <c r="M882" s="15">
        <f>Table134[[#This Row],[avg_number_of_purchases]]*Table1345[[#This Row],[avg_purchase_value]]*Table1345[[#This Row],[expected_lifespan]]</f>
        <v>52929.344014084505</v>
      </c>
      <c r="N882" t="s">
        <v>12042</v>
      </c>
    </row>
    <row r="883" spans="1:14" x14ac:dyDescent="0.3">
      <c r="A883" s="2" t="s">
        <v>881</v>
      </c>
      <c r="B883" s="2" t="s">
        <v>12040</v>
      </c>
      <c r="C883" s="2">
        <v>36</v>
      </c>
      <c r="D883" s="2" t="s">
        <v>12043</v>
      </c>
      <c r="E883" s="2">
        <f>COUNTIF(Table16[customer_id],Table13[[#This Row],[customer_id]])</f>
        <v>4</v>
      </c>
      <c r="F883" s="13">
        <f>SUMIFS(Table16[Purchase_history],Table16[customer_id],Table13[[#This Row],[customer_id]])</f>
        <v>7737.35</v>
      </c>
      <c r="G883" s="20">
        <v>44285</v>
      </c>
      <c r="H883" s="21">
        <v>44959</v>
      </c>
      <c r="I883" s="15">
        <f>(Table134[[#This Row],[Last_Day]]-Table134[[#This Row],[First_Day]]+1)/365</f>
        <v>1.8493150684931507</v>
      </c>
      <c r="J883" s="59">
        <f>Table134[[#This Row],[number_of_purchases]]/Table134[[#This Row],[customer_total_years]]</f>
        <v>2.162962962962963</v>
      </c>
      <c r="K883" s="13">
        <f>Table134[[#This Row],[purchase_history]]/Table134[[#This Row],[number_of_purchases]]</f>
        <v>1934.3375000000001</v>
      </c>
      <c r="L883" s="2">
        <f>IF(YEAR(Table134[[#This Row],[Last_Day]])=2021,5,IF(YEAR(Table134[[#This Row],[Last_Day]])=2022,7,IF(YEAR(Table134[[#This Row],[Last_Day]])=2023,10,"Không xác định")))</f>
        <v>10</v>
      </c>
      <c r="M883" s="15">
        <f>Table134[[#This Row],[avg_number_of_purchases]]*Table1345[[#This Row],[avg_purchase_value]]*Table1345[[#This Row],[expected_lifespan]]</f>
        <v>41839.003703703704</v>
      </c>
      <c r="N883" t="s">
        <v>12048</v>
      </c>
    </row>
    <row r="884" spans="1:14" x14ac:dyDescent="0.3">
      <c r="A884" s="2" t="s">
        <v>882</v>
      </c>
      <c r="B884" s="2" t="s">
        <v>12040</v>
      </c>
      <c r="C884" s="2">
        <v>41</v>
      </c>
      <c r="D884" s="2" t="s">
        <v>12049</v>
      </c>
      <c r="E884" s="2">
        <f>COUNTIF(Table16[customer_id],Table13[[#This Row],[customer_id]])</f>
        <v>3</v>
      </c>
      <c r="F884" s="13">
        <f>SUMIFS(Table16[Purchase_history],Table16[customer_id],Table13[[#This Row],[customer_id]])</f>
        <v>8523.73</v>
      </c>
      <c r="G884" s="20">
        <v>44206</v>
      </c>
      <c r="H884" s="21">
        <v>44822</v>
      </c>
      <c r="I884" s="15">
        <f>(Table134[[#This Row],[Last_Day]]-Table134[[#This Row],[First_Day]]+1)/365</f>
        <v>1.6904109589041096</v>
      </c>
      <c r="J884" s="59">
        <f>Table134[[#This Row],[number_of_purchases]]/Table134[[#This Row],[customer_total_years]]</f>
        <v>1.7747163695299837</v>
      </c>
      <c r="K884" s="13">
        <f>Table134[[#This Row],[purchase_history]]/Table134[[#This Row],[number_of_purchases]]</f>
        <v>2841.2433333333333</v>
      </c>
      <c r="L884" s="2">
        <f>IF(YEAR(Table134[[#This Row],[Last_Day]])=2021,5,IF(YEAR(Table134[[#This Row],[Last_Day]])=2022,7,IF(YEAR(Table134[[#This Row],[Last_Day]])=2023,10,"Không xác định")))</f>
        <v>7</v>
      </c>
      <c r="M884" s="15">
        <f>Table134[[#This Row],[avg_number_of_purchases]]*Table1345[[#This Row],[avg_purchase_value]]*Table1345[[#This Row],[expected_lifespan]]</f>
        <v>35296.807374392221</v>
      </c>
      <c r="N884" t="s">
        <v>12047</v>
      </c>
    </row>
    <row r="885" spans="1:14" x14ac:dyDescent="0.3">
      <c r="A885" s="2" t="s">
        <v>883</v>
      </c>
      <c r="B885" s="2" t="s">
        <v>12040</v>
      </c>
      <c r="C885" s="2">
        <v>20</v>
      </c>
      <c r="D885" s="2" t="s">
        <v>12041</v>
      </c>
      <c r="E885" s="2">
        <f>COUNTIF(Table16[customer_id],Table13[[#This Row],[customer_id]])</f>
        <v>2</v>
      </c>
      <c r="F885" s="13">
        <f>SUMIFS(Table16[Purchase_history],Table16[customer_id],Table13[[#This Row],[customer_id]])</f>
        <v>15004</v>
      </c>
      <c r="G885" s="20">
        <v>44237</v>
      </c>
      <c r="H885" s="21">
        <v>44412</v>
      </c>
      <c r="I885" s="15">
        <f>(Table134[[#This Row],[Last_Day]]-Table134[[#This Row],[First_Day]]+1)/365</f>
        <v>0.48219178082191783</v>
      </c>
      <c r="J885" s="59">
        <f>Table134[[#This Row],[number_of_purchases]]/Table134[[#This Row],[customer_total_years]]</f>
        <v>4.1477272727272725</v>
      </c>
      <c r="K885" s="13">
        <f>Table134[[#This Row],[purchase_history]]/Table134[[#This Row],[number_of_purchases]]</f>
        <v>7502</v>
      </c>
      <c r="L885" s="2">
        <f>IF(YEAR(Table134[[#This Row],[Last_Day]])=2021,5,IF(YEAR(Table134[[#This Row],[Last_Day]])=2022,7,IF(YEAR(Table134[[#This Row],[Last_Day]])=2023,10,"Không xác định")))</f>
        <v>5</v>
      </c>
      <c r="M885" s="15">
        <f>Table134[[#This Row],[avg_number_of_purchases]]*Table1345[[#This Row],[avg_purchase_value]]*Table1345[[#This Row],[expected_lifespan]]</f>
        <v>155581.25</v>
      </c>
      <c r="N885" t="s">
        <v>12048</v>
      </c>
    </row>
    <row r="886" spans="1:14" x14ac:dyDescent="0.3">
      <c r="A886" s="2" t="s">
        <v>884</v>
      </c>
      <c r="B886" s="2" t="s">
        <v>12045</v>
      </c>
      <c r="C886" s="2">
        <v>58</v>
      </c>
      <c r="D886" s="2" t="s">
        <v>12049</v>
      </c>
      <c r="E886" s="2">
        <f>COUNTIF(Table16[customer_id],Table13[[#This Row],[customer_id]])</f>
        <v>5</v>
      </c>
      <c r="F886" s="13">
        <f>SUMIFS(Table16[Purchase_history],Table16[customer_id],Table13[[#This Row],[customer_id]])</f>
        <v>3600.9699999999993</v>
      </c>
      <c r="G886" s="20">
        <v>44288</v>
      </c>
      <c r="H886" s="21">
        <v>44968</v>
      </c>
      <c r="I886" s="15">
        <f>(Table134[[#This Row],[Last_Day]]-Table134[[#This Row],[First_Day]]+1)/365</f>
        <v>1.8657534246575342</v>
      </c>
      <c r="J886" s="59">
        <f>Table134[[#This Row],[number_of_purchases]]/Table134[[#This Row],[customer_total_years]]</f>
        <v>2.6798825256975038</v>
      </c>
      <c r="K886" s="13">
        <f>Table134[[#This Row],[purchase_history]]/Table134[[#This Row],[number_of_purchases]]</f>
        <v>720.19399999999985</v>
      </c>
      <c r="L886" s="2">
        <f>IF(YEAR(Table134[[#This Row],[Last_Day]])=2021,5,IF(YEAR(Table134[[#This Row],[Last_Day]])=2022,7,IF(YEAR(Table134[[#This Row],[Last_Day]])=2023,10,"Không xác định")))</f>
        <v>10</v>
      </c>
      <c r="M886" s="15">
        <f>Table134[[#This Row],[avg_number_of_purchases]]*Table1345[[#This Row],[avg_purchase_value]]*Table1345[[#This Row],[expected_lifespan]]</f>
        <v>19300.353157121877</v>
      </c>
      <c r="N886" t="s">
        <v>12046</v>
      </c>
    </row>
    <row r="887" spans="1:14" x14ac:dyDescent="0.3">
      <c r="A887" s="2" t="s">
        <v>885</v>
      </c>
      <c r="B887" s="2" t="s">
        <v>12040</v>
      </c>
      <c r="C887" s="2">
        <v>46</v>
      </c>
      <c r="D887" s="2" t="s">
        <v>12049</v>
      </c>
      <c r="E887" s="2">
        <f>COUNTIF(Table16[customer_id],Table13[[#This Row],[customer_id]])</f>
        <v>4</v>
      </c>
      <c r="F887" s="13">
        <f>SUMIFS(Table16[Purchase_history],Table16[customer_id],Table13[[#This Row],[customer_id]])</f>
        <v>15500.88</v>
      </c>
      <c r="G887" s="20">
        <v>44348</v>
      </c>
      <c r="H887" s="21">
        <v>44766</v>
      </c>
      <c r="I887" s="15">
        <f>(Table134[[#This Row],[Last_Day]]-Table134[[#This Row],[First_Day]]+1)/365</f>
        <v>1.1479452054794521</v>
      </c>
      <c r="J887" s="59">
        <f>Table134[[#This Row],[number_of_purchases]]/Table134[[#This Row],[customer_total_years]]</f>
        <v>3.4844868735083532</v>
      </c>
      <c r="K887" s="13">
        <f>Table134[[#This Row],[purchase_history]]/Table134[[#This Row],[number_of_purchases]]</f>
        <v>3875.22</v>
      </c>
      <c r="L887" s="2">
        <f>IF(YEAR(Table134[[#This Row],[Last_Day]])=2021,5,IF(YEAR(Table134[[#This Row],[Last_Day]])=2022,7,IF(YEAR(Table134[[#This Row],[Last_Day]])=2023,10,"Không xác định")))</f>
        <v>7</v>
      </c>
      <c r="M887" s="15">
        <f>Table134[[#This Row],[avg_number_of_purchases]]*Table1345[[#This Row],[avg_purchase_value]]*Table1345[[#This Row],[expected_lifespan]]</f>
        <v>94522.072553699283</v>
      </c>
      <c r="N887" t="s">
        <v>12044</v>
      </c>
    </row>
    <row r="888" spans="1:14" x14ac:dyDescent="0.3">
      <c r="A888" s="2" t="s">
        <v>886</v>
      </c>
      <c r="B888" s="2" t="s">
        <v>12045</v>
      </c>
      <c r="C888" s="2">
        <v>66</v>
      </c>
      <c r="D888" s="2" t="s">
        <v>12049</v>
      </c>
      <c r="E888" s="2">
        <f>COUNTIF(Table16[customer_id],Table13[[#This Row],[customer_id]])</f>
        <v>6</v>
      </c>
      <c r="F888" s="13">
        <f>SUMIFS(Table16[Purchase_history],Table16[customer_id],Table13[[#This Row],[customer_id]])</f>
        <v>6230.68</v>
      </c>
      <c r="G888" s="20">
        <v>44226</v>
      </c>
      <c r="H888" s="21">
        <v>44715</v>
      </c>
      <c r="I888" s="15">
        <f>(Table134[[#This Row],[Last_Day]]-Table134[[#This Row],[First_Day]]+1)/365</f>
        <v>1.3424657534246576</v>
      </c>
      <c r="J888" s="59">
        <f>Table134[[#This Row],[number_of_purchases]]/Table134[[#This Row],[customer_total_years]]</f>
        <v>4.4693877551020407</v>
      </c>
      <c r="K888" s="13">
        <f>Table134[[#This Row],[purchase_history]]/Table134[[#This Row],[number_of_purchases]]</f>
        <v>1038.4466666666667</v>
      </c>
      <c r="L888" s="2">
        <f>IF(YEAR(Table134[[#This Row],[Last_Day]])=2021,5,IF(YEAR(Table134[[#This Row],[Last_Day]])=2022,7,IF(YEAR(Table134[[#This Row],[Last_Day]])=2023,10,"Không xác định")))</f>
        <v>7</v>
      </c>
      <c r="M888" s="15">
        <f>Table134[[#This Row],[avg_number_of_purchases]]*Table1345[[#This Row],[avg_purchase_value]]*Table1345[[#This Row],[expected_lifespan]]</f>
        <v>32488.545714285712</v>
      </c>
      <c r="N888" t="s">
        <v>12042</v>
      </c>
    </row>
    <row r="889" spans="1:14" x14ac:dyDescent="0.3">
      <c r="A889" s="2" t="s">
        <v>887</v>
      </c>
      <c r="B889" s="2" t="s">
        <v>12040</v>
      </c>
      <c r="C889" s="2">
        <v>42</v>
      </c>
      <c r="D889" s="2" t="s">
        <v>12049</v>
      </c>
      <c r="E889" s="2">
        <f>COUNTIF(Table16[customer_id],Table13[[#This Row],[customer_id]])</f>
        <v>6</v>
      </c>
      <c r="F889" s="13">
        <f>SUMIFS(Table16[Purchase_history],Table16[customer_id],Table13[[#This Row],[customer_id]])</f>
        <v>3162.63</v>
      </c>
      <c r="G889" s="20">
        <v>44478</v>
      </c>
      <c r="H889" s="21">
        <v>44964</v>
      </c>
      <c r="I889" s="15">
        <f>(Table134[[#This Row],[Last_Day]]-Table134[[#This Row],[First_Day]]+1)/365</f>
        <v>1.3342465753424657</v>
      </c>
      <c r="J889" s="59">
        <f>Table134[[#This Row],[number_of_purchases]]/Table134[[#This Row],[customer_total_years]]</f>
        <v>4.4969199178644761</v>
      </c>
      <c r="K889" s="13">
        <f>Table134[[#This Row],[purchase_history]]/Table134[[#This Row],[number_of_purchases]]</f>
        <v>527.10500000000002</v>
      </c>
      <c r="L889" s="2">
        <f>IF(YEAR(Table134[[#This Row],[Last_Day]])=2021,5,IF(YEAR(Table134[[#This Row],[Last_Day]])=2022,7,IF(YEAR(Table134[[#This Row],[Last_Day]])=2023,10,"Không xác định")))</f>
        <v>10</v>
      </c>
      <c r="M889" s="15">
        <f>Table134[[#This Row],[avg_number_of_purchases]]*Table1345[[#This Row],[avg_purchase_value]]*Table1345[[#This Row],[expected_lifespan]]</f>
        <v>23703.489733059545</v>
      </c>
      <c r="N889" t="s">
        <v>12042</v>
      </c>
    </row>
    <row r="890" spans="1:14" x14ac:dyDescent="0.3">
      <c r="A890" s="2" t="s">
        <v>888</v>
      </c>
      <c r="B890" s="2" t="s">
        <v>12040</v>
      </c>
      <c r="C890" s="2">
        <v>25</v>
      </c>
      <c r="D890" s="2" t="s">
        <v>12043</v>
      </c>
      <c r="E890" s="2">
        <f>COUNTIF(Table16[customer_id],Table13[[#This Row],[customer_id]])</f>
        <v>4</v>
      </c>
      <c r="F890" s="13">
        <f>SUMIFS(Table16[Purchase_history],Table16[customer_id],Table13[[#This Row],[customer_id]])</f>
        <v>8549.67</v>
      </c>
      <c r="G890" s="20">
        <v>44550</v>
      </c>
      <c r="H890" s="21">
        <v>44892</v>
      </c>
      <c r="I890" s="15">
        <f>(Table134[[#This Row],[Last_Day]]-Table134[[#This Row],[First_Day]]+1)/365</f>
        <v>0.9397260273972603</v>
      </c>
      <c r="J890" s="59">
        <f>Table134[[#This Row],[number_of_purchases]]/Table134[[#This Row],[customer_total_years]]</f>
        <v>4.2565597667638482</v>
      </c>
      <c r="K890" s="13">
        <f>Table134[[#This Row],[purchase_history]]/Table134[[#This Row],[number_of_purchases]]</f>
        <v>2137.4175</v>
      </c>
      <c r="L890" s="2">
        <f>IF(YEAR(Table134[[#This Row],[Last_Day]])=2021,5,IF(YEAR(Table134[[#This Row],[Last_Day]])=2022,7,IF(YEAR(Table134[[#This Row],[Last_Day]])=2023,10,"Không xác định")))</f>
        <v>7</v>
      </c>
      <c r="M890" s="15">
        <f>Table134[[#This Row],[avg_number_of_purchases]]*Table1345[[#This Row],[avg_purchase_value]]*Table1345[[#This Row],[expected_lifespan]]</f>
        <v>63686.317346938769</v>
      </c>
      <c r="N890" t="s">
        <v>12042</v>
      </c>
    </row>
    <row r="891" spans="1:14" x14ac:dyDescent="0.3">
      <c r="A891" s="2" t="s">
        <v>889</v>
      </c>
      <c r="B891" s="2" t="s">
        <v>12045</v>
      </c>
      <c r="C891" s="2">
        <v>48</v>
      </c>
      <c r="D891" s="2" t="s">
        <v>12041</v>
      </c>
      <c r="E891" s="2">
        <f>COUNTIF(Table16[customer_id],Table13[[#This Row],[customer_id]])</f>
        <v>8</v>
      </c>
      <c r="F891" s="13">
        <f>SUMIFS(Table16[Purchase_history],Table16[customer_id],Table13[[#This Row],[customer_id]])</f>
        <v>21957.42</v>
      </c>
      <c r="G891" s="20">
        <v>44224</v>
      </c>
      <c r="H891" s="21">
        <v>44707</v>
      </c>
      <c r="I891" s="15">
        <f>(Table134[[#This Row],[Last_Day]]-Table134[[#This Row],[First_Day]]+1)/365</f>
        <v>1.3260273972602741</v>
      </c>
      <c r="J891" s="59">
        <f>Table134[[#This Row],[number_of_purchases]]/Table134[[#This Row],[customer_total_years]]</f>
        <v>6.0330578512396693</v>
      </c>
      <c r="K891" s="13">
        <f>Table134[[#This Row],[purchase_history]]/Table134[[#This Row],[number_of_purchases]]</f>
        <v>2744.6774999999998</v>
      </c>
      <c r="L891" s="2">
        <f>IF(YEAR(Table134[[#This Row],[Last_Day]])=2021,5,IF(YEAR(Table134[[#This Row],[Last_Day]])=2022,7,IF(YEAR(Table134[[#This Row],[Last_Day]])=2023,10,"Không xác định")))</f>
        <v>7</v>
      </c>
      <c r="M891" s="15">
        <f>Table134[[#This Row],[avg_number_of_purchases]]*Table1345[[#This Row],[avg_purchase_value]]*Table1345[[#This Row],[expected_lifespan]]</f>
        <v>115911.58698347106</v>
      </c>
      <c r="N891" t="s">
        <v>12048</v>
      </c>
    </row>
    <row r="892" spans="1:14" x14ac:dyDescent="0.3">
      <c r="A892" s="2" t="s">
        <v>890</v>
      </c>
      <c r="B892" s="2" t="s">
        <v>12040</v>
      </c>
      <c r="C892" s="2">
        <v>53</v>
      </c>
      <c r="D892" s="2" t="s">
        <v>12041</v>
      </c>
      <c r="E892" s="2">
        <f>COUNTIF(Table16[customer_id],Table13[[#This Row],[customer_id]])</f>
        <v>7</v>
      </c>
      <c r="F892" s="13">
        <f>SUMIFS(Table16[Purchase_history],Table16[customer_id],Table13[[#This Row],[customer_id]])</f>
        <v>23503.82</v>
      </c>
      <c r="G892" s="20">
        <v>44220</v>
      </c>
      <c r="H892" s="21">
        <v>44799</v>
      </c>
      <c r="I892" s="15">
        <f>(Table134[[#This Row],[Last_Day]]-Table134[[#This Row],[First_Day]]+1)/365</f>
        <v>1.5890410958904109</v>
      </c>
      <c r="J892" s="59">
        <f>Table134[[#This Row],[number_of_purchases]]/Table134[[#This Row],[customer_total_years]]</f>
        <v>4.4051724137931041</v>
      </c>
      <c r="K892" s="13">
        <f>Table134[[#This Row],[purchase_history]]/Table134[[#This Row],[number_of_purchases]]</f>
        <v>3357.6885714285713</v>
      </c>
      <c r="L892" s="2">
        <f>IF(YEAR(Table134[[#This Row],[Last_Day]])=2021,5,IF(YEAR(Table134[[#This Row],[Last_Day]])=2022,7,IF(YEAR(Table134[[#This Row],[Last_Day]])=2023,10,"Không xác định")))</f>
        <v>7</v>
      </c>
      <c r="M892" s="15">
        <f>Table134[[#This Row],[avg_number_of_purchases]]*Table1345[[#This Row],[avg_purchase_value]]*Table1345[[#This Row],[expected_lifespan]]</f>
        <v>103538.37948275864</v>
      </c>
      <c r="N892" t="s">
        <v>12048</v>
      </c>
    </row>
    <row r="893" spans="1:14" x14ac:dyDescent="0.3">
      <c r="A893" s="2" t="s">
        <v>891</v>
      </c>
      <c r="B893" s="2" t="s">
        <v>12040</v>
      </c>
      <c r="C893" s="2">
        <v>49</v>
      </c>
      <c r="D893" s="2" t="s">
        <v>12049</v>
      </c>
      <c r="E893" s="2">
        <f>COUNTIF(Table16[customer_id],Table13[[#This Row],[customer_id]])</f>
        <v>1</v>
      </c>
      <c r="F893" s="13">
        <f>SUMIFS(Table16[Purchase_history],Table16[customer_id],Table13[[#This Row],[customer_id]])</f>
        <v>143.36000000000001</v>
      </c>
      <c r="G893" s="20">
        <v>44991</v>
      </c>
      <c r="H893" s="21">
        <v>44991</v>
      </c>
      <c r="I893" s="15">
        <f>(Table134[[#This Row],[Last_Day]]-Table134[[#This Row],[First_Day]]+1)/365</f>
        <v>2.7397260273972603E-3</v>
      </c>
      <c r="J893" s="59">
        <f>Table134[[#This Row],[number_of_purchases]]/Table134[[#This Row],[customer_total_years]]</f>
        <v>365</v>
      </c>
      <c r="K893" s="13">
        <f>Table134[[#This Row],[purchase_history]]/Table134[[#This Row],[number_of_purchases]]</f>
        <v>143.36000000000001</v>
      </c>
      <c r="L893" s="2">
        <f>IF(YEAR(Table134[[#This Row],[Last_Day]])=2021,5,IF(YEAR(Table134[[#This Row],[Last_Day]])=2022,7,IF(YEAR(Table134[[#This Row],[Last_Day]])=2023,10,"Không xác định")))</f>
        <v>10</v>
      </c>
      <c r="M893" s="15">
        <f>Table134[[#This Row],[avg_number_of_purchases]]*Table1345[[#This Row],[avg_purchase_value]]*Table1345[[#This Row],[expected_lifespan]]</f>
        <v>523264</v>
      </c>
      <c r="N893" t="s">
        <v>12046</v>
      </c>
    </row>
    <row r="894" spans="1:14" x14ac:dyDescent="0.3">
      <c r="A894" s="2" t="s">
        <v>892</v>
      </c>
      <c r="B894" s="2" t="s">
        <v>12040</v>
      </c>
      <c r="C894" s="2">
        <v>28</v>
      </c>
      <c r="D894" s="2" t="s">
        <v>12041</v>
      </c>
      <c r="E894" s="2">
        <f>COUNTIF(Table16[customer_id],Table13[[#This Row],[customer_id]])</f>
        <v>4</v>
      </c>
      <c r="F894" s="13">
        <f>SUMIFS(Table16[Purchase_history],Table16[customer_id],Table13[[#This Row],[customer_id]])</f>
        <v>12812.779999999999</v>
      </c>
      <c r="G894" s="20">
        <v>44384</v>
      </c>
      <c r="H894" s="21">
        <v>44797</v>
      </c>
      <c r="I894" s="15">
        <f>(Table134[[#This Row],[Last_Day]]-Table134[[#This Row],[First_Day]]+1)/365</f>
        <v>1.1342465753424658</v>
      </c>
      <c r="J894" s="59">
        <f>Table134[[#This Row],[number_of_purchases]]/Table134[[#This Row],[customer_total_years]]</f>
        <v>3.5265700483091789</v>
      </c>
      <c r="K894" s="13">
        <f>Table134[[#This Row],[purchase_history]]/Table134[[#This Row],[number_of_purchases]]</f>
        <v>3203.1949999999997</v>
      </c>
      <c r="L894" s="2">
        <f>IF(YEAR(Table134[[#This Row],[Last_Day]])=2021,5,IF(YEAR(Table134[[#This Row],[Last_Day]])=2022,7,IF(YEAR(Table134[[#This Row],[Last_Day]])=2023,10,"Không xác định")))</f>
        <v>7</v>
      </c>
      <c r="M894" s="15">
        <f>Table134[[#This Row],[avg_number_of_purchases]]*Table1345[[#This Row],[avg_purchase_value]]*Table1345[[#This Row],[expected_lifespan]]</f>
        <v>79074.040821256029</v>
      </c>
      <c r="N894" t="s">
        <v>12048</v>
      </c>
    </row>
    <row r="895" spans="1:14" x14ac:dyDescent="0.3">
      <c r="A895" s="2" t="s">
        <v>893</v>
      </c>
      <c r="B895" s="2" t="s">
        <v>12040</v>
      </c>
      <c r="C895" s="2">
        <v>54</v>
      </c>
      <c r="D895" s="2" t="s">
        <v>12041</v>
      </c>
      <c r="E895" s="2">
        <f>COUNTIF(Table16[customer_id],Table13[[#This Row],[customer_id]])</f>
        <v>3</v>
      </c>
      <c r="F895" s="13">
        <f>SUMIFS(Table16[Purchase_history],Table16[customer_id],Table13[[#This Row],[customer_id]])</f>
        <v>1800.48</v>
      </c>
      <c r="G895" s="20">
        <v>44299</v>
      </c>
      <c r="H895" s="21">
        <v>44780</v>
      </c>
      <c r="I895" s="15">
        <f>(Table134[[#This Row],[Last_Day]]-Table134[[#This Row],[First_Day]]+1)/365</f>
        <v>1.3205479452054794</v>
      </c>
      <c r="J895" s="59">
        <f>Table134[[#This Row],[number_of_purchases]]/Table134[[#This Row],[customer_total_years]]</f>
        <v>2.2717842323651456</v>
      </c>
      <c r="K895" s="13">
        <f>Table134[[#This Row],[purchase_history]]/Table134[[#This Row],[number_of_purchases]]</f>
        <v>600.16</v>
      </c>
      <c r="L895" s="2">
        <f>IF(YEAR(Table134[[#This Row],[Last_Day]])=2021,5,IF(YEAR(Table134[[#This Row],[Last_Day]])=2022,7,IF(YEAR(Table134[[#This Row],[Last_Day]])=2023,10,"Không xác định")))</f>
        <v>7</v>
      </c>
      <c r="M895" s="15">
        <f>Table134[[#This Row],[avg_number_of_purchases]]*Table1345[[#This Row],[avg_purchase_value]]*Table1345[[#This Row],[expected_lifespan]]</f>
        <v>9544.0381742738609</v>
      </c>
      <c r="N895" t="s">
        <v>12048</v>
      </c>
    </row>
    <row r="896" spans="1:14" x14ac:dyDescent="0.3">
      <c r="A896" s="2" t="s">
        <v>894</v>
      </c>
      <c r="B896" s="2" t="s">
        <v>12040</v>
      </c>
      <c r="C896" s="2">
        <v>35</v>
      </c>
      <c r="D896" s="2" t="s">
        <v>12041</v>
      </c>
      <c r="E896" s="2">
        <f>COUNTIF(Table16[customer_id],Table13[[#This Row],[customer_id]])</f>
        <v>4</v>
      </c>
      <c r="F896" s="13">
        <f>SUMIFS(Table16[Purchase_history],Table16[customer_id],Table13[[#This Row],[customer_id]])</f>
        <v>17725.64</v>
      </c>
      <c r="G896" s="20">
        <v>44409</v>
      </c>
      <c r="H896" s="21">
        <v>44953</v>
      </c>
      <c r="I896" s="15">
        <f>(Table134[[#This Row],[Last_Day]]-Table134[[#This Row],[First_Day]]+1)/365</f>
        <v>1.4931506849315068</v>
      </c>
      <c r="J896" s="59">
        <f>Table134[[#This Row],[number_of_purchases]]/Table134[[#This Row],[customer_total_years]]</f>
        <v>2.6788990825688073</v>
      </c>
      <c r="K896" s="13">
        <f>Table134[[#This Row],[purchase_history]]/Table134[[#This Row],[number_of_purchases]]</f>
        <v>4431.41</v>
      </c>
      <c r="L896" s="2">
        <f>IF(YEAR(Table134[[#This Row],[Last_Day]])=2021,5,IF(YEAR(Table134[[#This Row],[Last_Day]])=2022,7,IF(YEAR(Table134[[#This Row],[Last_Day]])=2023,10,"Không xác định")))</f>
        <v>10</v>
      </c>
      <c r="M896" s="15">
        <f>Table134[[#This Row],[avg_number_of_purchases]]*Table1345[[#This Row],[avg_purchase_value]]*Table1345[[#This Row],[expected_lifespan]]</f>
        <v>118713.00183486237</v>
      </c>
      <c r="N896" t="s">
        <v>12048</v>
      </c>
    </row>
    <row r="897" spans="1:14" x14ac:dyDescent="0.3">
      <c r="A897" s="2" t="s">
        <v>895</v>
      </c>
      <c r="B897" s="2" t="s">
        <v>12045</v>
      </c>
      <c r="C897" s="2">
        <v>55</v>
      </c>
      <c r="D897" s="2" t="s">
        <v>12043</v>
      </c>
      <c r="E897" s="2">
        <f>COUNTIF(Table16[customer_id],Table13[[#This Row],[customer_id]])</f>
        <v>4</v>
      </c>
      <c r="F897" s="13">
        <f>SUMIFS(Table16[Purchase_history],Table16[customer_id],Table13[[#This Row],[customer_id]])</f>
        <v>511.21000000000004</v>
      </c>
      <c r="G897" s="20">
        <v>44642</v>
      </c>
      <c r="H897" s="21">
        <v>44976</v>
      </c>
      <c r="I897" s="15">
        <f>(Table134[[#This Row],[Last_Day]]-Table134[[#This Row],[First_Day]]+1)/365</f>
        <v>0.9178082191780822</v>
      </c>
      <c r="J897" s="59">
        <f>Table134[[#This Row],[number_of_purchases]]/Table134[[#This Row],[customer_total_years]]</f>
        <v>4.3582089552238807</v>
      </c>
      <c r="K897" s="13">
        <f>Table134[[#This Row],[purchase_history]]/Table134[[#This Row],[number_of_purchases]]</f>
        <v>127.80250000000001</v>
      </c>
      <c r="L897" s="2">
        <f>IF(YEAR(Table134[[#This Row],[Last_Day]])=2021,5,IF(YEAR(Table134[[#This Row],[Last_Day]])=2022,7,IF(YEAR(Table134[[#This Row],[Last_Day]])=2023,10,"Không xác định")))</f>
        <v>10</v>
      </c>
      <c r="M897" s="15">
        <f>Table134[[#This Row],[avg_number_of_purchases]]*Table1345[[#This Row],[avg_purchase_value]]*Table1345[[#This Row],[expected_lifespan]]</f>
        <v>5569.9</v>
      </c>
      <c r="N897" t="s">
        <v>12047</v>
      </c>
    </row>
    <row r="898" spans="1:14" x14ac:dyDescent="0.3">
      <c r="A898" s="2" t="s">
        <v>896</v>
      </c>
      <c r="B898" s="2" t="s">
        <v>12040</v>
      </c>
      <c r="C898" s="2">
        <v>43</v>
      </c>
      <c r="D898" s="2" t="s">
        <v>12049</v>
      </c>
      <c r="E898" s="2">
        <f>COUNTIF(Table16[customer_id],Table13[[#This Row],[customer_id]])</f>
        <v>8</v>
      </c>
      <c r="F898" s="13">
        <f>SUMIFS(Table16[Purchase_history],Table16[customer_id],Table13[[#This Row],[customer_id]])</f>
        <v>21767.34</v>
      </c>
      <c r="G898" s="20">
        <v>44360</v>
      </c>
      <c r="H898" s="21">
        <v>44872</v>
      </c>
      <c r="I898" s="15">
        <f>(Table134[[#This Row],[Last_Day]]-Table134[[#This Row],[First_Day]]+1)/365</f>
        <v>1.4054794520547946</v>
      </c>
      <c r="J898" s="59">
        <f>Table134[[#This Row],[number_of_purchases]]/Table134[[#This Row],[customer_total_years]]</f>
        <v>5.6920077972709544</v>
      </c>
      <c r="K898" s="13">
        <f>Table134[[#This Row],[purchase_history]]/Table134[[#This Row],[number_of_purchases]]</f>
        <v>2720.9175</v>
      </c>
      <c r="L898" s="2">
        <f>IF(YEAR(Table134[[#This Row],[Last_Day]])=2021,5,IF(YEAR(Table134[[#This Row],[Last_Day]])=2022,7,IF(YEAR(Table134[[#This Row],[Last_Day]])=2023,10,"Không xác định")))</f>
        <v>7</v>
      </c>
      <c r="M898" s="15">
        <f>Table134[[#This Row],[avg_number_of_purchases]]*Table1345[[#This Row],[avg_purchase_value]]*Table1345[[#This Row],[expected_lifespan]]</f>
        <v>108412.38538011695</v>
      </c>
      <c r="N898" t="s">
        <v>12042</v>
      </c>
    </row>
    <row r="899" spans="1:14" x14ac:dyDescent="0.3">
      <c r="A899" s="2" t="s">
        <v>897</v>
      </c>
      <c r="B899" s="2" t="s">
        <v>12040</v>
      </c>
      <c r="C899" s="2">
        <v>32</v>
      </c>
      <c r="D899" s="2" t="s">
        <v>12049</v>
      </c>
      <c r="E899" s="2">
        <f>COUNTIF(Table16[customer_id],Table13[[#This Row],[customer_id]])</f>
        <v>3</v>
      </c>
      <c r="F899" s="13">
        <f>SUMIFS(Table16[Purchase_history],Table16[customer_id],Table13[[#This Row],[customer_id]])</f>
        <v>10776.25</v>
      </c>
      <c r="G899" s="20">
        <v>44635</v>
      </c>
      <c r="H899" s="21">
        <v>44904</v>
      </c>
      <c r="I899" s="15">
        <f>(Table134[[#This Row],[Last_Day]]-Table134[[#This Row],[First_Day]]+1)/365</f>
        <v>0.73972602739726023</v>
      </c>
      <c r="J899" s="59">
        <f>Table134[[#This Row],[number_of_purchases]]/Table134[[#This Row],[customer_total_years]]</f>
        <v>4.0555555555555554</v>
      </c>
      <c r="K899" s="13">
        <f>Table134[[#This Row],[purchase_history]]/Table134[[#This Row],[number_of_purchases]]</f>
        <v>3592.0833333333335</v>
      </c>
      <c r="L899" s="2">
        <f>IF(YEAR(Table134[[#This Row],[Last_Day]])=2021,5,IF(YEAR(Table134[[#This Row],[Last_Day]])=2022,7,IF(YEAR(Table134[[#This Row],[Last_Day]])=2023,10,"Không xác định")))</f>
        <v>7</v>
      </c>
      <c r="M899" s="15">
        <f>Table134[[#This Row],[avg_number_of_purchases]]*Table1345[[#This Row],[avg_purchase_value]]*Table1345[[#This Row],[expected_lifespan]]</f>
        <v>101975.25462962964</v>
      </c>
      <c r="N899" t="s">
        <v>12044</v>
      </c>
    </row>
    <row r="900" spans="1:14" x14ac:dyDescent="0.3">
      <c r="A900" s="2" t="s">
        <v>898</v>
      </c>
      <c r="B900" s="2" t="s">
        <v>12045</v>
      </c>
      <c r="C900" s="2">
        <v>43</v>
      </c>
      <c r="D900" s="2" t="s">
        <v>12041</v>
      </c>
      <c r="E900" s="2">
        <f>COUNTIF(Table16[customer_id],Table13[[#This Row],[customer_id]])</f>
        <v>6</v>
      </c>
      <c r="F900" s="13">
        <f>SUMIFS(Table16[Purchase_history],Table16[customer_id],Table13[[#This Row],[customer_id]])</f>
        <v>22437.120000000003</v>
      </c>
      <c r="G900" s="20">
        <v>44208</v>
      </c>
      <c r="H900" s="21">
        <v>44972</v>
      </c>
      <c r="I900" s="15">
        <f>(Table134[[#This Row],[Last_Day]]-Table134[[#This Row],[First_Day]]+1)/365</f>
        <v>2.095890410958904</v>
      </c>
      <c r="J900" s="59">
        <f>Table134[[#This Row],[number_of_purchases]]/Table134[[#This Row],[customer_total_years]]</f>
        <v>2.8627450980392157</v>
      </c>
      <c r="K900" s="13">
        <f>Table134[[#This Row],[purchase_history]]/Table134[[#This Row],[number_of_purchases]]</f>
        <v>3739.5200000000004</v>
      </c>
      <c r="L900" s="2">
        <f>IF(YEAR(Table134[[#This Row],[Last_Day]])=2021,5,IF(YEAR(Table134[[#This Row],[Last_Day]])=2022,7,IF(YEAR(Table134[[#This Row],[Last_Day]])=2023,10,"Không xác định")))</f>
        <v>10</v>
      </c>
      <c r="M900" s="15">
        <f>Table134[[#This Row],[avg_number_of_purchases]]*Table1345[[#This Row],[avg_purchase_value]]*Table1345[[#This Row],[expected_lifespan]]</f>
        <v>107052.92549019608</v>
      </c>
      <c r="N900" t="s">
        <v>12047</v>
      </c>
    </row>
    <row r="901" spans="1:14" x14ac:dyDescent="0.3">
      <c r="A901" s="2" t="s">
        <v>899</v>
      </c>
      <c r="B901" s="2" t="s">
        <v>12045</v>
      </c>
      <c r="C901" s="2">
        <v>56</v>
      </c>
      <c r="D901" s="2" t="s">
        <v>12049</v>
      </c>
      <c r="E901" s="2">
        <f>COUNTIF(Table16[customer_id],Table13[[#This Row],[customer_id]])</f>
        <v>6</v>
      </c>
      <c r="F901" s="13">
        <f>SUMIFS(Table16[Purchase_history],Table16[customer_id],Table13[[#This Row],[customer_id]])</f>
        <v>28615.37</v>
      </c>
      <c r="G901" s="20">
        <v>44433</v>
      </c>
      <c r="H901" s="21">
        <v>44862</v>
      </c>
      <c r="I901" s="15">
        <f>(Table134[[#This Row],[Last_Day]]-Table134[[#This Row],[First_Day]]+1)/365</f>
        <v>1.178082191780822</v>
      </c>
      <c r="J901" s="59">
        <f>Table134[[#This Row],[number_of_purchases]]/Table134[[#This Row],[customer_total_years]]</f>
        <v>5.0930232558139537</v>
      </c>
      <c r="K901" s="13">
        <f>Table134[[#This Row],[purchase_history]]/Table134[[#This Row],[number_of_purchases]]</f>
        <v>4769.2283333333335</v>
      </c>
      <c r="L901" s="2">
        <f>IF(YEAR(Table134[[#This Row],[Last_Day]])=2021,5,IF(YEAR(Table134[[#This Row],[Last_Day]])=2022,7,IF(YEAR(Table134[[#This Row],[Last_Day]])=2023,10,"Không xác định")))</f>
        <v>7</v>
      </c>
      <c r="M901" s="15">
        <f>Table134[[#This Row],[avg_number_of_purchases]]*Table1345[[#This Row],[avg_purchase_value]]*Table1345[[#This Row],[expected_lifespan]]</f>
        <v>170028.53569767441</v>
      </c>
      <c r="N901" t="s">
        <v>12046</v>
      </c>
    </row>
    <row r="902" spans="1:14" x14ac:dyDescent="0.3">
      <c r="A902" s="2" t="s">
        <v>900</v>
      </c>
      <c r="B902" s="2" t="s">
        <v>12045</v>
      </c>
      <c r="C902" s="2">
        <v>23</v>
      </c>
      <c r="D902" s="2" t="s">
        <v>12041</v>
      </c>
      <c r="E902" s="2">
        <f>COUNTIF(Table16[customer_id],Table13[[#This Row],[customer_id]])</f>
        <v>3</v>
      </c>
      <c r="F902" s="13">
        <f>SUMIFS(Table16[Purchase_history],Table16[customer_id],Table13[[#This Row],[customer_id]])</f>
        <v>387.80999999999995</v>
      </c>
      <c r="G902" s="20">
        <v>44375</v>
      </c>
      <c r="H902" s="21">
        <v>44981</v>
      </c>
      <c r="I902" s="15">
        <f>(Table134[[#This Row],[Last_Day]]-Table134[[#This Row],[First_Day]]+1)/365</f>
        <v>1.6630136986301369</v>
      </c>
      <c r="J902" s="59">
        <f>Table134[[#This Row],[number_of_purchases]]/Table134[[#This Row],[customer_total_years]]</f>
        <v>1.8039538714991763</v>
      </c>
      <c r="K902" s="13">
        <f>Table134[[#This Row],[purchase_history]]/Table134[[#This Row],[number_of_purchases]]</f>
        <v>129.26999999999998</v>
      </c>
      <c r="L902" s="2">
        <f>IF(YEAR(Table134[[#This Row],[Last_Day]])=2021,5,IF(YEAR(Table134[[#This Row],[Last_Day]])=2022,7,IF(YEAR(Table134[[#This Row],[Last_Day]])=2023,10,"Không xác định")))</f>
        <v>10</v>
      </c>
      <c r="M902" s="15">
        <f>Table134[[#This Row],[avg_number_of_purchases]]*Table1345[[#This Row],[avg_purchase_value]]*Table1345[[#This Row],[expected_lifespan]]</f>
        <v>2331.9711696869849</v>
      </c>
      <c r="N902" t="s">
        <v>12046</v>
      </c>
    </row>
    <row r="903" spans="1:14" x14ac:dyDescent="0.3">
      <c r="A903" s="2" t="s">
        <v>901</v>
      </c>
      <c r="B903" s="2" t="s">
        <v>12040</v>
      </c>
      <c r="C903" s="2">
        <v>50</v>
      </c>
      <c r="D903" s="2" t="s">
        <v>12043</v>
      </c>
      <c r="E903" s="2">
        <f>COUNTIF(Table16[customer_id],Table13[[#This Row],[customer_id]])</f>
        <v>6</v>
      </c>
      <c r="F903" s="13">
        <f>SUMIFS(Table16[Purchase_history],Table16[customer_id],Table13[[#This Row],[customer_id]])</f>
        <v>5816.2</v>
      </c>
      <c r="G903" s="20">
        <v>44202</v>
      </c>
      <c r="H903" s="21">
        <v>44970</v>
      </c>
      <c r="I903" s="15">
        <f>(Table134[[#This Row],[Last_Day]]-Table134[[#This Row],[First_Day]]+1)/365</f>
        <v>2.106849315068493</v>
      </c>
      <c r="J903" s="59">
        <f>Table134[[#This Row],[number_of_purchases]]/Table134[[#This Row],[customer_total_years]]</f>
        <v>2.8478543563068923</v>
      </c>
      <c r="K903" s="13">
        <f>Table134[[#This Row],[purchase_history]]/Table134[[#This Row],[number_of_purchases]]</f>
        <v>969.36666666666667</v>
      </c>
      <c r="L903" s="2">
        <f>IF(YEAR(Table134[[#This Row],[Last_Day]])=2021,5,IF(YEAR(Table134[[#This Row],[Last_Day]])=2022,7,IF(YEAR(Table134[[#This Row],[Last_Day]])=2023,10,"Không xác định")))</f>
        <v>10</v>
      </c>
      <c r="M903" s="15">
        <f>Table134[[#This Row],[avg_number_of_purchases]]*Table1345[[#This Row],[avg_purchase_value]]*Table1345[[#This Row],[expected_lifespan]]</f>
        <v>27606.150845253578</v>
      </c>
      <c r="N903" t="s">
        <v>12042</v>
      </c>
    </row>
    <row r="904" spans="1:14" x14ac:dyDescent="0.3">
      <c r="A904" s="2" t="s">
        <v>902</v>
      </c>
      <c r="B904" s="2" t="s">
        <v>12040</v>
      </c>
      <c r="C904" s="2">
        <v>50</v>
      </c>
      <c r="D904" s="2" t="s">
        <v>12049</v>
      </c>
      <c r="E904" s="2">
        <f>COUNTIF(Table16[customer_id],Table13[[#This Row],[customer_id]])</f>
        <v>5</v>
      </c>
      <c r="F904" s="13">
        <f>SUMIFS(Table16[Purchase_history],Table16[customer_id],Table13[[#This Row],[customer_id]])</f>
        <v>25893.46</v>
      </c>
      <c r="G904" s="20">
        <v>44281</v>
      </c>
      <c r="H904" s="21">
        <v>44646</v>
      </c>
      <c r="I904" s="15">
        <f>(Table134[[#This Row],[Last_Day]]-Table134[[#This Row],[First_Day]]+1)/365</f>
        <v>1.0027397260273974</v>
      </c>
      <c r="J904" s="59">
        <f>Table134[[#This Row],[number_of_purchases]]/Table134[[#This Row],[customer_total_years]]</f>
        <v>4.9863387978142075</v>
      </c>
      <c r="K904" s="13">
        <f>Table134[[#This Row],[purchase_history]]/Table134[[#This Row],[number_of_purchases]]</f>
        <v>5178.692</v>
      </c>
      <c r="L904" s="2">
        <f>IF(YEAR(Table134[[#This Row],[Last_Day]])=2021,5,IF(YEAR(Table134[[#This Row],[Last_Day]])=2022,7,IF(YEAR(Table134[[#This Row],[Last_Day]])=2023,10,"Không xác định")))</f>
        <v>7</v>
      </c>
      <c r="M904" s="15">
        <f>Table134[[#This Row],[avg_number_of_purchases]]*Table1345[[#This Row],[avg_purchase_value]]*Table1345[[#This Row],[expected_lifespan]]</f>
        <v>180758.98989071039</v>
      </c>
      <c r="N904" t="s">
        <v>12048</v>
      </c>
    </row>
    <row r="905" spans="1:14" x14ac:dyDescent="0.3">
      <c r="A905" s="2" t="s">
        <v>903</v>
      </c>
      <c r="B905" s="2" t="s">
        <v>12040</v>
      </c>
      <c r="C905" s="2">
        <v>40</v>
      </c>
      <c r="D905" s="2" t="s">
        <v>12049</v>
      </c>
      <c r="E905" s="2">
        <f>COUNTIF(Table16[customer_id],Table13[[#This Row],[customer_id]])</f>
        <v>6</v>
      </c>
      <c r="F905" s="13">
        <f>SUMIFS(Table16[Purchase_history],Table16[customer_id],Table13[[#This Row],[customer_id]])</f>
        <v>10767.39</v>
      </c>
      <c r="G905" s="20">
        <v>44259</v>
      </c>
      <c r="H905" s="21">
        <v>44931</v>
      </c>
      <c r="I905" s="15">
        <f>(Table134[[#This Row],[Last_Day]]-Table134[[#This Row],[First_Day]]+1)/365</f>
        <v>1.8438356164383563</v>
      </c>
      <c r="J905" s="59">
        <f>Table134[[#This Row],[number_of_purchases]]/Table134[[#This Row],[customer_total_years]]</f>
        <v>3.2540861812778603</v>
      </c>
      <c r="K905" s="13">
        <f>Table134[[#This Row],[purchase_history]]/Table134[[#This Row],[number_of_purchases]]</f>
        <v>1794.5649999999998</v>
      </c>
      <c r="L905" s="2">
        <f>IF(YEAR(Table134[[#This Row],[Last_Day]])=2021,5,IF(YEAR(Table134[[#This Row],[Last_Day]])=2022,7,IF(YEAR(Table134[[#This Row],[Last_Day]])=2023,10,"Không xác định")))</f>
        <v>10</v>
      </c>
      <c r="M905" s="15">
        <f>Table134[[#This Row],[avg_number_of_purchases]]*Table1345[[#This Row],[avg_purchase_value]]*Table1345[[#This Row],[expected_lifespan]]</f>
        <v>58396.691679049029</v>
      </c>
      <c r="N905" t="s">
        <v>12046</v>
      </c>
    </row>
    <row r="906" spans="1:14" x14ac:dyDescent="0.3">
      <c r="A906" s="2" t="s">
        <v>904</v>
      </c>
      <c r="B906" s="2" t="s">
        <v>12040</v>
      </c>
      <c r="C906" s="2">
        <v>32</v>
      </c>
      <c r="D906" s="2" t="s">
        <v>12041</v>
      </c>
      <c r="E906" s="2">
        <f>COUNTIF(Table16[customer_id],Table13[[#This Row],[customer_id]])</f>
        <v>6</v>
      </c>
      <c r="F906" s="13">
        <f>SUMIFS(Table16[Purchase_history],Table16[customer_id],Table13[[#This Row],[customer_id]])</f>
        <v>34340.699999999997</v>
      </c>
      <c r="G906" s="20">
        <v>44378</v>
      </c>
      <c r="H906" s="21">
        <v>44884</v>
      </c>
      <c r="I906" s="15">
        <f>(Table134[[#This Row],[Last_Day]]-Table134[[#This Row],[First_Day]]+1)/365</f>
        <v>1.3890410958904109</v>
      </c>
      <c r="J906" s="59">
        <f>Table134[[#This Row],[number_of_purchases]]/Table134[[#This Row],[customer_total_years]]</f>
        <v>4.3195266272189352</v>
      </c>
      <c r="K906" s="13">
        <f>Table134[[#This Row],[purchase_history]]/Table134[[#This Row],[number_of_purchases]]</f>
        <v>5723.45</v>
      </c>
      <c r="L906" s="2">
        <f>IF(YEAR(Table134[[#This Row],[Last_Day]])=2021,5,IF(YEAR(Table134[[#This Row],[Last_Day]])=2022,7,IF(YEAR(Table134[[#This Row],[Last_Day]])=2023,10,"Không xác định")))</f>
        <v>7</v>
      </c>
      <c r="M906" s="15">
        <f>Table134[[#This Row],[avg_number_of_purchases]]*Table1345[[#This Row],[avg_purchase_value]]*Table1345[[#This Row],[expected_lifespan]]</f>
        <v>173058.16272189349</v>
      </c>
      <c r="N906" t="s">
        <v>12046</v>
      </c>
    </row>
    <row r="907" spans="1:14" x14ac:dyDescent="0.3">
      <c r="A907" s="2" t="s">
        <v>905</v>
      </c>
      <c r="B907" s="2" t="s">
        <v>12040</v>
      </c>
      <c r="C907" s="2">
        <v>41</v>
      </c>
      <c r="D907" s="2" t="s">
        <v>12043</v>
      </c>
      <c r="E907" s="2">
        <f>COUNTIF(Table16[customer_id],Table13[[#This Row],[customer_id]])</f>
        <v>3</v>
      </c>
      <c r="F907" s="13">
        <f>SUMIFS(Table16[Purchase_history],Table16[customer_id],Table13[[#This Row],[customer_id]])</f>
        <v>10619.06</v>
      </c>
      <c r="G907" s="20">
        <v>44524</v>
      </c>
      <c r="H907" s="21">
        <v>44708</v>
      </c>
      <c r="I907" s="15">
        <f>(Table134[[#This Row],[Last_Day]]-Table134[[#This Row],[First_Day]]+1)/365</f>
        <v>0.50684931506849318</v>
      </c>
      <c r="J907" s="59">
        <f>Table134[[#This Row],[number_of_purchases]]/Table134[[#This Row],[customer_total_years]]</f>
        <v>5.9189189189189184</v>
      </c>
      <c r="K907" s="13">
        <f>Table134[[#This Row],[purchase_history]]/Table134[[#This Row],[number_of_purchases]]</f>
        <v>3539.6866666666665</v>
      </c>
      <c r="L907" s="2">
        <f>IF(YEAR(Table134[[#This Row],[Last_Day]])=2021,5,IF(YEAR(Table134[[#This Row],[Last_Day]])=2022,7,IF(YEAR(Table134[[#This Row],[Last_Day]])=2023,10,"Không xác định")))</f>
        <v>7</v>
      </c>
      <c r="M907" s="15">
        <f>Table134[[#This Row],[avg_number_of_purchases]]*Table1345[[#This Row],[avg_purchase_value]]*Table1345[[#This Row],[expected_lifespan]]</f>
        <v>146657.82864864863</v>
      </c>
      <c r="N907" t="s">
        <v>12047</v>
      </c>
    </row>
    <row r="908" spans="1:14" x14ac:dyDescent="0.3">
      <c r="A908" s="2" t="s">
        <v>906</v>
      </c>
      <c r="B908" s="2" t="s">
        <v>12040</v>
      </c>
      <c r="C908" s="2">
        <v>36</v>
      </c>
      <c r="D908" s="2" t="s">
        <v>12043</v>
      </c>
      <c r="E908" s="2">
        <f>COUNTIF(Table16[customer_id],Table13[[#This Row],[customer_id]])</f>
        <v>8</v>
      </c>
      <c r="F908" s="13">
        <f>SUMIFS(Table16[Purchase_history],Table16[customer_id],Table13[[#This Row],[customer_id]])</f>
        <v>24976.080000000002</v>
      </c>
      <c r="G908" s="20">
        <v>44362</v>
      </c>
      <c r="H908" s="21">
        <v>44987</v>
      </c>
      <c r="I908" s="15">
        <f>(Table134[[#This Row],[Last_Day]]-Table134[[#This Row],[First_Day]]+1)/365</f>
        <v>1.715068493150685</v>
      </c>
      <c r="J908" s="59">
        <f>Table134[[#This Row],[number_of_purchases]]/Table134[[#This Row],[customer_total_years]]</f>
        <v>4.6645367412140573</v>
      </c>
      <c r="K908" s="13">
        <f>Table134[[#This Row],[purchase_history]]/Table134[[#This Row],[number_of_purchases]]</f>
        <v>3122.01</v>
      </c>
      <c r="L908" s="2">
        <f>IF(YEAR(Table134[[#This Row],[Last_Day]])=2021,5,IF(YEAR(Table134[[#This Row],[Last_Day]])=2022,7,IF(YEAR(Table134[[#This Row],[Last_Day]])=2023,10,"Không xác định")))</f>
        <v>10</v>
      </c>
      <c r="M908" s="15">
        <f>Table134[[#This Row],[avg_number_of_purchases]]*Table1345[[#This Row],[avg_purchase_value]]*Table1345[[#This Row],[expected_lifespan]]</f>
        <v>145627.30351437701</v>
      </c>
      <c r="N908" t="s">
        <v>12042</v>
      </c>
    </row>
    <row r="909" spans="1:14" x14ac:dyDescent="0.3">
      <c r="A909" s="2" t="s">
        <v>907</v>
      </c>
      <c r="B909" s="2" t="s">
        <v>12045</v>
      </c>
      <c r="C909" s="2">
        <v>63</v>
      </c>
      <c r="D909" s="2" t="s">
        <v>12043</v>
      </c>
      <c r="E909" s="2">
        <f>COUNTIF(Table16[customer_id],Table13[[#This Row],[customer_id]])</f>
        <v>5</v>
      </c>
      <c r="F909" s="13">
        <f>SUMIFS(Table16[Purchase_history],Table16[customer_id],Table13[[#This Row],[customer_id]])</f>
        <v>5883.65</v>
      </c>
      <c r="G909" s="20">
        <v>44199</v>
      </c>
      <c r="H909" s="21">
        <v>44981</v>
      </c>
      <c r="I909" s="15">
        <f>(Table134[[#This Row],[Last_Day]]-Table134[[#This Row],[First_Day]]+1)/365</f>
        <v>2.1452054794520548</v>
      </c>
      <c r="J909" s="59">
        <f>Table134[[#This Row],[number_of_purchases]]/Table134[[#This Row],[customer_total_years]]</f>
        <v>2.3307790549169858</v>
      </c>
      <c r="K909" s="13">
        <f>Table134[[#This Row],[purchase_history]]/Table134[[#This Row],[number_of_purchases]]</f>
        <v>1176.73</v>
      </c>
      <c r="L909" s="2">
        <f>IF(YEAR(Table134[[#This Row],[Last_Day]])=2021,5,IF(YEAR(Table134[[#This Row],[Last_Day]])=2022,7,IF(YEAR(Table134[[#This Row],[Last_Day]])=2023,10,"Không xác định")))</f>
        <v>10</v>
      </c>
      <c r="M909" s="15">
        <f>Table134[[#This Row],[avg_number_of_purchases]]*Table1345[[#This Row],[avg_purchase_value]]*Table1345[[#This Row],[expected_lifespan]]</f>
        <v>27426.976372924648</v>
      </c>
      <c r="N909" t="s">
        <v>12048</v>
      </c>
    </row>
    <row r="910" spans="1:14" x14ac:dyDescent="0.3">
      <c r="A910" s="2" t="s">
        <v>908</v>
      </c>
      <c r="B910" s="2" t="s">
        <v>12045</v>
      </c>
      <c r="C910" s="2">
        <v>34</v>
      </c>
      <c r="D910" s="2" t="s">
        <v>12049</v>
      </c>
      <c r="E910" s="2">
        <f>COUNTIF(Table16[customer_id],Table13[[#This Row],[customer_id]])</f>
        <v>6</v>
      </c>
      <c r="F910" s="13">
        <f>SUMIFS(Table16[Purchase_history],Table16[customer_id],Table13[[#This Row],[customer_id]])</f>
        <v>2729.83</v>
      </c>
      <c r="G910" s="20">
        <v>44214</v>
      </c>
      <c r="H910" s="21">
        <v>44983</v>
      </c>
      <c r="I910" s="15">
        <f>(Table134[[#This Row],[Last_Day]]-Table134[[#This Row],[First_Day]]+1)/365</f>
        <v>2.1095890410958904</v>
      </c>
      <c r="J910" s="59">
        <f>Table134[[#This Row],[number_of_purchases]]/Table134[[#This Row],[customer_total_years]]</f>
        <v>2.8441558441558441</v>
      </c>
      <c r="K910" s="13">
        <f>Table134[[#This Row],[purchase_history]]/Table134[[#This Row],[number_of_purchases]]</f>
        <v>454.97166666666664</v>
      </c>
      <c r="L910" s="2">
        <f>IF(YEAR(Table134[[#This Row],[Last_Day]])=2021,5,IF(YEAR(Table134[[#This Row],[Last_Day]])=2022,7,IF(YEAR(Table134[[#This Row],[Last_Day]])=2023,10,"Không xác định")))</f>
        <v>10</v>
      </c>
      <c r="M910" s="15">
        <f>Table134[[#This Row],[avg_number_of_purchases]]*Table1345[[#This Row],[avg_purchase_value]]*Table1345[[#This Row],[expected_lifespan]]</f>
        <v>12940.103246753244</v>
      </c>
      <c r="N910" t="s">
        <v>12047</v>
      </c>
    </row>
    <row r="911" spans="1:14" x14ac:dyDescent="0.3">
      <c r="A911" s="2" t="s">
        <v>909</v>
      </c>
      <c r="B911" s="2" t="s">
        <v>12040</v>
      </c>
      <c r="C911" s="2">
        <v>59</v>
      </c>
      <c r="D911" s="2" t="s">
        <v>12043</v>
      </c>
      <c r="E911" s="2">
        <f>COUNTIF(Table16[customer_id],Table13[[#This Row],[customer_id]])</f>
        <v>10</v>
      </c>
      <c r="F911" s="13">
        <f>SUMIFS(Table16[Purchase_history],Table16[customer_id],Table13[[#This Row],[customer_id]])</f>
        <v>14568.39</v>
      </c>
      <c r="G911" s="20">
        <v>44209</v>
      </c>
      <c r="H911" s="21">
        <v>44924</v>
      </c>
      <c r="I911" s="15">
        <f>(Table134[[#This Row],[Last_Day]]-Table134[[#This Row],[First_Day]]+1)/365</f>
        <v>1.9616438356164383</v>
      </c>
      <c r="J911" s="59">
        <f>Table134[[#This Row],[number_of_purchases]]/Table134[[#This Row],[customer_total_years]]</f>
        <v>5.0977653631284916</v>
      </c>
      <c r="K911" s="13">
        <f>Table134[[#This Row],[purchase_history]]/Table134[[#This Row],[number_of_purchases]]</f>
        <v>1456.8389999999999</v>
      </c>
      <c r="L911" s="2">
        <f>IF(YEAR(Table134[[#This Row],[Last_Day]])=2021,5,IF(YEAR(Table134[[#This Row],[Last_Day]])=2022,7,IF(YEAR(Table134[[#This Row],[Last_Day]])=2023,10,"Không xác định")))</f>
        <v>7</v>
      </c>
      <c r="M911" s="15">
        <f>Table134[[#This Row],[avg_number_of_purchases]]*Table1345[[#This Row],[avg_purchase_value]]*Table1345[[#This Row],[expected_lifespan]]</f>
        <v>51986.363756983235</v>
      </c>
      <c r="N911" t="s">
        <v>12047</v>
      </c>
    </row>
    <row r="912" spans="1:14" x14ac:dyDescent="0.3">
      <c r="A912" s="2" t="s">
        <v>910</v>
      </c>
      <c r="B912" s="2" t="s">
        <v>12040</v>
      </c>
      <c r="C912" s="2">
        <v>60</v>
      </c>
      <c r="D912" s="2" t="s">
        <v>12043</v>
      </c>
      <c r="E912" s="2">
        <f>COUNTIF(Table16[customer_id],Table13[[#This Row],[customer_id]])</f>
        <v>4</v>
      </c>
      <c r="F912" s="13">
        <f>SUMIFS(Table16[Purchase_history],Table16[customer_id],Table13[[#This Row],[customer_id]])</f>
        <v>1016.5399999999998</v>
      </c>
      <c r="G912" s="20">
        <v>44310</v>
      </c>
      <c r="H912" s="21">
        <v>44607</v>
      </c>
      <c r="I912" s="15">
        <f>(Table134[[#This Row],[Last_Day]]-Table134[[#This Row],[First_Day]]+1)/365</f>
        <v>0.81643835616438354</v>
      </c>
      <c r="J912" s="59">
        <f>Table134[[#This Row],[number_of_purchases]]/Table134[[#This Row],[customer_total_years]]</f>
        <v>4.8993288590604029</v>
      </c>
      <c r="K912" s="13">
        <f>Table134[[#This Row],[purchase_history]]/Table134[[#This Row],[number_of_purchases]]</f>
        <v>254.13499999999996</v>
      </c>
      <c r="L912" s="2">
        <f>IF(YEAR(Table134[[#This Row],[Last_Day]])=2021,5,IF(YEAR(Table134[[#This Row],[Last_Day]])=2022,7,IF(YEAR(Table134[[#This Row],[Last_Day]])=2023,10,"Không xác định")))</f>
        <v>7</v>
      </c>
      <c r="M912" s="15">
        <f>Table134[[#This Row],[avg_number_of_purchases]]*Table1345[[#This Row],[avg_purchase_value]]*Table1345[[#This Row],[expected_lifespan]]</f>
        <v>8715.636577181207</v>
      </c>
      <c r="N912" t="s">
        <v>12047</v>
      </c>
    </row>
    <row r="913" spans="1:14" x14ac:dyDescent="0.3">
      <c r="A913" s="2" t="s">
        <v>911</v>
      </c>
      <c r="B913" s="2" t="s">
        <v>12040</v>
      </c>
      <c r="C913" s="2">
        <v>26</v>
      </c>
      <c r="D913" s="2" t="s">
        <v>12043</v>
      </c>
      <c r="E913" s="2">
        <f>COUNTIF(Table16[customer_id],Table13[[#This Row],[customer_id]])</f>
        <v>1</v>
      </c>
      <c r="F913" s="13">
        <f>SUMIFS(Table16[Purchase_history],Table16[customer_id],Table13[[#This Row],[customer_id]])</f>
        <v>83.68</v>
      </c>
      <c r="G913" s="20">
        <v>44241</v>
      </c>
      <c r="H913" s="21">
        <v>44241</v>
      </c>
      <c r="I913" s="15">
        <f>(Table134[[#This Row],[Last_Day]]-Table134[[#This Row],[First_Day]]+1)/365</f>
        <v>2.7397260273972603E-3</v>
      </c>
      <c r="J913" s="59">
        <f>Table134[[#This Row],[number_of_purchases]]/Table134[[#This Row],[customer_total_years]]</f>
        <v>365</v>
      </c>
      <c r="K913" s="13">
        <f>Table134[[#This Row],[purchase_history]]/Table134[[#This Row],[number_of_purchases]]</f>
        <v>83.68</v>
      </c>
      <c r="L913" s="2">
        <f>IF(YEAR(Table134[[#This Row],[Last_Day]])=2021,5,IF(YEAR(Table134[[#This Row],[Last_Day]])=2022,7,IF(YEAR(Table134[[#This Row],[Last_Day]])=2023,10,"Không xác định")))</f>
        <v>5</v>
      </c>
      <c r="M913" s="15">
        <f>Table134[[#This Row],[avg_number_of_purchases]]*Table1345[[#This Row],[avg_purchase_value]]*Table1345[[#This Row],[expected_lifespan]]</f>
        <v>152716</v>
      </c>
      <c r="N913" t="s">
        <v>12042</v>
      </c>
    </row>
    <row r="914" spans="1:14" x14ac:dyDescent="0.3">
      <c r="A914" s="2" t="s">
        <v>912</v>
      </c>
      <c r="B914" s="2" t="s">
        <v>12045</v>
      </c>
      <c r="C914" s="2">
        <v>49</v>
      </c>
      <c r="D914" s="2" t="s">
        <v>12041</v>
      </c>
      <c r="E914" s="2">
        <f>COUNTIF(Table16[customer_id],Table13[[#This Row],[customer_id]])</f>
        <v>3</v>
      </c>
      <c r="F914" s="13">
        <f>SUMIFS(Table16[Purchase_history],Table16[customer_id],Table13[[#This Row],[customer_id]])</f>
        <v>22806.33</v>
      </c>
      <c r="G914" s="20">
        <v>44722</v>
      </c>
      <c r="H914" s="21">
        <v>44987</v>
      </c>
      <c r="I914" s="15">
        <f>(Table134[[#This Row],[Last_Day]]-Table134[[#This Row],[First_Day]]+1)/365</f>
        <v>0.72876712328767124</v>
      </c>
      <c r="J914" s="59">
        <f>Table134[[#This Row],[number_of_purchases]]/Table134[[#This Row],[customer_total_years]]</f>
        <v>4.1165413533834583</v>
      </c>
      <c r="K914" s="13">
        <f>Table134[[#This Row],[purchase_history]]/Table134[[#This Row],[number_of_purchases]]</f>
        <v>7602.1100000000006</v>
      </c>
      <c r="L914" s="2">
        <f>IF(YEAR(Table134[[#This Row],[Last_Day]])=2021,5,IF(YEAR(Table134[[#This Row],[Last_Day]])=2022,7,IF(YEAR(Table134[[#This Row],[Last_Day]])=2023,10,"Không xác định")))</f>
        <v>10</v>
      </c>
      <c r="M914" s="15">
        <f>Table134[[#This Row],[avg_number_of_purchases]]*Table1345[[#This Row],[avg_purchase_value]]*Table1345[[#This Row],[expected_lifespan]]</f>
        <v>312944.00187969924</v>
      </c>
      <c r="N914" t="s">
        <v>12048</v>
      </c>
    </row>
    <row r="915" spans="1:14" x14ac:dyDescent="0.3">
      <c r="A915" s="2" t="s">
        <v>913</v>
      </c>
      <c r="B915" s="2" t="s">
        <v>12045</v>
      </c>
      <c r="C915" s="2">
        <v>69</v>
      </c>
      <c r="D915" s="2" t="s">
        <v>12041</v>
      </c>
      <c r="E915" s="2">
        <f>COUNTIF(Table16[customer_id],Table13[[#This Row],[customer_id]])</f>
        <v>8</v>
      </c>
      <c r="F915" s="13">
        <f>SUMIFS(Table16[Purchase_history],Table16[customer_id],Table13[[#This Row],[customer_id]])</f>
        <v>22581.200000000004</v>
      </c>
      <c r="G915" s="20">
        <v>44340</v>
      </c>
      <c r="H915" s="21">
        <v>44953</v>
      </c>
      <c r="I915" s="15">
        <f>(Table134[[#This Row],[Last_Day]]-Table134[[#This Row],[First_Day]]+1)/365</f>
        <v>1.6821917808219178</v>
      </c>
      <c r="J915" s="59">
        <f>Table134[[#This Row],[number_of_purchases]]/Table134[[#This Row],[customer_total_years]]</f>
        <v>4.7557003257328994</v>
      </c>
      <c r="K915" s="13">
        <f>Table134[[#This Row],[purchase_history]]/Table134[[#This Row],[number_of_purchases]]</f>
        <v>2822.6500000000005</v>
      </c>
      <c r="L915" s="2">
        <f>IF(YEAR(Table134[[#This Row],[Last_Day]])=2021,5,IF(YEAR(Table134[[#This Row],[Last_Day]])=2022,7,IF(YEAR(Table134[[#This Row],[Last_Day]])=2023,10,"Không xác định")))</f>
        <v>10</v>
      </c>
      <c r="M915" s="15">
        <f>Table134[[#This Row],[avg_number_of_purchases]]*Table1345[[#This Row],[avg_purchase_value]]*Table1345[[#This Row],[expected_lifespan]]</f>
        <v>134236.77524429973</v>
      </c>
      <c r="N915" t="s">
        <v>12046</v>
      </c>
    </row>
    <row r="916" spans="1:14" x14ac:dyDescent="0.3">
      <c r="A916" s="2" t="s">
        <v>914</v>
      </c>
      <c r="B916" s="2" t="s">
        <v>12045</v>
      </c>
      <c r="C916" s="2">
        <v>53</v>
      </c>
      <c r="D916" s="2" t="s">
        <v>12041</v>
      </c>
      <c r="E916" s="2">
        <f>COUNTIF(Table16[customer_id],Table13[[#This Row],[customer_id]])</f>
        <v>6</v>
      </c>
      <c r="F916" s="13">
        <f>SUMIFS(Table16[Purchase_history],Table16[customer_id],Table13[[#This Row],[customer_id]])</f>
        <v>12357.76</v>
      </c>
      <c r="G916" s="20">
        <v>44296</v>
      </c>
      <c r="H916" s="21">
        <v>44970</v>
      </c>
      <c r="I916" s="15">
        <f>(Table134[[#This Row],[Last_Day]]-Table134[[#This Row],[First_Day]]+1)/365</f>
        <v>1.8493150684931507</v>
      </c>
      <c r="J916" s="59">
        <f>Table134[[#This Row],[number_of_purchases]]/Table134[[#This Row],[customer_total_years]]</f>
        <v>3.2444444444444445</v>
      </c>
      <c r="K916" s="13">
        <f>Table134[[#This Row],[purchase_history]]/Table134[[#This Row],[number_of_purchases]]</f>
        <v>2059.6266666666666</v>
      </c>
      <c r="L916" s="2">
        <f>IF(YEAR(Table134[[#This Row],[Last_Day]])=2021,5,IF(YEAR(Table134[[#This Row],[Last_Day]])=2022,7,IF(YEAR(Table134[[#This Row],[Last_Day]])=2023,10,"Không xác định")))</f>
        <v>10</v>
      </c>
      <c r="M916" s="15">
        <f>Table134[[#This Row],[avg_number_of_purchases]]*Table1345[[#This Row],[avg_purchase_value]]*Table1345[[#This Row],[expected_lifespan]]</f>
        <v>66823.442962962959</v>
      </c>
      <c r="N916" t="s">
        <v>12042</v>
      </c>
    </row>
    <row r="917" spans="1:14" x14ac:dyDescent="0.3">
      <c r="A917" s="2" t="s">
        <v>915</v>
      </c>
      <c r="B917" s="2" t="s">
        <v>12045</v>
      </c>
      <c r="C917" s="2">
        <v>43</v>
      </c>
      <c r="D917" s="2" t="s">
        <v>12041</v>
      </c>
      <c r="E917" s="2">
        <f>COUNTIF(Table16[customer_id],Table13[[#This Row],[customer_id]])</f>
        <v>4</v>
      </c>
      <c r="F917" s="13">
        <f>SUMIFS(Table16[Purchase_history],Table16[customer_id],Table13[[#This Row],[customer_id]])</f>
        <v>8949.33</v>
      </c>
      <c r="G917" s="20">
        <v>44203</v>
      </c>
      <c r="H917" s="21">
        <v>44933</v>
      </c>
      <c r="I917" s="15">
        <f>(Table134[[#This Row],[Last_Day]]-Table134[[#This Row],[First_Day]]+1)/365</f>
        <v>2.0027397260273974</v>
      </c>
      <c r="J917" s="59">
        <f>Table134[[#This Row],[number_of_purchases]]/Table134[[#This Row],[customer_total_years]]</f>
        <v>1.9972640218878248</v>
      </c>
      <c r="K917" s="13">
        <f>Table134[[#This Row],[purchase_history]]/Table134[[#This Row],[number_of_purchases]]</f>
        <v>2237.3325</v>
      </c>
      <c r="L917" s="2">
        <f>IF(YEAR(Table134[[#This Row],[Last_Day]])=2021,5,IF(YEAR(Table134[[#This Row],[Last_Day]])=2022,7,IF(YEAR(Table134[[#This Row],[Last_Day]])=2023,10,"Không xác định")))</f>
        <v>10</v>
      </c>
      <c r="M917" s="15">
        <f>Table134[[#This Row],[avg_number_of_purchases]]*Table1345[[#This Row],[avg_purchase_value]]*Table1345[[#This Row],[expected_lifespan]]</f>
        <v>44685.437072503417</v>
      </c>
      <c r="N917" t="s">
        <v>12046</v>
      </c>
    </row>
    <row r="918" spans="1:14" x14ac:dyDescent="0.3">
      <c r="A918" s="2" t="s">
        <v>916</v>
      </c>
      <c r="B918" s="2" t="s">
        <v>12045</v>
      </c>
      <c r="C918" s="2">
        <v>66</v>
      </c>
      <c r="D918" s="2" t="s">
        <v>12049</v>
      </c>
      <c r="E918" s="2">
        <f>COUNTIF(Table16[customer_id],Table13[[#This Row],[customer_id]])</f>
        <v>7</v>
      </c>
      <c r="F918" s="13">
        <f>SUMIFS(Table16[Purchase_history],Table16[customer_id],Table13[[#This Row],[customer_id]])</f>
        <v>13009.009999999998</v>
      </c>
      <c r="G918" s="20">
        <v>44491</v>
      </c>
      <c r="H918" s="21">
        <v>44983</v>
      </c>
      <c r="I918" s="15">
        <f>(Table134[[#This Row],[Last_Day]]-Table134[[#This Row],[First_Day]]+1)/365</f>
        <v>1.3506849315068492</v>
      </c>
      <c r="J918" s="59">
        <f>Table134[[#This Row],[number_of_purchases]]/Table134[[#This Row],[customer_total_years]]</f>
        <v>5.1825557809330629</v>
      </c>
      <c r="K918" s="13">
        <f>Table134[[#This Row],[purchase_history]]/Table134[[#This Row],[number_of_purchases]]</f>
        <v>1858.4299999999998</v>
      </c>
      <c r="L918" s="2">
        <f>IF(YEAR(Table134[[#This Row],[Last_Day]])=2021,5,IF(YEAR(Table134[[#This Row],[Last_Day]])=2022,7,IF(YEAR(Table134[[#This Row],[Last_Day]])=2023,10,"Không xác định")))</f>
        <v>10</v>
      </c>
      <c r="M918" s="15">
        <f>Table134[[#This Row],[avg_number_of_purchases]]*Table1345[[#This Row],[avg_purchase_value]]*Table1345[[#This Row],[expected_lifespan]]</f>
        <v>96314.171399594314</v>
      </c>
      <c r="N918" t="s">
        <v>12048</v>
      </c>
    </row>
    <row r="919" spans="1:14" x14ac:dyDescent="0.3">
      <c r="A919" s="2" t="s">
        <v>917</v>
      </c>
      <c r="B919" s="2" t="s">
        <v>12045</v>
      </c>
      <c r="C919" s="2">
        <v>54</v>
      </c>
      <c r="D919" s="2" t="s">
        <v>12041</v>
      </c>
      <c r="E919" s="2">
        <f>COUNTIF(Table16[customer_id],Table13[[#This Row],[customer_id]])</f>
        <v>4</v>
      </c>
      <c r="F919" s="13">
        <f>SUMIFS(Table16[Purchase_history],Table16[customer_id],Table13[[#This Row],[customer_id]])</f>
        <v>6388.5</v>
      </c>
      <c r="G919" s="20">
        <v>44239</v>
      </c>
      <c r="H919" s="21">
        <v>44631</v>
      </c>
      <c r="I919" s="15">
        <f>(Table134[[#This Row],[Last_Day]]-Table134[[#This Row],[First_Day]]+1)/365</f>
        <v>1.0767123287671232</v>
      </c>
      <c r="J919" s="59">
        <f>Table134[[#This Row],[number_of_purchases]]/Table134[[#This Row],[customer_total_years]]</f>
        <v>3.7150127226463106</v>
      </c>
      <c r="K919" s="13">
        <f>Table134[[#This Row],[purchase_history]]/Table134[[#This Row],[number_of_purchases]]</f>
        <v>1597.125</v>
      </c>
      <c r="L919" s="2">
        <f>IF(YEAR(Table134[[#This Row],[Last_Day]])=2021,5,IF(YEAR(Table134[[#This Row],[Last_Day]])=2022,7,IF(YEAR(Table134[[#This Row],[Last_Day]])=2023,10,"Không xác định")))</f>
        <v>7</v>
      </c>
      <c r="M919" s="15">
        <f>Table134[[#This Row],[avg_number_of_purchases]]*Table1345[[#This Row],[avg_purchase_value]]*Table1345[[#This Row],[expected_lifespan]]</f>
        <v>41533.377862595422</v>
      </c>
      <c r="N919" t="s">
        <v>12047</v>
      </c>
    </row>
    <row r="920" spans="1:14" x14ac:dyDescent="0.3">
      <c r="A920" s="2" t="s">
        <v>918</v>
      </c>
      <c r="B920" s="2" t="s">
        <v>12040</v>
      </c>
      <c r="C920" s="2">
        <v>42</v>
      </c>
      <c r="D920" s="2" t="s">
        <v>12041</v>
      </c>
      <c r="E920" s="2">
        <f>COUNTIF(Table16[customer_id],Table13[[#This Row],[customer_id]])</f>
        <v>8</v>
      </c>
      <c r="F920" s="13">
        <f>SUMIFS(Table16[Purchase_history],Table16[customer_id],Table13[[#This Row],[customer_id]])</f>
        <v>17330.88</v>
      </c>
      <c r="G920" s="20">
        <v>44204</v>
      </c>
      <c r="H920" s="21">
        <v>44956</v>
      </c>
      <c r="I920" s="15">
        <f>(Table134[[#This Row],[Last_Day]]-Table134[[#This Row],[First_Day]]+1)/365</f>
        <v>2.0630136986301371</v>
      </c>
      <c r="J920" s="59">
        <f>Table134[[#This Row],[number_of_purchases]]/Table134[[#This Row],[customer_total_years]]</f>
        <v>3.8778220451527221</v>
      </c>
      <c r="K920" s="13">
        <f>Table134[[#This Row],[purchase_history]]/Table134[[#This Row],[number_of_purchases]]</f>
        <v>2166.36</v>
      </c>
      <c r="L920" s="2">
        <f>IF(YEAR(Table134[[#This Row],[Last_Day]])=2021,5,IF(YEAR(Table134[[#This Row],[Last_Day]])=2022,7,IF(YEAR(Table134[[#This Row],[Last_Day]])=2023,10,"Không xác định")))</f>
        <v>10</v>
      </c>
      <c r="M920" s="15">
        <f>Table134[[#This Row],[avg_number_of_purchases]]*Table1345[[#This Row],[avg_purchase_value]]*Table1345[[#This Row],[expected_lifespan]]</f>
        <v>84007.58565737051</v>
      </c>
      <c r="N920" t="s">
        <v>12046</v>
      </c>
    </row>
    <row r="921" spans="1:14" x14ac:dyDescent="0.3">
      <c r="A921" s="2" t="s">
        <v>919</v>
      </c>
      <c r="B921" s="2" t="s">
        <v>12040</v>
      </c>
      <c r="C921" s="2">
        <v>30</v>
      </c>
      <c r="D921" s="2" t="s">
        <v>12043</v>
      </c>
      <c r="E921" s="2">
        <f>COUNTIF(Table16[customer_id],Table13[[#This Row],[customer_id]])</f>
        <v>3</v>
      </c>
      <c r="F921" s="13">
        <f>SUMIFS(Table16[Purchase_history],Table16[customer_id],Table13[[#This Row],[customer_id]])</f>
        <v>7679.82</v>
      </c>
      <c r="G921" s="20">
        <v>44315</v>
      </c>
      <c r="H921" s="21">
        <v>44693</v>
      </c>
      <c r="I921" s="15">
        <f>(Table134[[#This Row],[Last_Day]]-Table134[[#This Row],[First_Day]]+1)/365</f>
        <v>1.0383561643835617</v>
      </c>
      <c r="J921" s="59">
        <f>Table134[[#This Row],[number_of_purchases]]/Table134[[#This Row],[customer_total_years]]</f>
        <v>2.8891820580474934</v>
      </c>
      <c r="K921" s="13">
        <f>Table134[[#This Row],[purchase_history]]/Table134[[#This Row],[number_of_purchases]]</f>
        <v>2559.94</v>
      </c>
      <c r="L921" s="2">
        <f>IF(YEAR(Table134[[#This Row],[Last_Day]])=2021,5,IF(YEAR(Table134[[#This Row],[Last_Day]])=2022,7,IF(YEAR(Table134[[#This Row],[Last_Day]])=2023,10,"Không xác định")))</f>
        <v>7</v>
      </c>
      <c r="M921" s="15">
        <f>Table134[[#This Row],[avg_number_of_purchases]]*Table1345[[#This Row],[avg_purchase_value]]*Table1345[[#This Row],[expected_lifespan]]</f>
        <v>51772.929023746707</v>
      </c>
      <c r="N921" t="s">
        <v>12047</v>
      </c>
    </row>
    <row r="922" spans="1:14" x14ac:dyDescent="0.3">
      <c r="A922" s="2" t="s">
        <v>920</v>
      </c>
      <c r="B922" s="2" t="s">
        <v>12040</v>
      </c>
      <c r="C922" s="2">
        <v>37</v>
      </c>
      <c r="D922" s="2" t="s">
        <v>12041</v>
      </c>
      <c r="E922" s="2">
        <f>COUNTIF(Table16[customer_id],Table13[[#This Row],[customer_id]])</f>
        <v>3</v>
      </c>
      <c r="F922" s="13">
        <f>SUMIFS(Table16[Purchase_history],Table16[customer_id],Table13[[#This Row],[customer_id]])</f>
        <v>17678.16</v>
      </c>
      <c r="G922" s="20">
        <v>44248</v>
      </c>
      <c r="H922" s="21">
        <v>44687</v>
      </c>
      <c r="I922" s="15">
        <f>(Table134[[#This Row],[Last_Day]]-Table134[[#This Row],[First_Day]]+1)/365</f>
        <v>1.2054794520547945</v>
      </c>
      <c r="J922" s="59">
        <f>Table134[[#This Row],[number_of_purchases]]/Table134[[#This Row],[customer_total_years]]</f>
        <v>2.4886363636363638</v>
      </c>
      <c r="K922" s="13">
        <f>Table134[[#This Row],[purchase_history]]/Table134[[#This Row],[number_of_purchases]]</f>
        <v>5892.72</v>
      </c>
      <c r="L922" s="2">
        <f>IF(YEAR(Table134[[#This Row],[Last_Day]])=2021,5,IF(YEAR(Table134[[#This Row],[Last_Day]])=2022,7,IF(YEAR(Table134[[#This Row],[Last_Day]])=2023,10,"Không xác định")))</f>
        <v>7</v>
      </c>
      <c r="M922" s="15">
        <f>Table134[[#This Row],[avg_number_of_purchases]]*Table1345[[#This Row],[avg_purchase_value]]*Table1345[[#This Row],[expected_lifespan]]</f>
        <v>102653.86090909092</v>
      </c>
      <c r="N922" t="s">
        <v>12044</v>
      </c>
    </row>
    <row r="923" spans="1:14" x14ac:dyDescent="0.3">
      <c r="A923" s="2" t="s">
        <v>921</v>
      </c>
      <c r="B923" s="2" t="s">
        <v>12040</v>
      </c>
      <c r="C923" s="2">
        <v>53</v>
      </c>
      <c r="D923" s="2" t="s">
        <v>12043</v>
      </c>
      <c r="E923" s="2">
        <f>COUNTIF(Table16[customer_id],Table13[[#This Row],[customer_id]])</f>
        <v>2</v>
      </c>
      <c r="F923" s="13">
        <f>SUMIFS(Table16[Purchase_history],Table16[customer_id],Table13[[#This Row],[customer_id]])</f>
        <v>7537.84</v>
      </c>
      <c r="G923" s="20">
        <v>44289</v>
      </c>
      <c r="H923" s="21">
        <v>44898</v>
      </c>
      <c r="I923" s="15">
        <f>(Table134[[#This Row],[Last_Day]]-Table134[[#This Row],[First_Day]]+1)/365</f>
        <v>1.6712328767123288</v>
      </c>
      <c r="J923" s="59">
        <f>Table134[[#This Row],[number_of_purchases]]/Table134[[#This Row],[customer_total_years]]</f>
        <v>1.1967213114754098</v>
      </c>
      <c r="K923" s="13">
        <f>Table134[[#This Row],[purchase_history]]/Table134[[#This Row],[number_of_purchases]]</f>
        <v>3768.92</v>
      </c>
      <c r="L923" s="2">
        <f>IF(YEAR(Table134[[#This Row],[Last_Day]])=2021,5,IF(YEAR(Table134[[#This Row],[Last_Day]])=2022,7,IF(YEAR(Table134[[#This Row],[Last_Day]])=2023,10,"Không xác định")))</f>
        <v>7</v>
      </c>
      <c r="M923" s="15">
        <f>Table134[[#This Row],[avg_number_of_purchases]]*Table1345[[#This Row],[avg_purchase_value]]*Table1345[[#This Row],[expected_lifespan]]</f>
        <v>31572.428196721314</v>
      </c>
      <c r="N923" t="s">
        <v>12048</v>
      </c>
    </row>
    <row r="924" spans="1:14" x14ac:dyDescent="0.3">
      <c r="A924" s="2" t="s">
        <v>922</v>
      </c>
      <c r="B924" s="2" t="s">
        <v>12045</v>
      </c>
      <c r="C924" s="2">
        <v>34</v>
      </c>
      <c r="D924" s="2" t="s">
        <v>12041</v>
      </c>
      <c r="E924" s="2">
        <f>COUNTIF(Table16[customer_id],Table13[[#This Row],[customer_id]])</f>
        <v>6</v>
      </c>
      <c r="F924" s="13">
        <f>SUMIFS(Table16[Purchase_history],Table16[customer_id],Table13[[#This Row],[customer_id]])</f>
        <v>22083.67</v>
      </c>
      <c r="G924" s="20">
        <v>44300</v>
      </c>
      <c r="H924" s="21">
        <v>44924</v>
      </c>
      <c r="I924" s="15">
        <f>(Table134[[#This Row],[Last_Day]]-Table134[[#This Row],[First_Day]]+1)/365</f>
        <v>1.7123287671232876</v>
      </c>
      <c r="J924" s="59">
        <f>Table134[[#This Row],[number_of_purchases]]/Table134[[#This Row],[customer_total_years]]</f>
        <v>3.504</v>
      </c>
      <c r="K924" s="13">
        <f>Table134[[#This Row],[purchase_history]]/Table134[[#This Row],[number_of_purchases]]</f>
        <v>3680.6116666666662</v>
      </c>
      <c r="L924" s="2">
        <f>IF(YEAR(Table134[[#This Row],[Last_Day]])=2021,5,IF(YEAR(Table134[[#This Row],[Last_Day]])=2022,7,IF(YEAR(Table134[[#This Row],[Last_Day]])=2023,10,"Không xác định")))</f>
        <v>7</v>
      </c>
      <c r="M924" s="15">
        <f>Table134[[#This Row],[avg_number_of_purchases]]*Table1345[[#This Row],[avg_purchase_value]]*Table1345[[#This Row],[expected_lifespan]]</f>
        <v>90278.042959999992</v>
      </c>
      <c r="N924" t="s">
        <v>12046</v>
      </c>
    </row>
    <row r="925" spans="1:14" x14ac:dyDescent="0.3">
      <c r="A925" s="2" t="s">
        <v>923</v>
      </c>
      <c r="B925" s="2" t="s">
        <v>12045</v>
      </c>
      <c r="C925" s="2">
        <v>31</v>
      </c>
      <c r="D925" s="2" t="s">
        <v>12049</v>
      </c>
      <c r="E925" s="2">
        <f>COUNTIF(Table16[customer_id],Table13[[#This Row],[customer_id]])</f>
        <v>3</v>
      </c>
      <c r="F925" s="13">
        <f>SUMIFS(Table16[Purchase_history],Table16[customer_id],Table13[[#This Row],[customer_id]])</f>
        <v>6367.54</v>
      </c>
      <c r="G925" s="20">
        <v>44527</v>
      </c>
      <c r="H925" s="21">
        <v>44976</v>
      </c>
      <c r="I925" s="15">
        <f>(Table134[[#This Row],[Last_Day]]-Table134[[#This Row],[First_Day]]+1)/365</f>
        <v>1.2328767123287672</v>
      </c>
      <c r="J925" s="59">
        <f>Table134[[#This Row],[number_of_purchases]]/Table134[[#This Row],[customer_total_years]]</f>
        <v>2.4333333333333331</v>
      </c>
      <c r="K925" s="13">
        <f>Table134[[#This Row],[purchase_history]]/Table134[[#This Row],[number_of_purchases]]</f>
        <v>2122.5133333333333</v>
      </c>
      <c r="L925" s="2">
        <f>IF(YEAR(Table134[[#This Row],[Last_Day]])=2021,5,IF(YEAR(Table134[[#This Row],[Last_Day]])=2022,7,IF(YEAR(Table134[[#This Row],[Last_Day]])=2023,10,"Không xác định")))</f>
        <v>10</v>
      </c>
      <c r="M925" s="15">
        <f>Table134[[#This Row],[avg_number_of_purchases]]*Table1345[[#This Row],[avg_purchase_value]]*Table1345[[#This Row],[expected_lifespan]]</f>
        <v>51647.824444444443</v>
      </c>
      <c r="N925" t="s">
        <v>12046</v>
      </c>
    </row>
    <row r="926" spans="1:14" x14ac:dyDescent="0.3">
      <c r="A926" s="2" t="s">
        <v>924</v>
      </c>
      <c r="B926" s="2" t="s">
        <v>12040</v>
      </c>
      <c r="C926" s="2">
        <v>65</v>
      </c>
      <c r="D926" s="2" t="s">
        <v>12041</v>
      </c>
      <c r="E926" s="2">
        <f>COUNTIF(Table16[customer_id],Table13[[#This Row],[customer_id]])</f>
        <v>6</v>
      </c>
      <c r="F926" s="13">
        <f>SUMIFS(Table16[Purchase_history],Table16[customer_id],Table13[[#This Row],[customer_id]])</f>
        <v>50907.21</v>
      </c>
      <c r="G926" s="20">
        <v>44397</v>
      </c>
      <c r="H926" s="21">
        <v>44952</v>
      </c>
      <c r="I926" s="15">
        <f>(Table134[[#This Row],[Last_Day]]-Table134[[#This Row],[First_Day]]+1)/365</f>
        <v>1.5232876712328767</v>
      </c>
      <c r="J926" s="59">
        <f>Table134[[#This Row],[number_of_purchases]]/Table134[[#This Row],[customer_total_years]]</f>
        <v>3.9388489208633093</v>
      </c>
      <c r="K926" s="13">
        <f>Table134[[#This Row],[purchase_history]]/Table134[[#This Row],[number_of_purchases]]</f>
        <v>8484.5349999999999</v>
      </c>
      <c r="L926" s="2">
        <f>IF(YEAR(Table134[[#This Row],[Last_Day]])=2021,5,IF(YEAR(Table134[[#This Row],[Last_Day]])=2022,7,IF(YEAR(Table134[[#This Row],[Last_Day]])=2023,10,"Không xác định")))</f>
        <v>10</v>
      </c>
      <c r="M926" s="15">
        <f>Table134[[#This Row],[avg_number_of_purchases]]*Table1345[[#This Row],[avg_purchase_value]]*Table1345[[#This Row],[expected_lifespan]]</f>
        <v>334193.01528776973</v>
      </c>
      <c r="N926" t="s">
        <v>12046</v>
      </c>
    </row>
    <row r="927" spans="1:14" x14ac:dyDescent="0.3">
      <c r="A927" s="2" t="s">
        <v>925</v>
      </c>
      <c r="B927" s="2" t="s">
        <v>12040</v>
      </c>
      <c r="C927" s="2">
        <v>48</v>
      </c>
      <c r="D927" s="2" t="s">
        <v>12041</v>
      </c>
      <c r="E927" s="2">
        <f>COUNTIF(Table16[customer_id],Table13[[#This Row],[customer_id]])</f>
        <v>7</v>
      </c>
      <c r="F927" s="13">
        <f>SUMIFS(Table16[Purchase_history],Table16[customer_id],Table13[[#This Row],[customer_id]])</f>
        <v>10634.54</v>
      </c>
      <c r="G927" s="20">
        <v>44202</v>
      </c>
      <c r="H927" s="21">
        <v>44769</v>
      </c>
      <c r="I927" s="15">
        <f>(Table134[[#This Row],[Last_Day]]-Table134[[#This Row],[First_Day]]+1)/365</f>
        <v>1.5561643835616439</v>
      </c>
      <c r="J927" s="59">
        <f>Table134[[#This Row],[number_of_purchases]]/Table134[[#This Row],[customer_total_years]]</f>
        <v>4.498239436619718</v>
      </c>
      <c r="K927" s="13">
        <f>Table134[[#This Row],[purchase_history]]/Table134[[#This Row],[number_of_purchases]]</f>
        <v>1519.22</v>
      </c>
      <c r="L927" s="2">
        <f>IF(YEAR(Table134[[#This Row],[Last_Day]])=2021,5,IF(YEAR(Table134[[#This Row],[Last_Day]])=2022,7,IF(YEAR(Table134[[#This Row],[Last_Day]])=2023,10,"Không xác định")))</f>
        <v>7</v>
      </c>
      <c r="M927" s="15">
        <f>Table134[[#This Row],[avg_number_of_purchases]]*Table1345[[#This Row],[avg_purchase_value]]*Table1345[[#This Row],[expected_lifespan]]</f>
        <v>47836.707218309857</v>
      </c>
      <c r="N927" t="s">
        <v>12048</v>
      </c>
    </row>
    <row r="928" spans="1:14" x14ac:dyDescent="0.3">
      <c r="A928" s="2" t="s">
        <v>926</v>
      </c>
      <c r="B928" s="2" t="s">
        <v>12040</v>
      </c>
      <c r="C928" s="2">
        <v>59</v>
      </c>
      <c r="D928" s="2" t="s">
        <v>12041</v>
      </c>
      <c r="E928" s="2">
        <f>COUNTIF(Table16[customer_id],Table13[[#This Row],[customer_id]])</f>
        <v>8</v>
      </c>
      <c r="F928" s="13">
        <f>SUMIFS(Table16[Purchase_history],Table16[customer_id],Table13[[#This Row],[customer_id]])</f>
        <v>21193.78</v>
      </c>
      <c r="G928" s="20">
        <v>44414</v>
      </c>
      <c r="H928" s="21">
        <v>44870</v>
      </c>
      <c r="I928" s="15">
        <f>(Table134[[#This Row],[Last_Day]]-Table134[[#This Row],[First_Day]]+1)/365</f>
        <v>1.252054794520548</v>
      </c>
      <c r="J928" s="59">
        <f>Table134[[#This Row],[number_of_purchases]]/Table134[[#This Row],[customer_total_years]]</f>
        <v>6.3894967177242883</v>
      </c>
      <c r="K928" s="13">
        <f>Table134[[#This Row],[purchase_history]]/Table134[[#This Row],[number_of_purchases]]</f>
        <v>2649.2224999999999</v>
      </c>
      <c r="L928" s="2">
        <f>IF(YEAR(Table134[[#This Row],[Last_Day]])=2021,5,IF(YEAR(Table134[[#This Row],[Last_Day]])=2022,7,IF(YEAR(Table134[[#This Row],[Last_Day]])=2023,10,"Không xác định")))</f>
        <v>7</v>
      </c>
      <c r="M928" s="15">
        <f>Table134[[#This Row],[avg_number_of_purchases]]*Table1345[[#This Row],[avg_purchase_value]]*Table1345[[#This Row],[expected_lifespan]]</f>
        <v>118490.38927789933</v>
      </c>
      <c r="N928" t="s">
        <v>12046</v>
      </c>
    </row>
    <row r="929" spans="1:14" x14ac:dyDescent="0.3">
      <c r="A929" s="2" t="s">
        <v>927</v>
      </c>
      <c r="B929" s="2" t="s">
        <v>12040</v>
      </c>
      <c r="C929" s="2">
        <v>53</v>
      </c>
      <c r="D929" s="2" t="s">
        <v>12043</v>
      </c>
      <c r="E929" s="2">
        <f>COUNTIF(Table16[customer_id],Table13[[#This Row],[customer_id]])</f>
        <v>5</v>
      </c>
      <c r="F929" s="13">
        <f>SUMIFS(Table16[Purchase_history],Table16[customer_id],Table13[[#This Row],[customer_id]])</f>
        <v>4284.7999999999993</v>
      </c>
      <c r="G929" s="20">
        <v>44226</v>
      </c>
      <c r="H929" s="21">
        <v>44767</v>
      </c>
      <c r="I929" s="15">
        <f>(Table134[[#This Row],[Last_Day]]-Table134[[#This Row],[First_Day]]+1)/365</f>
        <v>1.484931506849315</v>
      </c>
      <c r="J929" s="59">
        <f>Table134[[#This Row],[number_of_purchases]]/Table134[[#This Row],[customer_total_years]]</f>
        <v>3.3671586715867159</v>
      </c>
      <c r="K929" s="13">
        <f>Table134[[#This Row],[purchase_history]]/Table134[[#This Row],[number_of_purchases]]</f>
        <v>856.95999999999981</v>
      </c>
      <c r="L929" s="2">
        <f>IF(YEAR(Table134[[#This Row],[Last_Day]])=2021,5,IF(YEAR(Table134[[#This Row],[Last_Day]])=2022,7,IF(YEAR(Table134[[#This Row],[Last_Day]])=2023,10,"Không xác định")))</f>
        <v>7</v>
      </c>
      <c r="M929" s="15">
        <f>Table134[[#This Row],[avg_number_of_purchases]]*Table1345[[#This Row],[avg_purchase_value]]*Table1345[[#This Row],[expected_lifespan]]</f>
        <v>20198.64206642066</v>
      </c>
      <c r="N929" t="s">
        <v>12042</v>
      </c>
    </row>
    <row r="930" spans="1:14" x14ac:dyDescent="0.3">
      <c r="A930" s="2" t="s">
        <v>928</v>
      </c>
      <c r="B930" s="2" t="s">
        <v>12040</v>
      </c>
      <c r="C930" s="2">
        <v>28</v>
      </c>
      <c r="D930" s="2" t="s">
        <v>12049</v>
      </c>
      <c r="E930" s="2">
        <f>COUNTIF(Table16[customer_id],Table13[[#This Row],[customer_id]])</f>
        <v>10</v>
      </c>
      <c r="F930" s="13">
        <f>SUMIFS(Table16[Purchase_history],Table16[customer_id],Table13[[#This Row],[customer_id]])</f>
        <v>60186.630000000005</v>
      </c>
      <c r="G930" s="20">
        <v>44206</v>
      </c>
      <c r="H930" s="21">
        <v>44782</v>
      </c>
      <c r="I930" s="15">
        <f>(Table134[[#This Row],[Last_Day]]-Table134[[#This Row],[First_Day]]+1)/365</f>
        <v>1.5808219178082192</v>
      </c>
      <c r="J930" s="59">
        <f>Table134[[#This Row],[number_of_purchases]]/Table134[[#This Row],[customer_total_years]]</f>
        <v>6.3258232235701906</v>
      </c>
      <c r="K930" s="13">
        <f>Table134[[#This Row],[purchase_history]]/Table134[[#This Row],[number_of_purchases]]</f>
        <v>6018.6630000000005</v>
      </c>
      <c r="L930" s="2">
        <f>IF(YEAR(Table134[[#This Row],[Last_Day]])=2021,5,IF(YEAR(Table134[[#This Row],[Last_Day]])=2022,7,IF(YEAR(Table134[[#This Row],[Last_Day]])=2023,10,"Không xác định")))</f>
        <v>7</v>
      </c>
      <c r="M930" s="15">
        <f>Table134[[#This Row],[avg_number_of_purchases]]*Table1345[[#This Row],[avg_purchase_value]]*Table1345[[#This Row],[expected_lifespan]]</f>
        <v>266510.98726169846</v>
      </c>
      <c r="N930" t="s">
        <v>12046</v>
      </c>
    </row>
    <row r="931" spans="1:14" x14ac:dyDescent="0.3">
      <c r="A931" s="2" t="s">
        <v>929</v>
      </c>
      <c r="B931" s="2" t="s">
        <v>12045</v>
      </c>
      <c r="C931" s="2">
        <v>47</v>
      </c>
      <c r="D931" s="2" t="s">
        <v>12043</v>
      </c>
      <c r="E931" s="2">
        <f>COUNTIF(Table16[customer_id],Table13[[#This Row],[customer_id]])</f>
        <v>3</v>
      </c>
      <c r="F931" s="13">
        <f>SUMIFS(Table16[Purchase_history],Table16[customer_id],Table13[[#This Row],[customer_id]])</f>
        <v>237.35000000000002</v>
      </c>
      <c r="G931" s="20">
        <v>44198</v>
      </c>
      <c r="H931" s="21">
        <v>44676</v>
      </c>
      <c r="I931" s="15">
        <f>(Table134[[#This Row],[Last_Day]]-Table134[[#This Row],[First_Day]]+1)/365</f>
        <v>1.3123287671232877</v>
      </c>
      <c r="J931" s="59">
        <f>Table134[[#This Row],[number_of_purchases]]/Table134[[#This Row],[customer_total_years]]</f>
        <v>2.2860125260960333</v>
      </c>
      <c r="K931" s="13">
        <f>Table134[[#This Row],[purchase_history]]/Table134[[#This Row],[number_of_purchases]]</f>
        <v>79.116666666666674</v>
      </c>
      <c r="L931" s="2">
        <f>IF(YEAR(Table134[[#This Row],[Last_Day]])=2021,5,IF(YEAR(Table134[[#This Row],[Last_Day]])=2022,7,IF(YEAR(Table134[[#This Row],[Last_Day]])=2023,10,"Không xác định")))</f>
        <v>7</v>
      </c>
      <c r="M931" s="15">
        <f>Table134[[#This Row],[avg_number_of_purchases]]*Table1345[[#This Row],[avg_purchase_value]]*Table1345[[#This Row],[expected_lifespan]]</f>
        <v>1266.0318371607516</v>
      </c>
      <c r="N931" t="s">
        <v>12044</v>
      </c>
    </row>
    <row r="932" spans="1:14" x14ac:dyDescent="0.3">
      <c r="A932" s="2" t="s">
        <v>930</v>
      </c>
      <c r="B932" s="2" t="s">
        <v>12040</v>
      </c>
      <c r="C932" s="2">
        <v>18</v>
      </c>
      <c r="D932" s="2" t="s">
        <v>12041</v>
      </c>
      <c r="E932" s="2">
        <f>COUNTIF(Table16[customer_id],Table13[[#This Row],[customer_id]])</f>
        <v>6</v>
      </c>
      <c r="F932" s="13">
        <f>SUMIFS(Table16[Purchase_history],Table16[customer_id],Table13[[#This Row],[customer_id]])</f>
        <v>23380.58</v>
      </c>
      <c r="G932" s="20">
        <v>44198</v>
      </c>
      <c r="H932" s="21">
        <v>44733</v>
      </c>
      <c r="I932" s="15">
        <f>(Table134[[#This Row],[Last_Day]]-Table134[[#This Row],[First_Day]]+1)/365</f>
        <v>1.4684931506849315</v>
      </c>
      <c r="J932" s="59">
        <f>Table134[[#This Row],[number_of_purchases]]/Table134[[#This Row],[customer_total_years]]</f>
        <v>4.0858208955223878</v>
      </c>
      <c r="K932" s="13">
        <f>Table134[[#This Row],[purchase_history]]/Table134[[#This Row],[number_of_purchases]]</f>
        <v>3896.7633333333338</v>
      </c>
      <c r="L932" s="2">
        <f>IF(YEAR(Table134[[#This Row],[Last_Day]])=2021,5,IF(YEAR(Table134[[#This Row],[Last_Day]])=2022,7,IF(YEAR(Table134[[#This Row],[Last_Day]])=2023,10,"Không xác định")))</f>
        <v>7</v>
      </c>
      <c r="M932" s="15">
        <f>Table134[[#This Row],[avg_number_of_purchases]]*Table1345[[#This Row],[avg_purchase_value]]*Table1345[[#This Row],[expected_lifespan]]</f>
        <v>111450.33936567165</v>
      </c>
      <c r="N932" t="s">
        <v>12046</v>
      </c>
    </row>
    <row r="933" spans="1:14" x14ac:dyDescent="0.3">
      <c r="A933" s="2" t="s">
        <v>931</v>
      </c>
      <c r="B933" s="2" t="s">
        <v>12045</v>
      </c>
      <c r="C933" s="2">
        <v>56</v>
      </c>
      <c r="D933" s="2" t="s">
        <v>12043</v>
      </c>
      <c r="E933" s="2">
        <f>COUNTIF(Table16[customer_id],Table13[[#This Row],[customer_id]])</f>
        <v>4</v>
      </c>
      <c r="F933" s="13">
        <f>SUMIFS(Table16[Purchase_history],Table16[customer_id],Table13[[#This Row],[customer_id]])</f>
        <v>3764.7900000000004</v>
      </c>
      <c r="G933" s="20">
        <v>44438</v>
      </c>
      <c r="H933" s="21">
        <v>44873</v>
      </c>
      <c r="I933" s="15">
        <f>(Table134[[#This Row],[Last_Day]]-Table134[[#This Row],[First_Day]]+1)/365</f>
        <v>1.1945205479452055</v>
      </c>
      <c r="J933" s="59">
        <f>Table134[[#This Row],[number_of_purchases]]/Table134[[#This Row],[customer_total_years]]</f>
        <v>3.3486238532110093</v>
      </c>
      <c r="K933" s="13">
        <f>Table134[[#This Row],[purchase_history]]/Table134[[#This Row],[number_of_purchases]]</f>
        <v>941.1975000000001</v>
      </c>
      <c r="L933" s="2">
        <f>IF(YEAR(Table134[[#This Row],[Last_Day]])=2021,5,IF(YEAR(Table134[[#This Row],[Last_Day]])=2022,7,IF(YEAR(Table134[[#This Row],[Last_Day]])=2023,10,"Không xác định")))</f>
        <v>7</v>
      </c>
      <c r="M933" s="15">
        <f>Table134[[#This Row],[avg_number_of_purchases]]*Table1345[[#This Row],[avg_purchase_value]]*Table1345[[#This Row],[expected_lifespan]]</f>
        <v>22062.014793577986</v>
      </c>
      <c r="N933" t="s">
        <v>12042</v>
      </c>
    </row>
    <row r="934" spans="1:14" x14ac:dyDescent="0.3">
      <c r="A934" s="2" t="s">
        <v>932</v>
      </c>
      <c r="B934" s="2" t="s">
        <v>12040</v>
      </c>
      <c r="C934" s="2">
        <v>51</v>
      </c>
      <c r="D934" s="2" t="s">
        <v>12041</v>
      </c>
      <c r="E934" s="2">
        <f>COUNTIF(Table16[customer_id],Table13[[#This Row],[customer_id]])</f>
        <v>3</v>
      </c>
      <c r="F934" s="13">
        <f>SUMIFS(Table16[Purchase_history],Table16[customer_id],Table13[[#This Row],[customer_id]])</f>
        <v>11192.66</v>
      </c>
      <c r="G934" s="20">
        <v>44225</v>
      </c>
      <c r="H934" s="21">
        <v>44571</v>
      </c>
      <c r="I934" s="15">
        <f>(Table134[[#This Row],[Last_Day]]-Table134[[#This Row],[First_Day]]+1)/365</f>
        <v>0.9506849315068493</v>
      </c>
      <c r="J934" s="59">
        <f>Table134[[#This Row],[number_of_purchases]]/Table134[[#This Row],[customer_total_years]]</f>
        <v>3.1556195965417868</v>
      </c>
      <c r="K934" s="13">
        <f>Table134[[#This Row],[purchase_history]]/Table134[[#This Row],[number_of_purchases]]</f>
        <v>3730.8866666666668</v>
      </c>
      <c r="L934" s="2">
        <f>IF(YEAR(Table134[[#This Row],[Last_Day]])=2021,5,IF(YEAR(Table134[[#This Row],[Last_Day]])=2022,7,IF(YEAR(Table134[[#This Row],[Last_Day]])=2023,10,"Không xác định")))</f>
        <v>7</v>
      </c>
      <c r="M934" s="15">
        <f>Table134[[#This Row],[avg_number_of_purchases]]*Table1345[[#This Row],[avg_purchase_value]]*Table1345[[#This Row],[expected_lifespan]]</f>
        <v>82412.813544668592</v>
      </c>
      <c r="N934" t="s">
        <v>12046</v>
      </c>
    </row>
    <row r="935" spans="1:14" x14ac:dyDescent="0.3">
      <c r="A935" s="2" t="s">
        <v>933</v>
      </c>
      <c r="B935" s="2" t="s">
        <v>12040</v>
      </c>
      <c r="C935" s="2">
        <v>54</v>
      </c>
      <c r="D935" s="2" t="s">
        <v>12043</v>
      </c>
      <c r="E935" s="2">
        <f>COUNTIF(Table16[customer_id],Table13[[#This Row],[customer_id]])</f>
        <v>2</v>
      </c>
      <c r="F935" s="13">
        <f>SUMIFS(Table16[Purchase_history],Table16[customer_id],Table13[[#This Row],[customer_id]])</f>
        <v>236.32</v>
      </c>
      <c r="G935" s="20">
        <v>44328</v>
      </c>
      <c r="H935" s="21">
        <v>44972</v>
      </c>
      <c r="I935" s="15">
        <f>(Table134[[#This Row],[Last_Day]]-Table134[[#This Row],[First_Day]]+1)/365</f>
        <v>1.7671232876712328</v>
      </c>
      <c r="J935" s="59">
        <f>Table134[[#This Row],[number_of_purchases]]/Table134[[#This Row],[customer_total_years]]</f>
        <v>1.1317829457364341</v>
      </c>
      <c r="K935" s="13">
        <f>Table134[[#This Row],[purchase_history]]/Table134[[#This Row],[number_of_purchases]]</f>
        <v>118.16</v>
      </c>
      <c r="L935" s="2">
        <f>IF(YEAR(Table134[[#This Row],[Last_Day]])=2021,5,IF(YEAR(Table134[[#This Row],[Last_Day]])=2022,7,IF(YEAR(Table134[[#This Row],[Last_Day]])=2023,10,"Không xác định")))</f>
        <v>10</v>
      </c>
      <c r="M935" s="15">
        <f>Table134[[#This Row],[avg_number_of_purchases]]*Table1345[[#This Row],[avg_purchase_value]]*Table1345[[#This Row],[expected_lifespan]]</f>
        <v>1337.3147286821704</v>
      </c>
      <c r="N935" t="s">
        <v>12044</v>
      </c>
    </row>
    <row r="936" spans="1:14" x14ac:dyDescent="0.3">
      <c r="A936" s="2" t="s">
        <v>934</v>
      </c>
      <c r="B936" s="2" t="s">
        <v>12040</v>
      </c>
      <c r="C936" s="2">
        <v>54</v>
      </c>
      <c r="D936" s="2" t="s">
        <v>12043</v>
      </c>
      <c r="E936" s="2">
        <f>COUNTIF(Table16[customer_id],Table13[[#This Row],[customer_id]])</f>
        <v>3</v>
      </c>
      <c r="F936" s="13">
        <f>SUMIFS(Table16[Purchase_history],Table16[customer_id],Table13[[#This Row],[customer_id]])</f>
        <v>7201.9199999999992</v>
      </c>
      <c r="G936" s="20">
        <v>44747</v>
      </c>
      <c r="H936" s="21">
        <v>44859</v>
      </c>
      <c r="I936" s="15">
        <f>(Table134[[#This Row],[Last_Day]]-Table134[[#This Row],[First_Day]]+1)/365</f>
        <v>0.30958904109589042</v>
      </c>
      <c r="J936" s="59">
        <f>Table134[[#This Row],[number_of_purchases]]/Table134[[#This Row],[customer_total_years]]</f>
        <v>9.6902654867256643</v>
      </c>
      <c r="K936" s="13">
        <f>Table134[[#This Row],[purchase_history]]/Table134[[#This Row],[number_of_purchases]]</f>
        <v>2400.64</v>
      </c>
      <c r="L936" s="2">
        <f>IF(YEAR(Table134[[#This Row],[Last_Day]])=2021,5,IF(YEAR(Table134[[#This Row],[Last_Day]])=2022,7,IF(YEAR(Table134[[#This Row],[Last_Day]])=2023,10,"Không xác định")))</f>
        <v>7</v>
      </c>
      <c r="M936" s="15">
        <f>Table134[[#This Row],[avg_number_of_purchases]]*Table1345[[#This Row],[avg_purchase_value]]*Table1345[[#This Row],[expected_lifespan]]</f>
        <v>162839.87256637169</v>
      </c>
      <c r="N936" t="s">
        <v>12046</v>
      </c>
    </row>
    <row r="937" spans="1:14" x14ac:dyDescent="0.3">
      <c r="A937" s="2" t="s">
        <v>935</v>
      </c>
      <c r="B937" s="2" t="s">
        <v>12040</v>
      </c>
      <c r="C937" s="2">
        <v>62</v>
      </c>
      <c r="D937" s="2" t="s">
        <v>12041</v>
      </c>
      <c r="E937" s="2">
        <f>COUNTIF(Table16[customer_id],Table13[[#This Row],[customer_id]])</f>
        <v>4</v>
      </c>
      <c r="F937" s="13">
        <f>SUMIFS(Table16[Purchase_history],Table16[customer_id],Table13[[#This Row],[customer_id]])</f>
        <v>9799.39</v>
      </c>
      <c r="G937" s="20">
        <v>44207</v>
      </c>
      <c r="H937" s="21">
        <v>44985</v>
      </c>
      <c r="I937" s="15">
        <f>(Table134[[#This Row],[Last_Day]]-Table134[[#This Row],[First_Day]]+1)/365</f>
        <v>2.1342465753424658</v>
      </c>
      <c r="J937" s="59">
        <f>Table134[[#This Row],[number_of_purchases]]/Table134[[#This Row],[customer_total_years]]</f>
        <v>1.8741976893453145</v>
      </c>
      <c r="K937" s="13">
        <f>Table134[[#This Row],[purchase_history]]/Table134[[#This Row],[number_of_purchases]]</f>
        <v>2449.8474999999999</v>
      </c>
      <c r="L937" s="2">
        <f>IF(YEAR(Table134[[#This Row],[Last_Day]])=2021,5,IF(YEAR(Table134[[#This Row],[Last_Day]])=2022,7,IF(YEAR(Table134[[#This Row],[Last_Day]])=2023,10,"Không xác định")))</f>
        <v>10</v>
      </c>
      <c r="M937" s="15">
        <f>Table134[[#This Row],[avg_number_of_purchases]]*Table1345[[#This Row],[avg_purchase_value]]*Table1345[[#This Row],[expected_lifespan]]</f>
        <v>45914.985237483954</v>
      </c>
      <c r="N937" t="s">
        <v>12048</v>
      </c>
    </row>
    <row r="938" spans="1:14" x14ac:dyDescent="0.3">
      <c r="A938" s="2" t="s">
        <v>936</v>
      </c>
      <c r="B938" s="2" t="s">
        <v>12045</v>
      </c>
      <c r="C938" s="2">
        <v>28</v>
      </c>
      <c r="D938" s="2" t="s">
        <v>12041</v>
      </c>
      <c r="E938" s="2">
        <f>COUNTIF(Table16[customer_id],Table13[[#This Row],[customer_id]])</f>
        <v>7</v>
      </c>
      <c r="F938" s="13">
        <f>SUMIFS(Table16[Purchase_history],Table16[customer_id],Table13[[#This Row],[customer_id]])</f>
        <v>15326.3</v>
      </c>
      <c r="G938" s="20">
        <v>44202</v>
      </c>
      <c r="H938" s="21">
        <v>44815</v>
      </c>
      <c r="I938" s="15">
        <f>(Table134[[#This Row],[Last_Day]]-Table134[[#This Row],[First_Day]]+1)/365</f>
        <v>1.6821917808219178</v>
      </c>
      <c r="J938" s="59">
        <f>Table134[[#This Row],[number_of_purchases]]/Table134[[#This Row],[customer_total_years]]</f>
        <v>4.1612377850162865</v>
      </c>
      <c r="K938" s="13">
        <f>Table134[[#This Row],[purchase_history]]/Table134[[#This Row],[number_of_purchases]]</f>
        <v>2189.4714285714285</v>
      </c>
      <c r="L938" s="2">
        <f>IF(YEAR(Table134[[#This Row],[Last_Day]])=2021,5,IF(YEAR(Table134[[#This Row],[Last_Day]])=2022,7,IF(YEAR(Table134[[#This Row],[Last_Day]])=2023,10,"Không xác định")))</f>
        <v>7</v>
      </c>
      <c r="M938" s="15">
        <f>Table134[[#This Row],[avg_number_of_purchases]]*Table1345[[#This Row],[avg_purchase_value]]*Table1345[[#This Row],[expected_lifespan]]</f>
        <v>63776.378664495111</v>
      </c>
      <c r="N938" t="s">
        <v>12044</v>
      </c>
    </row>
    <row r="939" spans="1:14" x14ac:dyDescent="0.3">
      <c r="A939" s="2" t="s">
        <v>937</v>
      </c>
      <c r="B939" s="2" t="s">
        <v>12040</v>
      </c>
      <c r="C939" s="2">
        <v>24</v>
      </c>
      <c r="D939" s="2" t="s">
        <v>12049</v>
      </c>
      <c r="E939" s="2">
        <f>COUNTIF(Table16[customer_id],Table13[[#This Row],[customer_id]])</f>
        <v>6</v>
      </c>
      <c r="F939" s="13">
        <f>SUMIFS(Table16[Purchase_history],Table16[customer_id],Table13[[#This Row],[customer_id]])</f>
        <v>52215.040000000001</v>
      </c>
      <c r="G939" s="20">
        <v>44319</v>
      </c>
      <c r="H939" s="21">
        <v>44935</v>
      </c>
      <c r="I939" s="15">
        <f>(Table134[[#This Row],[Last_Day]]-Table134[[#This Row],[First_Day]]+1)/365</f>
        <v>1.6904109589041096</v>
      </c>
      <c r="J939" s="59">
        <f>Table134[[#This Row],[number_of_purchases]]/Table134[[#This Row],[customer_total_years]]</f>
        <v>3.5494327390599674</v>
      </c>
      <c r="K939" s="13">
        <f>Table134[[#This Row],[purchase_history]]/Table134[[#This Row],[number_of_purchases]]</f>
        <v>8702.5066666666662</v>
      </c>
      <c r="L939" s="2">
        <f>IF(YEAR(Table134[[#This Row],[Last_Day]])=2021,5,IF(YEAR(Table134[[#This Row],[Last_Day]])=2022,7,IF(YEAR(Table134[[#This Row],[Last_Day]])=2023,10,"Không xác định")))</f>
        <v>10</v>
      </c>
      <c r="M939" s="15">
        <f>Table134[[#This Row],[avg_number_of_purchases]]*Table1345[[#This Row],[avg_purchase_value]]*Table1345[[#This Row],[expected_lifespan]]</f>
        <v>308889.62074554292</v>
      </c>
      <c r="N939" t="s">
        <v>12044</v>
      </c>
    </row>
    <row r="940" spans="1:14" x14ac:dyDescent="0.3">
      <c r="A940" s="2" t="s">
        <v>938</v>
      </c>
      <c r="B940" s="2" t="s">
        <v>12045</v>
      </c>
      <c r="C940" s="2">
        <v>60</v>
      </c>
      <c r="D940" s="2" t="s">
        <v>12041</v>
      </c>
      <c r="E940" s="2">
        <f>COUNTIF(Table16[customer_id],Table13[[#This Row],[customer_id]])</f>
        <v>5</v>
      </c>
      <c r="F940" s="13">
        <f>SUMIFS(Table16[Purchase_history],Table16[customer_id],Table13[[#This Row],[customer_id]])</f>
        <v>3146.1099999999997</v>
      </c>
      <c r="G940" s="20">
        <v>44333</v>
      </c>
      <c r="H940" s="21">
        <v>44949</v>
      </c>
      <c r="I940" s="15">
        <f>(Table134[[#This Row],[Last_Day]]-Table134[[#This Row],[First_Day]]+1)/365</f>
        <v>1.6904109589041096</v>
      </c>
      <c r="J940" s="59">
        <f>Table134[[#This Row],[number_of_purchases]]/Table134[[#This Row],[customer_total_years]]</f>
        <v>2.9578606158833063</v>
      </c>
      <c r="K940" s="13">
        <f>Table134[[#This Row],[purchase_history]]/Table134[[#This Row],[number_of_purchases]]</f>
        <v>629.22199999999998</v>
      </c>
      <c r="L940" s="2">
        <f>IF(YEAR(Table134[[#This Row],[Last_Day]])=2021,5,IF(YEAR(Table134[[#This Row],[Last_Day]])=2022,7,IF(YEAR(Table134[[#This Row],[Last_Day]])=2023,10,"Không xác định")))</f>
        <v>10</v>
      </c>
      <c r="M940" s="15">
        <f>Table134[[#This Row],[avg_number_of_purchases]]*Table1345[[#This Row],[avg_purchase_value]]*Table1345[[#This Row],[expected_lifespan]]</f>
        <v>18611.509724473257</v>
      </c>
      <c r="N940" t="s">
        <v>12046</v>
      </c>
    </row>
    <row r="941" spans="1:14" x14ac:dyDescent="0.3">
      <c r="A941" s="2" t="s">
        <v>939</v>
      </c>
      <c r="B941" s="2" t="s">
        <v>12045</v>
      </c>
      <c r="C941" s="2">
        <v>58</v>
      </c>
      <c r="D941" s="2" t="s">
        <v>12043</v>
      </c>
      <c r="E941" s="2">
        <f>COUNTIF(Table16[customer_id],Table13[[#This Row],[customer_id]])</f>
        <v>5</v>
      </c>
      <c r="F941" s="13">
        <f>SUMIFS(Table16[Purchase_history],Table16[customer_id],Table13[[#This Row],[customer_id]])</f>
        <v>14454.24</v>
      </c>
      <c r="G941" s="20">
        <v>44231</v>
      </c>
      <c r="H941" s="21">
        <v>44933</v>
      </c>
      <c r="I941" s="15">
        <f>(Table134[[#This Row],[Last_Day]]-Table134[[#This Row],[First_Day]]+1)/365</f>
        <v>1.9260273972602739</v>
      </c>
      <c r="J941" s="59">
        <f>Table134[[#This Row],[number_of_purchases]]/Table134[[#This Row],[customer_total_years]]</f>
        <v>2.5960170697012801</v>
      </c>
      <c r="K941" s="13">
        <f>Table134[[#This Row],[purchase_history]]/Table134[[#This Row],[number_of_purchases]]</f>
        <v>2890.848</v>
      </c>
      <c r="L941" s="2">
        <f>IF(YEAR(Table134[[#This Row],[Last_Day]])=2021,5,IF(YEAR(Table134[[#This Row],[Last_Day]])=2022,7,IF(YEAR(Table134[[#This Row],[Last_Day]])=2023,10,"Không xác định")))</f>
        <v>10</v>
      </c>
      <c r="M941" s="15">
        <f>Table134[[#This Row],[avg_number_of_purchases]]*Table1345[[#This Row],[avg_purchase_value]]*Table1345[[#This Row],[expected_lifespan]]</f>
        <v>75046.907539118067</v>
      </c>
      <c r="N941" t="s">
        <v>12048</v>
      </c>
    </row>
    <row r="942" spans="1:14" x14ac:dyDescent="0.3">
      <c r="A942" s="2" t="s">
        <v>940</v>
      </c>
      <c r="B942" s="2" t="s">
        <v>12045</v>
      </c>
      <c r="C942" s="2">
        <v>18</v>
      </c>
      <c r="D942" s="2" t="s">
        <v>12049</v>
      </c>
      <c r="E942" s="2">
        <f>COUNTIF(Table16[customer_id],Table13[[#This Row],[customer_id]])</f>
        <v>5</v>
      </c>
      <c r="F942" s="13">
        <f>SUMIFS(Table16[Purchase_history],Table16[customer_id],Table13[[#This Row],[customer_id]])</f>
        <v>10839.869999999999</v>
      </c>
      <c r="G942" s="20">
        <v>44348</v>
      </c>
      <c r="H942" s="21">
        <v>44940</v>
      </c>
      <c r="I942" s="15">
        <f>(Table134[[#This Row],[Last_Day]]-Table134[[#This Row],[First_Day]]+1)/365</f>
        <v>1.6246575342465754</v>
      </c>
      <c r="J942" s="59">
        <f>Table134[[#This Row],[number_of_purchases]]/Table134[[#This Row],[customer_total_years]]</f>
        <v>3.0775716694772344</v>
      </c>
      <c r="K942" s="13">
        <f>Table134[[#This Row],[purchase_history]]/Table134[[#This Row],[number_of_purchases]]</f>
        <v>2167.9739999999997</v>
      </c>
      <c r="L942" s="2">
        <f>IF(YEAR(Table134[[#This Row],[Last_Day]])=2021,5,IF(YEAR(Table134[[#This Row],[Last_Day]])=2022,7,IF(YEAR(Table134[[#This Row],[Last_Day]])=2023,10,"Không xác định")))</f>
        <v>10</v>
      </c>
      <c r="M942" s="15">
        <f>Table134[[#This Row],[avg_number_of_purchases]]*Table1345[[#This Row],[avg_purchase_value]]*Table1345[[#This Row],[expected_lifespan]]</f>
        <v>66720.953625632363</v>
      </c>
      <c r="N942" t="s">
        <v>12042</v>
      </c>
    </row>
    <row r="943" spans="1:14" x14ac:dyDescent="0.3">
      <c r="A943" s="2" t="s">
        <v>941</v>
      </c>
      <c r="B943" s="2" t="s">
        <v>12040</v>
      </c>
      <c r="C943" s="2">
        <v>42</v>
      </c>
      <c r="D943" s="2" t="s">
        <v>12049</v>
      </c>
      <c r="E943" s="2">
        <f>COUNTIF(Table16[customer_id],Table13[[#This Row],[customer_id]])</f>
        <v>9</v>
      </c>
      <c r="F943" s="13">
        <f>SUMIFS(Table16[Purchase_history],Table16[customer_id],Table13[[#This Row],[customer_id]])</f>
        <v>23833.149999999998</v>
      </c>
      <c r="G943" s="20">
        <v>44281</v>
      </c>
      <c r="H943" s="21">
        <v>44651</v>
      </c>
      <c r="I943" s="15">
        <f>(Table134[[#This Row],[Last_Day]]-Table134[[#This Row],[First_Day]]+1)/365</f>
        <v>1.0164383561643835</v>
      </c>
      <c r="J943" s="59">
        <f>Table134[[#This Row],[number_of_purchases]]/Table134[[#This Row],[customer_total_years]]</f>
        <v>8.8544474393531001</v>
      </c>
      <c r="K943" s="13">
        <f>Table134[[#This Row],[purchase_history]]/Table134[[#This Row],[number_of_purchases]]</f>
        <v>2648.1277777777777</v>
      </c>
      <c r="L943" s="2">
        <f>IF(YEAR(Table134[[#This Row],[Last_Day]])=2021,5,IF(YEAR(Table134[[#This Row],[Last_Day]])=2022,7,IF(YEAR(Table134[[#This Row],[Last_Day]])=2023,10,"Không xác định")))</f>
        <v>7</v>
      </c>
      <c r="M943" s="15">
        <f>Table134[[#This Row],[avg_number_of_purchases]]*Table1345[[#This Row],[avg_purchase_value]]*Table1345[[#This Row],[expected_lifespan]]</f>
        <v>164133.95754716982</v>
      </c>
      <c r="N943" t="s">
        <v>12044</v>
      </c>
    </row>
    <row r="944" spans="1:14" x14ac:dyDescent="0.3">
      <c r="A944" s="2" t="s">
        <v>942</v>
      </c>
      <c r="B944" s="2" t="s">
        <v>12040</v>
      </c>
      <c r="C944" s="2">
        <v>45</v>
      </c>
      <c r="D944" s="2" t="s">
        <v>12049</v>
      </c>
      <c r="E944" s="2">
        <f>COUNTIF(Table16[customer_id],Table13[[#This Row],[customer_id]])</f>
        <v>5</v>
      </c>
      <c r="F944" s="13">
        <f>SUMIFS(Table16[Purchase_history],Table16[customer_id],Table13[[#This Row],[customer_id]])</f>
        <v>1907.4099999999999</v>
      </c>
      <c r="G944" s="20">
        <v>44198</v>
      </c>
      <c r="H944" s="21">
        <v>44786</v>
      </c>
      <c r="I944" s="15">
        <f>(Table134[[#This Row],[Last_Day]]-Table134[[#This Row],[First_Day]]+1)/365</f>
        <v>1.6136986301369862</v>
      </c>
      <c r="J944" s="59">
        <f>Table134[[#This Row],[number_of_purchases]]/Table134[[#This Row],[customer_total_years]]</f>
        <v>3.0984719864176573</v>
      </c>
      <c r="K944" s="13">
        <f>Table134[[#This Row],[purchase_history]]/Table134[[#This Row],[number_of_purchases]]</f>
        <v>381.48199999999997</v>
      </c>
      <c r="L944" s="2">
        <f>IF(YEAR(Table134[[#This Row],[Last_Day]])=2021,5,IF(YEAR(Table134[[#This Row],[Last_Day]])=2022,7,IF(YEAR(Table134[[#This Row],[Last_Day]])=2023,10,"Không xác định")))</f>
        <v>7</v>
      </c>
      <c r="M944" s="15">
        <f>Table134[[#This Row],[avg_number_of_purchases]]*Table1345[[#This Row],[avg_purchase_value]]*Table1345[[#This Row],[expected_lifespan]]</f>
        <v>8274.0790322580651</v>
      </c>
      <c r="N944" t="s">
        <v>12048</v>
      </c>
    </row>
    <row r="945" spans="1:14" x14ac:dyDescent="0.3">
      <c r="A945" s="2" t="s">
        <v>943</v>
      </c>
      <c r="B945" s="2" t="s">
        <v>12045</v>
      </c>
      <c r="C945" s="2">
        <v>26</v>
      </c>
      <c r="D945" s="2" t="s">
        <v>12043</v>
      </c>
      <c r="E945" s="2">
        <f>COUNTIF(Table16[customer_id],Table13[[#This Row],[customer_id]])</f>
        <v>6</v>
      </c>
      <c r="F945" s="13">
        <f>SUMIFS(Table16[Purchase_history],Table16[customer_id],Table13[[#This Row],[customer_id]])</f>
        <v>4601.63</v>
      </c>
      <c r="G945" s="20">
        <v>44221</v>
      </c>
      <c r="H945" s="21">
        <v>44980</v>
      </c>
      <c r="I945" s="15">
        <f>(Table134[[#This Row],[Last_Day]]-Table134[[#This Row],[First_Day]]+1)/365</f>
        <v>2.0821917808219177</v>
      </c>
      <c r="J945" s="59">
        <f>Table134[[#This Row],[number_of_purchases]]/Table134[[#This Row],[customer_total_years]]</f>
        <v>2.8815789473684212</v>
      </c>
      <c r="K945" s="13">
        <f>Table134[[#This Row],[purchase_history]]/Table134[[#This Row],[number_of_purchases]]</f>
        <v>766.93833333333339</v>
      </c>
      <c r="L945" s="2">
        <f>IF(YEAR(Table134[[#This Row],[Last_Day]])=2021,5,IF(YEAR(Table134[[#This Row],[Last_Day]])=2022,7,IF(YEAR(Table134[[#This Row],[Last_Day]])=2023,10,"Không xác định")))</f>
        <v>10</v>
      </c>
      <c r="M945" s="15">
        <f>Table134[[#This Row],[avg_number_of_purchases]]*Table1345[[#This Row],[avg_purchase_value]]*Table1345[[#This Row],[expected_lifespan]]</f>
        <v>22099.933552631584</v>
      </c>
      <c r="N945" t="s">
        <v>12044</v>
      </c>
    </row>
    <row r="946" spans="1:14" x14ac:dyDescent="0.3">
      <c r="A946" s="2" t="s">
        <v>944</v>
      </c>
      <c r="B946" s="2" t="s">
        <v>12040</v>
      </c>
      <c r="C946" s="2">
        <v>49</v>
      </c>
      <c r="D946" s="2" t="s">
        <v>12049</v>
      </c>
      <c r="E946" s="2">
        <f>COUNTIF(Table16[customer_id],Table13[[#This Row],[customer_id]])</f>
        <v>4</v>
      </c>
      <c r="F946" s="13">
        <f>SUMIFS(Table16[Purchase_history],Table16[customer_id],Table13[[#This Row],[customer_id]])</f>
        <v>6459.619999999999</v>
      </c>
      <c r="G946" s="20">
        <v>44312</v>
      </c>
      <c r="H946" s="21">
        <v>44709</v>
      </c>
      <c r="I946" s="15">
        <f>(Table134[[#This Row],[Last_Day]]-Table134[[#This Row],[First_Day]]+1)/365</f>
        <v>1.0904109589041096</v>
      </c>
      <c r="J946" s="59">
        <f>Table134[[#This Row],[number_of_purchases]]/Table134[[#This Row],[customer_total_years]]</f>
        <v>3.6683417085427137</v>
      </c>
      <c r="K946" s="13">
        <f>Table134[[#This Row],[purchase_history]]/Table134[[#This Row],[number_of_purchases]]</f>
        <v>1614.9049999999997</v>
      </c>
      <c r="L946" s="2">
        <f>IF(YEAR(Table134[[#This Row],[Last_Day]])=2021,5,IF(YEAR(Table134[[#This Row],[Last_Day]])=2022,7,IF(YEAR(Table134[[#This Row],[Last_Day]])=2023,10,"Không xác định")))</f>
        <v>7</v>
      </c>
      <c r="M946" s="15">
        <f>Table134[[#This Row],[avg_number_of_purchases]]*Table1345[[#This Row],[avg_purchase_value]]*Table1345[[#This Row],[expected_lifespan]]</f>
        <v>41468.16356783919</v>
      </c>
      <c r="N946" t="s">
        <v>12047</v>
      </c>
    </row>
    <row r="947" spans="1:14" x14ac:dyDescent="0.3">
      <c r="A947" s="2" t="s">
        <v>945</v>
      </c>
      <c r="B947" s="2" t="s">
        <v>12040</v>
      </c>
      <c r="C947" s="2">
        <v>61</v>
      </c>
      <c r="D947" s="2" t="s">
        <v>12041</v>
      </c>
      <c r="E947" s="2">
        <f>COUNTIF(Table16[customer_id],Table13[[#This Row],[customer_id]])</f>
        <v>1</v>
      </c>
      <c r="F947" s="13">
        <f>SUMIFS(Table16[Purchase_history],Table16[customer_id],Table13[[#This Row],[customer_id]])</f>
        <v>143.36000000000001</v>
      </c>
      <c r="G947" s="20">
        <v>44800</v>
      </c>
      <c r="H947" s="21">
        <v>44800</v>
      </c>
      <c r="I947" s="15">
        <f>(Table134[[#This Row],[Last_Day]]-Table134[[#This Row],[First_Day]]+1)/365</f>
        <v>2.7397260273972603E-3</v>
      </c>
      <c r="J947" s="59">
        <f>Table134[[#This Row],[number_of_purchases]]/Table134[[#This Row],[customer_total_years]]</f>
        <v>365</v>
      </c>
      <c r="K947" s="13">
        <f>Table134[[#This Row],[purchase_history]]/Table134[[#This Row],[number_of_purchases]]</f>
        <v>143.36000000000001</v>
      </c>
      <c r="L947" s="2">
        <f>IF(YEAR(Table134[[#This Row],[Last_Day]])=2021,5,IF(YEAR(Table134[[#This Row],[Last_Day]])=2022,7,IF(YEAR(Table134[[#This Row],[Last_Day]])=2023,10,"Không xác định")))</f>
        <v>7</v>
      </c>
      <c r="M947" s="15">
        <f>Table134[[#This Row],[avg_number_of_purchases]]*Table1345[[#This Row],[avg_purchase_value]]*Table1345[[#This Row],[expected_lifespan]]</f>
        <v>366284.79999999999</v>
      </c>
      <c r="N947" t="s">
        <v>12044</v>
      </c>
    </row>
    <row r="948" spans="1:14" x14ac:dyDescent="0.3">
      <c r="A948" s="2" t="s">
        <v>946</v>
      </c>
      <c r="B948" s="2" t="s">
        <v>12045</v>
      </c>
      <c r="C948" s="2">
        <v>47</v>
      </c>
      <c r="D948" s="2" t="s">
        <v>12043</v>
      </c>
      <c r="E948" s="2">
        <f>COUNTIF(Table16[customer_id],Table13[[#This Row],[customer_id]])</f>
        <v>6</v>
      </c>
      <c r="F948" s="13">
        <f>SUMIFS(Table16[Purchase_history],Table16[customer_id],Table13[[#This Row],[customer_id]])</f>
        <v>9768.56</v>
      </c>
      <c r="G948" s="20">
        <v>44236</v>
      </c>
      <c r="H948" s="21">
        <v>44895</v>
      </c>
      <c r="I948" s="15">
        <f>(Table134[[#This Row],[Last_Day]]-Table134[[#This Row],[First_Day]]+1)/365</f>
        <v>1.8082191780821917</v>
      </c>
      <c r="J948" s="59">
        <f>Table134[[#This Row],[number_of_purchases]]/Table134[[#This Row],[customer_total_years]]</f>
        <v>3.3181818181818183</v>
      </c>
      <c r="K948" s="13">
        <f>Table134[[#This Row],[purchase_history]]/Table134[[#This Row],[number_of_purchases]]</f>
        <v>1628.0933333333332</v>
      </c>
      <c r="L948" s="2">
        <f>IF(YEAR(Table134[[#This Row],[Last_Day]])=2021,5,IF(YEAR(Table134[[#This Row],[Last_Day]])=2022,7,IF(YEAR(Table134[[#This Row],[Last_Day]])=2023,10,"Không xác định")))</f>
        <v>7</v>
      </c>
      <c r="M948" s="15">
        <f>Table134[[#This Row],[avg_number_of_purchases]]*Table1345[[#This Row],[avg_purchase_value]]*Table1345[[#This Row],[expected_lifespan]]</f>
        <v>37816.167878787877</v>
      </c>
      <c r="N948" t="s">
        <v>12046</v>
      </c>
    </row>
    <row r="949" spans="1:14" x14ac:dyDescent="0.3">
      <c r="A949" s="2" t="s">
        <v>947</v>
      </c>
      <c r="B949" s="2" t="s">
        <v>12040</v>
      </c>
      <c r="C949" s="2">
        <v>62</v>
      </c>
      <c r="D949" s="2" t="s">
        <v>12041</v>
      </c>
      <c r="E949" s="2">
        <f>COUNTIF(Table16[customer_id],Table13[[#This Row],[customer_id]])</f>
        <v>7</v>
      </c>
      <c r="F949" s="13">
        <f>SUMIFS(Table16[Purchase_history],Table16[customer_id],Table13[[#This Row],[customer_id]])</f>
        <v>9642.9499999999989</v>
      </c>
      <c r="G949" s="20">
        <v>44409</v>
      </c>
      <c r="H949" s="21">
        <v>44978</v>
      </c>
      <c r="I949" s="15">
        <f>(Table134[[#This Row],[Last_Day]]-Table134[[#This Row],[First_Day]]+1)/365</f>
        <v>1.5616438356164384</v>
      </c>
      <c r="J949" s="59">
        <f>Table134[[#This Row],[number_of_purchases]]/Table134[[#This Row],[customer_total_years]]</f>
        <v>4.4824561403508767</v>
      </c>
      <c r="K949" s="13">
        <f>Table134[[#This Row],[purchase_history]]/Table134[[#This Row],[number_of_purchases]]</f>
        <v>1377.5642857142855</v>
      </c>
      <c r="L949" s="2">
        <f>IF(YEAR(Table134[[#This Row],[Last_Day]])=2021,5,IF(YEAR(Table134[[#This Row],[Last_Day]])=2022,7,IF(YEAR(Table134[[#This Row],[Last_Day]])=2023,10,"Không xác định")))</f>
        <v>10</v>
      </c>
      <c r="M949" s="15">
        <f>Table134[[#This Row],[avg_number_of_purchases]]*Table1345[[#This Row],[avg_purchase_value]]*Table1345[[#This Row],[expected_lifespan]]</f>
        <v>61748.714912280688</v>
      </c>
      <c r="N949" t="s">
        <v>12048</v>
      </c>
    </row>
    <row r="950" spans="1:14" x14ac:dyDescent="0.3">
      <c r="A950" s="2" t="s">
        <v>948</v>
      </c>
      <c r="B950" s="2" t="s">
        <v>12045</v>
      </c>
      <c r="C950" s="2">
        <v>54</v>
      </c>
      <c r="D950" s="2" t="s">
        <v>12043</v>
      </c>
      <c r="E950" s="2">
        <f>COUNTIF(Table16[customer_id],Table13[[#This Row],[customer_id]])</f>
        <v>7</v>
      </c>
      <c r="F950" s="13">
        <f>SUMIFS(Table16[Purchase_history],Table16[customer_id],Table13[[#This Row],[customer_id]])</f>
        <v>15849.89</v>
      </c>
      <c r="G950" s="20">
        <v>44204</v>
      </c>
      <c r="H950" s="21">
        <v>44886</v>
      </c>
      <c r="I950" s="15">
        <f>(Table134[[#This Row],[Last_Day]]-Table134[[#This Row],[First_Day]]+1)/365</f>
        <v>1.8712328767123287</v>
      </c>
      <c r="J950" s="59">
        <f>Table134[[#This Row],[number_of_purchases]]/Table134[[#This Row],[customer_total_years]]</f>
        <v>3.7408491947291362</v>
      </c>
      <c r="K950" s="13">
        <f>Table134[[#This Row],[purchase_history]]/Table134[[#This Row],[number_of_purchases]]</f>
        <v>2264.27</v>
      </c>
      <c r="L950" s="2">
        <f>IF(YEAR(Table134[[#This Row],[Last_Day]])=2021,5,IF(YEAR(Table134[[#This Row],[Last_Day]])=2022,7,IF(YEAR(Table134[[#This Row],[Last_Day]])=2023,10,"Không xác định")))</f>
        <v>7</v>
      </c>
      <c r="M950" s="15">
        <f>Table134[[#This Row],[avg_number_of_purchases]]*Table1345[[#This Row],[avg_purchase_value]]*Table1345[[#This Row],[expected_lifespan]]</f>
        <v>59292.048243045392</v>
      </c>
      <c r="N950" t="s">
        <v>12046</v>
      </c>
    </row>
    <row r="951" spans="1:14" x14ac:dyDescent="0.3">
      <c r="A951" s="2" t="s">
        <v>949</v>
      </c>
      <c r="B951" s="2" t="s">
        <v>12045</v>
      </c>
      <c r="C951" s="2">
        <v>33</v>
      </c>
      <c r="D951" s="2" t="s">
        <v>12043</v>
      </c>
      <c r="E951" s="2">
        <f>COUNTIF(Table16[customer_id],Table13[[#This Row],[customer_id]])</f>
        <v>2</v>
      </c>
      <c r="F951" s="13">
        <f>SUMIFS(Table16[Purchase_history],Table16[customer_id],Table13[[#This Row],[customer_id]])</f>
        <v>9746.08</v>
      </c>
      <c r="G951" s="20">
        <v>44878</v>
      </c>
      <c r="H951" s="21">
        <v>44938</v>
      </c>
      <c r="I951" s="15">
        <f>(Table134[[#This Row],[Last_Day]]-Table134[[#This Row],[First_Day]]+1)/365</f>
        <v>0.16712328767123288</v>
      </c>
      <c r="J951" s="59">
        <f>Table134[[#This Row],[number_of_purchases]]/Table134[[#This Row],[customer_total_years]]</f>
        <v>11.967213114754097</v>
      </c>
      <c r="K951" s="13">
        <f>Table134[[#This Row],[purchase_history]]/Table134[[#This Row],[number_of_purchases]]</f>
        <v>4873.04</v>
      </c>
      <c r="L951" s="2">
        <f>IF(YEAR(Table134[[#This Row],[Last_Day]])=2021,5,IF(YEAR(Table134[[#This Row],[Last_Day]])=2022,7,IF(YEAR(Table134[[#This Row],[Last_Day]])=2023,10,"Không xác định")))</f>
        <v>10</v>
      </c>
      <c r="M951" s="15">
        <f>Table134[[#This Row],[avg_number_of_purchases]]*Table1345[[#This Row],[avg_purchase_value]]*Table1345[[#This Row],[expected_lifespan]]</f>
        <v>583167.08196721296</v>
      </c>
      <c r="N951" t="s">
        <v>12047</v>
      </c>
    </row>
    <row r="952" spans="1:14" x14ac:dyDescent="0.3">
      <c r="A952" s="2" t="s">
        <v>950</v>
      </c>
      <c r="B952" s="2" t="s">
        <v>12045</v>
      </c>
      <c r="C952" s="2">
        <v>40</v>
      </c>
      <c r="D952" s="2" t="s">
        <v>12041</v>
      </c>
      <c r="E952" s="2">
        <f>COUNTIF(Table16[customer_id],Table13[[#This Row],[customer_id]])</f>
        <v>3</v>
      </c>
      <c r="F952" s="13">
        <f>SUMIFS(Table16[Purchase_history],Table16[customer_id],Table13[[#This Row],[customer_id]])</f>
        <v>8702.32</v>
      </c>
      <c r="G952" s="20">
        <v>44331</v>
      </c>
      <c r="H952" s="21">
        <v>44740</v>
      </c>
      <c r="I952" s="15">
        <f>(Table134[[#This Row],[Last_Day]]-Table134[[#This Row],[First_Day]]+1)/365</f>
        <v>1.1232876712328768</v>
      </c>
      <c r="J952" s="59">
        <f>Table134[[#This Row],[number_of_purchases]]/Table134[[#This Row],[customer_total_years]]</f>
        <v>2.6707317073170729</v>
      </c>
      <c r="K952" s="13">
        <f>Table134[[#This Row],[purchase_history]]/Table134[[#This Row],[number_of_purchases]]</f>
        <v>2900.7733333333331</v>
      </c>
      <c r="L952" s="2">
        <f>IF(YEAR(Table134[[#This Row],[Last_Day]])=2021,5,IF(YEAR(Table134[[#This Row],[Last_Day]])=2022,7,IF(YEAR(Table134[[#This Row],[Last_Day]])=2023,10,"Không xác định")))</f>
        <v>7</v>
      </c>
      <c r="M952" s="15">
        <f>Table134[[#This Row],[avg_number_of_purchases]]*Table1345[[#This Row],[avg_purchase_value]]*Table1345[[#This Row],[expected_lifespan]]</f>
        <v>54230.311219512187</v>
      </c>
      <c r="N952" t="s">
        <v>12047</v>
      </c>
    </row>
    <row r="953" spans="1:14" x14ac:dyDescent="0.3">
      <c r="A953" s="2" t="s">
        <v>951</v>
      </c>
      <c r="B953" s="2" t="s">
        <v>12045</v>
      </c>
      <c r="C953" s="2">
        <v>62</v>
      </c>
      <c r="D953" s="2" t="s">
        <v>12041</v>
      </c>
      <c r="E953" s="2">
        <f>COUNTIF(Table16[customer_id],Table13[[#This Row],[customer_id]])</f>
        <v>6</v>
      </c>
      <c r="F953" s="13">
        <f>SUMIFS(Table16[Purchase_history],Table16[customer_id],Table13[[#This Row],[customer_id]])</f>
        <v>20876.59</v>
      </c>
      <c r="G953" s="20">
        <v>44451</v>
      </c>
      <c r="H953" s="21">
        <v>44993</v>
      </c>
      <c r="I953" s="15">
        <f>(Table134[[#This Row],[Last_Day]]-Table134[[#This Row],[First_Day]]+1)/365</f>
        <v>1.4876712328767123</v>
      </c>
      <c r="J953" s="59">
        <f>Table134[[#This Row],[number_of_purchases]]/Table134[[#This Row],[customer_total_years]]</f>
        <v>4.0331491712707184</v>
      </c>
      <c r="K953" s="13">
        <f>Table134[[#This Row],[purchase_history]]/Table134[[#This Row],[number_of_purchases]]</f>
        <v>3479.4316666666668</v>
      </c>
      <c r="L953" s="2">
        <f>IF(YEAR(Table134[[#This Row],[Last_Day]])=2021,5,IF(YEAR(Table134[[#This Row],[Last_Day]])=2022,7,IF(YEAR(Table134[[#This Row],[Last_Day]])=2023,10,"Không xác định")))</f>
        <v>10</v>
      </c>
      <c r="M953" s="15">
        <f>Table134[[#This Row],[avg_number_of_purchases]]*Table1345[[#This Row],[avg_purchase_value]]*Table1345[[#This Row],[expected_lifespan]]</f>
        <v>140330.66942909762</v>
      </c>
      <c r="N953" t="s">
        <v>12048</v>
      </c>
    </row>
    <row r="954" spans="1:14" x14ac:dyDescent="0.3">
      <c r="A954" s="2" t="s">
        <v>952</v>
      </c>
      <c r="B954" s="2" t="s">
        <v>12040</v>
      </c>
      <c r="C954" s="2">
        <v>59</v>
      </c>
      <c r="D954" s="2" t="s">
        <v>12043</v>
      </c>
      <c r="E954" s="2">
        <f>COUNTIF(Table16[customer_id],Table13[[#This Row],[customer_id]])</f>
        <v>4</v>
      </c>
      <c r="F954" s="13">
        <f>SUMIFS(Table16[Purchase_history],Table16[customer_id],Table13[[#This Row],[customer_id]])</f>
        <v>22353.03</v>
      </c>
      <c r="G954" s="20">
        <v>44371</v>
      </c>
      <c r="H954" s="21">
        <v>44910</v>
      </c>
      <c r="I954" s="15">
        <f>(Table134[[#This Row],[Last_Day]]-Table134[[#This Row],[First_Day]]+1)/365</f>
        <v>1.4794520547945205</v>
      </c>
      <c r="J954" s="59">
        <f>Table134[[#This Row],[number_of_purchases]]/Table134[[#This Row],[customer_total_years]]</f>
        <v>2.7037037037037037</v>
      </c>
      <c r="K954" s="13">
        <f>Table134[[#This Row],[purchase_history]]/Table134[[#This Row],[number_of_purchases]]</f>
        <v>5588.2574999999997</v>
      </c>
      <c r="L954" s="2">
        <f>IF(YEAR(Table134[[#This Row],[Last_Day]])=2021,5,IF(YEAR(Table134[[#This Row],[Last_Day]])=2022,7,IF(YEAR(Table134[[#This Row],[Last_Day]])=2023,10,"Không xác định")))</f>
        <v>7</v>
      </c>
      <c r="M954" s="15">
        <f>Table134[[#This Row],[avg_number_of_purchases]]*Table1345[[#This Row],[avg_purchase_value]]*Table1345[[#This Row],[expected_lifespan]]</f>
        <v>105762.94749999999</v>
      </c>
      <c r="N954" t="s">
        <v>12042</v>
      </c>
    </row>
    <row r="955" spans="1:14" x14ac:dyDescent="0.3">
      <c r="A955" s="2" t="s">
        <v>953</v>
      </c>
      <c r="B955" s="2" t="s">
        <v>12040</v>
      </c>
      <c r="C955" s="2">
        <v>37</v>
      </c>
      <c r="D955" s="2" t="s">
        <v>12041</v>
      </c>
      <c r="E955" s="2">
        <f>COUNTIF(Table16[customer_id],Table13[[#This Row],[customer_id]])</f>
        <v>6</v>
      </c>
      <c r="F955" s="13">
        <f>SUMIFS(Table16[Purchase_history],Table16[customer_id],Table13[[#This Row],[customer_id]])</f>
        <v>2197.5500000000002</v>
      </c>
      <c r="G955" s="20">
        <v>44207</v>
      </c>
      <c r="H955" s="21">
        <v>44958</v>
      </c>
      <c r="I955" s="15">
        <f>(Table134[[#This Row],[Last_Day]]-Table134[[#This Row],[First_Day]]+1)/365</f>
        <v>2.0602739726027397</v>
      </c>
      <c r="J955" s="59">
        <f>Table134[[#This Row],[number_of_purchases]]/Table134[[#This Row],[customer_total_years]]</f>
        <v>2.9122340425531914</v>
      </c>
      <c r="K955" s="13">
        <f>Table134[[#This Row],[purchase_history]]/Table134[[#This Row],[number_of_purchases]]</f>
        <v>366.25833333333338</v>
      </c>
      <c r="L955" s="2">
        <f>IF(YEAR(Table134[[#This Row],[Last_Day]])=2021,5,IF(YEAR(Table134[[#This Row],[Last_Day]])=2022,7,IF(YEAR(Table134[[#This Row],[Last_Day]])=2023,10,"Không xác định")))</f>
        <v>10</v>
      </c>
      <c r="M955" s="15">
        <f>Table134[[#This Row],[avg_number_of_purchases]]*Table1345[[#This Row],[avg_purchase_value]]*Table1345[[#This Row],[expected_lifespan]]</f>
        <v>10666.299867021278</v>
      </c>
      <c r="N955" t="s">
        <v>12046</v>
      </c>
    </row>
    <row r="956" spans="1:14" x14ac:dyDescent="0.3">
      <c r="A956" s="2" t="s">
        <v>954</v>
      </c>
      <c r="B956" s="2" t="s">
        <v>12040</v>
      </c>
      <c r="C956" s="2">
        <v>62</v>
      </c>
      <c r="D956" s="2" t="s">
        <v>12049</v>
      </c>
      <c r="E956" s="2">
        <f>COUNTIF(Table16[customer_id],Table13[[#This Row],[customer_id]])</f>
        <v>6</v>
      </c>
      <c r="F956" s="13">
        <f>SUMIFS(Table16[Purchase_history],Table16[customer_id],Table13[[#This Row],[customer_id]])</f>
        <v>9271.2999999999993</v>
      </c>
      <c r="G956" s="20">
        <v>44267</v>
      </c>
      <c r="H956" s="21">
        <v>44952</v>
      </c>
      <c r="I956" s="15">
        <f>(Table134[[#This Row],[Last_Day]]-Table134[[#This Row],[First_Day]]+1)/365</f>
        <v>1.8794520547945206</v>
      </c>
      <c r="J956" s="59">
        <f>Table134[[#This Row],[number_of_purchases]]/Table134[[#This Row],[customer_total_years]]</f>
        <v>3.1924198250728861</v>
      </c>
      <c r="K956" s="13">
        <f>Table134[[#This Row],[purchase_history]]/Table134[[#This Row],[number_of_purchases]]</f>
        <v>1545.2166666666665</v>
      </c>
      <c r="L956" s="2">
        <f>IF(YEAR(Table134[[#This Row],[Last_Day]])=2021,5,IF(YEAR(Table134[[#This Row],[Last_Day]])=2022,7,IF(YEAR(Table134[[#This Row],[Last_Day]])=2023,10,"Không xác định")))</f>
        <v>10</v>
      </c>
      <c r="M956" s="15">
        <f>Table134[[#This Row],[avg_number_of_purchases]]*Table1345[[#This Row],[avg_purchase_value]]*Table1345[[#This Row],[expected_lifespan]]</f>
        <v>49329.80320699708</v>
      </c>
      <c r="N956" t="s">
        <v>12047</v>
      </c>
    </row>
    <row r="957" spans="1:14" x14ac:dyDescent="0.3">
      <c r="A957" s="2" t="s">
        <v>955</v>
      </c>
      <c r="B957" s="2" t="s">
        <v>12040</v>
      </c>
      <c r="C957" s="2">
        <v>23</v>
      </c>
      <c r="D957" s="2" t="s">
        <v>12041</v>
      </c>
      <c r="E957" s="2">
        <f>COUNTIF(Table16[customer_id],Table13[[#This Row],[customer_id]])</f>
        <v>3</v>
      </c>
      <c r="F957" s="13">
        <f>SUMIFS(Table16[Purchase_history],Table16[customer_id],Table13[[#This Row],[customer_id]])</f>
        <v>9765.1999999999989</v>
      </c>
      <c r="G957" s="20">
        <v>44742</v>
      </c>
      <c r="H957" s="21">
        <v>44846</v>
      </c>
      <c r="I957" s="15">
        <f>(Table134[[#This Row],[Last_Day]]-Table134[[#This Row],[First_Day]]+1)/365</f>
        <v>0.28767123287671231</v>
      </c>
      <c r="J957" s="59">
        <f>Table134[[#This Row],[number_of_purchases]]/Table134[[#This Row],[customer_total_years]]</f>
        <v>10.428571428571429</v>
      </c>
      <c r="K957" s="13">
        <f>Table134[[#This Row],[purchase_history]]/Table134[[#This Row],[number_of_purchases]]</f>
        <v>3255.0666666666662</v>
      </c>
      <c r="L957" s="2">
        <f>IF(YEAR(Table134[[#This Row],[Last_Day]])=2021,5,IF(YEAR(Table134[[#This Row],[Last_Day]])=2022,7,IF(YEAR(Table134[[#This Row],[Last_Day]])=2023,10,"Không xác định")))</f>
        <v>7</v>
      </c>
      <c r="M957" s="15">
        <f>Table134[[#This Row],[avg_number_of_purchases]]*Table1345[[#This Row],[avg_purchase_value]]*Table1345[[#This Row],[expected_lifespan]]</f>
        <v>237619.86666666664</v>
      </c>
      <c r="N957" t="s">
        <v>12042</v>
      </c>
    </row>
    <row r="958" spans="1:14" x14ac:dyDescent="0.3">
      <c r="A958" s="2" t="s">
        <v>956</v>
      </c>
      <c r="B958" s="2" t="s">
        <v>12040</v>
      </c>
      <c r="C958" s="2">
        <v>58</v>
      </c>
      <c r="D958" s="2" t="s">
        <v>12043</v>
      </c>
      <c r="E958" s="2">
        <f>COUNTIF(Table16[customer_id],Table13[[#This Row],[customer_id]])</f>
        <v>3</v>
      </c>
      <c r="F958" s="13">
        <f>SUMIFS(Table16[Purchase_history],Table16[customer_id],Table13[[#This Row],[customer_id]])</f>
        <v>15166.64</v>
      </c>
      <c r="G958" s="20">
        <v>44364</v>
      </c>
      <c r="H958" s="21">
        <v>44675</v>
      </c>
      <c r="I958" s="15">
        <f>(Table134[[#This Row],[Last_Day]]-Table134[[#This Row],[First_Day]]+1)/365</f>
        <v>0.85479452054794525</v>
      </c>
      <c r="J958" s="59">
        <f>Table134[[#This Row],[number_of_purchases]]/Table134[[#This Row],[customer_total_years]]</f>
        <v>3.5096153846153846</v>
      </c>
      <c r="K958" s="13">
        <f>Table134[[#This Row],[purchase_history]]/Table134[[#This Row],[number_of_purchases]]</f>
        <v>5055.5466666666662</v>
      </c>
      <c r="L958" s="2">
        <f>IF(YEAR(Table134[[#This Row],[Last_Day]])=2021,5,IF(YEAR(Table134[[#This Row],[Last_Day]])=2022,7,IF(YEAR(Table134[[#This Row],[Last_Day]])=2023,10,"Không xác định")))</f>
        <v>7</v>
      </c>
      <c r="M958" s="15">
        <f>Table134[[#This Row],[avg_number_of_purchases]]*Table1345[[#This Row],[avg_purchase_value]]*Table1345[[#This Row],[expected_lifespan]]</f>
        <v>124201.17051282051</v>
      </c>
      <c r="N958" t="s">
        <v>12044</v>
      </c>
    </row>
    <row r="959" spans="1:14" x14ac:dyDescent="0.3">
      <c r="A959" s="2" t="s">
        <v>957</v>
      </c>
      <c r="B959" s="2" t="s">
        <v>12040</v>
      </c>
      <c r="C959" s="2">
        <v>67</v>
      </c>
      <c r="D959" s="2" t="s">
        <v>12041</v>
      </c>
      <c r="E959" s="2">
        <f>COUNTIF(Table16[customer_id],Table13[[#This Row],[customer_id]])</f>
        <v>5</v>
      </c>
      <c r="F959" s="13">
        <f>SUMIFS(Table16[Purchase_history],Table16[customer_id],Table13[[#This Row],[customer_id]])</f>
        <v>6530.7199999999993</v>
      </c>
      <c r="G959" s="20">
        <v>44269</v>
      </c>
      <c r="H959" s="21">
        <v>44803</v>
      </c>
      <c r="I959" s="15">
        <f>(Table134[[#This Row],[Last_Day]]-Table134[[#This Row],[First_Day]]+1)/365</f>
        <v>1.4657534246575343</v>
      </c>
      <c r="J959" s="59">
        <f>Table134[[#This Row],[number_of_purchases]]/Table134[[#This Row],[customer_total_years]]</f>
        <v>3.4112149532710276</v>
      </c>
      <c r="K959" s="13">
        <f>Table134[[#This Row],[purchase_history]]/Table134[[#This Row],[number_of_purchases]]</f>
        <v>1306.1439999999998</v>
      </c>
      <c r="L959" s="2">
        <f>IF(YEAR(Table134[[#This Row],[Last_Day]])=2021,5,IF(YEAR(Table134[[#This Row],[Last_Day]])=2022,7,IF(YEAR(Table134[[#This Row],[Last_Day]])=2023,10,"Không xác định")))</f>
        <v>7</v>
      </c>
      <c r="M959" s="15">
        <f>Table134[[#This Row],[avg_number_of_purchases]]*Table1345[[#This Row],[avg_purchase_value]]*Table1345[[#This Row],[expected_lifespan]]</f>
        <v>31188.765607476624</v>
      </c>
      <c r="N959" t="s">
        <v>12042</v>
      </c>
    </row>
    <row r="960" spans="1:14" x14ac:dyDescent="0.3">
      <c r="A960" s="2" t="s">
        <v>958</v>
      </c>
      <c r="B960" s="2" t="s">
        <v>12040</v>
      </c>
      <c r="C960" s="2">
        <v>38</v>
      </c>
      <c r="D960" s="2" t="s">
        <v>12043</v>
      </c>
      <c r="E960" s="2">
        <f>COUNTIF(Table16[customer_id],Table13[[#This Row],[customer_id]])</f>
        <v>6</v>
      </c>
      <c r="F960" s="13">
        <f>SUMIFS(Table16[Purchase_history],Table16[customer_id],Table13[[#This Row],[customer_id]])</f>
        <v>9415.17</v>
      </c>
      <c r="G960" s="20">
        <v>44371</v>
      </c>
      <c r="H960" s="21">
        <v>44788</v>
      </c>
      <c r="I960" s="15">
        <f>(Table134[[#This Row],[Last_Day]]-Table134[[#This Row],[First_Day]]+1)/365</f>
        <v>1.1452054794520548</v>
      </c>
      <c r="J960" s="59">
        <f>Table134[[#This Row],[number_of_purchases]]/Table134[[#This Row],[customer_total_years]]</f>
        <v>5.2392344497607661</v>
      </c>
      <c r="K960" s="13">
        <f>Table134[[#This Row],[purchase_history]]/Table134[[#This Row],[number_of_purchases]]</f>
        <v>1569.1949999999999</v>
      </c>
      <c r="L960" s="2">
        <f>IF(YEAR(Table134[[#This Row],[Last_Day]])=2021,5,IF(YEAR(Table134[[#This Row],[Last_Day]])=2022,7,IF(YEAR(Table134[[#This Row],[Last_Day]])=2023,10,"Không xác định")))</f>
        <v>7</v>
      </c>
      <c r="M960" s="15">
        <f>Table134[[#This Row],[avg_number_of_purchases]]*Table1345[[#This Row],[avg_purchase_value]]*Table1345[[#This Row],[expected_lifespan]]</f>
        <v>57549.663516746412</v>
      </c>
      <c r="N960" t="s">
        <v>12048</v>
      </c>
    </row>
    <row r="961" spans="1:14" x14ac:dyDescent="0.3">
      <c r="A961" s="2" t="s">
        <v>959</v>
      </c>
      <c r="B961" s="2" t="s">
        <v>12040</v>
      </c>
      <c r="C961" s="2">
        <v>67</v>
      </c>
      <c r="D961" s="2" t="s">
        <v>12041</v>
      </c>
      <c r="E961" s="2">
        <f>COUNTIF(Table16[customer_id],Table13[[#This Row],[customer_id]])</f>
        <v>2</v>
      </c>
      <c r="F961" s="13">
        <f>SUMIFS(Table16[Purchase_history],Table16[customer_id],Table13[[#This Row],[customer_id]])</f>
        <v>7562.6</v>
      </c>
      <c r="G961" s="20">
        <v>44426</v>
      </c>
      <c r="H961" s="21">
        <v>44671</v>
      </c>
      <c r="I961" s="15">
        <f>(Table134[[#This Row],[Last_Day]]-Table134[[#This Row],[First_Day]]+1)/365</f>
        <v>0.67397260273972603</v>
      </c>
      <c r="J961" s="59">
        <f>Table134[[#This Row],[number_of_purchases]]/Table134[[#This Row],[customer_total_years]]</f>
        <v>2.9674796747967478</v>
      </c>
      <c r="K961" s="13">
        <f>Table134[[#This Row],[purchase_history]]/Table134[[#This Row],[number_of_purchases]]</f>
        <v>3781.3</v>
      </c>
      <c r="L961" s="2">
        <f>IF(YEAR(Table134[[#This Row],[Last_Day]])=2021,5,IF(YEAR(Table134[[#This Row],[Last_Day]])=2022,7,IF(YEAR(Table134[[#This Row],[Last_Day]])=2023,10,"Không xác định")))</f>
        <v>7</v>
      </c>
      <c r="M961" s="15">
        <f>Table134[[#This Row],[avg_number_of_purchases]]*Table1345[[#This Row],[avg_purchase_value]]*Table1345[[#This Row],[expected_lifespan]]</f>
        <v>78546.516260162607</v>
      </c>
      <c r="N961" t="s">
        <v>12042</v>
      </c>
    </row>
    <row r="962" spans="1:14" x14ac:dyDescent="0.3">
      <c r="A962" s="2" t="s">
        <v>960</v>
      </c>
      <c r="B962" s="2" t="s">
        <v>12045</v>
      </c>
      <c r="C962" s="2">
        <v>60</v>
      </c>
      <c r="D962" s="2" t="s">
        <v>12049</v>
      </c>
      <c r="E962" s="2">
        <f>COUNTIF(Table16[customer_id],Table13[[#This Row],[customer_id]])</f>
        <v>3</v>
      </c>
      <c r="F962" s="13">
        <f>SUMIFS(Table16[Purchase_history],Table16[customer_id],Table13[[#This Row],[customer_id]])</f>
        <v>9302.49</v>
      </c>
      <c r="G962" s="20">
        <v>44254</v>
      </c>
      <c r="H962" s="21">
        <v>44847</v>
      </c>
      <c r="I962" s="15">
        <f>(Table134[[#This Row],[Last_Day]]-Table134[[#This Row],[First_Day]]+1)/365</f>
        <v>1.6273972602739726</v>
      </c>
      <c r="J962" s="59">
        <f>Table134[[#This Row],[number_of_purchases]]/Table134[[#This Row],[customer_total_years]]</f>
        <v>1.8434343434343434</v>
      </c>
      <c r="K962" s="13">
        <f>Table134[[#This Row],[purchase_history]]/Table134[[#This Row],[number_of_purchases]]</f>
        <v>3100.83</v>
      </c>
      <c r="L962" s="2">
        <f>IF(YEAR(Table134[[#This Row],[Last_Day]])=2021,5,IF(YEAR(Table134[[#This Row],[Last_Day]])=2022,7,IF(YEAR(Table134[[#This Row],[Last_Day]])=2023,10,"Không xác định")))</f>
        <v>7</v>
      </c>
      <c r="M962" s="15">
        <f>Table134[[#This Row],[avg_number_of_purchases]]*Table1345[[#This Row],[avg_purchase_value]]*Table1345[[#This Row],[expected_lifespan]]</f>
        <v>40013.235606060603</v>
      </c>
      <c r="N962" t="s">
        <v>12042</v>
      </c>
    </row>
    <row r="963" spans="1:14" x14ac:dyDescent="0.3">
      <c r="A963" s="2" t="s">
        <v>961</v>
      </c>
      <c r="B963" s="2" t="s">
        <v>12045</v>
      </c>
      <c r="C963" s="2">
        <v>40</v>
      </c>
      <c r="D963" s="2" t="s">
        <v>12041</v>
      </c>
      <c r="E963" s="2">
        <f>COUNTIF(Table16[customer_id],Table13[[#This Row],[customer_id]])</f>
        <v>2</v>
      </c>
      <c r="F963" s="13">
        <f>SUMIFS(Table16[Purchase_history],Table16[customer_id],Table13[[#This Row],[customer_id]])</f>
        <v>2844.0800000000004</v>
      </c>
      <c r="G963" s="20">
        <v>44761</v>
      </c>
      <c r="H963" s="21">
        <v>44965</v>
      </c>
      <c r="I963" s="15">
        <f>(Table134[[#This Row],[Last_Day]]-Table134[[#This Row],[First_Day]]+1)/365</f>
        <v>0.56164383561643838</v>
      </c>
      <c r="J963" s="59">
        <f>Table134[[#This Row],[number_of_purchases]]/Table134[[#This Row],[customer_total_years]]</f>
        <v>3.5609756097560976</v>
      </c>
      <c r="K963" s="13">
        <f>Table134[[#This Row],[purchase_history]]/Table134[[#This Row],[number_of_purchases]]</f>
        <v>1422.0400000000002</v>
      </c>
      <c r="L963" s="2">
        <f>IF(YEAR(Table134[[#This Row],[Last_Day]])=2021,5,IF(YEAR(Table134[[#This Row],[Last_Day]])=2022,7,IF(YEAR(Table134[[#This Row],[Last_Day]])=2023,10,"Không xác định")))</f>
        <v>10</v>
      </c>
      <c r="M963" s="15">
        <f>Table134[[#This Row],[avg_number_of_purchases]]*Table1345[[#This Row],[avg_purchase_value]]*Table1345[[#This Row],[expected_lifespan]]</f>
        <v>50638.497560975622</v>
      </c>
      <c r="N963" t="s">
        <v>12048</v>
      </c>
    </row>
    <row r="964" spans="1:14" x14ac:dyDescent="0.3">
      <c r="A964" s="2" t="s">
        <v>962</v>
      </c>
      <c r="B964" s="2" t="s">
        <v>12045</v>
      </c>
      <c r="C964" s="2">
        <v>29</v>
      </c>
      <c r="D964" s="2" t="s">
        <v>12041</v>
      </c>
      <c r="E964" s="2">
        <f>COUNTIF(Table16[customer_id],Table13[[#This Row],[customer_id]])</f>
        <v>4</v>
      </c>
      <c r="F964" s="13">
        <f>SUMIFS(Table16[Purchase_history],Table16[customer_id],Table13[[#This Row],[customer_id]])</f>
        <v>21067.47</v>
      </c>
      <c r="G964" s="20">
        <v>44302</v>
      </c>
      <c r="H964" s="21">
        <v>44815</v>
      </c>
      <c r="I964" s="15">
        <f>(Table134[[#This Row],[Last_Day]]-Table134[[#This Row],[First_Day]]+1)/365</f>
        <v>1.4082191780821918</v>
      </c>
      <c r="J964" s="59">
        <f>Table134[[#This Row],[number_of_purchases]]/Table134[[#This Row],[customer_total_years]]</f>
        <v>2.840466926070039</v>
      </c>
      <c r="K964" s="13">
        <f>Table134[[#This Row],[purchase_history]]/Table134[[#This Row],[number_of_purchases]]</f>
        <v>5266.8675000000003</v>
      </c>
      <c r="L964" s="2">
        <f>IF(YEAR(Table134[[#This Row],[Last_Day]])=2021,5,IF(YEAR(Table134[[#This Row],[Last_Day]])=2022,7,IF(YEAR(Table134[[#This Row],[Last_Day]])=2023,10,"Không xác định")))</f>
        <v>7</v>
      </c>
      <c r="M964" s="15">
        <f>Table134[[#This Row],[avg_number_of_purchases]]*Table1345[[#This Row],[avg_purchase_value]]*Table1345[[#This Row],[expected_lifespan]]</f>
        <v>104722.54056420234</v>
      </c>
      <c r="N964" t="s">
        <v>12044</v>
      </c>
    </row>
    <row r="965" spans="1:14" x14ac:dyDescent="0.3">
      <c r="A965" s="2" t="s">
        <v>963</v>
      </c>
      <c r="B965" s="2" t="s">
        <v>12045</v>
      </c>
      <c r="C965" s="2">
        <v>40</v>
      </c>
      <c r="D965" s="2" t="s">
        <v>12049</v>
      </c>
      <c r="E965" s="2">
        <f>COUNTIF(Table16[customer_id],Table13[[#This Row],[customer_id]])</f>
        <v>4</v>
      </c>
      <c r="F965" s="13">
        <f>SUMIFS(Table16[Purchase_history],Table16[customer_id],Table13[[#This Row],[customer_id]])</f>
        <v>7618.2699999999995</v>
      </c>
      <c r="G965" s="20">
        <v>44319</v>
      </c>
      <c r="H965" s="21">
        <v>44877</v>
      </c>
      <c r="I965" s="15">
        <f>(Table134[[#This Row],[Last_Day]]-Table134[[#This Row],[First_Day]]+1)/365</f>
        <v>1.5315068493150685</v>
      </c>
      <c r="J965" s="59">
        <f>Table134[[#This Row],[number_of_purchases]]/Table134[[#This Row],[customer_total_years]]</f>
        <v>2.6118067978533093</v>
      </c>
      <c r="K965" s="13">
        <f>Table134[[#This Row],[purchase_history]]/Table134[[#This Row],[number_of_purchases]]</f>
        <v>1904.5674999999999</v>
      </c>
      <c r="L965" s="2">
        <f>IF(YEAR(Table134[[#This Row],[Last_Day]])=2021,5,IF(YEAR(Table134[[#This Row],[Last_Day]])=2022,7,IF(YEAR(Table134[[#This Row],[Last_Day]])=2023,10,"Không xác định")))</f>
        <v>7</v>
      </c>
      <c r="M965" s="15">
        <f>Table134[[#This Row],[avg_number_of_purchases]]*Table1345[[#This Row],[avg_purchase_value]]*Table1345[[#This Row],[expected_lifespan]]</f>
        <v>34820.53640429338</v>
      </c>
      <c r="N965" t="s">
        <v>12044</v>
      </c>
    </row>
    <row r="966" spans="1:14" x14ac:dyDescent="0.3">
      <c r="A966" s="2" t="s">
        <v>964</v>
      </c>
      <c r="B966" s="2" t="s">
        <v>12040</v>
      </c>
      <c r="C966" s="2">
        <v>56</v>
      </c>
      <c r="D966" s="2" t="s">
        <v>12049</v>
      </c>
      <c r="E966" s="2">
        <f>COUNTIF(Table16[customer_id],Table13[[#This Row],[customer_id]])</f>
        <v>4</v>
      </c>
      <c r="F966" s="13">
        <f>SUMIFS(Table16[Purchase_history],Table16[customer_id],Table13[[#This Row],[customer_id]])</f>
        <v>17825.52</v>
      </c>
      <c r="G966" s="20">
        <v>44232</v>
      </c>
      <c r="H966" s="21">
        <v>44986</v>
      </c>
      <c r="I966" s="15">
        <f>(Table134[[#This Row],[Last_Day]]-Table134[[#This Row],[First_Day]]+1)/365</f>
        <v>2.0684931506849313</v>
      </c>
      <c r="J966" s="59">
        <f>Table134[[#This Row],[number_of_purchases]]/Table134[[#This Row],[customer_total_years]]</f>
        <v>1.9337748344370862</v>
      </c>
      <c r="K966" s="13">
        <f>Table134[[#This Row],[purchase_history]]/Table134[[#This Row],[number_of_purchases]]</f>
        <v>4456.38</v>
      </c>
      <c r="L966" s="2">
        <f>IF(YEAR(Table134[[#This Row],[Last_Day]])=2021,5,IF(YEAR(Table134[[#This Row],[Last_Day]])=2022,7,IF(YEAR(Table134[[#This Row],[Last_Day]])=2023,10,"Không xác định")))</f>
        <v>10</v>
      </c>
      <c r="M966" s="15">
        <f>Table134[[#This Row],[avg_number_of_purchases]]*Table1345[[#This Row],[avg_purchase_value]]*Table1345[[#This Row],[expected_lifespan]]</f>
        <v>86176.354966887433</v>
      </c>
      <c r="N966" t="s">
        <v>12047</v>
      </c>
    </row>
    <row r="967" spans="1:14" x14ac:dyDescent="0.3">
      <c r="A967" s="2" t="s">
        <v>965</v>
      </c>
      <c r="B967" s="2" t="s">
        <v>12040</v>
      </c>
      <c r="C967" s="2">
        <v>68</v>
      </c>
      <c r="D967" s="2" t="s">
        <v>12049</v>
      </c>
      <c r="E967" s="2">
        <f>COUNTIF(Table16[customer_id],Table13[[#This Row],[customer_id]])</f>
        <v>8</v>
      </c>
      <c r="F967" s="13">
        <f>SUMIFS(Table16[Purchase_history],Table16[customer_id],Table13[[#This Row],[customer_id]])</f>
        <v>20685.09</v>
      </c>
      <c r="G967" s="20">
        <v>44272</v>
      </c>
      <c r="H967" s="21">
        <v>44982</v>
      </c>
      <c r="I967" s="15">
        <f>(Table134[[#This Row],[Last_Day]]-Table134[[#This Row],[First_Day]]+1)/365</f>
        <v>1.9479452054794522</v>
      </c>
      <c r="J967" s="59">
        <f>Table134[[#This Row],[number_of_purchases]]/Table134[[#This Row],[customer_total_years]]</f>
        <v>4.1068917018284106</v>
      </c>
      <c r="K967" s="13">
        <f>Table134[[#This Row],[purchase_history]]/Table134[[#This Row],[number_of_purchases]]</f>
        <v>2585.63625</v>
      </c>
      <c r="L967" s="2">
        <f>IF(YEAR(Table134[[#This Row],[Last_Day]])=2021,5,IF(YEAR(Table134[[#This Row],[Last_Day]])=2022,7,IF(YEAR(Table134[[#This Row],[Last_Day]])=2023,10,"Không xác định")))</f>
        <v>10</v>
      </c>
      <c r="M967" s="15">
        <f>Table134[[#This Row],[avg_number_of_purchases]]*Table1345[[#This Row],[avg_purchase_value]]*Table1345[[#This Row],[expected_lifespan]]</f>
        <v>106189.2805907173</v>
      </c>
      <c r="N967" t="s">
        <v>12048</v>
      </c>
    </row>
    <row r="968" spans="1:14" x14ac:dyDescent="0.3">
      <c r="A968" s="2" t="s">
        <v>966</v>
      </c>
      <c r="B968" s="2" t="s">
        <v>12040</v>
      </c>
      <c r="C968" s="2">
        <v>56</v>
      </c>
      <c r="D968" s="2" t="s">
        <v>12041</v>
      </c>
      <c r="E968" s="2">
        <f>COUNTIF(Table16[customer_id],Table13[[#This Row],[customer_id]])</f>
        <v>2</v>
      </c>
      <c r="F968" s="13">
        <f>SUMIFS(Table16[Purchase_history],Table16[customer_id],Table13[[#This Row],[customer_id]])</f>
        <v>148.59</v>
      </c>
      <c r="G968" s="20">
        <v>44677</v>
      </c>
      <c r="H968" s="21">
        <v>44899</v>
      </c>
      <c r="I968" s="15">
        <f>(Table134[[#This Row],[Last_Day]]-Table134[[#This Row],[First_Day]]+1)/365</f>
        <v>0.61095890410958908</v>
      </c>
      <c r="J968" s="59">
        <f>Table134[[#This Row],[number_of_purchases]]/Table134[[#This Row],[customer_total_years]]</f>
        <v>3.2735426008968607</v>
      </c>
      <c r="K968" s="13">
        <f>Table134[[#This Row],[purchase_history]]/Table134[[#This Row],[number_of_purchases]]</f>
        <v>74.295000000000002</v>
      </c>
      <c r="L968" s="2">
        <f>IF(YEAR(Table134[[#This Row],[Last_Day]])=2021,5,IF(YEAR(Table134[[#This Row],[Last_Day]])=2022,7,IF(YEAR(Table134[[#This Row],[Last_Day]])=2023,10,"Không xác định")))</f>
        <v>7</v>
      </c>
      <c r="M968" s="15">
        <f>Table134[[#This Row],[avg_number_of_purchases]]*Table1345[[#This Row],[avg_purchase_value]]*Table1345[[#This Row],[expected_lifespan]]</f>
        <v>1702.4549327354259</v>
      </c>
      <c r="N968" t="s">
        <v>12048</v>
      </c>
    </row>
    <row r="969" spans="1:14" x14ac:dyDescent="0.3">
      <c r="A969" s="2" t="s">
        <v>967</v>
      </c>
      <c r="B969" s="2" t="s">
        <v>12040</v>
      </c>
      <c r="C969" s="2">
        <v>55</v>
      </c>
      <c r="D969" s="2" t="s">
        <v>12043</v>
      </c>
      <c r="E969" s="2">
        <f>COUNTIF(Table16[customer_id],Table13[[#This Row],[customer_id]])</f>
        <v>7</v>
      </c>
      <c r="F969" s="13">
        <f>SUMIFS(Table16[Purchase_history],Table16[customer_id],Table13[[#This Row],[customer_id]])</f>
        <v>5593.0499999999993</v>
      </c>
      <c r="G969" s="20">
        <v>44353</v>
      </c>
      <c r="H969" s="21">
        <v>44910</v>
      </c>
      <c r="I969" s="15">
        <f>(Table134[[#This Row],[Last_Day]]-Table134[[#This Row],[First_Day]]+1)/365</f>
        <v>1.5287671232876712</v>
      </c>
      <c r="J969" s="59">
        <f>Table134[[#This Row],[number_of_purchases]]/Table134[[#This Row],[customer_total_years]]</f>
        <v>4.5788530465949826</v>
      </c>
      <c r="K969" s="13">
        <f>Table134[[#This Row],[purchase_history]]/Table134[[#This Row],[number_of_purchases]]</f>
        <v>799.00714285714275</v>
      </c>
      <c r="L969" s="2">
        <f>IF(YEAR(Table134[[#This Row],[Last_Day]])=2021,5,IF(YEAR(Table134[[#This Row],[Last_Day]])=2022,7,IF(YEAR(Table134[[#This Row],[Last_Day]])=2023,10,"Không xác định")))</f>
        <v>7</v>
      </c>
      <c r="M969" s="15">
        <f>Table134[[#This Row],[avg_number_of_purchases]]*Table1345[[#This Row],[avg_purchase_value]]*Table1345[[#This Row],[expected_lifespan]]</f>
        <v>25609.754032258064</v>
      </c>
      <c r="N969" t="s">
        <v>12042</v>
      </c>
    </row>
    <row r="970" spans="1:14" x14ac:dyDescent="0.3">
      <c r="A970" s="2" t="s">
        <v>968</v>
      </c>
      <c r="B970" s="2" t="s">
        <v>12045</v>
      </c>
      <c r="C970" s="2">
        <v>38</v>
      </c>
      <c r="D970" s="2" t="s">
        <v>12043</v>
      </c>
      <c r="E970" s="2">
        <f>COUNTIF(Table16[customer_id],Table13[[#This Row],[customer_id]])</f>
        <v>5</v>
      </c>
      <c r="F970" s="13">
        <f>SUMIFS(Table16[Purchase_history],Table16[customer_id],Table13[[#This Row],[customer_id]])</f>
        <v>9076.84</v>
      </c>
      <c r="G970" s="20">
        <v>44204</v>
      </c>
      <c r="H970" s="21">
        <v>44938</v>
      </c>
      <c r="I970" s="15">
        <f>(Table134[[#This Row],[Last_Day]]-Table134[[#This Row],[First_Day]]+1)/365</f>
        <v>2.0136986301369864</v>
      </c>
      <c r="J970" s="59">
        <f>Table134[[#This Row],[number_of_purchases]]/Table134[[#This Row],[customer_total_years]]</f>
        <v>2.4829931972789114</v>
      </c>
      <c r="K970" s="13">
        <f>Table134[[#This Row],[purchase_history]]/Table134[[#This Row],[number_of_purchases]]</f>
        <v>1815.3679999999999</v>
      </c>
      <c r="L970" s="2">
        <f>IF(YEAR(Table134[[#This Row],[Last_Day]])=2021,5,IF(YEAR(Table134[[#This Row],[Last_Day]])=2022,7,IF(YEAR(Table134[[#This Row],[Last_Day]])=2023,10,"Không xác định")))</f>
        <v>10</v>
      </c>
      <c r="M970" s="15">
        <f>Table134[[#This Row],[avg_number_of_purchases]]*Table1345[[#This Row],[avg_purchase_value]]*Table1345[[#This Row],[expected_lifespan]]</f>
        <v>45075.463945578231</v>
      </c>
      <c r="N970" t="s">
        <v>12047</v>
      </c>
    </row>
    <row r="971" spans="1:14" x14ac:dyDescent="0.3">
      <c r="A971" s="2" t="s">
        <v>969</v>
      </c>
      <c r="B971" s="2" t="s">
        <v>12045</v>
      </c>
      <c r="C971" s="2">
        <v>69</v>
      </c>
      <c r="D971" s="2" t="s">
        <v>12043</v>
      </c>
      <c r="E971" s="2">
        <f>COUNTIF(Table16[customer_id],Table13[[#This Row],[customer_id]])</f>
        <v>7</v>
      </c>
      <c r="F971" s="13">
        <f>SUMIFS(Table16[Purchase_history],Table16[customer_id],Table13[[#This Row],[customer_id]])</f>
        <v>6941.04</v>
      </c>
      <c r="G971" s="20">
        <v>44369</v>
      </c>
      <c r="H971" s="21">
        <v>44977</v>
      </c>
      <c r="I971" s="15">
        <f>(Table134[[#This Row],[Last_Day]]-Table134[[#This Row],[First_Day]]+1)/365</f>
        <v>1.6684931506849314</v>
      </c>
      <c r="J971" s="59">
        <f>Table134[[#This Row],[number_of_purchases]]/Table134[[#This Row],[customer_total_years]]</f>
        <v>4.195402298850575</v>
      </c>
      <c r="K971" s="13">
        <f>Table134[[#This Row],[purchase_history]]/Table134[[#This Row],[number_of_purchases]]</f>
        <v>991.5771428571428</v>
      </c>
      <c r="L971" s="2">
        <f>IF(YEAR(Table134[[#This Row],[Last_Day]])=2021,5,IF(YEAR(Table134[[#This Row],[Last_Day]])=2022,7,IF(YEAR(Table134[[#This Row],[Last_Day]])=2023,10,"Không xác định")))</f>
        <v>10</v>
      </c>
      <c r="M971" s="15">
        <f>Table134[[#This Row],[avg_number_of_purchases]]*Table1345[[#This Row],[avg_purchase_value]]*Table1345[[#This Row],[expected_lifespan]]</f>
        <v>41600.65024630542</v>
      </c>
      <c r="N971" t="s">
        <v>12048</v>
      </c>
    </row>
    <row r="972" spans="1:14" x14ac:dyDescent="0.3">
      <c r="A972" s="2" t="s">
        <v>970</v>
      </c>
      <c r="B972" s="2" t="s">
        <v>12045</v>
      </c>
      <c r="C972" s="2">
        <v>19</v>
      </c>
      <c r="D972" s="2" t="s">
        <v>12043</v>
      </c>
      <c r="E972" s="2">
        <f>COUNTIF(Table16[customer_id],Table13[[#This Row],[customer_id]])</f>
        <v>5</v>
      </c>
      <c r="F972" s="13">
        <f>SUMIFS(Table16[Purchase_history],Table16[customer_id],Table13[[#This Row],[customer_id]])</f>
        <v>43654.64</v>
      </c>
      <c r="G972" s="20">
        <v>44615</v>
      </c>
      <c r="H972" s="21">
        <v>44967</v>
      </c>
      <c r="I972" s="15">
        <f>(Table134[[#This Row],[Last_Day]]-Table134[[#This Row],[First_Day]]+1)/365</f>
        <v>0.9671232876712329</v>
      </c>
      <c r="J972" s="59">
        <f>Table134[[#This Row],[number_of_purchases]]/Table134[[#This Row],[customer_total_years]]</f>
        <v>5.1699716713881019</v>
      </c>
      <c r="K972" s="13">
        <f>Table134[[#This Row],[purchase_history]]/Table134[[#This Row],[number_of_purchases]]</f>
        <v>8730.9279999999999</v>
      </c>
      <c r="L972" s="2">
        <f>IF(YEAR(Table134[[#This Row],[Last_Day]])=2021,5,IF(YEAR(Table134[[#This Row],[Last_Day]])=2022,7,IF(YEAR(Table134[[#This Row],[Last_Day]])=2023,10,"Không xác định")))</f>
        <v>10</v>
      </c>
      <c r="M972" s="15">
        <f>Table134[[#This Row],[avg_number_of_purchases]]*Table1345[[#This Row],[avg_purchase_value]]*Table1345[[#This Row],[expected_lifespan]]</f>
        <v>451386.50424929173</v>
      </c>
      <c r="N972" t="s">
        <v>12044</v>
      </c>
    </row>
    <row r="973" spans="1:14" x14ac:dyDescent="0.3">
      <c r="A973" s="2" t="s">
        <v>971</v>
      </c>
      <c r="B973" s="2" t="s">
        <v>12040</v>
      </c>
      <c r="C973" s="2">
        <v>20</v>
      </c>
      <c r="D973" s="2" t="s">
        <v>12041</v>
      </c>
      <c r="E973" s="2">
        <f>COUNTIF(Table16[customer_id],Table13[[#This Row],[customer_id]])</f>
        <v>4</v>
      </c>
      <c r="F973" s="13">
        <f>SUMIFS(Table16[Purchase_history],Table16[customer_id],Table13[[#This Row],[customer_id]])</f>
        <v>22351.78</v>
      </c>
      <c r="G973" s="20">
        <v>44776</v>
      </c>
      <c r="H973" s="21">
        <v>44904</v>
      </c>
      <c r="I973" s="15">
        <f>(Table134[[#This Row],[Last_Day]]-Table134[[#This Row],[First_Day]]+1)/365</f>
        <v>0.35342465753424657</v>
      </c>
      <c r="J973" s="59">
        <f>Table134[[#This Row],[number_of_purchases]]/Table134[[#This Row],[customer_total_years]]</f>
        <v>11.317829457364342</v>
      </c>
      <c r="K973" s="13">
        <f>Table134[[#This Row],[purchase_history]]/Table134[[#This Row],[number_of_purchases]]</f>
        <v>5587.9449999999997</v>
      </c>
      <c r="L973" s="2">
        <f>IF(YEAR(Table134[[#This Row],[Last_Day]])=2021,5,IF(YEAR(Table134[[#This Row],[Last_Day]])=2022,7,IF(YEAR(Table134[[#This Row],[Last_Day]])=2023,10,"Không xác định")))</f>
        <v>7</v>
      </c>
      <c r="M973" s="15">
        <f>Table134[[#This Row],[avg_number_of_purchases]]*Table1345[[#This Row],[avg_purchase_value]]*Table1345[[#This Row],[expected_lifespan]]</f>
        <v>442703.85968992248</v>
      </c>
      <c r="N973" t="s">
        <v>12042</v>
      </c>
    </row>
    <row r="974" spans="1:14" x14ac:dyDescent="0.3">
      <c r="A974" s="2" t="s">
        <v>972</v>
      </c>
      <c r="B974" s="2" t="s">
        <v>12045</v>
      </c>
      <c r="C974" s="2">
        <v>44</v>
      </c>
      <c r="D974" s="2" t="s">
        <v>12041</v>
      </c>
      <c r="E974" s="2">
        <f>COUNTIF(Table16[customer_id],Table13[[#This Row],[customer_id]])</f>
        <v>6</v>
      </c>
      <c r="F974" s="13">
        <f>SUMIFS(Table16[Purchase_history],Table16[customer_id],Table13[[#This Row],[customer_id]])</f>
        <v>5970.44</v>
      </c>
      <c r="G974" s="20">
        <v>44250</v>
      </c>
      <c r="H974" s="21">
        <v>44828</v>
      </c>
      <c r="I974" s="15">
        <f>(Table134[[#This Row],[Last_Day]]-Table134[[#This Row],[First_Day]]+1)/365</f>
        <v>1.5863013698630137</v>
      </c>
      <c r="J974" s="59">
        <f>Table134[[#This Row],[number_of_purchases]]/Table134[[#This Row],[customer_total_years]]</f>
        <v>3.7823834196891193</v>
      </c>
      <c r="K974" s="13">
        <f>Table134[[#This Row],[purchase_history]]/Table134[[#This Row],[number_of_purchases]]</f>
        <v>995.07333333333327</v>
      </c>
      <c r="L974" s="2">
        <f>IF(YEAR(Table134[[#This Row],[Last_Day]])=2021,5,IF(YEAR(Table134[[#This Row],[Last_Day]])=2022,7,IF(YEAR(Table134[[#This Row],[Last_Day]])=2023,10,"Không xác định")))</f>
        <v>7</v>
      </c>
      <c r="M974" s="15">
        <f>Table134[[#This Row],[avg_number_of_purchases]]*Table1345[[#This Row],[avg_purchase_value]]*Table1345[[#This Row],[expected_lifespan]]</f>
        <v>26346.24214162349</v>
      </c>
      <c r="N974" t="s">
        <v>12047</v>
      </c>
    </row>
    <row r="975" spans="1:14" x14ac:dyDescent="0.3">
      <c r="A975" s="2" t="s">
        <v>973</v>
      </c>
      <c r="B975" s="2" t="s">
        <v>12045</v>
      </c>
      <c r="C975" s="2">
        <v>66</v>
      </c>
      <c r="D975" s="2" t="s">
        <v>12041</v>
      </c>
      <c r="E975" s="2">
        <f>COUNTIF(Table16[customer_id],Table13[[#This Row],[customer_id]])</f>
        <v>3</v>
      </c>
      <c r="F975" s="13">
        <f>SUMIFS(Table16[Purchase_history],Table16[customer_id],Table13[[#This Row],[customer_id]])</f>
        <v>27490.98</v>
      </c>
      <c r="G975" s="20">
        <v>44244</v>
      </c>
      <c r="H975" s="21">
        <v>44358</v>
      </c>
      <c r="I975" s="15">
        <f>(Table134[[#This Row],[Last_Day]]-Table134[[#This Row],[First_Day]]+1)/365</f>
        <v>0.31506849315068491</v>
      </c>
      <c r="J975" s="59">
        <f>Table134[[#This Row],[number_of_purchases]]/Table134[[#This Row],[customer_total_years]]</f>
        <v>9.5217391304347831</v>
      </c>
      <c r="K975" s="13">
        <f>Table134[[#This Row],[purchase_history]]/Table134[[#This Row],[number_of_purchases]]</f>
        <v>9163.66</v>
      </c>
      <c r="L975" s="2">
        <f>IF(YEAR(Table134[[#This Row],[Last_Day]])=2021,5,IF(YEAR(Table134[[#This Row],[Last_Day]])=2022,7,IF(YEAR(Table134[[#This Row],[Last_Day]])=2023,10,"Không xác định")))</f>
        <v>5</v>
      </c>
      <c r="M975" s="15">
        <f>Table134[[#This Row],[avg_number_of_purchases]]*Table1345[[#This Row],[avg_purchase_value]]*Table1345[[#This Row],[expected_lifespan]]</f>
        <v>436269.9</v>
      </c>
      <c r="N975" t="s">
        <v>12042</v>
      </c>
    </row>
    <row r="976" spans="1:14" x14ac:dyDescent="0.3">
      <c r="A976" s="2" t="s">
        <v>974</v>
      </c>
      <c r="B976" s="2" t="s">
        <v>12040</v>
      </c>
      <c r="C976" s="2">
        <v>56</v>
      </c>
      <c r="D976" s="2" t="s">
        <v>12041</v>
      </c>
      <c r="E976" s="2">
        <f>COUNTIF(Table16[customer_id],Table13[[#This Row],[customer_id]])</f>
        <v>5</v>
      </c>
      <c r="F976" s="13">
        <f>SUMIFS(Table16[Purchase_history],Table16[customer_id],Table13[[#This Row],[customer_id]])</f>
        <v>9578.75</v>
      </c>
      <c r="G976" s="20">
        <v>44268</v>
      </c>
      <c r="H976" s="21">
        <v>44986</v>
      </c>
      <c r="I976" s="15">
        <f>(Table134[[#This Row],[Last_Day]]-Table134[[#This Row],[First_Day]]+1)/365</f>
        <v>1.9698630136986301</v>
      </c>
      <c r="J976" s="59">
        <f>Table134[[#This Row],[number_of_purchases]]/Table134[[#This Row],[customer_total_years]]</f>
        <v>2.5382475660639776</v>
      </c>
      <c r="K976" s="13">
        <f>Table134[[#This Row],[purchase_history]]/Table134[[#This Row],[number_of_purchases]]</f>
        <v>1915.75</v>
      </c>
      <c r="L976" s="2">
        <f>IF(YEAR(Table134[[#This Row],[Last_Day]])=2021,5,IF(YEAR(Table134[[#This Row],[Last_Day]])=2022,7,IF(YEAR(Table134[[#This Row],[Last_Day]])=2023,10,"Không xác định")))</f>
        <v>10</v>
      </c>
      <c r="M976" s="15">
        <f>Table134[[#This Row],[avg_number_of_purchases]]*Table1345[[#This Row],[avg_purchase_value]]*Table1345[[#This Row],[expected_lifespan]]</f>
        <v>48626.477746870652</v>
      </c>
      <c r="N976" t="s">
        <v>12047</v>
      </c>
    </row>
    <row r="977" spans="1:14" x14ac:dyDescent="0.3">
      <c r="A977" s="2" t="s">
        <v>975</v>
      </c>
      <c r="B977" s="2" t="s">
        <v>12040</v>
      </c>
      <c r="C977" s="2">
        <v>59</v>
      </c>
      <c r="D977" s="2" t="s">
        <v>12041</v>
      </c>
      <c r="E977" s="2">
        <f>COUNTIF(Table16[customer_id],Table13[[#This Row],[customer_id]])</f>
        <v>2</v>
      </c>
      <c r="F977" s="13">
        <f>SUMIFS(Table16[Purchase_history],Table16[customer_id],Table13[[#This Row],[customer_id]])</f>
        <v>2747.6400000000003</v>
      </c>
      <c r="G977" s="20">
        <v>44332</v>
      </c>
      <c r="H977" s="21">
        <v>44657</v>
      </c>
      <c r="I977" s="15">
        <f>(Table134[[#This Row],[Last_Day]]-Table134[[#This Row],[First_Day]]+1)/365</f>
        <v>0.89315068493150684</v>
      </c>
      <c r="J977" s="59">
        <f>Table134[[#This Row],[number_of_purchases]]/Table134[[#This Row],[customer_total_years]]</f>
        <v>2.2392638036809815</v>
      </c>
      <c r="K977" s="13">
        <f>Table134[[#This Row],[purchase_history]]/Table134[[#This Row],[number_of_purchases]]</f>
        <v>1373.8200000000002</v>
      </c>
      <c r="L977" s="2">
        <f>IF(YEAR(Table134[[#This Row],[Last_Day]])=2021,5,IF(YEAR(Table134[[#This Row],[Last_Day]])=2022,7,IF(YEAR(Table134[[#This Row],[Last_Day]])=2023,10,"Không xác định")))</f>
        <v>7</v>
      </c>
      <c r="M977" s="15">
        <f>Table134[[#This Row],[avg_number_of_purchases]]*Table1345[[#This Row],[avg_purchase_value]]*Table1345[[#This Row],[expected_lifespan]]</f>
        <v>21534.417791411044</v>
      </c>
      <c r="N977" t="s">
        <v>12044</v>
      </c>
    </row>
    <row r="978" spans="1:14" x14ac:dyDescent="0.3">
      <c r="A978" s="2" t="s">
        <v>976</v>
      </c>
      <c r="B978" s="2" t="s">
        <v>12040</v>
      </c>
      <c r="C978" s="2">
        <v>18</v>
      </c>
      <c r="D978" s="2" t="s">
        <v>12043</v>
      </c>
      <c r="E978" s="2">
        <f>COUNTIF(Table16[customer_id],Table13[[#This Row],[customer_id]])</f>
        <v>2</v>
      </c>
      <c r="F978" s="13">
        <f>SUMIFS(Table16[Purchase_history],Table16[customer_id],Table13[[#This Row],[customer_id]])</f>
        <v>697.63</v>
      </c>
      <c r="G978" s="20">
        <v>44207</v>
      </c>
      <c r="H978" s="21">
        <v>44773</v>
      </c>
      <c r="I978" s="15">
        <f>(Table134[[#This Row],[Last_Day]]-Table134[[#This Row],[First_Day]]+1)/365</f>
        <v>1.5534246575342465</v>
      </c>
      <c r="J978" s="59">
        <f>Table134[[#This Row],[number_of_purchases]]/Table134[[#This Row],[customer_total_years]]</f>
        <v>1.2874779541446209</v>
      </c>
      <c r="K978" s="13">
        <f>Table134[[#This Row],[purchase_history]]/Table134[[#This Row],[number_of_purchases]]</f>
        <v>348.815</v>
      </c>
      <c r="L978" s="2">
        <f>IF(YEAR(Table134[[#This Row],[Last_Day]])=2021,5,IF(YEAR(Table134[[#This Row],[Last_Day]])=2022,7,IF(YEAR(Table134[[#This Row],[Last_Day]])=2023,10,"Không xác định")))</f>
        <v>7</v>
      </c>
      <c r="M978" s="15">
        <f>Table134[[#This Row],[avg_number_of_purchases]]*Table1345[[#This Row],[avg_purchase_value]]*Table1345[[#This Row],[expected_lifespan]]</f>
        <v>3143.6413580246913</v>
      </c>
      <c r="N978" t="s">
        <v>12046</v>
      </c>
    </row>
    <row r="979" spans="1:14" x14ac:dyDescent="0.3">
      <c r="A979" s="2" t="s">
        <v>977</v>
      </c>
      <c r="B979" s="2" t="s">
        <v>12040</v>
      </c>
      <c r="C979" s="2">
        <v>22</v>
      </c>
      <c r="D979" s="2" t="s">
        <v>12041</v>
      </c>
      <c r="E979" s="2">
        <f>COUNTIF(Table16[customer_id],Table13[[#This Row],[customer_id]])</f>
        <v>4</v>
      </c>
      <c r="F979" s="13">
        <f>SUMIFS(Table16[Purchase_history],Table16[customer_id],Table13[[#This Row],[customer_id]])</f>
        <v>20583.599999999999</v>
      </c>
      <c r="G979" s="20">
        <v>44373</v>
      </c>
      <c r="H979" s="21">
        <v>44841</v>
      </c>
      <c r="I979" s="15">
        <f>(Table134[[#This Row],[Last_Day]]-Table134[[#This Row],[First_Day]]+1)/365</f>
        <v>1.284931506849315</v>
      </c>
      <c r="J979" s="59">
        <f>Table134[[#This Row],[number_of_purchases]]/Table134[[#This Row],[customer_total_years]]</f>
        <v>3.1130063965884864</v>
      </c>
      <c r="K979" s="13">
        <f>Table134[[#This Row],[purchase_history]]/Table134[[#This Row],[number_of_purchases]]</f>
        <v>5145.8999999999996</v>
      </c>
      <c r="L979" s="2">
        <f>IF(YEAR(Table134[[#This Row],[Last_Day]])=2021,5,IF(YEAR(Table134[[#This Row],[Last_Day]])=2022,7,IF(YEAR(Table134[[#This Row],[Last_Day]])=2023,10,"Không xác định")))</f>
        <v>7</v>
      </c>
      <c r="M979" s="15">
        <f>Table134[[#This Row],[avg_number_of_purchases]]*Table1345[[#This Row],[avg_purchase_value]]*Table1345[[#This Row],[expected_lifespan]]</f>
        <v>112134.53731343284</v>
      </c>
      <c r="N979" t="s">
        <v>12047</v>
      </c>
    </row>
    <row r="980" spans="1:14" x14ac:dyDescent="0.3">
      <c r="A980" s="2" t="s">
        <v>978</v>
      </c>
      <c r="B980" s="2" t="s">
        <v>12045</v>
      </c>
      <c r="C980" s="2">
        <v>52</v>
      </c>
      <c r="D980" s="2" t="s">
        <v>12041</v>
      </c>
      <c r="E980" s="2">
        <f>COUNTIF(Table16[customer_id],Table13[[#This Row],[customer_id]])</f>
        <v>4</v>
      </c>
      <c r="F980" s="13">
        <f>SUMIFS(Table16[Purchase_history],Table16[customer_id],Table13[[#This Row],[customer_id]])</f>
        <v>27757.440000000002</v>
      </c>
      <c r="G980" s="20">
        <v>44223</v>
      </c>
      <c r="H980" s="21">
        <v>44816</v>
      </c>
      <c r="I980" s="15">
        <f>(Table134[[#This Row],[Last_Day]]-Table134[[#This Row],[First_Day]]+1)/365</f>
        <v>1.6273972602739726</v>
      </c>
      <c r="J980" s="59">
        <f>Table134[[#This Row],[number_of_purchases]]/Table134[[#This Row],[customer_total_years]]</f>
        <v>2.457912457912458</v>
      </c>
      <c r="K980" s="13">
        <f>Table134[[#This Row],[purchase_history]]/Table134[[#This Row],[number_of_purchases]]</f>
        <v>6939.3600000000006</v>
      </c>
      <c r="L980" s="2">
        <f>IF(YEAR(Table134[[#This Row],[Last_Day]])=2021,5,IF(YEAR(Table134[[#This Row],[Last_Day]])=2022,7,IF(YEAR(Table134[[#This Row],[Last_Day]])=2023,10,"Không xác định")))</f>
        <v>7</v>
      </c>
      <c r="M980" s="15">
        <f>Table134[[#This Row],[avg_number_of_purchases]]*Table1345[[#This Row],[avg_purchase_value]]*Table1345[[#This Row],[expected_lifespan]]</f>
        <v>119394.37575757578</v>
      </c>
      <c r="N980" t="s">
        <v>12047</v>
      </c>
    </row>
    <row r="981" spans="1:14" x14ac:dyDescent="0.3">
      <c r="A981" s="2" t="s">
        <v>979</v>
      </c>
      <c r="B981" s="2" t="s">
        <v>12040</v>
      </c>
      <c r="C981" s="2">
        <v>39</v>
      </c>
      <c r="D981" s="2" t="s">
        <v>12049</v>
      </c>
      <c r="E981" s="2">
        <f>COUNTIF(Table16[customer_id],Table13[[#This Row],[customer_id]])</f>
        <v>8</v>
      </c>
      <c r="F981" s="13">
        <f>SUMIFS(Table16[Purchase_history],Table16[customer_id],Table13[[#This Row],[customer_id]])</f>
        <v>12818.189999999999</v>
      </c>
      <c r="G981" s="20">
        <v>44260</v>
      </c>
      <c r="H981" s="21">
        <v>44933</v>
      </c>
      <c r="I981" s="15">
        <f>(Table134[[#This Row],[Last_Day]]-Table134[[#This Row],[First_Day]]+1)/365</f>
        <v>1.8465753424657534</v>
      </c>
      <c r="J981" s="59">
        <f>Table134[[#This Row],[number_of_purchases]]/Table134[[#This Row],[customer_total_years]]</f>
        <v>4.3323442136498516</v>
      </c>
      <c r="K981" s="13">
        <f>Table134[[#This Row],[purchase_history]]/Table134[[#This Row],[number_of_purchases]]</f>
        <v>1602.2737499999998</v>
      </c>
      <c r="L981" s="2">
        <f>IF(YEAR(Table134[[#This Row],[Last_Day]])=2021,5,IF(YEAR(Table134[[#This Row],[Last_Day]])=2022,7,IF(YEAR(Table134[[#This Row],[Last_Day]])=2023,10,"Không xác định")))</f>
        <v>10</v>
      </c>
      <c r="M981" s="15">
        <f>Table134[[#This Row],[avg_number_of_purchases]]*Table1345[[#This Row],[avg_purchase_value]]*Table1345[[#This Row],[expected_lifespan]]</f>
        <v>69416.014094955477</v>
      </c>
      <c r="N981" t="s">
        <v>12047</v>
      </c>
    </row>
    <row r="982" spans="1:14" x14ac:dyDescent="0.3">
      <c r="A982" s="2" t="s">
        <v>980</v>
      </c>
      <c r="B982" s="2" t="s">
        <v>12045</v>
      </c>
      <c r="C982" s="2">
        <v>29</v>
      </c>
      <c r="D982" s="2" t="s">
        <v>12041</v>
      </c>
      <c r="E982" s="2">
        <f>COUNTIF(Table16[customer_id],Table13[[#This Row],[customer_id]])</f>
        <v>5</v>
      </c>
      <c r="F982" s="13">
        <f>SUMIFS(Table16[Purchase_history],Table16[customer_id],Table13[[#This Row],[customer_id]])</f>
        <v>713.89</v>
      </c>
      <c r="G982" s="20">
        <v>44254</v>
      </c>
      <c r="H982" s="21">
        <v>44754</v>
      </c>
      <c r="I982" s="15">
        <f>(Table134[[#This Row],[Last_Day]]-Table134[[#This Row],[First_Day]]+1)/365</f>
        <v>1.3726027397260274</v>
      </c>
      <c r="J982" s="59">
        <f>Table134[[#This Row],[number_of_purchases]]/Table134[[#This Row],[customer_total_years]]</f>
        <v>3.6427145708582835</v>
      </c>
      <c r="K982" s="13">
        <f>Table134[[#This Row],[purchase_history]]/Table134[[#This Row],[number_of_purchases]]</f>
        <v>142.77799999999999</v>
      </c>
      <c r="L982" s="2">
        <f>IF(YEAR(Table134[[#This Row],[Last_Day]])=2021,5,IF(YEAR(Table134[[#This Row],[Last_Day]])=2022,7,IF(YEAR(Table134[[#This Row],[Last_Day]])=2023,10,"Không xác định")))</f>
        <v>7</v>
      </c>
      <c r="M982" s="15">
        <f>Table134[[#This Row],[avg_number_of_purchases]]*Table1345[[#This Row],[avg_purchase_value]]*Table1345[[#This Row],[expected_lifespan]]</f>
        <v>3640.696506986028</v>
      </c>
      <c r="N982" t="s">
        <v>12048</v>
      </c>
    </row>
    <row r="983" spans="1:14" x14ac:dyDescent="0.3">
      <c r="A983" s="2" t="s">
        <v>981</v>
      </c>
      <c r="B983" s="2" t="s">
        <v>12045</v>
      </c>
      <c r="C983" s="2">
        <v>66</v>
      </c>
      <c r="D983" s="2" t="s">
        <v>12043</v>
      </c>
      <c r="E983" s="2">
        <f>COUNTIF(Table16[customer_id],Table13[[#This Row],[customer_id]])</f>
        <v>2</v>
      </c>
      <c r="F983" s="13">
        <f>SUMIFS(Table16[Purchase_history],Table16[customer_id],Table13[[#This Row],[customer_id]])</f>
        <v>4806.5099999999993</v>
      </c>
      <c r="G983" s="20">
        <v>44708</v>
      </c>
      <c r="H983" s="21">
        <v>44719</v>
      </c>
      <c r="I983" s="15">
        <f>(Table134[[#This Row],[Last_Day]]-Table134[[#This Row],[First_Day]]+1)/365</f>
        <v>3.287671232876712E-2</v>
      </c>
      <c r="J983" s="59">
        <f>Table134[[#This Row],[number_of_purchases]]/Table134[[#This Row],[customer_total_years]]</f>
        <v>60.833333333333343</v>
      </c>
      <c r="K983" s="13">
        <f>Table134[[#This Row],[purchase_history]]/Table134[[#This Row],[number_of_purchases]]</f>
        <v>2403.2549999999997</v>
      </c>
      <c r="L983" s="2">
        <f>IF(YEAR(Table134[[#This Row],[Last_Day]])=2021,5,IF(YEAR(Table134[[#This Row],[Last_Day]])=2022,7,IF(YEAR(Table134[[#This Row],[Last_Day]])=2023,10,"Không xác định")))</f>
        <v>7</v>
      </c>
      <c r="M983" s="15">
        <f>Table134[[#This Row],[avg_number_of_purchases]]*Table1345[[#This Row],[avg_purchase_value]]*Table1345[[#This Row],[expected_lifespan]]</f>
        <v>1023386.0875000001</v>
      </c>
      <c r="N983" t="s">
        <v>12042</v>
      </c>
    </row>
    <row r="984" spans="1:14" x14ac:dyDescent="0.3">
      <c r="A984" s="2" t="s">
        <v>982</v>
      </c>
      <c r="B984" s="2" t="s">
        <v>12040</v>
      </c>
      <c r="C984" s="2">
        <v>41</v>
      </c>
      <c r="D984" s="2" t="s">
        <v>12043</v>
      </c>
      <c r="E984" s="2">
        <f>COUNTIF(Table16[customer_id],Table13[[#This Row],[customer_id]])</f>
        <v>5</v>
      </c>
      <c r="F984" s="13">
        <f>SUMIFS(Table16[Purchase_history],Table16[customer_id],Table13[[#This Row],[customer_id]])</f>
        <v>1505.23</v>
      </c>
      <c r="G984" s="20">
        <v>44201</v>
      </c>
      <c r="H984" s="21">
        <v>44992</v>
      </c>
      <c r="I984" s="15">
        <f>(Table134[[#This Row],[Last_Day]]-Table134[[#This Row],[First_Day]]+1)/365</f>
        <v>2.1698630136986301</v>
      </c>
      <c r="J984" s="59">
        <f>Table134[[#This Row],[number_of_purchases]]/Table134[[#This Row],[customer_total_years]]</f>
        <v>2.3042929292929295</v>
      </c>
      <c r="K984" s="13">
        <f>Table134[[#This Row],[purchase_history]]/Table134[[#This Row],[number_of_purchases]]</f>
        <v>301.04599999999999</v>
      </c>
      <c r="L984" s="2">
        <f>IF(YEAR(Table134[[#This Row],[Last_Day]])=2021,5,IF(YEAR(Table134[[#This Row],[Last_Day]])=2022,7,IF(YEAR(Table134[[#This Row],[Last_Day]])=2023,10,"Không xác định")))</f>
        <v>10</v>
      </c>
      <c r="M984" s="15">
        <f>Table134[[#This Row],[avg_number_of_purchases]]*Table1345[[#This Row],[avg_purchase_value]]*Table1345[[#This Row],[expected_lifespan]]</f>
        <v>6936.9816919191917</v>
      </c>
      <c r="N984" t="s">
        <v>12046</v>
      </c>
    </row>
    <row r="985" spans="1:14" x14ac:dyDescent="0.3">
      <c r="A985" s="2" t="s">
        <v>983</v>
      </c>
      <c r="B985" s="2" t="s">
        <v>12045</v>
      </c>
      <c r="C985" s="2">
        <v>30</v>
      </c>
      <c r="D985" s="2" t="s">
        <v>12049</v>
      </c>
      <c r="E985" s="2">
        <f>COUNTIF(Table16[customer_id],Table13[[#This Row],[customer_id]])</f>
        <v>1</v>
      </c>
      <c r="F985" s="13">
        <f>SUMIFS(Table16[Purchase_history],Table16[customer_id],Table13[[#This Row],[customer_id]])</f>
        <v>1200.32</v>
      </c>
      <c r="G985" s="20">
        <v>44619</v>
      </c>
      <c r="H985" s="21">
        <v>44619</v>
      </c>
      <c r="I985" s="15">
        <f>(Table134[[#This Row],[Last_Day]]-Table134[[#This Row],[First_Day]]+1)/365</f>
        <v>2.7397260273972603E-3</v>
      </c>
      <c r="J985" s="59">
        <f>Table134[[#This Row],[number_of_purchases]]/Table134[[#This Row],[customer_total_years]]</f>
        <v>365</v>
      </c>
      <c r="K985" s="13">
        <f>Table134[[#This Row],[purchase_history]]/Table134[[#This Row],[number_of_purchases]]</f>
        <v>1200.32</v>
      </c>
      <c r="L985" s="2">
        <f>IF(YEAR(Table134[[#This Row],[Last_Day]])=2021,5,IF(YEAR(Table134[[#This Row],[Last_Day]])=2022,7,IF(YEAR(Table134[[#This Row],[Last_Day]])=2023,10,"Không xác định")))</f>
        <v>7</v>
      </c>
      <c r="M985" s="15">
        <f>Table134[[#This Row],[avg_number_of_purchases]]*Table1345[[#This Row],[avg_purchase_value]]*Table1345[[#This Row],[expected_lifespan]]</f>
        <v>3066817.6</v>
      </c>
      <c r="N985" t="s">
        <v>12046</v>
      </c>
    </row>
    <row r="986" spans="1:14" x14ac:dyDescent="0.3">
      <c r="A986" s="2" t="s">
        <v>984</v>
      </c>
      <c r="B986" s="2" t="s">
        <v>12045</v>
      </c>
      <c r="C986" s="2">
        <v>19</v>
      </c>
      <c r="D986" s="2" t="s">
        <v>12041</v>
      </c>
      <c r="E986" s="2">
        <f>COUNTIF(Table16[customer_id],Table13[[#This Row],[customer_id]])</f>
        <v>6</v>
      </c>
      <c r="F986" s="13">
        <f>SUMIFS(Table16[Purchase_history],Table16[customer_id],Table13[[#This Row],[customer_id]])</f>
        <v>15532.619999999999</v>
      </c>
      <c r="G986" s="20">
        <v>44489</v>
      </c>
      <c r="H986" s="21">
        <v>44921</v>
      </c>
      <c r="I986" s="15">
        <f>(Table134[[#This Row],[Last_Day]]-Table134[[#This Row],[First_Day]]+1)/365</f>
        <v>1.1863013698630136</v>
      </c>
      <c r="J986" s="59">
        <f>Table134[[#This Row],[number_of_purchases]]/Table134[[#This Row],[customer_total_years]]</f>
        <v>5.0577367205542734</v>
      </c>
      <c r="K986" s="13">
        <f>Table134[[#This Row],[purchase_history]]/Table134[[#This Row],[number_of_purchases]]</f>
        <v>2588.77</v>
      </c>
      <c r="L986" s="2">
        <f>IF(YEAR(Table134[[#This Row],[Last_Day]])=2021,5,IF(YEAR(Table134[[#This Row],[Last_Day]])=2022,7,IF(YEAR(Table134[[#This Row],[Last_Day]])=2023,10,"Không xác định")))</f>
        <v>7</v>
      </c>
      <c r="M986" s="15">
        <f>Table134[[#This Row],[avg_number_of_purchases]]*Table1345[[#This Row],[avg_purchase_value]]*Table1345[[#This Row],[expected_lifespan]]</f>
        <v>91653.219630484993</v>
      </c>
      <c r="N986" t="s">
        <v>12047</v>
      </c>
    </row>
    <row r="987" spans="1:14" x14ac:dyDescent="0.3">
      <c r="A987" s="2" t="s">
        <v>985</v>
      </c>
      <c r="B987" s="2" t="s">
        <v>12045</v>
      </c>
      <c r="C987" s="2">
        <v>43</v>
      </c>
      <c r="D987" s="2" t="s">
        <v>12043</v>
      </c>
      <c r="E987" s="2">
        <f>COUNTIF(Table16[customer_id],Table13[[#This Row],[customer_id]])</f>
        <v>2</v>
      </c>
      <c r="F987" s="13">
        <f>SUMIFS(Table16[Purchase_history],Table16[customer_id],Table13[[#This Row],[customer_id]])</f>
        <v>15304.33</v>
      </c>
      <c r="G987" s="20">
        <v>44662</v>
      </c>
      <c r="H987" s="21">
        <v>44763</v>
      </c>
      <c r="I987" s="15">
        <f>(Table134[[#This Row],[Last_Day]]-Table134[[#This Row],[First_Day]]+1)/365</f>
        <v>0.27945205479452057</v>
      </c>
      <c r="J987" s="59">
        <f>Table134[[#This Row],[number_of_purchases]]/Table134[[#This Row],[customer_total_years]]</f>
        <v>7.1568627450980387</v>
      </c>
      <c r="K987" s="13">
        <f>Table134[[#This Row],[purchase_history]]/Table134[[#This Row],[number_of_purchases]]</f>
        <v>7652.165</v>
      </c>
      <c r="L987" s="2">
        <f>IF(YEAR(Table134[[#This Row],[Last_Day]])=2021,5,IF(YEAR(Table134[[#This Row],[Last_Day]])=2022,7,IF(YEAR(Table134[[#This Row],[Last_Day]])=2023,10,"Không xác định")))</f>
        <v>7</v>
      </c>
      <c r="M987" s="15">
        <f>Table134[[#This Row],[avg_number_of_purchases]]*Table1345[[#This Row],[avg_purchase_value]]*Table1345[[#This Row],[expected_lifespan]]</f>
        <v>383358.46225490194</v>
      </c>
      <c r="N987" t="s">
        <v>12044</v>
      </c>
    </row>
    <row r="988" spans="1:14" x14ac:dyDescent="0.3">
      <c r="A988" s="2" t="s">
        <v>986</v>
      </c>
      <c r="B988" s="2" t="s">
        <v>12045</v>
      </c>
      <c r="C988" s="2">
        <v>60</v>
      </c>
      <c r="D988" s="2" t="s">
        <v>12043</v>
      </c>
      <c r="E988" s="2">
        <f>COUNTIF(Table16[customer_id],Table13[[#This Row],[customer_id]])</f>
        <v>5</v>
      </c>
      <c r="F988" s="13">
        <f>SUMIFS(Table16[Purchase_history],Table16[customer_id],Table13[[#This Row],[customer_id]])</f>
        <v>44213.1</v>
      </c>
      <c r="G988" s="20">
        <v>44641</v>
      </c>
      <c r="H988" s="21">
        <v>44908</v>
      </c>
      <c r="I988" s="15">
        <f>(Table134[[#This Row],[Last_Day]]-Table134[[#This Row],[First_Day]]+1)/365</f>
        <v>0.73424657534246573</v>
      </c>
      <c r="J988" s="59">
        <f>Table134[[#This Row],[number_of_purchases]]/Table134[[#This Row],[customer_total_years]]</f>
        <v>6.8097014925373136</v>
      </c>
      <c r="K988" s="13">
        <f>Table134[[#This Row],[purchase_history]]/Table134[[#This Row],[number_of_purchases]]</f>
        <v>8842.619999999999</v>
      </c>
      <c r="L988" s="2">
        <f>IF(YEAR(Table134[[#This Row],[Last_Day]])=2021,5,IF(YEAR(Table134[[#This Row],[Last_Day]])=2022,7,IF(YEAR(Table134[[#This Row],[Last_Day]])=2023,10,"Không xác định")))</f>
        <v>7</v>
      </c>
      <c r="M988" s="15">
        <f>Table134[[#This Row],[avg_number_of_purchases]]*Table1345[[#This Row],[avg_purchase_value]]*Table1345[[#This Row],[expected_lifespan]]</f>
        <v>421509.21828358207</v>
      </c>
      <c r="N988" t="s">
        <v>12042</v>
      </c>
    </row>
    <row r="989" spans="1:14" x14ac:dyDescent="0.3">
      <c r="A989" s="2" t="s">
        <v>987</v>
      </c>
      <c r="B989" s="2" t="s">
        <v>12040</v>
      </c>
      <c r="C989" s="2">
        <v>64</v>
      </c>
      <c r="D989" s="2" t="s">
        <v>12043</v>
      </c>
      <c r="E989" s="2">
        <f>COUNTIF(Table16[customer_id],Table13[[#This Row],[customer_id]])</f>
        <v>4</v>
      </c>
      <c r="F989" s="13">
        <f>SUMIFS(Table16[Purchase_history],Table16[customer_id],Table13[[#This Row],[customer_id]])</f>
        <v>4526.92</v>
      </c>
      <c r="G989" s="20">
        <v>44383</v>
      </c>
      <c r="H989" s="21">
        <v>44847</v>
      </c>
      <c r="I989" s="15">
        <f>(Table134[[#This Row],[Last_Day]]-Table134[[#This Row],[First_Day]]+1)/365</f>
        <v>1.273972602739726</v>
      </c>
      <c r="J989" s="59">
        <f>Table134[[#This Row],[number_of_purchases]]/Table134[[#This Row],[customer_total_years]]</f>
        <v>3.139784946236559</v>
      </c>
      <c r="K989" s="13">
        <f>Table134[[#This Row],[purchase_history]]/Table134[[#This Row],[number_of_purchases]]</f>
        <v>1131.73</v>
      </c>
      <c r="L989" s="2">
        <f>IF(YEAR(Table134[[#This Row],[Last_Day]])=2021,5,IF(YEAR(Table134[[#This Row],[Last_Day]])=2022,7,IF(YEAR(Table134[[#This Row],[Last_Day]])=2023,10,"Không xác định")))</f>
        <v>7</v>
      </c>
      <c r="M989" s="15">
        <f>Table134[[#This Row],[avg_number_of_purchases]]*Table1345[[#This Row],[avg_purchase_value]]*Table1345[[#This Row],[expected_lifespan]]</f>
        <v>24873.721720430109</v>
      </c>
      <c r="N989" t="s">
        <v>12047</v>
      </c>
    </row>
    <row r="990" spans="1:14" x14ac:dyDescent="0.3">
      <c r="A990" s="2" t="s">
        <v>988</v>
      </c>
      <c r="B990" s="2" t="s">
        <v>12040</v>
      </c>
      <c r="C990" s="2">
        <v>53</v>
      </c>
      <c r="D990" s="2" t="s">
        <v>12043</v>
      </c>
      <c r="E990" s="2">
        <f>COUNTIF(Table16[customer_id],Table13[[#This Row],[customer_id]])</f>
        <v>3</v>
      </c>
      <c r="F990" s="13">
        <f>SUMIFS(Table16[Purchase_history],Table16[customer_id],Table13[[#This Row],[customer_id]])</f>
        <v>34056.97</v>
      </c>
      <c r="G990" s="20">
        <v>44494</v>
      </c>
      <c r="H990" s="21">
        <v>44960</v>
      </c>
      <c r="I990" s="15">
        <f>(Table134[[#This Row],[Last_Day]]-Table134[[#This Row],[First_Day]]+1)/365</f>
        <v>1.2794520547945205</v>
      </c>
      <c r="J990" s="59">
        <f>Table134[[#This Row],[number_of_purchases]]/Table134[[#This Row],[customer_total_years]]</f>
        <v>2.3447537473233404</v>
      </c>
      <c r="K990" s="13">
        <f>Table134[[#This Row],[purchase_history]]/Table134[[#This Row],[number_of_purchases]]</f>
        <v>11352.323333333334</v>
      </c>
      <c r="L990" s="2">
        <f>IF(YEAR(Table134[[#This Row],[Last_Day]])=2021,5,IF(YEAR(Table134[[#This Row],[Last_Day]])=2022,7,IF(YEAR(Table134[[#This Row],[Last_Day]])=2023,10,"Không xác định")))</f>
        <v>10</v>
      </c>
      <c r="M990" s="15">
        <f>Table134[[#This Row],[avg_number_of_purchases]]*Table1345[[#This Row],[avg_purchase_value]]*Table1345[[#This Row],[expected_lifespan]]</f>
        <v>266184.02676659531</v>
      </c>
      <c r="N990" t="s">
        <v>12044</v>
      </c>
    </row>
    <row r="991" spans="1:14" x14ac:dyDescent="0.3">
      <c r="A991" s="2" t="s">
        <v>989</v>
      </c>
      <c r="B991" s="2" t="s">
        <v>12040</v>
      </c>
      <c r="C991" s="2">
        <v>64</v>
      </c>
      <c r="D991" s="2" t="s">
        <v>12043</v>
      </c>
      <c r="E991" s="2">
        <f>COUNTIF(Table16[customer_id],Table13[[#This Row],[customer_id]])</f>
        <v>4</v>
      </c>
      <c r="F991" s="13">
        <f>SUMIFS(Table16[Purchase_history],Table16[customer_id],Table13[[#This Row],[customer_id]])</f>
        <v>8606.23</v>
      </c>
      <c r="G991" s="20">
        <v>44533</v>
      </c>
      <c r="H991" s="21">
        <v>44889</v>
      </c>
      <c r="I991" s="15">
        <f>(Table134[[#This Row],[Last_Day]]-Table134[[#This Row],[First_Day]]+1)/365</f>
        <v>0.9780821917808219</v>
      </c>
      <c r="J991" s="59">
        <f>Table134[[#This Row],[number_of_purchases]]/Table134[[#This Row],[customer_total_years]]</f>
        <v>4.0896358543417364</v>
      </c>
      <c r="K991" s="13">
        <f>Table134[[#This Row],[purchase_history]]/Table134[[#This Row],[number_of_purchases]]</f>
        <v>2151.5574999999999</v>
      </c>
      <c r="L991" s="2">
        <f>IF(YEAR(Table134[[#This Row],[Last_Day]])=2021,5,IF(YEAR(Table134[[#This Row],[Last_Day]])=2022,7,IF(YEAR(Table134[[#This Row],[Last_Day]])=2023,10,"Không xác định")))</f>
        <v>7</v>
      </c>
      <c r="M991" s="15">
        <f>Table134[[#This Row],[avg_number_of_purchases]]*Table1345[[#This Row],[avg_purchase_value]]*Table1345[[#This Row],[expected_lifespan]]</f>
        <v>61593.606862745088</v>
      </c>
      <c r="N991" t="s">
        <v>12046</v>
      </c>
    </row>
    <row r="992" spans="1:14" x14ac:dyDescent="0.3">
      <c r="A992" s="2" t="s">
        <v>990</v>
      </c>
      <c r="B992" s="2" t="s">
        <v>12040</v>
      </c>
      <c r="C992" s="2">
        <v>49</v>
      </c>
      <c r="D992" s="2" t="s">
        <v>12043</v>
      </c>
      <c r="E992" s="2">
        <f>COUNTIF(Table16[customer_id],Table13[[#This Row],[customer_id]])</f>
        <v>4</v>
      </c>
      <c r="F992" s="13">
        <f>SUMIFS(Table16[Purchase_history],Table16[customer_id],Table13[[#This Row],[customer_id]])</f>
        <v>5812.5199999999995</v>
      </c>
      <c r="G992" s="20">
        <v>44536</v>
      </c>
      <c r="H992" s="21">
        <v>44980</v>
      </c>
      <c r="I992" s="15">
        <f>(Table134[[#This Row],[Last_Day]]-Table134[[#This Row],[First_Day]]+1)/365</f>
        <v>1.2191780821917808</v>
      </c>
      <c r="J992" s="59">
        <f>Table134[[#This Row],[number_of_purchases]]/Table134[[#This Row],[customer_total_years]]</f>
        <v>3.2808988764044944</v>
      </c>
      <c r="K992" s="13">
        <f>Table134[[#This Row],[purchase_history]]/Table134[[#This Row],[number_of_purchases]]</f>
        <v>1453.1299999999999</v>
      </c>
      <c r="L992" s="2">
        <f>IF(YEAR(Table134[[#This Row],[Last_Day]])=2021,5,IF(YEAR(Table134[[#This Row],[Last_Day]])=2022,7,IF(YEAR(Table134[[#This Row],[Last_Day]])=2023,10,"Không xác định")))</f>
        <v>10</v>
      </c>
      <c r="M992" s="15">
        <f>Table134[[#This Row],[avg_number_of_purchases]]*Table1345[[#This Row],[avg_purchase_value]]*Table1345[[#This Row],[expected_lifespan]]</f>
        <v>47675.725842696629</v>
      </c>
      <c r="N992" t="s">
        <v>12046</v>
      </c>
    </row>
    <row r="993" spans="1:14" x14ac:dyDescent="0.3">
      <c r="A993" s="2" t="s">
        <v>991</v>
      </c>
      <c r="B993" s="2" t="s">
        <v>12045</v>
      </c>
      <c r="C993" s="2">
        <v>35</v>
      </c>
      <c r="D993" s="2" t="s">
        <v>12049</v>
      </c>
      <c r="E993" s="2">
        <f>COUNTIF(Table16[customer_id],Table13[[#This Row],[customer_id]])</f>
        <v>2</v>
      </c>
      <c r="F993" s="13">
        <f>SUMIFS(Table16[Purchase_history],Table16[customer_id],Table13[[#This Row],[customer_id]])</f>
        <v>1372.56</v>
      </c>
      <c r="G993" s="20">
        <v>44384</v>
      </c>
      <c r="H993" s="21">
        <v>44451</v>
      </c>
      <c r="I993" s="15">
        <f>(Table134[[#This Row],[Last_Day]]-Table134[[#This Row],[First_Day]]+1)/365</f>
        <v>0.18630136986301371</v>
      </c>
      <c r="J993" s="59">
        <f>Table134[[#This Row],[number_of_purchases]]/Table134[[#This Row],[customer_total_years]]</f>
        <v>10.735294117647058</v>
      </c>
      <c r="K993" s="13">
        <f>Table134[[#This Row],[purchase_history]]/Table134[[#This Row],[number_of_purchases]]</f>
        <v>686.28</v>
      </c>
      <c r="L993" s="2">
        <f>IF(YEAR(Table134[[#This Row],[Last_Day]])=2021,5,IF(YEAR(Table134[[#This Row],[Last_Day]])=2022,7,IF(YEAR(Table134[[#This Row],[Last_Day]])=2023,10,"Không xác định")))</f>
        <v>5</v>
      </c>
      <c r="M993" s="15">
        <f>Table134[[#This Row],[avg_number_of_purchases]]*Table1345[[#This Row],[avg_purchase_value]]*Table1345[[#This Row],[expected_lifespan]]</f>
        <v>36837.088235294112</v>
      </c>
      <c r="N993" t="s">
        <v>12048</v>
      </c>
    </row>
    <row r="994" spans="1:14" x14ac:dyDescent="0.3">
      <c r="A994" s="2" t="s">
        <v>992</v>
      </c>
      <c r="B994" s="2" t="s">
        <v>12040</v>
      </c>
      <c r="C994" s="2">
        <v>68</v>
      </c>
      <c r="D994" s="2" t="s">
        <v>12041</v>
      </c>
      <c r="E994" s="2">
        <f>COUNTIF(Table16[customer_id],Table13[[#This Row],[customer_id]])</f>
        <v>2</v>
      </c>
      <c r="F994" s="13">
        <f>SUMIFS(Table16[Purchase_history],Table16[customer_id],Table13[[#This Row],[customer_id]])</f>
        <v>6001.5999999999995</v>
      </c>
      <c r="G994" s="20">
        <v>44239</v>
      </c>
      <c r="H994" s="21">
        <v>44830</v>
      </c>
      <c r="I994" s="15">
        <f>(Table134[[#This Row],[Last_Day]]-Table134[[#This Row],[First_Day]]+1)/365</f>
        <v>1.6219178082191781</v>
      </c>
      <c r="J994" s="59">
        <f>Table134[[#This Row],[number_of_purchases]]/Table134[[#This Row],[customer_total_years]]</f>
        <v>1.2331081081081081</v>
      </c>
      <c r="K994" s="13">
        <f>Table134[[#This Row],[purchase_history]]/Table134[[#This Row],[number_of_purchases]]</f>
        <v>3000.7999999999997</v>
      </c>
      <c r="L994" s="2">
        <f>IF(YEAR(Table134[[#This Row],[Last_Day]])=2021,5,IF(YEAR(Table134[[#This Row],[Last_Day]])=2022,7,IF(YEAR(Table134[[#This Row],[Last_Day]])=2023,10,"Không xác định")))</f>
        <v>7</v>
      </c>
      <c r="M994" s="15">
        <f>Table134[[#This Row],[avg_number_of_purchases]]*Table1345[[#This Row],[avg_purchase_value]]*Table1345[[#This Row],[expected_lifespan]]</f>
        <v>25902.175675675673</v>
      </c>
      <c r="N994" t="s">
        <v>12046</v>
      </c>
    </row>
    <row r="995" spans="1:14" x14ac:dyDescent="0.3">
      <c r="A995" s="2" t="s">
        <v>993</v>
      </c>
      <c r="B995" s="2" t="s">
        <v>12045</v>
      </c>
      <c r="C995" s="2">
        <v>53</v>
      </c>
      <c r="D995" s="2" t="s">
        <v>12043</v>
      </c>
      <c r="E995" s="2">
        <f>COUNTIF(Table16[customer_id],Table13[[#This Row],[customer_id]])</f>
        <v>5</v>
      </c>
      <c r="F995" s="13">
        <f>SUMIFS(Table16[Purchase_history],Table16[customer_id],Table13[[#This Row],[customer_id]])</f>
        <v>27372.27</v>
      </c>
      <c r="G995" s="20">
        <v>44222</v>
      </c>
      <c r="H995" s="21">
        <v>44972</v>
      </c>
      <c r="I995" s="15">
        <f>(Table134[[#This Row],[Last_Day]]-Table134[[#This Row],[First_Day]]+1)/365</f>
        <v>2.0575342465753423</v>
      </c>
      <c r="J995" s="59">
        <f>Table134[[#This Row],[number_of_purchases]]/Table134[[#This Row],[customer_total_years]]</f>
        <v>2.4300932090545939</v>
      </c>
      <c r="K995" s="13">
        <f>Table134[[#This Row],[purchase_history]]/Table134[[#This Row],[number_of_purchases]]</f>
        <v>5474.4539999999997</v>
      </c>
      <c r="L995" s="2">
        <f>IF(YEAR(Table134[[#This Row],[Last_Day]])=2021,5,IF(YEAR(Table134[[#This Row],[Last_Day]])=2022,7,IF(YEAR(Table134[[#This Row],[Last_Day]])=2023,10,"Không xác định")))</f>
        <v>10</v>
      </c>
      <c r="M995" s="15">
        <f>Table134[[#This Row],[avg_number_of_purchases]]*Table1345[[#This Row],[avg_purchase_value]]*Table1345[[#This Row],[expected_lifespan]]</f>
        <v>133034.33488681758</v>
      </c>
      <c r="N995" t="s">
        <v>12047</v>
      </c>
    </row>
    <row r="996" spans="1:14" x14ac:dyDescent="0.3">
      <c r="A996" s="2" t="s">
        <v>994</v>
      </c>
      <c r="B996" s="2" t="s">
        <v>12040</v>
      </c>
      <c r="C996" s="2">
        <v>46</v>
      </c>
      <c r="D996" s="2" t="s">
        <v>12043</v>
      </c>
      <c r="E996" s="2">
        <f>COUNTIF(Table16[customer_id],Table13[[#This Row],[customer_id]])</f>
        <v>3</v>
      </c>
      <c r="F996" s="13">
        <f>SUMIFS(Table16[Purchase_history],Table16[customer_id],Table13[[#This Row],[customer_id]])</f>
        <v>10249.790000000001</v>
      </c>
      <c r="G996" s="20">
        <v>44309</v>
      </c>
      <c r="H996" s="21">
        <v>44880</v>
      </c>
      <c r="I996" s="15">
        <f>(Table134[[#This Row],[Last_Day]]-Table134[[#This Row],[First_Day]]+1)/365</f>
        <v>1.5671232876712329</v>
      </c>
      <c r="J996" s="59">
        <f>Table134[[#This Row],[number_of_purchases]]/Table134[[#This Row],[customer_total_years]]</f>
        <v>1.9143356643356644</v>
      </c>
      <c r="K996" s="13">
        <f>Table134[[#This Row],[purchase_history]]/Table134[[#This Row],[number_of_purchases]]</f>
        <v>3416.5966666666668</v>
      </c>
      <c r="L996" s="2">
        <f>IF(YEAR(Table134[[#This Row],[Last_Day]])=2021,5,IF(YEAR(Table134[[#This Row],[Last_Day]])=2022,7,IF(YEAR(Table134[[#This Row],[Last_Day]])=2023,10,"Không xác định")))</f>
        <v>7</v>
      </c>
      <c r="M996" s="15">
        <f>Table134[[#This Row],[avg_number_of_purchases]]*Table1345[[#This Row],[avg_purchase_value]]*Table1345[[#This Row],[expected_lifespan]]</f>
        <v>45783.589947552449</v>
      </c>
      <c r="N996" t="s">
        <v>12048</v>
      </c>
    </row>
    <row r="997" spans="1:14" x14ac:dyDescent="0.3">
      <c r="A997" s="2" t="s">
        <v>995</v>
      </c>
      <c r="B997" s="2" t="s">
        <v>12045</v>
      </c>
      <c r="C997" s="2">
        <v>42</v>
      </c>
      <c r="D997" s="2" t="s">
        <v>12041</v>
      </c>
      <c r="E997" s="2">
        <f>COUNTIF(Table16[customer_id],Table13[[#This Row],[customer_id]])</f>
        <v>7</v>
      </c>
      <c r="F997" s="13">
        <f>SUMIFS(Table16[Purchase_history],Table16[customer_id],Table13[[#This Row],[customer_id]])</f>
        <v>24684.920000000002</v>
      </c>
      <c r="G997" s="20">
        <v>44222</v>
      </c>
      <c r="H997" s="21">
        <v>44768</v>
      </c>
      <c r="I997" s="15">
        <f>(Table134[[#This Row],[Last_Day]]-Table134[[#This Row],[First_Day]]+1)/365</f>
        <v>1.4986301369863013</v>
      </c>
      <c r="J997" s="59">
        <f>Table134[[#This Row],[number_of_purchases]]/Table134[[#This Row],[customer_total_years]]</f>
        <v>4.6709323583180993</v>
      </c>
      <c r="K997" s="13">
        <f>Table134[[#This Row],[purchase_history]]/Table134[[#This Row],[number_of_purchases]]</f>
        <v>3526.4171428571431</v>
      </c>
      <c r="L997" s="2">
        <f>IF(YEAR(Table134[[#This Row],[Last_Day]])=2021,5,IF(YEAR(Table134[[#This Row],[Last_Day]])=2022,7,IF(YEAR(Table134[[#This Row],[Last_Day]])=2023,10,"Không xác định")))</f>
        <v>7</v>
      </c>
      <c r="M997" s="15">
        <f>Table134[[#This Row],[avg_number_of_purchases]]*Table1345[[#This Row],[avg_purchase_value]]*Table1345[[#This Row],[expected_lifespan]]</f>
        <v>115301.59159049361</v>
      </c>
      <c r="N997" t="s">
        <v>12048</v>
      </c>
    </row>
    <row r="998" spans="1:14" x14ac:dyDescent="0.3">
      <c r="A998" s="2" t="s">
        <v>996</v>
      </c>
      <c r="B998" s="2" t="s">
        <v>12045</v>
      </c>
      <c r="C998" s="2">
        <v>20</v>
      </c>
      <c r="D998" s="2" t="s">
        <v>12043</v>
      </c>
      <c r="E998" s="2">
        <f>COUNTIF(Table16[customer_id],Table13[[#This Row],[customer_id]])</f>
        <v>3</v>
      </c>
      <c r="F998" s="13">
        <f>SUMIFS(Table16[Purchase_history],Table16[customer_id],Table13[[#This Row],[customer_id]])</f>
        <v>2746.61</v>
      </c>
      <c r="G998" s="20">
        <v>44233</v>
      </c>
      <c r="H998" s="21">
        <v>44847</v>
      </c>
      <c r="I998" s="15">
        <f>(Table134[[#This Row],[Last_Day]]-Table134[[#This Row],[First_Day]]+1)/365</f>
        <v>1.6849315068493151</v>
      </c>
      <c r="J998" s="59">
        <f>Table134[[#This Row],[number_of_purchases]]/Table134[[#This Row],[customer_total_years]]</f>
        <v>1.7804878048780488</v>
      </c>
      <c r="K998" s="13">
        <f>Table134[[#This Row],[purchase_history]]/Table134[[#This Row],[number_of_purchases]]</f>
        <v>915.53666666666675</v>
      </c>
      <c r="L998" s="2">
        <f>IF(YEAR(Table134[[#This Row],[Last_Day]])=2021,5,IF(YEAR(Table134[[#This Row],[Last_Day]])=2022,7,IF(YEAR(Table134[[#This Row],[Last_Day]])=2023,10,"Không xác định")))</f>
        <v>7</v>
      </c>
      <c r="M998" s="15">
        <f>Table134[[#This Row],[avg_number_of_purchases]]*Table1345[[#This Row],[avg_purchase_value]]*Table1345[[#This Row],[expected_lifespan]]</f>
        <v>11410.713089430896</v>
      </c>
      <c r="N998" t="s">
        <v>12042</v>
      </c>
    </row>
    <row r="999" spans="1:14" x14ac:dyDescent="0.3">
      <c r="A999" s="2" t="s">
        <v>997</v>
      </c>
      <c r="B999" s="2" t="s">
        <v>12040</v>
      </c>
      <c r="C999" s="2">
        <v>46</v>
      </c>
      <c r="D999" s="2" t="s">
        <v>12041</v>
      </c>
      <c r="E999" s="2">
        <f>COUNTIF(Table16[customer_id],Table13[[#This Row],[customer_id]])</f>
        <v>4</v>
      </c>
      <c r="F999" s="13">
        <f>SUMIFS(Table16[Purchase_history],Table16[customer_id],Table13[[#This Row],[customer_id]])</f>
        <v>6306.9099999999989</v>
      </c>
      <c r="G999" s="20">
        <v>44203</v>
      </c>
      <c r="H999" s="21">
        <v>44869</v>
      </c>
      <c r="I999" s="15">
        <f>(Table134[[#This Row],[Last_Day]]-Table134[[#This Row],[First_Day]]+1)/365</f>
        <v>1.8273972602739725</v>
      </c>
      <c r="J999" s="59">
        <f>Table134[[#This Row],[number_of_purchases]]/Table134[[#This Row],[customer_total_years]]</f>
        <v>2.188905547226387</v>
      </c>
      <c r="K999" s="13">
        <f>Table134[[#This Row],[purchase_history]]/Table134[[#This Row],[number_of_purchases]]</f>
        <v>1576.7274999999997</v>
      </c>
      <c r="L999" s="2">
        <f>IF(YEAR(Table134[[#This Row],[Last_Day]])=2021,5,IF(YEAR(Table134[[#This Row],[Last_Day]])=2022,7,IF(YEAR(Table134[[#This Row],[Last_Day]])=2023,10,"Không xác định")))</f>
        <v>7</v>
      </c>
      <c r="M999" s="15">
        <f>Table134[[#This Row],[avg_number_of_purchases]]*Table1345[[#This Row],[avg_purchase_value]]*Table1345[[#This Row],[expected_lifespan]]</f>
        <v>24159.152998500747</v>
      </c>
      <c r="N999" t="s">
        <v>12048</v>
      </c>
    </row>
    <row r="1000" spans="1:14" x14ac:dyDescent="0.3">
      <c r="A1000" s="2" t="s">
        <v>998</v>
      </c>
      <c r="B1000" s="2" t="s">
        <v>12040</v>
      </c>
      <c r="C1000" s="2">
        <v>26</v>
      </c>
      <c r="D1000" s="2" t="s">
        <v>12049</v>
      </c>
      <c r="E1000" s="2">
        <f>COUNTIF(Table16[customer_id],Table13[[#This Row],[customer_id]])</f>
        <v>4</v>
      </c>
      <c r="F1000" s="13">
        <f>SUMIFS(Table16[Purchase_history],Table16[customer_id],Table13[[#This Row],[customer_id]])</f>
        <v>22932.35</v>
      </c>
      <c r="G1000" s="20">
        <v>44461</v>
      </c>
      <c r="H1000" s="21">
        <v>44734</v>
      </c>
      <c r="I1000" s="15">
        <f>(Table134[[#This Row],[Last_Day]]-Table134[[#This Row],[First_Day]]+1)/365</f>
        <v>0.75068493150684934</v>
      </c>
      <c r="J1000" s="59">
        <f>Table134[[#This Row],[number_of_purchases]]/Table134[[#This Row],[customer_total_years]]</f>
        <v>5.328467153284671</v>
      </c>
      <c r="K1000" s="13">
        <f>Table134[[#This Row],[purchase_history]]/Table134[[#This Row],[number_of_purchases]]</f>
        <v>5733.0874999999996</v>
      </c>
      <c r="L1000" s="2">
        <f>IF(YEAR(Table134[[#This Row],[Last_Day]])=2021,5,IF(YEAR(Table134[[#This Row],[Last_Day]])=2022,7,IF(YEAR(Table134[[#This Row],[Last_Day]])=2023,10,"Không xác định")))</f>
        <v>7</v>
      </c>
      <c r="M1000" s="15">
        <f>Table134[[#This Row],[avg_number_of_purchases]]*Table1345[[#This Row],[avg_purchase_value]]*Table1345[[#This Row],[expected_lifespan]]</f>
        <v>213839.97901459853</v>
      </c>
      <c r="N1000" t="s">
        <v>12044</v>
      </c>
    </row>
    <row r="1001" spans="1:14" x14ac:dyDescent="0.3">
      <c r="A1001" s="2" t="s">
        <v>999</v>
      </c>
      <c r="B1001" s="2" t="s">
        <v>12045</v>
      </c>
      <c r="C1001" s="2">
        <v>23</v>
      </c>
      <c r="D1001" s="2" t="s">
        <v>12041</v>
      </c>
      <c r="E1001" s="2">
        <f>COUNTIF(Table16[customer_id],Table13[[#This Row],[customer_id]])</f>
        <v>4</v>
      </c>
      <c r="F1001" s="13">
        <f>SUMIFS(Table16[Purchase_history],Table16[customer_id],Table13[[#This Row],[customer_id]])</f>
        <v>5597</v>
      </c>
      <c r="G1001" s="20">
        <v>44248</v>
      </c>
      <c r="H1001" s="21">
        <v>44658</v>
      </c>
      <c r="I1001" s="15">
        <f>(Table134[[#This Row],[Last_Day]]-Table134[[#This Row],[First_Day]]+1)/365</f>
        <v>1.1260273972602739</v>
      </c>
      <c r="J1001" s="59">
        <f>Table134[[#This Row],[number_of_purchases]]/Table134[[#This Row],[customer_total_years]]</f>
        <v>3.5523114355231145</v>
      </c>
      <c r="K1001" s="13">
        <f>Table134[[#This Row],[purchase_history]]/Table134[[#This Row],[number_of_purchases]]</f>
        <v>1399.25</v>
      </c>
      <c r="L1001" s="2">
        <f>IF(YEAR(Table134[[#This Row],[Last_Day]])=2021,5,IF(YEAR(Table134[[#This Row],[Last_Day]])=2022,7,IF(YEAR(Table134[[#This Row],[Last_Day]])=2023,10,"Không xác định")))</f>
        <v>7</v>
      </c>
      <c r="M1001" s="15">
        <f>Table134[[#This Row],[avg_number_of_purchases]]*Table1345[[#This Row],[avg_purchase_value]]*Table1345[[#This Row],[expected_lifespan]]</f>
        <v>34794.002433090027</v>
      </c>
      <c r="N1001" t="s">
        <v>12046</v>
      </c>
    </row>
    <row r="1002" spans="1:14" x14ac:dyDescent="0.3">
      <c r="A1002" s="2" t="s">
        <v>1000</v>
      </c>
      <c r="B1002" s="2" t="s">
        <v>12040</v>
      </c>
      <c r="C1002" s="2">
        <v>38</v>
      </c>
      <c r="D1002" s="2" t="s">
        <v>12041</v>
      </c>
      <c r="E1002" s="2">
        <f>COUNTIF(Table16[customer_id],Table13[[#This Row],[customer_id]])</f>
        <v>5</v>
      </c>
      <c r="F1002" s="13">
        <f>SUMIFS(Table16[Purchase_history],Table16[customer_id],Table13[[#This Row],[customer_id]])</f>
        <v>11436.93</v>
      </c>
      <c r="G1002" s="20">
        <v>44257</v>
      </c>
      <c r="H1002" s="21">
        <v>44904</v>
      </c>
      <c r="I1002" s="15">
        <f>(Table134[[#This Row],[Last_Day]]-Table134[[#This Row],[First_Day]]+1)/365</f>
        <v>1.7753424657534247</v>
      </c>
      <c r="J1002" s="59">
        <f>Table134[[#This Row],[number_of_purchases]]/Table134[[#This Row],[customer_total_years]]</f>
        <v>2.816358024691358</v>
      </c>
      <c r="K1002" s="13">
        <f>Table134[[#This Row],[purchase_history]]/Table134[[#This Row],[number_of_purchases]]</f>
        <v>2287.386</v>
      </c>
      <c r="L1002" s="2">
        <f>IF(YEAR(Table134[[#This Row],[Last_Day]])=2021,5,IF(YEAR(Table134[[#This Row],[Last_Day]])=2022,7,IF(YEAR(Table134[[#This Row],[Last_Day]])=2023,10,"Không xác định")))</f>
        <v>7</v>
      </c>
      <c r="M1002" s="15">
        <f>Table134[[#This Row],[avg_number_of_purchases]]*Table1345[[#This Row],[avg_purchase_value]]*Table1345[[#This Row],[expected_lifespan]]</f>
        <v>45094.685416666667</v>
      </c>
      <c r="N1002" t="s">
        <v>12048</v>
      </c>
    </row>
    <row r="1003" spans="1:14" x14ac:dyDescent="0.3">
      <c r="A1003" s="2" t="s">
        <v>1001</v>
      </c>
      <c r="B1003" s="2" t="s">
        <v>12040</v>
      </c>
      <c r="C1003" s="2">
        <v>34</v>
      </c>
      <c r="D1003" s="2" t="s">
        <v>12043</v>
      </c>
      <c r="E1003" s="2">
        <f>COUNTIF(Table16[customer_id],Table13[[#This Row],[customer_id]])</f>
        <v>4</v>
      </c>
      <c r="F1003" s="13">
        <f>SUMIFS(Table16[Purchase_history],Table16[customer_id],Table13[[#This Row],[customer_id]])</f>
        <v>5531.99</v>
      </c>
      <c r="G1003" s="20">
        <v>44427</v>
      </c>
      <c r="H1003" s="21">
        <v>44797</v>
      </c>
      <c r="I1003" s="15">
        <f>(Table134[[#This Row],[Last_Day]]-Table134[[#This Row],[First_Day]]+1)/365</f>
        <v>1.0164383561643835</v>
      </c>
      <c r="J1003" s="59">
        <f>Table134[[#This Row],[number_of_purchases]]/Table134[[#This Row],[customer_total_years]]</f>
        <v>3.9353099730458223</v>
      </c>
      <c r="K1003" s="13">
        <f>Table134[[#This Row],[purchase_history]]/Table134[[#This Row],[number_of_purchases]]</f>
        <v>1382.9974999999999</v>
      </c>
      <c r="L1003" s="2">
        <f>IF(YEAR(Table134[[#This Row],[Last_Day]])=2021,5,IF(YEAR(Table134[[#This Row],[Last_Day]])=2022,7,IF(YEAR(Table134[[#This Row],[Last_Day]])=2023,10,"Không xác định")))</f>
        <v>7</v>
      </c>
      <c r="M1003" s="15">
        <f>Table134[[#This Row],[avg_number_of_purchases]]*Table1345[[#This Row],[avg_purchase_value]]*Table1345[[#This Row],[expected_lifespan]]</f>
        <v>38097.666981132075</v>
      </c>
      <c r="N1003" t="s">
        <v>12042</v>
      </c>
    </row>
    <row r="1004" spans="1:14" x14ac:dyDescent="0.3">
      <c r="A1004" s="2" t="s">
        <v>1002</v>
      </c>
      <c r="B1004" s="2" t="s">
        <v>12045</v>
      </c>
      <c r="C1004" s="2">
        <v>41</v>
      </c>
      <c r="D1004" s="2" t="s">
        <v>12043</v>
      </c>
      <c r="E1004" s="2">
        <f>COUNTIF(Table16[customer_id],Table13[[#This Row],[customer_id]])</f>
        <v>4</v>
      </c>
      <c r="F1004" s="13">
        <f>SUMIFS(Table16[Purchase_history],Table16[customer_id],Table13[[#This Row],[customer_id]])</f>
        <v>5184.91</v>
      </c>
      <c r="G1004" s="20">
        <v>44359</v>
      </c>
      <c r="H1004" s="21">
        <v>44894</v>
      </c>
      <c r="I1004" s="15">
        <f>(Table134[[#This Row],[Last_Day]]-Table134[[#This Row],[First_Day]]+1)/365</f>
        <v>1.4684931506849315</v>
      </c>
      <c r="J1004" s="59">
        <f>Table134[[#This Row],[number_of_purchases]]/Table134[[#This Row],[customer_total_years]]</f>
        <v>2.7238805970149254</v>
      </c>
      <c r="K1004" s="13">
        <f>Table134[[#This Row],[purchase_history]]/Table134[[#This Row],[number_of_purchases]]</f>
        <v>1296.2275</v>
      </c>
      <c r="L1004" s="2">
        <f>IF(YEAR(Table134[[#This Row],[Last_Day]])=2021,5,IF(YEAR(Table134[[#This Row],[Last_Day]])=2022,7,IF(YEAR(Table134[[#This Row],[Last_Day]])=2023,10,"Không xác định")))</f>
        <v>7</v>
      </c>
      <c r="M1004" s="15">
        <f>Table134[[#This Row],[avg_number_of_purchases]]*Table1345[[#This Row],[avg_purchase_value]]*Table1345[[#This Row],[expected_lifespan]]</f>
        <v>24715.382555970147</v>
      </c>
      <c r="N1004" t="s">
        <v>12048</v>
      </c>
    </row>
    <row r="1005" spans="1:14" x14ac:dyDescent="0.3">
      <c r="A1005" s="2" t="s">
        <v>1003</v>
      </c>
      <c r="B1005" s="2" t="s">
        <v>12045</v>
      </c>
      <c r="C1005" s="2">
        <v>67</v>
      </c>
      <c r="D1005" s="2" t="s">
        <v>12043</v>
      </c>
      <c r="E1005" s="2">
        <f>COUNTIF(Table16[customer_id],Table13[[#This Row],[customer_id]])</f>
        <v>5</v>
      </c>
      <c r="F1005" s="13">
        <f>SUMIFS(Table16[Purchase_history],Table16[customer_id],Table13[[#This Row],[customer_id]])</f>
        <v>2604.27</v>
      </c>
      <c r="G1005" s="20">
        <v>44248</v>
      </c>
      <c r="H1005" s="21">
        <v>44933</v>
      </c>
      <c r="I1005" s="15">
        <f>(Table134[[#This Row],[Last_Day]]-Table134[[#This Row],[First_Day]]+1)/365</f>
        <v>1.8794520547945206</v>
      </c>
      <c r="J1005" s="59">
        <f>Table134[[#This Row],[number_of_purchases]]/Table134[[#This Row],[customer_total_years]]</f>
        <v>2.6603498542274053</v>
      </c>
      <c r="K1005" s="13">
        <f>Table134[[#This Row],[purchase_history]]/Table134[[#This Row],[number_of_purchases]]</f>
        <v>520.85400000000004</v>
      </c>
      <c r="L1005" s="2">
        <f>IF(YEAR(Table134[[#This Row],[Last_Day]])=2021,5,IF(YEAR(Table134[[#This Row],[Last_Day]])=2022,7,IF(YEAR(Table134[[#This Row],[Last_Day]])=2023,10,"Không xác định")))</f>
        <v>10</v>
      </c>
      <c r="M1005" s="15">
        <f>Table134[[#This Row],[avg_number_of_purchases]]*Table1345[[#This Row],[avg_purchase_value]]*Table1345[[#This Row],[expected_lifespan]]</f>
        <v>13856.53862973761</v>
      </c>
      <c r="N1005" t="s">
        <v>12046</v>
      </c>
    </row>
    <row r="1006" spans="1:14" x14ac:dyDescent="0.3">
      <c r="A1006" s="2" t="s">
        <v>1004</v>
      </c>
      <c r="B1006" s="2" t="s">
        <v>12040</v>
      </c>
      <c r="C1006" s="2">
        <v>68</v>
      </c>
      <c r="D1006" s="2" t="s">
        <v>12041</v>
      </c>
      <c r="E1006" s="2">
        <f>COUNTIF(Table16[customer_id],Table13[[#This Row],[customer_id]])</f>
        <v>9</v>
      </c>
      <c r="F1006" s="13">
        <f>SUMIFS(Table16[Purchase_history],Table16[customer_id],Table13[[#This Row],[customer_id]])</f>
        <v>37476.69</v>
      </c>
      <c r="G1006" s="20">
        <v>44234</v>
      </c>
      <c r="H1006" s="21">
        <v>44809</v>
      </c>
      <c r="I1006" s="15">
        <f>(Table134[[#This Row],[Last_Day]]-Table134[[#This Row],[First_Day]]+1)/365</f>
        <v>1.5780821917808219</v>
      </c>
      <c r="J1006" s="59">
        <f>Table134[[#This Row],[number_of_purchases]]/Table134[[#This Row],[customer_total_years]]</f>
        <v>5.703125</v>
      </c>
      <c r="K1006" s="13">
        <f>Table134[[#This Row],[purchase_history]]/Table134[[#This Row],[number_of_purchases]]</f>
        <v>4164.0766666666668</v>
      </c>
      <c r="L1006" s="2">
        <f>IF(YEAR(Table134[[#This Row],[Last_Day]])=2021,5,IF(YEAR(Table134[[#This Row],[Last_Day]])=2022,7,IF(YEAR(Table134[[#This Row],[Last_Day]])=2023,10,"Không xác định")))</f>
        <v>7</v>
      </c>
      <c r="M1006" s="15">
        <f>Table134[[#This Row],[avg_number_of_purchases]]*Table1345[[#This Row],[avg_purchase_value]]*Table1345[[#This Row],[expected_lifespan]]</f>
        <v>166237.74817708333</v>
      </c>
      <c r="N1006" t="s">
        <v>12042</v>
      </c>
    </row>
    <row r="1007" spans="1:14" x14ac:dyDescent="0.3">
      <c r="A1007" s="2" t="s">
        <v>1005</v>
      </c>
      <c r="B1007" s="2" t="s">
        <v>12040</v>
      </c>
      <c r="C1007" s="2">
        <v>42</v>
      </c>
      <c r="D1007" s="2" t="s">
        <v>12049</v>
      </c>
      <c r="E1007" s="2">
        <f>COUNTIF(Table16[customer_id],Table13[[#This Row],[customer_id]])</f>
        <v>3</v>
      </c>
      <c r="F1007" s="13">
        <f>SUMIFS(Table16[Purchase_history],Table16[customer_id],Table13[[#This Row],[customer_id]])</f>
        <v>878.89999999999986</v>
      </c>
      <c r="G1007" s="20">
        <v>44302</v>
      </c>
      <c r="H1007" s="21">
        <v>44671</v>
      </c>
      <c r="I1007" s="15">
        <f>(Table134[[#This Row],[Last_Day]]-Table134[[#This Row],[First_Day]]+1)/365</f>
        <v>1.0136986301369864</v>
      </c>
      <c r="J1007" s="59">
        <f>Table134[[#This Row],[number_of_purchases]]/Table134[[#This Row],[customer_total_years]]</f>
        <v>2.9594594594594592</v>
      </c>
      <c r="K1007" s="13">
        <f>Table134[[#This Row],[purchase_history]]/Table134[[#This Row],[number_of_purchases]]</f>
        <v>292.96666666666664</v>
      </c>
      <c r="L1007" s="2">
        <f>IF(YEAR(Table134[[#This Row],[Last_Day]])=2021,5,IF(YEAR(Table134[[#This Row],[Last_Day]])=2022,7,IF(YEAR(Table134[[#This Row],[Last_Day]])=2023,10,"Không xác định")))</f>
        <v>7</v>
      </c>
      <c r="M1007" s="15">
        <f>Table134[[#This Row],[avg_number_of_purchases]]*Table1345[[#This Row],[avg_purchase_value]]*Table1345[[#This Row],[expected_lifespan]]</f>
        <v>6069.1608108108103</v>
      </c>
      <c r="N1007" t="s">
        <v>12048</v>
      </c>
    </row>
    <row r="1008" spans="1:14" x14ac:dyDescent="0.3">
      <c r="A1008" s="2" t="s">
        <v>1006</v>
      </c>
      <c r="B1008" s="2" t="s">
        <v>12040</v>
      </c>
      <c r="C1008" s="2">
        <v>47</v>
      </c>
      <c r="D1008" s="2" t="s">
        <v>12043</v>
      </c>
      <c r="E1008" s="2">
        <f>COUNTIF(Table16[customer_id],Table13[[#This Row],[customer_id]])</f>
        <v>3</v>
      </c>
      <c r="F1008" s="13">
        <f>SUMIFS(Table16[Purchase_history],Table16[customer_id],Table13[[#This Row],[customer_id]])</f>
        <v>10286.400000000001</v>
      </c>
      <c r="G1008" s="20">
        <v>44413</v>
      </c>
      <c r="H1008" s="21">
        <v>44606</v>
      </c>
      <c r="I1008" s="15">
        <f>(Table134[[#This Row],[Last_Day]]-Table134[[#This Row],[First_Day]]+1)/365</f>
        <v>0.53150684931506853</v>
      </c>
      <c r="J1008" s="59">
        <f>Table134[[#This Row],[number_of_purchases]]/Table134[[#This Row],[customer_total_years]]</f>
        <v>5.644329896907216</v>
      </c>
      <c r="K1008" s="13">
        <f>Table134[[#This Row],[purchase_history]]/Table134[[#This Row],[number_of_purchases]]</f>
        <v>3428.8000000000006</v>
      </c>
      <c r="L1008" s="2">
        <f>IF(YEAR(Table134[[#This Row],[Last_Day]])=2021,5,IF(YEAR(Table134[[#This Row],[Last_Day]])=2022,7,IF(YEAR(Table134[[#This Row],[Last_Day]])=2023,10,"Không xác định")))</f>
        <v>7</v>
      </c>
      <c r="M1008" s="15">
        <f>Table134[[#This Row],[avg_number_of_purchases]]*Table1345[[#This Row],[avg_purchase_value]]*Table1345[[#This Row],[expected_lifespan]]</f>
        <v>135472.94845360826</v>
      </c>
      <c r="N1008" t="s">
        <v>12047</v>
      </c>
    </row>
    <row r="1009" spans="1:14" x14ac:dyDescent="0.3">
      <c r="A1009" s="2" t="s">
        <v>1007</v>
      </c>
      <c r="B1009" s="2" t="s">
        <v>12040</v>
      </c>
      <c r="C1009" s="2">
        <v>30</v>
      </c>
      <c r="D1009" s="2" t="s">
        <v>12049</v>
      </c>
      <c r="E1009" s="2">
        <f>COUNTIF(Table16[customer_id],Table13[[#This Row],[customer_id]])</f>
        <v>7</v>
      </c>
      <c r="F1009" s="13">
        <f>SUMIFS(Table16[Purchase_history],Table16[customer_id],Table13[[#This Row],[customer_id]])</f>
        <v>16660.75</v>
      </c>
      <c r="G1009" s="20">
        <v>44379</v>
      </c>
      <c r="H1009" s="21">
        <v>44836</v>
      </c>
      <c r="I1009" s="15">
        <f>(Table134[[#This Row],[Last_Day]]-Table134[[#This Row],[First_Day]]+1)/365</f>
        <v>1.2547945205479452</v>
      </c>
      <c r="J1009" s="59">
        <f>Table134[[#This Row],[number_of_purchases]]/Table134[[#This Row],[customer_total_years]]</f>
        <v>5.5786026200873362</v>
      </c>
      <c r="K1009" s="13">
        <f>Table134[[#This Row],[purchase_history]]/Table134[[#This Row],[number_of_purchases]]</f>
        <v>2380.1071428571427</v>
      </c>
      <c r="L1009" s="2">
        <f>IF(YEAR(Table134[[#This Row],[Last_Day]])=2021,5,IF(YEAR(Table134[[#This Row],[Last_Day]])=2022,7,IF(YEAR(Table134[[#This Row],[Last_Day]])=2023,10,"Không xác định")))</f>
        <v>7</v>
      </c>
      <c r="M1009" s="15">
        <f>Table134[[#This Row],[avg_number_of_purchases]]*Table1345[[#This Row],[avg_purchase_value]]*Table1345[[#This Row],[expected_lifespan]]</f>
        <v>92943.70360262008</v>
      </c>
      <c r="N1009" t="s">
        <v>12044</v>
      </c>
    </row>
    <row r="1010" spans="1:14" x14ac:dyDescent="0.3">
      <c r="A1010" s="2" t="s">
        <v>1008</v>
      </c>
      <c r="B1010" s="2" t="s">
        <v>12045</v>
      </c>
      <c r="C1010" s="2">
        <v>65</v>
      </c>
      <c r="D1010" s="2" t="s">
        <v>12041</v>
      </c>
      <c r="E1010" s="2">
        <f>COUNTIF(Table16[customer_id],Table13[[#This Row],[customer_id]])</f>
        <v>7</v>
      </c>
      <c r="F1010" s="13">
        <f>SUMIFS(Table16[Purchase_history],Table16[customer_id],Table13[[#This Row],[customer_id]])</f>
        <v>22115.86</v>
      </c>
      <c r="G1010" s="20">
        <v>44374</v>
      </c>
      <c r="H1010" s="21">
        <v>44924</v>
      </c>
      <c r="I1010" s="15">
        <f>(Table134[[#This Row],[Last_Day]]-Table134[[#This Row],[First_Day]]+1)/365</f>
        <v>1.5095890410958903</v>
      </c>
      <c r="J1010" s="59">
        <f>Table134[[#This Row],[number_of_purchases]]/Table134[[#This Row],[customer_total_years]]</f>
        <v>4.6370235934664246</v>
      </c>
      <c r="K1010" s="13">
        <f>Table134[[#This Row],[purchase_history]]/Table134[[#This Row],[number_of_purchases]]</f>
        <v>3159.4085714285716</v>
      </c>
      <c r="L1010" s="2">
        <f>IF(YEAR(Table134[[#This Row],[Last_Day]])=2021,5,IF(YEAR(Table134[[#This Row],[Last_Day]])=2022,7,IF(YEAR(Table134[[#This Row],[Last_Day]])=2023,10,"Không xác định")))</f>
        <v>7</v>
      </c>
      <c r="M1010" s="15">
        <f>Table134[[#This Row],[avg_number_of_purchases]]*Table1345[[#This Row],[avg_purchase_value]]*Table1345[[#This Row],[expected_lifespan]]</f>
        <v>102551.76460980038</v>
      </c>
      <c r="N1010" t="s">
        <v>12048</v>
      </c>
    </row>
    <row r="1011" spans="1:14" x14ac:dyDescent="0.3">
      <c r="A1011" s="2" t="s">
        <v>1009</v>
      </c>
      <c r="B1011" s="2" t="s">
        <v>12040</v>
      </c>
      <c r="C1011" s="2">
        <v>59</v>
      </c>
      <c r="D1011" s="2" t="s">
        <v>12043</v>
      </c>
      <c r="E1011" s="2">
        <f>COUNTIF(Table16[customer_id],Table13[[#This Row],[customer_id]])</f>
        <v>6</v>
      </c>
      <c r="F1011" s="13">
        <f>SUMIFS(Table16[Purchase_history],Table16[customer_id],Table13[[#This Row],[customer_id]])</f>
        <v>14367.55</v>
      </c>
      <c r="G1011" s="20">
        <v>44208</v>
      </c>
      <c r="H1011" s="21">
        <v>44861</v>
      </c>
      <c r="I1011" s="15">
        <f>(Table134[[#This Row],[Last_Day]]-Table134[[#This Row],[First_Day]]+1)/365</f>
        <v>1.7917808219178082</v>
      </c>
      <c r="J1011" s="59">
        <f>Table134[[#This Row],[number_of_purchases]]/Table134[[#This Row],[customer_total_years]]</f>
        <v>3.3486238532110093</v>
      </c>
      <c r="K1011" s="13">
        <f>Table134[[#This Row],[purchase_history]]/Table134[[#This Row],[number_of_purchases]]</f>
        <v>2394.5916666666667</v>
      </c>
      <c r="L1011" s="2">
        <f>IF(YEAR(Table134[[#This Row],[Last_Day]])=2021,5,IF(YEAR(Table134[[#This Row],[Last_Day]])=2022,7,IF(YEAR(Table134[[#This Row],[Last_Day]])=2023,10,"Không xác định")))</f>
        <v>7</v>
      </c>
      <c r="M1011" s="15">
        <f>Table134[[#This Row],[avg_number_of_purchases]]*Table1345[[#This Row],[avg_purchase_value]]*Table1345[[#This Row],[expected_lifespan]]</f>
        <v>56130.107415902145</v>
      </c>
      <c r="N1011" t="s">
        <v>12048</v>
      </c>
    </row>
    <row r="1012" spans="1:14" x14ac:dyDescent="0.3">
      <c r="A1012" s="2" t="s">
        <v>1010</v>
      </c>
      <c r="B1012" s="2" t="s">
        <v>12040</v>
      </c>
      <c r="C1012" s="2">
        <v>54</v>
      </c>
      <c r="D1012" s="2" t="s">
        <v>12041</v>
      </c>
      <c r="E1012" s="2">
        <f>COUNTIF(Table16[customer_id],Table13[[#This Row],[customer_id]])</f>
        <v>6</v>
      </c>
      <c r="F1012" s="13">
        <f>SUMIFS(Table16[Purchase_history],Table16[customer_id],Table13[[#This Row],[customer_id]])</f>
        <v>7364.7199999999993</v>
      </c>
      <c r="G1012" s="20">
        <v>44446</v>
      </c>
      <c r="H1012" s="21">
        <v>44980</v>
      </c>
      <c r="I1012" s="15">
        <f>(Table134[[#This Row],[Last_Day]]-Table134[[#This Row],[First_Day]]+1)/365</f>
        <v>1.4657534246575343</v>
      </c>
      <c r="J1012" s="59">
        <f>Table134[[#This Row],[number_of_purchases]]/Table134[[#This Row],[customer_total_years]]</f>
        <v>4.093457943925233</v>
      </c>
      <c r="K1012" s="13">
        <f>Table134[[#This Row],[purchase_history]]/Table134[[#This Row],[number_of_purchases]]</f>
        <v>1227.4533333333331</v>
      </c>
      <c r="L1012" s="2">
        <f>IF(YEAR(Table134[[#This Row],[Last_Day]])=2021,5,IF(YEAR(Table134[[#This Row],[Last_Day]])=2022,7,IF(YEAR(Table134[[#This Row],[Last_Day]])=2023,10,"Không xác định")))</f>
        <v>10</v>
      </c>
      <c r="M1012" s="15">
        <f>Table134[[#This Row],[avg_number_of_purchases]]*Table1345[[#This Row],[avg_purchase_value]]*Table1345[[#This Row],[expected_lifespan]]</f>
        <v>50245.2859813084</v>
      </c>
      <c r="N1012" t="s">
        <v>12047</v>
      </c>
    </row>
    <row r="1013" spans="1:14" x14ac:dyDescent="0.3">
      <c r="A1013" s="2" t="s">
        <v>1011</v>
      </c>
      <c r="B1013" s="2" t="s">
        <v>12040</v>
      </c>
      <c r="C1013" s="2">
        <v>46</v>
      </c>
      <c r="D1013" s="2" t="s">
        <v>12041</v>
      </c>
      <c r="E1013" s="2">
        <f>COUNTIF(Table16[customer_id],Table13[[#This Row],[customer_id]])</f>
        <v>6</v>
      </c>
      <c r="F1013" s="13">
        <f>SUMIFS(Table16[Purchase_history],Table16[customer_id],Table13[[#This Row],[customer_id]])</f>
        <v>3678.3</v>
      </c>
      <c r="G1013" s="20">
        <v>44284</v>
      </c>
      <c r="H1013" s="21">
        <v>44802</v>
      </c>
      <c r="I1013" s="15">
        <f>(Table134[[#This Row],[Last_Day]]-Table134[[#This Row],[First_Day]]+1)/365</f>
        <v>1.4219178082191781</v>
      </c>
      <c r="J1013" s="59">
        <f>Table134[[#This Row],[number_of_purchases]]/Table134[[#This Row],[customer_total_years]]</f>
        <v>4.2196531791907512</v>
      </c>
      <c r="K1013" s="13">
        <f>Table134[[#This Row],[purchase_history]]/Table134[[#This Row],[number_of_purchases]]</f>
        <v>613.05000000000007</v>
      </c>
      <c r="L1013" s="2">
        <f>IF(YEAR(Table134[[#This Row],[Last_Day]])=2021,5,IF(YEAR(Table134[[#This Row],[Last_Day]])=2022,7,IF(YEAR(Table134[[#This Row],[Last_Day]])=2023,10,"Không xác định")))</f>
        <v>7</v>
      </c>
      <c r="M1013" s="15">
        <f>Table134[[#This Row],[avg_number_of_purchases]]*Table1345[[#This Row],[avg_purchase_value]]*Table1345[[#This Row],[expected_lifespan]]</f>
        <v>18108.008670520234</v>
      </c>
      <c r="N1013" t="s">
        <v>12044</v>
      </c>
    </row>
    <row r="1014" spans="1:14" x14ac:dyDescent="0.3">
      <c r="A1014" s="2" t="s">
        <v>1012</v>
      </c>
      <c r="B1014" s="2" t="s">
        <v>12040</v>
      </c>
      <c r="C1014" s="2">
        <v>68</v>
      </c>
      <c r="D1014" s="2" t="s">
        <v>12043</v>
      </c>
      <c r="E1014" s="2">
        <f>COUNTIF(Table16[customer_id],Table13[[#This Row],[customer_id]])</f>
        <v>4</v>
      </c>
      <c r="F1014" s="13">
        <f>SUMIFS(Table16[Purchase_history],Table16[customer_id],Table13[[#This Row],[customer_id]])</f>
        <v>13550.52</v>
      </c>
      <c r="G1014" s="20">
        <v>44714</v>
      </c>
      <c r="H1014" s="21">
        <v>44867</v>
      </c>
      <c r="I1014" s="15">
        <f>(Table134[[#This Row],[Last_Day]]-Table134[[#This Row],[First_Day]]+1)/365</f>
        <v>0.42191780821917807</v>
      </c>
      <c r="J1014" s="59">
        <f>Table134[[#This Row],[number_of_purchases]]/Table134[[#This Row],[customer_total_years]]</f>
        <v>9.4805194805194812</v>
      </c>
      <c r="K1014" s="13">
        <f>Table134[[#This Row],[purchase_history]]/Table134[[#This Row],[number_of_purchases]]</f>
        <v>3387.63</v>
      </c>
      <c r="L1014" s="2">
        <f>IF(YEAR(Table134[[#This Row],[Last_Day]])=2021,5,IF(YEAR(Table134[[#This Row],[Last_Day]])=2022,7,IF(YEAR(Table134[[#This Row],[Last_Day]])=2023,10,"Không xác định")))</f>
        <v>7</v>
      </c>
      <c r="M1014" s="15">
        <f>Table134[[#This Row],[avg_number_of_purchases]]*Table1345[[#This Row],[avg_purchase_value]]*Table1345[[#This Row],[expected_lifespan]]</f>
        <v>224815.44545454549</v>
      </c>
      <c r="N1014" t="s">
        <v>12042</v>
      </c>
    </row>
    <row r="1015" spans="1:14" x14ac:dyDescent="0.3">
      <c r="A1015" s="2" t="s">
        <v>1013</v>
      </c>
      <c r="B1015" s="2" t="s">
        <v>12045</v>
      </c>
      <c r="C1015" s="2">
        <v>40</v>
      </c>
      <c r="D1015" s="2" t="s">
        <v>12041</v>
      </c>
      <c r="E1015" s="2">
        <f>COUNTIF(Table16[customer_id],Table13[[#This Row],[customer_id]])</f>
        <v>4</v>
      </c>
      <c r="F1015" s="13">
        <f>SUMIFS(Table16[Purchase_history],Table16[customer_id],Table13[[#This Row],[customer_id]])</f>
        <v>8507.82</v>
      </c>
      <c r="G1015" s="20">
        <v>44248</v>
      </c>
      <c r="H1015" s="21">
        <v>44726</v>
      </c>
      <c r="I1015" s="15">
        <f>(Table134[[#This Row],[Last_Day]]-Table134[[#This Row],[First_Day]]+1)/365</f>
        <v>1.3123287671232877</v>
      </c>
      <c r="J1015" s="59">
        <f>Table134[[#This Row],[number_of_purchases]]/Table134[[#This Row],[customer_total_years]]</f>
        <v>3.0480167014613779</v>
      </c>
      <c r="K1015" s="13">
        <f>Table134[[#This Row],[purchase_history]]/Table134[[#This Row],[number_of_purchases]]</f>
        <v>2126.9549999999999</v>
      </c>
      <c r="L1015" s="2">
        <f>IF(YEAR(Table134[[#This Row],[Last_Day]])=2021,5,IF(YEAR(Table134[[#This Row],[Last_Day]])=2022,7,IF(YEAR(Table134[[#This Row],[Last_Day]])=2023,10,"Không xác định")))</f>
        <v>7</v>
      </c>
      <c r="M1015" s="15">
        <f>Table134[[#This Row],[avg_number_of_purchases]]*Table1345[[#This Row],[avg_purchase_value]]*Table1345[[#This Row],[expected_lifespan]]</f>
        <v>45380.960542797489</v>
      </c>
      <c r="N1015" t="s">
        <v>12044</v>
      </c>
    </row>
    <row r="1016" spans="1:14" x14ac:dyDescent="0.3">
      <c r="A1016" s="2" t="s">
        <v>1014</v>
      </c>
      <c r="B1016" s="2" t="s">
        <v>12040</v>
      </c>
      <c r="C1016" s="2">
        <v>48</v>
      </c>
      <c r="D1016" s="2" t="s">
        <v>12043</v>
      </c>
      <c r="E1016" s="2">
        <f>COUNTIF(Table16[customer_id],Table13[[#This Row],[customer_id]])</f>
        <v>4</v>
      </c>
      <c r="F1016" s="13">
        <f>SUMIFS(Table16[Purchase_history],Table16[customer_id],Table13[[#This Row],[customer_id]])</f>
        <v>22011.73</v>
      </c>
      <c r="G1016" s="20">
        <v>44276</v>
      </c>
      <c r="H1016" s="21">
        <v>44898</v>
      </c>
      <c r="I1016" s="15">
        <f>(Table134[[#This Row],[Last_Day]]-Table134[[#This Row],[First_Day]]+1)/365</f>
        <v>1.7068493150684931</v>
      </c>
      <c r="J1016" s="59">
        <f>Table134[[#This Row],[number_of_purchases]]/Table134[[#This Row],[customer_total_years]]</f>
        <v>2.3434991974317816</v>
      </c>
      <c r="K1016" s="13">
        <f>Table134[[#This Row],[purchase_history]]/Table134[[#This Row],[number_of_purchases]]</f>
        <v>5502.9324999999999</v>
      </c>
      <c r="L1016" s="2">
        <f>IF(YEAR(Table134[[#This Row],[Last_Day]])=2021,5,IF(YEAR(Table134[[#This Row],[Last_Day]])=2022,7,IF(YEAR(Table134[[#This Row],[Last_Day]])=2023,10,"Không xác định")))</f>
        <v>7</v>
      </c>
      <c r="M1016" s="15">
        <f>Table134[[#This Row],[avg_number_of_purchases]]*Table1345[[#This Row],[avg_purchase_value]]*Table1345[[#This Row],[expected_lifespan]]</f>
        <v>90272.825280898876</v>
      </c>
      <c r="N1016" t="s">
        <v>12044</v>
      </c>
    </row>
    <row r="1017" spans="1:14" x14ac:dyDescent="0.3">
      <c r="A1017" s="2" t="s">
        <v>1015</v>
      </c>
      <c r="B1017" s="2" t="s">
        <v>12040</v>
      </c>
      <c r="C1017" s="2">
        <v>55</v>
      </c>
      <c r="D1017" s="2" t="s">
        <v>12049</v>
      </c>
      <c r="E1017" s="2">
        <f>COUNTIF(Table16[customer_id],Table13[[#This Row],[customer_id]])</f>
        <v>4</v>
      </c>
      <c r="F1017" s="13">
        <f>SUMIFS(Table16[Purchase_history],Table16[customer_id],Table13[[#This Row],[customer_id]])</f>
        <v>9881.4599999999991</v>
      </c>
      <c r="G1017" s="20">
        <v>44466</v>
      </c>
      <c r="H1017" s="21">
        <v>44846</v>
      </c>
      <c r="I1017" s="15">
        <f>(Table134[[#This Row],[Last_Day]]-Table134[[#This Row],[First_Day]]+1)/365</f>
        <v>1.0438356164383562</v>
      </c>
      <c r="J1017" s="59">
        <f>Table134[[#This Row],[number_of_purchases]]/Table134[[#This Row],[customer_total_years]]</f>
        <v>3.8320209973753281</v>
      </c>
      <c r="K1017" s="13">
        <f>Table134[[#This Row],[purchase_history]]/Table134[[#This Row],[number_of_purchases]]</f>
        <v>2470.3649999999998</v>
      </c>
      <c r="L1017" s="2">
        <f>IF(YEAR(Table134[[#This Row],[Last_Day]])=2021,5,IF(YEAR(Table134[[#This Row],[Last_Day]])=2022,7,IF(YEAR(Table134[[#This Row],[Last_Day]])=2023,10,"Không xác định")))</f>
        <v>7</v>
      </c>
      <c r="M1017" s="15">
        <f>Table134[[#This Row],[avg_number_of_purchases]]*Table1345[[#This Row],[avg_purchase_value]]*Table1345[[#This Row],[expected_lifespan]]</f>
        <v>66265.433858267701</v>
      </c>
      <c r="N1017" t="s">
        <v>12044</v>
      </c>
    </row>
    <row r="1018" spans="1:14" x14ac:dyDescent="0.3">
      <c r="A1018" s="2" t="s">
        <v>1016</v>
      </c>
      <c r="B1018" s="2" t="s">
        <v>12045</v>
      </c>
      <c r="C1018" s="2">
        <v>58</v>
      </c>
      <c r="D1018" s="2" t="s">
        <v>12041</v>
      </c>
      <c r="E1018" s="2">
        <f>COUNTIF(Table16[customer_id],Table13[[#This Row],[customer_id]])</f>
        <v>9</v>
      </c>
      <c r="F1018" s="13">
        <f>SUMIFS(Table16[Purchase_history],Table16[customer_id],Table13[[#This Row],[customer_id]])</f>
        <v>18136.099999999999</v>
      </c>
      <c r="G1018" s="20">
        <v>44244</v>
      </c>
      <c r="H1018" s="21">
        <v>44793</v>
      </c>
      <c r="I1018" s="15">
        <f>(Table134[[#This Row],[Last_Day]]-Table134[[#This Row],[First_Day]]+1)/365</f>
        <v>1.5068493150684932</v>
      </c>
      <c r="J1018" s="59">
        <f>Table134[[#This Row],[number_of_purchases]]/Table134[[#This Row],[customer_total_years]]</f>
        <v>5.9727272727272727</v>
      </c>
      <c r="K1018" s="13">
        <f>Table134[[#This Row],[purchase_history]]/Table134[[#This Row],[number_of_purchases]]</f>
        <v>2015.122222222222</v>
      </c>
      <c r="L1018" s="2">
        <f>IF(YEAR(Table134[[#This Row],[Last_Day]])=2021,5,IF(YEAR(Table134[[#This Row],[Last_Day]])=2022,7,IF(YEAR(Table134[[#This Row],[Last_Day]])=2023,10,"Không xác định")))</f>
        <v>7</v>
      </c>
      <c r="M1018" s="15">
        <f>Table134[[#This Row],[avg_number_of_purchases]]*Table1345[[#This Row],[avg_purchase_value]]*Table1345[[#This Row],[expected_lifespan]]</f>
        <v>84250.428181818177</v>
      </c>
      <c r="N1018" t="s">
        <v>12048</v>
      </c>
    </row>
    <row r="1019" spans="1:14" x14ac:dyDescent="0.3">
      <c r="A1019" s="2" t="s">
        <v>1017</v>
      </c>
      <c r="B1019" s="2" t="s">
        <v>12040</v>
      </c>
      <c r="C1019" s="2">
        <v>33</v>
      </c>
      <c r="D1019" s="2" t="s">
        <v>12049</v>
      </c>
      <c r="E1019" s="2">
        <f>COUNTIF(Table16[customer_id],Table13[[#This Row],[customer_id]])</f>
        <v>3</v>
      </c>
      <c r="F1019" s="13">
        <f>SUMIFS(Table16[Purchase_history],Table16[customer_id],Table13[[#This Row],[customer_id]])</f>
        <v>3031.76</v>
      </c>
      <c r="G1019" s="20">
        <v>44462</v>
      </c>
      <c r="H1019" s="21">
        <v>44595</v>
      </c>
      <c r="I1019" s="15">
        <f>(Table134[[#This Row],[Last_Day]]-Table134[[#This Row],[First_Day]]+1)/365</f>
        <v>0.36712328767123287</v>
      </c>
      <c r="J1019" s="59">
        <f>Table134[[#This Row],[number_of_purchases]]/Table134[[#This Row],[customer_total_years]]</f>
        <v>8.1716417910447756</v>
      </c>
      <c r="K1019" s="13">
        <f>Table134[[#This Row],[purchase_history]]/Table134[[#This Row],[number_of_purchases]]</f>
        <v>1010.5866666666667</v>
      </c>
      <c r="L1019" s="2">
        <f>IF(YEAR(Table134[[#This Row],[Last_Day]])=2021,5,IF(YEAR(Table134[[#This Row],[Last_Day]])=2022,7,IF(YEAR(Table134[[#This Row],[Last_Day]])=2023,10,"Không xác định")))</f>
        <v>7</v>
      </c>
      <c r="M1019" s="15">
        <f>Table134[[#This Row],[avg_number_of_purchases]]*Table1345[[#This Row],[avg_purchase_value]]*Table1345[[#This Row],[expected_lifespan]]</f>
        <v>57807.065671641787</v>
      </c>
      <c r="N1019" t="s">
        <v>12046</v>
      </c>
    </row>
    <row r="1020" spans="1:14" x14ac:dyDescent="0.3">
      <c r="A1020" s="2" t="s">
        <v>1018</v>
      </c>
      <c r="B1020" s="2" t="s">
        <v>12040</v>
      </c>
      <c r="C1020" s="2">
        <v>58</v>
      </c>
      <c r="D1020" s="2" t="s">
        <v>12049</v>
      </c>
      <c r="E1020" s="2">
        <f>COUNTIF(Table16[customer_id],Table13[[#This Row],[customer_id]])</f>
        <v>6</v>
      </c>
      <c r="F1020" s="13">
        <f>SUMIFS(Table16[Purchase_history],Table16[customer_id],Table13[[#This Row],[customer_id]])</f>
        <v>3279.41</v>
      </c>
      <c r="G1020" s="20">
        <v>44375</v>
      </c>
      <c r="H1020" s="21">
        <v>44887</v>
      </c>
      <c r="I1020" s="15">
        <f>(Table134[[#This Row],[Last_Day]]-Table134[[#This Row],[First_Day]]+1)/365</f>
        <v>1.4054794520547946</v>
      </c>
      <c r="J1020" s="59">
        <f>Table134[[#This Row],[number_of_purchases]]/Table134[[#This Row],[customer_total_years]]</f>
        <v>4.269005847953216</v>
      </c>
      <c r="K1020" s="13">
        <f>Table134[[#This Row],[purchase_history]]/Table134[[#This Row],[number_of_purchases]]</f>
        <v>546.56833333333327</v>
      </c>
      <c r="L1020" s="2">
        <f>IF(YEAR(Table134[[#This Row],[Last_Day]])=2021,5,IF(YEAR(Table134[[#This Row],[Last_Day]])=2022,7,IF(YEAR(Table134[[#This Row],[Last_Day]])=2023,10,"Không xác định")))</f>
        <v>7</v>
      </c>
      <c r="M1020" s="15">
        <f>Table134[[#This Row],[avg_number_of_purchases]]*Table1345[[#This Row],[avg_purchase_value]]*Table1345[[#This Row],[expected_lifespan]]</f>
        <v>16333.123879142298</v>
      </c>
      <c r="N1020" t="s">
        <v>12048</v>
      </c>
    </row>
    <row r="1021" spans="1:14" x14ac:dyDescent="0.3">
      <c r="A1021" s="2" t="s">
        <v>1019</v>
      </c>
      <c r="B1021" s="2" t="s">
        <v>12040</v>
      </c>
      <c r="C1021" s="2">
        <v>44</v>
      </c>
      <c r="D1021" s="2" t="s">
        <v>12049</v>
      </c>
      <c r="E1021" s="2">
        <f>COUNTIF(Table16[customer_id],Table13[[#This Row],[customer_id]])</f>
        <v>4</v>
      </c>
      <c r="F1021" s="13">
        <f>SUMIFS(Table16[Purchase_history],Table16[customer_id],Table13[[#This Row],[customer_id]])</f>
        <v>4219.47</v>
      </c>
      <c r="G1021" s="20">
        <v>44205</v>
      </c>
      <c r="H1021" s="21">
        <v>44594</v>
      </c>
      <c r="I1021" s="15">
        <f>(Table134[[#This Row],[Last_Day]]-Table134[[#This Row],[First_Day]]+1)/365</f>
        <v>1.0684931506849316</v>
      </c>
      <c r="J1021" s="59">
        <f>Table134[[#This Row],[number_of_purchases]]/Table134[[#This Row],[customer_total_years]]</f>
        <v>3.7435897435897436</v>
      </c>
      <c r="K1021" s="13">
        <f>Table134[[#This Row],[purchase_history]]/Table134[[#This Row],[number_of_purchases]]</f>
        <v>1054.8675000000001</v>
      </c>
      <c r="L1021" s="2">
        <f>IF(YEAR(Table134[[#This Row],[Last_Day]])=2021,5,IF(YEAR(Table134[[#This Row],[Last_Day]])=2022,7,IF(YEAR(Table134[[#This Row],[Last_Day]])=2023,10,"Không xác định")))</f>
        <v>7</v>
      </c>
      <c r="M1021" s="15">
        <f>Table134[[#This Row],[avg_number_of_purchases]]*Table1345[[#This Row],[avg_purchase_value]]*Table1345[[#This Row],[expected_lifespan]]</f>
        <v>27642.938076923081</v>
      </c>
      <c r="N1021" t="s">
        <v>12047</v>
      </c>
    </row>
    <row r="1022" spans="1:14" x14ac:dyDescent="0.3">
      <c r="A1022" s="2" t="s">
        <v>1020</v>
      </c>
      <c r="B1022" s="2" t="s">
        <v>12040</v>
      </c>
      <c r="C1022" s="2">
        <v>41</v>
      </c>
      <c r="D1022" s="2" t="s">
        <v>12043</v>
      </c>
      <c r="E1022" s="2">
        <f>COUNTIF(Table16[customer_id],Table13[[#This Row],[customer_id]])</f>
        <v>5</v>
      </c>
      <c r="F1022" s="13">
        <f>SUMIFS(Table16[Purchase_history],Table16[customer_id],Table13[[#This Row],[customer_id]])</f>
        <v>2163.4499999999998</v>
      </c>
      <c r="G1022" s="20">
        <v>44334</v>
      </c>
      <c r="H1022" s="21">
        <v>44862</v>
      </c>
      <c r="I1022" s="15">
        <f>(Table134[[#This Row],[Last_Day]]-Table134[[#This Row],[First_Day]]+1)/365</f>
        <v>1.4493150684931506</v>
      </c>
      <c r="J1022" s="59">
        <f>Table134[[#This Row],[number_of_purchases]]/Table134[[#This Row],[customer_total_years]]</f>
        <v>3.4499054820415882</v>
      </c>
      <c r="K1022" s="13">
        <f>Table134[[#This Row],[purchase_history]]/Table134[[#This Row],[number_of_purchases]]</f>
        <v>432.68999999999994</v>
      </c>
      <c r="L1022" s="2">
        <f>IF(YEAR(Table134[[#This Row],[Last_Day]])=2021,5,IF(YEAR(Table134[[#This Row],[Last_Day]])=2022,7,IF(YEAR(Table134[[#This Row],[Last_Day]])=2023,10,"Không xác định")))</f>
        <v>7</v>
      </c>
      <c r="M1022" s="15">
        <f>Table134[[#This Row],[avg_number_of_purchases]]*Table1345[[#This Row],[avg_purchase_value]]*Table1345[[#This Row],[expected_lifespan]]</f>
        <v>10449.177221172022</v>
      </c>
      <c r="N1022" t="s">
        <v>12046</v>
      </c>
    </row>
    <row r="1023" spans="1:14" x14ac:dyDescent="0.3">
      <c r="A1023" s="2" t="s">
        <v>1021</v>
      </c>
      <c r="B1023" s="2" t="s">
        <v>12045</v>
      </c>
      <c r="C1023" s="2">
        <v>58</v>
      </c>
      <c r="D1023" s="2" t="s">
        <v>12041</v>
      </c>
      <c r="E1023" s="2">
        <f>COUNTIF(Table16[customer_id],Table13[[#This Row],[customer_id]])</f>
        <v>6</v>
      </c>
      <c r="F1023" s="13">
        <f>SUMIFS(Table16[Purchase_history],Table16[customer_id],Table13[[#This Row],[customer_id]])</f>
        <v>13833.73</v>
      </c>
      <c r="G1023" s="20">
        <v>44283</v>
      </c>
      <c r="H1023" s="21">
        <v>44952</v>
      </c>
      <c r="I1023" s="15">
        <f>(Table134[[#This Row],[Last_Day]]-Table134[[#This Row],[First_Day]]+1)/365</f>
        <v>1.8356164383561644</v>
      </c>
      <c r="J1023" s="59">
        <f>Table134[[#This Row],[number_of_purchases]]/Table134[[#This Row],[customer_total_years]]</f>
        <v>3.2686567164179103</v>
      </c>
      <c r="K1023" s="13">
        <f>Table134[[#This Row],[purchase_history]]/Table134[[#This Row],[number_of_purchases]]</f>
        <v>2305.6216666666664</v>
      </c>
      <c r="L1023" s="2">
        <f>IF(YEAR(Table134[[#This Row],[Last_Day]])=2021,5,IF(YEAR(Table134[[#This Row],[Last_Day]])=2022,7,IF(YEAR(Table134[[#This Row],[Last_Day]])=2023,10,"Không xác định")))</f>
        <v>10</v>
      </c>
      <c r="M1023" s="15">
        <f>Table134[[#This Row],[avg_number_of_purchases]]*Table1345[[#This Row],[avg_purchase_value]]*Table1345[[#This Row],[expected_lifespan]]</f>
        <v>75362.857462686559</v>
      </c>
      <c r="N1023" t="s">
        <v>12044</v>
      </c>
    </row>
    <row r="1024" spans="1:14" x14ac:dyDescent="0.3">
      <c r="A1024" s="2" t="s">
        <v>1022</v>
      </c>
      <c r="B1024" s="2" t="s">
        <v>12040</v>
      </c>
      <c r="C1024" s="2">
        <v>66</v>
      </c>
      <c r="D1024" s="2" t="s">
        <v>12041</v>
      </c>
      <c r="E1024" s="2">
        <f>COUNTIF(Table16[customer_id],Table13[[#This Row],[customer_id]])</f>
        <v>2</v>
      </c>
      <c r="F1024" s="13">
        <f>SUMIFS(Table16[Purchase_history],Table16[customer_id],Table13[[#This Row],[customer_id]])</f>
        <v>2747.6400000000003</v>
      </c>
      <c r="G1024" s="20">
        <v>44554</v>
      </c>
      <c r="H1024" s="21">
        <v>44761</v>
      </c>
      <c r="I1024" s="15">
        <f>(Table134[[#This Row],[Last_Day]]-Table134[[#This Row],[First_Day]]+1)/365</f>
        <v>0.56986301369863013</v>
      </c>
      <c r="J1024" s="59">
        <f>Table134[[#This Row],[number_of_purchases]]/Table134[[#This Row],[customer_total_years]]</f>
        <v>3.5096153846153846</v>
      </c>
      <c r="K1024" s="13">
        <f>Table134[[#This Row],[purchase_history]]/Table134[[#This Row],[number_of_purchases]]</f>
        <v>1373.8200000000002</v>
      </c>
      <c r="L1024" s="2">
        <f>IF(YEAR(Table134[[#This Row],[Last_Day]])=2021,5,IF(YEAR(Table134[[#This Row],[Last_Day]])=2022,7,IF(YEAR(Table134[[#This Row],[Last_Day]])=2023,10,"Không xác định")))</f>
        <v>7</v>
      </c>
      <c r="M1024" s="15">
        <f>Table134[[#This Row],[avg_number_of_purchases]]*Table1345[[#This Row],[avg_purchase_value]]*Table1345[[#This Row],[expected_lifespan]]</f>
        <v>33751.058653846158</v>
      </c>
      <c r="N1024" t="s">
        <v>12048</v>
      </c>
    </row>
    <row r="1025" spans="1:14" x14ac:dyDescent="0.3">
      <c r="A1025" s="2" t="s">
        <v>1023</v>
      </c>
      <c r="B1025" s="2" t="s">
        <v>12040</v>
      </c>
      <c r="C1025" s="2">
        <v>18</v>
      </c>
      <c r="D1025" s="2" t="s">
        <v>12043</v>
      </c>
      <c r="E1025" s="2">
        <f>COUNTIF(Table16[customer_id],Table13[[#This Row],[customer_id]])</f>
        <v>2</v>
      </c>
      <c r="F1025" s="13">
        <f>SUMIFS(Table16[Purchase_history],Table16[customer_id],Table13[[#This Row],[customer_id]])</f>
        <v>8518.5</v>
      </c>
      <c r="G1025" s="20">
        <v>44851</v>
      </c>
      <c r="H1025" s="21">
        <v>44856</v>
      </c>
      <c r="I1025" s="15">
        <f>(Table134[[#This Row],[Last_Day]]-Table134[[#This Row],[First_Day]]+1)/365</f>
        <v>1.643835616438356E-2</v>
      </c>
      <c r="J1025" s="59">
        <f>Table134[[#This Row],[number_of_purchases]]/Table134[[#This Row],[customer_total_years]]</f>
        <v>121.66666666666669</v>
      </c>
      <c r="K1025" s="13">
        <f>Table134[[#This Row],[purchase_history]]/Table134[[#This Row],[number_of_purchases]]</f>
        <v>4259.25</v>
      </c>
      <c r="L1025" s="2">
        <f>IF(YEAR(Table134[[#This Row],[Last_Day]])=2021,5,IF(YEAR(Table134[[#This Row],[Last_Day]])=2022,7,IF(YEAR(Table134[[#This Row],[Last_Day]])=2023,10,"Không xác định")))</f>
        <v>7</v>
      </c>
      <c r="M1025" s="15">
        <f>Table134[[#This Row],[avg_number_of_purchases]]*Table1345[[#This Row],[avg_purchase_value]]*Table1345[[#This Row],[expected_lifespan]]</f>
        <v>3627461.2500000005</v>
      </c>
      <c r="N1025" t="s">
        <v>12044</v>
      </c>
    </row>
    <row r="1026" spans="1:14" x14ac:dyDescent="0.3">
      <c r="A1026" s="2" t="s">
        <v>1024</v>
      </c>
      <c r="B1026" s="2" t="s">
        <v>12040</v>
      </c>
      <c r="C1026" s="2">
        <v>40</v>
      </c>
      <c r="D1026" s="2" t="s">
        <v>12041</v>
      </c>
      <c r="E1026" s="2">
        <f>COUNTIF(Table16[customer_id],Table13[[#This Row],[customer_id]])</f>
        <v>2</v>
      </c>
      <c r="F1026" s="13">
        <f>SUMIFS(Table16[Purchase_history],Table16[customer_id],Table13[[#This Row],[customer_id]])</f>
        <v>3066.6600000000003</v>
      </c>
      <c r="G1026" s="20">
        <v>44851</v>
      </c>
      <c r="H1026" s="21">
        <v>44920</v>
      </c>
      <c r="I1026" s="15">
        <f>(Table134[[#This Row],[Last_Day]]-Table134[[#This Row],[First_Day]]+1)/365</f>
        <v>0.19178082191780821</v>
      </c>
      <c r="J1026" s="59">
        <f>Table134[[#This Row],[number_of_purchases]]/Table134[[#This Row],[customer_total_years]]</f>
        <v>10.428571428571429</v>
      </c>
      <c r="K1026" s="13">
        <f>Table134[[#This Row],[purchase_history]]/Table134[[#This Row],[number_of_purchases]]</f>
        <v>1533.3300000000002</v>
      </c>
      <c r="L1026" s="2">
        <f>IF(YEAR(Table134[[#This Row],[Last_Day]])=2021,5,IF(YEAR(Table134[[#This Row],[Last_Day]])=2022,7,IF(YEAR(Table134[[#This Row],[Last_Day]])=2023,10,"Không xác định")))</f>
        <v>7</v>
      </c>
      <c r="M1026" s="15">
        <f>Table134[[#This Row],[avg_number_of_purchases]]*Table1345[[#This Row],[avg_purchase_value]]*Table1345[[#This Row],[expected_lifespan]]</f>
        <v>111933.09000000001</v>
      </c>
      <c r="N1026" t="s">
        <v>12047</v>
      </c>
    </row>
    <row r="1027" spans="1:14" x14ac:dyDescent="0.3">
      <c r="A1027" s="2" t="s">
        <v>1025</v>
      </c>
      <c r="B1027" s="2" t="s">
        <v>12040</v>
      </c>
      <c r="C1027" s="2">
        <v>60</v>
      </c>
      <c r="D1027" s="2" t="s">
        <v>12049</v>
      </c>
      <c r="E1027" s="2">
        <f>COUNTIF(Table16[customer_id],Table13[[#This Row],[customer_id]])</f>
        <v>3</v>
      </c>
      <c r="F1027" s="13">
        <f>SUMIFS(Table16[Purchase_history],Table16[customer_id],Table13[[#This Row],[customer_id]])</f>
        <v>6417.9400000000005</v>
      </c>
      <c r="G1027" s="20">
        <v>44632</v>
      </c>
      <c r="H1027" s="21">
        <v>44820</v>
      </c>
      <c r="I1027" s="15">
        <f>(Table134[[#This Row],[Last_Day]]-Table134[[#This Row],[First_Day]]+1)/365</f>
        <v>0.51780821917808217</v>
      </c>
      <c r="J1027" s="59">
        <f>Table134[[#This Row],[number_of_purchases]]/Table134[[#This Row],[customer_total_years]]</f>
        <v>5.7936507936507935</v>
      </c>
      <c r="K1027" s="13">
        <f>Table134[[#This Row],[purchase_history]]/Table134[[#This Row],[number_of_purchases]]</f>
        <v>2139.3133333333335</v>
      </c>
      <c r="L1027" s="2">
        <f>IF(YEAR(Table134[[#This Row],[Last_Day]])=2021,5,IF(YEAR(Table134[[#This Row],[Last_Day]])=2022,7,IF(YEAR(Table134[[#This Row],[Last_Day]])=2023,10,"Không xác định")))</f>
        <v>7</v>
      </c>
      <c r="M1027" s="15">
        <f>Table134[[#This Row],[avg_number_of_purchases]]*Table1345[[#This Row],[avg_purchase_value]]*Table1345[[#This Row],[expected_lifespan]]</f>
        <v>86761.040740740747</v>
      </c>
      <c r="N1027" t="s">
        <v>12048</v>
      </c>
    </row>
    <row r="1028" spans="1:14" x14ac:dyDescent="0.3">
      <c r="A1028" s="2" t="s">
        <v>1026</v>
      </c>
      <c r="B1028" s="2" t="s">
        <v>12045</v>
      </c>
      <c r="C1028" s="2">
        <v>32</v>
      </c>
      <c r="D1028" s="2" t="s">
        <v>12043</v>
      </c>
      <c r="E1028" s="2">
        <f>COUNTIF(Table16[customer_id],Table13[[#This Row],[customer_id]])</f>
        <v>6</v>
      </c>
      <c r="F1028" s="13">
        <f>SUMIFS(Table16[Purchase_history],Table16[customer_id],Table13[[#This Row],[customer_id]])</f>
        <v>8768.869999999999</v>
      </c>
      <c r="G1028" s="20">
        <v>44538</v>
      </c>
      <c r="H1028" s="21">
        <v>44992</v>
      </c>
      <c r="I1028" s="15">
        <f>(Table134[[#This Row],[Last_Day]]-Table134[[#This Row],[First_Day]]+1)/365</f>
        <v>1.2465753424657535</v>
      </c>
      <c r="J1028" s="59">
        <f>Table134[[#This Row],[number_of_purchases]]/Table134[[#This Row],[customer_total_years]]</f>
        <v>4.813186813186813</v>
      </c>
      <c r="K1028" s="13">
        <f>Table134[[#This Row],[purchase_history]]/Table134[[#This Row],[number_of_purchases]]</f>
        <v>1461.4783333333332</v>
      </c>
      <c r="L1028" s="2">
        <f>IF(YEAR(Table134[[#This Row],[Last_Day]])=2021,5,IF(YEAR(Table134[[#This Row],[Last_Day]])=2022,7,IF(YEAR(Table134[[#This Row],[Last_Day]])=2023,10,"Không xác định")))</f>
        <v>10</v>
      </c>
      <c r="M1028" s="15">
        <f>Table134[[#This Row],[avg_number_of_purchases]]*Table1345[[#This Row],[avg_purchase_value]]*Table1345[[#This Row],[expected_lifespan]]</f>
        <v>70343.682417582415</v>
      </c>
      <c r="N1028" t="s">
        <v>12046</v>
      </c>
    </row>
    <row r="1029" spans="1:14" x14ac:dyDescent="0.3">
      <c r="A1029" s="2" t="s">
        <v>1027</v>
      </c>
      <c r="B1029" s="2" t="s">
        <v>12040</v>
      </c>
      <c r="C1029" s="2">
        <v>45</v>
      </c>
      <c r="D1029" s="2" t="s">
        <v>12049</v>
      </c>
      <c r="E1029" s="2">
        <f>COUNTIF(Table16[customer_id],Table13[[#This Row],[customer_id]])</f>
        <v>4</v>
      </c>
      <c r="F1029" s="13">
        <f>SUMIFS(Table16[Purchase_history],Table16[customer_id],Table13[[#This Row],[customer_id]])</f>
        <v>3832.21</v>
      </c>
      <c r="G1029" s="20">
        <v>44249</v>
      </c>
      <c r="H1029" s="21">
        <v>44985</v>
      </c>
      <c r="I1029" s="15">
        <f>(Table134[[#This Row],[Last_Day]]-Table134[[#This Row],[First_Day]]+1)/365</f>
        <v>2.0191780821917806</v>
      </c>
      <c r="J1029" s="59">
        <f>Table134[[#This Row],[number_of_purchases]]/Table134[[#This Row],[customer_total_years]]</f>
        <v>1.9810040705563094</v>
      </c>
      <c r="K1029" s="13">
        <f>Table134[[#This Row],[purchase_history]]/Table134[[#This Row],[number_of_purchases]]</f>
        <v>958.05250000000001</v>
      </c>
      <c r="L1029" s="2">
        <f>IF(YEAR(Table134[[#This Row],[Last_Day]])=2021,5,IF(YEAR(Table134[[#This Row],[Last_Day]])=2022,7,IF(YEAR(Table134[[#This Row],[Last_Day]])=2023,10,"Không xác định")))</f>
        <v>10</v>
      </c>
      <c r="M1029" s="15">
        <f>Table134[[#This Row],[avg_number_of_purchases]]*Table1345[[#This Row],[avg_purchase_value]]*Table1345[[#This Row],[expected_lifespan]]</f>
        <v>18979.059023066486</v>
      </c>
      <c r="N1029" t="s">
        <v>12047</v>
      </c>
    </row>
    <row r="1030" spans="1:14" x14ac:dyDescent="0.3">
      <c r="A1030" s="2" t="s">
        <v>1028</v>
      </c>
      <c r="B1030" s="2" t="s">
        <v>12040</v>
      </c>
      <c r="C1030" s="2">
        <v>41</v>
      </c>
      <c r="D1030" s="2" t="s">
        <v>12043</v>
      </c>
      <c r="E1030" s="2">
        <f>COUNTIF(Table16[customer_id],Table13[[#This Row],[customer_id]])</f>
        <v>2</v>
      </c>
      <c r="F1030" s="13">
        <f>SUMIFS(Table16[Purchase_history],Table16[customer_id],Table13[[#This Row],[customer_id]])</f>
        <v>3717.2200000000003</v>
      </c>
      <c r="G1030" s="20">
        <v>44216</v>
      </c>
      <c r="H1030" s="21">
        <v>44388</v>
      </c>
      <c r="I1030" s="15">
        <f>(Table134[[#This Row],[Last_Day]]-Table134[[#This Row],[First_Day]]+1)/365</f>
        <v>0.47397260273972602</v>
      </c>
      <c r="J1030" s="59">
        <f>Table134[[#This Row],[number_of_purchases]]/Table134[[#This Row],[customer_total_years]]</f>
        <v>4.2196531791907512</v>
      </c>
      <c r="K1030" s="13">
        <f>Table134[[#This Row],[purchase_history]]/Table134[[#This Row],[number_of_purchases]]</f>
        <v>1858.6100000000001</v>
      </c>
      <c r="L1030" s="2">
        <f>IF(YEAR(Table134[[#This Row],[Last_Day]])=2021,5,IF(YEAR(Table134[[#This Row],[Last_Day]])=2022,7,IF(YEAR(Table134[[#This Row],[Last_Day]])=2023,10,"Không xác định")))</f>
        <v>5</v>
      </c>
      <c r="M1030" s="15">
        <f>Table134[[#This Row],[avg_number_of_purchases]]*Table1345[[#This Row],[avg_purchase_value]]*Table1345[[#This Row],[expected_lifespan]]</f>
        <v>39213.447976878611</v>
      </c>
      <c r="N1030" t="s">
        <v>12048</v>
      </c>
    </row>
    <row r="1031" spans="1:14" x14ac:dyDescent="0.3">
      <c r="A1031" s="2" t="s">
        <v>1029</v>
      </c>
      <c r="B1031" s="2" t="s">
        <v>12045</v>
      </c>
      <c r="C1031" s="2">
        <v>33</v>
      </c>
      <c r="D1031" s="2" t="s">
        <v>12043</v>
      </c>
      <c r="E1031" s="2">
        <f>COUNTIF(Table16[customer_id],Table13[[#This Row],[customer_id]])</f>
        <v>3</v>
      </c>
      <c r="F1031" s="13">
        <f>SUMIFS(Table16[Purchase_history],Table16[customer_id],Table13[[#This Row],[customer_id]])</f>
        <v>10783.47</v>
      </c>
      <c r="G1031" s="20">
        <v>44235</v>
      </c>
      <c r="H1031" s="21">
        <v>44913</v>
      </c>
      <c r="I1031" s="15">
        <f>(Table134[[#This Row],[Last_Day]]-Table134[[#This Row],[First_Day]]+1)/365</f>
        <v>1.8602739726027397</v>
      </c>
      <c r="J1031" s="59">
        <f>Table134[[#This Row],[number_of_purchases]]/Table134[[#This Row],[customer_total_years]]</f>
        <v>1.6126656848306333</v>
      </c>
      <c r="K1031" s="13">
        <f>Table134[[#This Row],[purchase_history]]/Table134[[#This Row],[number_of_purchases]]</f>
        <v>3594.49</v>
      </c>
      <c r="L1031" s="2">
        <f>IF(YEAR(Table134[[#This Row],[Last_Day]])=2021,5,IF(YEAR(Table134[[#This Row],[Last_Day]])=2022,7,IF(YEAR(Table134[[#This Row],[Last_Day]])=2023,10,"Không xác định")))</f>
        <v>7</v>
      </c>
      <c r="M1031" s="15">
        <f>Table134[[#This Row],[avg_number_of_purchases]]*Table1345[[#This Row],[avg_purchase_value]]*Table1345[[#This Row],[expected_lifespan]]</f>
        <v>40576.974742268038</v>
      </c>
      <c r="N1031" t="s">
        <v>12048</v>
      </c>
    </row>
    <row r="1032" spans="1:14" x14ac:dyDescent="0.3">
      <c r="A1032" s="2" t="s">
        <v>1030</v>
      </c>
      <c r="B1032" s="2" t="s">
        <v>12040</v>
      </c>
      <c r="C1032" s="2">
        <v>29</v>
      </c>
      <c r="D1032" s="2" t="s">
        <v>12043</v>
      </c>
      <c r="E1032" s="2">
        <f>COUNTIF(Table16[customer_id],Table13[[#This Row],[customer_id]])</f>
        <v>4</v>
      </c>
      <c r="F1032" s="13">
        <f>SUMIFS(Table16[Purchase_history],Table16[customer_id],Table13[[#This Row],[customer_id]])</f>
        <v>9516.81</v>
      </c>
      <c r="G1032" s="20">
        <v>44483</v>
      </c>
      <c r="H1032" s="21">
        <v>44912</v>
      </c>
      <c r="I1032" s="15">
        <f>(Table134[[#This Row],[Last_Day]]-Table134[[#This Row],[First_Day]]+1)/365</f>
        <v>1.178082191780822</v>
      </c>
      <c r="J1032" s="59">
        <f>Table134[[#This Row],[number_of_purchases]]/Table134[[#This Row],[customer_total_years]]</f>
        <v>3.3953488372093021</v>
      </c>
      <c r="K1032" s="13">
        <f>Table134[[#This Row],[purchase_history]]/Table134[[#This Row],[number_of_purchases]]</f>
        <v>2379.2024999999999</v>
      </c>
      <c r="L1032" s="2">
        <f>IF(YEAR(Table134[[#This Row],[Last_Day]])=2021,5,IF(YEAR(Table134[[#This Row],[Last_Day]])=2022,7,IF(YEAR(Table134[[#This Row],[Last_Day]])=2023,10,"Không xác định")))</f>
        <v>7</v>
      </c>
      <c r="M1032" s="15">
        <f>Table134[[#This Row],[avg_number_of_purchases]]*Table1345[[#This Row],[avg_purchase_value]]*Table1345[[#This Row],[expected_lifespan]]</f>
        <v>56547.55709302325</v>
      </c>
      <c r="N1032" t="s">
        <v>12048</v>
      </c>
    </row>
    <row r="1033" spans="1:14" x14ac:dyDescent="0.3">
      <c r="A1033" s="2" t="s">
        <v>1031</v>
      </c>
      <c r="B1033" s="2" t="s">
        <v>12040</v>
      </c>
      <c r="C1033" s="2">
        <v>55</v>
      </c>
      <c r="D1033" s="2" t="s">
        <v>12043</v>
      </c>
      <c r="E1033" s="2">
        <f>COUNTIF(Table16[customer_id],Table13[[#This Row],[customer_id]])</f>
        <v>2</v>
      </c>
      <c r="F1033" s="13">
        <f>SUMIFS(Table16[Purchase_history],Table16[customer_id],Table13[[#This Row],[customer_id]])</f>
        <v>10803.039999999999</v>
      </c>
      <c r="G1033" s="20">
        <v>44611</v>
      </c>
      <c r="H1033" s="21">
        <v>44757</v>
      </c>
      <c r="I1033" s="15">
        <f>(Table134[[#This Row],[Last_Day]]-Table134[[#This Row],[First_Day]]+1)/365</f>
        <v>0.40273972602739727</v>
      </c>
      <c r="J1033" s="59">
        <f>Table134[[#This Row],[number_of_purchases]]/Table134[[#This Row],[customer_total_years]]</f>
        <v>4.9659863945578229</v>
      </c>
      <c r="K1033" s="13">
        <f>Table134[[#This Row],[purchase_history]]/Table134[[#This Row],[number_of_purchases]]</f>
        <v>5401.5199999999995</v>
      </c>
      <c r="L1033" s="2">
        <f>IF(YEAR(Table134[[#This Row],[Last_Day]])=2021,5,IF(YEAR(Table134[[#This Row],[Last_Day]])=2022,7,IF(YEAR(Table134[[#This Row],[Last_Day]])=2023,10,"Không xác định")))</f>
        <v>7</v>
      </c>
      <c r="M1033" s="15">
        <f>Table134[[#This Row],[avg_number_of_purchases]]*Table1345[[#This Row],[avg_purchase_value]]*Table1345[[#This Row],[expected_lifespan]]</f>
        <v>187767.12380952379</v>
      </c>
      <c r="N1033" t="s">
        <v>12044</v>
      </c>
    </row>
    <row r="1034" spans="1:14" x14ac:dyDescent="0.3">
      <c r="A1034" s="2" t="s">
        <v>1032</v>
      </c>
      <c r="B1034" s="2" t="s">
        <v>12040</v>
      </c>
      <c r="C1034" s="2">
        <v>37</v>
      </c>
      <c r="D1034" s="2" t="s">
        <v>12043</v>
      </c>
      <c r="E1034" s="2">
        <f>COUNTIF(Table16[customer_id],Table13[[#This Row],[customer_id]])</f>
        <v>5</v>
      </c>
      <c r="F1034" s="13">
        <f>SUMIFS(Table16[Purchase_history],Table16[customer_id],Table13[[#This Row],[customer_id]])</f>
        <v>14270.419999999998</v>
      </c>
      <c r="G1034" s="20">
        <v>44587</v>
      </c>
      <c r="H1034" s="21">
        <v>44983</v>
      </c>
      <c r="I1034" s="15">
        <f>(Table134[[#This Row],[Last_Day]]-Table134[[#This Row],[First_Day]]+1)/365</f>
        <v>1.0876712328767124</v>
      </c>
      <c r="J1034" s="59">
        <f>Table134[[#This Row],[number_of_purchases]]/Table134[[#This Row],[customer_total_years]]</f>
        <v>4.5969773299748109</v>
      </c>
      <c r="K1034" s="13">
        <f>Table134[[#This Row],[purchase_history]]/Table134[[#This Row],[number_of_purchases]]</f>
        <v>2854.0839999999998</v>
      </c>
      <c r="L1034" s="2">
        <f>IF(YEAR(Table134[[#This Row],[Last_Day]])=2021,5,IF(YEAR(Table134[[#This Row],[Last_Day]])=2022,7,IF(YEAR(Table134[[#This Row],[Last_Day]])=2023,10,"Không xác định")))</f>
        <v>10</v>
      </c>
      <c r="M1034" s="15">
        <f>Table134[[#This Row],[avg_number_of_purchases]]*Table1345[[#This Row],[avg_purchase_value]]*Table1345[[#This Row],[expected_lifespan]]</f>
        <v>131201.59445843828</v>
      </c>
      <c r="N1034" t="s">
        <v>12046</v>
      </c>
    </row>
    <row r="1035" spans="1:14" x14ac:dyDescent="0.3">
      <c r="A1035" s="2" t="s">
        <v>1033</v>
      </c>
      <c r="B1035" s="2" t="s">
        <v>12045</v>
      </c>
      <c r="C1035" s="2">
        <v>31</v>
      </c>
      <c r="D1035" s="2" t="s">
        <v>12049</v>
      </c>
      <c r="E1035" s="2">
        <f>COUNTIF(Table16[customer_id],Table13[[#This Row],[customer_id]])</f>
        <v>6</v>
      </c>
      <c r="F1035" s="13">
        <f>SUMIFS(Table16[Purchase_history],Table16[customer_id],Table13[[#This Row],[customer_id]])</f>
        <v>2873.1099999999997</v>
      </c>
      <c r="G1035" s="20">
        <v>44468</v>
      </c>
      <c r="H1035" s="21">
        <v>44939</v>
      </c>
      <c r="I1035" s="15">
        <f>(Table134[[#This Row],[Last_Day]]-Table134[[#This Row],[First_Day]]+1)/365</f>
        <v>1.2931506849315069</v>
      </c>
      <c r="J1035" s="59">
        <f>Table134[[#This Row],[number_of_purchases]]/Table134[[#This Row],[customer_total_years]]</f>
        <v>4.6398305084745761</v>
      </c>
      <c r="K1035" s="13">
        <f>Table134[[#This Row],[purchase_history]]/Table134[[#This Row],[number_of_purchases]]</f>
        <v>478.85166666666663</v>
      </c>
      <c r="L1035" s="2">
        <f>IF(YEAR(Table134[[#This Row],[Last_Day]])=2021,5,IF(YEAR(Table134[[#This Row],[Last_Day]])=2022,7,IF(YEAR(Table134[[#This Row],[Last_Day]])=2023,10,"Không xác định")))</f>
        <v>10</v>
      </c>
      <c r="M1035" s="15">
        <f>Table134[[#This Row],[avg_number_of_purchases]]*Table1345[[#This Row],[avg_purchase_value]]*Table1345[[#This Row],[expected_lifespan]]</f>
        <v>22217.905720338982</v>
      </c>
      <c r="N1035" t="s">
        <v>12044</v>
      </c>
    </row>
    <row r="1036" spans="1:14" x14ac:dyDescent="0.3">
      <c r="A1036" s="2" t="s">
        <v>1034</v>
      </c>
      <c r="B1036" s="2" t="s">
        <v>12045</v>
      </c>
      <c r="C1036" s="2">
        <v>54</v>
      </c>
      <c r="D1036" s="2" t="s">
        <v>12049</v>
      </c>
      <c r="E1036" s="2">
        <f>COUNTIF(Table16[customer_id],Table13[[#This Row],[customer_id]])</f>
        <v>4</v>
      </c>
      <c r="F1036" s="13">
        <f>SUMIFS(Table16[Purchase_history],Table16[customer_id],Table13[[#This Row],[customer_id]])</f>
        <v>8207.73</v>
      </c>
      <c r="G1036" s="20">
        <v>44293</v>
      </c>
      <c r="H1036" s="21">
        <v>44819</v>
      </c>
      <c r="I1036" s="15">
        <f>(Table134[[#This Row],[Last_Day]]-Table134[[#This Row],[First_Day]]+1)/365</f>
        <v>1.4438356164383561</v>
      </c>
      <c r="J1036" s="59">
        <f>Table134[[#This Row],[number_of_purchases]]/Table134[[#This Row],[customer_total_years]]</f>
        <v>2.7703984819734346</v>
      </c>
      <c r="K1036" s="13">
        <f>Table134[[#This Row],[purchase_history]]/Table134[[#This Row],[number_of_purchases]]</f>
        <v>2051.9324999999999</v>
      </c>
      <c r="L1036" s="2">
        <f>IF(YEAR(Table134[[#This Row],[Last_Day]])=2021,5,IF(YEAR(Table134[[#This Row],[Last_Day]])=2022,7,IF(YEAR(Table134[[#This Row],[Last_Day]])=2023,10,"Không xác định")))</f>
        <v>7</v>
      </c>
      <c r="M1036" s="15">
        <f>Table134[[#This Row],[avg_number_of_purchases]]*Table1345[[#This Row],[avg_purchase_value]]*Table1345[[#This Row],[expected_lifespan]]</f>
        <v>39792.694781783684</v>
      </c>
      <c r="N1036" t="s">
        <v>12046</v>
      </c>
    </row>
    <row r="1037" spans="1:14" x14ac:dyDescent="0.3">
      <c r="A1037" s="2" t="s">
        <v>1035</v>
      </c>
      <c r="B1037" s="2" t="s">
        <v>12040</v>
      </c>
      <c r="C1037" s="2">
        <v>54</v>
      </c>
      <c r="D1037" s="2" t="s">
        <v>12041</v>
      </c>
      <c r="E1037" s="2">
        <f>COUNTIF(Table16[customer_id],Table13[[#This Row],[customer_id]])</f>
        <v>4</v>
      </c>
      <c r="F1037" s="13">
        <f>SUMIFS(Table16[Purchase_history],Table16[customer_id],Table13[[#This Row],[customer_id]])</f>
        <v>11273.73</v>
      </c>
      <c r="G1037" s="20">
        <v>44448</v>
      </c>
      <c r="H1037" s="21">
        <v>44757</v>
      </c>
      <c r="I1037" s="15">
        <f>(Table134[[#This Row],[Last_Day]]-Table134[[#This Row],[First_Day]]+1)/365</f>
        <v>0.84931506849315064</v>
      </c>
      <c r="J1037" s="59">
        <f>Table134[[#This Row],[number_of_purchases]]/Table134[[#This Row],[customer_total_years]]</f>
        <v>4.709677419354839</v>
      </c>
      <c r="K1037" s="13">
        <f>Table134[[#This Row],[purchase_history]]/Table134[[#This Row],[number_of_purchases]]</f>
        <v>2818.4324999999999</v>
      </c>
      <c r="L1037" s="2">
        <f>IF(YEAR(Table134[[#This Row],[Last_Day]])=2021,5,IF(YEAR(Table134[[#This Row],[Last_Day]])=2022,7,IF(YEAR(Table134[[#This Row],[Last_Day]])=2023,10,"Không xác định")))</f>
        <v>7</v>
      </c>
      <c r="M1037" s="15">
        <f>Table134[[#This Row],[avg_number_of_purchases]]*Table1345[[#This Row],[avg_purchase_value]]*Table1345[[#This Row],[expected_lifespan]]</f>
        <v>92917.355322580654</v>
      </c>
      <c r="N1037" t="s">
        <v>12046</v>
      </c>
    </row>
    <row r="1038" spans="1:14" x14ac:dyDescent="0.3">
      <c r="A1038" s="2" t="s">
        <v>1036</v>
      </c>
      <c r="B1038" s="2" t="s">
        <v>12045</v>
      </c>
      <c r="C1038" s="2">
        <v>38</v>
      </c>
      <c r="D1038" s="2" t="s">
        <v>12041</v>
      </c>
      <c r="E1038" s="2">
        <f>COUNTIF(Table16[customer_id],Table13[[#This Row],[customer_id]])</f>
        <v>4</v>
      </c>
      <c r="F1038" s="13">
        <f>SUMIFS(Table16[Purchase_history],Table16[customer_id],Table13[[#This Row],[customer_id]])</f>
        <v>20705.61</v>
      </c>
      <c r="G1038" s="20">
        <v>44223</v>
      </c>
      <c r="H1038" s="21">
        <v>44519</v>
      </c>
      <c r="I1038" s="15">
        <f>(Table134[[#This Row],[Last_Day]]-Table134[[#This Row],[First_Day]]+1)/365</f>
        <v>0.81369863013698629</v>
      </c>
      <c r="J1038" s="59">
        <f>Table134[[#This Row],[number_of_purchases]]/Table134[[#This Row],[customer_total_years]]</f>
        <v>4.9158249158249161</v>
      </c>
      <c r="K1038" s="13">
        <f>Table134[[#This Row],[purchase_history]]/Table134[[#This Row],[number_of_purchases]]</f>
        <v>5176.4025000000001</v>
      </c>
      <c r="L1038" s="2">
        <f>IF(YEAR(Table134[[#This Row],[Last_Day]])=2021,5,IF(YEAR(Table134[[#This Row],[Last_Day]])=2022,7,IF(YEAR(Table134[[#This Row],[Last_Day]])=2023,10,"Không xác định")))</f>
        <v>5</v>
      </c>
      <c r="M1038" s="15">
        <f>Table134[[#This Row],[avg_number_of_purchases]]*Table1345[[#This Row],[avg_purchase_value]]*Table1345[[#This Row],[expected_lifespan]]</f>
        <v>127231.44191919193</v>
      </c>
      <c r="N1038" t="s">
        <v>12046</v>
      </c>
    </row>
    <row r="1039" spans="1:14" x14ac:dyDescent="0.3">
      <c r="A1039" s="2" t="s">
        <v>1037</v>
      </c>
      <c r="B1039" s="2" t="s">
        <v>12045</v>
      </c>
      <c r="C1039" s="2">
        <v>52</v>
      </c>
      <c r="D1039" s="2" t="s">
        <v>12049</v>
      </c>
      <c r="E1039" s="2">
        <f>COUNTIF(Table16[customer_id],Table13[[#This Row],[customer_id]])</f>
        <v>5</v>
      </c>
      <c r="F1039" s="13">
        <f>SUMIFS(Table16[Purchase_history],Table16[customer_id],Table13[[#This Row],[customer_id]])</f>
        <v>11092.349999999999</v>
      </c>
      <c r="G1039" s="20">
        <v>44436</v>
      </c>
      <c r="H1039" s="21">
        <v>44953</v>
      </c>
      <c r="I1039" s="15">
        <f>(Table134[[#This Row],[Last_Day]]-Table134[[#This Row],[First_Day]]+1)/365</f>
        <v>1.4191780821917808</v>
      </c>
      <c r="J1039" s="59">
        <f>Table134[[#This Row],[number_of_purchases]]/Table134[[#This Row],[customer_total_years]]</f>
        <v>3.5231660231660231</v>
      </c>
      <c r="K1039" s="13">
        <f>Table134[[#This Row],[purchase_history]]/Table134[[#This Row],[number_of_purchases]]</f>
        <v>2218.4699999999998</v>
      </c>
      <c r="L1039" s="2">
        <f>IF(YEAR(Table134[[#This Row],[Last_Day]])=2021,5,IF(YEAR(Table134[[#This Row],[Last_Day]])=2022,7,IF(YEAR(Table134[[#This Row],[Last_Day]])=2023,10,"Không xác định")))</f>
        <v>10</v>
      </c>
      <c r="M1039" s="15">
        <f>Table134[[#This Row],[avg_number_of_purchases]]*Table1345[[#This Row],[avg_purchase_value]]*Table1345[[#This Row],[expected_lifespan]]</f>
        <v>78160.381274131272</v>
      </c>
      <c r="N1039" t="s">
        <v>12044</v>
      </c>
    </row>
    <row r="1040" spans="1:14" x14ac:dyDescent="0.3">
      <c r="A1040" s="2" t="s">
        <v>1038</v>
      </c>
      <c r="B1040" s="2" t="s">
        <v>12045</v>
      </c>
      <c r="C1040" s="2">
        <v>50</v>
      </c>
      <c r="D1040" s="2" t="s">
        <v>12041</v>
      </c>
      <c r="E1040" s="2">
        <f>COUNTIF(Table16[customer_id],Table13[[#This Row],[customer_id]])</f>
        <v>5</v>
      </c>
      <c r="F1040" s="13">
        <f>SUMIFS(Table16[Purchase_history],Table16[customer_id],Table13[[#This Row],[customer_id]])</f>
        <v>21716.34</v>
      </c>
      <c r="G1040" s="20">
        <v>44233</v>
      </c>
      <c r="H1040" s="21">
        <v>44984</v>
      </c>
      <c r="I1040" s="15">
        <f>(Table134[[#This Row],[Last_Day]]-Table134[[#This Row],[First_Day]]+1)/365</f>
        <v>2.0602739726027397</v>
      </c>
      <c r="J1040" s="59">
        <f>Table134[[#This Row],[number_of_purchases]]/Table134[[#This Row],[customer_total_years]]</f>
        <v>2.4268617021276597</v>
      </c>
      <c r="K1040" s="13">
        <f>Table134[[#This Row],[purchase_history]]/Table134[[#This Row],[number_of_purchases]]</f>
        <v>4343.268</v>
      </c>
      <c r="L1040" s="2">
        <f>IF(YEAR(Table134[[#This Row],[Last_Day]])=2021,5,IF(YEAR(Table134[[#This Row],[Last_Day]])=2022,7,IF(YEAR(Table134[[#This Row],[Last_Day]])=2023,10,"Không xác định")))</f>
        <v>10</v>
      </c>
      <c r="M1040" s="15">
        <f>Table134[[#This Row],[avg_number_of_purchases]]*Table1345[[#This Row],[avg_purchase_value]]*Table1345[[#This Row],[expected_lifespan]]</f>
        <v>105405.10771276597</v>
      </c>
      <c r="N1040" t="s">
        <v>12048</v>
      </c>
    </row>
    <row r="1041" spans="1:14" x14ac:dyDescent="0.3">
      <c r="A1041" s="2" t="s">
        <v>1039</v>
      </c>
      <c r="B1041" s="2" t="s">
        <v>12045</v>
      </c>
      <c r="C1041" s="2">
        <v>21</v>
      </c>
      <c r="D1041" s="2" t="s">
        <v>12043</v>
      </c>
      <c r="E1041" s="2">
        <f>COUNTIF(Table16[customer_id],Table13[[#This Row],[customer_id]])</f>
        <v>2</v>
      </c>
      <c r="F1041" s="13">
        <f>SUMIFS(Table16[Purchase_history],Table16[customer_id],Table13[[#This Row],[customer_id]])</f>
        <v>5167.2199999999993</v>
      </c>
      <c r="G1041" s="20">
        <v>44646</v>
      </c>
      <c r="H1041" s="21">
        <v>44804</v>
      </c>
      <c r="I1041" s="15">
        <f>(Table134[[#This Row],[Last_Day]]-Table134[[#This Row],[First_Day]]+1)/365</f>
        <v>0.43561643835616437</v>
      </c>
      <c r="J1041" s="59">
        <f>Table134[[#This Row],[number_of_purchases]]/Table134[[#This Row],[customer_total_years]]</f>
        <v>4.5911949685534594</v>
      </c>
      <c r="K1041" s="13">
        <f>Table134[[#This Row],[purchase_history]]/Table134[[#This Row],[number_of_purchases]]</f>
        <v>2583.6099999999997</v>
      </c>
      <c r="L1041" s="2">
        <f>IF(YEAR(Table134[[#This Row],[Last_Day]])=2021,5,IF(YEAR(Table134[[#This Row],[Last_Day]])=2022,7,IF(YEAR(Table134[[#This Row],[Last_Day]])=2023,10,"Không xác định")))</f>
        <v>7</v>
      </c>
      <c r="M1041" s="15">
        <f>Table134[[#This Row],[avg_number_of_purchases]]*Table1345[[#This Row],[avg_purchase_value]]*Table1345[[#This Row],[expected_lifespan]]</f>
        <v>83033.000628930808</v>
      </c>
      <c r="N1041" t="s">
        <v>12044</v>
      </c>
    </row>
    <row r="1042" spans="1:14" x14ac:dyDescent="0.3">
      <c r="A1042" s="2" t="s">
        <v>1040</v>
      </c>
      <c r="B1042" s="2" t="s">
        <v>12040</v>
      </c>
      <c r="C1042" s="2">
        <v>52</v>
      </c>
      <c r="D1042" s="2" t="s">
        <v>12041</v>
      </c>
      <c r="E1042" s="2">
        <f>COUNTIF(Table16[customer_id],Table13[[#This Row],[customer_id]])</f>
        <v>7</v>
      </c>
      <c r="F1042" s="13">
        <f>SUMIFS(Table16[Purchase_history],Table16[customer_id],Table13[[#This Row],[customer_id]])</f>
        <v>26686.68</v>
      </c>
      <c r="G1042" s="20">
        <v>44501</v>
      </c>
      <c r="H1042" s="21">
        <v>44951</v>
      </c>
      <c r="I1042" s="15">
        <f>(Table134[[#This Row],[Last_Day]]-Table134[[#This Row],[First_Day]]+1)/365</f>
        <v>1.2356164383561643</v>
      </c>
      <c r="J1042" s="59">
        <f>Table134[[#This Row],[number_of_purchases]]/Table134[[#This Row],[customer_total_years]]</f>
        <v>5.6651884700665196</v>
      </c>
      <c r="K1042" s="13">
        <f>Table134[[#This Row],[purchase_history]]/Table134[[#This Row],[number_of_purchases]]</f>
        <v>3812.3828571428571</v>
      </c>
      <c r="L1042" s="2">
        <f>IF(YEAR(Table134[[#This Row],[Last_Day]])=2021,5,IF(YEAR(Table134[[#This Row],[Last_Day]])=2022,7,IF(YEAR(Table134[[#This Row],[Last_Day]])=2023,10,"Không xác định")))</f>
        <v>10</v>
      </c>
      <c r="M1042" s="15">
        <f>Table134[[#This Row],[avg_number_of_purchases]]*Table1345[[#This Row],[avg_purchase_value]]*Table1345[[#This Row],[expected_lifespan]]</f>
        <v>215978.67405764968</v>
      </c>
      <c r="N1042" t="s">
        <v>12042</v>
      </c>
    </row>
    <row r="1043" spans="1:14" x14ac:dyDescent="0.3">
      <c r="A1043" s="2" t="s">
        <v>1041</v>
      </c>
      <c r="B1043" s="2" t="s">
        <v>12045</v>
      </c>
      <c r="C1043" s="2">
        <v>30</v>
      </c>
      <c r="D1043" s="2" t="s">
        <v>12041</v>
      </c>
      <c r="E1043" s="2">
        <f>COUNTIF(Table16[customer_id],Table13[[#This Row],[customer_id]])</f>
        <v>3</v>
      </c>
      <c r="F1043" s="13">
        <f>SUMIFS(Table16[Purchase_history],Table16[customer_id],Table13[[#This Row],[customer_id]])</f>
        <v>1442.32</v>
      </c>
      <c r="G1043" s="20">
        <v>44297</v>
      </c>
      <c r="H1043" s="21">
        <v>44850</v>
      </c>
      <c r="I1043" s="15">
        <f>(Table134[[#This Row],[Last_Day]]-Table134[[#This Row],[First_Day]]+1)/365</f>
        <v>1.5178082191780822</v>
      </c>
      <c r="J1043" s="59">
        <f>Table134[[#This Row],[number_of_purchases]]/Table134[[#This Row],[customer_total_years]]</f>
        <v>1.976534296028881</v>
      </c>
      <c r="K1043" s="13">
        <f>Table134[[#This Row],[purchase_history]]/Table134[[#This Row],[number_of_purchases]]</f>
        <v>480.77333333333331</v>
      </c>
      <c r="L1043" s="2">
        <f>IF(YEAR(Table134[[#This Row],[Last_Day]])=2021,5,IF(YEAR(Table134[[#This Row],[Last_Day]])=2022,7,IF(YEAR(Table134[[#This Row],[Last_Day]])=2023,10,"Không xác định")))</f>
        <v>7</v>
      </c>
      <c r="M1043" s="15">
        <f>Table134[[#This Row],[avg_number_of_purchases]]*Table1345[[#This Row],[avg_purchase_value]]*Table1345[[#This Row],[expected_lifespan]]</f>
        <v>6651.8548736462099</v>
      </c>
      <c r="N1043" t="s">
        <v>12046</v>
      </c>
    </row>
    <row r="1044" spans="1:14" x14ac:dyDescent="0.3">
      <c r="A1044" s="2" t="s">
        <v>1042</v>
      </c>
      <c r="B1044" s="2" t="s">
        <v>12040</v>
      </c>
      <c r="C1044" s="2">
        <v>60</v>
      </c>
      <c r="D1044" s="2" t="s">
        <v>12043</v>
      </c>
      <c r="E1044" s="2">
        <f>COUNTIF(Table16[customer_id],Table13[[#This Row],[customer_id]])</f>
        <v>5</v>
      </c>
      <c r="F1044" s="13">
        <f>SUMIFS(Table16[Purchase_history],Table16[customer_id],Table13[[#This Row],[customer_id]])</f>
        <v>7648.3799999999992</v>
      </c>
      <c r="G1044" s="20">
        <v>44206</v>
      </c>
      <c r="H1044" s="21">
        <v>44962</v>
      </c>
      <c r="I1044" s="15">
        <f>(Table134[[#This Row],[Last_Day]]-Table134[[#This Row],[First_Day]]+1)/365</f>
        <v>2.0739726027397261</v>
      </c>
      <c r="J1044" s="59">
        <f>Table134[[#This Row],[number_of_purchases]]/Table134[[#This Row],[customer_total_years]]</f>
        <v>2.4108322324966975</v>
      </c>
      <c r="K1044" s="13">
        <f>Table134[[#This Row],[purchase_history]]/Table134[[#This Row],[number_of_purchases]]</f>
        <v>1529.6759999999999</v>
      </c>
      <c r="L1044" s="2">
        <f>IF(YEAR(Table134[[#This Row],[Last_Day]])=2021,5,IF(YEAR(Table134[[#This Row],[Last_Day]])=2022,7,IF(YEAR(Table134[[#This Row],[Last_Day]])=2023,10,"Không xác định")))</f>
        <v>10</v>
      </c>
      <c r="M1044" s="15">
        <f>Table134[[#This Row],[avg_number_of_purchases]]*Table1345[[#This Row],[avg_purchase_value]]*Table1345[[#This Row],[expected_lifespan]]</f>
        <v>36877.922060766185</v>
      </c>
      <c r="N1044" t="s">
        <v>12046</v>
      </c>
    </row>
    <row r="1045" spans="1:14" x14ac:dyDescent="0.3">
      <c r="A1045" s="2" t="s">
        <v>1043</v>
      </c>
      <c r="B1045" s="2" t="s">
        <v>12040</v>
      </c>
      <c r="C1045" s="2">
        <v>64</v>
      </c>
      <c r="D1045" s="2" t="s">
        <v>12041</v>
      </c>
      <c r="E1045" s="2">
        <f>COUNTIF(Table16[customer_id],Table13[[#This Row],[customer_id]])</f>
        <v>5</v>
      </c>
      <c r="F1045" s="13">
        <f>SUMIFS(Table16[Purchase_history],Table16[customer_id],Table13[[#This Row],[customer_id]])</f>
        <v>18025.97</v>
      </c>
      <c r="G1045" s="20">
        <v>44375</v>
      </c>
      <c r="H1045" s="21">
        <v>44982</v>
      </c>
      <c r="I1045" s="15">
        <f>(Table134[[#This Row],[Last_Day]]-Table134[[#This Row],[First_Day]]+1)/365</f>
        <v>1.6657534246575343</v>
      </c>
      <c r="J1045" s="59">
        <f>Table134[[#This Row],[number_of_purchases]]/Table134[[#This Row],[customer_total_years]]</f>
        <v>3.0016447368421053</v>
      </c>
      <c r="K1045" s="13">
        <f>Table134[[#This Row],[purchase_history]]/Table134[[#This Row],[number_of_purchases]]</f>
        <v>3605.1940000000004</v>
      </c>
      <c r="L1045" s="2">
        <f>IF(YEAR(Table134[[#This Row],[Last_Day]])=2021,5,IF(YEAR(Table134[[#This Row],[Last_Day]])=2022,7,IF(YEAR(Table134[[#This Row],[Last_Day]])=2023,10,"Không xác định")))</f>
        <v>10</v>
      </c>
      <c r="M1045" s="15">
        <f>Table134[[#This Row],[avg_number_of_purchases]]*Table1345[[#This Row],[avg_purchase_value]]*Table1345[[#This Row],[expected_lifespan]]</f>
        <v>108215.11595394739</v>
      </c>
      <c r="N1045" t="s">
        <v>12047</v>
      </c>
    </row>
    <row r="1046" spans="1:14" x14ac:dyDescent="0.3">
      <c r="A1046" s="2" t="s">
        <v>1044</v>
      </c>
      <c r="B1046" s="2" t="s">
        <v>12040</v>
      </c>
      <c r="C1046" s="2">
        <v>59</v>
      </c>
      <c r="D1046" s="2" t="s">
        <v>12043</v>
      </c>
      <c r="E1046" s="2">
        <f>COUNTIF(Table16[customer_id],Table13[[#This Row],[customer_id]])</f>
        <v>5</v>
      </c>
      <c r="F1046" s="13">
        <f>SUMIFS(Table16[Purchase_history],Table16[customer_id],Table13[[#This Row],[customer_id]])</f>
        <v>11158.68</v>
      </c>
      <c r="G1046" s="20">
        <v>44269</v>
      </c>
      <c r="H1046" s="21">
        <v>44498</v>
      </c>
      <c r="I1046" s="15">
        <f>(Table134[[#This Row],[Last_Day]]-Table134[[#This Row],[First_Day]]+1)/365</f>
        <v>0.63013698630136983</v>
      </c>
      <c r="J1046" s="59">
        <f>Table134[[#This Row],[number_of_purchases]]/Table134[[#This Row],[customer_total_years]]</f>
        <v>7.9347826086956523</v>
      </c>
      <c r="K1046" s="13">
        <f>Table134[[#This Row],[purchase_history]]/Table134[[#This Row],[number_of_purchases]]</f>
        <v>2231.7359999999999</v>
      </c>
      <c r="L1046" s="2">
        <f>IF(YEAR(Table134[[#This Row],[Last_Day]])=2021,5,IF(YEAR(Table134[[#This Row],[Last_Day]])=2022,7,IF(YEAR(Table134[[#This Row],[Last_Day]])=2023,10,"Không xác định")))</f>
        <v>5</v>
      </c>
      <c r="M1046" s="15">
        <f>Table134[[#This Row],[avg_number_of_purchases]]*Table1345[[#This Row],[avg_purchase_value]]*Table1345[[#This Row],[expected_lifespan]]</f>
        <v>88541.7</v>
      </c>
      <c r="N1046" t="s">
        <v>12048</v>
      </c>
    </row>
    <row r="1047" spans="1:14" x14ac:dyDescent="0.3">
      <c r="A1047" s="2" t="s">
        <v>1045</v>
      </c>
      <c r="B1047" s="2" t="s">
        <v>12040</v>
      </c>
      <c r="C1047" s="2">
        <v>52</v>
      </c>
      <c r="D1047" s="2" t="s">
        <v>12043</v>
      </c>
      <c r="E1047" s="2">
        <f>COUNTIF(Table16[customer_id],Table13[[#This Row],[customer_id]])</f>
        <v>7</v>
      </c>
      <c r="F1047" s="13">
        <f>SUMIFS(Table16[Purchase_history],Table16[customer_id],Table13[[#This Row],[customer_id]])</f>
        <v>14371.04</v>
      </c>
      <c r="G1047" s="20">
        <v>44314</v>
      </c>
      <c r="H1047" s="21">
        <v>44690</v>
      </c>
      <c r="I1047" s="15">
        <f>(Table134[[#This Row],[Last_Day]]-Table134[[#This Row],[First_Day]]+1)/365</f>
        <v>1.0328767123287672</v>
      </c>
      <c r="J1047" s="59">
        <f>Table134[[#This Row],[number_of_purchases]]/Table134[[#This Row],[customer_total_years]]</f>
        <v>6.7771883289124659</v>
      </c>
      <c r="K1047" s="13">
        <f>Table134[[#This Row],[purchase_history]]/Table134[[#This Row],[number_of_purchases]]</f>
        <v>2053.0057142857145</v>
      </c>
      <c r="L1047" s="2">
        <f>IF(YEAR(Table134[[#This Row],[Last_Day]])=2021,5,IF(YEAR(Table134[[#This Row],[Last_Day]])=2022,7,IF(YEAR(Table134[[#This Row],[Last_Day]])=2023,10,"Không xác định")))</f>
        <v>7</v>
      </c>
      <c r="M1047" s="15">
        <f>Table134[[#This Row],[avg_number_of_purchases]]*Table1345[[#This Row],[avg_purchase_value]]*Table1345[[#This Row],[expected_lifespan]]</f>
        <v>97395.244562334206</v>
      </c>
      <c r="N1047" t="s">
        <v>12044</v>
      </c>
    </row>
    <row r="1048" spans="1:14" x14ac:dyDescent="0.3">
      <c r="A1048" s="2" t="s">
        <v>1046</v>
      </c>
      <c r="B1048" s="2" t="s">
        <v>12040</v>
      </c>
      <c r="C1048" s="2">
        <v>46</v>
      </c>
      <c r="D1048" s="2" t="s">
        <v>12041</v>
      </c>
      <c r="E1048" s="2">
        <f>COUNTIF(Table16[customer_id],Table13[[#This Row],[customer_id]])</f>
        <v>3</v>
      </c>
      <c r="F1048" s="13">
        <f>SUMIFS(Table16[Purchase_history],Table16[customer_id],Table13[[#This Row],[customer_id]])</f>
        <v>6301.6799999999994</v>
      </c>
      <c r="G1048" s="20">
        <v>44295</v>
      </c>
      <c r="H1048" s="21">
        <v>44791</v>
      </c>
      <c r="I1048" s="15">
        <f>(Table134[[#This Row],[Last_Day]]-Table134[[#This Row],[First_Day]]+1)/365</f>
        <v>1.3616438356164384</v>
      </c>
      <c r="J1048" s="59">
        <f>Table134[[#This Row],[number_of_purchases]]/Table134[[#This Row],[customer_total_years]]</f>
        <v>2.2032193158953723</v>
      </c>
      <c r="K1048" s="13">
        <f>Table134[[#This Row],[purchase_history]]/Table134[[#This Row],[number_of_purchases]]</f>
        <v>2100.56</v>
      </c>
      <c r="L1048" s="2">
        <f>IF(YEAR(Table134[[#This Row],[Last_Day]])=2021,5,IF(YEAR(Table134[[#This Row],[Last_Day]])=2022,7,IF(YEAR(Table134[[#This Row],[Last_Day]])=2023,10,"Không xác định")))</f>
        <v>7</v>
      </c>
      <c r="M1048" s="15">
        <f>Table134[[#This Row],[avg_number_of_purchases]]*Table1345[[#This Row],[avg_purchase_value]]*Table1345[[#This Row],[expected_lifespan]]</f>
        <v>32395.960563380278</v>
      </c>
      <c r="N1048" t="s">
        <v>12046</v>
      </c>
    </row>
    <row r="1049" spans="1:14" x14ac:dyDescent="0.3">
      <c r="A1049" s="2" t="s">
        <v>1047</v>
      </c>
      <c r="B1049" s="2" t="s">
        <v>12040</v>
      </c>
      <c r="C1049" s="2">
        <v>53</v>
      </c>
      <c r="D1049" s="2" t="s">
        <v>12041</v>
      </c>
      <c r="E1049" s="2">
        <f>COUNTIF(Table16[customer_id],Table13[[#This Row],[customer_id]])</f>
        <v>9</v>
      </c>
      <c r="F1049" s="13">
        <f>SUMIFS(Table16[Purchase_history],Table16[customer_id],Table13[[#This Row],[customer_id]])</f>
        <v>30759.29</v>
      </c>
      <c r="G1049" s="20">
        <v>44279</v>
      </c>
      <c r="H1049" s="21">
        <v>44943</v>
      </c>
      <c r="I1049" s="15">
        <f>(Table134[[#This Row],[Last_Day]]-Table134[[#This Row],[First_Day]]+1)/365</f>
        <v>1.821917808219178</v>
      </c>
      <c r="J1049" s="59">
        <f>Table134[[#This Row],[number_of_purchases]]/Table134[[#This Row],[customer_total_years]]</f>
        <v>4.9398496240601508</v>
      </c>
      <c r="K1049" s="13">
        <f>Table134[[#This Row],[purchase_history]]/Table134[[#This Row],[number_of_purchases]]</f>
        <v>3417.6988888888891</v>
      </c>
      <c r="L1049" s="2">
        <f>IF(YEAR(Table134[[#This Row],[Last_Day]])=2021,5,IF(YEAR(Table134[[#This Row],[Last_Day]])=2022,7,IF(YEAR(Table134[[#This Row],[Last_Day]])=2023,10,"Không xác định")))</f>
        <v>10</v>
      </c>
      <c r="M1049" s="15">
        <f>Table134[[#This Row],[avg_number_of_purchases]]*Table1345[[#This Row],[avg_purchase_value]]*Table1345[[#This Row],[expected_lifespan]]</f>
        <v>168829.18571428573</v>
      </c>
      <c r="N1049" t="s">
        <v>12048</v>
      </c>
    </row>
    <row r="1050" spans="1:14" x14ac:dyDescent="0.3">
      <c r="A1050" s="2" t="s">
        <v>1048</v>
      </c>
      <c r="B1050" s="2" t="s">
        <v>12045</v>
      </c>
      <c r="C1050" s="2">
        <v>34</v>
      </c>
      <c r="D1050" s="2" t="s">
        <v>12049</v>
      </c>
      <c r="E1050" s="2">
        <f>COUNTIF(Table16[customer_id],Table13[[#This Row],[customer_id]])</f>
        <v>2</v>
      </c>
      <c r="F1050" s="13">
        <f>SUMIFS(Table16[Purchase_history],Table16[customer_id],Table13[[#This Row],[customer_id]])</f>
        <v>1500.3999999999999</v>
      </c>
      <c r="G1050" s="20">
        <v>44570</v>
      </c>
      <c r="H1050" s="21">
        <v>44713</v>
      </c>
      <c r="I1050" s="15">
        <f>(Table134[[#This Row],[Last_Day]]-Table134[[#This Row],[First_Day]]+1)/365</f>
        <v>0.39452054794520547</v>
      </c>
      <c r="J1050" s="59">
        <f>Table134[[#This Row],[number_of_purchases]]/Table134[[#This Row],[customer_total_years]]</f>
        <v>5.0694444444444446</v>
      </c>
      <c r="K1050" s="13">
        <f>Table134[[#This Row],[purchase_history]]/Table134[[#This Row],[number_of_purchases]]</f>
        <v>750.19999999999993</v>
      </c>
      <c r="L1050" s="2">
        <f>IF(YEAR(Table134[[#This Row],[Last_Day]])=2021,5,IF(YEAR(Table134[[#This Row],[Last_Day]])=2022,7,IF(YEAR(Table134[[#This Row],[Last_Day]])=2023,10,"Không xác định")))</f>
        <v>7</v>
      </c>
      <c r="M1050" s="15">
        <f>Table134[[#This Row],[avg_number_of_purchases]]*Table1345[[#This Row],[avg_purchase_value]]*Table1345[[#This Row],[expected_lifespan]]</f>
        <v>26621.680555555555</v>
      </c>
      <c r="N1050" t="s">
        <v>12048</v>
      </c>
    </row>
    <row r="1051" spans="1:14" x14ac:dyDescent="0.3">
      <c r="A1051" s="2" t="s">
        <v>1049</v>
      </c>
      <c r="B1051" s="2" t="s">
        <v>12040</v>
      </c>
      <c r="C1051" s="2">
        <v>38</v>
      </c>
      <c r="D1051" s="2" t="s">
        <v>12041</v>
      </c>
      <c r="E1051" s="2">
        <f>COUNTIF(Table16[customer_id],Table13[[#This Row],[customer_id]])</f>
        <v>5</v>
      </c>
      <c r="F1051" s="13">
        <f>SUMIFS(Table16[Purchase_history],Table16[customer_id],Table13[[#This Row],[customer_id]])</f>
        <v>22566.760000000002</v>
      </c>
      <c r="G1051" s="20">
        <v>44214</v>
      </c>
      <c r="H1051" s="21">
        <v>44614</v>
      </c>
      <c r="I1051" s="15">
        <f>(Table134[[#This Row],[Last_Day]]-Table134[[#This Row],[First_Day]]+1)/365</f>
        <v>1.0986301369863014</v>
      </c>
      <c r="J1051" s="59">
        <f>Table134[[#This Row],[number_of_purchases]]/Table134[[#This Row],[customer_total_years]]</f>
        <v>4.5511221945137157</v>
      </c>
      <c r="K1051" s="13">
        <f>Table134[[#This Row],[purchase_history]]/Table134[[#This Row],[number_of_purchases]]</f>
        <v>4513.3520000000008</v>
      </c>
      <c r="L1051" s="2">
        <f>IF(YEAR(Table134[[#This Row],[Last_Day]])=2021,5,IF(YEAR(Table134[[#This Row],[Last_Day]])=2022,7,IF(YEAR(Table134[[#This Row],[Last_Day]])=2023,10,"Không xác định")))</f>
        <v>7</v>
      </c>
      <c r="M1051" s="15">
        <f>Table134[[#This Row],[avg_number_of_purchases]]*Table1345[[#This Row],[avg_purchase_value]]*Table1345[[#This Row],[expected_lifespan]]</f>
        <v>143785.71521197009</v>
      </c>
      <c r="N1051" t="s">
        <v>12047</v>
      </c>
    </row>
    <row r="1052" spans="1:14" x14ac:dyDescent="0.3">
      <c r="A1052" s="2" t="s">
        <v>1050</v>
      </c>
      <c r="B1052" s="2" t="s">
        <v>12040</v>
      </c>
      <c r="C1052" s="2">
        <v>49</v>
      </c>
      <c r="D1052" s="2" t="s">
        <v>12041</v>
      </c>
      <c r="E1052" s="2">
        <f>COUNTIF(Table16[customer_id],Table13[[#This Row],[customer_id]])</f>
        <v>4</v>
      </c>
      <c r="F1052" s="13">
        <f>SUMIFS(Table16[Purchase_history],Table16[customer_id],Table13[[#This Row],[customer_id]])</f>
        <v>2131.73</v>
      </c>
      <c r="G1052" s="20">
        <v>44569</v>
      </c>
      <c r="H1052" s="21">
        <v>44826</v>
      </c>
      <c r="I1052" s="15">
        <f>(Table134[[#This Row],[Last_Day]]-Table134[[#This Row],[First_Day]]+1)/365</f>
        <v>0.70684931506849313</v>
      </c>
      <c r="J1052" s="59">
        <f>Table134[[#This Row],[number_of_purchases]]/Table134[[#This Row],[customer_total_years]]</f>
        <v>5.6589147286821708</v>
      </c>
      <c r="K1052" s="13">
        <f>Table134[[#This Row],[purchase_history]]/Table134[[#This Row],[number_of_purchases]]</f>
        <v>532.9325</v>
      </c>
      <c r="L1052" s="2">
        <f>IF(YEAR(Table134[[#This Row],[Last_Day]])=2021,5,IF(YEAR(Table134[[#This Row],[Last_Day]])=2022,7,IF(YEAR(Table134[[#This Row],[Last_Day]])=2023,10,"Không xác định")))</f>
        <v>7</v>
      </c>
      <c r="M1052" s="15">
        <f>Table134[[#This Row],[avg_number_of_purchases]]*Table1345[[#This Row],[avg_purchase_value]]*Table1345[[#This Row],[expected_lifespan]]</f>
        <v>21110.737015503877</v>
      </c>
      <c r="N1052" t="s">
        <v>12046</v>
      </c>
    </row>
    <row r="1053" spans="1:14" x14ac:dyDescent="0.3">
      <c r="A1053" s="2" t="s">
        <v>1051</v>
      </c>
      <c r="B1053" s="2" t="s">
        <v>12045</v>
      </c>
      <c r="C1053" s="2">
        <v>27</v>
      </c>
      <c r="D1053" s="2" t="s">
        <v>12043</v>
      </c>
      <c r="E1053" s="2">
        <f>COUNTIF(Table16[customer_id],Table13[[#This Row],[customer_id]])</f>
        <v>7</v>
      </c>
      <c r="F1053" s="13">
        <f>SUMIFS(Table16[Purchase_history],Table16[customer_id],Table13[[#This Row],[customer_id]])</f>
        <v>21971.4</v>
      </c>
      <c r="G1053" s="20">
        <v>44414</v>
      </c>
      <c r="H1053" s="21">
        <v>44947</v>
      </c>
      <c r="I1053" s="15">
        <f>(Table134[[#This Row],[Last_Day]]-Table134[[#This Row],[First_Day]]+1)/365</f>
        <v>1.463013698630137</v>
      </c>
      <c r="J1053" s="59">
        <f>Table134[[#This Row],[number_of_purchases]]/Table134[[#This Row],[customer_total_years]]</f>
        <v>4.7846441947565541</v>
      </c>
      <c r="K1053" s="13">
        <f>Table134[[#This Row],[purchase_history]]/Table134[[#This Row],[number_of_purchases]]</f>
        <v>3138.7714285714287</v>
      </c>
      <c r="L1053" s="2">
        <f>IF(YEAR(Table134[[#This Row],[Last_Day]])=2021,5,IF(YEAR(Table134[[#This Row],[Last_Day]])=2022,7,IF(YEAR(Table134[[#This Row],[Last_Day]])=2023,10,"Không xác định")))</f>
        <v>10</v>
      </c>
      <c r="M1053" s="15">
        <f>Table134[[#This Row],[avg_number_of_purchases]]*Table1345[[#This Row],[avg_purchase_value]]*Table1345[[#This Row],[expected_lifespan]]</f>
        <v>150179.04494382022</v>
      </c>
      <c r="N1053" t="s">
        <v>12042</v>
      </c>
    </row>
    <row r="1054" spans="1:14" x14ac:dyDescent="0.3">
      <c r="A1054" s="2" t="s">
        <v>1052</v>
      </c>
      <c r="B1054" s="2" t="s">
        <v>12045</v>
      </c>
      <c r="C1054" s="2">
        <v>20</v>
      </c>
      <c r="D1054" s="2" t="s">
        <v>12043</v>
      </c>
      <c r="E1054" s="2">
        <f>COUNTIF(Table16[customer_id],Table13[[#This Row],[customer_id]])</f>
        <v>3</v>
      </c>
      <c r="F1054" s="13">
        <f>SUMIFS(Table16[Purchase_history],Table16[customer_id],Table13[[#This Row],[customer_id]])</f>
        <v>27750.400000000001</v>
      </c>
      <c r="G1054" s="20">
        <v>44509</v>
      </c>
      <c r="H1054" s="21">
        <v>44875</v>
      </c>
      <c r="I1054" s="15">
        <f>(Table134[[#This Row],[Last_Day]]-Table134[[#This Row],[First_Day]]+1)/365</f>
        <v>1.0054794520547945</v>
      </c>
      <c r="J1054" s="59">
        <f>Table134[[#This Row],[number_of_purchases]]/Table134[[#This Row],[customer_total_years]]</f>
        <v>2.9836512261580381</v>
      </c>
      <c r="K1054" s="13">
        <f>Table134[[#This Row],[purchase_history]]/Table134[[#This Row],[number_of_purchases]]</f>
        <v>9250.1333333333332</v>
      </c>
      <c r="L1054" s="2">
        <f>IF(YEAR(Table134[[#This Row],[Last_Day]])=2021,5,IF(YEAR(Table134[[#This Row],[Last_Day]])=2022,7,IF(YEAR(Table134[[#This Row],[Last_Day]])=2023,10,"Không xác định")))</f>
        <v>7</v>
      </c>
      <c r="M1054" s="15">
        <f>Table134[[#This Row],[avg_number_of_purchases]]*Table1345[[#This Row],[avg_purchase_value]]*Table1345[[#This Row],[expected_lifespan]]</f>
        <v>193194.20163487739</v>
      </c>
      <c r="N1054" t="s">
        <v>12047</v>
      </c>
    </row>
    <row r="1055" spans="1:14" x14ac:dyDescent="0.3">
      <c r="A1055" s="2" t="s">
        <v>1053</v>
      </c>
      <c r="B1055" s="2" t="s">
        <v>12040</v>
      </c>
      <c r="C1055" s="2">
        <v>42</v>
      </c>
      <c r="D1055" s="2" t="s">
        <v>12043</v>
      </c>
      <c r="E1055" s="2">
        <f>COUNTIF(Table16[customer_id],Table13[[#This Row],[customer_id]])</f>
        <v>6</v>
      </c>
      <c r="F1055" s="13">
        <f>SUMIFS(Table16[Purchase_history],Table16[customer_id],Table13[[#This Row],[customer_id]])</f>
        <v>54198.85</v>
      </c>
      <c r="G1055" s="20">
        <v>44475</v>
      </c>
      <c r="H1055" s="21">
        <v>44966</v>
      </c>
      <c r="I1055" s="15">
        <f>(Table134[[#This Row],[Last_Day]]-Table134[[#This Row],[First_Day]]+1)/365</f>
        <v>1.3479452054794521</v>
      </c>
      <c r="J1055" s="59">
        <f>Table134[[#This Row],[number_of_purchases]]/Table134[[#This Row],[customer_total_years]]</f>
        <v>4.4512195121951219</v>
      </c>
      <c r="K1055" s="13">
        <f>Table134[[#This Row],[purchase_history]]/Table134[[#This Row],[number_of_purchases]]</f>
        <v>9033.1416666666664</v>
      </c>
      <c r="L1055" s="2">
        <f>IF(YEAR(Table134[[#This Row],[Last_Day]])=2021,5,IF(YEAR(Table134[[#This Row],[Last_Day]])=2022,7,IF(YEAR(Table134[[#This Row],[Last_Day]])=2023,10,"Không xác định")))</f>
        <v>10</v>
      </c>
      <c r="M1055" s="15">
        <f>Table134[[#This Row],[avg_number_of_purchases]]*Table1345[[#This Row],[avg_purchase_value]]*Table1345[[#This Row],[expected_lifespan]]</f>
        <v>402084.96443089435</v>
      </c>
      <c r="N1055" t="s">
        <v>12042</v>
      </c>
    </row>
    <row r="1056" spans="1:14" x14ac:dyDescent="0.3">
      <c r="A1056" s="2" t="s">
        <v>1054</v>
      </c>
      <c r="B1056" s="2" t="s">
        <v>12045</v>
      </c>
      <c r="C1056" s="2">
        <v>63</v>
      </c>
      <c r="D1056" s="2" t="s">
        <v>12041</v>
      </c>
      <c r="E1056" s="2">
        <f>COUNTIF(Table16[customer_id],Table13[[#This Row],[customer_id]])</f>
        <v>2</v>
      </c>
      <c r="F1056" s="13">
        <f>SUMIFS(Table16[Purchase_history],Table16[customer_id],Table13[[#This Row],[customer_id]])</f>
        <v>17816.5</v>
      </c>
      <c r="G1056" s="20">
        <v>44781</v>
      </c>
      <c r="H1056" s="21">
        <v>44851</v>
      </c>
      <c r="I1056" s="15">
        <f>(Table134[[#This Row],[Last_Day]]-Table134[[#This Row],[First_Day]]+1)/365</f>
        <v>0.19452054794520549</v>
      </c>
      <c r="J1056" s="59">
        <f>Table134[[#This Row],[number_of_purchases]]/Table134[[#This Row],[customer_total_years]]</f>
        <v>10.28169014084507</v>
      </c>
      <c r="K1056" s="13">
        <f>Table134[[#This Row],[purchase_history]]/Table134[[#This Row],[number_of_purchases]]</f>
        <v>8908.25</v>
      </c>
      <c r="L1056" s="2">
        <f>IF(YEAR(Table134[[#This Row],[Last_Day]])=2021,5,IF(YEAR(Table134[[#This Row],[Last_Day]])=2022,7,IF(YEAR(Table134[[#This Row],[Last_Day]])=2023,10,"Không xác định")))</f>
        <v>7</v>
      </c>
      <c r="M1056" s="15">
        <f>Table134[[#This Row],[avg_number_of_purchases]]*Table1345[[#This Row],[avg_purchase_value]]*Table1345[[#This Row],[expected_lifespan]]</f>
        <v>641143.06338028167</v>
      </c>
      <c r="N1056" t="s">
        <v>12048</v>
      </c>
    </row>
    <row r="1057" spans="1:14" x14ac:dyDescent="0.3">
      <c r="A1057" s="2" t="s">
        <v>1055</v>
      </c>
      <c r="B1057" s="2" t="s">
        <v>12045</v>
      </c>
      <c r="C1057" s="2">
        <v>47</v>
      </c>
      <c r="D1057" s="2" t="s">
        <v>12041</v>
      </c>
      <c r="E1057" s="2">
        <f>COUNTIF(Table16[customer_id],Table13[[#This Row],[customer_id]])</f>
        <v>5</v>
      </c>
      <c r="F1057" s="13">
        <f>SUMIFS(Table16[Purchase_history],Table16[customer_id],Table13[[#This Row],[customer_id]])</f>
        <v>18182.060000000001</v>
      </c>
      <c r="G1057" s="20">
        <v>44250</v>
      </c>
      <c r="H1057" s="21">
        <v>44515</v>
      </c>
      <c r="I1057" s="15">
        <f>(Table134[[#This Row],[Last_Day]]-Table134[[#This Row],[First_Day]]+1)/365</f>
        <v>0.72876712328767124</v>
      </c>
      <c r="J1057" s="59">
        <f>Table134[[#This Row],[number_of_purchases]]/Table134[[#This Row],[customer_total_years]]</f>
        <v>6.8609022556390977</v>
      </c>
      <c r="K1057" s="13">
        <f>Table134[[#This Row],[purchase_history]]/Table134[[#This Row],[number_of_purchases]]</f>
        <v>3636.4120000000003</v>
      </c>
      <c r="L1057" s="2">
        <f>IF(YEAR(Table134[[#This Row],[Last_Day]])=2021,5,IF(YEAR(Table134[[#This Row],[Last_Day]])=2022,7,IF(YEAR(Table134[[#This Row],[Last_Day]])=2023,10,"Không xác định")))</f>
        <v>5</v>
      </c>
      <c r="M1057" s="15">
        <f>Table134[[#This Row],[avg_number_of_purchases]]*Table1345[[#This Row],[avg_purchase_value]]*Table1345[[#This Row],[expected_lifespan]]</f>
        <v>124745.33646616543</v>
      </c>
      <c r="N1057" t="s">
        <v>12042</v>
      </c>
    </row>
    <row r="1058" spans="1:14" x14ac:dyDescent="0.3">
      <c r="A1058" s="2" t="s">
        <v>1056</v>
      </c>
      <c r="B1058" s="2" t="s">
        <v>12040</v>
      </c>
      <c r="C1058" s="2">
        <v>55</v>
      </c>
      <c r="D1058" s="2" t="s">
        <v>12043</v>
      </c>
      <c r="E1058" s="2">
        <f>COUNTIF(Table16[customer_id],Table13[[#This Row],[customer_id]])</f>
        <v>3</v>
      </c>
      <c r="F1058" s="13">
        <f>SUMIFS(Table16[Purchase_history],Table16[customer_id],Table13[[#This Row],[customer_id]])</f>
        <v>19854.810000000001</v>
      </c>
      <c r="G1058" s="20">
        <v>44410</v>
      </c>
      <c r="H1058" s="21">
        <v>44628</v>
      </c>
      <c r="I1058" s="15">
        <f>(Table134[[#This Row],[Last_Day]]-Table134[[#This Row],[First_Day]]+1)/365</f>
        <v>0.6</v>
      </c>
      <c r="J1058" s="59">
        <f>Table134[[#This Row],[number_of_purchases]]/Table134[[#This Row],[customer_total_years]]</f>
        <v>5</v>
      </c>
      <c r="K1058" s="13">
        <f>Table134[[#This Row],[purchase_history]]/Table134[[#This Row],[number_of_purchases]]</f>
        <v>6618.27</v>
      </c>
      <c r="L1058" s="2">
        <f>IF(YEAR(Table134[[#This Row],[Last_Day]])=2021,5,IF(YEAR(Table134[[#This Row],[Last_Day]])=2022,7,IF(YEAR(Table134[[#This Row],[Last_Day]])=2023,10,"Không xác định")))</f>
        <v>7</v>
      </c>
      <c r="M1058" s="15">
        <f>Table134[[#This Row],[avg_number_of_purchases]]*Table1345[[#This Row],[avg_purchase_value]]*Table1345[[#This Row],[expected_lifespan]]</f>
        <v>231639.45000000004</v>
      </c>
      <c r="N1058" t="s">
        <v>12042</v>
      </c>
    </row>
    <row r="1059" spans="1:14" x14ac:dyDescent="0.3">
      <c r="A1059" s="2" t="s">
        <v>1057</v>
      </c>
      <c r="B1059" s="2" t="s">
        <v>12040</v>
      </c>
      <c r="C1059" s="2">
        <v>51</v>
      </c>
      <c r="D1059" s="2" t="s">
        <v>12049</v>
      </c>
      <c r="E1059" s="2">
        <f>COUNTIF(Table16[customer_id],Table13[[#This Row],[customer_id]])</f>
        <v>6</v>
      </c>
      <c r="F1059" s="13">
        <f>SUMIFS(Table16[Purchase_history],Table16[customer_id],Table13[[#This Row],[customer_id]])</f>
        <v>15392.419999999998</v>
      </c>
      <c r="G1059" s="20">
        <v>44269</v>
      </c>
      <c r="H1059" s="21">
        <v>44869</v>
      </c>
      <c r="I1059" s="15">
        <f>(Table134[[#This Row],[Last_Day]]-Table134[[#This Row],[First_Day]]+1)/365</f>
        <v>1.6465753424657534</v>
      </c>
      <c r="J1059" s="59">
        <f>Table134[[#This Row],[number_of_purchases]]/Table134[[#This Row],[customer_total_years]]</f>
        <v>3.643926788685524</v>
      </c>
      <c r="K1059" s="13">
        <f>Table134[[#This Row],[purchase_history]]/Table134[[#This Row],[number_of_purchases]]</f>
        <v>2565.4033333333332</v>
      </c>
      <c r="L1059" s="2">
        <f>IF(YEAR(Table134[[#This Row],[Last_Day]])=2021,5,IF(YEAR(Table134[[#This Row],[Last_Day]])=2022,7,IF(YEAR(Table134[[#This Row],[Last_Day]])=2023,10,"Không xác định")))</f>
        <v>7</v>
      </c>
      <c r="M1059" s="15">
        <f>Table134[[#This Row],[avg_number_of_purchases]]*Table1345[[#This Row],[avg_purchase_value]]*Table1345[[#This Row],[expected_lifespan]]</f>
        <v>65436.9935108153</v>
      </c>
      <c r="N1059" t="s">
        <v>12044</v>
      </c>
    </row>
    <row r="1060" spans="1:14" x14ac:dyDescent="0.3">
      <c r="A1060" s="2" t="s">
        <v>1058</v>
      </c>
      <c r="B1060" s="2" t="s">
        <v>12045</v>
      </c>
      <c r="C1060" s="2">
        <v>21</v>
      </c>
      <c r="D1060" s="2" t="s">
        <v>12043</v>
      </c>
      <c r="E1060" s="2">
        <f>COUNTIF(Table16[customer_id],Table13[[#This Row],[customer_id]])</f>
        <v>5</v>
      </c>
      <c r="F1060" s="13">
        <f>SUMIFS(Table16[Purchase_history],Table16[customer_id],Table13[[#This Row],[customer_id]])</f>
        <v>8552.6899999999987</v>
      </c>
      <c r="G1060" s="20">
        <v>44446</v>
      </c>
      <c r="H1060" s="21">
        <v>44767</v>
      </c>
      <c r="I1060" s="15">
        <f>(Table134[[#This Row],[Last_Day]]-Table134[[#This Row],[First_Day]]+1)/365</f>
        <v>0.88219178082191785</v>
      </c>
      <c r="J1060" s="59">
        <f>Table134[[#This Row],[number_of_purchases]]/Table134[[#This Row],[customer_total_years]]</f>
        <v>5.6677018633540373</v>
      </c>
      <c r="K1060" s="13">
        <f>Table134[[#This Row],[purchase_history]]/Table134[[#This Row],[number_of_purchases]]</f>
        <v>1710.5379999999998</v>
      </c>
      <c r="L1060" s="2">
        <f>IF(YEAR(Table134[[#This Row],[Last_Day]])=2021,5,IF(YEAR(Table134[[#This Row],[Last_Day]])=2022,7,IF(YEAR(Table134[[#This Row],[Last_Day]])=2023,10,"Không xác định")))</f>
        <v>7</v>
      </c>
      <c r="M1060" s="15">
        <f>Table134[[#This Row],[avg_number_of_purchases]]*Table1345[[#This Row],[avg_purchase_value]]*Table1345[[#This Row],[expected_lifespan]]</f>
        <v>67863.735869565207</v>
      </c>
      <c r="N1060" t="s">
        <v>12047</v>
      </c>
    </row>
    <row r="1061" spans="1:14" x14ac:dyDescent="0.3">
      <c r="A1061" s="2" t="s">
        <v>1059</v>
      </c>
      <c r="B1061" s="2" t="s">
        <v>12045</v>
      </c>
      <c r="C1061" s="2">
        <v>38</v>
      </c>
      <c r="D1061" s="2" t="s">
        <v>12043</v>
      </c>
      <c r="E1061" s="2">
        <f>COUNTIF(Table16[customer_id],Table13[[#This Row],[customer_id]])</f>
        <v>6</v>
      </c>
      <c r="F1061" s="13">
        <f>SUMIFS(Table16[Purchase_history],Table16[customer_id],Table13[[#This Row],[customer_id]])</f>
        <v>4492.1499999999996</v>
      </c>
      <c r="G1061" s="20">
        <v>44485</v>
      </c>
      <c r="H1061" s="21">
        <v>44822</v>
      </c>
      <c r="I1061" s="15">
        <f>(Table134[[#This Row],[Last_Day]]-Table134[[#This Row],[First_Day]]+1)/365</f>
        <v>0.92602739726027394</v>
      </c>
      <c r="J1061" s="59">
        <f>Table134[[#This Row],[number_of_purchases]]/Table134[[#This Row],[customer_total_years]]</f>
        <v>6.4792899408284024</v>
      </c>
      <c r="K1061" s="13">
        <f>Table134[[#This Row],[purchase_history]]/Table134[[#This Row],[number_of_purchases]]</f>
        <v>748.69166666666661</v>
      </c>
      <c r="L1061" s="2">
        <f>IF(YEAR(Table134[[#This Row],[Last_Day]])=2021,5,IF(YEAR(Table134[[#This Row],[Last_Day]])=2022,7,IF(YEAR(Table134[[#This Row],[Last_Day]])=2023,10,"Không xác định")))</f>
        <v>7</v>
      </c>
      <c r="M1061" s="15">
        <f>Table134[[#This Row],[avg_number_of_purchases]]*Table1345[[#This Row],[avg_purchase_value]]*Table1345[[#This Row],[expected_lifespan]]</f>
        <v>33956.932692307688</v>
      </c>
      <c r="N1061" t="s">
        <v>12044</v>
      </c>
    </row>
    <row r="1062" spans="1:14" x14ac:dyDescent="0.3">
      <c r="A1062" s="2" t="s">
        <v>1060</v>
      </c>
      <c r="B1062" s="2" t="s">
        <v>12045</v>
      </c>
      <c r="C1062" s="2">
        <v>58</v>
      </c>
      <c r="D1062" s="2" t="s">
        <v>12049</v>
      </c>
      <c r="E1062" s="2">
        <f>COUNTIF(Table16[customer_id],Table13[[#This Row],[customer_id]])</f>
        <v>4</v>
      </c>
      <c r="F1062" s="13">
        <f>SUMIFS(Table16[Purchase_history],Table16[customer_id],Table13[[#This Row],[customer_id]])</f>
        <v>3215.4500000000003</v>
      </c>
      <c r="G1062" s="20">
        <v>44252</v>
      </c>
      <c r="H1062" s="21">
        <v>44980</v>
      </c>
      <c r="I1062" s="15">
        <f>(Table134[[#This Row],[Last_Day]]-Table134[[#This Row],[First_Day]]+1)/365</f>
        <v>1.9972602739726026</v>
      </c>
      <c r="J1062" s="59">
        <f>Table134[[#This Row],[number_of_purchases]]/Table134[[#This Row],[customer_total_years]]</f>
        <v>2.0027434842249656</v>
      </c>
      <c r="K1062" s="13">
        <f>Table134[[#This Row],[purchase_history]]/Table134[[#This Row],[number_of_purchases]]</f>
        <v>803.86250000000007</v>
      </c>
      <c r="L1062" s="2">
        <f>IF(YEAR(Table134[[#This Row],[Last_Day]])=2021,5,IF(YEAR(Table134[[#This Row],[Last_Day]])=2022,7,IF(YEAR(Table134[[#This Row],[Last_Day]])=2023,10,"Không xác định")))</f>
        <v>10</v>
      </c>
      <c r="M1062" s="15">
        <f>Table134[[#This Row],[avg_number_of_purchases]]*Table1345[[#This Row],[avg_purchase_value]]*Table1345[[#This Row],[expected_lifespan]]</f>
        <v>16099.303840877914</v>
      </c>
      <c r="N1062" t="s">
        <v>12047</v>
      </c>
    </row>
    <row r="1063" spans="1:14" x14ac:dyDescent="0.3">
      <c r="A1063" s="2" t="s">
        <v>1061</v>
      </c>
      <c r="B1063" s="2" t="s">
        <v>12040</v>
      </c>
      <c r="C1063" s="2">
        <v>50</v>
      </c>
      <c r="D1063" s="2" t="s">
        <v>12049</v>
      </c>
      <c r="E1063" s="2">
        <f>COUNTIF(Table16[customer_id],Table13[[#This Row],[customer_id]])</f>
        <v>3</v>
      </c>
      <c r="F1063" s="13">
        <f>SUMIFS(Table16[Purchase_history],Table16[customer_id],Table13[[#This Row],[customer_id]])</f>
        <v>18300.400000000001</v>
      </c>
      <c r="G1063" s="20">
        <v>44613</v>
      </c>
      <c r="H1063" s="21">
        <v>44932</v>
      </c>
      <c r="I1063" s="15">
        <f>(Table134[[#This Row],[Last_Day]]-Table134[[#This Row],[First_Day]]+1)/365</f>
        <v>0.87671232876712324</v>
      </c>
      <c r="J1063" s="59">
        <f>Table134[[#This Row],[number_of_purchases]]/Table134[[#This Row],[customer_total_years]]</f>
        <v>3.421875</v>
      </c>
      <c r="K1063" s="13">
        <f>Table134[[#This Row],[purchase_history]]/Table134[[#This Row],[number_of_purchases]]</f>
        <v>6100.1333333333341</v>
      </c>
      <c r="L1063" s="2">
        <f>IF(YEAR(Table134[[#This Row],[Last_Day]])=2021,5,IF(YEAR(Table134[[#This Row],[Last_Day]])=2022,7,IF(YEAR(Table134[[#This Row],[Last_Day]])=2023,10,"Không xác định")))</f>
        <v>10</v>
      </c>
      <c r="M1063" s="15">
        <f>Table134[[#This Row],[avg_number_of_purchases]]*Table1345[[#This Row],[avg_purchase_value]]*Table1345[[#This Row],[expected_lifespan]]</f>
        <v>208738.93750000003</v>
      </c>
      <c r="N1063" t="s">
        <v>12046</v>
      </c>
    </row>
    <row r="1064" spans="1:14" x14ac:dyDescent="0.3">
      <c r="A1064" s="2" t="s">
        <v>1062</v>
      </c>
      <c r="B1064" s="2" t="s">
        <v>12040</v>
      </c>
      <c r="C1064" s="2">
        <v>53</v>
      </c>
      <c r="D1064" s="2" t="s">
        <v>12043</v>
      </c>
      <c r="E1064" s="2">
        <f>COUNTIF(Table16[customer_id],Table13[[#This Row],[customer_id]])</f>
        <v>4</v>
      </c>
      <c r="F1064" s="13">
        <f>SUMIFS(Table16[Purchase_history],Table16[customer_id],Table13[[#This Row],[customer_id]])</f>
        <v>15595.019999999999</v>
      </c>
      <c r="G1064" s="20">
        <v>44213</v>
      </c>
      <c r="H1064" s="21">
        <v>44989</v>
      </c>
      <c r="I1064" s="15">
        <f>(Table134[[#This Row],[Last_Day]]-Table134[[#This Row],[First_Day]]+1)/365</f>
        <v>2.128767123287671</v>
      </c>
      <c r="J1064" s="59">
        <f>Table134[[#This Row],[number_of_purchases]]/Table134[[#This Row],[customer_total_years]]</f>
        <v>1.8790218790218791</v>
      </c>
      <c r="K1064" s="13">
        <f>Table134[[#This Row],[purchase_history]]/Table134[[#This Row],[number_of_purchases]]</f>
        <v>3898.7549999999997</v>
      </c>
      <c r="L1064" s="2">
        <f>IF(YEAR(Table134[[#This Row],[Last_Day]])=2021,5,IF(YEAR(Table134[[#This Row],[Last_Day]])=2022,7,IF(YEAR(Table134[[#This Row],[Last_Day]])=2023,10,"Không xác định")))</f>
        <v>10</v>
      </c>
      <c r="M1064" s="15">
        <f>Table134[[#This Row],[avg_number_of_purchases]]*Table1345[[#This Row],[avg_purchase_value]]*Table1345[[#This Row],[expected_lifespan]]</f>
        <v>73258.459459459453</v>
      </c>
      <c r="N1064" t="s">
        <v>12046</v>
      </c>
    </row>
    <row r="1065" spans="1:14" x14ac:dyDescent="0.3">
      <c r="A1065" s="2" t="s">
        <v>1063</v>
      </c>
      <c r="B1065" s="2" t="s">
        <v>12040</v>
      </c>
      <c r="C1065" s="2">
        <v>61</v>
      </c>
      <c r="D1065" s="2" t="s">
        <v>12049</v>
      </c>
      <c r="E1065" s="2">
        <f>COUNTIF(Table16[customer_id],Table13[[#This Row],[customer_id]])</f>
        <v>8</v>
      </c>
      <c r="F1065" s="13">
        <f>SUMIFS(Table16[Purchase_history],Table16[customer_id],Table13[[#This Row],[customer_id]])</f>
        <v>3547.5600000000004</v>
      </c>
      <c r="G1065" s="20">
        <v>44319</v>
      </c>
      <c r="H1065" s="21">
        <v>44800</v>
      </c>
      <c r="I1065" s="15">
        <f>(Table134[[#This Row],[Last_Day]]-Table134[[#This Row],[First_Day]]+1)/365</f>
        <v>1.3205479452054794</v>
      </c>
      <c r="J1065" s="59">
        <f>Table134[[#This Row],[number_of_purchases]]/Table134[[#This Row],[customer_total_years]]</f>
        <v>6.0580912863070546</v>
      </c>
      <c r="K1065" s="13">
        <f>Table134[[#This Row],[purchase_history]]/Table134[[#This Row],[number_of_purchases]]</f>
        <v>443.44500000000005</v>
      </c>
      <c r="L1065" s="2">
        <f>IF(YEAR(Table134[[#This Row],[Last_Day]])=2021,5,IF(YEAR(Table134[[#This Row],[Last_Day]])=2022,7,IF(YEAR(Table134[[#This Row],[Last_Day]])=2023,10,"Không xác định")))</f>
        <v>7</v>
      </c>
      <c r="M1065" s="15">
        <f>Table134[[#This Row],[avg_number_of_purchases]]*Table1345[[#This Row],[avg_purchase_value]]*Table1345[[#This Row],[expected_lifespan]]</f>
        <v>18805.012033195024</v>
      </c>
      <c r="N1065" t="s">
        <v>12046</v>
      </c>
    </row>
    <row r="1066" spans="1:14" x14ac:dyDescent="0.3">
      <c r="A1066" s="2" t="s">
        <v>1064</v>
      </c>
      <c r="B1066" s="2" t="s">
        <v>12040</v>
      </c>
      <c r="C1066" s="2">
        <v>64</v>
      </c>
      <c r="D1066" s="2" t="s">
        <v>12049</v>
      </c>
      <c r="E1066" s="2">
        <f>COUNTIF(Table16[customer_id],Table13[[#This Row],[customer_id]])</f>
        <v>4</v>
      </c>
      <c r="F1066" s="13">
        <f>SUMIFS(Table16[Purchase_history],Table16[customer_id],Table13[[#This Row],[customer_id]])</f>
        <v>10861.91</v>
      </c>
      <c r="G1066" s="20">
        <v>44614</v>
      </c>
      <c r="H1066" s="21">
        <v>44959</v>
      </c>
      <c r="I1066" s="15">
        <f>(Table134[[#This Row],[Last_Day]]-Table134[[#This Row],[First_Day]]+1)/365</f>
        <v>0.94794520547945205</v>
      </c>
      <c r="J1066" s="59">
        <f>Table134[[#This Row],[number_of_purchases]]/Table134[[#This Row],[customer_total_years]]</f>
        <v>4.2196531791907512</v>
      </c>
      <c r="K1066" s="13">
        <f>Table134[[#This Row],[purchase_history]]/Table134[[#This Row],[number_of_purchases]]</f>
        <v>2715.4775</v>
      </c>
      <c r="L1066" s="2">
        <f>IF(YEAR(Table134[[#This Row],[Last_Day]])=2021,5,IF(YEAR(Table134[[#This Row],[Last_Day]])=2022,7,IF(YEAR(Table134[[#This Row],[Last_Day]])=2023,10,"Không xác định")))</f>
        <v>10</v>
      </c>
      <c r="M1066" s="15">
        <f>Table134[[#This Row],[avg_number_of_purchases]]*Table1345[[#This Row],[avg_purchase_value]]*Table1345[[#This Row],[expected_lifespan]]</f>
        <v>114583.73265895952</v>
      </c>
      <c r="N1066" t="s">
        <v>12047</v>
      </c>
    </row>
    <row r="1067" spans="1:14" x14ac:dyDescent="0.3">
      <c r="A1067" s="2" t="s">
        <v>1065</v>
      </c>
      <c r="B1067" s="2" t="s">
        <v>12040</v>
      </c>
      <c r="C1067" s="2">
        <v>60</v>
      </c>
      <c r="D1067" s="2" t="s">
        <v>12041</v>
      </c>
      <c r="E1067" s="2">
        <f>COUNTIF(Table16[customer_id],Table13[[#This Row],[customer_id]])</f>
        <v>7</v>
      </c>
      <c r="F1067" s="13">
        <f>SUMIFS(Table16[Purchase_history],Table16[customer_id],Table13[[#This Row],[customer_id]])</f>
        <v>13801.5</v>
      </c>
      <c r="G1067" s="20">
        <v>44353</v>
      </c>
      <c r="H1067" s="21">
        <v>44969</v>
      </c>
      <c r="I1067" s="15">
        <f>(Table134[[#This Row],[Last_Day]]-Table134[[#This Row],[First_Day]]+1)/365</f>
        <v>1.6904109589041096</v>
      </c>
      <c r="J1067" s="59">
        <f>Table134[[#This Row],[number_of_purchases]]/Table134[[#This Row],[customer_total_years]]</f>
        <v>4.1410048622366284</v>
      </c>
      <c r="K1067" s="13">
        <f>Table134[[#This Row],[purchase_history]]/Table134[[#This Row],[number_of_purchases]]</f>
        <v>1971.6428571428571</v>
      </c>
      <c r="L1067" s="2">
        <f>IF(YEAR(Table134[[#This Row],[Last_Day]])=2021,5,IF(YEAR(Table134[[#This Row],[Last_Day]])=2022,7,IF(YEAR(Table134[[#This Row],[Last_Day]])=2023,10,"Không xác định")))</f>
        <v>10</v>
      </c>
      <c r="M1067" s="15">
        <f>Table134[[#This Row],[avg_number_of_purchases]]*Table1345[[#This Row],[avg_purchase_value]]*Table1345[[#This Row],[expected_lifespan]]</f>
        <v>81645.826580226887</v>
      </c>
      <c r="N1067" t="s">
        <v>12046</v>
      </c>
    </row>
    <row r="1068" spans="1:14" x14ac:dyDescent="0.3">
      <c r="A1068" s="2" t="s">
        <v>1066</v>
      </c>
      <c r="B1068" s="2" t="s">
        <v>12045</v>
      </c>
      <c r="C1068" s="2">
        <v>30</v>
      </c>
      <c r="D1068" s="2" t="s">
        <v>12043</v>
      </c>
      <c r="E1068" s="2">
        <f>COUNTIF(Table16[customer_id],Table13[[#This Row],[customer_id]])</f>
        <v>3</v>
      </c>
      <c r="F1068" s="13">
        <f>SUMIFS(Table16[Purchase_history],Table16[customer_id],Table13[[#This Row],[customer_id]])</f>
        <v>25257.53</v>
      </c>
      <c r="G1068" s="20">
        <v>44415</v>
      </c>
      <c r="H1068" s="21">
        <v>44988</v>
      </c>
      <c r="I1068" s="15">
        <f>(Table134[[#This Row],[Last_Day]]-Table134[[#This Row],[First_Day]]+1)/365</f>
        <v>1.5726027397260274</v>
      </c>
      <c r="J1068" s="59">
        <f>Table134[[#This Row],[number_of_purchases]]/Table134[[#This Row],[customer_total_years]]</f>
        <v>1.9076655052264808</v>
      </c>
      <c r="K1068" s="13">
        <f>Table134[[#This Row],[purchase_history]]/Table134[[#This Row],[number_of_purchases]]</f>
        <v>8419.1766666666663</v>
      </c>
      <c r="L1068" s="2">
        <f>IF(YEAR(Table134[[#This Row],[Last_Day]])=2021,5,IF(YEAR(Table134[[#This Row],[Last_Day]])=2022,7,IF(YEAR(Table134[[#This Row],[Last_Day]])=2023,10,"Không xác định")))</f>
        <v>10</v>
      </c>
      <c r="M1068" s="15">
        <f>Table134[[#This Row],[avg_number_of_purchases]]*Table1345[[#This Row],[avg_purchase_value]]*Table1345[[#This Row],[expected_lifespan]]</f>
        <v>160609.72909407664</v>
      </c>
      <c r="N1068" t="s">
        <v>12047</v>
      </c>
    </row>
    <row r="1069" spans="1:14" x14ac:dyDescent="0.3">
      <c r="A1069" s="2" t="s">
        <v>1067</v>
      </c>
      <c r="B1069" s="2" t="s">
        <v>12045</v>
      </c>
      <c r="C1069" s="2">
        <v>32</v>
      </c>
      <c r="D1069" s="2" t="s">
        <v>12049</v>
      </c>
      <c r="E1069" s="2">
        <f>COUNTIF(Table16[customer_id],Table13[[#This Row],[customer_id]])</f>
        <v>5</v>
      </c>
      <c r="F1069" s="13">
        <f>SUMIFS(Table16[Purchase_history],Table16[customer_id],Table13[[#This Row],[customer_id]])</f>
        <v>10443.380000000001</v>
      </c>
      <c r="G1069" s="20">
        <v>44307</v>
      </c>
      <c r="H1069" s="21">
        <v>44706</v>
      </c>
      <c r="I1069" s="15">
        <f>(Table134[[#This Row],[Last_Day]]-Table134[[#This Row],[First_Day]]+1)/365</f>
        <v>1.095890410958904</v>
      </c>
      <c r="J1069" s="59">
        <f>Table134[[#This Row],[number_of_purchases]]/Table134[[#This Row],[customer_total_years]]</f>
        <v>4.5625</v>
      </c>
      <c r="K1069" s="13">
        <f>Table134[[#This Row],[purchase_history]]/Table134[[#This Row],[number_of_purchases]]</f>
        <v>2088.6760000000004</v>
      </c>
      <c r="L1069" s="2">
        <f>IF(YEAR(Table134[[#This Row],[Last_Day]])=2021,5,IF(YEAR(Table134[[#This Row],[Last_Day]])=2022,7,IF(YEAR(Table134[[#This Row],[Last_Day]])=2023,10,"Không xác định")))</f>
        <v>7</v>
      </c>
      <c r="M1069" s="15">
        <f>Table134[[#This Row],[avg_number_of_purchases]]*Table1345[[#This Row],[avg_purchase_value]]*Table1345[[#This Row],[expected_lifespan]]</f>
        <v>66707.089750000014</v>
      </c>
      <c r="N1069" t="s">
        <v>12048</v>
      </c>
    </row>
    <row r="1070" spans="1:14" x14ac:dyDescent="0.3">
      <c r="A1070" s="2" t="s">
        <v>1068</v>
      </c>
      <c r="B1070" s="2" t="s">
        <v>12045</v>
      </c>
      <c r="C1070" s="2">
        <v>66</v>
      </c>
      <c r="D1070" s="2" t="s">
        <v>12043</v>
      </c>
      <c r="E1070" s="2">
        <f>COUNTIF(Table16[customer_id],Table13[[#This Row],[customer_id]])</f>
        <v>3</v>
      </c>
      <c r="F1070" s="13">
        <f>SUMIFS(Table16[Purchase_history],Table16[customer_id],Table13[[#This Row],[customer_id]])</f>
        <v>11125.619999999999</v>
      </c>
      <c r="G1070" s="20">
        <v>44241</v>
      </c>
      <c r="H1070" s="21">
        <v>44581</v>
      </c>
      <c r="I1070" s="15">
        <f>(Table134[[#This Row],[Last_Day]]-Table134[[#This Row],[First_Day]]+1)/365</f>
        <v>0.9342465753424658</v>
      </c>
      <c r="J1070" s="59">
        <f>Table134[[#This Row],[number_of_purchases]]/Table134[[#This Row],[customer_total_years]]</f>
        <v>3.2111436950146626</v>
      </c>
      <c r="K1070" s="13">
        <f>Table134[[#This Row],[purchase_history]]/Table134[[#This Row],[number_of_purchases]]</f>
        <v>3708.5399999999995</v>
      </c>
      <c r="L1070" s="2">
        <f>IF(YEAR(Table134[[#This Row],[Last_Day]])=2021,5,IF(YEAR(Table134[[#This Row],[Last_Day]])=2022,7,IF(YEAR(Table134[[#This Row],[Last_Day]])=2023,10,"Không xác định")))</f>
        <v>7</v>
      </c>
      <c r="M1070" s="15">
        <f>Table134[[#This Row],[avg_number_of_purchases]]*Table1345[[#This Row],[avg_purchase_value]]*Table1345[[#This Row],[expected_lifespan]]</f>
        <v>83360.583870967734</v>
      </c>
      <c r="N1070" t="s">
        <v>12046</v>
      </c>
    </row>
    <row r="1071" spans="1:14" x14ac:dyDescent="0.3">
      <c r="A1071" s="2" t="s">
        <v>1069</v>
      </c>
      <c r="B1071" s="2" t="s">
        <v>12040</v>
      </c>
      <c r="C1071" s="2">
        <v>30</v>
      </c>
      <c r="D1071" s="2" t="s">
        <v>12049</v>
      </c>
      <c r="E1071" s="2">
        <f>COUNTIF(Table16[customer_id],Table13[[#This Row],[customer_id]])</f>
        <v>3</v>
      </c>
      <c r="F1071" s="13">
        <f>SUMIFS(Table16[Purchase_history],Table16[customer_id],Table13[[#This Row],[customer_id]])</f>
        <v>9634.02</v>
      </c>
      <c r="G1071" s="20">
        <v>44235</v>
      </c>
      <c r="H1071" s="21">
        <v>44865</v>
      </c>
      <c r="I1071" s="15">
        <f>(Table134[[#This Row],[Last_Day]]-Table134[[#This Row],[First_Day]]+1)/365</f>
        <v>1.7287671232876711</v>
      </c>
      <c r="J1071" s="59">
        <f>Table134[[#This Row],[number_of_purchases]]/Table134[[#This Row],[customer_total_years]]</f>
        <v>1.735340729001585</v>
      </c>
      <c r="K1071" s="13">
        <f>Table134[[#This Row],[purchase_history]]/Table134[[#This Row],[number_of_purchases]]</f>
        <v>3211.34</v>
      </c>
      <c r="L1071" s="2">
        <f>IF(YEAR(Table134[[#This Row],[Last_Day]])=2021,5,IF(YEAR(Table134[[#This Row],[Last_Day]])=2022,7,IF(YEAR(Table134[[#This Row],[Last_Day]])=2023,10,"Không xác định")))</f>
        <v>7</v>
      </c>
      <c r="M1071" s="15">
        <f>Table134[[#This Row],[avg_number_of_purchases]]*Table1345[[#This Row],[avg_purchase_value]]*Table1345[[#This Row],[expected_lifespan]]</f>
        <v>39009.383676703648</v>
      </c>
      <c r="N1071" t="s">
        <v>12048</v>
      </c>
    </row>
    <row r="1072" spans="1:14" x14ac:dyDescent="0.3">
      <c r="A1072" s="2" t="s">
        <v>1070</v>
      </c>
      <c r="B1072" s="2" t="s">
        <v>12040</v>
      </c>
      <c r="C1072" s="2">
        <v>62</v>
      </c>
      <c r="D1072" s="2" t="s">
        <v>12043</v>
      </c>
      <c r="E1072" s="2">
        <f>COUNTIF(Table16[customer_id],Table13[[#This Row],[customer_id]])</f>
        <v>7</v>
      </c>
      <c r="F1072" s="13">
        <f>SUMIFS(Table16[Purchase_history],Table16[customer_id],Table13[[#This Row],[customer_id]])</f>
        <v>9637.65</v>
      </c>
      <c r="G1072" s="20">
        <v>44337</v>
      </c>
      <c r="H1072" s="21">
        <v>44897</v>
      </c>
      <c r="I1072" s="15">
        <f>(Table134[[#This Row],[Last_Day]]-Table134[[#This Row],[First_Day]]+1)/365</f>
        <v>1.536986301369863</v>
      </c>
      <c r="J1072" s="59">
        <f>Table134[[#This Row],[number_of_purchases]]/Table134[[#This Row],[customer_total_years]]</f>
        <v>4.5543672014260252</v>
      </c>
      <c r="K1072" s="13">
        <f>Table134[[#This Row],[purchase_history]]/Table134[[#This Row],[number_of_purchases]]</f>
        <v>1376.8071428571427</v>
      </c>
      <c r="L1072" s="2">
        <f>IF(YEAR(Table134[[#This Row],[Last_Day]])=2021,5,IF(YEAR(Table134[[#This Row],[Last_Day]])=2022,7,IF(YEAR(Table134[[#This Row],[Last_Day]])=2023,10,"Không xác định")))</f>
        <v>7</v>
      </c>
      <c r="M1072" s="15">
        <f>Table134[[#This Row],[avg_number_of_purchases]]*Table1345[[#This Row],[avg_purchase_value]]*Table1345[[#This Row],[expected_lifespan]]</f>
        <v>43893.397058823524</v>
      </c>
      <c r="N1072" t="s">
        <v>12048</v>
      </c>
    </row>
    <row r="1073" spans="1:14" x14ac:dyDescent="0.3">
      <c r="A1073" s="2" t="s">
        <v>1071</v>
      </c>
      <c r="B1073" s="2" t="s">
        <v>12040</v>
      </c>
      <c r="C1073" s="2">
        <v>48</v>
      </c>
      <c r="D1073" s="2" t="s">
        <v>12043</v>
      </c>
      <c r="E1073" s="2">
        <f>COUNTIF(Table16[customer_id],Table13[[#This Row],[customer_id]])</f>
        <v>3</v>
      </c>
      <c r="F1073" s="13">
        <f>SUMIFS(Table16[Purchase_history],Table16[customer_id],Table13[[#This Row],[customer_id]])</f>
        <v>8890</v>
      </c>
      <c r="G1073" s="20">
        <v>44835</v>
      </c>
      <c r="H1073" s="21">
        <v>44928</v>
      </c>
      <c r="I1073" s="15">
        <f>(Table134[[#This Row],[Last_Day]]-Table134[[#This Row],[First_Day]]+1)/365</f>
        <v>0.25753424657534246</v>
      </c>
      <c r="J1073" s="59">
        <f>Table134[[#This Row],[number_of_purchases]]/Table134[[#This Row],[customer_total_years]]</f>
        <v>11.648936170212766</v>
      </c>
      <c r="K1073" s="13">
        <f>Table134[[#This Row],[purchase_history]]/Table134[[#This Row],[number_of_purchases]]</f>
        <v>2963.3333333333335</v>
      </c>
      <c r="L1073" s="2">
        <f>IF(YEAR(Table134[[#This Row],[Last_Day]])=2021,5,IF(YEAR(Table134[[#This Row],[Last_Day]])=2022,7,IF(YEAR(Table134[[#This Row],[Last_Day]])=2023,10,"Không xác định")))</f>
        <v>10</v>
      </c>
      <c r="M1073" s="15">
        <f>Table134[[#This Row],[avg_number_of_purchases]]*Table1345[[#This Row],[avg_purchase_value]]*Table1345[[#This Row],[expected_lifespan]]</f>
        <v>345196.80851063831</v>
      </c>
      <c r="N1073" t="s">
        <v>12047</v>
      </c>
    </row>
    <row r="1074" spans="1:14" x14ac:dyDescent="0.3">
      <c r="A1074" s="2" t="s">
        <v>1072</v>
      </c>
      <c r="B1074" s="2" t="s">
        <v>12045</v>
      </c>
      <c r="C1074" s="2">
        <v>39</v>
      </c>
      <c r="D1074" s="2" t="s">
        <v>12043</v>
      </c>
      <c r="E1074" s="2">
        <f>COUNTIF(Table16[customer_id],Table13[[#This Row],[customer_id]])</f>
        <v>6</v>
      </c>
      <c r="F1074" s="13">
        <f>SUMIFS(Table16[Purchase_history],Table16[customer_id],Table13[[#This Row],[customer_id]])</f>
        <v>18172.96</v>
      </c>
      <c r="G1074" s="20">
        <v>44233</v>
      </c>
      <c r="H1074" s="21">
        <v>44898</v>
      </c>
      <c r="I1074" s="15">
        <f>(Table134[[#This Row],[Last_Day]]-Table134[[#This Row],[First_Day]]+1)/365</f>
        <v>1.8246575342465754</v>
      </c>
      <c r="J1074" s="59">
        <f>Table134[[#This Row],[number_of_purchases]]/Table134[[#This Row],[customer_total_years]]</f>
        <v>3.288288288288288</v>
      </c>
      <c r="K1074" s="13">
        <f>Table134[[#This Row],[purchase_history]]/Table134[[#This Row],[number_of_purchases]]</f>
        <v>3028.8266666666664</v>
      </c>
      <c r="L1074" s="2">
        <f>IF(YEAR(Table134[[#This Row],[Last_Day]])=2021,5,IF(YEAR(Table134[[#This Row],[Last_Day]])=2022,7,IF(YEAR(Table134[[#This Row],[Last_Day]])=2023,10,"Không xác định")))</f>
        <v>7</v>
      </c>
      <c r="M1074" s="15">
        <f>Table134[[#This Row],[avg_number_of_purchases]]*Table1345[[#This Row],[avg_purchase_value]]*Table1345[[#This Row],[expected_lifespan]]</f>
        <v>69717.586786786764</v>
      </c>
      <c r="N1074" t="s">
        <v>12042</v>
      </c>
    </row>
    <row r="1075" spans="1:14" x14ac:dyDescent="0.3">
      <c r="A1075" s="2" t="s">
        <v>1073</v>
      </c>
      <c r="B1075" s="2" t="s">
        <v>12040</v>
      </c>
      <c r="C1075" s="2">
        <v>66</v>
      </c>
      <c r="D1075" s="2" t="s">
        <v>12049</v>
      </c>
      <c r="E1075" s="2">
        <f>COUNTIF(Table16[customer_id],Table13[[#This Row],[customer_id]])</f>
        <v>4</v>
      </c>
      <c r="F1075" s="13">
        <f>SUMIFS(Table16[Purchase_history],Table16[customer_id],Table13[[#This Row],[customer_id]])</f>
        <v>34226.81</v>
      </c>
      <c r="G1075" s="20">
        <v>44243</v>
      </c>
      <c r="H1075" s="21">
        <v>44740</v>
      </c>
      <c r="I1075" s="15">
        <f>(Table134[[#This Row],[Last_Day]]-Table134[[#This Row],[First_Day]]+1)/365</f>
        <v>1.3643835616438356</v>
      </c>
      <c r="J1075" s="59">
        <f>Table134[[#This Row],[number_of_purchases]]/Table134[[#This Row],[customer_total_years]]</f>
        <v>2.9317269076305221</v>
      </c>
      <c r="K1075" s="13">
        <f>Table134[[#This Row],[purchase_history]]/Table134[[#This Row],[number_of_purchases]]</f>
        <v>8556.7024999999994</v>
      </c>
      <c r="L1075" s="2">
        <f>IF(YEAR(Table134[[#This Row],[Last_Day]])=2021,5,IF(YEAR(Table134[[#This Row],[Last_Day]])=2022,7,IF(YEAR(Table134[[#This Row],[Last_Day]])=2023,10,"Không xác định")))</f>
        <v>7</v>
      </c>
      <c r="M1075" s="15">
        <f>Table134[[#This Row],[avg_number_of_purchases]]*Table1345[[#This Row],[avg_purchase_value]]*Table1345[[#This Row],[expected_lifespan]]</f>
        <v>175601.40471887548</v>
      </c>
      <c r="N1075" t="s">
        <v>12042</v>
      </c>
    </row>
    <row r="1076" spans="1:14" x14ac:dyDescent="0.3">
      <c r="A1076" s="2" t="s">
        <v>1074</v>
      </c>
      <c r="B1076" s="2" t="s">
        <v>12045</v>
      </c>
      <c r="C1076" s="2">
        <v>54</v>
      </c>
      <c r="D1076" s="2" t="s">
        <v>12041</v>
      </c>
      <c r="E1076" s="2">
        <f>COUNTIF(Table16[customer_id],Table13[[#This Row],[customer_id]])</f>
        <v>4</v>
      </c>
      <c r="F1076" s="13">
        <f>SUMIFS(Table16[Purchase_history],Table16[customer_id],Table13[[#This Row],[customer_id]])</f>
        <v>1401.8100000000002</v>
      </c>
      <c r="G1076" s="20">
        <v>44340</v>
      </c>
      <c r="H1076" s="21">
        <v>44827</v>
      </c>
      <c r="I1076" s="15">
        <f>(Table134[[#This Row],[Last_Day]]-Table134[[#This Row],[First_Day]]+1)/365</f>
        <v>1.3369863013698631</v>
      </c>
      <c r="J1076" s="59">
        <f>Table134[[#This Row],[number_of_purchases]]/Table134[[#This Row],[customer_total_years]]</f>
        <v>2.9918032786885242</v>
      </c>
      <c r="K1076" s="13">
        <f>Table134[[#This Row],[purchase_history]]/Table134[[#This Row],[number_of_purchases]]</f>
        <v>350.45250000000004</v>
      </c>
      <c r="L1076" s="2">
        <f>IF(YEAR(Table134[[#This Row],[Last_Day]])=2021,5,IF(YEAR(Table134[[#This Row],[Last_Day]])=2022,7,IF(YEAR(Table134[[#This Row],[Last_Day]])=2023,10,"Không xác định")))</f>
        <v>7</v>
      </c>
      <c r="M1076" s="15">
        <f>Table134[[#This Row],[avg_number_of_purchases]]*Table1345[[#This Row],[avg_purchase_value]]*Table1345[[#This Row],[expected_lifespan]]</f>
        <v>7339.3945696721312</v>
      </c>
      <c r="N1076" t="s">
        <v>12048</v>
      </c>
    </row>
    <row r="1077" spans="1:14" x14ac:dyDescent="0.3">
      <c r="A1077" s="2" t="s">
        <v>1075</v>
      </c>
      <c r="B1077" s="2" t="s">
        <v>12045</v>
      </c>
      <c r="C1077" s="2">
        <v>56</v>
      </c>
      <c r="D1077" s="2" t="s">
        <v>12041</v>
      </c>
      <c r="E1077" s="2">
        <f>COUNTIF(Table16[customer_id],Table13[[#This Row],[customer_id]])</f>
        <v>6</v>
      </c>
      <c r="F1077" s="13">
        <f>SUMIFS(Table16[Purchase_history],Table16[customer_id],Table13[[#This Row],[customer_id]])</f>
        <v>1583.16</v>
      </c>
      <c r="G1077" s="20">
        <v>44222</v>
      </c>
      <c r="H1077" s="21">
        <v>44919</v>
      </c>
      <c r="I1077" s="15">
        <f>(Table134[[#This Row],[Last_Day]]-Table134[[#This Row],[First_Day]]+1)/365</f>
        <v>1.9123287671232876</v>
      </c>
      <c r="J1077" s="59">
        <f>Table134[[#This Row],[number_of_purchases]]/Table134[[#This Row],[customer_total_years]]</f>
        <v>3.1375358166189113</v>
      </c>
      <c r="K1077" s="13">
        <f>Table134[[#This Row],[purchase_history]]/Table134[[#This Row],[number_of_purchases]]</f>
        <v>263.86</v>
      </c>
      <c r="L1077" s="2">
        <f>IF(YEAR(Table134[[#This Row],[Last_Day]])=2021,5,IF(YEAR(Table134[[#This Row],[Last_Day]])=2022,7,IF(YEAR(Table134[[#This Row],[Last_Day]])=2023,10,"Không xác định")))</f>
        <v>7</v>
      </c>
      <c r="M1077" s="15">
        <f>Table134[[#This Row],[avg_number_of_purchases]]*Table1345[[#This Row],[avg_purchase_value]]*Table1345[[#This Row],[expected_lifespan]]</f>
        <v>5795.0914040114621</v>
      </c>
      <c r="N1077" t="s">
        <v>12047</v>
      </c>
    </row>
    <row r="1078" spans="1:14" x14ac:dyDescent="0.3">
      <c r="A1078" s="2" t="s">
        <v>1076</v>
      </c>
      <c r="B1078" s="2" t="s">
        <v>12045</v>
      </c>
      <c r="C1078" s="2">
        <v>23</v>
      </c>
      <c r="D1078" s="2" t="s">
        <v>12049</v>
      </c>
      <c r="E1078" s="2">
        <f>COUNTIF(Table16[customer_id],Table13[[#This Row],[customer_id]])</f>
        <v>8</v>
      </c>
      <c r="F1078" s="13">
        <f>SUMIFS(Table16[Purchase_history],Table16[customer_id],Table13[[#This Row],[customer_id]])</f>
        <v>27173.15</v>
      </c>
      <c r="G1078" s="20">
        <v>44216</v>
      </c>
      <c r="H1078" s="21">
        <v>44939</v>
      </c>
      <c r="I1078" s="15">
        <f>(Table134[[#This Row],[Last_Day]]-Table134[[#This Row],[First_Day]]+1)/365</f>
        <v>1.9835616438356165</v>
      </c>
      <c r="J1078" s="59">
        <f>Table134[[#This Row],[number_of_purchases]]/Table134[[#This Row],[customer_total_years]]</f>
        <v>4.0331491712707184</v>
      </c>
      <c r="K1078" s="13">
        <f>Table134[[#This Row],[purchase_history]]/Table134[[#This Row],[number_of_purchases]]</f>
        <v>3396.6437500000002</v>
      </c>
      <c r="L1078" s="2">
        <f>IF(YEAR(Table134[[#This Row],[Last_Day]])=2021,5,IF(YEAR(Table134[[#This Row],[Last_Day]])=2022,7,IF(YEAR(Table134[[#This Row],[Last_Day]])=2023,10,"Không xác định")))</f>
        <v>10</v>
      </c>
      <c r="M1078" s="15">
        <f>Table134[[#This Row],[avg_number_of_purchases]]*Table1345[[#This Row],[avg_purchase_value]]*Table1345[[#This Row],[expected_lifespan]]</f>
        <v>136991.70925414367</v>
      </c>
      <c r="N1078" t="s">
        <v>12047</v>
      </c>
    </row>
    <row r="1079" spans="1:14" x14ac:dyDescent="0.3">
      <c r="A1079" s="2" t="s">
        <v>1077</v>
      </c>
      <c r="B1079" s="2" t="s">
        <v>12040</v>
      </c>
      <c r="C1079" s="2">
        <v>26</v>
      </c>
      <c r="D1079" s="2" t="s">
        <v>12049</v>
      </c>
      <c r="E1079" s="2">
        <f>COUNTIF(Table16[customer_id],Table13[[#This Row],[customer_id]])</f>
        <v>5</v>
      </c>
      <c r="F1079" s="13">
        <f>SUMIFS(Table16[Purchase_history],Table16[customer_id],Table13[[#This Row],[customer_id]])</f>
        <v>5404.48</v>
      </c>
      <c r="G1079" s="20">
        <v>44599</v>
      </c>
      <c r="H1079" s="21">
        <v>44850</v>
      </c>
      <c r="I1079" s="15">
        <f>(Table134[[#This Row],[Last_Day]]-Table134[[#This Row],[First_Day]]+1)/365</f>
        <v>0.69041095890410964</v>
      </c>
      <c r="J1079" s="59">
        <f>Table134[[#This Row],[number_of_purchases]]/Table134[[#This Row],[customer_total_years]]</f>
        <v>7.2420634920634912</v>
      </c>
      <c r="K1079" s="13">
        <f>Table134[[#This Row],[purchase_history]]/Table134[[#This Row],[number_of_purchases]]</f>
        <v>1080.896</v>
      </c>
      <c r="L1079" s="2">
        <f>IF(YEAR(Table134[[#This Row],[Last_Day]])=2021,5,IF(YEAR(Table134[[#This Row],[Last_Day]])=2022,7,IF(YEAR(Table134[[#This Row],[Last_Day]])=2023,10,"Không xác định")))</f>
        <v>7</v>
      </c>
      <c r="M1079" s="15">
        <f>Table134[[#This Row],[avg_number_of_purchases]]*Table1345[[#This Row],[avg_purchase_value]]*Table1345[[#This Row],[expected_lifespan]]</f>
        <v>54795.422222222209</v>
      </c>
      <c r="N1079" t="s">
        <v>12048</v>
      </c>
    </row>
    <row r="1080" spans="1:14" x14ac:dyDescent="0.3">
      <c r="A1080" s="2" t="s">
        <v>1078</v>
      </c>
      <c r="B1080" s="2" t="s">
        <v>12045</v>
      </c>
      <c r="C1080" s="2">
        <v>22</v>
      </c>
      <c r="D1080" s="2" t="s">
        <v>12043</v>
      </c>
      <c r="E1080" s="2">
        <f>COUNTIF(Table16[customer_id],Table13[[#This Row],[customer_id]])</f>
        <v>7</v>
      </c>
      <c r="F1080" s="13">
        <f>SUMIFS(Table16[Purchase_history],Table16[customer_id],Table13[[#This Row],[customer_id]])</f>
        <v>37486.54</v>
      </c>
      <c r="G1080" s="20">
        <v>44198</v>
      </c>
      <c r="H1080" s="21">
        <v>44937</v>
      </c>
      <c r="I1080" s="15">
        <f>(Table134[[#This Row],[Last_Day]]-Table134[[#This Row],[First_Day]]+1)/365</f>
        <v>2.0273972602739727</v>
      </c>
      <c r="J1080" s="59">
        <f>Table134[[#This Row],[number_of_purchases]]/Table134[[#This Row],[customer_total_years]]</f>
        <v>3.4527027027027026</v>
      </c>
      <c r="K1080" s="13">
        <f>Table134[[#This Row],[purchase_history]]/Table134[[#This Row],[number_of_purchases]]</f>
        <v>5355.22</v>
      </c>
      <c r="L1080" s="2">
        <f>IF(YEAR(Table134[[#This Row],[Last_Day]])=2021,5,IF(YEAR(Table134[[#This Row],[Last_Day]])=2022,7,IF(YEAR(Table134[[#This Row],[Last_Day]])=2023,10,"Không xác định")))</f>
        <v>10</v>
      </c>
      <c r="M1080" s="15">
        <f>Table134[[#This Row],[avg_number_of_purchases]]*Table1345[[#This Row],[avg_purchase_value]]*Table1345[[#This Row],[expected_lifespan]]</f>
        <v>184899.82567567567</v>
      </c>
      <c r="N1080" t="s">
        <v>12047</v>
      </c>
    </row>
    <row r="1081" spans="1:14" x14ac:dyDescent="0.3">
      <c r="A1081" s="2" t="s">
        <v>1079</v>
      </c>
      <c r="B1081" s="2" t="s">
        <v>12040</v>
      </c>
      <c r="C1081" s="2">
        <v>37</v>
      </c>
      <c r="D1081" s="2" t="s">
        <v>12041</v>
      </c>
      <c r="E1081" s="2">
        <f>COUNTIF(Table16[customer_id],Table13[[#This Row],[customer_id]])</f>
        <v>7</v>
      </c>
      <c r="F1081" s="13">
        <f>SUMIFS(Table16[Purchase_history],Table16[customer_id],Table13[[#This Row],[customer_id]])</f>
        <v>56337.78</v>
      </c>
      <c r="G1081" s="20">
        <v>44363</v>
      </c>
      <c r="H1081" s="21">
        <v>44887</v>
      </c>
      <c r="I1081" s="15">
        <f>(Table134[[#This Row],[Last_Day]]-Table134[[#This Row],[First_Day]]+1)/365</f>
        <v>1.4383561643835616</v>
      </c>
      <c r="J1081" s="59">
        <f>Table134[[#This Row],[number_of_purchases]]/Table134[[#This Row],[customer_total_years]]</f>
        <v>4.8666666666666671</v>
      </c>
      <c r="K1081" s="13">
        <f>Table134[[#This Row],[purchase_history]]/Table134[[#This Row],[number_of_purchases]]</f>
        <v>8048.2542857142853</v>
      </c>
      <c r="L1081" s="2">
        <f>IF(YEAR(Table134[[#This Row],[Last_Day]])=2021,5,IF(YEAR(Table134[[#This Row],[Last_Day]])=2022,7,IF(YEAR(Table134[[#This Row],[Last_Day]])=2023,10,"Không xác định")))</f>
        <v>7</v>
      </c>
      <c r="M1081" s="15">
        <f>Table134[[#This Row],[avg_number_of_purchases]]*Table1345[[#This Row],[avg_purchase_value]]*Table1345[[#This Row],[expected_lifespan]]</f>
        <v>274177.196</v>
      </c>
      <c r="N1081" t="s">
        <v>12048</v>
      </c>
    </row>
    <row r="1082" spans="1:14" x14ac:dyDescent="0.3">
      <c r="A1082" s="2" t="s">
        <v>1080</v>
      </c>
      <c r="B1082" s="2" t="s">
        <v>12045</v>
      </c>
      <c r="C1082" s="2">
        <v>59</v>
      </c>
      <c r="D1082" s="2" t="s">
        <v>12041</v>
      </c>
      <c r="E1082" s="2">
        <f>COUNTIF(Table16[customer_id],Table13[[#This Row],[customer_id]])</f>
        <v>5</v>
      </c>
      <c r="F1082" s="13">
        <f>SUMIFS(Table16[Purchase_history],Table16[customer_id],Table13[[#This Row],[customer_id]])</f>
        <v>12221.97</v>
      </c>
      <c r="G1082" s="20">
        <v>44308</v>
      </c>
      <c r="H1082" s="21">
        <v>44986</v>
      </c>
      <c r="I1082" s="15">
        <f>(Table134[[#This Row],[Last_Day]]-Table134[[#This Row],[First_Day]]+1)/365</f>
        <v>1.8602739726027397</v>
      </c>
      <c r="J1082" s="59">
        <f>Table134[[#This Row],[number_of_purchases]]/Table134[[#This Row],[customer_total_years]]</f>
        <v>2.6877761413843886</v>
      </c>
      <c r="K1082" s="13">
        <f>Table134[[#This Row],[purchase_history]]/Table134[[#This Row],[number_of_purchases]]</f>
        <v>2444.3939999999998</v>
      </c>
      <c r="L1082" s="2">
        <f>IF(YEAR(Table134[[#This Row],[Last_Day]])=2021,5,IF(YEAR(Table134[[#This Row],[Last_Day]])=2022,7,IF(YEAR(Table134[[#This Row],[Last_Day]])=2023,10,"Không xác định")))</f>
        <v>10</v>
      </c>
      <c r="M1082" s="15">
        <f>Table134[[#This Row],[avg_number_of_purchases]]*Table1345[[#This Row],[avg_purchase_value]]*Table1345[[#This Row],[expected_lifespan]]</f>
        <v>65699.838733431505</v>
      </c>
      <c r="N1082" t="s">
        <v>12046</v>
      </c>
    </row>
    <row r="1083" spans="1:14" x14ac:dyDescent="0.3">
      <c r="A1083" s="2" t="s">
        <v>1081</v>
      </c>
      <c r="B1083" s="2" t="s">
        <v>12040</v>
      </c>
      <c r="C1083" s="2">
        <v>38</v>
      </c>
      <c r="D1083" s="2" t="s">
        <v>12041</v>
      </c>
      <c r="E1083" s="2">
        <f>COUNTIF(Table16[customer_id],Table13[[#This Row],[customer_id]])</f>
        <v>2</v>
      </c>
      <c r="F1083" s="13">
        <f>SUMIFS(Table16[Purchase_history],Table16[customer_id],Table13[[#This Row],[customer_id]])</f>
        <v>234.60000000000002</v>
      </c>
      <c r="G1083" s="20">
        <v>44239</v>
      </c>
      <c r="H1083" s="21">
        <v>44961</v>
      </c>
      <c r="I1083" s="15">
        <f>(Table134[[#This Row],[Last_Day]]-Table134[[#This Row],[First_Day]]+1)/365</f>
        <v>1.9808219178082191</v>
      </c>
      <c r="J1083" s="59">
        <f>Table134[[#This Row],[number_of_purchases]]/Table134[[#This Row],[customer_total_years]]</f>
        <v>1.0096818810511756</v>
      </c>
      <c r="K1083" s="13">
        <f>Table134[[#This Row],[purchase_history]]/Table134[[#This Row],[number_of_purchases]]</f>
        <v>117.30000000000001</v>
      </c>
      <c r="L1083" s="2">
        <f>IF(YEAR(Table134[[#This Row],[Last_Day]])=2021,5,IF(YEAR(Table134[[#This Row],[Last_Day]])=2022,7,IF(YEAR(Table134[[#This Row],[Last_Day]])=2023,10,"Không xác định")))</f>
        <v>10</v>
      </c>
      <c r="M1083" s="15">
        <f>Table134[[#This Row],[avg_number_of_purchases]]*Table1345[[#This Row],[avg_purchase_value]]*Table1345[[#This Row],[expected_lifespan]]</f>
        <v>1184.356846473029</v>
      </c>
      <c r="N1083" t="s">
        <v>12044</v>
      </c>
    </row>
    <row r="1084" spans="1:14" x14ac:dyDescent="0.3">
      <c r="A1084" s="2" t="s">
        <v>1082</v>
      </c>
      <c r="B1084" s="2" t="s">
        <v>12040</v>
      </c>
      <c r="C1084" s="2">
        <v>63</v>
      </c>
      <c r="D1084" s="2" t="s">
        <v>12043</v>
      </c>
      <c r="E1084" s="2">
        <f>COUNTIF(Table16[customer_id],Table13[[#This Row],[customer_id]])</f>
        <v>6</v>
      </c>
      <c r="F1084" s="13">
        <f>SUMIFS(Table16[Purchase_history],Table16[customer_id],Table13[[#This Row],[customer_id]])</f>
        <v>43873.22</v>
      </c>
      <c r="G1084" s="20">
        <v>44235</v>
      </c>
      <c r="H1084" s="21">
        <v>44591</v>
      </c>
      <c r="I1084" s="15">
        <f>(Table134[[#This Row],[Last_Day]]-Table134[[#This Row],[First_Day]]+1)/365</f>
        <v>0.9780821917808219</v>
      </c>
      <c r="J1084" s="59">
        <f>Table134[[#This Row],[number_of_purchases]]/Table134[[#This Row],[customer_total_years]]</f>
        <v>6.1344537815126055</v>
      </c>
      <c r="K1084" s="13">
        <f>Table134[[#This Row],[purchase_history]]/Table134[[#This Row],[number_of_purchases]]</f>
        <v>7312.2033333333338</v>
      </c>
      <c r="L1084" s="2">
        <f>IF(YEAR(Table134[[#This Row],[Last_Day]])=2021,5,IF(YEAR(Table134[[#This Row],[Last_Day]])=2022,7,IF(YEAR(Table134[[#This Row],[Last_Day]])=2023,10,"Không xác định")))</f>
        <v>7</v>
      </c>
      <c r="M1084" s="15">
        <f>Table134[[#This Row],[avg_number_of_purchases]]*Table1345[[#This Row],[avg_purchase_value]]*Table1345[[#This Row],[expected_lifespan]]</f>
        <v>313994.61372549029</v>
      </c>
      <c r="N1084" t="s">
        <v>12046</v>
      </c>
    </row>
    <row r="1085" spans="1:14" x14ac:dyDescent="0.3">
      <c r="A1085" s="2" t="s">
        <v>1083</v>
      </c>
      <c r="B1085" s="2" t="s">
        <v>12045</v>
      </c>
      <c r="C1085" s="2">
        <v>68</v>
      </c>
      <c r="D1085" s="2" t="s">
        <v>12041</v>
      </c>
      <c r="E1085" s="2">
        <f>COUNTIF(Table16[customer_id],Table13[[#This Row],[customer_id]])</f>
        <v>5</v>
      </c>
      <c r="F1085" s="13">
        <f>SUMIFS(Table16[Purchase_history],Table16[customer_id],Table13[[#This Row],[customer_id]])</f>
        <v>36213.24</v>
      </c>
      <c r="G1085" s="20">
        <v>44394</v>
      </c>
      <c r="H1085" s="21">
        <v>44817</v>
      </c>
      <c r="I1085" s="15">
        <f>(Table134[[#This Row],[Last_Day]]-Table134[[#This Row],[First_Day]]+1)/365</f>
        <v>1.1616438356164382</v>
      </c>
      <c r="J1085" s="59">
        <f>Table134[[#This Row],[number_of_purchases]]/Table134[[#This Row],[customer_total_years]]</f>
        <v>4.3042452830188687</v>
      </c>
      <c r="K1085" s="13">
        <f>Table134[[#This Row],[purchase_history]]/Table134[[#This Row],[number_of_purchases]]</f>
        <v>7242.6479999999992</v>
      </c>
      <c r="L1085" s="2">
        <f>IF(YEAR(Table134[[#This Row],[Last_Day]])=2021,5,IF(YEAR(Table134[[#This Row],[Last_Day]])=2022,7,IF(YEAR(Table134[[#This Row],[Last_Day]])=2023,10,"Không xác định")))</f>
        <v>7</v>
      </c>
      <c r="M1085" s="15">
        <f>Table134[[#This Row],[avg_number_of_purchases]]*Table1345[[#This Row],[avg_purchase_value]]*Table1345[[#This Row],[expected_lifespan]]</f>
        <v>218218.93443396228</v>
      </c>
      <c r="N1085" t="s">
        <v>12048</v>
      </c>
    </row>
    <row r="1086" spans="1:14" x14ac:dyDescent="0.3">
      <c r="A1086" s="2" t="s">
        <v>1084</v>
      </c>
      <c r="B1086" s="2" t="s">
        <v>12040</v>
      </c>
      <c r="C1086" s="2">
        <v>49</v>
      </c>
      <c r="D1086" s="2" t="s">
        <v>12043</v>
      </c>
      <c r="E1086" s="2">
        <f>COUNTIF(Table16[customer_id],Table13[[#This Row],[customer_id]])</f>
        <v>5</v>
      </c>
      <c r="F1086" s="13">
        <f>SUMIFS(Table16[Purchase_history],Table16[customer_id],Table13[[#This Row],[customer_id]])</f>
        <v>10308.879999999999</v>
      </c>
      <c r="G1086" s="20">
        <v>44198</v>
      </c>
      <c r="H1086" s="21">
        <v>44932</v>
      </c>
      <c r="I1086" s="15">
        <f>(Table134[[#This Row],[Last_Day]]-Table134[[#This Row],[First_Day]]+1)/365</f>
        <v>2.0136986301369864</v>
      </c>
      <c r="J1086" s="59">
        <f>Table134[[#This Row],[number_of_purchases]]/Table134[[#This Row],[customer_total_years]]</f>
        <v>2.4829931972789114</v>
      </c>
      <c r="K1086" s="13">
        <f>Table134[[#This Row],[purchase_history]]/Table134[[#This Row],[number_of_purchases]]</f>
        <v>2061.7759999999998</v>
      </c>
      <c r="L1086" s="2">
        <f>IF(YEAR(Table134[[#This Row],[Last_Day]])=2021,5,IF(YEAR(Table134[[#This Row],[Last_Day]])=2022,7,IF(YEAR(Table134[[#This Row],[Last_Day]])=2023,10,"Không xác định")))</f>
        <v>10</v>
      </c>
      <c r="M1086" s="15">
        <f>Table134[[#This Row],[avg_number_of_purchases]]*Table1345[[#This Row],[avg_purchase_value]]*Table1345[[#This Row],[expected_lifespan]]</f>
        <v>51193.757823129243</v>
      </c>
      <c r="N1086" t="s">
        <v>12048</v>
      </c>
    </row>
    <row r="1087" spans="1:14" x14ac:dyDescent="0.3">
      <c r="A1087" s="2" t="s">
        <v>1085</v>
      </c>
      <c r="B1087" s="2" t="s">
        <v>12045</v>
      </c>
      <c r="C1087" s="2">
        <v>43</v>
      </c>
      <c r="D1087" s="2" t="s">
        <v>12049</v>
      </c>
      <c r="E1087" s="2">
        <f>COUNTIF(Table16[customer_id],Table13[[#This Row],[customer_id]])</f>
        <v>3</v>
      </c>
      <c r="F1087" s="13">
        <f>SUMIFS(Table16[Purchase_history],Table16[customer_id],Table13[[#This Row],[customer_id]])</f>
        <v>3753.0600000000004</v>
      </c>
      <c r="G1087" s="20">
        <v>44274</v>
      </c>
      <c r="H1087" s="21">
        <v>44610</v>
      </c>
      <c r="I1087" s="15">
        <f>(Table134[[#This Row],[Last_Day]]-Table134[[#This Row],[First_Day]]+1)/365</f>
        <v>0.92328767123287669</v>
      </c>
      <c r="J1087" s="59">
        <f>Table134[[#This Row],[number_of_purchases]]/Table134[[#This Row],[customer_total_years]]</f>
        <v>3.2492581602373889</v>
      </c>
      <c r="K1087" s="13">
        <f>Table134[[#This Row],[purchase_history]]/Table134[[#This Row],[number_of_purchases]]</f>
        <v>1251.0200000000002</v>
      </c>
      <c r="L1087" s="2">
        <f>IF(YEAR(Table134[[#This Row],[Last_Day]])=2021,5,IF(YEAR(Table134[[#This Row],[Last_Day]])=2022,7,IF(YEAR(Table134[[#This Row],[Last_Day]])=2023,10,"Không xác định")))</f>
        <v>7</v>
      </c>
      <c r="M1087" s="15">
        <f>Table134[[#This Row],[avg_number_of_purchases]]*Table1345[[#This Row],[avg_purchase_value]]*Table1345[[#This Row],[expected_lifespan]]</f>
        <v>28454.208605341253</v>
      </c>
      <c r="N1087" t="s">
        <v>12042</v>
      </c>
    </row>
    <row r="1088" spans="1:14" x14ac:dyDescent="0.3">
      <c r="A1088" s="2" t="s">
        <v>1086</v>
      </c>
      <c r="B1088" s="2" t="s">
        <v>12040</v>
      </c>
      <c r="C1088" s="2">
        <v>42</v>
      </c>
      <c r="D1088" s="2" t="s">
        <v>12043</v>
      </c>
      <c r="E1088" s="2">
        <f>COUNTIF(Table16[customer_id],Table13[[#This Row],[customer_id]])</f>
        <v>4</v>
      </c>
      <c r="F1088" s="13">
        <f>SUMIFS(Table16[Purchase_history],Table16[customer_id],Table13[[#This Row],[customer_id]])</f>
        <v>29609.91</v>
      </c>
      <c r="G1088" s="20">
        <v>44215</v>
      </c>
      <c r="H1088" s="21">
        <v>44830</v>
      </c>
      <c r="I1088" s="15">
        <f>(Table134[[#This Row],[Last_Day]]-Table134[[#This Row],[First_Day]]+1)/365</f>
        <v>1.6876712328767123</v>
      </c>
      <c r="J1088" s="59">
        <f>Table134[[#This Row],[number_of_purchases]]/Table134[[#This Row],[customer_total_years]]</f>
        <v>2.3701298701298703</v>
      </c>
      <c r="K1088" s="13">
        <f>Table134[[#This Row],[purchase_history]]/Table134[[#This Row],[number_of_purchases]]</f>
        <v>7402.4775</v>
      </c>
      <c r="L1088" s="2">
        <f>IF(YEAR(Table134[[#This Row],[Last_Day]])=2021,5,IF(YEAR(Table134[[#This Row],[Last_Day]])=2022,7,IF(YEAR(Table134[[#This Row],[Last_Day]])=2023,10,"Không xác định")))</f>
        <v>7</v>
      </c>
      <c r="M1088" s="15">
        <f>Table134[[#This Row],[avg_number_of_purchases]]*Table1345[[#This Row],[avg_purchase_value]]*Table1345[[#This Row],[expected_lifespan]]</f>
        <v>122813.83125000002</v>
      </c>
      <c r="N1088" t="s">
        <v>12048</v>
      </c>
    </row>
    <row r="1089" spans="1:14" x14ac:dyDescent="0.3">
      <c r="A1089" s="2" t="s">
        <v>1087</v>
      </c>
      <c r="B1089" s="2" t="s">
        <v>12045</v>
      </c>
      <c r="C1089" s="2">
        <v>49</v>
      </c>
      <c r="D1089" s="2" t="s">
        <v>12043</v>
      </c>
      <c r="E1089" s="2">
        <f>COUNTIF(Table16[customer_id],Table13[[#This Row],[customer_id]])</f>
        <v>5</v>
      </c>
      <c r="F1089" s="13">
        <f>SUMIFS(Table16[Purchase_history],Table16[customer_id],Table13[[#This Row],[customer_id]])</f>
        <v>21298.949999999997</v>
      </c>
      <c r="G1089" s="20">
        <v>44261</v>
      </c>
      <c r="H1089" s="21">
        <v>44846</v>
      </c>
      <c r="I1089" s="15">
        <f>(Table134[[#This Row],[Last_Day]]-Table134[[#This Row],[First_Day]]+1)/365</f>
        <v>1.6054794520547946</v>
      </c>
      <c r="J1089" s="59">
        <f>Table134[[#This Row],[number_of_purchases]]/Table134[[#This Row],[customer_total_years]]</f>
        <v>3.1143344709897609</v>
      </c>
      <c r="K1089" s="13">
        <f>Table134[[#This Row],[purchase_history]]/Table134[[#This Row],[number_of_purchases]]</f>
        <v>4259.7899999999991</v>
      </c>
      <c r="L1089" s="2">
        <f>IF(YEAR(Table134[[#This Row],[Last_Day]])=2021,5,IF(YEAR(Table134[[#This Row],[Last_Day]])=2022,7,IF(YEAR(Table134[[#This Row],[Last_Day]])=2023,10,"Không xác định")))</f>
        <v>7</v>
      </c>
      <c r="M1089" s="15">
        <f>Table134[[#This Row],[avg_number_of_purchases]]*Table1345[[#This Row],[avg_purchase_value]]*Table1345[[#This Row],[expected_lifespan]]</f>
        <v>92864.875853242294</v>
      </c>
      <c r="N1089" t="s">
        <v>12046</v>
      </c>
    </row>
    <row r="1090" spans="1:14" x14ac:dyDescent="0.3">
      <c r="A1090" s="2" t="s">
        <v>1088</v>
      </c>
      <c r="B1090" s="2" t="s">
        <v>12040</v>
      </c>
      <c r="C1090" s="2">
        <v>45</v>
      </c>
      <c r="D1090" s="2" t="s">
        <v>12041</v>
      </c>
      <c r="E1090" s="2">
        <f>COUNTIF(Table16[customer_id],Table13[[#This Row],[customer_id]])</f>
        <v>8</v>
      </c>
      <c r="F1090" s="13">
        <f>SUMIFS(Table16[Purchase_history],Table16[customer_id],Table13[[#This Row],[customer_id]])</f>
        <v>18534.949999999997</v>
      </c>
      <c r="G1090" s="20">
        <v>44301</v>
      </c>
      <c r="H1090" s="21">
        <v>44988</v>
      </c>
      <c r="I1090" s="15">
        <f>(Table134[[#This Row],[Last_Day]]-Table134[[#This Row],[First_Day]]+1)/365</f>
        <v>1.8849315068493151</v>
      </c>
      <c r="J1090" s="59">
        <f>Table134[[#This Row],[number_of_purchases]]/Table134[[#This Row],[customer_total_years]]</f>
        <v>4.2441860465116275</v>
      </c>
      <c r="K1090" s="13">
        <f>Table134[[#This Row],[purchase_history]]/Table134[[#This Row],[number_of_purchases]]</f>
        <v>2316.8687499999996</v>
      </c>
      <c r="L1090" s="2">
        <f>IF(YEAR(Table134[[#This Row],[Last_Day]])=2021,5,IF(YEAR(Table134[[#This Row],[Last_Day]])=2022,7,IF(YEAR(Table134[[#This Row],[Last_Day]])=2023,10,"Không xác định")))</f>
        <v>10</v>
      </c>
      <c r="M1090" s="15">
        <f>Table134[[#This Row],[avg_number_of_purchases]]*Table1345[[#This Row],[avg_purchase_value]]*Table1345[[#This Row],[expected_lifespan]]</f>
        <v>98332.220203488338</v>
      </c>
      <c r="N1090" t="s">
        <v>12047</v>
      </c>
    </row>
    <row r="1091" spans="1:14" x14ac:dyDescent="0.3">
      <c r="A1091" s="2" t="s">
        <v>1089</v>
      </c>
      <c r="B1091" s="2" t="s">
        <v>12040</v>
      </c>
      <c r="C1091" s="2">
        <v>60</v>
      </c>
      <c r="D1091" s="2" t="s">
        <v>12043</v>
      </c>
      <c r="E1091" s="2">
        <f>COUNTIF(Table16[customer_id],Table13[[#This Row],[customer_id]])</f>
        <v>3</v>
      </c>
      <c r="F1091" s="13">
        <f>SUMIFS(Table16[Purchase_history],Table16[customer_id],Table13[[#This Row],[customer_id]])</f>
        <v>1612.8000000000002</v>
      </c>
      <c r="G1091" s="20">
        <v>44354</v>
      </c>
      <c r="H1091" s="21">
        <v>44655</v>
      </c>
      <c r="I1091" s="15">
        <f>(Table134[[#This Row],[Last_Day]]-Table134[[#This Row],[First_Day]]+1)/365</f>
        <v>0.82739726027397265</v>
      </c>
      <c r="J1091" s="59">
        <f>Table134[[#This Row],[number_of_purchases]]/Table134[[#This Row],[customer_total_years]]</f>
        <v>3.6258278145695364</v>
      </c>
      <c r="K1091" s="13">
        <f>Table134[[#This Row],[purchase_history]]/Table134[[#This Row],[number_of_purchases]]</f>
        <v>537.6</v>
      </c>
      <c r="L1091" s="2">
        <f>IF(YEAR(Table134[[#This Row],[Last_Day]])=2021,5,IF(YEAR(Table134[[#This Row],[Last_Day]])=2022,7,IF(YEAR(Table134[[#This Row],[Last_Day]])=2023,10,"Không xác định")))</f>
        <v>7</v>
      </c>
      <c r="M1091" s="15">
        <f>Table134[[#This Row],[avg_number_of_purchases]]*Table1345[[#This Row],[avg_purchase_value]]*Table1345[[#This Row],[expected_lifespan]]</f>
        <v>13644.715231788079</v>
      </c>
      <c r="N1091" t="s">
        <v>12047</v>
      </c>
    </row>
    <row r="1092" spans="1:14" x14ac:dyDescent="0.3">
      <c r="A1092" s="2" t="s">
        <v>1090</v>
      </c>
      <c r="B1092" s="2" t="s">
        <v>12040</v>
      </c>
      <c r="C1092" s="2">
        <v>69</v>
      </c>
      <c r="D1092" s="2" t="s">
        <v>12041</v>
      </c>
      <c r="E1092" s="2">
        <f>COUNTIF(Table16[customer_id],Table13[[#This Row],[customer_id]])</f>
        <v>5</v>
      </c>
      <c r="F1092" s="13">
        <f>SUMIFS(Table16[Purchase_history],Table16[customer_id],Table13[[#This Row],[customer_id]])</f>
        <v>4664.76</v>
      </c>
      <c r="G1092" s="20">
        <v>44212</v>
      </c>
      <c r="H1092" s="21">
        <v>44913</v>
      </c>
      <c r="I1092" s="15">
        <f>(Table134[[#This Row],[Last_Day]]-Table134[[#This Row],[First_Day]]+1)/365</f>
        <v>1.9232876712328768</v>
      </c>
      <c r="J1092" s="59">
        <f>Table134[[#This Row],[number_of_purchases]]/Table134[[#This Row],[customer_total_years]]</f>
        <v>2.5997150997150995</v>
      </c>
      <c r="K1092" s="13">
        <f>Table134[[#This Row],[purchase_history]]/Table134[[#This Row],[number_of_purchases]]</f>
        <v>932.952</v>
      </c>
      <c r="L1092" s="2">
        <f>IF(YEAR(Table134[[#This Row],[Last_Day]])=2021,5,IF(YEAR(Table134[[#This Row],[Last_Day]])=2022,7,IF(YEAR(Table134[[#This Row],[Last_Day]])=2023,10,"Không xác định")))</f>
        <v>7</v>
      </c>
      <c r="M1092" s="15">
        <f>Table134[[#This Row],[avg_number_of_purchases]]*Table1345[[#This Row],[avg_purchase_value]]*Table1345[[#This Row],[expected_lifespan]]</f>
        <v>16977.86581196581</v>
      </c>
      <c r="N1092" t="s">
        <v>12048</v>
      </c>
    </row>
    <row r="1093" spans="1:14" x14ac:dyDescent="0.3">
      <c r="A1093" s="2" t="s">
        <v>1091</v>
      </c>
      <c r="B1093" s="2" t="s">
        <v>12045</v>
      </c>
      <c r="C1093" s="2">
        <v>39</v>
      </c>
      <c r="D1093" s="2" t="s">
        <v>12049</v>
      </c>
      <c r="E1093" s="2">
        <f>COUNTIF(Table16[customer_id],Table13[[#This Row],[customer_id]])</f>
        <v>8</v>
      </c>
      <c r="F1093" s="13">
        <f>SUMIFS(Table16[Purchase_history],Table16[customer_id],Table13[[#This Row],[customer_id]])</f>
        <v>3248.98</v>
      </c>
      <c r="G1093" s="20">
        <v>44272</v>
      </c>
      <c r="H1093" s="21">
        <v>44818</v>
      </c>
      <c r="I1093" s="15">
        <f>(Table134[[#This Row],[Last_Day]]-Table134[[#This Row],[First_Day]]+1)/365</f>
        <v>1.4986301369863013</v>
      </c>
      <c r="J1093" s="59">
        <f>Table134[[#This Row],[number_of_purchases]]/Table134[[#This Row],[customer_total_years]]</f>
        <v>5.3382084095063984</v>
      </c>
      <c r="K1093" s="13">
        <f>Table134[[#This Row],[purchase_history]]/Table134[[#This Row],[number_of_purchases]]</f>
        <v>406.1225</v>
      </c>
      <c r="L1093" s="2">
        <f>IF(YEAR(Table134[[#This Row],[Last_Day]])=2021,5,IF(YEAR(Table134[[#This Row],[Last_Day]])=2022,7,IF(YEAR(Table134[[#This Row],[Last_Day]])=2023,10,"Không xác định")))</f>
        <v>7</v>
      </c>
      <c r="M1093" s="15">
        <f>Table134[[#This Row],[avg_number_of_purchases]]*Table1345[[#This Row],[avg_purchase_value]]*Table1345[[#This Row],[expected_lifespan]]</f>
        <v>15175.765813528336</v>
      </c>
      <c r="N1093" t="s">
        <v>12047</v>
      </c>
    </row>
    <row r="1094" spans="1:14" x14ac:dyDescent="0.3">
      <c r="A1094" s="2" t="s">
        <v>1092</v>
      </c>
      <c r="B1094" s="2" t="s">
        <v>12040</v>
      </c>
      <c r="C1094" s="2">
        <v>61</v>
      </c>
      <c r="D1094" s="2" t="s">
        <v>12043</v>
      </c>
      <c r="E1094" s="2">
        <f>COUNTIF(Table16[customer_id],Table13[[#This Row],[customer_id]])</f>
        <v>4</v>
      </c>
      <c r="F1094" s="13">
        <f>SUMIFS(Table16[Purchase_history],Table16[customer_id],Table13[[#This Row],[customer_id]])</f>
        <v>598.19000000000005</v>
      </c>
      <c r="G1094" s="20">
        <v>44252</v>
      </c>
      <c r="H1094" s="21">
        <v>44887</v>
      </c>
      <c r="I1094" s="15">
        <f>(Table134[[#This Row],[Last_Day]]-Table134[[#This Row],[First_Day]]+1)/365</f>
        <v>1.7424657534246575</v>
      </c>
      <c r="J1094" s="59">
        <f>Table134[[#This Row],[number_of_purchases]]/Table134[[#This Row],[customer_total_years]]</f>
        <v>2.2955974842767297</v>
      </c>
      <c r="K1094" s="13">
        <f>Table134[[#This Row],[purchase_history]]/Table134[[#This Row],[number_of_purchases]]</f>
        <v>149.54750000000001</v>
      </c>
      <c r="L1094" s="2">
        <f>IF(YEAR(Table134[[#This Row],[Last_Day]])=2021,5,IF(YEAR(Table134[[#This Row],[Last_Day]])=2022,7,IF(YEAR(Table134[[#This Row],[Last_Day]])=2023,10,"Không xác định")))</f>
        <v>7</v>
      </c>
      <c r="M1094" s="15">
        <f>Table134[[#This Row],[avg_number_of_purchases]]*Table1345[[#This Row],[avg_purchase_value]]*Table1345[[#This Row],[expected_lifespan]]</f>
        <v>2403.1060534591197</v>
      </c>
      <c r="N1094" t="s">
        <v>12042</v>
      </c>
    </row>
    <row r="1095" spans="1:14" x14ac:dyDescent="0.3">
      <c r="A1095" s="2" t="s">
        <v>1093</v>
      </c>
      <c r="B1095" s="2" t="s">
        <v>12040</v>
      </c>
      <c r="C1095" s="2">
        <v>69</v>
      </c>
      <c r="D1095" s="2" t="s">
        <v>12043</v>
      </c>
      <c r="E1095" s="2">
        <f>COUNTIF(Table16[customer_id],Table13[[#This Row],[customer_id]])</f>
        <v>5</v>
      </c>
      <c r="F1095" s="13">
        <f>SUMIFS(Table16[Purchase_history],Table16[customer_id],Table13[[#This Row],[customer_id]])</f>
        <v>32271.48</v>
      </c>
      <c r="G1095" s="20">
        <v>44271</v>
      </c>
      <c r="H1095" s="21">
        <v>44814</v>
      </c>
      <c r="I1095" s="15">
        <f>(Table134[[#This Row],[Last_Day]]-Table134[[#This Row],[First_Day]]+1)/365</f>
        <v>1.4904109589041097</v>
      </c>
      <c r="J1095" s="59">
        <f>Table134[[#This Row],[number_of_purchases]]/Table134[[#This Row],[customer_total_years]]</f>
        <v>3.3547794117647056</v>
      </c>
      <c r="K1095" s="13">
        <f>Table134[[#This Row],[purchase_history]]/Table134[[#This Row],[number_of_purchases]]</f>
        <v>6454.2960000000003</v>
      </c>
      <c r="L1095" s="2">
        <f>IF(YEAR(Table134[[#This Row],[Last_Day]])=2021,5,IF(YEAR(Table134[[#This Row],[Last_Day]])=2022,7,IF(YEAR(Table134[[#This Row],[Last_Day]])=2023,10,"Không xác định")))</f>
        <v>7</v>
      </c>
      <c r="M1095" s="15">
        <f>Table134[[#This Row],[avg_number_of_purchases]]*Table1345[[#This Row],[avg_purchase_value]]*Table1345[[#This Row],[expected_lifespan]]</f>
        <v>151569.17536764705</v>
      </c>
      <c r="N1095" t="s">
        <v>12042</v>
      </c>
    </row>
    <row r="1096" spans="1:14" x14ac:dyDescent="0.3">
      <c r="A1096" s="2" t="s">
        <v>1094</v>
      </c>
      <c r="B1096" s="2" t="s">
        <v>12040</v>
      </c>
      <c r="C1096" s="2">
        <v>68</v>
      </c>
      <c r="D1096" s="2" t="s">
        <v>12049</v>
      </c>
      <c r="E1096" s="2">
        <f>COUNTIF(Table16[customer_id],Table13[[#This Row],[customer_id]])</f>
        <v>5</v>
      </c>
      <c r="F1096" s="13">
        <f>SUMIFS(Table16[Purchase_history],Table16[customer_id],Table13[[#This Row],[customer_id]])</f>
        <v>9104.68</v>
      </c>
      <c r="G1096" s="20">
        <v>44261</v>
      </c>
      <c r="H1096" s="21">
        <v>44772</v>
      </c>
      <c r="I1096" s="15">
        <f>(Table134[[#This Row],[Last_Day]]-Table134[[#This Row],[First_Day]]+1)/365</f>
        <v>1.4027397260273973</v>
      </c>
      <c r="J1096" s="59">
        <f>Table134[[#This Row],[number_of_purchases]]/Table134[[#This Row],[customer_total_years]]</f>
        <v>3.564453125</v>
      </c>
      <c r="K1096" s="13">
        <f>Table134[[#This Row],[purchase_history]]/Table134[[#This Row],[number_of_purchases]]</f>
        <v>1820.9360000000001</v>
      </c>
      <c r="L1096" s="2">
        <f>IF(YEAR(Table134[[#This Row],[Last_Day]])=2021,5,IF(YEAR(Table134[[#This Row],[Last_Day]])=2022,7,IF(YEAR(Table134[[#This Row],[Last_Day]])=2023,10,"Không xác định")))</f>
        <v>7</v>
      </c>
      <c r="M1096" s="15">
        <f>Table134[[#This Row],[avg_number_of_purchases]]*Table1345[[#This Row],[avg_purchase_value]]*Table1345[[#This Row],[expected_lifespan]]</f>
        <v>45434.487109375004</v>
      </c>
      <c r="N1096" t="s">
        <v>12047</v>
      </c>
    </row>
    <row r="1097" spans="1:14" x14ac:dyDescent="0.3">
      <c r="A1097" s="2" t="s">
        <v>1095</v>
      </c>
      <c r="B1097" s="2" t="s">
        <v>12040</v>
      </c>
      <c r="C1097" s="2">
        <v>62</v>
      </c>
      <c r="D1097" s="2" t="s">
        <v>12041</v>
      </c>
      <c r="E1097" s="2">
        <f>COUNTIF(Table16[customer_id],Table13[[#This Row],[customer_id]])</f>
        <v>4</v>
      </c>
      <c r="F1097" s="13">
        <f>SUMIFS(Table16[Purchase_history],Table16[customer_id],Table13[[#This Row],[customer_id]])</f>
        <v>15441.42</v>
      </c>
      <c r="G1097" s="20">
        <v>44407</v>
      </c>
      <c r="H1097" s="21">
        <v>44990</v>
      </c>
      <c r="I1097" s="15">
        <f>(Table134[[#This Row],[Last_Day]]-Table134[[#This Row],[First_Day]]+1)/365</f>
        <v>1.6</v>
      </c>
      <c r="J1097" s="59">
        <f>Table134[[#This Row],[number_of_purchases]]/Table134[[#This Row],[customer_total_years]]</f>
        <v>2.5</v>
      </c>
      <c r="K1097" s="13">
        <f>Table134[[#This Row],[purchase_history]]/Table134[[#This Row],[number_of_purchases]]</f>
        <v>3860.355</v>
      </c>
      <c r="L1097" s="2">
        <f>IF(YEAR(Table134[[#This Row],[Last_Day]])=2021,5,IF(YEAR(Table134[[#This Row],[Last_Day]])=2022,7,IF(YEAR(Table134[[#This Row],[Last_Day]])=2023,10,"Không xác định")))</f>
        <v>10</v>
      </c>
      <c r="M1097" s="15">
        <f>Table134[[#This Row],[avg_number_of_purchases]]*Table1345[[#This Row],[avg_purchase_value]]*Table1345[[#This Row],[expected_lifespan]]</f>
        <v>96508.875</v>
      </c>
      <c r="N1097" t="s">
        <v>12044</v>
      </c>
    </row>
    <row r="1098" spans="1:14" x14ac:dyDescent="0.3">
      <c r="A1098" s="2" t="s">
        <v>1096</v>
      </c>
      <c r="B1098" s="2" t="s">
        <v>12040</v>
      </c>
      <c r="C1098" s="2">
        <v>49</v>
      </c>
      <c r="D1098" s="2" t="s">
        <v>12043</v>
      </c>
      <c r="E1098" s="2">
        <f>COUNTIF(Table16[customer_id],Table13[[#This Row],[customer_id]])</f>
        <v>7</v>
      </c>
      <c r="F1098" s="13">
        <f>SUMIFS(Table16[Purchase_history],Table16[customer_id],Table13[[#This Row],[customer_id]])</f>
        <v>5155.5200000000004</v>
      </c>
      <c r="G1098" s="20">
        <v>44210</v>
      </c>
      <c r="H1098" s="21">
        <v>44823</v>
      </c>
      <c r="I1098" s="15">
        <f>(Table134[[#This Row],[Last_Day]]-Table134[[#This Row],[First_Day]]+1)/365</f>
        <v>1.6821917808219178</v>
      </c>
      <c r="J1098" s="59">
        <f>Table134[[#This Row],[number_of_purchases]]/Table134[[#This Row],[customer_total_years]]</f>
        <v>4.1612377850162865</v>
      </c>
      <c r="K1098" s="13">
        <f>Table134[[#This Row],[purchase_history]]/Table134[[#This Row],[number_of_purchases]]</f>
        <v>736.50285714285724</v>
      </c>
      <c r="L1098" s="2">
        <f>IF(YEAR(Table134[[#This Row],[Last_Day]])=2021,5,IF(YEAR(Table134[[#This Row],[Last_Day]])=2022,7,IF(YEAR(Table134[[#This Row],[Last_Day]])=2023,10,"Không xác định")))</f>
        <v>7</v>
      </c>
      <c r="M1098" s="15">
        <f>Table134[[#This Row],[avg_number_of_purchases]]*Table1345[[#This Row],[avg_purchase_value]]*Table1345[[#This Row],[expected_lifespan]]</f>
        <v>21453.344625407168</v>
      </c>
      <c r="N1098" t="s">
        <v>12042</v>
      </c>
    </row>
    <row r="1099" spans="1:14" x14ac:dyDescent="0.3">
      <c r="A1099" s="2" t="s">
        <v>1097</v>
      </c>
      <c r="B1099" s="2" t="s">
        <v>12040</v>
      </c>
      <c r="C1099" s="2">
        <v>29</v>
      </c>
      <c r="D1099" s="2" t="s">
        <v>12043</v>
      </c>
      <c r="E1099" s="2">
        <f>COUNTIF(Table16[customer_id],Table13[[#This Row],[customer_id]])</f>
        <v>4</v>
      </c>
      <c r="F1099" s="13">
        <f>SUMIFS(Table16[Purchase_history],Table16[customer_id],Table13[[#This Row],[customer_id]])</f>
        <v>12762.189999999999</v>
      </c>
      <c r="G1099" s="20">
        <v>44386</v>
      </c>
      <c r="H1099" s="21">
        <v>44943</v>
      </c>
      <c r="I1099" s="15">
        <f>(Table134[[#This Row],[Last_Day]]-Table134[[#This Row],[First_Day]]+1)/365</f>
        <v>1.5287671232876712</v>
      </c>
      <c r="J1099" s="59">
        <f>Table134[[#This Row],[number_of_purchases]]/Table134[[#This Row],[customer_total_years]]</f>
        <v>2.6164874551971327</v>
      </c>
      <c r="K1099" s="13">
        <f>Table134[[#This Row],[purchase_history]]/Table134[[#This Row],[number_of_purchases]]</f>
        <v>3190.5474999999997</v>
      </c>
      <c r="L1099" s="2">
        <f>IF(YEAR(Table134[[#This Row],[Last_Day]])=2021,5,IF(YEAR(Table134[[#This Row],[Last_Day]])=2022,7,IF(YEAR(Table134[[#This Row],[Last_Day]])=2023,10,"Không xác định")))</f>
        <v>10</v>
      </c>
      <c r="M1099" s="15">
        <f>Table134[[#This Row],[avg_number_of_purchases]]*Table1345[[#This Row],[avg_purchase_value]]*Table1345[[#This Row],[expected_lifespan]]</f>
        <v>83480.275089605726</v>
      </c>
      <c r="N1099" t="s">
        <v>12047</v>
      </c>
    </row>
    <row r="1100" spans="1:14" x14ac:dyDescent="0.3">
      <c r="A1100" s="2" t="s">
        <v>1098</v>
      </c>
      <c r="B1100" s="2" t="s">
        <v>12045</v>
      </c>
      <c r="C1100" s="2">
        <v>18</v>
      </c>
      <c r="D1100" s="2" t="s">
        <v>12043</v>
      </c>
      <c r="E1100" s="2">
        <f>COUNTIF(Table16[customer_id],Table13[[#This Row],[customer_id]])</f>
        <v>7</v>
      </c>
      <c r="F1100" s="13">
        <f>SUMIFS(Table16[Purchase_history],Table16[customer_id],Table13[[#This Row],[customer_id]])</f>
        <v>34480.449999999997</v>
      </c>
      <c r="G1100" s="20">
        <v>44563</v>
      </c>
      <c r="H1100" s="21">
        <v>44850</v>
      </c>
      <c r="I1100" s="15">
        <f>(Table134[[#This Row],[Last_Day]]-Table134[[#This Row],[First_Day]]+1)/365</f>
        <v>0.78904109589041094</v>
      </c>
      <c r="J1100" s="59">
        <f>Table134[[#This Row],[number_of_purchases]]/Table134[[#This Row],[customer_total_years]]</f>
        <v>8.8715277777777786</v>
      </c>
      <c r="K1100" s="13">
        <f>Table134[[#This Row],[purchase_history]]/Table134[[#This Row],[number_of_purchases]]</f>
        <v>4925.778571428571</v>
      </c>
      <c r="L1100" s="2">
        <f>IF(YEAR(Table134[[#This Row],[Last_Day]])=2021,5,IF(YEAR(Table134[[#This Row],[Last_Day]])=2022,7,IF(YEAR(Table134[[#This Row],[Last_Day]])=2023,10,"Không xác định")))</f>
        <v>7</v>
      </c>
      <c r="M1100" s="15">
        <f>Table134[[#This Row],[avg_number_of_purchases]]*Table1345[[#This Row],[avg_purchase_value]]*Table1345[[#This Row],[expected_lifespan]]</f>
        <v>305894.26996527775</v>
      </c>
      <c r="N1100" t="s">
        <v>12044</v>
      </c>
    </row>
    <row r="1101" spans="1:14" x14ac:dyDescent="0.3">
      <c r="A1101" s="2" t="s">
        <v>1099</v>
      </c>
      <c r="B1101" s="2" t="s">
        <v>12045</v>
      </c>
      <c r="C1101" s="2">
        <v>48</v>
      </c>
      <c r="D1101" s="2" t="s">
        <v>12043</v>
      </c>
      <c r="E1101" s="2">
        <f>COUNTIF(Table16[customer_id],Table13[[#This Row],[customer_id]])</f>
        <v>5</v>
      </c>
      <c r="F1101" s="13">
        <f>SUMIFS(Table16[Purchase_history],Table16[customer_id],Table13[[#This Row],[customer_id]])</f>
        <v>17694.36</v>
      </c>
      <c r="G1101" s="20">
        <v>44409</v>
      </c>
      <c r="H1101" s="21">
        <v>44711</v>
      </c>
      <c r="I1101" s="15">
        <f>(Table134[[#This Row],[Last_Day]]-Table134[[#This Row],[First_Day]]+1)/365</f>
        <v>0.83013698630136989</v>
      </c>
      <c r="J1101" s="59">
        <f>Table134[[#This Row],[number_of_purchases]]/Table134[[#This Row],[customer_total_years]]</f>
        <v>6.0231023102310228</v>
      </c>
      <c r="K1101" s="13">
        <f>Table134[[#This Row],[purchase_history]]/Table134[[#This Row],[number_of_purchases]]</f>
        <v>3538.8720000000003</v>
      </c>
      <c r="L1101" s="2">
        <f>IF(YEAR(Table134[[#This Row],[Last_Day]])=2021,5,IF(YEAR(Table134[[#This Row],[Last_Day]])=2022,7,IF(YEAR(Table134[[#This Row],[Last_Day]])=2023,10,"Không xác định")))</f>
        <v>7</v>
      </c>
      <c r="M1101" s="15">
        <f>Table134[[#This Row],[avg_number_of_purchases]]*Table1345[[#This Row],[avg_purchase_value]]*Table1345[[#This Row],[expected_lifespan]]</f>
        <v>149204.91683168316</v>
      </c>
      <c r="N1101" t="s">
        <v>12047</v>
      </c>
    </row>
    <row r="1102" spans="1:14" x14ac:dyDescent="0.3">
      <c r="A1102" s="2" t="s">
        <v>1100</v>
      </c>
      <c r="B1102" s="2" t="s">
        <v>12045</v>
      </c>
      <c r="C1102" s="2">
        <v>57</v>
      </c>
      <c r="D1102" s="2" t="s">
        <v>12049</v>
      </c>
      <c r="E1102" s="2">
        <f>COUNTIF(Table16[customer_id],Table13[[#This Row],[customer_id]])</f>
        <v>7</v>
      </c>
      <c r="F1102" s="13">
        <f>SUMIFS(Table16[Purchase_history],Table16[customer_id],Table13[[#This Row],[customer_id]])</f>
        <v>16444.39</v>
      </c>
      <c r="G1102" s="20">
        <v>44263</v>
      </c>
      <c r="H1102" s="21">
        <v>44846</v>
      </c>
      <c r="I1102" s="15">
        <f>(Table134[[#This Row],[Last_Day]]-Table134[[#This Row],[First_Day]]+1)/365</f>
        <v>1.6</v>
      </c>
      <c r="J1102" s="59">
        <f>Table134[[#This Row],[number_of_purchases]]/Table134[[#This Row],[customer_total_years]]</f>
        <v>4.375</v>
      </c>
      <c r="K1102" s="13">
        <f>Table134[[#This Row],[purchase_history]]/Table134[[#This Row],[number_of_purchases]]</f>
        <v>2349.1985714285715</v>
      </c>
      <c r="L1102" s="2">
        <f>IF(YEAR(Table134[[#This Row],[Last_Day]])=2021,5,IF(YEAR(Table134[[#This Row],[Last_Day]])=2022,7,IF(YEAR(Table134[[#This Row],[Last_Day]])=2023,10,"Không xác định")))</f>
        <v>7</v>
      </c>
      <c r="M1102" s="15">
        <f>Table134[[#This Row],[avg_number_of_purchases]]*Table1345[[#This Row],[avg_purchase_value]]*Table1345[[#This Row],[expected_lifespan]]</f>
        <v>71944.206250000003</v>
      </c>
      <c r="N1102" t="s">
        <v>12044</v>
      </c>
    </row>
    <row r="1103" spans="1:14" x14ac:dyDescent="0.3">
      <c r="A1103" s="2" t="s">
        <v>1101</v>
      </c>
      <c r="B1103" s="2" t="s">
        <v>12040</v>
      </c>
      <c r="C1103" s="2">
        <v>62</v>
      </c>
      <c r="D1103" s="2" t="s">
        <v>12049</v>
      </c>
      <c r="E1103" s="2">
        <f>COUNTIF(Table16[customer_id],Table13[[#This Row],[customer_id]])</f>
        <v>5</v>
      </c>
      <c r="F1103" s="13">
        <f>SUMIFS(Table16[Purchase_history],Table16[customer_id],Table13[[#This Row],[customer_id]])</f>
        <v>8557.369999999999</v>
      </c>
      <c r="G1103" s="20">
        <v>44216</v>
      </c>
      <c r="H1103" s="21">
        <v>44975</v>
      </c>
      <c r="I1103" s="15">
        <f>(Table134[[#This Row],[Last_Day]]-Table134[[#This Row],[First_Day]]+1)/365</f>
        <v>2.0821917808219177</v>
      </c>
      <c r="J1103" s="59">
        <f>Table134[[#This Row],[number_of_purchases]]/Table134[[#This Row],[customer_total_years]]</f>
        <v>2.4013157894736845</v>
      </c>
      <c r="K1103" s="13">
        <f>Table134[[#This Row],[purchase_history]]/Table134[[#This Row],[number_of_purchases]]</f>
        <v>1711.4739999999997</v>
      </c>
      <c r="L1103" s="2">
        <f>IF(YEAR(Table134[[#This Row],[Last_Day]])=2021,5,IF(YEAR(Table134[[#This Row],[Last_Day]])=2022,7,IF(YEAR(Table134[[#This Row],[Last_Day]])=2023,10,"Không xác định")))</f>
        <v>10</v>
      </c>
      <c r="M1103" s="15">
        <f>Table134[[#This Row],[avg_number_of_purchases]]*Table1345[[#This Row],[avg_purchase_value]]*Table1345[[#This Row],[expected_lifespan]]</f>
        <v>41097.895394736843</v>
      </c>
      <c r="N1103" t="s">
        <v>12046</v>
      </c>
    </row>
    <row r="1104" spans="1:14" x14ac:dyDescent="0.3">
      <c r="A1104" s="2" t="s">
        <v>1102</v>
      </c>
      <c r="B1104" s="2" t="s">
        <v>12040</v>
      </c>
      <c r="C1104" s="2">
        <v>48</v>
      </c>
      <c r="D1104" s="2" t="s">
        <v>12041</v>
      </c>
      <c r="E1104" s="2">
        <f>COUNTIF(Table16[customer_id],Table13[[#This Row],[customer_id]])</f>
        <v>7</v>
      </c>
      <c r="F1104" s="13">
        <f>SUMIFS(Table16[Purchase_history],Table16[customer_id],Table13[[#This Row],[customer_id]])</f>
        <v>4447.1499999999996</v>
      </c>
      <c r="G1104" s="20">
        <v>44251</v>
      </c>
      <c r="H1104" s="21">
        <v>44920</v>
      </c>
      <c r="I1104" s="15">
        <f>(Table134[[#This Row],[Last_Day]]-Table134[[#This Row],[First_Day]]+1)/365</f>
        <v>1.8356164383561644</v>
      </c>
      <c r="J1104" s="59">
        <f>Table134[[#This Row],[number_of_purchases]]/Table134[[#This Row],[customer_total_years]]</f>
        <v>3.8134328358208953</v>
      </c>
      <c r="K1104" s="13">
        <f>Table134[[#This Row],[purchase_history]]/Table134[[#This Row],[number_of_purchases]]</f>
        <v>635.30714285714282</v>
      </c>
      <c r="L1104" s="2">
        <f>IF(YEAR(Table134[[#This Row],[Last_Day]])=2021,5,IF(YEAR(Table134[[#This Row],[Last_Day]])=2022,7,IF(YEAR(Table134[[#This Row],[Last_Day]])=2023,10,"Không xác định")))</f>
        <v>7</v>
      </c>
      <c r="M1104" s="15">
        <f>Table134[[#This Row],[avg_number_of_purchases]]*Table1345[[#This Row],[avg_purchase_value]]*Table1345[[#This Row],[expected_lifespan]]</f>
        <v>16958.907835820894</v>
      </c>
      <c r="N1104" t="s">
        <v>12048</v>
      </c>
    </row>
    <row r="1105" spans="1:14" x14ac:dyDescent="0.3">
      <c r="A1105" s="2" t="s">
        <v>1103</v>
      </c>
      <c r="B1105" s="2" t="s">
        <v>12040</v>
      </c>
      <c r="C1105" s="2">
        <v>59</v>
      </c>
      <c r="D1105" s="2" t="s">
        <v>12049</v>
      </c>
      <c r="E1105" s="2">
        <f>COUNTIF(Table16[customer_id],Table13[[#This Row],[customer_id]])</f>
        <v>6</v>
      </c>
      <c r="F1105" s="13">
        <f>SUMIFS(Table16[Purchase_history],Table16[customer_id],Table13[[#This Row],[customer_id]])</f>
        <v>22091.79</v>
      </c>
      <c r="G1105" s="20">
        <v>44231</v>
      </c>
      <c r="H1105" s="21">
        <v>44844</v>
      </c>
      <c r="I1105" s="15">
        <f>(Table134[[#This Row],[Last_Day]]-Table134[[#This Row],[First_Day]]+1)/365</f>
        <v>1.6821917808219178</v>
      </c>
      <c r="J1105" s="59">
        <f>Table134[[#This Row],[number_of_purchases]]/Table134[[#This Row],[customer_total_years]]</f>
        <v>3.5667752442996745</v>
      </c>
      <c r="K1105" s="13">
        <f>Table134[[#This Row],[purchase_history]]/Table134[[#This Row],[number_of_purchases]]</f>
        <v>3681.9650000000001</v>
      </c>
      <c r="L1105" s="2">
        <f>IF(YEAR(Table134[[#This Row],[Last_Day]])=2021,5,IF(YEAR(Table134[[#This Row],[Last_Day]])=2022,7,IF(YEAR(Table134[[#This Row],[Last_Day]])=2023,10,"Không xác định")))</f>
        <v>7</v>
      </c>
      <c r="M1105" s="15">
        <f>Table134[[#This Row],[avg_number_of_purchases]]*Table1345[[#This Row],[avg_purchase_value]]*Table1345[[#This Row],[expected_lifespan]]</f>
        <v>91929.191286644957</v>
      </c>
      <c r="N1105" t="s">
        <v>12042</v>
      </c>
    </row>
    <row r="1106" spans="1:14" x14ac:dyDescent="0.3">
      <c r="A1106" s="2" t="s">
        <v>1104</v>
      </c>
      <c r="B1106" s="2" t="s">
        <v>12040</v>
      </c>
      <c r="C1106" s="2">
        <v>55</v>
      </c>
      <c r="D1106" s="2" t="s">
        <v>12041</v>
      </c>
      <c r="E1106" s="2">
        <f>COUNTIF(Table16[customer_id],Table13[[#This Row],[customer_id]])</f>
        <v>7</v>
      </c>
      <c r="F1106" s="13">
        <f>SUMIFS(Table16[Purchase_history],Table16[customer_id],Table13[[#This Row],[customer_id]])</f>
        <v>3993.7</v>
      </c>
      <c r="G1106" s="20">
        <v>44305</v>
      </c>
      <c r="H1106" s="21">
        <v>44813</v>
      </c>
      <c r="I1106" s="15">
        <f>(Table134[[#This Row],[Last_Day]]-Table134[[#This Row],[First_Day]]+1)/365</f>
        <v>1.3945205479452054</v>
      </c>
      <c r="J1106" s="59">
        <f>Table134[[#This Row],[number_of_purchases]]/Table134[[#This Row],[customer_total_years]]</f>
        <v>5.0196463654223971</v>
      </c>
      <c r="K1106" s="13">
        <f>Table134[[#This Row],[purchase_history]]/Table134[[#This Row],[number_of_purchases]]</f>
        <v>570.52857142857135</v>
      </c>
      <c r="L1106" s="2">
        <f>IF(YEAR(Table134[[#This Row],[Last_Day]])=2021,5,IF(YEAR(Table134[[#This Row],[Last_Day]])=2022,7,IF(YEAR(Table134[[#This Row],[Last_Day]])=2023,10,"Không xác định")))</f>
        <v>7</v>
      </c>
      <c r="M1106" s="15">
        <f>Table134[[#This Row],[avg_number_of_purchases]]*Table1345[[#This Row],[avg_purchase_value]]*Table1345[[#This Row],[expected_lifespan]]</f>
        <v>20046.961689587424</v>
      </c>
      <c r="N1106" t="s">
        <v>12042</v>
      </c>
    </row>
    <row r="1107" spans="1:14" x14ac:dyDescent="0.3">
      <c r="A1107" s="2" t="s">
        <v>1105</v>
      </c>
      <c r="B1107" s="2" t="s">
        <v>12040</v>
      </c>
      <c r="C1107" s="2">
        <v>26</v>
      </c>
      <c r="D1107" s="2" t="s">
        <v>12043</v>
      </c>
      <c r="E1107" s="2">
        <f>COUNTIF(Table16[customer_id],Table13[[#This Row],[customer_id]])</f>
        <v>4</v>
      </c>
      <c r="F1107" s="13">
        <f>SUMIFS(Table16[Purchase_history],Table16[customer_id],Table13[[#This Row],[customer_id]])</f>
        <v>3174.9500000000003</v>
      </c>
      <c r="G1107" s="20">
        <v>44480</v>
      </c>
      <c r="H1107" s="21">
        <v>44920</v>
      </c>
      <c r="I1107" s="15">
        <f>(Table134[[#This Row],[Last_Day]]-Table134[[#This Row],[First_Day]]+1)/365</f>
        <v>1.2082191780821918</v>
      </c>
      <c r="J1107" s="59">
        <f>Table134[[#This Row],[number_of_purchases]]/Table134[[#This Row],[customer_total_years]]</f>
        <v>3.3106575963718821</v>
      </c>
      <c r="K1107" s="13">
        <f>Table134[[#This Row],[purchase_history]]/Table134[[#This Row],[number_of_purchases]]</f>
        <v>793.73750000000007</v>
      </c>
      <c r="L1107" s="2">
        <f>IF(YEAR(Table134[[#This Row],[Last_Day]])=2021,5,IF(YEAR(Table134[[#This Row],[Last_Day]])=2022,7,IF(YEAR(Table134[[#This Row],[Last_Day]])=2023,10,"Không xác định")))</f>
        <v>7</v>
      </c>
      <c r="M1107" s="15">
        <f>Table134[[#This Row],[avg_number_of_purchases]]*Table1345[[#This Row],[avg_purchase_value]]*Table1345[[#This Row],[expected_lifespan]]</f>
        <v>18394.55158730159</v>
      </c>
      <c r="N1107" t="s">
        <v>12042</v>
      </c>
    </row>
    <row r="1108" spans="1:14" x14ac:dyDescent="0.3">
      <c r="A1108" s="2" t="s">
        <v>1106</v>
      </c>
      <c r="B1108" s="2" t="s">
        <v>12040</v>
      </c>
      <c r="C1108" s="2">
        <v>58</v>
      </c>
      <c r="D1108" s="2" t="s">
        <v>12043</v>
      </c>
      <c r="E1108" s="2">
        <f>COUNTIF(Table16[customer_id],Table13[[#This Row],[customer_id]])</f>
        <v>7</v>
      </c>
      <c r="F1108" s="13">
        <f>SUMIFS(Table16[Purchase_history],Table16[customer_id],Table13[[#This Row],[customer_id]])</f>
        <v>7431.25</v>
      </c>
      <c r="G1108" s="20">
        <v>44210</v>
      </c>
      <c r="H1108" s="21">
        <v>44877</v>
      </c>
      <c r="I1108" s="15">
        <f>(Table134[[#This Row],[Last_Day]]-Table134[[#This Row],[First_Day]]+1)/365</f>
        <v>1.8301369863013699</v>
      </c>
      <c r="J1108" s="59">
        <f>Table134[[#This Row],[number_of_purchases]]/Table134[[#This Row],[customer_total_years]]</f>
        <v>3.8248502994011977</v>
      </c>
      <c r="K1108" s="13">
        <f>Table134[[#This Row],[purchase_history]]/Table134[[#This Row],[number_of_purchases]]</f>
        <v>1061.6071428571429</v>
      </c>
      <c r="L1108" s="2">
        <f>IF(YEAR(Table134[[#This Row],[Last_Day]])=2021,5,IF(YEAR(Table134[[#This Row],[Last_Day]])=2022,7,IF(YEAR(Table134[[#This Row],[Last_Day]])=2023,10,"Không xác định")))</f>
        <v>7</v>
      </c>
      <c r="M1108" s="15">
        <f>Table134[[#This Row],[avg_number_of_purchases]]*Table1345[[#This Row],[avg_purchase_value]]*Table1345[[#This Row],[expected_lifespan]]</f>
        <v>28423.418787425151</v>
      </c>
      <c r="N1108" t="s">
        <v>12044</v>
      </c>
    </row>
    <row r="1109" spans="1:14" x14ac:dyDescent="0.3">
      <c r="A1109" s="2" t="s">
        <v>1107</v>
      </c>
      <c r="B1109" s="2" t="s">
        <v>12045</v>
      </c>
      <c r="C1109" s="2">
        <v>36</v>
      </c>
      <c r="D1109" s="2" t="s">
        <v>12041</v>
      </c>
      <c r="E1109" s="2">
        <f>COUNTIF(Table16[customer_id],Table13[[#This Row],[customer_id]])</f>
        <v>6</v>
      </c>
      <c r="F1109" s="13">
        <f>SUMIFS(Table16[Purchase_history],Table16[customer_id],Table13[[#This Row],[customer_id]])</f>
        <v>8116.2899999999991</v>
      </c>
      <c r="G1109" s="20">
        <v>44353</v>
      </c>
      <c r="H1109" s="21">
        <v>44837</v>
      </c>
      <c r="I1109" s="15">
        <f>(Table134[[#This Row],[Last_Day]]-Table134[[#This Row],[First_Day]]+1)/365</f>
        <v>1.3287671232876712</v>
      </c>
      <c r="J1109" s="59">
        <f>Table134[[#This Row],[number_of_purchases]]/Table134[[#This Row],[customer_total_years]]</f>
        <v>4.5154639175257731</v>
      </c>
      <c r="K1109" s="13">
        <f>Table134[[#This Row],[purchase_history]]/Table134[[#This Row],[number_of_purchases]]</f>
        <v>1352.7149999999999</v>
      </c>
      <c r="L1109" s="2">
        <f>IF(YEAR(Table134[[#This Row],[Last_Day]])=2021,5,IF(YEAR(Table134[[#This Row],[Last_Day]])=2022,7,IF(YEAR(Table134[[#This Row],[Last_Day]])=2023,10,"Không xác định")))</f>
        <v>7</v>
      </c>
      <c r="M1109" s="15">
        <f>Table134[[#This Row],[avg_number_of_purchases]]*Table1345[[#This Row],[avg_purchase_value]]*Table1345[[#This Row],[expected_lifespan]]</f>
        <v>42756.95041237113</v>
      </c>
      <c r="N1109" t="s">
        <v>12048</v>
      </c>
    </row>
    <row r="1110" spans="1:14" x14ac:dyDescent="0.3">
      <c r="A1110" s="2" t="s">
        <v>1108</v>
      </c>
      <c r="B1110" s="2" t="s">
        <v>12045</v>
      </c>
      <c r="C1110" s="2">
        <v>69</v>
      </c>
      <c r="D1110" s="2" t="s">
        <v>12041</v>
      </c>
      <c r="E1110" s="2">
        <f>COUNTIF(Table16[customer_id],Table13[[#This Row],[customer_id]])</f>
        <v>5</v>
      </c>
      <c r="F1110" s="13">
        <f>SUMIFS(Table16[Purchase_history],Table16[customer_id],Table13[[#This Row],[customer_id]])</f>
        <v>13566.41</v>
      </c>
      <c r="G1110" s="20">
        <v>44358</v>
      </c>
      <c r="H1110" s="21">
        <v>44964</v>
      </c>
      <c r="I1110" s="15">
        <f>(Table134[[#This Row],[Last_Day]]-Table134[[#This Row],[First_Day]]+1)/365</f>
        <v>1.6630136986301369</v>
      </c>
      <c r="J1110" s="59">
        <f>Table134[[#This Row],[number_of_purchases]]/Table134[[#This Row],[customer_total_years]]</f>
        <v>3.0065897858319603</v>
      </c>
      <c r="K1110" s="13">
        <f>Table134[[#This Row],[purchase_history]]/Table134[[#This Row],[number_of_purchases]]</f>
        <v>2713.2820000000002</v>
      </c>
      <c r="L1110" s="2">
        <f>IF(YEAR(Table134[[#This Row],[Last_Day]])=2021,5,IF(YEAR(Table134[[#This Row],[Last_Day]])=2022,7,IF(YEAR(Table134[[#This Row],[Last_Day]])=2023,10,"Không xác định")))</f>
        <v>10</v>
      </c>
      <c r="M1110" s="15">
        <f>Table134[[#This Row],[avg_number_of_purchases]]*Table1345[[#This Row],[avg_purchase_value]]*Table1345[[#This Row],[expected_lifespan]]</f>
        <v>81577.259472817124</v>
      </c>
      <c r="N1110" t="s">
        <v>12046</v>
      </c>
    </row>
    <row r="1111" spans="1:14" x14ac:dyDescent="0.3">
      <c r="A1111" s="2" t="s">
        <v>1109</v>
      </c>
      <c r="B1111" s="2" t="s">
        <v>12045</v>
      </c>
      <c r="C1111" s="2">
        <v>27</v>
      </c>
      <c r="D1111" s="2" t="s">
        <v>12041</v>
      </c>
      <c r="E1111" s="2">
        <f>COUNTIF(Table16[customer_id],Table13[[#This Row],[customer_id]])</f>
        <v>6</v>
      </c>
      <c r="F1111" s="13">
        <f>SUMIFS(Table16[Purchase_history],Table16[customer_id],Table13[[#This Row],[customer_id]])</f>
        <v>16562.72</v>
      </c>
      <c r="G1111" s="20">
        <v>44223</v>
      </c>
      <c r="H1111" s="21">
        <v>44859</v>
      </c>
      <c r="I1111" s="15">
        <f>(Table134[[#This Row],[Last_Day]]-Table134[[#This Row],[First_Day]]+1)/365</f>
        <v>1.7452054794520548</v>
      </c>
      <c r="J1111" s="59">
        <f>Table134[[#This Row],[number_of_purchases]]/Table134[[#This Row],[customer_total_years]]</f>
        <v>3.4379905808477238</v>
      </c>
      <c r="K1111" s="13">
        <f>Table134[[#This Row],[purchase_history]]/Table134[[#This Row],[number_of_purchases]]</f>
        <v>2760.4533333333334</v>
      </c>
      <c r="L1111" s="2">
        <f>IF(YEAR(Table134[[#This Row],[Last_Day]])=2021,5,IF(YEAR(Table134[[#This Row],[Last_Day]])=2022,7,IF(YEAR(Table134[[#This Row],[Last_Day]])=2023,10,"Không xác định")))</f>
        <v>7</v>
      </c>
      <c r="M1111" s="15">
        <f>Table134[[#This Row],[avg_number_of_purchases]]*Table1345[[#This Row],[avg_purchase_value]]*Table1345[[#This Row],[expected_lifespan]]</f>
        <v>66432.887912087914</v>
      </c>
      <c r="N1111" t="s">
        <v>12044</v>
      </c>
    </row>
    <row r="1112" spans="1:14" x14ac:dyDescent="0.3">
      <c r="A1112" s="2" t="s">
        <v>1110</v>
      </c>
      <c r="B1112" s="2" t="s">
        <v>12040</v>
      </c>
      <c r="C1112" s="2">
        <v>47</v>
      </c>
      <c r="D1112" s="2" t="s">
        <v>12043</v>
      </c>
      <c r="E1112" s="2">
        <f>COUNTIF(Table16[customer_id],Table13[[#This Row],[customer_id]])</f>
        <v>5</v>
      </c>
      <c r="F1112" s="13">
        <f>SUMIFS(Table16[Purchase_history],Table16[customer_id],Table13[[#This Row],[customer_id]])</f>
        <v>13777.05</v>
      </c>
      <c r="G1112" s="20">
        <v>44246</v>
      </c>
      <c r="H1112" s="21">
        <v>44442</v>
      </c>
      <c r="I1112" s="15">
        <f>(Table134[[#This Row],[Last_Day]]-Table134[[#This Row],[First_Day]]+1)/365</f>
        <v>0.53972602739726028</v>
      </c>
      <c r="J1112" s="59">
        <f>Table134[[#This Row],[number_of_purchases]]/Table134[[#This Row],[customer_total_years]]</f>
        <v>9.2639593908629436</v>
      </c>
      <c r="K1112" s="13">
        <f>Table134[[#This Row],[purchase_history]]/Table134[[#This Row],[number_of_purchases]]</f>
        <v>2755.41</v>
      </c>
      <c r="L1112" s="2">
        <f>IF(YEAR(Table134[[#This Row],[Last_Day]])=2021,5,IF(YEAR(Table134[[#This Row],[Last_Day]])=2022,7,IF(YEAR(Table134[[#This Row],[Last_Day]])=2023,10,"Không xác định")))</f>
        <v>5</v>
      </c>
      <c r="M1112" s="15">
        <f>Table134[[#This Row],[avg_number_of_purchases]]*Table1345[[#This Row],[avg_purchase_value]]*Table1345[[#This Row],[expected_lifespan]]</f>
        <v>127630.03172588832</v>
      </c>
      <c r="N1112" t="s">
        <v>12046</v>
      </c>
    </row>
    <row r="1113" spans="1:14" x14ac:dyDescent="0.3">
      <c r="A1113" s="2" t="s">
        <v>1111</v>
      </c>
      <c r="B1113" s="2" t="s">
        <v>12040</v>
      </c>
      <c r="C1113" s="2">
        <v>46</v>
      </c>
      <c r="D1113" s="2" t="s">
        <v>12041</v>
      </c>
      <c r="E1113" s="2">
        <f>COUNTIF(Table16[customer_id],Table13[[#This Row],[customer_id]])</f>
        <v>5</v>
      </c>
      <c r="F1113" s="13">
        <f>SUMIFS(Table16[Purchase_history],Table16[customer_id],Table13[[#This Row],[customer_id]])</f>
        <v>51246.73</v>
      </c>
      <c r="G1113" s="20">
        <v>44331</v>
      </c>
      <c r="H1113" s="21">
        <v>44789</v>
      </c>
      <c r="I1113" s="15">
        <f>(Table134[[#This Row],[Last_Day]]-Table134[[#This Row],[First_Day]]+1)/365</f>
        <v>1.2575342465753425</v>
      </c>
      <c r="J1113" s="59">
        <f>Table134[[#This Row],[number_of_purchases]]/Table134[[#This Row],[customer_total_years]]</f>
        <v>3.9760348583877994</v>
      </c>
      <c r="K1113" s="13">
        <f>Table134[[#This Row],[purchase_history]]/Table134[[#This Row],[number_of_purchases]]</f>
        <v>10249.346000000001</v>
      </c>
      <c r="L1113" s="2">
        <f>IF(YEAR(Table134[[#This Row],[Last_Day]])=2021,5,IF(YEAR(Table134[[#This Row],[Last_Day]])=2022,7,IF(YEAR(Table134[[#This Row],[Last_Day]])=2023,10,"Không xác định")))</f>
        <v>7</v>
      </c>
      <c r="M1113" s="15">
        <f>Table134[[#This Row],[avg_number_of_purchases]]*Table1345[[#This Row],[avg_purchase_value]]*Table1345[[#This Row],[expected_lifespan]]</f>
        <v>285262.29880174296</v>
      </c>
      <c r="N1113" t="s">
        <v>12048</v>
      </c>
    </row>
    <row r="1114" spans="1:14" x14ac:dyDescent="0.3">
      <c r="A1114" s="2" t="s">
        <v>1112</v>
      </c>
      <c r="B1114" s="2" t="s">
        <v>12040</v>
      </c>
      <c r="C1114" s="2">
        <v>38</v>
      </c>
      <c r="D1114" s="2" t="s">
        <v>12041</v>
      </c>
      <c r="E1114" s="2">
        <f>COUNTIF(Table16[customer_id],Table13[[#This Row],[customer_id]])</f>
        <v>5</v>
      </c>
      <c r="F1114" s="13">
        <f>SUMIFS(Table16[Purchase_history],Table16[customer_id],Table13[[#This Row],[customer_id]])</f>
        <v>11352.539999999999</v>
      </c>
      <c r="G1114" s="20">
        <v>44320</v>
      </c>
      <c r="H1114" s="21">
        <v>44863</v>
      </c>
      <c r="I1114" s="15">
        <f>(Table134[[#This Row],[Last_Day]]-Table134[[#This Row],[First_Day]]+1)/365</f>
        <v>1.4904109589041097</v>
      </c>
      <c r="J1114" s="59">
        <f>Table134[[#This Row],[number_of_purchases]]/Table134[[#This Row],[customer_total_years]]</f>
        <v>3.3547794117647056</v>
      </c>
      <c r="K1114" s="13">
        <f>Table134[[#This Row],[purchase_history]]/Table134[[#This Row],[number_of_purchases]]</f>
        <v>2270.5079999999998</v>
      </c>
      <c r="L1114" s="2">
        <f>IF(YEAR(Table134[[#This Row],[Last_Day]])=2021,5,IF(YEAR(Table134[[#This Row],[Last_Day]])=2022,7,IF(YEAR(Table134[[#This Row],[Last_Day]])=2023,10,"Không xác định")))</f>
        <v>7</v>
      </c>
      <c r="M1114" s="15">
        <f>Table134[[#This Row],[avg_number_of_purchases]]*Table1345[[#This Row],[avg_purchase_value]]*Table1345[[#This Row],[expected_lifespan]]</f>
        <v>53319.374448529401</v>
      </c>
      <c r="N1114" t="s">
        <v>12044</v>
      </c>
    </row>
    <row r="1115" spans="1:14" x14ac:dyDescent="0.3">
      <c r="A1115" s="2" t="s">
        <v>1113</v>
      </c>
      <c r="B1115" s="2" t="s">
        <v>12040</v>
      </c>
      <c r="C1115" s="2">
        <v>42</v>
      </c>
      <c r="D1115" s="2" t="s">
        <v>12041</v>
      </c>
      <c r="E1115" s="2">
        <f>COUNTIF(Table16[customer_id],Table13[[#This Row],[customer_id]])</f>
        <v>7</v>
      </c>
      <c r="F1115" s="13">
        <f>SUMIFS(Table16[Purchase_history],Table16[customer_id],Table13[[#This Row],[customer_id]])</f>
        <v>2192.5300000000002</v>
      </c>
      <c r="G1115" s="20">
        <v>44276</v>
      </c>
      <c r="H1115" s="21">
        <v>44866</v>
      </c>
      <c r="I1115" s="15">
        <f>(Table134[[#This Row],[Last_Day]]-Table134[[#This Row],[First_Day]]+1)/365</f>
        <v>1.6191780821917807</v>
      </c>
      <c r="J1115" s="59">
        <f>Table134[[#This Row],[number_of_purchases]]/Table134[[#This Row],[customer_total_years]]</f>
        <v>4.3231810490693743</v>
      </c>
      <c r="K1115" s="13">
        <f>Table134[[#This Row],[purchase_history]]/Table134[[#This Row],[number_of_purchases]]</f>
        <v>313.21857142857147</v>
      </c>
      <c r="L1115" s="2">
        <f>IF(YEAR(Table134[[#This Row],[Last_Day]])=2021,5,IF(YEAR(Table134[[#This Row],[Last_Day]])=2022,7,IF(YEAR(Table134[[#This Row],[Last_Day]])=2023,10,"Không xác định")))</f>
        <v>7</v>
      </c>
      <c r="M1115" s="15">
        <f>Table134[[#This Row],[avg_number_of_purchases]]*Table1345[[#This Row],[avg_purchase_value]]*Table1345[[#This Row],[expected_lifespan]]</f>
        <v>9478.7041455160761</v>
      </c>
      <c r="N1115" t="s">
        <v>12048</v>
      </c>
    </row>
    <row r="1116" spans="1:14" x14ac:dyDescent="0.3">
      <c r="A1116" s="2" t="s">
        <v>1114</v>
      </c>
      <c r="B1116" s="2" t="s">
        <v>12040</v>
      </c>
      <c r="C1116" s="2">
        <v>55</v>
      </c>
      <c r="D1116" s="2" t="s">
        <v>12041</v>
      </c>
      <c r="E1116" s="2">
        <f>COUNTIF(Table16[customer_id],Table13[[#This Row],[customer_id]])</f>
        <v>4</v>
      </c>
      <c r="F1116" s="13">
        <f>SUMIFS(Table16[Purchase_history],Table16[customer_id],Table13[[#This Row],[customer_id]])</f>
        <v>5943.6</v>
      </c>
      <c r="G1116" s="20">
        <v>44288</v>
      </c>
      <c r="H1116" s="21">
        <v>44907</v>
      </c>
      <c r="I1116" s="15">
        <f>(Table134[[#This Row],[Last_Day]]-Table134[[#This Row],[First_Day]]+1)/365</f>
        <v>1.6986301369863013</v>
      </c>
      <c r="J1116" s="59">
        <f>Table134[[#This Row],[number_of_purchases]]/Table134[[#This Row],[customer_total_years]]</f>
        <v>2.3548387096774195</v>
      </c>
      <c r="K1116" s="13">
        <f>Table134[[#This Row],[purchase_history]]/Table134[[#This Row],[number_of_purchases]]</f>
        <v>1485.9</v>
      </c>
      <c r="L1116" s="2">
        <f>IF(YEAR(Table134[[#This Row],[Last_Day]])=2021,5,IF(YEAR(Table134[[#This Row],[Last_Day]])=2022,7,IF(YEAR(Table134[[#This Row],[Last_Day]])=2023,10,"Không xác định")))</f>
        <v>7</v>
      </c>
      <c r="M1116" s="15">
        <f>Table134[[#This Row],[avg_number_of_purchases]]*Table1345[[#This Row],[avg_purchase_value]]*Table1345[[#This Row],[expected_lifespan]]</f>
        <v>24493.383870967744</v>
      </c>
      <c r="N1116" t="s">
        <v>12042</v>
      </c>
    </row>
    <row r="1117" spans="1:14" x14ac:dyDescent="0.3">
      <c r="A1117" s="2" t="s">
        <v>1115</v>
      </c>
      <c r="B1117" s="2" t="s">
        <v>12040</v>
      </c>
      <c r="C1117" s="2">
        <v>28</v>
      </c>
      <c r="D1117" s="2" t="s">
        <v>12041</v>
      </c>
      <c r="E1117" s="2">
        <f>COUNTIF(Table16[customer_id],Table13[[#This Row],[customer_id]])</f>
        <v>8</v>
      </c>
      <c r="F1117" s="13">
        <f>SUMIFS(Table16[Purchase_history],Table16[customer_id],Table13[[#This Row],[customer_id]])</f>
        <v>11516.02</v>
      </c>
      <c r="G1117" s="20">
        <v>44465</v>
      </c>
      <c r="H1117" s="21">
        <v>44831</v>
      </c>
      <c r="I1117" s="15">
        <f>(Table134[[#This Row],[Last_Day]]-Table134[[#This Row],[First_Day]]+1)/365</f>
        <v>1.0054794520547945</v>
      </c>
      <c r="J1117" s="59">
        <f>Table134[[#This Row],[number_of_purchases]]/Table134[[#This Row],[customer_total_years]]</f>
        <v>7.9564032697547686</v>
      </c>
      <c r="K1117" s="13">
        <f>Table134[[#This Row],[purchase_history]]/Table134[[#This Row],[number_of_purchases]]</f>
        <v>1439.5025000000001</v>
      </c>
      <c r="L1117" s="2">
        <f>IF(YEAR(Table134[[#This Row],[Last_Day]])=2021,5,IF(YEAR(Table134[[#This Row],[Last_Day]])=2022,7,IF(YEAR(Table134[[#This Row],[Last_Day]])=2023,10,"Không xác định")))</f>
        <v>7</v>
      </c>
      <c r="M1117" s="15">
        <f>Table134[[#This Row],[avg_number_of_purchases]]*Table1345[[#This Row],[avg_purchase_value]]*Table1345[[#This Row],[expected_lifespan]]</f>
        <v>80172.836784741157</v>
      </c>
      <c r="N1117" t="s">
        <v>12047</v>
      </c>
    </row>
    <row r="1118" spans="1:14" x14ac:dyDescent="0.3">
      <c r="A1118" s="2" t="s">
        <v>1116</v>
      </c>
      <c r="B1118" s="2" t="s">
        <v>12040</v>
      </c>
      <c r="C1118" s="2">
        <v>38</v>
      </c>
      <c r="D1118" s="2" t="s">
        <v>12043</v>
      </c>
      <c r="E1118" s="2">
        <f>COUNTIF(Table16[customer_id],Table13[[#This Row],[customer_id]])</f>
        <v>5</v>
      </c>
      <c r="F1118" s="13">
        <f>SUMIFS(Table16[Purchase_history],Table16[customer_id],Table13[[#This Row],[customer_id]])</f>
        <v>16897.96</v>
      </c>
      <c r="G1118" s="20">
        <v>44337</v>
      </c>
      <c r="H1118" s="21">
        <v>44904</v>
      </c>
      <c r="I1118" s="15">
        <f>(Table134[[#This Row],[Last_Day]]-Table134[[#This Row],[First_Day]]+1)/365</f>
        <v>1.5561643835616439</v>
      </c>
      <c r="J1118" s="59">
        <f>Table134[[#This Row],[number_of_purchases]]/Table134[[#This Row],[customer_total_years]]</f>
        <v>3.2130281690140845</v>
      </c>
      <c r="K1118" s="13">
        <f>Table134[[#This Row],[purchase_history]]/Table134[[#This Row],[number_of_purchases]]</f>
        <v>3379.5919999999996</v>
      </c>
      <c r="L1118" s="2">
        <f>IF(YEAR(Table134[[#This Row],[Last_Day]])=2021,5,IF(YEAR(Table134[[#This Row],[Last_Day]])=2022,7,IF(YEAR(Table134[[#This Row],[Last_Day]])=2023,10,"Không xác định")))</f>
        <v>7</v>
      </c>
      <c r="M1118" s="15">
        <f>Table134[[#This Row],[avg_number_of_purchases]]*Table1345[[#This Row],[avg_purchase_value]]*Table1345[[#This Row],[expected_lifespan]]</f>
        <v>76011.070070422531</v>
      </c>
      <c r="N1118" t="s">
        <v>12046</v>
      </c>
    </row>
    <row r="1119" spans="1:14" x14ac:dyDescent="0.3">
      <c r="A1119" s="2" t="s">
        <v>1117</v>
      </c>
      <c r="B1119" s="2" t="s">
        <v>12040</v>
      </c>
      <c r="C1119" s="2">
        <v>27</v>
      </c>
      <c r="D1119" s="2" t="s">
        <v>12041</v>
      </c>
      <c r="E1119" s="2">
        <f>COUNTIF(Table16[customer_id],Table13[[#This Row],[customer_id]])</f>
        <v>5</v>
      </c>
      <c r="F1119" s="13">
        <f>SUMIFS(Table16[Purchase_history],Table16[customer_id],Table13[[#This Row],[customer_id]])</f>
        <v>2109.52</v>
      </c>
      <c r="G1119" s="20">
        <v>44315</v>
      </c>
      <c r="H1119" s="21">
        <v>44680</v>
      </c>
      <c r="I1119" s="15">
        <f>(Table134[[#This Row],[Last_Day]]-Table134[[#This Row],[First_Day]]+1)/365</f>
        <v>1.0027397260273974</v>
      </c>
      <c r="J1119" s="59">
        <f>Table134[[#This Row],[number_of_purchases]]/Table134[[#This Row],[customer_total_years]]</f>
        <v>4.9863387978142075</v>
      </c>
      <c r="K1119" s="13">
        <f>Table134[[#This Row],[purchase_history]]/Table134[[#This Row],[number_of_purchases]]</f>
        <v>421.904</v>
      </c>
      <c r="L1119" s="2">
        <f>IF(YEAR(Table134[[#This Row],[Last_Day]])=2021,5,IF(YEAR(Table134[[#This Row],[Last_Day]])=2022,7,IF(YEAR(Table134[[#This Row],[Last_Day]])=2023,10,"Không xác định")))</f>
        <v>7</v>
      </c>
      <c r="M1119" s="15">
        <f>Table134[[#This Row],[avg_number_of_purchases]]*Table1345[[#This Row],[avg_purchase_value]]*Table1345[[#This Row],[expected_lifespan]]</f>
        <v>14726.293989071037</v>
      </c>
      <c r="N1119" t="s">
        <v>12048</v>
      </c>
    </row>
    <row r="1120" spans="1:14" x14ac:dyDescent="0.3">
      <c r="A1120" s="2" t="s">
        <v>1118</v>
      </c>
      <c r="B1120" s="2" t="s">
        <v>12040</v>
      </c>
      <c r="C1120" s="2">
        <v>26</v>
      </c>
      <c r="D1120" s="2" t="s">
        <v>12043</v>
      </c>
      <c r="E1120" s="2">
        <f>COUNTIF(Table16[customer_id],Table13[[#This Row],[customer_id]])</f>
        <v>1</v>
      </c>
      <c r="F1120" s="13">
        <f>SUMIFS(Table16[Purchase_history],Table16[customer_id],Table13[[#This Row],[customer_id]])</f>
        <v>4801.28</v>
      </c>
      <c r="G1120" s="20">
        <v>44429</v>
      </c>
      <c r="H1120" s="21">
        <v>44429</v>
      </c>
      <c r="I1120" s="15">
        <f>(Table134[[#This Row],[Last_Day]]-Table134[[#This Row],[First_Day]]+1)/365</f>
        <v>2.7397260273972603E-3</v>
      </c>
      <c r="J1120" s="59">
        <f>Table134[[#This Row],[number_of_purchases]]/Table134[[#This Row],[customer_total_years]]</f>
        <v>365</v>
      </c>
      <c r="K1120" s="13">
        <f>Table134[[#This Row],[purchase_history]]/Table134[[#This Row],[number_of_purchases]]</f>
        <v>4801.28</v>
      </c>
      <c r="L1120" s="2">
        <f>IF(YEAR(Table134[[#This Row],[Last_Day]])=2021,5,IF(YEAR(Table134[[#This Row],[Last_Day]])=2022,7,IF(YEAR(Table134[[#This Row],[Last_Day]])=2023,10,"Không xác định")))</f>
        <v>5</v>
      </c>
      <c r="M1120" s="15">
        <f>Table134[[#This Row],[avg_number_of_purchases]]*Table1345[[#This Row],[avg_purchase_value]]*Table1345[[#This Row],[expected_lifespan]]</f>
        <v>8762336</v>
      </c>
      <c r="N1120" t="s">
        <v>12044</v>
      </c>
    </row>
    <row r="1121" spans="1:14" x14ac:dyDescent="0.3">
      <c r="A1121" s="2" t="s">
        <v>1119</v>
      </c>
      <c r="B1121" s="2" t="s">
        <v>12045</v>
      </c>
      <c r="C1121" s="2">
        <v>38</v>
      </c>
      <c r="D1121" s="2" t="s">
        <v>12043</v>
      </c>
      <c r="E1121" s="2">
        <f>COUNTIF(Table16[customer_id],Table13[[#This Row],[customer_id]])</f>
        <v>4</v>
      </c>
      <c r="F1121" s="13">
        <f>SUMIFS(Table16[Purchase_history],Table16[customer_id],Table13[[#This Row],[customer_id]])</f>
        <v>9629.1</v>
      </c>
      <c r="G1121" s="20">
        <v>44512</v>
      </c>
      <c r="H1121" s="21">
        <v>44880</v>
      </c>
      <c r="I1121" s="15">
        <f>(Table134[[#This Row],[Last_Day]]-Table134[[#This Row],[First_Day]]+1)/365</f>
        <v>1.010958904109589</v>
      </c>
      <c r="J1121" s="59">
        <f>Table134[[#This Row],[number_of_purchases]]/Table134[[#This Row],[customer_total_years]]</f>
        <v>3.9566395663956642</v>
      </c>
      <c r="K1121" s="13">
        <f>Table134[[#This Row],[purchase_history]]/Table134[[#This Row],[number_of_purchases]]</f>
        <v>2407.2750000000001</v>
      </c>
      <c r="L1121" s="2">
        <f>IF(YEAR(Table134[[#This Row],[Last_Day]])=2021,5,IF(YEAR(Table134[[#This Row],[Last_Day]])=2022,7,IF(YEAR(Table134[[#This Row],[Last_Day]])=2023,10,"Không xác định")))</f>
        <v>7</v>
      </c>
      <c r="M1121" s="15">
        <f>Table134[[#This Row],[avg_number_of_purchases]]*Table1345[[#This Row],[avg_purchase_value]]*Table1345[[#This Row],[expected_lifespan]]</f>
        <v>66673.036585365859</v>
      </c>
      <c r="N1121" t="s">
        <v>12044</v>
      </c>
    </row>
    <row r="1122" spans="1:14" x14ac:dyDescent="0.3">
      <c r="A1122" s="2" t="s">
        <v>1120</v>
      </c>
      <c r="B1122" s="2" t="s">
        <v>12040</v>
      </c>
      <c r="C1122" s="2">
        <v>40</v>
      </c>
      <c r="D1122" s="2" t="s">
        <v>12041</v>
      </c>
      <c r="E1122" s="2">
        <f>COUNTIF(Table16[customer_id],Table13[[#This Row],[customer_id]])</f>
        <v>4</v>
      </c>
      <c r="F1122" s="13">
        <f>SUMIFS(Table16[Purchase_history],Table16[customer_id],Table13[[#This Row],[customer_id]])</f>
        <v>11172.24</v>
      </c>
      <c r="G1122" s="20">
        <v>44405</v>
      </c>
      <c r="H1122" s="21">
        <v>44730</v>
      </c>
      <c r="I1122" s="15">
        <f>(Table134[[#This Row],[Last_Day]]-Table134[[#This Row],[First_Day]]+1)/365</f>
        <v>0.89315068493150684</v>
      </c>
      <c r="J1122" s="59">
        <f>Table134[[#This Row],[number_of_purchases]]/Table134[[#This Row],[customer_total_years]]</f>
        <v>4.4785276073619631</v>
      </c>
      <c r="K1122" s="13">
        <f>Table134[[#This Row],[purchase_history]]/Table134[[#This Row],[number_of_purchases]]</f>
        <v>2793.06</v>
      </c>
      <c r="L1122" s="2">
        <f>IF(YEAR(Table134[[#This Row],[Last_Day]])=2021,5,IF(YEAR(Table134[[#This Row],[Last_Day]])=2022,7,IF(YEAR(Table134[[#This Row],[Last_Day]])=2023,10,"Không xác định")))</f>
        <v>7</v>
      </c>
      <c r="M1122" s="15">
        <f>Table134[[#This Row],[avg_number_of_purchases]]*Table1345[[#This Row],[avg_purchase_value]]*Table1345[[#This Row],[expected_lifespan]]</f>
        <v>87561.57423312882</v>
      </c>
      <c r="N1122" t="s">
        <v>12046</v>
      </c>
    </row>
    <row r="1123" spans="1:14" x14ac:dyDescent="0.3">
      <c r="A1123" s="2" t="s">
        <v>1121</v>
      </c>
      <c r="B1123" s="2" t="s">
        <v>12040</v>
      </c>
      <c r="C1123" s="2">
        <v>47</v>
      </c>
      <c r="D1123" s="2" t="s">
        <v>12041</v>
      </c>
      <c r="E1123" s="2">
        <f>COUNTIF(Table16[customer_id],Table13[[#This Row],[customer_id]])</f>
        <v>11</v>
      </c>
      <c r="F1123" s="13">
        <f>SUMIFS(Table16[Purchase_history],Table16[customer_id],Table13[[#This Row],[customer_id]])</f>
        <v>41218.28</v>
      </c>
      <c r="G1123" s="20">
        <v>44312</v>
      </c>
      <c r="H1123" s="21">
        <v>44964</v>
      </c>
      <c r="I1123" s="15">
        <f>(Table134[[#This Row],[Last_Day]]-Table134[[#This Row],[First_Day]]+1)/365</f>
        <v>1.789041095890411</v>
      </c>
      <c r="J1123" s="59">
        <f>Table134[[#This Row],[number_of_purchases]]/Table134[[#This Row],[customer_total_years]]</f>
        <v>6.1485451761102601</v>
      </c>
      <c r="K1123" s="13">
        <f>Table134[[#This Row],[purchase_history]]/Table134[[#This Row],[number_of_purchases]]</f>
        <v>3747.1163636363635</v>
      </c>
      <c r="L1123" s="2">
        <f>IF(YEAR(Table134[[#This Row],[Last_Day]])=2021,5,IF(YEAR(Table134[[#This Row],[Last_Day]])=2022,7,IF(YEAR(Table134[[#This Row],[Last_Day]])=2023,10,"Không xác định")))</f>
        <v>10</v>
      </c>
      <c r="M1123" s="15">
        <f>Table134[[#This Row],[avg_number_of_purchases]]*Table1345[[#This Row],[avg_purchase_value]]*Table1345[[#This Row],[expected_lifespan]]</f>
        <v>230393.14241960182</v>
      </c>
      <c r="N1123" t="s">
        <v>12044</v>
      </c>
    </row>
    <row r="1124" spans="1:14" x14ac:dyDescent="0.3">
      <c r="A1124" s="2" t="s">
        <v>1122</v>
      </c>
      <c r="B1124" s="2" t="s">
        <v>12045</v>
      </c>
      <c r="C1124" s="2">
        <v>21</v>
      </c>
      <c r="D1124" s="2" t="s">
        <v>12041</v>
      </c>
      <c r="E1124" s="2">
        <f>COUNTIF(Table16[customer_id],Table13[[#This Row],[customer_id]])</f>
        <v>8</v>
      </c>
      <c r="F1124" s="13">
        <f>SUMIFS(Table16[Purchase_history],Table16[customer_id],Table13[[#This Row],[customer_id]])</f>
        <v>2145.09</v>
      </c>
      <c r="G1124" s="20">
        <v>44335</v>
      </c>
      <c r="H1124" s="21">
        <v>44895</v>
      </c>
      <c r="I1124" s="15">
        <f>(Table134[[#This Row],[Last_Day]]-Table134[[#This Row],[First_Day]]+1)/365</f>
        <v>1.536986301369863</v>
      </c>
      <c r="J1124" s="59">
        <f>Table134[[#This Row],[number_of_purchases]]/Table134[[#This Row],[customer_total_years]]</f>
        <v>5.2049910873440286</v>
      </c>
      <c r="K1124" s="13">
        <f>Table134[[#This Row],[purchase_history]]/Table134[[#This Row],[number_of_purchases]]</f>
        <v>268.13625000000002</v>
      </c>
      <c r="L1124" s="2">
        <f>IF(YEAR(Table134[[#This Row],[Last_Day]])=2021,5,IF(YEAR(Table134[[#This Row],[Last_Day]])=2022,7,IF(YEAR(Table134[[#This Row],[Last_Day]])=2023,10,"Không xác định")))</f>
        <v>7</v>
      </c>
      <c r="M1124" s="15">
        <f>Table134[[#This Row],[avg_number_of_purchases]]*Table1345[[#This Row],[avg_purchase_value]]*Table1345[[#This Row],[expected_lifespan]]</f>
        <v>9769.5275401069521</v>
      </c>
      <c r="N1124" t="s">
        <v>12044</v>
      </c>
    </row>
    <row r="1125" spans="1:14" x14ac:dyDescent="0.3">
      <c r="A1125" s="2" t="s">
        <v>1123</v>
      </c>
      <c r="B1125" s="2" t="s">
        <v>12040</v>
      </c>
      <c r="C1125" s="2">
        <v>39</v>
      </c>
      <c r="D1125" s="2" t="s">
        <v>12041</v>
      </c>
      <c r="E1125" s="2">
        <f>COUNTIF(Table16[customer_id],Table13[[#This Row],[customer_id]])</f>
        <v>7</v>
      </c>
      <c r="F1125" s="13">
        <f>SUMIFS(Table16[Purchase_history],Table16[customer_id],Table13[[#This Row],[customer_id]])</f>
        <v>36441.949999999997</v>
      </c>
      <c r="G1125" s="20">
        <v>44270</v>
      </c>
      <c r="H1125" s="21">
        <v>44883</v>
      </c>
      <c r="I1125" s="15">
        <f>(Table134[[#This Row],[Last_Day]]-Table134[[#This Row],[First_Day]]+1)/365</f>
        <v>1.6821917808219178</v>
      </c>
      <c r="J1125" s="59">
        <f>Table134[[#This Row],[number_of_purchases]]/Table134[[#This Row],[customer_total_years]]</f>
        <v>4.1612377850162865</v>
      </c>
      <c r="K1125" s="13">
        <f>Table134[[#This Row],[purchase_history]]/Table134[[#This Row],[number_of_purchases]]</f>
        <v>5205.9928571428563</v>
      </c>
      <c r="L1125" s="2">
        <f>IF(YEAR(Table134[[#This Row],[Last_Day]])=2021,5,IF(YEAR(Table134[[#This Row],[Last_Day]])=2022,7,IF(YEAR(Table134[[#This Row],[Last_Day]])=2023,10,"Không xác định")))</f>
        <v>7</v>
      </c>
      <c r="M1125" s="15">
        <f>Table134[[#This Row],[avg_number_of_purchases]]*Table1345[[#This Row],[avg_purchase_value]]*Table1345[[#This Row],[expected_lifespan]]</f>
        <v>151643.61929967423</v>
      </c>
      <c r="N1125" t="s">
        <v>12042</v>
      </c>
    </row>
    <row r="1126" spans="1:14" x14ac:dyDescent="0.3">
      <c r="A1126" s="2" t="s">
        <v>1124</v>
      </c>
      <c r="B1126" s="2" t="s">
        <v>12045</v>
      </c>
      <c r="C1126" s="2">
        <v>68</v>
      </c>
      <c r="D1126" s="2" t="s">
        <v>12041</v>
      </c>
      <c r="E1126" s="2">
        <f>COUNTIF(Table16[customer_id],Table13[[#This Row],[customer_id]])</f>
        <v>5</v>
      </c>
      <c r="F1126" s="13">
        <f>SUMIFS(Table16[Purchase_history],Table16[customer_id],Table13[[#This Row],[customer_id]])</f>
        <v>41309.79</v>
      </c>
      <c r="G1126" s="20">
        <v>44341</v>
      </c>
      <c r="H1126" s="21">
        <v>44966</v>
      </c>
      <c r="I1126" s="15">
        <f>(Table134[[#This Row],[Last_Day]]-Table134[[#This Row],[First_Day]]+1)/365</f>
        <v>1.715068493150685</v>
      </c>
      <c r="J1126" s="59">
        <f>Table134[[#This Row],[number_of_purchases]]/Table134[[#This Row],[customer_total_years]]</f>
        <v>2.9153354632587858</v>
      </c>
      <c r="K1126" s="13">
        <f>Table134[[#This Row],[purchase_history]]/Table134[[#This Row],[number_of_purchases]]</f>
        <v>8261.9580000000005</v>
      </c>
      <c r="L1126" s="2">
        <f>IF(YEAR(Table134[[#This Row],[Last_Day]])=2021,5,IF(YEAR(Table134[[#This Row],[Last_Day]])=2022,7,IF(YEAR(Table134[[#This Row],[Last_Day]])=2023,10,"Không xác định")))</f>
        <v>10</v>
      </c>
      <c r="M1126" s="15">
        <f>Table134[[#This Row],[avg_number_of_purchases]]*Table1345[[#This Row],[avg_purchase_value]]*Table1345[[#This Row],[expected_lifespan]]</f>
        <v>240863.79153354632</v>
      </c>
      <c r="N1126" t="s">
        <v>12042</v>
      </c>
    </row>
    <row r="1127" spans="1:14" x14ac:dyDescent="0.3">
      <c r="A1127" s="2" t="s">
        <v>1125</v>
      </c>
      <c r="B1127" s="2" t="s">
        <v>12040</v>
      </c>
      <c r="C1127" s="2">
        <v>31</v>
      </c>
      <c r="D1127" s="2" t="s">
        <v>12043</v>
      </c>
      <c r="E1127" s="2">
        <f>COUNTIF(Table16[customer_id],Table13[[#This Row],[customer_id]])</f>
        <v>8</v>
      </c>
      <c r="F1127" s="13">
        <f>SUMIFS(Table16[Purchase_history],Table16[customer_id],Table13[[#This Row],[customer_id]])</f>
        <v>4152.7000000000007</v>
      </c>
      <c r="G1127" s="20">
        <v>44251</v>
      </c>
      <c r="H1127" s="21">
        <v>44908</v>
      </c>
      <c r="I1127" s="15">
        <f>(Table134[[#This Row],[Last_Day]]-Table134[[#This Row],[First_Day]]+1)/365</f>
        <v>1.8027397260273972</v>
      </c>
      <c r="J1127" s="59">
        <f>Table134[[#This Row],[number_of_purchases]]/Table134[[#This Row],[customer_total_years]]</f>
        <v>4.4376899696048637</v>
      </c>
      <c r="K1127" s="13">
        <f>Table134[[#This Row],[purchase_history]]/Table134[[#This Row],[number_of_purchases]]</f>
        <v>519.08750000000009</v>
      </c>
      <c r="L1127" s="2">
        <f>IF(YEAR(Table134[[#This Row],[Last_Day]])=2021,5,IF(YEAR(Table134[[#This Row],[Last_Day]])=2022,7,IF(YEAR(Table134[[#This Row],[Last_Day]])=2023,10,"Không xác định")))</f>
        <v>7</v>
      </c>
      <c r="M1127" s="15">
        <f>Table134[[#This Row],[avg_number_of_purchases]]*Table1345[[#This Row],[avg_purchase_value]]*Table1345[[#This Row],[expected_lifespan]]</f>
        <v>16124.845744680853</v>
      </c>
      <c r="N1127" t="s">
        <v>12044</v>
      </c>
    </row>
    <row r="1128" spans="1:14" x14ac:dyDescent="0.3">
      <c r="A1128" s="2" t="s">
        <v>1126</v>
      </c>
      <c r="B1128" s="2" t="s">
        <v>12040</v>
      </c>
      <c r="C1128" s="2">
        <v>30</v>
      </c>
      <c r="D1128" s="2" t="s">
        <v>12041</v>
      </c>
      <c r="E1128" s="2">
        <f>COUNTIF(Table16[customer_id],Table13[[#This Row],[customer_id]])</f>
        <v>7</v>
      </c>
      <c r="F1128" s="13">
        <f>SUMIFS(Table16[Purchase_history],Table16[customer_id],Table13[[#This Row],[customer_id]])</f>
        <v>5482.7899999999991</v>
      </c>
      <c r="G1128" s="20">
        <v>44265</v>
      </c>
      <c r="H1128" s="21">
        <v>44761</v>
      </c>
      <c r="I1128" s="15">
        <f>(Table134[[#This Row],[Last_Day]]-Table134[[#This Row],[First_Day]]+1)/365</f>
        <v>1.3616438356164384</v>
      </c>
      <c r="J1128" s="59">
        <f>Table134[[#This Row],[number_of_purchases]]/Table134[[#This Row],[customer_total_years]]</f>
        <v>5.140845070422535</v>
      </c>
      <c r="K1128" s="13">
        <f>Table134[[#This Row],[purchase_history]]/Table134[[#This Row],[number_of_purchases]]</f>
        <v>783.25571428571413</v>
      </c>
      <c r="L1128" s="2">
        <f>IF(YEAR(Table134[[#This Row],[Last_Day]])=2021,5,IF(YEAR(Table134[[#This Row],[Last_Day]])=2022,7,IF(YEAR(Table134[[#This Row],[Last_Day]])=2023,10,"Không xác định")))</f>
        <v>7</v>
      </c>
      <c r="M1128" s="15">
        <f>Table134[[#This Row],[avg_number_of_purchases]]*Table1345[[#This Row],[avg_purchase_value]]*Table1345[[#This Row],[expected_lifespan]]</f>
        <v>28186.173943661965</v>
      </c>
      <c r="N1128" t="s">
        <v>12042</v>
      </c>
    </row>
    <row r="1129" spans="1:14" x14ac:dyDescent="0.3">
      <c r="A1129" s="2" t="s">
        <v>1127</v>
      </c>
      <c r="B1129" s="2" t="s">
        <v>12045</v>
      </c>
      <c r="C1129" s="2">
        <v>36</v>
      </c>
      <c r="D1129" s="2" t="s">
        <v>12049</v>
      </c>
      <c r="E1129" s="2">
        <f>COUNTIF(Table16[customer_id],Table13[[#This Row],[customer_id]])</f>
        <v>3</v>
      </c>
      <c r="F1129" s="13">
        <f>SUMIFS(Table16[Purchase_history],Table16[customer_id],Table13[[#This Row],[customer_id]])</f>
        <v>3936.88</v>
      </c>
      <c r="G1129" s="20">
        <v>44279</v>
      </c>
      <c r="H1129" s="21">
        <v>44887</v>
      </c>
      <c r="I1129" s="15">
        <f>(Table134[[#This Row],[Last_Day]]-Table134[[#This Row],[First_Day]]+1)/365</f>
        <v>1.6684931506849314</v>
      </c>
      <c r="J1129" s="59">
        <f>Table134[[#This Row],[number_of_purchases]]/Table134[[#This Row],[customer_total_years]]</f>
        <v>1.7980295566502464</v>
      </c>
      <c r="K1129" s="13">
        <f>Table134[[#This Row],[purchase_history]]/Table134[[#This Row],[number_of_purchases]]</f>
        <v>1312.2933333333333</v>
      </c>
      <c r="L1129" s="2">
        <f>IF(YEAR(Table134[[#This Row],[Last_Day]])=2021,5,IF(YEAR(Table134[[#This Row],[Last_Day]])=2022,7,IF(YEAR(Table134[[#This Row],[Last_Day]])=2023,10,"Không xác định")))</f>
        <v>7</v>
      </c>
      <c r="M1129" s="15">
        <f>Table134[[#This Row],[avg_number_of_purchases]]*Table1345[[#This Row],[avg_purchase_value]]*Table1345[[#This Row],[expected_lifespan]]</f>
        <v>16516.795402298852</v>
      </c>
      <c r="N1129" t="s">
        <v>12046</v>
      </c>
    </row>
    <row r="1130" spans="1:14" x14ac:dyDescent="0.3">
      <c r="A1130" s="2" t="s">
        <v>1128</v>
      </c>
      <c r="B1130" s="2" t="s">
        <v>12040</v>
      </c>
      <c r="C1130" s="2"/>
      <c r="D1130" s="2" t="s">
        <v>12049</v>
      </c>
      <c r="E1130" s="2">
        <f>COUNTIF(Table16[customer_id],Table13[[#This Row],[customer_id]])</f>
        <v>2</v>
      </c>
      <c r="F1130" s="13">
        <f>SUMIFS(Table16[Purchase_history],Table16[customer_id],Table13[[#This Row],[customer_id]])</f>
        <v>1331.07</v>
      </c>
      <c r="G1130" s="20">
        <v>44547</v>
      </c>
      <c r="H1130" s="21">
        <v>44925</v>
      </c>
      <c r="I1130" s="15">
        <f>(Table134[[#This Row],[Last_Day]]-Table134[[#This Row],[First_Day]]+1)/365</f>
        <v>1.0383561643835617</v>
      </c>
      <c r="J1130" s="59">
        <f>Table134[[#This Row],[number_of_purchases]]/Table134[[#This Row],[customer_total_years]]</f>
        <v>1.9261213720316621</v>
      </c>
      <c r="K1130" s="13">
        <f>Table134[[#This Row],[purchase_history]]/Table134[[#This Row],[number_of_purchases]]</f>
        <v>665.53499999999997</v>
      </c>
      <c r="L1130" s="2">
        <f>IF(YEAR(Table134[[#This Row],[Last_Day]])=2021,5,IF(YEAR(Table134[[#This Row],[Last_Day]])=2022,7,IF(YEAR(Table134[[#This Row],[Last_Day]])=2023,10,"Không xác định")))</f>
        <v>7</v>
      </c>
      <c r="M1130" s="15">
        <f>Table134[[#This Row],[avg_number_of_purchases]]*Table1345[[#This Row],[avg_purchase_value]]*Table1345[[#This Row],[expected_lifespan]]</f>
        <v>8973.3083113456451</v>
      </c>
      <c r="N1130" t="s">
        <v>12047</v>
      </c>
    </row>
    <row r="1131" spans="1:14" x14ac:dyDescent="0.3">
      <c r="A1131" s="2" t="s">
        <v>1129</v>
      </c>
      <c r="B1131" s="2" t="s">
        <v>12045</v>
      </c>
      <c r="C1131" s="2">
        <v>65</v>
      </c>
      <c r="D1131" s="2" t="s">
        <v>12041</v>
      </c>
      <c r="E1131" s="2">
        <f>COUNTIF(Table16[customer_id],Table13[[#This Row],[customer_id]])</f>
        <v>5</v>
      </c>
      <c r="F1131" s="13">
        <f>SUMIFS(Table16[Purchase_history],Table16[customer_id],Table13[[#This Row],[customer_id]])</f>
        <v>5298.1900000000005</v>
      </c>
      <c r="G1131" s="20">
        <v>44415</v>
      </c>
      <c r="H1131" s="21">
        <v>44959</v>
      </c>
      <c r="I1131" s="15">
        <f>(Table134[[#This Row],[Last_Day]]-Table134[[#This Row],[First_Day]]+1)/365</f>
        <v>1.4931506849315068</v>
      </c>
      <c r="J1131" s="59">
        <f>Table134[[#This Row],[number_of_purchases]]/Table134[[#This Row],[customer_total_years]]</f>
        <v>3.3486238532110093</v>
      </c>
      <c r="K1131" s="13">
        <f>Table134[[#This Row],[purchase_history]]/Table134[[#This Row],[number_of_purchases]]</f>
        <v>1059.6380000000001</v>
      </c>
      <c r="L1131" s="2">
        <f>IF(YEAR(Table134[[#This Row],[Last_Day]])=2021,5,IF(YEAR(Table134[[#This Row],[Last_Day]])=2022,7,IF(YEAR(Table134[[#This Row],[Last_Day]])=2023,10,"Không xác định")))</f>
        <v>10</v>
      </c>
      <c r="M1131" s="15">
        <f>Table134[[#This Row],[avg_number_of_purchases]]*Table1345[[#This Row],[avg_purchase_value]]*Table1345[[#This Row],[expected_lifespan]]</f>
        <v>35483.290825688084</v>
      </c>
      <c r="N1131" t="s">
        <v>12048</v>
      </c>
    </row>
    <row r="1132" spans="1:14" x14ac:dyDescent="0.3">
      <c r="A1132" s="2" t="s">
        <v>1130</v>
      </c>
      <c r="B1132" s="2" t="s">
        <v>12040</v>
      </c>
      <c r="C1132" s="2">
        <v>29</v>
      </c>
      <c r="D1132" s="2" t="s">
        <v>12043</v>
      </c>
      <c r="E1132" s="2">
        <f>COUNTIF(Table16[customer_id],Table13[[#This Row],[customer_id]])</f>
        <v>6</v>
      </c>
      <c r="F1132" s="13">
        <f>SUMIFS(Table16[Purchase_history],Table16[customer_id],Table13[[#This Row],[customer_id]])</f>
        <v>16592.899999999998</v>
      </c>
      <c r="G1132" s="20">
        <v>44271</v>
      </c>
      <c r="H1132" s="21">
        <v>44865</v>
      </c>
      <c r="I1132" s="15">
        <f>(Table134[[#This Row],[Last_Day]]-Table134[[#This Row],[First_Day]]+1)/365</f>
        <v>1.6301369863013699</v>
      </c>
      <c r="J1132" s="59">
        <f>Table134[[#This Row],[number_of_purchases]]/Table134[[#This Row],[customer_total_years]]</f>
        <v>3.6806722689075628</v>
      </c>
      <c r="K1132" s="13">
        <f>Table134[[#This Row],[purchase_history]]/Table134[[#This Row],[number_of_purchases]]</f>
        <v>2765.4833333333331</v>
      </c>
      <c r="L1132" s="2">
        <f>IF(YEAR(Table134[[#This Row],[Last_Day]])=2021,5,IF(YEAR(Table134[[#This Row],[Last_Day]])=2022,7,IF(YEAR(Table134[[#This Row],[Last_Day]])=2023,10,"Không xác định")))</f>
        <v>7</v>
      </c>
      <c r="M1132" s="15">
        <f>Table134[[#This Row],[avg_number_of_purchases]]*Table1345[[#This Row],[avg_purchase_value]]*Table1345[[#This Row],[expected_lifespan]]</f>
        <v>71251.864705882341</v>
      </c>
      <c r="N1132" t="s">
        <v>12042</v>
      </c>
    </row>
    <row r="1133" spans="1:14" x14ac:dyDescent="0.3">
      <c r="A1133" s="2" t="s">
        <v>1131</v>
      </c>
      <c r="B1133" s="2" t="s">
        <v>12045</v>
      </c>
      <c r="C1133" s="2">
        <v>48</v>
      </c>
      <c r="D1133" s="2" t="s">
        <v>12043</v>
      </c>
      <c r="E1133" s="2">
        <f>COUNTIF(Table16[customer_id],Table13[[#This Row],[customer_id]])</f>
        <v>6</v>
      </c>
      <c r="F1133" s="13">
        <f>SUMIFS(Table16[Purchase_history],Table16[customer_id],Table13[[#This Row],[customer_id]])</f>
        <v>14746.369999999999</v>
      </c>
      <c r="G1133" s="20">
        <v>44213</v>
      </c>
      <c r="H1133" s="21">
        <v>44938</v>
      </c>
      <c r="I1133" s="15">
        <f>(Table134[[#This Row],[Last_Day]]-Table134[[#This Row],[First_Day]]+1)/365</f>
        <v>1.989041095890411</v>
      </c>
      <c r="J1133" s="59">
        <f>Table134[[#This Row],[number_of_purchases]]/Table134[[#This Row],[customer_total_years]]</f>
        <v>3.0165289256198347</v>
      </c>
      <c r="K1133" s="13">
        <f>Table134[[#This Row],[purchase_history]]/Table134[[#This Row],[number_of_purchases]]</f>
        <v>2457.728333333333</v>
      </c>
      <c r="L1133" s="2">
        <f>IF(YEAR(Table134[[#This Row],[Last_Day]])=2021,5,IF(YEAR(Table134[[#This Row],[Last_Day]])=2022,7,IF(YEAR(Table134[[#This Row],[Last_Day]])=2023,10,"Không xác định")))</f>
        <v>10</v>
      </c>
      <c r="M1133" s="15">
        <f>Table134[[#This Row],[avg_number_of_purchases]]*Table1345[[#This Row],[avg_purchase_value]]*Table1345[[#This Row],[expected_lifespan]]</f>
        <v>74138.086088154261</v>
      </c>
      <c r="N1133" t="s">
        <v>12042</v>
      </c>
    </row>
    <row r="1134" spans="1:14" x14ac:dyDescent="0.3">
      <c r="A1134" s="2" t="s">
        <v>1132</v>
      </c>
      <c r="B1134" s="2" t="s">
        <v>12045</v>
      </c>
      <c r="C1134" s="2">
        <v>47</v>
      </c>
      <c r="D1134" s="2" t="s">
        <v>12041</v>
      </c>
      <c r="E1134" s="2">
        <f>COUNTIF(Table16[customer_id],Table13[[#This Row],[customer_id]])</f>
        <v>2</v>
      </c>
      <c r="F1134" s="13">
        <f>SUMIFS(Table16[Purchase_history],Table16[customer_id],Table13[[#This Row],[customer_id]])</f>
        <v>12303.279999999999</v>
      </c>
      <c r="G1134" s="20">
        <v>44459</v>
      </c>
      <c r="H1134" s="21">
        <v>44860</v>
      </c>
      <c r="I1134" s="15">
        <f>(Table134[[#This Row],[Last_Day]]-Table134[[#This Row],[First_Day]]+1)/365</f>
        <v>1.1013698630136985</v>
      </c>
      <c r="J1134" s="59">
        <f>Table134[[#This Row],[number_of_purchases]]/Table134[[#This Row],[customer_total_years]]</f>
        <v>1.8159203980099503</v>
      </c>
      <c r="K1134" s="13">
        <f>Table134[[#This Row],[purchase_history]]/Table134[[#This Row],[number_of_purchases]]</f>
        <v>6151.6399999999994</v>
      </c>
      <c r="L1134" s="2">
        <f>IF(YEAR(Table134[[#This Row],[Last_Day]])=2021,5,IF(YEAR(Table134[[#This Row],[Last_Day]])=2022,7,IF(YEAR(Table134[[#This Row],[Last_Day]])=2023,10,"Không xác định")))</f>
        <v>7</v>
      </c>
      <c r="M1134" s="15">
        <f>Table134[[#This Row],[avg_number_of_purchases]]*Table1345[[#This Row],[avg_purchase_value]]*Table1345[[#This Row],[expected_lifespan]]</f>
        <v>78196.219900497512</v>
      </c>
      <c r="N1134" t="s">
        <v>12047</v>
      </c>
    </row>
    <row r="1135" spans="1:14" x14ac:dyDescent="0.3">
      <c r="A1135" s="2" t="s">
        <v>1133</v>
      </c>
      <c r="B1135" s="2" t="s">
        <v>12045</v>
      </c>
      <c r="C1135" s="2">
        <v>49</v>
      </c>
      <c r="D1135" s="2" t="s">
        <v>12049</v>
      </c>
      <c r="E1135" s="2">
        <f>COUNTIF(Table16[customer_id],Table13[[#This Row],[customer_id]])</f>
        <v>4</v>
      </c>
      <c r="F1135" s="13">
        <f>SUMIFS(Table16[Purchase_history],Table16[customer_id],Table13[[#This Row],[customer_id]])</f>
        <v>8402.2400000000016</v>
      </c>
      <c r="G1135" s="20">
        <v>44539</v>
      </c>
      <c r="H1135" s="21">
        <v>44985</v>
      </c>
      <c r="I1135" s="15">
        <f>(Table134[[#This Row],[Last_Day]]-Table134[[#This Row],[First_Day]]+1)/365</f>
        <v>1.2246575342465753</v>
      </c>
      <c r="J1135" s="59">
        <f>Table134[[#This Row],[number_of_purchases]]/Table134[[#This Row],[customer_total_years]]</f>
        <v>3.2662192393736018</v>
      </c>
      <c r="K1135" s="13">
        <f>Table134[[#This Row],[purchase_history]]/Table134[[#This Row],[number_of_purchases]]</f>
        <v>2100.5600000000004</v>
      </c>
      <c r="L1135" s="2">
        <f>IF(YEAR(Table134[[#This Row],[Last_Day]])=2021,5,IF(YEAR(Table134[[#This Row],[Last_Day]])=2022,7,IF(YEAR(Table134[[#This Row],[Last_Day]])=2023,10,"Không xác định")))</f>
        <v>10</v>
      </c>
      <c r="M1135" s="15">
        <f>Table134[[#This Row],[avg_number_of_purchases]]*Table1345[[#This Row],[avg_purchase_value]]*Table1345[[#This Row],[expected_lifespan]]</f>
        <v>68608.894854586135</v>
      </c>
      <c r="N1135" t="s">
        <v>12044</v>
      </c>
    </row>
    <row r="1136" spans="1:14" x14ac:dyDescent="0.3">
      <c r="A1136" s="2" t="s">
        <v>1134</v>
      </c>
      <c r="B1136" s="2" t="s">
        <v>12040</v>
      </c>
      <c r="C1136" s="2">
        <v>52</v>
      </c>
      <c r="D1136" s="2" t="s">
        <v>12041</v>
      </c>
      <c r="E1136" s="2">
        <f>COUNTIF(Table16[customer_id],Table13[[#This Row],[customer_id]])</f>
        <v>2</v>
      </c>
      <c r="F1136" s="13">
        <f>SUMIFS(Table16[Purchase_history],Table16[customer_id],Table13[[#This Row],[customer_id]])</f>
        <v>2831.4700000000003</v>
      </c>
      <c r="G1136" s="20">
        <v>44429</v>
      </c>
      <c r="H1136" s="21">
        <v>44655</v>
      </c>
      <c r="I1136" s="15">
        <f>(Table134[[#This Row],[Last_Day]]-Table134[[#This Row],[First_Day]]+1)/365</f>
        <v>0.62191780821917808</v>
      </c>
      <c r="J1136" s="59">
        <f>Table134[[#This Row],[number_of_purchases]]/Table134[[#This Row],[customer_total_years]]</f>
        <v>3.2158590308370045</v>
      </c>
      <c r="K1136" s="13">
        <f>Table134[[#This Row],[purchase_history]]/Table134[[#This Row],[number_of_purchases]]</f>
        <v>1415.7350000000001</v>
      </c>
      <c r="L1136" s="2">
        <f>IF(YEAR(Table134[[#This Row],[Last_Day]])=2021,5,IF(YEAR(Table134[[#This Row],[Last_Day]])=2022,7,IF(YEAR(Table134[[#This Row],[Last_Day]])=2023,10,"Không xác định")))</f>
        <v>7</v>
      </c>
      <c r="M1136" s="15">
        <f>Table134[[#This Row],[avg_number_of_purchases]]*Table1345[[#This Row],[avg_purchase_value]]*Table1345[[#This Row],[expected_lifespan]]</f>
        <v>31869.629295154191</v>
      </c>
      <c r="N1136" t="s">
        <v>12048</v>
      </c>
    </row>
    <row r="1137" spans="1:14" x14ac:dyDescent="0.3">
      <c r="A1137" s="2" t="s">
        <v>1135</v>
      </c>
      <c r="B1137" s="2" t="s">
        <v>12040</v>
      </c>
      <c r="C1137" s="2">
        <v>19</v>
      </c>
      <c r="D1137" s="2" t="s">
        <v>12041</v>
      </c>
      <c r="E1137" s="2">
        <f>COUNTIF(Table16[customer_id],Table13[[#This Row],[customer_id]])</f>
        <v>1</v>
      </c>
      <c r="F1137" s="13">
        <f>SUMIFS(Table16[Purchase_history],Table16[customer_id],Table13[[#This Row],[customer_id]])</f>
        <v>1050</v>
      </c>
      <c r="G1137" s="20">
        <v>44579</v>
      </c>
      <c r="H1137" s="21">
        <v>44579</v>
      </c>
      <c r="I1137" s="15">
        <f>(Table134[[#This Row],[Last_Day]]-Table134[[#This Row],[First_Day]]+1)/365</f>
        <v>2.7397260273972603E-3</v>
      </c>
      <c r="J1137" s="59">
        <f>Table134[[#This Row],[number_of_purchases]]/Table134[[#This Row],[customer_total_years]]</f>
        <v>365</v>
      </c>
      <c r="K1137" s="13">
        <f>Table134[[#This Row],[purchase_history]]/Table134[[#This Row],[number_of_purchases]]</f>
        <v>1050</v>
      </c>
      <c r="L1137" s="2">
        <f>IF(YEAR(Table134[[#This Row],[Last_Day]])=2021,5,IF(YEAR(Table134[[#This Row],[Last_Day]])=2022,7,IF(YEAR(Table134[[#This Row],[Last_Day]])=2023,10,"Không xác định")))</f>
        <v>7</v>
      </c>
      <c r="M1137" s="15">
        <f>Table134[[#This Row],[avg_number_of_purchases]]*Table1345[[#This Row],[avg_purchase_value]]*Table1345[[#This Row],[expected_lifespan]]</f>
        <v>2682750</v>
      </c>
      <c r="N1137" t="s">
        <v>12042</v>
      </c>
    </row>
    <row r="1138" spans="1:14" x14ac:dyDescent="0.3">
      <c r="A1138" s="2" t="s">
        <v>1136</v>
      </c>
      <c r="B1138" s="2" t="s">
        <v>12040</v>
      </c>
      <c r="C1138" s="2">
        <v>35</v>
      </c>
      <c r="D1138" s="2" t="s">
        <v>12049</v>
      </c>
      <c r="E1138" s="2">
        <f>COUNTIF(Table16[customer_id],Table13[[#This Row],[customer_id]])</f>
        <v>6</v>
      </c>
      <c r="F1138" s="13">
        <f>SUMIFS(Table16[Purchase_history],Table16[customer_id],Table13[[#This Row],[customer_id]])</f>
        <v>10668.18</v>
      </c>
      <c r="G1138" s="20">
        <v>44619</v>
      </c>
      <c r="H1138" s="21">
        <v>44951</v>
      </c>
      <c r="I1138" s="15">
        <f>(Table134[[#This Row],[Last_Day]]-Table134[[#This Row],[First_Day]]+1)/365</f>
        <v>0.9123287671232877</v>
      </c>
      <c r="J1138" s="59">
        <f>Table134[[#This Row],[number_of_purchases]]/Table134[[#This Row],[customer_total_years]]</f>
        <v>6.576576576576576</v>
      </c>
      <c r="K1138" s="13">
        <f>Table134[[#This Row],[purchase_history]]/Table134[[#This Row],[number_of_purchases]]</f>
        <v>1778.03</v>
      </c>
      <c r="L1138" s="2">
        <f>IF(YEAR(Table134[[#This Row],[Last_Day]])=2021,5,IF(YEAR(Table134[[#This Row],[Last_Day]])=2022,7,IF(YEAR(Table134[[#This Row],[Last_Day]])=2023,10,"Không xác định")))</f>
        <v>10</v>
      </c>
      <c r="M1138" s="15">
        <f>Table134[[#This Row],[avg_number_of_purchases]]*Table1345[[#This Row],[avg_purchase_value]]*Table1345[[#This Row],[expected_lifespan]]</f>
        <v>116933.5045045045</v>
      </c>
      <c r="N1138" t="s">
        <v>12042</v>
      </c>
    </row>
    <row r="1139" spans="1:14" x14ac:dyDescent="0.3">
      <c r="A1139" s="2" t="s">
        <v>1137</v>
      </c>
      <c r="B1139" s="2" t="s">
        <v>12045</v>
      </c>
      <c r="C1139" s="2">
        <v>56</v>
      </c>
      <c r="D1139" s="2" t="s">
        <v>12041</v>
      </c>
      <c r="E1139" s="2">
        <f>COUNTIF(Table16[customer_id],Table13[[#This Row],[customer_id]])</f>
        <v>3</v>
      </c>
      <c r="F1139" s="13">
        <f>SUMIFS(Table16[Purchase_history],Table16[customer_id],Table13[[#This Row],[customer_id]])</f>
        <v>979.68000000000006</v>
      </c>
      <c r="G1139" s="20">
        <v>44488</v>
      </c>
      <c r="H1139" s="21">
        <v>44911</v>
      </c>
      <c r="I1139" s="15">
        <f>(Table134[[#This Row],[Last_Day]]-Table134[[#This Row],[First_Day]]+1)/365</f>
        <v>1.1616438356164382</v>
      </c>
      <c r="J1139" s="59">
        <f>Table134[[#This Row],[number_of_purchases]]/Table134[[#This Row],[customer_total_years]]</f>
        <v>2.5825471698113209</v>
      </c>
      <c r="K1139" s="13">
        <f>Table134[[#This Row],[purchase_history]]/Table134[[#This Row],[number_of_purchases]]</f>
        <v>326.56</v>
      </c>
      <c r="L1139" s="2">
        <f>IF(YEAR(Table134[[#This Row],[Last_Day]])=2021,5,IF(YEAR(Table134[[#This Row],[Last_Day]])=2022,7,IF(YEAR(Table134[[#This Row],[Last_Day]])=2023,10,"Không xác định")))</f>
        <v>7</v>
      </c>
      <c r="M1139" s="15">
        <f>Table134[[#This Row],[avg_number_of_purchases]]*Table1345[[#This Row],[avg_purchase_value]]*Table1345[[#This Row],[expected_lifespan]]</f>
        <v>5903.4962264150945</v>
      </c>
      <c r="N1139" t="s">
        <v>12044</v>
      </c>
    </row>
    <row r="1140" spans="1:14" x14ac:dyDescent="0.3">
      <c r="A1140" s="2" t="s">
        <v>1138</v>
      </c>
      <c r="B1140" s="2" t="s">
        <v>12040</v>
      </c>
      <c r="C1140" s="2">
        <v>57</v>
      </c>
      <c r="D1140" s="2" t="s">
        <v>12049</v>
      </c>
      <c r="E1140" s="2">
        <f>COUNTIF(Table16[customer_id],Table13[[#This Row],[customer_id]])</f>
        <v>4</v>
      </c>
      <c r="F1140" s="13">
        <f>SUMIFS(Table16[Purchase_history],Table16[customer_id],Table13[[#This Row],[customer_id]])</f>
        <v>14897.419999999998</v>
      </c>
      <c r="G1140" s="20">
        <v>44322</v>
      </c>
      <c r="H1140" s="21">
        <v>44774</v>
      </c>
      <c r="I1140" s="15">
        <f>(Table134[[#This Row],[Last_Day]]-Table134[[#This Row],[First_Day]]+1)/365</f>
        <v>1.2410958904109588</v>
      </c>
      <c r="J1140" s="59">
        <f>Table134[[#This Row],[number_of_purchases]]/Table134[[#This Row],[customer_total_years]]</f>
        <v>3.222958057395144</v>
      </c>
      <c r="K1140" s="13">
        <f>Table134[[#This Row],[purchase_history]]/Table134[[#This Row],[number_of_purchases]]</f>
        <v>3724.3549999999996</v>
      </c>
      <c r="L1140" s="2">
        <f>IF(YEAR(Table134[[#This Row],[Last_Day]])=2021,5,IF(YEAR(Table134[[#This Row],[Last_Day]])=2022,7,IF(YEAR(Table134[[#This Row],[Last_Day]])=2023,10,"Không xác định")))</f>
        <v>7</v>
      </c>
      <c r="M1140" s="15">
        <f>Table134[[#This Row],[avg_number_of_purchases]]*Table1345[[#This Row],[avg_purchase_value]]*Table1345[[#This Row],[expected_lifespan]]</f>
        <v>84024.079690949235</v>
      </c>
      <c r="N1140" t="s">
        <v>12047</v>
      </c>
    </row>
    <row r="1141" spans="1:14" x14ac:dyDescent="0.3">
      <c r="A1141" s="2" t="s">
        <v>1139</v>
      </c>
      <c r="B1141" s="2" t="s">
        <v>12040</v>
      </c>
      <c r="C1141" s="2">
        <v>64</v>
      </c>
      <c r="D1141" s="2" t="s">
        <v>12043</v>
      </c>
      <c r="E1141" s="2">
        <f>COUNTIF(Table16[customer_id],Table13[[#This Row],[customer_id]])</f>
        <v>6</v>
      </c>
      <c r="F1141" s="13">
        <f>SUMIFS(Table16[Purchase_history],Table16[customer_id],Table13[[#This Row],[customer_id]])</f>
        <v>9293.6299999999992</v>
      </c>
      <c r="G1141" s="20">
        <v>44393</v>
      </c>
      <c r="H1141" s="21">
        <v>44865</v>
      </c>
      <c r="I1141" s="15">
        <f>(Table134[[#This Row],[Last_Day]]-Table134[[#This Row],[First_Day]]+1)/365</f>
        <v>1.295890410958904</v>
      </c>
      <c r="J1141" s="59">
        <f>Table134[[#This Row],[number_of_purchases]]/Table134[[#This Row],[customer_total_years]]</f>
        <v>4.6300211416490491</v>
      </c>
      <c r="K1141" s="13">
        <f>Table134[[#This Row],[purchase_history]]/Table134[[#This Row],[number_of_purchases]]</f>
        <v>1548.9383333333333</v>
      </c>
      <c r="L1141" s="2">
        <f>IF(YEAR(Table134[[#This Row],[Last_Day]])=2021,5,IF(YEAR(Table134[[#This Row],[Last_Day]])=2022,7,IF(YEAR(Table134[[#This Row],[Last_Day]])=2023,10,"Không xác định")))</f>
        <v>7</v>
      </c>
      <c r="M1141" s="15">
        <f>Table134[[#This Row],[avg_number_of_purchases]]*Table1345[[#This Row],[avg_purchase_value]]*Table1345[[#This Row],[expected_lifespan]]</f>
        <v>50201.320613107826</v>
      </c>
      <c r="N1141" t="s">
        <v>12047</v>
      </c>
    </row>
    <row r="1142" spans="1:14" x14ac:dyDescent="0.3">
      <c r="A1142" s="2" t="s">
        <v>1140</v>
      </c>
      <c r="B1142" s="2" t="s">
        <v>12040</v>
      </c>
      <c r="C1142" s="2">
        <v>23</v>
      </c>
      <c r="D1142" s="2" t="s">
        <v>12041</v>
      </c>
      <c r="E1142" s="2">
        <f>COUNTIF(Table16[customer_id],Table13[[#This Row],[customer_id]])</f>
        <v>3</v>
      </c>
      <c r="F1142" s="13">
        <f>SUMIFS(Table16[Purchase_history],Table16[customer_id],Table13[[#This Row],[customer_id]])</f>
        <v>4951.04</v>
      </c>
      <c r="G1142" s="20">
        <v>44505</v>
      </c>
      <c r="H1142" s="21">
        <v>44948</v>
      </c>
      <c r="I1142" s="15">
        <f>(Table134[[#This Row],[Last_Day]]-Table134[[#This Row],[First_Day]]+1)/365</f>
        <v>1.2164383561643837</v>
      </c>
      <c r="J1142" s="59">
        <f>Table134[[#This Row],[number_of_purchases]]/Table134[[#This Row],[customer_total_years]]</f>
        <v>2.4662162162162158</v>
      </c>
      <c r="K1142" s="13">
        <f>Table134[[#This Row],[purchase_history]]/Table134[[#This Row],[number_of_purchases]]</f>
        <v>1650.3466666666666</v>
      </c>
      <c r="L1142" s="2">
        <f>IF(YEAR(Table134[[#This Row],[Last_Day]])=2021,5,IF(YEAR(Table134[[#This Row],[Last_Day]])=2022,7,IF(YEAR(Table134[[#This Row],[Last_Day]])=2023,10,"Không xác định")))</f>
        <v>10</v>
      </c>
      <c r="M1142" s="15">
        <f>Table134[[#This Row],[avg_number_of_purchases]]*Table1345[[#This Row],[avg_purchase_value]]*Table1345[[#This Row],[expected_lifespan]]</f>
        <v>40701.117117117108</v>
      </c>
      <c r="N1142" t="s">
        <v>12048</v>
      </c>
    </row>
    <row r="1143" spans="1:14" x14ac:dyDescent="0.3">
      <c r="A1143" s="2" t="s">
        <v>1141</v>
      </c>
      <c r="B1143" s="2" t="s">
        <v>12045</v>
      </c>
      <c r="C1143" s="2">
        <v>55</v>
      </c>
      <c r="D1143" s="2" t="s">
        <v>12041</v>
      </c>
      <c r="E1143" s="2">
        <f>COUNTIF(Table16[customer_id],Table13[[#This Row],[customer_id]])</f>
        <v>3</v>
      </c>
      <c r="F1143" s="13">
        <f>SUMIFS(Table16[Purchase_history],Table16[customer_id],Table13[[#This Row],[customer_id]])</f>
        <v>9897.2799999999988</v>
      </c>
      <c r="G1143" s="20">
        <v>44268</v>
      </c>
      <c r="H1143" s="21">
        <v>44418</v>
      </c>
      <c r="I1143" s="15">
        <f>(Table134[[#This Row],[Last_Day]]-Table134[[#This Row],[First_Day]]+1)/365</f>
        <v>0.41369863013698632</v>
      </c>
      <c r="J1143" s="59">
        <f>Table134[[#This Row],[number_of_purchases]]/Table134[[#This Row],[customer_total_years]]</f>
        <v>7.2516556291390728</v>
      </c>
      <c r="K1143" s="13">
        <f>Table134[[#This Row],[purchase_history]]/Table134[[#This Row],[number_of_purchases]]</f>
        <v>3299.0933333333328</v>
      </c>
      <c r="L1143" s="2">
        <f>IF(YEAR(Table134[[#This Row],[Last_Day]])=2021,5,IF(YEAR(Table134[[#This Row],[Last_Day]])=2022,7,IF(YEAR(Table134[[#This Row],[Last_Day]])=2023,10,"Không xác định")))</f>
        <v>5</v>
      </c>
      <c r="M1143" s="15">
        <f>Table134[[#This Row],[avg_number_of_purchases]]*Table1345[[#This Row],[avg_purchase_value]]*Table1345[[#This Row],[expected_lifespan]]</f>
        <v>119619.44370860925</v>
      </c>
      <c r="N1143" t="s">
        <v>12047</v>
      </c>
    </row>
    <row r="1144" spans="1:14" x14ac:dyDescent="0.3">
      <c r="A1144" s="2" t="s">
        <v>1142</v>
      </c>
      <c r="B1144" s="2" t="s">
        <v>12040</v>
      </c>
      <c r="C1144" s="2">
        <v>64</v>
      </c>
      <c r="D1144" s="2" t="s">
        <v>12043</v>
      </c>
      <c r="E1144" s="2">
        <f>COUNTIF(Table16[customer_id],Table13[[#This Row],[customer_id]])</f>
        <v>2</v>
      </c>
      <c r="F1144" s="13">
        <f>SUMIFS(Table16[Purchase_history],Table16[customer_id],Table13[[#This Row],[customer_id]])</f>
        <v>8152.5599999999995</v>
      </c>
      <c r="G1144" s="20">
        <v>44444</v>
      </c>
      <c r="H1144" s="21">
        <v>44772</v>
      </c>
      <c r="I1144" s="15">
        <f>(Table134[[#This Row],[Last_Day]]-Table134[[#This Row],[First_Day]]+1)/365</f>
        <v>0.90136986301369859</v>
      </c>
      <c r="J1144" s="59">
        <f>Table134[[#This Row],[number_of_purchases]]/Table134[[#This Row],[customer_total_years]]</f>
        <v>2.2188449848024319</v>
      </c>
      <c r="K1144" s="13">
        <f>Table134[[#This Row],[purchase_history]]/Table134[[#This Row],[number_of_purchases]]</f>
        <v>4076.2799999999997</v>
      </c>
      <c r="L1144" s="2">
        <f>IF(YEAR(Table134[[#This Row],[Last_Day]])=2021,5,IF(YEAR(Table134[[#This Row],[Last_Day]])=2022,7,IF(YEAR(Table134[[#This Row],[Last_Day]])=2023,10,"Không xác định")))</f>
        <v>7</v>
      </c>
      <c r="M1144" s="15">
        <f>Table134[[#This Row],[avg_number_of_purchases]]*Table1345[[#This Row],[avg_purchase_value]]*Table1345[[#This Row],[expected_lifespan]]</f>
        <v>63312.434042553199</v>
      </c>
      <c r="N1144" t="s">
        <v>12042</v>
      </c>
    </row>
    <row r="1145" spans="1:14" x14ac:dyDescent="0.3">
      <c r="A1145" s="2" t="s">
        <v>1143</v>
      </c>
      <c r="B1145" s="2" t="s">
        <v>12045</v>
      </c>
      <c r="C1145" s="2">
        <v>64</v>
      </c>
      <c r="D1145" s="2" t="s">
        <v>12041</v>
      </c>
      <c r="E1145" s="2">
        <f>COUNTIF(Table16[customer_id],Table13[[#This Row],[customer_id]])</f>
        <v>3</v>
      </c>
      <c r="F1145" s="13">
        <f>SUMIFS(Table16[Purchase_history],Table16[customer_id],Table13[[#This Row],[customer_id]])</f>
        <v>3363.01</v>
      </c>
      <c r="G1145" s="20">
        <v>44326</v>
      </c>
      <c r="H1145" s="21">
        <v>44529</v>
      </c>
      <c r="I1145" s="15">
        <f>(Table134[[#This Row],[Last_Day]]-Table134[[#This Row],[First_Day]]+1)/365</f>
        <v>0.55890410958904113</v>
      </c>
      <c r="J1145" s="59">
        <f>Table134[[#This Row],[number_of_purchases]]/Table134[[#This Row],[customer_total_years]]</f>
        <v>5.367647058823529</v>
      </c>
      <c r="K1145" s="13">
        <f>Table134[[#This Row],[purchase_history]]/Table134[[#This Row],[number_of_purchases]]</f>
        <v>1121.0033333333333</v>
      </c>
      <c r="L1145" s="2">
        <f>IF(YEAR(Table134[[#This Row],[Last_Day]])=2021,5,IF(YEAR(Table134[[#This Row],[Last_Day]])=2022,7,IF(YEAR(Table134[[#This Row],[Last_Day]])=2023,10,"Không xác định")))</f>
        <v>5</v>
      </c>
      <c r="M1145" s="15">
        <f>Table134[[#This Row],[avg_number_of_purchases]]*Table1345[[#This Row],[avg_purchase_value]]*Table1345[[#This Row],[expected_lifespan]]</f>
        <v>30085.751225490196</v>
      </c>
      <c r="N1145" t="s">
        <v>12048</v>
      </c>
    </row>
    <row r="1146" spans="1:14" x14ac:dyDescent="0.3">
      <c r="A1146" s="2" t="s">
        <v>1144</v>
      </c>
      <c r="B1146" s="2" t="s">
        <v>12040</v>
      </c>
      <c r="C1146" s="2">
        <v>66</v>
      </c>
      <c r="D1146" s="2" t="s">
        <v>12049</v>
      </c>
      <c r="E1146" s="2">
        <f>COUNTIF(Table16[customer_id],Table13[[#This Row],[customer_id]])</f>
        <v>3</v>
      </c>
      <c r="F1146" s="13">
        <f>SUMIFS(Table16[Purchase_history],Table16[customer_id],Table13[[#This Row],[customer_id]])</f>
        <v>13203.72</v>
      </c>
      <c r="G1146" s="20">
        <v>44593</v>
      </c>
      <c r="H1146" s="21">
        <v>44773</v>
      </c>
      <c r="I1146" s="15">
        <f>(Table134[[#This Row],[Last_Day]]-Table134[[#This Row],[First_Day]]+1)/365</f>
        <v>0.49589041095890413</v>
      </c>
      <c r="J1146" s="59">
        <f>Table134[[#This Row],[number_of_purchases]]/Table134[[#This Row],[customer_total_years]]</f>
        <v>6.0497237569060776</v>
      </c>
      <c r="K1146" s="13">
        <f>Table134[[#This Row],[purchase_history]]/Table134[[#This Row],[number_of_purchases]]</f>
        <v>4401.24</v>
      </c>
      <c r="L1146" s="2">
        <f>IF(YEAR(Table134[[#This Row],[Last_Day]])=2021,5,IF(YEAR(Table134[[#This Row],[Last_Day]])=2022,7,IF(YEAR(Table134[[#This Row],[Last_Day]])=2023,10,"Không xác định")))</f>
        <v>7</v>
      </c>
      <c r="M1146" s="15">
        <f>Table134[[#This Row],[avg_number_of_purchases]]*Table1345[[#This Row],[avg_purchase_value]]*Table1345[[#This Row],[expected_lifespan]]</f>
        <v>186384.00331491712</v>
      </c>
      <c r="N1146" t="s">
        <v>12048</v>
      </c>
    </row>
    <row r="1147" spans="1:14" x14ac:dyDescent="0.3">
      <c r="A1147" s="2" t="s">
        <v>1145</v>
      </c>
      <c r="B1147" s="2" t="s">
        <v>12040</v>
      </c>
      <c r="C1147" s="2">
        <v>41</v>
      </c>
      <c r="D1147" s="2" t="s">
        <v>12043</v>
      </c>
      <c r="E1147" s="2">
        <f>COUNTIF(Table16[customer_id],Table13[[#This Row],[customer_id]])</f>
        <v>4</v>
      </c>
      <c r="F1147" s="13">
        <f>SUMIFS(Table16[Purchase_history],Table16[customer_id],Table13[[#This Row],[customer_id]])</f>
        <v>19168.82</v>
      </c>
      <c r="G1147" s="20">
        <v>44224</v>
      </c>
      <c r="H1147" s="21">
        <v>44867</v>
      </c>
      <c r="I1147" s="15">
        <f>(Table134[[#This Row],[Last_Day]]-Table134[[#This Row],[First_Day]]+1)/365</f>
        <v>1.7643835616438357</v>
      </c>
      <c r="J1147" s="59">
        <f>Table134[[#This Row],[number_of_purchases]]/Table134[[#This Row],[customer_total_years]]</f>
        <v>2.2670807453416146</v>
      </c>
      <c r="K1147" s="13">
        <f>Table134[[#This Row],[purchase_history]]/Table134[[#This Row],[number_of_purchases]]</f>
        <v>4792.2049999999999</v>
      </c>
      <c r="L1147" s="2">
        <f>IF(YEAR(Table134[[#This Row],[Last_Day]])=2021,5,IF(YEAR(Table134[[#This Row],[Last_Day]])=2022,7,IF(YEAR(Table134[[#This Row],[Last_Day]])=2023,10,"Không xác định")))</f>
        <v>7</v>
      </c>
      <c r="M1147" s="15">
        <f>Table134[[#This Row],[avg_number_of_purchases]]*Table1345[[#This Row],[avg_purchase_value]]*Table1345[[#This Row],[expected_lifespan]]</f>
        <v>76050.209782608683</v>
      </c>
      <c r="N1147" t="s">
        <v>12047</v>
      </c>
    </row>
    <row r="1148" spans="1:14" x14ac:dyDescent="0.3">
      <c r="A1148" s="2" t="s">
        <v>1146</v>
      </c>
      <c r="B1148" s="2" t="s">
        <v>12045</v>
      </c>
      <c r="C1148" s="2">
        <v>43</v>
      </c>
      <c r="D1148" s="2" t="s">
        <v>12041</v>
      </c>
      <c r="E1148" s="2">
        <f>COUNTIF(Table16[customer_id],Table13[[#This Row],[customer_id]])</f>
        <v>6</v>
      </c>
      <c r="F1148" s="13">
        <f>SUMIFS(Table16[Purchase_history],Table16[customer_id],Table13[[#This Row],[customer_id]])</f>
        <v>29219.58</v>
      </c>
      <c r="G1148" s="20">
        <v>44265</v>
      </c>
      <c r="H1148" s="21">
        <v>44974</v>
      </c>
      <c r="I1148" s="15">
        <f>(Table134[[#This Row],[Last_Day]]-Table134[[#This Row],[First_Day]]+1)/365</f>
        <v>1.9452054794520548</v>
      </c>
      <c r="J1148" s="59">
        <f>Table134[[#This Row],[number_of_purchases]]/Table134[[#This Row],[customer_total_years]]</f>
        <v>3.084507042253521</v>
      </c>
      <c r="K1148" s="13">
        <f>Table134[[#This Row],[purchase_history]]/Table134[[#This Row],[number_of_purchases]]</f>
        <v>4869.93</v>
      </c>
      <c r="L1148" s="2">
        <f>IF(YEAR(Table134[[#This Row],[Last_Day]])=2021,5,IF(YEAR(Table134[[#This Row],[Last_Day]])=2022,7,IF(YEAR(Table134[[#This Row],[Last_Day]])=2023,10,"Không xác định")))</f>
        <v>10</v>
      </c>
      <c r="M1148" s="15">
        <f>Table134[[#This Row],[avg_number_of_purchases]]*Table1345[[#This Row],[avg_purchase_value]]*Table1345[[#This Row],[expected_lifespan]]</f>
        <v>150213.33380281689</v>
      </c>
      <c r="N1148" t="s">
        <v>12042</v>
      </c>
    </row>
    <row r="1149" spans="1:14" x14ac:dyDescent="0.3">
      <c r="A1149" s="2" t="s">
        <v>1147</v>
      </c>
      <c r="B1149" s="2" t="s">
        <v>12045</v>
      </c>
      <c r="C1149" s="2">
        <v>40</v>
      </c>
      <c r="D1149" s="2" t="s">
        <v>12043</v>
      </c>
      <c r="E1149" s="2">
        <f>COUNTIF(Table16[customer_id],Table13[[#This Row],[customer_id]])</f>
        <v>3</v>
      </c>
      <c r="F1149" s="13">
        <f>SUMIFS(Table16[Purchase_history],Table16[customer_id],Table13[[#This Row],[customer_id]])</f>
        <v>3600.9700000000003</v>
      </c>
      <c r="G1149" s="20">
        <v>44722</v>
      </c>
      <c r="H1149" s="21">
        <v>44941</v>
      </c>
      <c r="I1149" s="15">
        <f>(Table134[[#This Row],[Last_Day]]-Table134[[#This Row],[First_Day]]+1)/365</f>
        <v>0.60273972602739723</v>
      </c>
      <c r="J1149" s="59">
        <f>Table134[[#This Row],[number_of_purchases]]/Table134[[#This Row],[customer_total_years]]</f>
        <v>4.9772727272727275</v>
      </c>
      <c r="K1149" s="13">
        <f>Table134[[#This Row],[purchase_history]]/Table134[[#This Row],[number_of_purchases]]</f>
        <v>1200.3233333333335</v>
      </c>
      <c r="L1149" s="2">
        <f>IF(YEAR(Table134[[#This Row],[Last_Day]])=2021,5,IF(YEAR(Table134[[#This Row],[Last_Day]])=2022,7,IF(YEAR(Table134[[#This Row],[Last_Day]])=2023,10,"Không xác định")))</f>
        <v>10</v>
      </c>
      <c r="M1149" s="15">
        <f>Table134[[#This Row],[avg_number_of_purchases]]*Table1345[[#This Row],[avg_purchase_value]]*Table1345[[#This Row],[expected_lifespan]]</f>
        <v>59743.36590909092</v>
      </c>
      <c r="N1149" t="s">
        <v>12044</v>
      </c>
    </row>
    <row r="1150" spans="1:14" x14ac:dyDescent="0.3">
      <c r="A1150" s="2" t="s">
        <v>1148</v>
      </c>
      <c r="B1150" s="2" t="s">
        <v>12045</v>
      </c>
      <c r="C1150" s="2">
        <v>56</v>
      </c>
      <c r="D1150" s="2" t="s">
        <v>12043</v>
      </c>
      <c r="E1150" s="2">
        <f>COUNTIF(Table16[customer_id],Table13[[#This Row],[customer_id]])</f>
        <v>3</v>
      </c>
      <c r="F1150" s="13">
        <f>SUMIFS(Table16[Purchase_history],Table16[customer_id],Table13[[#This Row],[customer_id]])</f>
        <v>10202.720000000001</v>
      </c>
      <c r="G1150" s="20">
        <v>44486</v>
      </c>
      <c r="H1150" s="21">
        <v>44878</v>
      </c>
      <c r="I1150" s="15">
        <f>(Table134[[#This Row],[Last_Day]]-Table134[[#This Row],[First_Day]]+1)/365</f>
        <v>1.0767123287671232</v>
      </c>
      <c r="J1150" s="59">
        <f>Table134[[#This Row],[number_of_purchases]]/Table134[[#This Row],[customer_total_years]]</f>
        <v>2.7862595419847329</v>
      </c>
      <c r="K1150" s="13">
        <f>Table134[[#This Row],[purchase_history]]/Table134[[#This Row],[number_of_purchases]]</f>
        <v>3400.9066666666672</v>
      </c>
      <c r="L1150" s="2">
        <f>IF(YEAR(Table134[[#This Row],[Last_Day]])=2021,5,IF(YEAR(Table134[[#This Row],[Last_Day]])=2022,7,IF(YEAR(Table134[[#This Row],[Last_Day]])=2023,10,"Không xác định")))</f>
        <v>7</v>
      </c>
      <c r="M1150" s="15">
        <f>Table134[[#This Row],[avg_number_of_purchases]]*Table1345[[#This Row],[avg_purchase_value]]*Table1345[[#This Row],[expected_lifespan]]</f>
        <v>66330.660559796452</v>
      </c>
      <c r="N1150" t="s">
        <v>12047</v>
      </c>
    </row>
    <row r="1151" spans="1:14" x14ac:dyDescent="0.3">
      <c r="A1151" s="2" t="s">
        <v>1149</v>
      </c>
      <c r="B1151" s="2" t="s">
        <v>12045</v>
      </c>
      <c r="C1151" s="2">
        <v>59</v>
      </c>
      <c r="D1151" s="2" t="s">
        <v>12049</v>
      </c>
      <c r="E1151" s="2">
        <f>COUNTIF(Table16[customer_id],Table13[[#This Row],[customer_id]])</f>
        <v>7</v>
      </c>
      <c r="F1151" s="13">
        <f>SUMIFS(Table16[Purchase_history],Table16[customer_id],Table13[[#This Row],[customer_id]])</f>
        <v>51098.09</v>
      </c>
      <c r="G1151" s="20">
        <v>44235</v>
      </c>
      <c r="H1151" s="21">
        <v>44917</v>
      </c>
      <c r="I1151" s="15">
        <f>(Table134[[#This Row],[Last_Day]]-Table134[[#This Row],[First_Day]]+1)/365</f>
        <v>1.8712328767123287</v>
      </c>
      <c r="J1151" s="59">
        <f>Table134[[#This Row],[number_of_purchases]]/Table134[[#This Row],[customer_total_years]]</f>
        <v>3.7408491947291362</v>
      </c>
      <c r="K1151" s="13">
        <f>Table134[[#This Row],[purchase_history]]/Table134[[#This Row],[number_of_purchases]]</f>
        <v>7299.7271428571421</v>
      </c>
      <c r="L1151" s="2">
        <f>IF(YEAR(Table134[[#This Row],[Last_Day]])=2021,5,IF(YEAR(Table134[[#This Row],[Last_Day]])=2022,7,IF(YEAR(Table134[[#This Row],[Last_Day]])=2023,10,"Không xác định")))</f>
        <v>7</v>
      </c>
      <c r="M1151" s="15">
        <f>Table134[[#This Row],[avg_number_of_purchases]]*Table1345[[#This Row],[avg_purchase_value]]*Table1345[[#This Row],[expected_lifespan]]</f>
        <v>191150.2488286969</v>
      </c>
      <c r="N1151" t="s">
        <v>12048</v>
      </c>
    </row>
    <row r="1152" spans="1:14" x14ac:dyDescent="0.3">
      <c r="A1152" s="2" t="s">
        <v>1150</v>
      </c>
      <c r="B1152" s="2" t="s">
        <v>12040</v>
      </c>
      <c r="C1152" s="2">
        <v>67</v>
      </c>
      <c r="D1152" s="2" t="s">
        <v>12043</v>
      </c>
      <c r="E1152" s="2">
        <f>COUNTIF(Table16[customer_id],Table13[[#This Row],[customer_id]])</f>
        <v>3</v>
      </c>
      <c r="F1152" s="13">
        <f>SUMIFS(Table16[Purchase_history],Table16[customer_id],Table13[[#This Row],[customer_id]])</f>
        <v>556.37</v>
      </c>
      <c r="G1152" s="20">
        <v>44407</v>
      </c>
      <c r="H1152" s="21">
        <v>44674</v>
      </c>
      <c r="I1152" s="15">
        <f>(Table134[[#This Row],[Last_Day]]-Table134[[#This Row],[First_Day]]+1)/365</f>
        <v>0.73424657534246573</v>
      </c>
      <c r="J1152" s="59">
        <f>Table134[[#This Row],[number_of_purchases]]/Table134[[#This Row],[customer_total_years]]</f>
        <v>4.0858208955223878</v>
      </c>
      <c r="K1152" s="13">
        <f>Table134[[#This Row],[purchase_history]]/Table134[[#This Row],[number_of_purchases]]</f>
        <v>185.45666666666668</v>
      </c>
      <c r="L1152" s="2">
        <f>IF(YEAR(Table134[[#This Row],[Last_Day]])=2021,5,IF(YEAR(Table134[[#This Row],[Last_Day]])=2022,7,IF(YEAR(Table134[[#This Row],[Last_Day]])=2023,10,"Không xác định")))</f>
        <v>7</v>
      </c>
      <c r="M1152" s="15">
        <f>Table134[[#This Row],[avg_number_of_purchases]]*Table1345[[#This Row],[avg_purchase_value]]*Table1345[[#This Row],[expected_lifespan]]</f>
        <v>5304.1990671641797</v>
      </c>
      <c r="N1152" t="s">
        <v>12044</v>
      </c>
    </row>
    <row r="1153" spans="1:14" x14ac:dyDescent="0.3">
      <c r="A1153" s="2" t="s">
        <v>1151</v>
      </c>
      <c r="B1153" s="2" t="s">
        <v>12045</v>
      </c>
      <c r="C1153" s="2">
        <v>38</v>
      </c>
      <c r="D1153" s="2" t="s">
        <v>12049</v>
      </c>
      <c r="E1153" s="2">
        <f>COUNTIF(Table16[customer_id],Table13[[#This Row],[customer_id]])</f>
        <v>4</v>
      </c>
      <c r="F1153" s="13">
        <f>SUMIFS(Table16[Purchase_history],Table16[customer_id],Table13[[#This Row],[customer_id]])</f>
        <v>3948.61</v>
      </c>
      <c r="G1153" s="20">
        <v>44371</v>
      </c>
      <c r="H1153" s="21">
        <v>44942</v>
      </c>
      <c r="I1153" s="15">
        <f>(Table134[[#This Row],[Last_Day]]-Table134[[#This Row],[First_Day]]+1)/365</f>
        <v>1.5671232876712329</v>
      </c>
      <c r="J1153" s="59">
        <f>Table134[[#This Row],[number_of_purchases]]/Table134[[#This Row],[customer_total_years]]</f>
        <v>2.5524475524475525</v>
      </c>
      <c r="K1153" s="13">
        <f>Table134[[#This Row],[purchase_history]]/Table134[[#This Row],[number_of_purchases]]</f>
        <v>987.15250000000003</v>
      </c>
      <c r="L1153" s="2">
        <f>IF(YEAR(Table134[[#This Row],[Last_Day]])=2021,5,IF(YEAR(Table134[[#This Row],[Last_Day]])=2022,7,IF(YEAR(Table134[[#This Row],[Last_Day]])=2023,10,"Không xác định")))</f>
        <v>10</v>
      </c>
      <c r="M1153" s="15">
        <f>Table134[[#This Row],[avg_number_of_purchases]]*Table1345[[#This Row],[avg_purchase_value]]*Table1345[[#This Row],[expected_lifespan]]</f>
        <v>25196.549825174825</v>
      </c>
      <c r="N1153" t="s">
        <v>12042</v>
      </c>
    </row>
    <row r="1154" spans="1:14" x14ac:dyDescent="0.3">
      <c r="A1154" s="2" t="s">
        <v>1152</v>
      </c>
      <c r="B1154" s="2" t="s">
        <v>12045</v>
      </c>
      <c r="C1154" s="2">
        <v>60</v>
      </c>
      <c r="D1154" s="2" t="s">
        <v>12041</v>
      </c>
      <c r="E1154" s="2">
        <f>COUNTIF(Table16[customer_id],Table13[[#This Row],[customer_id]])</f>
        <v>7</v>
      </c>
      <c r="F1154" s="13">
        <f>SUMIFS(Table16[Purchase_history],Table16[customer_id],Table13[[#This Row],[customer_id]])</f>
        <v>23463.23</v>
      </c>
      <c r="G1154" s="20">
        <v>44505</v>
      </c>
      <c r="H1154" s="21">
        <v>44956</v>
      </c>
      <c r="I1154" s="15">
        <f>(Table134[[#This Row],[Last_Day]]-Table134[[#This Row],[First_Day]]+1)/365</f>
        <v>1.2383561643835617</v>
      </c>
      <c r="J1154" s="59">
        <f>Table134[[#This Row],[number_of_purchases]]/Table134[[#This Row],[customer_total_years]]</f>
        <v>5.6526548672566372</v>
      </c>
      <c r="K1154" s="13">
        <f>Table134[[#This Row],[purchase_history]]/Table134[[#This Row],[number_of_purchases]]</f>
        <v>3351.89</v>
      </c>
      <c r="L1154" s="2">
        <f>IF(YEAR(Table134[[#This Row],[Last_Day]])=2021,5,IF(YEAR(Table134[[#This Row],[Last_Day]])=2022,7,IF(YEAR(Table134[[#This Row],[Last_Day]])=2023,10,"Không xác định")))</f>
        <v>10</v>
      </c>
      <c r="M1154" s="15">
        <f>Table134[[#This Row],[avg_number_of_purchases]]*Table1345[[#This Row],[avg_purchase_value]]*Table1345[[#This Row],[expected_lifespan]]</f>
        <v>189470.7732300885</v>
      </c>
      <c r="N1154" t="s">
        <v>12046</v>
      </c>
    </row>
    <row r="1155" spans="1:14" x14ac:dyDescent="0.3">
      <c r="A1155" s="2" t="s">
        <v>1153</v>
      </c>
      <c r="B1155" s="2" t="s">
        <v>12040</v>
      </c>
      <c r="C1155" s="2">
        <v>29</v>
      </c>
      <c r="D1155" s="2" t="s">
        <v>12049</v>
      </c>
      <c r="E1155" s="2">
        <f>COUNTIF(Table16[customer_id],Table13[[#This Row],[customer_id]])</f>
        <v>7</v>
      </c>
      <c r="F1155" s="13">
        <f>SUMIFS(Table16[Purchase_history],Table16[customer_id],Table13[[#This Row],[customer_id]])</f>
        <v>13540.35</v>
      </c>
      <c r="G1155" s="20">
        <v>44228</v>
      </c>
      <c r="H1155" s="21">
        <v>44941</v>
      </c>
      <c r="I1155" s="15">
        <f>(Table134[[#This Row],[Last_Day]]-Table134[[#This Row],[First_Day]]+1)/365</f>
        <v>1.9561643835616438</v>
      </c>
      <c r="J1155" s="59">
        <f>Table134[[#This Row],[number_of_purchases]]/Table134[[#This Row],[customer_total_years]]</f>
        <v>3.5784313725490198</v>
      </c>
      <c r="K1155" s="13">
        <f>Table134[[#This Row],[purchase_history]]/Table134[[#This Row],[number_of_purchases]]</f>
        <v>1934.3357142857144</v>
      </c>
      <c r="L1155" s="2">
        <f>IF(YEAR(Table134[[#This Row],[Last_Day]])=2021,5,IF(YEAR(Table134[[#This Row],[Last_Day]])=2022,7,IF(YEAR(Table134[[#This Row],[Last_Day]])=2023,10,"Không xác định")))</f>
        <v>10</v>
      </c>
      <c r="M1155" s="15">
        <f>Table134[[#This Row],[avg_number_of_purchases]]*Table1345[[#This Row],[avg_purchase_value]]*Table1345[[#This Row],[expected_lifespan]]</f>
        <v>69218.876050420178</v>
      </c>
      <c r="N1155" t="s">
        <v>12047</v>
      </c>
    </row>
    <row r="1156" spans="1:14" x14ac:dyDescent="0.3">
      <c r="A1156" s="2" t="s">
        <v>1154</v>
      </c>
      <c r="B1156" s="2" t="s">
        <v>12045</v>
      </c>
      <c r="C1156" s="2">
        <v>53</v>
      </c>
      <c r="D1156" s="2" t="s">
        <v>12043</v>
      </c>
      <c r="E1156" s="2">
        <f>COUNTIF(Table16[customer_id],Table13[[#This Row],[customer_id]])</f>
        <v>7</v>
      </c>
      <c r="F1156" s="13">
        <f>SUMIFS(Table16[Purchase_history],Table16[customer_id],Table13[[#This Row],[customer_id]])</f>
        <v>2033.52</v>
      </c>
      <c r="G1156" s="20">
        <v>44220</v>
      </c>
      <c r="H1156" s="21">
        <v>44588</v>
      </c>
      <c r="I1156" s="15">
        <f>(Table134[[#This Row],[Last_Day]]-Table134[[#This Row],[First_Day]]+1)/365</f>
        <v>1.010958904109589</v>
      </c>
      <c r="J1156" s="59">
        <f>Table134[[#This Row],[number_of_purchases]]/Table134[[#This Row],[customer_total_years]]</f>
        <v>6.924119241192412</v>
      </c>
      <c r="K1156" s="13">
        <f>Table134[[#This Row],[purchase_history]]/Table134[[#This Row],[number_of_purchases]]</f>
        <v>290.50285714285712</v>
      </c>
      <c r="L1156" s="2">
        <f>IF(YEAR(Table134[[#This Row],[Last_Day]])=2021,5,IF(YEAR(Table134[[#This Row],[Last_Day]])=2022,7,IF(YEAR(Table134[[#This Row],[Last_Day]])=2023,10,"Không xác định")))</f>
        <v>7</v>
      </c>
      <c r="M1156" s="15">
        <f>Table134[[#This Row],[avg_number_of_purchases]]*Table1345[[#This Row],[avg_purchase_value]]*Table1345[[#This Row],[expected_lifespan]]</f>
        <v>14080.334959349591</v>
      </c>
      <c r="N1156" t="s">
        <v>12048</v>
      </c>
    </row>
    <row r="1157" spans="1:14" x14ac:dyDescent="0.3">
      <c r="A1157" s="2" t="s">
        <v>1155</v>
      </c>
      <c r="B1157" s="2" t="s">
        <v>12040</v>
      </c>
      <c r="C1157" s="2">
        <v>57</v>
      </c>
      <c r="D1157" s="2" t="s">
        <v>12043</v>
      </c>
      <c r="E1157" s="2">
        <f>COUNTIF(Table16[customer_id],Table13[[#This Row],[customer_id]])</f>
        <v>8</v>
      </c>
      <c r="F1157" s="13">
        <f>SUMIFS(Table16[Purchase_history],Table16[customer_id],Table13[[#This Row],[customer_id]])</f>
        <v>10861.99</v>
      </c>
      <c r="G1157" s="20">
        <v>44263</v>
      </c>
      <c r="H1157" s="21">
        <v>44969</v>
      </c>
      <c r="I1157" s="15">
        <f>(Table134[[#This Row],[Last_Day]]-Table134[[#This Row],[First_Day]]+1)/365</f>
        <v>1.9369863013698629</v>
      </c>
      <c r="J1157" s="59">
        <f>Table134[[#This Row],[number_of_purchases]]/Table134[[#This Row],[customer_total_years]]</f>
        <v>4.1301272984441306</v>
      </c>
      <c r="K1157" s="13">
        <f>Table134[[#This Row],[purchase_history]]/Table134[[#This Row],[number_of_purchases]]</f>
        <v>1357.74875</v>
      </c>
      <c r="L1157" s="2">
        <f>IF(YEAR(Table134[[#This Row],[Last_Day]])=2021,5,IF(YEAR(Table134[[#This Row],[Last_Day]])=2022,7,IF(YEAR(Table134[[#This Row],[Last_Day]])=2023,10,"Không xác định")))</f>
        <v>10</v>
      </c>
      <c r="M1157" s="15">
        <f>Table134[[#This Row],[avg_number_of_purchases]]*Table1345[[#This Row],[avg_purchase_value]]*Table1345[[#This Row],[expected_lifespan]]</f>
        <v>56076.751768033952</v>
      </c>
      <c r="N1157" t="s">
        <v>12044</v>
      </c>
    </row>
    <row r="1158" spans="1:14" x14ac:dyDescent="0.3">
      <c r="A1158" s="2" t="s">
        <v>1156</v>
      </c>
      <c r="B1158" s="2" t="s">
        <v>12045</v>
      </c>
      <c r="C1158" s="2">
        <v>59</v>
      </c>
      <c r="D1158" s="2" t="s">
        <v>12041</v>
      </c>
      <c r="E1158" s="2">
        <f>COUNTIF(Table16[customer_id],Table13[[#This Row],[customer_id]])</f>
        <v>5</v>
      </c>
      <c r="F1158" s="13">
        <f>SUMIFS(Table16[Purchase_history],Table16[customer_id],Table13[[#This Row],[customer_id]])</f>
        <v>13455.640000000001</v>
      </c>
      <c r="G1158" s="20">
        <v>44232</v>
      </c>
      <c r="H1158" s="21">
        <v>44658</v>
      </c>
      <c r="I1158" s="15">
        <f>(Table134[[#This Row],[Last_Day]]-Table134[[#This Row],[First_Day]]+1)/365</f>
        <v>1.1698630136986301</v>
      </c>
      <c r="J1158" s="59">
        <f>Table134[[#This Row],[number_of_purchases]]/Table134[[#This Row],[customer_total_years]]</f>
        <v>4.2740046838407499</v>
      </c>
      <c r="K1158" s="13">
        <f>Table134[[#This Row],[purchase_history]]/Table134[[#This Row],[number_of_purchases]]</f>
        <v>2691.1280000000002</v>
      </c>
      <c r="L1158" s="2">
        <f>IF(YEAR(Table134[[#This Row],[Last_Day]])=2021,5,IF(YEAR(Table134[[#This Row],[Last_Day]])=2022,7,IF(YEAR(Table134[[#This Row],[Last_Day]])=2023,10,"Không xác định")))</f>
        <v>7</v>
      </c>
      <c r="M1158" s="15">
        <f>Table134[[#This Row],[avg_number_of_purchases]]*Table1345[[#This Row],[avg_purchase_value]]*Table1345[[#This Row],[expected_lifespan]]</f>
        <v>80513.255737704938</v>
      </c>
      <c r="N1158" t="s">
        <v>12046</v>
      </c>
    </row>
    <row r="1159" spans="1:14" x14ac:dyDescent="0.3">
      <c r="A1159" s="2" t="s">
        <v>1157</v>
      </c>
      <c r="B1159" s="2" t="s">
        <v>12040</v>
      </c>
      <c r="C1159" s="2">
        <v>36</v>
      </c>
      <c r="D1159" s="2" t="s">
        <v>12041</v>
      </c>
      <c r="E1159" s="2">
        <f>COUNTIF(Table16[customer_id],Table13[[#This Row],[customer_id]])</f>
        <v>7</v>
      </c>
      <c r="F1159" s="13">
        <f>SUMIFS(Table16[Purchase_history],Table16[customer_id],Table13[[#This Row],[customer_id]])</f>
        <v>1759.9500000000003</v>
      </c>
      <c r="G1159" s="20">
        <v>44260</v>
      </c>
      <c r="H1159" s="21">
        <v>44959</v>
      </c>
      <c r="I1159" s="15">
        <f>(Table134[[#This Row],[Last_Day]]-Table134[[#This Row],[First_Day]]+1)/365</f>
        <v>1.9178082191780821</v>
      </c>
      <c r="J1159" s="59">
        <f>Table134[[#This Row],[number_of_purchases]]/Table134[[#This Row],[customer_total_years]]</f>
        <v>3.6500000000000004</v>
      </c>
      <c r="K1159" s="13">
        <f>Table134[[#This Row],[purchase_history]]/Table134[[#This Row],[number_of_purchases]]</f>
        <v>251.42142857142861</v>
      </c>
      <c r="L1159" s="2">
        <f>IF(YEAR(Table134[[#This Row],[Last_Day]])=2021,5,IF(YEAR(Table134[[#This Row],[Last_Day]])=2022,7,IF(YEAR(Table134[[#This Row],[Last_Day]])=2023,10,"Không xác định")))</f>
        <v>10</v>
      </c>
      <c r="M1159" s="15">
        <f>Table134[[#This Row],[avg_number_of_purchases]]*Table1345[[#This Row],[avg_purchase_value]]*Table1345[[#This Row],[expected_lifespan]]</f>
        <v>9176.8821428571446</v>
      </c>
      <c r="N1159" t="s">
        <v>12044</v>
      </c>
    </row>
    <row r="1160" spans="1:14" x14ac:dyDescent="0.3">
      <c r="A1160" s="2" t="s">
        <v>1158</v>
      </c>
      <c r="B1160" s="2" t="s">
        <v>12040</v>
      </c>
      <c r="C1160" s="2">
        <v>65</v>
      </c>
      <c r="D1160" s="2" t="s">
        <v>12049</v>
      </c>
      <c r="E1160" s="2">
        <f>COUNTIF(Table16[customer_id],Table13[[#This Row],[customer_id]])</f>
        <v>4</v>
      </c>
      <c r="F1160" s="13">
        <f>SUMIFS(Table16[Purchase_history],Table16[customer_id],Table13[[#This Row],[customer_id]])</f>
        <v>3542.3700000000003</v>
      </c>
      <c r="G1160" s="20">
        <v>44249</v>
      </c>
      <c r="H1160" s="21">
        <v>44803</v>
      </c>
      <c r="I1160" s="15">
        <f>(Table134[[#This Row],[Last_Day]]-Table134[[#This Row],[First_Day]]+1)/365</f>
        <v>1.5205479452054795</v>
      </c>
      <c r="J1160" s="59">
        <f>Table134[[#This Row],[number_of_purchases]]/Table134[[#This Row],[customer_total_years]]</f>
        <v>2.6306306306306304</v>
      </c>
      <c r="K1160" s="13">
        <f>Table134[[#This Row],[purchase_history]]/Table134[[#This Row],[number_of_purchases]]</f>
        <v>885.59250000000009</v>
      </c>
      <c r="L1160" s="2">
        <f>IF(YEAR(Table134[[#This Row],[Last_Day]])=2021,5,IF(YEAR(Table134[[#This Row],[Last_Day]])=2022,7,IF(YEAR(Table134[[#This Row],[Last_Day]])=2023,10,"Không xác định")))</f>
        <v>7</v>
      </c>
      <c r="M1160" s="15">
        <f>Table134[[#This Row],[avg_number_of_purchases]]*Table1345[[#This Row],[avg_purchase_value]]*Table1345[[#This Row],[expected_lifespan]]</f>
        <v>16307.667297297299</v>
      </c>
      <c r="N1160" t="s">
        <v>12044</v>
      </c>
    </row>
    <row r="1161" spans="1:14" x14ac:dyDescent="0.3">
      <c r="A1161" s="2" t="s">
        <v>1159</v>
      </c>
      <c r="B1161" s="2" t="s">
        <v>12040</v>
      </c>
      <c r="C1161" s="2">
        <v>40</v>
      </c>
      <c r="D1161" s="2" t="s">
        <v>12041</v>
      </c>
      <c r="E1161" s="2">
        <f>COUNTIF(Table16[customer_id],Table13[[#This Row],[customer_id]])</f>
        <v>2</v>
      </c>
      <c r="F1161" s="13">
        <f>SUMIFS(Table16[Purchase_history],Table16[customer_id],Table13[[#This Row],[customer_id]])</f>
        <v>7549.07</v>
      </c>
      <c r="G1161" s="20">
        <v>44482</v>
      </c>
      <c r="H1161" s="21">
        <v>44813</v>
      </c>
      <c r="I1161" s="15">
        <f>(Table134[[#This Row],[Last_Day]]-Table134[[#This Row],[First_Day]]+1)/365</f>
        <v>0.90958904109589045</v>
      </c>
      <c r="J1161" s="59">
        <f>Table134[[#This Row],[number_of_purchases]]/Table134[[#This Row],[customer_total_years]]</f>
        <v>2.1987951807228914</v>
      </c>
      <c r="K1161" s="13">
        <f>Table134[[#This Row],[purchase_history]]/Table134[[#This Row],[number_of_purchases]]</f>
        <v>3774.5349999999999</v>
      </c>
      <c r="L1161" s="2">
        <f>IF(YEAR(Table134[[#This Row],[Last_Day]])=2021,5,IF(YEAR(Table134[[#This Row],[Last_Day]])=2022,7,IF(YEAR(Table134[[#This Row],[Last_Day]])=2023,10,"Không xác định")))</f>
        <v>7</v>
      </c>
      <c r="M1161" s="15">
        <f>Table134[[#This Row],[avg_number_of_purchases]]*Table1345[[#This Row],[avg_purchase_value]]*Table1345[[#This Row],[expected_lifespan]]</f>
        <v>58096.005572289148</v>
      </c>
      <c r="N1161" t="s">
        <v>12047</v>
      </c>
    </row>
    <row r="1162" spans="1:14" x14ac:dyDescent="0.3">
      <c r="A1162" s="2" t="s">
        <v>1160</v>
      </c>
      <c r="B1162" s="2" t="s">
        <v>12045</v>
      </c>
      <c r="C1162" s="2">
        <v>29</v>
      </c>
      <c r="D1162" s="2" t="s">
        <v>12043</v>
      </c>
      <c r="E1162" s="2">
        <f>COUNTIF(Table16[customer_id],Table13[[#This Row],[customer_id]])</f>
        <v>2</v>
      </c>
      <c r="F1162" s="13">
        <f>SUMIFS(Table16[Purchase_history],Table16[customer_id],Table13[[#This Row],[customer_id]])</f>
        <v>19805.53</v>
      </c>
      <c r="G1162" s="20">
        <v>44333</v>
      </c>
      <c r="H1162" s="21">
        <v>44739</v>
      </c>
      <c r="I1162" s="15">
        <f>(Table134[[#This Row],[Last_Day]]-Table134[[#This Row],[First_Day]]+1)/365</f>
        <v>1.1150684931506849</v>
      </c>
      <c r="J1162" s="59">
        <f>Table134[[#This Row],[number_of_purchases]]/Table134[[#This Row],[customer_total_years]]</f>
        <v>1.7936117936117937</v>
      </c>
      <c r="K1162" s="13">
        <f>Table134[[#This Row],[purchase_history]]/Table134[[#This Row],[number_of_purchases]]</f>
        <v>9902.7649999999994</v>
      </c>
      <c r="L1162" s="2">
        <f>IF(YEAR(Table134[[#This Row],[Last_Day]])=2021,5,IF(YEAR(Table134[[#This Row],[Last_Day]])=2022,7,IF(YEAR(Table134[[#This Row],[Last_Day]])=2023,10,"Không xác định")))</f>
        <v>7</v>
      </c>
      <c r="M1162" s="15">
        <f>Table134[[#This Row],[avg_number_of_purchases]]*Table1345[[#This Row],[avg_purchase_value]]*Table1345[[#This Row],[expected_lifespan]]</f>
        <v>124332.01265356265</v>
      </c>
      <c r="N1162" t="s">
        <v>12047</v>
      </c>
    </row>
    <row r="1163" spans="1:14" x14ac:dyDescent="0.3">
      <c r="A1163" s="2" t="s">
        <v>1161</v>
      </c>
      <c r="B1163" s="2" t="s">
        <v>12045</v>
      </c>
      <c r="C1163" s="2">
        <v>44</v>
      </c>
      <c r="D1163" s="2" t="s">
        <v>12049</v>
      </c>
      <c r="E1163" s="2">
        <f>COUNTIF(Table16[customer_id],Table13[[#This Row],[customer_id]])</f>
        <v>3</v>
      </c>
      <c r="F1163" s="13">
        <f>SUMIFS(Table16[Purchase_history],Table16[customer_id],Table13[[#This Row],[customer_id]])</f>
        <v>9002.4</v>
      </c>
      <c r="G1163" s="20">
        <v>44466</v>
      </c>
      <c r="H1163" s="21">
        <v>44881</v>
      </c>
      <c r="I1163" s="15">
        <f>(Table134[[#This Row],[Last_Day]]-Table134[[#This Row],[First_Day]]+1)/365</f>
        <v>1.1397260273972603</v>
      </c>
      <c r="J1163" s="59">
        <f>Table134[[#This Row],[number_of_purchases]]/Table134[[#This Row],[customer_total_years]]</f>
        <v>2.6322115384615383</v>
      </c>
      <c r="K1163" s="13">
        <f>Table134[[#This Row],[purchase_history]]/Table134[[#This Row],[number_of_purchases]]</f>
        <v>3000.7999999999997</v>
      </c>
      <c r="L1163" s="2">
        <f>IF(YEAR(Table134[[#This Row],[Last_Day]])=2021,5,IF(YEAR(Table134[[#This Row],[Last_Day]])=2022,7,IF(YEAR(Table134[[#This Row],[Last_Day]])=2023,10,"Không xác định")))</f>
        <v>7</v>
      </c>
      <c r="M1163" s="15">
        <f>Table134[[#This Row],[avg_number_of_purchases]]*Table1345[[#This Row],[avg_purchase_value]]*Table1345[[#This Row],[expected_lifespan]]</f>
        <v>55291.182692307688</v>
      </c>
      <c r="N1163" t="s">
        <v>12048</v>
      </c>
    </row>
    <row r="1164" spans="1:14" x14ac:dyDescent="0.3">
      <c r="A1164" s="2" t="s">
        <v>1162</v>
      </c>
      <c r="B1164" s="2" t="s">
        <v>12040</v>
      </c>
      <c r="C1164" s="2">
        <v>19</v>
      </c>
      <c r="D1164" s="2" t="s">
        <v>12049</v>
      </c>
      <c r="E1164" s="2">
        <f>COUNTIF(Table16[customer_id],Table13[[#This Row],[customer_id]])</f>
        <v>3</v>
      </c>
      <c r="F1164" s="13">
        <f>SUMIFS(Table16[Purchase_history],Table16[customer_id],Table13[[#This Row],[customer_id]])</f>
        <v>4895.42</v>
      </c>
      <c r="G1164" s="20">
        <v>44477</v>
      </c>
      <c r="H1164" s="21">
        <v>44614</v>
      </c>
      <c r="I1164" s="15">
        <f>(Table134[[#This Row],[Last_Day]]-Table134[[#This Row],[First_Day]]+1)/365</f>
        <v>0.37808219178082192</v>
      </c>
      <c r="J1164" s="59">
        <f>Table134[[#This Row],[number_of_purchases]]/Table134[[#This Row],[customer_total_years]]</f>
        <v>7.9347826086956523</v>
      </c>
      <c r="K1164" s="13">
        <f>Table134[[#This Row],[purchase_history]]/Table134[[#This Row],[number_of_purchases]]</f>
        <v>1631.8066666666666</v>
      </c>
      <c r="L1164" s="2">
        <f>IF(YEAR(Table134[[#This Row],[Last_Day]])=2021,5,IF(YEAR(Table134[[#This Row],[Last_Day]])=2022,7,IF(YEAR(Table134[[#This Row],[Last_Day]])=2023,10,"Không xác định")))</f>
        <v>7</v>
      </c>
      <c r="M1164" s="15">
        <f>Table134[[#This Row],[avg_number_of_purchases]]*Table1345[[#This Row],[avg_purchase_value]]*Table1345[[#This Row],[expected_lifespan]]</f>
        <v>90636.218115942029</v>
      </c>
      <c r="N1164" t="s">
        <v>12042</v>
      </c>
    </row>
    <row r="1165" spans="1:14" x14ac:dyDescent="0.3">
      <c r="A1165" s="2" t="s">
        <v>1163</v>
      </c>
      <c r="B1165" s="2" t="s">
        <v>12040</v>
      </c>
      <c r="C1165" s="2">
        <v>32</v>
      </c>
      <c r="D1165" s="2" t="s">
        <v>12041</v>
      </c>
      <c r="E1165" s="2">
        <f>COUNTIF(Table16[customer_id],Table13[[#This Row],[customer_id]])</f>
        <v>7</v>
      </c>
      <c r="F1165" s="13">
        <f>SUMIFS(Table16[Purchase_history],Table16[customer_id],Table13[[#This Row],[customer_id]])</f>
        <v>17698.87</v>
      </c>
      <c r="G1165" s="20">
        <v>44221</v>
      </c>
      <c r="H1165" s="21">
        <v>44952</v>
      </c>
      <c r="I1165" s="15">
        <f>(Table134[[#This Row],[Last_Day]]-Table134[[#This Row],[First_Day]]+1)/365</f>
        <v>2.0054794520547947</v>
      </c>
      <c r="J1165" s="59">
        <f>Table134[[#This Row],[number_of_purchases]]/Table134[[#This Row],[customer_total_years]]</f>
        <v>3.4904371584699452</v>
      </c>
      <c r="K1165" s="13">
        <f>Table134[[#This Row],[purchase_history]]/Table134[[#This Row],[number_of_purchases]]</f>
        <v>2528.41</v>
      </c>
      <c r="L1165" s="2">
        <f>IF(YEAR(Table134[[#This Row],[Last_Day]])=2021,5,IF(YEAR(Table134[[#This Row],[Last_Day]])=2022,7,IF(YEAR(Table134[[#This Row],[Last_Day]])=2023,10,"Không xác định")))</f>
        <v>10</v>
      </c>
      <c r="M1165" s="15">
        <f>Table134[[#This Row],[avg_number_of_purchases]]*Table1345[[#This Row],[avg_purchase_value]]*Table1345[[#This Row],[expected_lifespan]]</f>
        <v>88252.56215846994</v>
      </c>
      <c r="N1165" t="s">
        <v>12042</v>
      </c>
    </row>
    <row r="1166" spans="1:14" x14ac:dyDescent="0.3">
      <c r="A1166" s="2" t="s">
        <v>1164</v>
      </c>
      <c r="B1166" s="2" t="s">
        <v>12040</v>
      </c>
      <c r="C1166" s="2">
        <v>52</v>
      </c>
      <c r="D1166" s="2" t="s">
        <v>12043</v>
      </c>
      <c r="E1166" s="2">
        <f>COUNTIF(Table16[customer_id],Table13[[#This Row],[customer_id]])</f>
        <v>4</v>
      </c>
      <c r="F1166" s="13">
        <f>SUMIFS(Table16[Purchase_history],Table16[customer_id],Table13[[#This Row],[customer_id]])</f>
        <v>833.45999999999992</v>
      </c>
      <c r="G1166" s="20">
        <v>44495</v>
      </c>
      <c r="H1166" s="21">
        <v>44935</v>
      </c>
      <c r="I1166" s="15">
        <f>(Table134[[#This Row],[Last_Day]]-Table134[[#This Row],[First_Day]]+1)/365</f>
        <v>1.2082191780821918</v>
      </c>
      <c r="J1166" s="59">
        <f>Table134[[#This Row],[number_of_purchases]]/Table134[[#This Row],[customer_total_years]]</f>
        <v>3.3106575963718821</v>
      </c>
      <c r="K1166" s="13">
        <f>Table134[[#This Row],[purchase_history]]/Table134[[#This Row],[number_of_purchases]]</f>
        <v>208.36499999999998</v>
      </c>
      <c r="L1166" s="2">
        <f>IF(YEAR(Table134[[#This Row],[Last_Day]])=2021,5,IF(YEAR(Table134[[#This Row],[Last_Day]])=2022,7,IF(YEAR(Table134[[#This Row],[Last_Day]])=2023,10,"Không xác định")))</f>
        <v>10</v>
      </c>
      <c r="M1166" s="15">
        <f>Table134[[#This Row],[avg_number_of_purchases]]*Table1345[[#This Row],[avg_purchase_value]]*Table1345[[#This Row],[expected_lifespan]]</f>
        <v>6898.2517006802709</v>
      </c>
      <c r="N1166" t="s">
        <v>12046</v>
      </c>
    </row>
    <row r="1167" spans="1:14" x14ac:dyDescent="0.3">
      <c r="A1167" s="2" t="s">
        <v>1165</v>
      </c>
      <c r="B1167" s="2" t="s">
        <v>12040</v>
      </c>
      <c r="C1167" s="2">
        <v>50</v>
      </c>
      <c r="D1167" s="2" t="s">
        <v>12049</v>
      </c>
      <c r="E1167" s="2">
        <f>COUNTIF(Table16[customer_id],Table13[[#This Row],[customer_id]])</f>
        <v>1</v>
      </c>
      <c r="F1167" s="13">
        <f>SUMIFS(Table16[Purchase_history],Table16[customer_id],Table13[[#This Row],[customer_id]])</f>
        <v>365.94</v>
      </c>
      <c r="G1167" s="20">
        <v>44614</v>
      </c>
      <c r="H1167" s="21">
        <v>44614</v>
      </c>
      <c r="I1167" s="15">
        <f>(Table134[[#This Row],[Last_Day]]-Table134[[#This Row],[First_Day]]+1)/365</f>
        <v>2.7397260273972603E-3</v>
      </c>
      <c r="J1167" s="59">
        <f>Table134[[#This Row],[number_of_purchases]]/Table134[[#This Row],[customer_total_years]]</f>
        <v>365</v>
      </c>
      <c r="K1167" s="13">
        <f>Table134[[#This Row],[purchase_history]]/Table134[[#This Row],[number_of_purchases]]</f>
        <v>365.94</v>
      </c>
      <c r="L1167" s="2">
        <f>IF(YEAR(Table134[[#This Row],[Last_Day]])=2021,5,IF(YEAR(Table134[[#This Row],[Last_Day]])=2022,7,IF(YEAR(Table134[[#This Row],[Last_Day]])=2023,10,"Không xác định")))</f>
        <v>7</v>
      </c>
      <c r="M1167" s="15">
        <f>Table134[[#This Row],[avg_number_of_purchases]]*Table1345[[#This Row],[avg_purchase_value]]*Table1345[[#This Row],[expected_lifespan]]</f>
        <v>934976.70000000007</v>
      </c>
      <c r="N1167" t="s">
        <v>12046</v>
      </c>
    </row>
    <row r="1168" spans="1:14" x14ac:dyDescent="0.3">
      <c r="A1168" s="2" t="s">
        <v>1166</v>
      </c>
      <c r="B1168" s="2" t="s">
        <v>12040</v>
      </c>
      <c r="C1168" s="2">
        <v>33</v>
      </c>
      <c r="D1168" s="2" t="s">
        <v>12043</v>
      </c>
      <c r="E1168" s="2">
        <f>COUNTIF(Table16[customer_id],Table13[[#This Row],[customer_id]])</f>
        <v>5</v>
      </c>
      <c r="F1168" s="13">
        <f>SUMIFS(Table16[Purchase_history],Table16[customer_id],Table13[[#This Row],[customer_id]])</f>
        <v>8906.2799999999988</v>
      </c>
      <c r="G1168" s="20">
        <v>44324</v>
      </c>
      <c r="H1168" s="21">
        <v>44773</v>
      </c>
      <c r="I1168" s="15">
        <f>(Table134[[#This Row],[Last_Day]]-Table134[[#This Row],[First_Day]]+1)/365</f>
        <v>1.2328767123287672</v>
      </c>
      <c r="J1168" s="59">
        <f>Table134[[#This Row],[number_of_purchases]]/Table134[[#This Row],[customer_total_years]]</f>
        <v>4.0555555555555554</v>
      </c>
      <c r="K1168" s="13">
        <f>Table134[[#This Row],[purchase_history]]/Table134[[#This Row],[number_of_purchases]]</f>
        <v>1781.2559999999999</v>
      </c>
      <c r="L1168" s="2">
        <f>IF(YEAR(Table134[[#This Row],[Last_Day]])=2021,5,IF(YEAR(Table134[[#This Row],[Last_Day]])=2022,7,IF(YEAR(Table134[[#This Row],[Last_Day]])=2023,10,"Không xác định")))</f>
        <v>7</v>
      </c>
      <c r="M1168" s="15">
        <f>Table134[[#This Row],[avg_number_of_purchases]]*Table1345[[#This Row],[avg_purchase_value]]*Table1345[[#This Row],[expected_lifespan]]</f>
        <v>50567.878666666664</v>
      </c>
      <c r="N1168" t="s">
        <v>12048</v>
      </c>
    </row>
    <row r="1169" spans="1:14" x14ac:dyDescent="0.3">
      <c r="A1169" s="2" t="s">
        <v>1167</v>
      </c>
      <c r="B1169" s="2" t="s">
        <v>12040</v>
      </c>
      <c r="C1169" s="2">
        <v>50</v>
      </c>
      <c r="D1169" s="2" t="s">
        <v>12041</v>
      </c>
      <c r="E1169" s="2">
        <f>COUNTIF(Table16[customer_id],Table13[[#This Row],[customer_id]])</f>
        <v>2</v>
      </c>
      <c r="F1169" s="13">
        <f>SUMIFS(Table16[Purchase_history],Table16[customer_id],Table13[[#This Row],[customer_id]])</f>
        <v>1221.24</v>
      </c>
      <c r="G1169" s="20">
        <v>44219</v>
      </c>
      <c r="H1169" s="21">
        <v>44858</v>
      </c>
      <c r="I1169" s="15">
        <f>(Table134[[#This Row],[Last_Day]]-Table134[[#This Row],[First_Day]]+1)/365</f>
        <v>1.7534246575342465</v>
      </c>
      <c r="J1169" s="59">
        <f>Table134[[#This Row],[number_of_purchases]]/Table134[[#This Row],[customer_total_years]]</f>
        <v>1.140625</v>
      </c>
      <c r="K1169" s="13">
        <f>Table134[[#This Row],[purchase_history]]/Table134[[#This Row],[number_of_purchases]]</f>
        <v>610.62</v>
      </c>
      <c r="L1169" s="2">
        <f>IF(YEAR(Table134[[#This Row],[Last_Day]])=2021,5,IF(YEAR(Table134[[#This Row],[Last_Day]])=2022,7,IF(YEAR(Table134[[#This Row],[Last_Day]])=2023,10,"Không xác định")))</f>
        <v>7</v>
      </c>
      <c r="M1169" s="15">
        <f>Table134[[#This Row],[avg_number_of_purchases]]*Table1345[[#This Row],[avg_purchase_value]]*Table1345[[#This Row],[expected_lifespan]]</f>
        <v>4875.4190625000001</v>
      </c>
      <c r="N1169" t="s">
        <v>12048</v>
      </c>
    </row>
    <row r="1170" spans="1:14" x14ac:dyDescent="0.3">
      <c r="A1170" s="2" t="s">
        <v>1168</v>
      </c>
      <c r="B1170" s="2" t="s">
        <v>12040</v>
      </c>
      <c r="C1170" s="2">
        <v>29</v>
      </c>
      <c r="D1170" s="2" t="s">
        <v>12041</v>
      </c>
      <c r="E1170" s="2">
        <f>COUNTIF(Table16[customer_id],Table13[[#This Row],[customer_id]])</f>
        <v>8</v>
      </c>
      <c r="F1170" s="13">
        <f>SUMIFS(Table16[Purchase_history],Table16[customer_id],Table13[[#This Row],[customer_id]])</f>
        <v>18035.629999999997</v>
      </c>
      <c r="G1170" s="20">
        <v>44214</v>
      </c>
      <c r="H1170" s="21">
        <v>44950</v>
      </c>
      <c r="I1170" s="15">
        <f>(Table134[[#This Row],[Last_Day]]-Table134[[#This Row],[First_Day]]+1)/365</f>
        <v>2.0191780821917806</v>
      </c>
      <c r="J1170" s="59">
        <f>Table134[[#This Row],[number_of_purchases]]/Table134[[#This Row],[customer_total_years]]</f>
        <v>3.9620081411126189</v>
      </c>
      <c r="K1170" s="13">
        <f>Table134[[#This Row],[purchase_history]]/Table134[[#This Row],[number_of_purchases]]</f>
        <v>2254.4537499999997</v>
      </c>
      <c r="L1170" s="2">
        <f>IF(YEAR(Table134[[#This Row],[Last_Day]])=2021,5,IF(YEAR(Table134[[#This Row],[Last_Day]])=2022,7,IF(YEAR(Table134[[#This Row],[Last_Day]])=2023,10,"Không xác định")))</f>
        <v>10</v>
      </c>
      <c r="M1170" s="15">
        <f>Table134[[#This Row],[avg_number_of_purchases]]*Table1345[[#This Row],[avg_purchase_value]]*Table1345[[#This Row],[expected_lifespan]]</f>
        <v>89321.641112618701</v>
      </c>
      <c r="N1170" t="s">
        <v>12046</v>
      </c>
    </row>
    <row r="1171" spans="1:14" x14ac:dyDescent="0.3">
      <c r="A1171" s="2" t="s">
        <v>1169</v>
      </c>
      <c r="B1171" s="2" t="s">
        <v>12040</v>
      </c>
      <c r="C1171" s="2">
        <v>60</v>
      </c>
      <c r="D1171" s="2" t="s">
        <v>12041</v>
      </c>
      <c r="E1171" s="2">
        <f>COUNTIF(Table16[customer_id],Table13[[#This Row],[customer_id]])</f>
        <v>7</v>
      </c>
      <c r="F1171" s="13">
        <f>SUMIFS(Table16[Purchase_history],Table16[customer_id],Table13[[#This Row],[customer_id]])</f>
        <v>7709.4699999999993</v>
      </c>
      <c r="G1171" s="20">
        <v>44284</v>
      </c>
      <c r="H1171" s="21">
        <v>44975</v>
      </c>
      <c r="I1171" s="15">
        <f>(Table134[[#This Row],[Last_Day]]-Table134[[#This Row],[First_Day]]+1)/365</f>
        <v>1.8958904109589041</v>
      </c>
      <c r="J1171" s="59">
        <f>Table134[[#This Row],[number_of_purchases]]/Table134[[#This Row],[customer_total_years]]</f>
        <v>3.6921965317919074</v>
      </c>
      <c r="K1171" s="13">
        <f>Table134[[#This Row],[purchase_history]]/Table134[[#This Row],[number_of_purchases]]</f>
        <v>1101.3528571428571</v>
      </c>
      <c r="L1171" s="2">
        <f>IF(YEAR(Table134[[#This Row],[Last_Day]])=2021,5,IF(YEAR(Table134[[#This Row],[Last_Day]])=2022,7,IF(YEAR(Table134[[#This Row],[Last_Day]])=2023,10,"Không xác định")))</f>
        <v>10</v>
      </c>
      <c r="M1171" s="15">
        <f>Table134[[#This Row],[avg_number_of_purchases]]*Table1345[[#This Row],[avg_purchase_value]]*Table1345[[#This Row],[expected_lifespan]]</f>
        <v>40664.111994219653</v>
      </c>
      <c r="N1171" t="s">
        <v>12047</v>
      </c>
    </row>
    <row r="1172" spans="1:14" x14ac:dyDescent="0.3">
      <c r="A1172" s="2" t="s">
        <v>1170</v>
      </c>
      <c r="B1172" s="2" t="s">
        <v>12040</v>
      </c>
      <c r="C1172" s="2">
        <v>29</v>
      </c>
      <c r="D1172" s="2" t="s">
        <v>12043</v>
      </c>
      <c r="E1172" s="2">
        <f>COUNTIF(Table16[customer_id],Table13[[#This Row],[customer_id]])</f>
        <v>5</v>
      </c>
      <c r="F1172" s="13">
        <f>SUMIFS(Table16[Purchase_history],Table16[customer_id],Table13[[#This Row],[customer_id]])</f>
        <v>14260.77</v>
      </c>
      <c r="G1172" s="20">
        <v>44487</v>
      </c>
      <c r="H1172" s="21">
        <v>44921</v>
      </c>
      <c r="I1172" s="15">
        <f>(Table134[[#This Row],[Last_Day]]-Table134[[#This Row],[First_Day]]+1)/365</f>
        <v>1.1917808219178083</v>
      </c>
      <c r="J1172" s="59">
        <f>Table134[[#This Row],[number_of_purchases]]/Table134[[#This Row],[customer_total_years]]</f>
        <v>4.1954022988505741</v>
      </c>
      <c r="K1172" s="13">
        <f>Table134[[#This Row],[purchase_history]]/Table134[[#This Row],[number_of_purchases]]</f>
        <v>2852.154</v>
      </c>
      <c r="L1172" s="2">
        <f>IF(YEAR(Table134[[#This Row],[Last_Day]])=2021,5,IF(YEAR(Table134[[#This Row],[Last_Day]])=2022,7,IF(YEAR(Table134[[#This Row],[Last_Day]])=2023,10,"Không xác định")))</f>
        <v>7</v>
      </c>
      <c r="M1172" s="15">
        <f>Table134[[#This Row],[avg_number_of_purchases]]*Table1345[[#This Row],[avg_purchase_value]]*Table1345[[#This Row],[expected_lifespan]]</f>
        <v>83761.534137931027</v>
      </c>
      <c r="N1172" t="s">
        <v>12046</v>
      </c>
    </row>
    <row r="1173" spans="1:14" x14ac:dyDescent="0.3">
      <c r="A1173" s="2" t="s">
        <v>1171</v>
      </c>
      <c r="B1173" s="2" t="s">
        <v>12040</v>
      </c>
      <c r="C1173" s="2">
        <v>58</v>
      </c>
      <c r="D1173" s="2" t="s">
        <v>12043</v>
      </c>
      <c r="E1173" s="2">
        <f>COUNTIF(Table16[customer_id],Table13[[#This Row],[customer_id]])</f>
        <v>6</v>
      </c>
      <c r="F1173" s="13">
        <f>SUMIFS(Table16[Purchase_history],Table16[customer_id],Table13[[#This Row],[customer_id]])</f>
        <v>47108.08</v>
      </c>
      <c r="G1173" s="20">
        <v>44481</v>
      </c>
      <c r="H1173" s="21">
        <v>44914</v>
      </c>
      <c r="I1173" s="15">
        <f>(Table134[[#This Row],[Last_Day]]-Table134[[#This Row],[First_Day]]+1)/365</f>
        <v>1.189041095890411</v>
      </c>
      <c r="J1173" s="59">
        <f>Table134[[#This Row],[number_of_purchases]]/Table134[[#This Row],[customer_total_years]]</f>
        <v>5.0460829493087553</v>
      </c>
      <c r="K1173" s="13">
        <f>Table134[[#This Row],[purchase_history]]/Table134[[#This Row],[number_of_purchases]]</f>
        <v>7851.3466666666673</v>
      </c>
      <c r="L1173" s="2">
        <f>IF(YEAR(Table134[[#This Row],[Last_Day]])=2021,5,IF(YEAR(Table134[[#This Row],[Last_Day]])=2022,7,IF(YEAR(Table134[[#This Row],[Last_Day]])=2023,10,"Không xác định")))</f>
        <v>7</v>
      </c>
      <c r="M1173" s="15">
        <f>Table134[[#This Row],[avg_number_of_purchases]]*Table1345[[#This Row],[avg_purchase_value]]*Table1345[[#This Row],[expected_lifespan]]</f>
        <v>277329.82580645161</v>
      </c>
      <c r="N1173" t="s">
        <v>12044</v>
      </c>
    </row>
    <row r="1174" spans="1:14" x14ac:dyDescent="0.3">
      <c r="A1174" s="2" t="s">
        <v>1172</v>
      </c>
      <c r="B1174" s="2" t="s">
        <v>12040</v>
      </c>
      <c r="C1174" s="2">
        <v>52</v>
      </c>
      <c r="D1174" s="2" t="s">
        <v>12041</v>
      </c>
      <c r="E1174" s="2">
        <f>COUNTIF(Table16[customer_id],Table13[[#This Row],[customer_id]])</f>
        <v>3</v>
      </c>
      <c r="F1174" s="13">
        <f>SUMIFS(Table16[Purchase_history],Table16[customer_id],Table13[[#This Row],[customer_id]])</f>
        <v>722.03000000000009</v>
      </c>
      <c r="G1174" s="20">
        <v>44246</v>
      </c>
      <c r="H1174" s="21">
        <v>44624</v>
      </c>
      <c r="I1174" s="15">
        <f>(Table134[[#This Row],[Last_Day]]-Table134[[#This Row],[First_Day]]+1)/365</f>
        <v>1.0383561643835617</v>
      </c>
      <c r="J1174" s="59">
        <f>Table134[[#This Row],[number_of_purchases]]/Table134[[#This Row],[customer_total_years]]</f>
        <v>2.8891820580474934</v>
      </c>
      <c r="K1174" s="13">
        <f>Table134[[#This Row],[purchase_history]]/Table134[[#This Row],[number_of_purchases]]</f>
        <v>240.6766666666667</v>
      </c>
      <c r="L1174" s="2">
        <f>IF(YEAR(Table134[[#This Row],[Last_Day]])=2021,5,IF(YEAR(Table134[[#This Row],[Last_Day]])=2022,7,IF(YEAR(Table134[[#This Row],[Last_Day]])=2023,10,"Không xác định")))</f>
        <v>7</v>
      </c>
      <c r="M1174" s="15">
        <f>Table134[[#This Row],[avg_number_of_purchases]]*Table1345[[#This Row],[avg_purchase_value]]*Table1345[[#This Row],[expected_lifespan]]</f>
        <v>4867.510949868074</v>
      </c>
      <c r="N1174" t="s">
        <v>12047</v>
      </c>
    </row>
    <row r="1175" spans="1:14" x14ac:dyDescent="0.3">
      <c r="A1175" s="2" t="s">
        <v>1173</v>
      </c>
      <c r="B1175" s="2" t="s">
        <v>12040</v>
      </c>
      <c r="C1175" s="2">
        <v>44</v>
      </c>
      <c r="D1175" s="2" t="s">
        <v>12043</v>
      </c>
      <c r="E1175" s="2">
        <f>COUNTIF(Table16[customer_id],Table13[[#This Row],[customer_id]])</f>
        <v>6</v>
      </c>
      <c r="F1175" s="13">
        <f>SUMIFS(Table16[Purchase_history],Table16[customer_id],Table13[[#This Row],[customer_id]])</f>
        <v>23765.84</v>
      </c>
      <c r="G1175" s="20">
        <v>44279</v>
      </c>
      <c r="H1175" s="21">
        <v>44933</v>
      </c>
      <c r="I1175" s="15">
        <f>(Table134[[#This Row],[Last_Day]]-Table134[[#This Row],[First_Day]]+1)/365</f>
        <v>1.7945205479452055</v>
      </c>
      <c r="J1175" s="59">
        <f>Table134[[#This Row],[number_of_purchases]]/Table134[[#This Row],[customer_total_years]]</f>
        <v>3.3435114503816794</v>
      </c>
      <c r="K1175" s="13">
        <f>Table134[[#This Row],[purchase_history]]/Table134[[#This Row],[number_of_purchases]]</f>
        <v>3960.9733333333334</v>
      </c>
      <c r="L1175" s="2">
        <f>IF(YEAR(Table134[[#This Row],[Last_Day]])=2021,5,IF(YEAR(Table134[[#This Row],[Last_Day]])=2022,7,IF(YEAR(Table134[[#This Row],[Last_Day]])=2023,10,"Không xác định")))</f>
        <v>10</v>
      </c>
      <c r="M1175" s="15">
        <f>Table134[[#This Row],[avg_number_of_purchases]]*Table1345[[#This Row],[avg_purchase_value]]*Table1345[[#This Row],[expected_lifespan]]</f>
        <v>132435.59694656488</v>
      </c>
      <c r="N1175" t="s">
        <v>12044</v>
      </c>
    </row>
    <row r="1176" spans="1:14" x14ac:dyDescent="0.3">
      <c r="A1176" s="2" t="s">
        <v>1174</v>
      </c>
      <c r="B1176" s="2" t="s">
        <v>12040</v>
      </c>
      <c r="C1176" s="2">
        <v>56</v>
      </c>
      <c r="D1176" s="2" t="s">
        <v>12049</v>
      </c>
      <c r="E1176" s="2">
        <f>COUNTIF(Table16[customer_id],Table13[[#This Row],[customer_id]])</f>
        <v>5</v>
      </c>
      <c r="F1176" s="13">
        <f>SUMIFS(Table16[Purchase_history],Table16[customer_id],Table13[[#This Row],[customer_id]])</f>
        <v>31570.79</v>
      </c>
      <c r="G1176" s="20">
        <v>44271</v>
      </c>
      <c r="H1176" s="21">
        <v>44900</v>
      </c>
      <c r="I1176" s="15">
        <f>(Table134[[#This Row],[Last_Day]]-Table134[[#This Row],[First_Day]]+1)/365</f>
        <v>1.726027397260274</v>
      </c>
      <c r="J1176" s="59">
        <f>Table134[[#This Row],[number_of_purchases]]/Table134[[#This Row],[customer_total_years]]</f>
        <v>2.8968253968253967</v>
      </c>
      <c r="K1176" s="13">
        <f>Table134[[#This Row],[purchase_history]]/Table134[[#This Row],[number_of_purchases]]</f>
        <v>6314.1580000000004</v>
      </c>
      <c r="L1176" s="2">
        <f>IF(YEAR(Table134[[#This Row],[Last_Day]])=2021,5,IF(YEAR(Table134[[#This Row],[Last_Day]])=2022,7,IF(YEAR(Table134[[#This Row],[Last_Day]])=2023,10,"Không xác định")))</f>
        <v>7</v>
      </c>
      <c r="M1176" s="15">
        <f>Table134[[#This Row],[avg_number_of_purchases]]*Table1345[[#This Row],[avg_purchase_value]]*Table1345[[#This Row],[expected_lifespan]]</f>
        <v>128037.0927777778</v>
      </c>
      <c r="N1176" t="s">
        <v>12048</v>
      </c>
    </row>
    <row r="1177" spans="1:14" x14ac:dyDescent="0.3">
      <c r="A1177" s="2" t="s">
        <v>1175</v>
      </c>
      <c r="B1177" s="2" t="s">
        <v>12045</v>
      </c>
      <c r="C1177" s="2">
        <v>29</v>
      </c>
      <c r="D1177" s="2" t="s">
        <v>12043</v>
      </c>
      <c r="E1177" s="2">
        <f>COUNTIF(Table16[customer_id],Table13[[#This Row],[customer_id]])</f>
        <v>6</v>
      </c>
      <c r="F1177" s="13">
        <f>SUMIFS(Table16[Purchase_history],Table16[customer_id],Table13[[#This Row],[customer_id]])</f>
        <v>15325.550000000001</v>
      </c>
      <c r="G1177" s="20">
        <v>44227</v>
      </c>
      <c r="H1177" s="21">
        <v>44935</v>
      </c>
      <c r="I1177" s="15">
        <f>(Table134[[#This Row],[Last_Day]]-Table134[[#This Row],[First_Day]]+1)/365</f>
        <v>1.9424657534246574</v>
      </c>
      <c r="J1177" s="59">
        <f>Table134[[#This Row],[number_of_purchases]]/Table134[[#This Row],[customer_total_years]]</f>
        <v>3.0888575458392102</v>
      </c>
      <c r="K1177" s="13">
        <f>Table134[[#This Row],[purchase_history]]/Table134[[#This Row],[number_of_purchases]]</f>
        <v>2554.2583333333337</v>
      </c>
      <c r="L1177" s="2">
        <f>IF(YEAR(Table134[[#This Row],[Last_Day]])=2021,5,IF(YEAR(Table134[[#This Row],[Last_Day]])=2022,7,IF(YEAR(Table134[[#This Row],[Last_Day]])=2023,10,"Không xác định")))</f>
        <v>10</v>
      </c>
      <c r="M1177" s="15">
        <f>Table134[[#This Row],[avg_number_of_purchases]]*Table1345[[#This Row],[avg_purchase_value]]*Table1345[[#This Row],[expected_lifespan]]</f>
        <v>78897.401269393522</v>
      </c>
      <c r="N1177" t="s">
        <v>12042</v>
      </c>
    </row>
    <row r="1178" spans="1:14" x14ac:dyDescent="0.3">
      <c r="A1178" s="2" t="s">
        <v>1176</v>
      </c>
      <c r="B1178" s="2" t="s">
        <v>12040</v>
      </c>
      <c r="C1178" s="2">
        <v>20</v>
      </c>
      <c r="D1178" s="2" t="s">
        <v>12043</v>
      </c>
      <c r="E1178" s="2">
        <f>COUNTIF(Table16[customer_id],Table13[[#This Row],[customer_id]])</f>
        <v>4</v>
      </c>
      <c r="F1178" s="13">
        <f>SUMIFS(Table16[Purchase_history],Table16[customer_id],Table13[[#This Row],[customer_id]])</f>
        <v>7786.24</v>
      </c>
      <c r="G1178" s="20">
        <v>44503</v>
      </c>
      <c r="H1178" s="21">
        <v>44960</v>
      </c>
      <c r="I1178" s="15">
        <f>(Table134[[#This Row],[Last_Day]]-Table134[[#This Row],[First_Day]]+1)/365</f>
        <v>1.2547945205479452</v>
      </c>
      <c r="J1178" s="59">
        <f>Table134[[#This Row],[number_of_purchases]]/Table134[[#This Row],[customer_total_years]]</f>
        <v>3.1877729257641922</v>
      </c>
      <c r="K1178" s="13">
        <f>Table134[[#This Row],[purchase_history]]/Table134[[#This Row],[number_of_purchases]]</f>
        <v>1946.56</v>
      </c>
      <c r="L1178" s="2">
        <f>IF(YEAR(Table134[[#This Row],[Last_Day]])=2021,5,IF(YEAR(Table134[[#This Row],[Last_Day]])=2022,7,IF(YEAR(Table134[[#This Row],[Last_Day]])=2023,10,"Không xác định")))</f>
        <v>10</v>
      </c>
      <c r="M1178" s="15">
        <f>Table134[[#This Row],[avg_number_of_purchases]]*Table1345[[#This Row],[avg_purchase_value]]*Table1345[[#This Row],[expected_lifespan]]</f>
        <v>62051.912663755458</v>
      </c>
      <c r="N1178" t="s">
        <v>12047</v>
      </c>
    </row>
    <row r="1179" spans="1:14" x14ac:dyDescent="0.3">
      <c r="A1179" s="2" t="s">
        <v>1177</v>
      </c>
      <c r="B1179" s="2" t="s">
        <v>12045</v>
      </c>
      <c r="C1179" s="2">
        <v>35</v>
      </c>
      <c r="D1179" s="2" t="s">
        <v>12041</v>
      </c>
      <c r="E1179" s="2">
        <f>COUNTIF(Table16[customer_id],Table13[[#This Row],[customer_id]])</f>
        <v>4</v>
      </c>
      <c r="F1179" s="13">
        <f>SUMIFS(Table16[Purchase_history],Table16[customer_id],Table13[[#This Row],[customer_id]])</f>
        <v>5906.99</v>
      </c>
      <c r="G1179" s="20">
        <v>44492</v>
      </c>
      <c r="H1179" s="21">
        <v>44926</v>
      </c>
      <c r="I1179" s="15">
        <f>(Table134[[#This Row],[Last_Day]]-Table134[[#This Row],[First_Day]]+1)/365</f>
        <v>1.1917808219178083</v>
      </c>
      <c r="J1179" s="59">
        <f>Table134[[#This Row],[number_of_purchases]]/Table134[[#This Row],[customer_total_years]]</f>
        <v>3.3563218390804597</v>
      </c>
      <c r="K1179" s="13">
        <f>Table134[[#This Row],[purchase_history]]/Table134[[#This Row],[number_of_purchases]]</f>
        <v>1476.7474999999999</v>
      </c>
      <c r="L1179" s="2">
        <f>IF(YEAR(Table134[[#This Row],[Last_Day]])=2021,5,IF(YEAR(Table134[[#This Row],[Last_Day]])=2022,7,IF(YEAR(Table134[[#This Row],[Last_Day]])=2023,10,"Không xác định")))</f>
        <v>7</v>
      </c>
      <c r="M1179" s="15">
        <f>Table134[[#This Row],[avg_number_of_purchases]]*Table1345[[#This Row],[avg_purchase_value]]*Table1345[[#This Row],[expected_lifespan]]</f>
        <v>34695.079195402293</v>
      </c>
      <c r="N1179" t="s">
        <v>12048</v>
      </c>
    </row>
    <row r="1180" spans="1:14" x14ac:dyDescent="0.3">
      <c r="A1180" s="2" t="s">
        <v>1178</v>
      </c>
      <c r="B1180" s="2" t="s">
        <v>12045</v>
      </c>
      <c r="C1180" s="2">
        <v>53</v>
      </c>
      <c r="D1180" s="2" t="s">
        <v>12041</v>
      </c>
      <c r="E1180" s="2">
        <f>COUNTIF(Table16[customer_id],Table13[[#This Row],[customer_id]])</f>
        <v>5</v>
      </c>
      <c r="F1180" s="13">
        <f>SUMIFS(Table16[Purchase_history],Table16[customer_id],Table13[[#This Row],[customer_id]])</f>
        <v>8818.58</v>
      </c>
      <c r="G1180" s="20">
        <v>44354</v>
      </c>
      <c r="H1180" s="21">
        <v>44939</v>
      </c>
      <c r="I1180" s="15">
        <f>(Table134[[#This Row],[Last_Day]]-Table134[[#This Row],[First_Day]]+1)/365</f>
        <v>1.6054794520547946</v>
      </c>
      <c r="J1180" s="59">
        <f>Table134[[#This Row],[number_of_purchases]]/Table134[[#This Row],[customer_total_years]]</f>
        <v>3.1143344709897609</v>
      </c>
      <c r="K1180" s="13">
        <f>Table134[[#This Row],[purchase_history]]/Table134[[#This Row],[number_of_purchases]]</f>
        <v>1763.7159999999999</v>
      </c>
      <c r="L1180" s="2">
        <f>IF(YEAR(Table134[[#This Row],[Last_Day]])=2021,5,IF(YEAR(Table134[[#This Row],[Last_Day]])=2022,7,IF(YEAR(Table134[[#This Row],[Last_Day]])=2023,10,"Không xác định")))</f>
        <v>10</v>
      </c>
      <c r="M1180" s="15">
        <f>Table134[[#This Row],[avg_number_of_purchases]]*Table1345[[#This Row],[avg_purchase_value]]*Table1345[[#This Row],[expected_lifespan]]</f>
        <v>54928.015358361772</v>
      </c>
      <c r="N1180" t="s">
        <v>12047</v>
      </c>
    </row>
    <row r="1181" spans="1:14" x14ac:dyDescent="0.3">
      <c r="A1181" s="2" t="s">
        <v>1179</v>
      </c>
      <c r="B1181" s="2" t="s">
        <v>12045</v>
      </c>
      <c r="C1181" s="2">
        <v>69</v>
      </c>
      <c r="D1181" s="2" t="s">
        <v>12043</v>
      </c>
      <c r="E1181" s="2">
        <f>COUNTIF(Table16[customer_id],Table13[[#This Row],[customer_id]])</f>
        <v>6</v>
      </c>
      <c r="F1181" s="13">
        <f>SUMIFS(Table16[Purchase_history],Table16[customer_id],Table13[[#This Row],[customer_id]])</f>
        <v>27678.699999999997</v>
      </c>
      <c r="G1181" s="20">
        <v>44228</v>
      </c>
      <c r="H1181" s="21">
        <v>44825</v>
      </c>
      <c r="I1181" s="15">
        <f>(Table134[[#This Row],[Last_Day]]-Table134[[#This Row],[First_Day]]+1)/365</f>
        <v>1.6383561643835616</v>
      </c>
      <c r="J1181" s="59">
        <f>Table134[[#This Row],[number_of_purchases]]/Table134[[#This Row],[customer_total_years]]</f>
        <v>3.6622073578595318</v>
      </c>
      <c r="K1181" s="13">
        <f>Table134[[#This Row],[purchase_history]]/Table134[[#This Row],[number_of_purchases]]</f>
        <v>4613.1166666666659</v>
      </c>
      <c r="L1181" s="2">
        <f>IF(YEAR(Table134[[#This Row],[Last_Day]])=2021,5,IF(YEAR(Table134[[#This Row],[Last_Day]])=2022,7,IF(YEAR(Table134[[#This Row],[Last_Day]])=2023,10,"Không xác định")))</f>
        <v>7</v>
      </c>
      <c r="M1181" s="15">
        <f>Table134[[#This Row],[avg_number_of_purchases]]*Table1345[[#This Row],[avg_purchase_value]]*Table1345[[#This Row],[expected_lifespan]]</f>
        <v>118259.3285953177</v>
      </c>
      <c r="N1181" t="s">
        <v>12047</v>
      </c>
    </row>
    <row r="1182" spans="1:14" x14ac:dyDescent="0.3">
      <c r="A1182" s="2" t="s">
        <v>1180</v>
      </c>
      <c r="B1182" s="2" t="s">
        <v>12045</v>
      </c>
      <c r="C1182" s="2">
        <v>51</v>
      </c>
      <c r="D1182" s="2" t="s">
        <v>12049</v>
      </c>
      <c r="E1182" s="2">
        <f>COUNTIF(Table16[customer_id],Table13[[#This Row],[customer_id]])</f>
        <v>9</v>
      </c>
      <c r="F1182" s="13">
        <f>SUMIFS(Table16[Purchase_history],Table16[customer_id],Table13[[#This Row],[customer_id]])</f>
        <v>44875.41</v>
      </c>
      <c r="G1182" s="20">
        <v>44213</v>
      </c>
      <c r="H1182" s="21">
        <v>44781</v>
      </c>
      <c r="I1182" s="15">
        <f>(Table134[[#This Row],[Last_Day]]-Table134[[#This Row],[First_Day]]+1)/365</f>
        <v>1.558904109589041</v>
      </c>
      <c r="J1182" s="59">
        <f>Table134[[#This Row],[number_of_purchases]]/Table134[[#This Row],[customer_total_years]]</f>
        <v>5.7732864674868196</v>
      </c>
      <c r="K1182" s="13">
        <f>Table134[[#This Row],[purchase_history]]/Table134[[#This Row],[number_of_purchases]]</f>
        <v>4986.1566666666668</v>
      </c>
      <c r="L1182" s="2">
        <f>IF(YEAR(Table134[[#This Row],[Last_Day]])=2021,5,IF(YEAR(Table134[[#This Row],[Last_Day]])=2022,7,IF(YEAR(Table134[[#This Row],[Last_Day]])=2023,10,"Không xác định")))</f>
        <v>7</v>
      </c>
      <c r="M1182" s="15">
        <f>Table134[[#This Row],[avg_number_of_purchases]]*Table1345[[#This Row],[avg_purchase_value]]*Table1345[[#This Row],[expected_lifespan]]</f>
        <v>201505.57565905098</v>
      </c>
      <c r="N1182" t="s">
        <v>12044</v>
      </c>
    </row>
    <row r="1183" spans="1:14" x14ac:dyDescent="0.3">
      <c r="A1183" s="2" t="s">
        <v>1181</v>
      </c>
      <c r="B1183" s="2" t="s">
        <v>12045</v>
      </c>
      <c r="C1183" s="2">
        <v>26</v>
      </c>
      <c r="D1183" s="2" t="s">
        <v>12043</v>
      </c>
      <c r="E1183" s="2">
        <f>COUNTIF(Table16[customer_id],Table13[[#This Row],[customer_id]])</f>
        <v>6</v>
      </c>
      <c r="F1183" s="13">
        <f>SUMIFS(Table16[Purchase_history],Table16[customer_id],Table13[[#This Row],[customer_id]])</f>
        <v>13512.72</v>
      </c>
      <c r="G1183" s="20">
        <v>44275</v>
      </c>
      <c r="H1183" s="21">
        <v>44703</v>
      </c>
      <c r="I1183" s="15">
        <f>(Table134[[#This Row],[Last_Day]]-Table134[[#This Row],[First_Day]]+1)/365</f>
        <v>1.1753424657534246</v>
      </c>
      <c r="J1183" s="59">
        <f>Table134[[#This Row],[number_of_purchases]]/Table134[[#This Row],[customer_total_years]]</f>
        <v>5.104895104895105</v>
      </c>
      <c r="K1183" s="13">
        <f>Table134[[#This Row],[purchase_history]]/Table134[[#This Row],[number_of_purchases]]</f>
        <v>2252.12</v>
      </c>
      <c r="L1183" s="2">
        <f>IF(YEAR(Table134[[#This Row],[Last_Day]])=2021,5,IF(YEAR(Table134[[#This Row],[Last_Day]])=2022,7,IF(YEAR(Table134[[#This Row],[Last_Day]])=2023,10,"Không xác định")))</f>
        <v>7</v>
      </c>
      <c r="M1183" s="15">
        <f>Table134[[#This Row],[avg_number_of_purchases]]*Table1345[[#This Row],[avg_purchase_value]]*Table1345[[#This Row],[expected_lifespan]]</f>
        <v>80477.854545454538</v>
      </c>
      <c r="N1183" t="s">
        <v>12044</v>
      </c>
    </row>
    <row r="1184" spans="1:14" x14ac:dyDescent="0.3">
      <c r="A1184" s="2" t="s">
        <v>1182</v>
      </c>
      <c r="B1184" s="2" t="s">
        <v>12045</v>
      </c>
      <c r="C1184" s="2">
        <v>50</v>
      </c>
      <c r="D1184" s="2" t="s">
        <v>12043</v>
      </c>
      <c r="E1184" s="2">
        <f>COUNTIF(Table16[customer_id],Table13[[#This Row],[customer_id]])</f>
        <v>6</v>
      </c>
      <c r="F1184" s="13">
        <f>SUMIFS(Table16[Purchase_history],Table16[customer_id],Table13[[#This Row],[customer_id]])</f>
        <v>17126.25</v>
      </c>
      <c r="G1184" s="20">
        <v>44601</v>
      </c>
      <c r="H1184" s="21">
        <v>44796</v>
      </c>
      <c r="I1184" s="15">
        <f>(Table134[[#This Row],[Last_Day]]-Table134[[#This Row],[First_Day]]+1)/365</f>
        <v>0.53698630136986303</v>
      </c>
      <c r="J1184" s="59">
        <f>Table134[[#This Row],[number_of_purchases]]/Table134[[#This Row],[customer_total_years]]</f>
        <v>11.173469387755102</v>
      </c>
      <c r="K1184" s="13">
        <f>Table134[[#This Row],[purchase_history]]/Table134[[#This Row],[number_of_purchases]]</f>
        <v>2854.375</v>
      </c>
      <c r="L1184" s="2">
        <f>IF(YEAR(Table134[[#This Row],[Last_Day]])=2021,5,IF(YEAR(Table134[[#This Row],[Last_Day]])=2022,7,IF(YEAR(Table134[[#This Row],[Last_Day]])=2023,10,"Không xác định")))</f>
        <v>7</v>
      </c>
      <c r="M1184" s="15">
        <f>Table134[[#This Row],[avg_number_of_purchases]]*Table1345[[#This Row],[avg_purchase_value]]*Table1345[[#This Row],[expected_lifespan]]</f>
        <v>223252.90178571429</v>
      </c>
      <c r="N1184" t="s">
        <v>12048</v>
      </c>
    </row>
    <row r="1185" spans="1:14" x14ac:dyDescent="0.3">
      <c r="A1185" s="2" t="s">
        <v>1183</v>
      </c>
      <c r="B1185" s="2" t="s">
        <v>12045</v>
      </c>
      <c r="C1185" s="2">
        <v>47</v>
      </c>
      <c r="D1185" s="2" t="s">
        <v>12043</v>
      </c>
      <c r="E1185" s="2">
        <f>COUNTIF(Table16[customer_id],Table13[[#This Row],[customer_id]])</f>
        <v>4</v>
      </c>
      <c r="F1185" s="13">
        <f>SUMIFS(Table16[Purchase_history],Table16[customer_id],Table13[[#This Row],[customer_id]])</f>
        <v>9002.4</v>
      </c>
      <c r="G1185" s="20">
        <v>44235</v>
      </c>
      <c r="H1185" s="21">
        <v>44632</v>
      </c>
      <c r="I1185" s="15">
        <f>(Table134[[#This Row],[Last_Day]]-Table134[[#This Row],[First_Day]]+1)/365</f>
        <v>1.0904109589041096</v>
      </c>
      <c r="J1185" s="59">
        <f>Table134[[#This Row],[number_of_purchases]]/Table134[[#This Row],[customer_total_years]]</f>
        <v>3.6683417085427137</v>
      </c>
      <c r="K1185" s="13">
        <f>Table134[[#This Row],[purchase_history]]/Table134[[#This Row],[number_of_purchases]]</f>
        <v>2250.6</v>
      </c>
      <c r="L1185" s="2">
        <f>IF(YEAR(Table134[[#This Row],[Last_Day]])=2021,5,IF(YEAR(Table134[[#This Row],[Last_Day]])=2022,7,IF(YEAR(Table134[[#This Row],[Last_Day]])=2023,10,"Không xác định")))</f>
        <v>7</v>
      </c>
      <c r="M1185" s="15">
        <f>Table134[[#This Row],[avg_number_of_purchases]]*Table1345[[#This Row],[avg_purchase_value]]*Table1345[[#This Row],[expected_lifespan]]</f>
        <v>57791.788944723608</v>
      </c>
      <c r="N1185" t="s">
        <v>12044</v>
      </c>
    </row>
    <row r="1186" spans="1:14" x14ac:dyDescent="0.3">
      <c r="A1186" s="2" t="s">
        <v>1184</v>
      </c>
      <c r="B1186" s="2" t="s">
        <v>12045</v>
      </c>
      <c r="C1186" s="2">
        <v>45</v>
      </c>
      <c r="D1186" s="2" t="s">
        <v>12041</v>
      </c>
      <c r="E1186" s="2">
        <f>COUNTIF(Table16[customer_id],Table13[[#This Row],[customer_id]])</f>
        <v>5</v>
      </c>
      <c r="F1186" s="13">
        <f>SUMIFS(Table16[Purchase_history],Table16[customer_id],Table13[[#This Row],[customer_id]])</f>
        <v>1774.9</v>
      </c>
      <c r="G1186" s="20">
        <v>44228</v>
      </c>
      <c r="H1186" s="21">
        <v>44983</v>
      </c>
      <c r="I1186" s="15">
        <f>(Table134[[#This Row],[Last_Day]]-Table134[[#This Row],[First_Day]]+1)/365</f>
        <v>2.0712328767123287</v>
      </c>
      <c r="J1186" s="59">
        <f>Table134[[#This Row],[number_of_purchases]]/Table134[[#This Row],[customer_total_years]]</f>
        <v>2.4140211640211642</v>
      </c>
      <c r="K1186" s="13">
        <f>Table134[[#This Row],[purchase_history]]/Table134[[#This Row],[number_of_purchases]]</f>
        <v>354.98</v>
      </c>
      <c r="L1186" s="2">
        <f>IF(YEAR(Table134[[#This Row],[Last_Day]])=2021,5,IF(YEAR(Table134[[#This Row],[Last_Day]])=2022,7,IF(YEAR(Table134[[#This Row],[Last_Day]])=2023,10,"Không xác định")))</f>
        <v>10</v>
      </c>
      <c r="M1186" s="15">
        <f>Table134[[#This Row],[avg_number_of_purchases]]*Table1345[[#This Row],[avg_purchase_value]]*Table1345[[#This Row],[expected_lifespan]]</f>
        <v>8569.2923280423292</v>
      </c>
      <c r="N1186" t="s">
        <v>12044</v>
      </c>
    </row>
    <row r="1187" spans="1:14" x14ac:dyDescent="0.3">
      <c r="A1187" s="2" t="s">
        <v>1185</v>
      </c>
      <c r="B1187" s="2" t="s">
        <v>12040</v>
      </c>
      <c r="C1187" s="2">
        <v>42</v>
      </c>
      <c r="D1187" s="2" t="s">
        <v>12043</v>
      </c>
      <c r="E1187" s="2">
        <f>COUNTIF(Table16[customer_id],Table13[[#This Row],[customer_id]])</f>
        <v>4</v>
      </c>
      <c r="F1187" s="13">
        <f>SUMIFS(Table16[Purchase_history],Table16[customer_id],Table13[[#This Row],[customer_id]])</f>
        <v>15140.23</v>
      </c>
      <c r="G1187" s="20">
        <v>44300</v>
      </c>
      <c r="H1187" s="21">
        <v>44840</v>
      </c>
      <c r="I1187" s="15">
        <f>(Table134[[#This Row],[Last_Day]]-Table134[[#This Row],[First_Day]]+1)/365</f>
        <v>1.4821917808219178</v>
      </c>
      <c r="J1187" s="59">
        <f>Table134[[#This Row],[number_of_purchases]]/Table134[[#This Row],[customer_total_years]]</f>
        <v>2.6987060998151571</v>
      </c>
      <c r="K1187" s="13">
        <f>Table134[[#This Row],[purchase_history]]/Table134[[#This Row],[number_of_purchases]]</f>
        <v>3785.0574999999999</v>
      </c>
      <c r="L1187" s="2">
        <f>IF(YEAR(Table134[[#This Row],[Last_Day]])=2021,5,IF(YEAR(Table134[[#This Row],[Last_Day]])=2022,7,IF(YEAR(Table134[[#This Row],[Last_Day]])=2023,10,"Không xác định")))</f>
        <v>7</v>
      </c>
      <c r="M1187" s="15">
        <f>Table134[[#This Row],[avg_number_of_purchases]]*Table1345[[#This Row],[avg_purchase_value]]*Table1345[[#This Row],[expected_lifespan]]</f>
        <v>71503.304343807758</v>
      </c>
      <c r="N1187" t="s">
        <v>12047</v>
      </c>
    </row>
    <row r="1188" spans="1:14" x14ac:dyDescent="0.3">
      <c r="A1188" s="2" t="s">
        <v>1186</v>
      </c>
      <c r="B1188" s="2" t="s">
        <v>12040</v>
      </c>
      <c r="C1188" s="2">
        <v>69</v>
      </c>
      <c r="D1188" s="2" t="s">
        <v>12043</v>
      </c>
      <c r="E1188" s="2">
        <f>COUNTIF(Table16[customer_id],Table13[[#This Row],[customer_id]])</f>
        <v>8</v>
      </c>
      <c r="F1188" s="13">
        <f>SUMIFS(Table16[Purchase_history],Table16[customer_id],Table13[[#This Row],[customer_id]])</f>
        <v>14548.939999999999</v>
      </c>
      <c r="G1188" s="20">
        <v>44222</v>
      </c>
      <c r="H1188" s="21">
        <v>44882</v>
      </c>
      <c r="I1188" s="15">
        <f>(Table134[[#This Row],[Last_Day]]-Table134[[#This Row],[First_Day]]+1)/365</f>
        <v>1.810958904109589</v>
      </c>
      <c r="J1188" s="59">
        <f>Table134[[#This Row],[number_of_purchases]]/Table134[[#This Row],[customer_total_years]]</f>
        <v>4.4175491679273824</v>
      </c>
      <c r="K1188" s="13">
        <f>Table134[[#This Row],[purchase_history]]/Table134[[#This Row],[number_of_purchases]]</f>
        <v>1818.6174999999998</v>
      </c>
      <c r="L1188" s="2">
        <f>IF(YEAR(Table134[[#This Row],[Last_Day]])=2021,5,IF(YEAR(Table134[[#This Row],[Last_Day]])=2022,7,IF(YEAR(Table134[[#This Row],[Last_Day]])=2023,10,"Không xác định")))</f>
        <v>7</v>
      </c>
      <c r="M1188" s="15">
        <f>Table134[[#This Row],[avg_number_of_purchases]]*Table1345[[#This Row],[avg_purchase_value]]*Table1345[[#This Row],[expected_lifespan]]</f>
        <v>56236.82556732223</v>
      </c>
      <c r="N1188" t="s">
        <v>12046</v>
      </c>
    </row>
    <row r="1189" spans="1:14" x14ac:dyDescent="0.3">
      <c r="A1189" s="2" t="s">
        <v>1187</v>
      </c>
      <c r="B1189" s="2" t="s">
        <v>12045</v>
      </c>
      <c r="C1189" s="2">
        <v>30</v>
      </c>
      <c r="D1189" s="2" t="s">
        <v>12049</v>
      </c>
      <c r="E1189" s="2">
        <f>COUNTIF(Table16[customer_id],Table13[[#This Row],[customer_id]])</f>
        <v>6</v>
      </c>
      <c r="F1189" s="13">
        <f>SUMIFS(Table16[Purchase_history],Table16[customer_id],Table13[[#This Row],[customer_id]])</f>
        <v>13034.859999999999</v>
      </c>
      <c r="G1189" s="20">
        <v>44315</v>
      </c>
      <c r="H1189" s="21">
        <v>44811</v>
      </c>
      <c r="I1189" s="15">
        <f>(Table134[[#This Row],[Last_Day]]-Table134[[#This Row],[First_Day]]+1)/365</f>
        <v>1.3616438356164384</v>
      </c>
      <c r="J1189" s="59">
        <f>Table134[[#This Row],[number_of_purchases]]/Table134[[#This Row],[customer_total_years]]</f>
        <v>4.4064386317907447</v>
      </c>
      <c r="K1189" s="13">
        <f>Table134[[#This Row],[purchase_history]]/Table134[[#This Row],[number_of_purchases]]</f>
        <v>2172.4766666666665</v>
      </c>
      <c r="L1189" s="2">
        <f>IF(YEAR(Table134[[#This Row],[Last_Day]])=2021,5,IF(YEAR(Table134[[#This Row],[Last_Day]])=2022,7,IF(YEAR(Table134[[#This Row],[Last_Day]])=2023,10,"Không xác định")))</f>
        <v>7</v>
      </c>
      <c r="M1189" s="15">
        <f>Table134[[#This Row],[avg_number_of_purchases]]*Table1345[[#This Row],[avg_purchase_value]]*Table1345[[#This Row],[expected_lifespan]]</f>
        <v>67010.195774647887</v>
      </c>
      <c r="N1189" t="s">
        <v>12042</v>
      </c>
    </row>
    <row r="1190" spans="1:14" x14ac:dyDescent="0.3">
      <c r="A1190" s="2" t="s">
        <v>1188</v>
      </c>
      <c r="B1190" s="2" t="s">
        <v>12040</v>
      </c>
      <c r="C1190" s="2">
        <v>68</v>
      </c>
      <c r="D1190" s="2" t="s">
        <v>12049</v>
      </c>
      <c r="E1190" s="2">
        <f>COUNTIF(Table16[customer_id],Table13[[#This Row],[customer_id]])</f>
        <v>2</v>
      </c>
      <c r="F1190" s="13">
        <f>SUMIFS(Table16[Purchase_history],Table16[customer_id],Table13[[#This Row],[customer_id]])</f>
        <v>311.81</v>
      </c>
      <c r="G1190" s="20">
        <v>44510</v>
      </c>
      <c r="H1190" s="21">
        <v>44602</v>
      </c>
      <c r="I1190" s="15">
        <f>(Table134[[#This Row],[Last_Day]]-Table134[[#This Row],[First_Day]]+1)/365</f>
        <v>0.25479452054794521</v>
      </c>
      <c r="J1190" s="59">
        <f>Table134[[#This Row],[number_of_purchases]]/Table134[[#This Row],[customer_total_years]]</f>
        <v>7.849462365591398</v>
      </c>
      <c r="K1190" s="13">
        <f>Table134[[#This Row],[purchase_history]]/Table134[[#This Row],[number_of_purchases]]</f>
        <v>155.905</v>
      </c>
      <c r="L1190" s="2">
        <f>IF(YEAR(Table134[[#This Row],[Last_Day]])=2021,5,IF(YEAR(Table134[[#This Row],[Last_Day]])=2022,7,IF(YEAR(Table134[[#This Row],[Last_Day]])=2023,10,"Không xác định")))</f>
        <v>7</v>
      </c>
      <c r="M1190" s="15">
        <f>Table134[[#This Row],[avg_number_of_purchases]]*Table1345[[#This Row],[avg_purchase_value]]*Table1345[[#This Row],[expected_lifespan]]</f>
        <v>8566.3930107526885</v>
      </c>
      <c r="N1190" t="s">
        <v>12044</v>
      </c>
    </row>
    <row r="1191" spans="1:14" x14ac:dyDescent="0.3">
      <c r="A1191" s="2" t="s">
        <v>1189</v>
      </c>
      <c r="B1191" s="2" t="s">
        <v>12040</v>
      </c>
      <c r="C1191" s="2">
        <v>51</v>
      </c>
      <c r="D1191" s="2" t="s">
        <v>12041</v>
      </c>
      <c r="E1191" s="2">
        <f>COUNTIF(Table16[customer_id],Table13[[#This Row],[customer_id]])</f>
        <v>7</v>
      </c>
      <c r="F1191" s="13">
        <f>SUMIFS(Table16[Purchase_history],Table16[customer_id],Table13[[#This Row],[customer_id]])</f>
        <v>26073.03</v>
      </c>
      <c r="G1191" s="20">
        <v>44217</v>
      </c>
      <c r="H1191" s="21">
        <v>44730</v>
      </c>
      <c r="I1191" s="15">
        <f>(Table134[[#This Row],[Last_Day]]-Table134[[#This Row],[First_Day]]+1)/365</f>
        <v>1.4082191780821918</v>
      </c>
      <c r="J1191" s="59">
        <f>Table134[[#This Row],[number_of_purchases]]/Table134[[#This Row],[customer_total_years]]</f>
        <v>4.9708171206225682</v>
      </c>
      <c r="K1191" s="13">
        <f>Table134[[#This Row],[purchase_history]]/Table134[[#This Row],[number_of_purchases]]</f>
        <v>3724.7185714285711</v>
      </c>
      <c r="L1191" s="2">
        <f>IF(YEAR(Table134[[#This Row],[Last_Day]])=2021,5,IF(YEAR(Table134[[#This Row],[Last_Day]])=2022,7,IF(YEAR(Table134[[#This Row],[Last_Day]])=2023,10,"Không xác định")))</f>
        <v>7</v>
      </c>
      <c r="M1191" s="15">
        <f>Table134[[#This Row],[avg_number_of_purchases]]*Table1345[[#This Row],[avg_purchase_value]]*Table1345[[#This Row],[expected_lifespan]]</f>
        <v>129604.26391050583</v>
      </c>
      <c r="N1191" t="s">
        <v>12048</v>
      </c>
    </row>
    <row r="1192" spans="1:14" x14ac:dyDescent="0.3">
      <c r="A1192" s="2" t="s">
        <v>1190</v>
      </c>
      <c r="B1192" s="2" t="s">
        <v>12045</v>
      </c>
      <c r="C1192" s="2">
        <v>66</v>
      </c>
      <c r="D1192" s="2" t="s">
        <v>12043</v>
      </c>
      <c r="E1192" s="2">
        <f>COUNTIF(Table16[customer_id],Table13[[#This Row],[customer_id]])</f>
        <v>5</v>
      </c>
      <c r="F1192" s="13">
        <f>SUMIFS(Table16[Purchase_history],Table16[customer_id],Table13[[#This Row],[customer_id]])</f>
        <v>24969.15</v>
      </c>
      <c r="G1192" s="20">
        <v>44198</v>
      </c>
      <c r="H1192" s="21">
        <v>44757</v>
      </c>
      <c r="I1192" s="15">
        <f>(Table134[[#This Row],[Last_Day]]-Table134[[#This Row],[First_Day]]+1)/365</f>
        <v>1.5342465753424657</v>
      </c>
      <c r="J1192" s="59">
        <f>Table134[[#This Row],[number_of_purchases]]/Table134[[#This Row],[customer_total_years]]</f>
        <v>3.2589285714285716</v>
      </c>
      <c r="K1192" s="13">
        <f>Table134[[#This Row],[purchase_history]]/Table134[[#This Row],[number_of_purchases]]</f>
        <v>4993.83</v>
      </c>
      <c r="L1192" s="2">
        <f>IF(YEAR(Table134[[#This Row],[Last_Day]])=2021,5,IF(YEAR(Table134[[#This Row],[Last_Day]])=2022,7,IF(YEAR(Table134[[#This Row],[Last_Day]])=2023,10,"Không xác định")))</f>
        <v>7</v>
      </c>
      <c r="M1192" s="15">
        <f>Table134[[#This Row],[avg_number_of_purchases]]*Table1345[[#This Row],[avg_purchase_value]]*Table1345[[#This Row],[expected_lifespan]]</f>
        <v>113921.74687500001</v>
      </c>
      <c r="N1192" t="s">
        <v>12046</v>
      </c>
    </row>
    <row r="1193" spans="1:14" x14ac:dyDescent="0.3">
      <c r="A1193" s="2" t="s">
        <v>1191</v>
      </c>
      <c r="B1193" s="2" t="s">
        <v>12045</v>
      </c>
      <c r="C1193" s="2">
        <v>43</v>
      </c>
      <c r="D1193" s="2" t="s">
        <v>12043</v>
      </c>
      <c r="E1193" s="2">
        <f>COUNTIF(Table16[customer_id],Table13[[#This Row],[customer_id]])</f>
        <v>7</v>
      </c>
      <c r="F1193" s="13">
        <f>SUMIFS(Table16[Purchase_history],Table16[customer_id],Table13[[#This Row],[customer_id]])</f>
        <v>43530.719999999994</v>
      </c>
      <c r="G1193" s="20">
        <v>44322</v>
      </c>
      <c r="H1193" s="21">
        <v>44802</v>
      </c>
      <c r="I1193" s="15">
        <f>(Table134[[#This Row],[Last_Day]]-Table134[[#This Row],[First_Day]]+1)/365</f>
        <v>1.3178082191780822</v>
      </c>
      <c r="J1193" s="59">
        <f>Table134[[#This Row],[number_of_purchases]]/Table134[[#This Row],[customer_total_years]]</f>
        <v>5.3118503118503115</v>
      </c>
      <c r="K1193" s="13">
        <f>Table134[[#This Row],[purchase_history]]/Table134[[#This Row],[number_of_purchases]]</f>
        <v>6218.6742857142845</v>
      </c>
      <c r="L1193" s="2">
        <f>IF(YEAR(Table134[[#This Row],[Last_Day]])=2021,5,IF(YEAR(Table134[[#This Row],[Last_Day]])=2022,7,IF(YEAR(Table134[[#This Row],[Last_Day]])=2023,10,"Không xác định")))</f>
        <v>7</v>
      </c>
      <c r="M1193" s="15">
        <f>Table134[[#This Row],[avg_number_of_purchases]]*Table1345[[#This Row],[avg_purchase_value]]*Table1345[[#This Row],[expected_lifespan]]</f>
        <v>231228.66860706854</v>
      </c>
      <c r="N1193" t="s">
        <v>12042</v>
      </c>
    </row>
    <row r="1194" spans="1:14" x14ac:dyDescent="0.3">
      <c r="A1194" s="2" t="s">
        <v>1192</v>
      </c>
      <c r="B1194" s="2" t="s">
        <v>12040</v>
      </c>
      <c r="C1194" s="2">
        <v>41</v>
      </c>
      <c r="D1194" s="2" t="s">
        <v>12049</v>
      </c>
      <c r="E1194" s="2">
        <f>COUNTIF(Table16[customer_id],Table13[[#This Row],[customer_id]])</f>
        <v>7</v>
      </c>
      <c r="F1194" s="13">
        <f>SUMIFS(Table16[Purchase_history],Table16[customer_id],Table13[[#This Row],[customer_id]])</f>
        <v>17673.54</v>
      </c>
      <c r="G1194" s="20">
        <v>44212</v>
      </c>
      <c r="H1194" s="21">
        <v>44533</v>
      </c>
      <c r="I1194" s="15">
        <f>(Table134[[#This Row],[Last_Day]]-Table134[[#This Row],[First_Day]]+1)/365</f>
        <v>0.88219178082191785</v>
      </c>
      <c r="J1194" s="59">
        <f>Table134[[#This Row],[number_of_purchases]]/Table134[[#This Row],[customer_total_years]]</f>
        <v>7.9347826086956514</v>
      </c>
      <c r="K1194" s="13">
        <f>Table134[[#This Row],[purchase_history]]/Table134[[#This Row],[number_of_purchases]]</f>
        <v>2524.7914285714287</v>
      </c>
      <c r="L1194" s="2">
        <f>IF(YEAR(Table134[[#This Row],[Last_Day]])=2021,5,IF(YEAR(Table134[[#This Row],[Last_Day]])=2022,7,IF(YEAR(Table134[[#This Row],[Last_Day]])=2023,10,"Không xác định")))</f>
        <v>5</v>
      </c>
      <c r="M1194" s="15">
        <f>Table134[[#This Row],[avg_number_of_purchases]]*Table1345[[#This Row],[avg_purchase_value]]*Table1345[[#This Row],[expected_lifespan]]</f>
        <v>100168.35559006211</v>
      </c>
      <c r="N1194" t="s">
        <v>12047</v>
      </c>
    </row>
    <row r="1195" spans="1:14" x14ac:dyDescent="0.3">
      <c r="A1195" s="2" t="s">
        <v>1193</v>
      </c>
      <c r="B1195" s="2" t="s">
        <v>12045</v>
      </c>
      <c r="C1195" s="2">
        <v>25</v>
      </c>
      <c r="D1195" s="2" t="s">
        <v>12049</v>
      </c>
      <c r="E1195" s="2">
        <f>COUNTIF(Table16[customer_id],Table13[[#This Row],[customer_id]])</f>
        <v>4</v>
      </c>
      <c r="F1195" s="13">
        <f>SUMIFS(Table16[Purchase_history],Table16[customer_id],Table13[[#This Row],[customer_id]])</f>
        <v>614.1</v>
      </c>
      <c r="G1195" s="20">
        <v>44382</v>
      </c>
      <c r="H1195" s="21">
        <v>44794</v>
      </c>
      <c r="I1195" s="15">
        <f>(Table134[[#This Row],[Last_Day]]-Table134[[#This Row],[First_Day]]+1)/365</f>
        <v>1.1315068493150684</v>
      </c>
      <c r="J1195" s="59">
        <f>Table134[[#This Row],[number_of_purchases]]/Table134[[#This Row],[customer_total_years]]</f>
        <v>3.5351089588377729</v>
      </c>
      <c r="K1195" s="13">
        <f>Table134[[#This Row],[purchase_history]]/Table134[[#This Row],[number_of_purchases]]</f>
        <v>153.52500000000001</v>
      </c>
      <c r="L1195" s="2">
        <f>IF(YEAR(Table134[[#This Row],[Last_Day]])=2021,5,IF(YEAR(Table134[[#This Row],[Last_Day]])=2022,7,IF(YEAR(Table134[[#This Row],[Last_Day]])=2023,10,"Không xác định")))</f>
        <v>7</v>
      </c>
      <c r="M1195" s="15">
        <f>Table134[[#This Row],[avg_number_of_purchases]]*Table1345[[#This Row],[avg_purchase_value]]*Table1345[[#This Row],[expected_lifespan]]</f>
        <v>3799.0932203389839</v>
      </c>
      <c r="N1195" t="s">
        <v>12044</v>
      </c>
    </row>
    <row r="1196" spans="1:14" x14ac:dyDescent="0.3">
      <c r="A1196" s="2" t="s">
        <v>1194</v>
      </c>
      <c r="B1196" s="2" t="s">
        <v>12040</v>
      </c>
      <c r="C1196" s="2">
        <v>22</v>
      </c>
      <c r="D1196" s="2" t="s">
        <v>12041</v>
      </c>
      <c r="E1196" s="2">
        <f>COUNTIF(Table16[customer_id],Table13[[#This Row],[customer_id]])</f>
        <v>7</v>
      </c>
      <c r="F1196" s="13">
        <f>SUMIFS(Table16[Purchase_history],Table16[customer_id],Table13[[#This Row],[customer_id]])</f>
        <v>15704.32</v>
      </c>
      <c r="G1196" s="20">
        <v>44316</v>
      </c>
      <c r="H1196" s="21">
        <v>44989</v>
      </c>
      <c r="I1196" s="15">
        <f>(Table134[[#This Row],[Last_Day]]-Table134[[#This Row],[First_Day]]+1)/365</f>
        <v>1.8465753424657534</v>
      </c>
      <c r="J1196" s="59">
        <f>Table134[[#This Row],[number_of_purchases]]/Table134[[#This Row],[customer_total_years]]</f>
        <v>3.7908011869436202</v>
      </c>
      <c r="K1196" s="13">
        <f>Table134[[#This Row],[purchase_history]]/Table134[[#This Row],[number_of_purchases]]</f>
        <v>2243.4742857142855</v>
      </c>
      <c r="L1196" s="2">
        <f>IF(YEAR(Table134[[#This Row],[Last_Day]])=2021,5,IF(YEAR(Table134[[#This Row],[Last_Day]])=2022,7,IF(YEAR(Table134[[#This Row],[Last_Day]])=2023,10,"Không xác định")))</f>
        <v>10</v>
      </c>
      <c r="M1196" s="15">
        <f>Table134[[#This Row],[avg_number_of_purchases]]*Table1345[[#This Row],[avg_purchase_value]]*Table1345[[#This Row],[expected_lifespan]]</f>
        <v>85045.649851632043</v>
      </c>
      <c r="N1196" t="s">
        <v>12046</v>
      </c>
    </row>
    <row r="1197" spans="1:14" x14ac:dyDescent="0.3">
      <c r="A1197" s="2" t="s">
        <v>1195</v>
      </c>
      <c r="B1197" s="2" t="s">
        <v>12040</v>
      </c>
      <c r="C1197" s="2">
        <v>21</v>
      </c>
      <c r="D1197" s="2" t="s">
        <v>12043</v>
      </c>
      <c r="E1197" s="2">
        <f>COUNTIF(Table16[customer_id],Table13[[#This Row],[customer_id]])</f>
        <v>5</v>
      </c>
      <c r="F1197" s="13">
        <f>SUMIFS(Table16[Purchase_history],Table16[customer_id],Table13[[#This Row],[customer_id]])</f>
        <v>5925.92</v>
      </c>
      <c r="G1197" s="20">
        <v>44321</v>
      </c>
      <c r="H1197" s="21">
        <v>44945</v>
      </c>
      <c r="I1197" s="15">
        <f>(Table134[[#This Row],[Last_Day]]-Table134[[#This Row],[First_Day]]+1)/365</f>
        <v>1.7123287671232876</v>
      </c>
      <c r="J1197" s="59">
        <f>Table134[[#This Row],[number_of_purchases]]/Table134[[#This Row],[customer_total_years]]</f>
        <v>2.92</v>
      </c>
      <c r="K1197" s="13">
        <f>Table134[[#This Row],[purchase_history]]/Table134[[#This Row],[number_of_purchases]]</f>
        <v>1185.184</v>
      </c>
      <c r="L1197" s="2">
        <f>IF(YEAR(Table134[[#This Row],[Last_Day]])=2021,5,IF(YEAR(Table134[[#This Row],[Last_Day]])=2022,7,IF(YEAR(Table134[[#This Row],[Last_Day]])=2023,10,"Không xác định")))</f>
        <v>10</v>
      </c>
      <c r="M1197" s="15">
        <f>Table134[[#This Row],[avg_number_of_purchases]]*Table1345[[#This Row],[avg_purchase_value]]*Table1345[[#This Row],[expected_lifespan]]</f>
        <v>34607.372799999997</v>
      </c>
      <c r="N1197" t="s">
        <v>12047</v>
      </c>
    </row>
    <row r="1198" spans="1:14" x14ac:dyDescent="0.3">
      <c r="A1198" s="2" t="s">
        <v>1196</v>
      </c>
      <c r="B1198" s="2" t="s">
        <v>12040</v>
      </c>
      <c r="C1198" s="2">
        <v>37</v>
      </c>
      <c r="D1198" s="2" t="s">
        <v>12043</v>
      </c>
      <c r="E1198" s="2">
        <f>COUNTIF(Table16[customer_id],Table13[[#This Row],[customer_id]])</f>
        <v>4</v>
      </c>
      <c r="F1198" s="13">
        <f>SUMIFS(Table16[Purchase_history],Table16[customer_id],Table13[[#This Row],[customer_id]])</f>
        <v>1607.33</v>
      </c>
      <c r="G1198" s="20">
        <v>44438</v>
      </c>
      <c r="H1198" s="21">
        <v>44931</v>
      </c>
      <c r="I1198" s="15">
        <f>(Table134[[#This Row],[Last_Day]]-Table134[[#This Row],[First_Day]]+1)/365</f>
        <v>1.3534246575342466</v>
      </c>
      <c r="J1198" s="59">
        <f>Table134[[#This Row],[number_of_purchases]]/Table134[[#This Row],[customer_total_years]]</f>
        <v>2.9554655870445345</v>
      </c>
      <c r="K1198" s="13">
        <f>Table134[[#This Row],[purchase_history]]/Table134[[#This Row],[number_of_purchases]]</f>
        <v>401.83249999999998</v>
      </c>
      <c r="L1198" s="2">
        <f>IF(YEAR(Table134[[#This Row],[Last_Day]])=2021,5,IF(YEAR(Table134[[#This Row],[Last_Day]])=2022,7,IF(YEAR(Table134[[#This Row],[Last_Day]])=2023,10,"Không xác định")))</f>
        <v>10</v>
      </c>
      <c r="M1198" s="15">
        <f>Table134[[#This Row],[avg_number_of_purchases]]*Table1345[[#This Row],[avg_purchase_value]]*Table1345[[#This Row],[expected_lifespan]]</f>
        <v>11876.02125506073</v>
      </c>
      <c r="N1198" t="s">
        <v>12044</v>
      </c>
    </row>
    <row r="1199" spans="1:14" x14ac:dyDescent="0.3">
      <c r="A1199" s="2" t="s">
        <v>1197</v>
      </c>
      <c r="B1199" s="2" t="s">
        <v>12045</v>
      </c>
      <c r="C1199" s="2">
        <v>34</v>
      </c>
      <c r="D1199" s="2" t="s">
        <v>12043</v>
      </c>
      <c r="E1199" s="2">
        <f>COUNTIF(Table16[customer_id],Table13[[#This Row],[customer_id]])</f>
        <v>7</v>
      </c>
      <c r="F1199" s="13">
        <f>SUMIFS(Table16[Purchase_history],Table16[customer_id],Table13[[#This Row],[customer_id]])</f>
        <v>11813.039999999999</v>
      </c>
      <c r="G1199" s="20">
        <v>44307</v>
      </c>
      <c r="H1199" s="21">
        <v>44682</v>
      </c>
      <c r="I1199" s="15">
        <f>(Table134[[#This Row],[Last_Day]]-Table134[[#This Row],[First_Day]]+1)/365</f>
        <v>1.0301369863013699</v>
      </c>
      <c r="J1199" s="59">
        <f>Table134[[#This Row],[number_of_purchases]]/Table134[[#This Row],[customer_total_years]]</f>
        <v>6.7952127659574471</v>
      </c>
      <c r="K1199" s="13">
        <f>Table134[[#This Row],[purchase_history]]/Table134[[#This Row],[number_of_purchases]]</f>
        <v>1687.5771428571427</v>
      </c>
      <c r="L1199" s="2">
        <f>IF(YEAR(Table134[[#This Row],[Last_Day]])=2021,5,IF(YEAR(Table134[[#This Row],[Last_Day]])=2022,7,IF(YEAR(Table134[[#This Row],[Last_Day]])=2023,10,"Không xác định")))</f>
        <v>7</v>
      </c>
      <c r="M1199" s="15">
        <f>Table134[[#This Row],[avg_number_of_purchases]]*Table1345[[#This Row],[avg_purchase_value]]*Table1345[[#This Row],[expected_lifespan]]</f>
        <v>80272.120212765949</v>
      </c>
      <c r="N1199" t="s">
        <v>12044</v>
      </c>
    </row>
    <row r="1200" spans="1:14" x14ac:dyDescent="0.3">
      <c r="A1200" s="2" t="s">
        <v>1198</v>
      </c>
      <c r="B1200" s="2" t="s">
        <v>12040</v>
      </c>
      <c r="C1200" s="2">
        <v>26</v>
      </c>
      <c r="D1200" s="2" t="s">
        <v>12049</v>
      </c>
      <c r="E1200" s="2">
        <f>COUNTIF(Table16[customer_id],Table13[[#This Row],[customer_id]])</f>
        <v>4</v>
      </c>
      <c r="F1200" s="13">
        <f>SUMIFS(Table16[Purchase_history],Table16[customer_id],Table13[[#This Row],[customer_id]])</f>
        <v>20404.32</v>
      </c>
      <c r="G1200" s="20">
        <v>44819</v>
      </c>
      <c r="H1200" s="21">
        <v>44973</v>
      </c>
      <c r="I1200" s="15">
        <f>(Table134[[#This Row],[Last_Day]]-Table134[[#This Row],[First_Day]]+1)/365</f>
        <v>0.42465753424657532</v>
      </c>
      <c r="J1200" s="59">
        <f>Table134[[#This Row],[number_of_purchases]]/Table134[[#This Row],[customer_total_years]]</f>
        <v>9.4193548387096779</v>
      </c>
      <c r="K1200" s="13">
        <f>Table134[[#This Row],[purchase_history]]/Table134[[#This Row],[number_of_purchases]]</f>
        <v>5101.08</v>
      </c>
      <c r="L1200" s="2">
        <f>IF(YEAR(Table134[[#This Row],[Last_Day]])=2021,5,IF(YEAR(Table134[[#This Row],[Last_Day]])=2022,7,IF(YEAR(Table134[[#This Row],[Last_Day]])=2023,10,"Không xác định")))</f>
        <v>10</v>
      </c>
      <c r="M1200" s="15">
        <f>Table134[[#This Row],[avg_number_of_purchases]]*Table1345[[#This Row],[avg_purchase_value]]*Table1345[[#This Row],[expected_lifespan]]</f>
        <v>480488.82580645161</v>
      </c>
      <c r="N1200" t="s">
        <v>12046</v>
      </c>
    </row>
    <row r="1201" spans="1:14" x14ac:dyDescent="0.3">
      <c r="A1201" s="2" t="s">
        <v>1199</v>
      </c>
      <c r="B1201" s="2" t="s">
        <v>12040</v>
      </c>
      <c r="C1201" s="2">
        <v>64</v>
      </c>
      <c r="D1201" s="2" t="s">
        <v>12041</v>
      </c>
      <c r="E1201" s="2">
        <f>COUNTIF(Table16[customer_id],Table13[[#This Row],[customer_id]])</f>
        <v>1</v>
      </c>
      <c r="F1201" s="13">
        <f>SUMIFS(Table16[Purchase_history],Table16[customer_id],Table13[[#This Row],[customer_id]])</f>
        <v>7502</v>
      </c>
      <c r="G1201" s="20">
        <v>44451</v>
      </c>
      <c r="H1201" s="21">
        <v>44451</v>
      </c>
      <c r="I1201" s="15">
        <f>(Table134[[#This Row],[Last_Day]]-Table134[[#This Row],[First_Day]]+1)/365</f>
        <v>2.7397260273972603E-3</v>
      </c>
      <c r="J1201" s="59">
        <f>Table134[[#This Row],[number_of_purchases]]/Table134[[#This Row],[customer_total_years]]</f>
        <v>365</v>
      </c>
      <c r="K1201" s="13">
        <f>Table134[[#This Row],[purchase_history]]/Table134[[#This Row],[number_of_purchases]]</f>
        <v>7502</v>
      </c>
      <c r="L1201" s="2">
        <f>IF(YEAR(Table134[[#This Row],[Last_Day]])=2021,5,IF(YEAR(Table134[[#This Row],[Last_Day]])=2022,7,IF(YEAR(Table134[[#This Row],[Last_Day]])=2023,10,"Không xác định")))</f>
        <v>5</v>
      </c>
      <c r="M1201" s="15">
        <f>Table134[[#This Row],[avg_number_of_purchases]]*Table1345[[#This Row],[avg_purchase_value]]*Table1345[[#This Row],[expected_lifespan]]</f>
        <v>13691150</v>
      </c>
      <c r="N1201" t="s">
        <v>12046</v>
      </c>
    </row>
    <row r="1202" spans="1:14" x14ac:dyDescent="0.3">
      <c r="A1202" s="2" t="s">
        <v>1200</v>
      </c>
      <c r="B1202" s="2" t="s">
        <v>12045</v>
      </c>
      <c r="C1202" s="2">
        <v>69</v>
      </c>
      <c r="D1202" s="2" t="s">
        <v>12049</v>
      </c>
      <c r="E1202" s="2">
        <f>COUNTIF(Table16[customer_id],Table13[[#This Row],[customer_id]])</f>
        <v>2</v>
      </c>
      <c r="F1202" s="13">
        <f>SUMIFS(Table16[Purchase_history],Table16[customer_id],Table13[[#This Row],[customer_id]])</f>
        <v>1388</v>
      </c>
      <c r="G1202" s="20">
        <v>44369</v>
      </c>
      <c r="H1202" s="21">
        <v>44766</v>
      </c>
      <c r="I1202" s="15">
        <f>(Table134[[#This Row],[Last_Day]]-Table134[[#This Row],[First_Day]]+1)/365</f>
        <v>1.0904109589041096</v>
      </c>
      <c r="J1202" s="59">
        <f>Table134[[#This Row],[number_of_purchases]]/Table134[[#This Row],[customer_total_years]]</f>
        <v>1.8341708542713568</v>
      </c>
      <c r="K1202" s="13">
        <f>Table134[[#This Row],[purchase_history]]/Table134[[#This Row],[number_of_purchases]]</f>
        <v>694</v>
      </c>
      <c r="L1202" s="2">
        <f>IF(YEAR(Table134[[#This Row],[Last_Day]])=2021,5,IF(YEAR(Table134[[#This Row],[Last_Day]])=2022,7,IF(YEAR(Table134[[#This Row],[Last_Day]])=2023,10,"Không xác định")))</f>
        <v>7</v>
      </c>
      <c r="M1202" s="15">
        <f>Table134[[#This Row],[avg_number_of_purchases]]*Table1345[[#This Row],[avg_purchase_value]]*Table1345[[#This Row],[expected_lifespan]]</f>
        <v>8910.4020100502512</v>
      </c>
      <c r="N1202" t="s">
        <v>12047</v>
      </c>
    </row>
    <row r="1203" spans="1:14" x14ac:dyDescent="0.3">
      <c r="A1203" s="2" t="s">
        <v>1201</v>
      </c>
      <c r="B1203" s="2" t="s">
        <v>12040</v>
      </c>
      <c r="C1203" s="2">
        <v>41</v>
      </c>
      <c r="D1203" s="2" t="s">
        <v>12041</v>
      </c>
      <c r="E1203" s="2">
        <f>COUNTIF(Table16[customer_id],Table13[[#This Row],[customer_id]])</f>
        <v>2</v>
      </c>
      <c r="F1203" s="13">
        <f>SUMIFS(Table16[Purchase_history],Table16[customer_id],Table13[[#This Row],[customer_id]])</f>
        <v>5101.3599999999997</v>
      </c>
      <c r="G1203" s="20">
        <v>44393</v>
      </c>
      <c r="H1203" s="21">
        <v>44900</v>
      </c>
      <c r="I1203" s="15">
        <f>(Table134[[#This Row],[Last_Day]]-Table134[[#This Row],[First_Day]]+1)/365</f>
        <v>1.3917808219178083</v>
      </c>
      <c r="J1203" s="59">
        <f>Table134[[#This Row],[number_of_purchases]]/Table134[[#This Row],[customer_total_years]]</f>
        <v>1.4370078740157479</v>
      </c>
      <c r="K1203" s="13">
        <f>Table134[[#This Row],[purchase_history]]/Table134[[#This Row],[number_of_purchases]]</f>
        <v>2550.6799999999998</v>
      </c>
      <c r="L1203" s="2">
        <f>IF(YEAR(Table134[[#This Row],[Last_Day]])=2021,5,IF(YEAR(Table134[[#This Row],[Last_Day]])=2022,7,IF(YEAR(Table134[[#This Row],[Last_Day]])=2023,10,"Không xác định")))</f>
        <v>7</v>
      </c>
      <c r="M1203" s="15">
        <f>Table134[[#This Row],[avg_number_of_purchases]]*Table1345[[#This Row],[avg_purchase_value]]*Table1345[[#This Row],[expected_lifespan]]</f>
        <v>25657.430708661414</v>
      </c>
      <c r="N1203" t="s">
        <v>12048</v>
      </c>
    </row>
    <row r="1204" spans="1:14" x14ac:dyDescent="0.3">
      <c r="A1204" s="2" t="s">
        <v>1202</v>
      </c>
      <c r="B1204" s="2" t="s">
        <v>12045</v>
      </c>
      <c r="C1204" s="2">
        <v>50</v>
      </c>
      <c r="D1204" s="2" t="s">
        <v>12041</v>
      </c>
      <c r="E1204" s="2">
        <f>COUNTIF(Table16[customer_id],Table13[[#This Row],[customer_id]])</f>
        <v>9</v>
      </c>
      <c r="F1204" s="13">
        <f>SUMIFS(Table16[Purchase_history],Table16[customer_id],Table13[[#This Row],[customer_id]])</f>
        <v>9570.8099999999977</v>
      </c>
      <c r="G1204" s="20">
        <v>44287</v>
      </c>
      <c r="H1204" s="21">
        <v>44968</v>
      </c>
      <c r="I1204" s="15">
        <f>(Table134[[#This Row],[Last_Day]]-Table134[[#This Row],[First_Day]]+1)/365</f>
        <v>1.8684931506849316</v>
      </c>
      <c r="J1204" s="59">
        <f>Table134[[#This Row],[number_of_purchases]]/Table134[[#This Row],[customer_total_years]]</f>
        <v>4.8167155425219939</v>
      </c>
      <c r="K1204" s="13">
        <f>Table134[[#This Row],[purchase_history]]/Table134[[#This Row],[number_of_purchases]]</f>
        <v>1063.4233333333332</v>
      </c>
      <c r="L1204" s="2">
        <f>IF(YEAR(Table134[[#This Row],[Last_Day]])=2021,5,IF(YEAR(Table134[[#This Row],[Last_Day]])=2022,7,IF(YEAR(Table134[[#This Row],[Last_Day]])=2023,10,"Không xác định")))</f>
        <v>10</v>
      </c>
      <c r="M1204" s="15">
        <f>Table134[[#This Row],[avg_number_of_purchases]]*Table1345[[#This Row],[avg_purchase_value]]*Table1345[[#This Row],[expected_lifespan]]</f>
        <v>51222.076979472127</v>
      </c>
      <c r="N1204" t="s">
        <v>12042</v>
      </c>
    </row>
    <row r="1205" spans="1:14" x14ac:dyDescent="0.3">
      <c r="A1205" s="2" t="s">
        <v>1203</v>
      </c>
      <c r="B1205" s="2" t="s">
        <v>12045</v>
      </c>
      <c r="C1205" s="2">
        <v>64</v>
      </c>
      <c r="D1205" s="2" t="s">
        <v>12041</v>
      </c>
      <c r="E1205" s="2">
        <f>COUNTIF(Table16[customer_id],Table13[[#This Row],[customer_id]])</f>
        <v>6</v>
      </c>
      <c r="F1205" s="13">
        <f>SUMIFS(Table16[Purchase_history],Table16[customer_id],Table13[[#This Row],[customer_id]])</f>
        <v>11620.56</v>
      </c>
      <c r="G1205" s="20">
        <v>44259</v>
      </c>
      <c r="H1205" s="21">
        <v>44810</v>
      </c>
      <c r="I1205" s="15">
        <f>(Table134[[#This Row],[Last_Day]]-Table134[[#This Row],[First_Day]]+1)/365</f>
        <v>1.5123287671232877</v>
      </c>
      <c r="J1205" s="59">
        <f>Table134[[#This Row],[number_of_purchases]]/Table134[[#This Row],[customer_total_years]]</f>
        <v>3.9673913043478262</v>
      </c>
      <c r="K1205" s="13">
        <f>Table134[[#This Row],[purchase_history]]/Table134[[#This Row],[number_of_purchases]]</f>
        <v>1936.76</v>
      </c>
      <c r="L1205" s="2">
        <f>IF(YEAR(Table134[[#This Row],[Last_Day]])=2021,5,IF(YEAR(Table134[[#This Row],[Last_Day]])=2022,7,IF(YEAR(Table134[[#This Row],[Last_Day]])=2023,10,"Không xác định")))</f>
        <v>7</v>
      </c>
      <c r="M1205" s="15">
        <f>Table134[[#This Row],[avg_number_of_purchases]]*Table1345[[#This Row],[avg_purchase_value]]*Table1345[[#This Row],[expected_lifespan]]</f>
        <v>53787.193478260873</v>
      </c>
      <c r="N1205" t="s">
        <v>12047</v>
      </c>
    </row>
    <row r="1206" spans="1:14" x14ac:dyDescent="0.3">
      <c r="A1206" s="2" t="s">
        <v>1204</v>
      </c>
      <c r="B1206" s="2" t="s">
        <v>12040</v>
      </c>
      <c r="C1206" s="2">
        <v>22</v>
      </c>
      <c r="D1206" s="2" t="s">
        <v>12049</v>
      </c>
      <c r="E1206" s="2">
        <f>COUNTIF(Table16[customer_id],Table13[[#This Row],[customer_id]])</f>
        <v>6</v>
      </c>
      <c r="F1206" s="13">
        <f>SUMIFS(Table16[Purchase_history],Table16[customer_id],Table13[[#This Row],[customer_id]])</f>
        <v>11759.480000000001</v>
      </c>
      <c r="G1206" s="20">
        <v>44791</v>
      </c>
      <c r="H1206" s="21">
        <v>44968</v>
      </c>
      <c r="I1206" s="15">
        <f>(Table134[[#This Row],[Last_Day]]-Table134[[#This Row],[First_Day]]+1)/365</f>
        <v>0.48767123287671232</v>
      </c>
      <c r="J1206" s="59">
        <f>Table134[[#This Row],[number_of_purchases]]/Table134[[#This Row],[customer_total_years]]</f>
        <v>12.303370786516854</v>
      </c>
      <c r="K1206" s="13">
        <f>Table134[[#This Row],[purchase_history]]/Table134[[#This Row],[number_of_purchases]]</f>
        <v>1959.9133333333336</v>
      </c>
      <c r="L1206" s="2">
        <f>IF(YEAR(Table134[[#This Row],[Last_Day]])=2021,5,IF(YEAR(Table134[[#This Row],[Last_Day]])=2022,7,IF(YEAR(Table134[[#This Row],[Last_Day]])=2023,10,"Không xác định")))</f>
        <v>10</v>
      </c>
      <c r="M1206" s="15">
        <f>Table134[[#This Row],[avg_number_of_purchases]]*Table1345[[#This Row],[avg_purchase_value]]*Table1345[[#This Row],[expected_lifespan]]</f>
        <v>241135.40449438206</v>
      </c>
      <c r="N1206" t="s">
        <v>12046</v>
      </c>
    </row>
    <row r="1207" spans="1:14" x14ac:dyDescent="0.3">
      <c r="A1207" s="2" t="s">
        <v>1205</v>
      </c>
      <c r="B1207" s="2" t="s">
        <v>12040</v>
      </c>
      <c r="C1207" s="2">
        <v>26</v>
      </c>
      <c r="D1207" s="2" t="s">
        <v>12049</v>
      </c>
      <c r="E1207" s="2">
        <f>COUNTIF(Table16[customer_id],Table13[[#This Row],[customer_id]])</f>
        <v>2</v>
      </c>
      <c r="F1207" s="13">
        <f>SUMIFS(Table16[Purchase_history],Table16[customer_id],Table13[[#This Row],[customer_id]])</f>
        <v>145.9</v>
      </c>
      <c r="G1207" s="20">
        <v>44213</v>
      </c>
      <c r="H1207" s="21">
        <v>44527</v>
      </c>
      <c r="I1207" s="15">
        <f>(Table134[[#This Row],[Last_Day]]-Table134[[#This Row],[First_Day]]+1)/365</f>
        <v>0.86301369863013699</v>
      </c>
      <c r="J1207" s="59">
        <f>Table134[[#This Row],[number_of_purchases]]/Table134[[#This Row],[customer_total_years]]</f>
        <v>2.3174603174603172</v>
      </c>
      <c r="K1207" s="13">
        <f>Table134[[#This Row],[purchase_history]]/Table134[[#This Row],[number_of_purchases]]</f>
        <v>72.95</v>
      </c>
      <c r="L1207" s="2">
        <f>IF(YEAR(Table134[[#This Row],[Last_Day]])=2021,5,IF(YEAR(Table134[[#This Row],[Last_Day]])=2022,7,IF(YEAR(Table134[[#This Row],[Last_Day]])=2023,10,"Không xác định")))</f>
        <v>5</v>
      </c>
      <c r="M1207" s="15">
        <f>Table134[[#This Row],[avg_number_of_purchases]]*Table1345[[#This Row],[avg_purchase_value]]*Table1345[[#This Row],[expected_lifespan]]</f>
        <v>845.29365079365084</v>
      </c>
      <c r="N1207" t="s">
        <v>12044</v>
      </c>
    </row>
    <row r="1208" spans="1:14" x14ac:dyDescent="0.3">
      <c r="A1208" s="2" t="s">
        <v>1206</v>
      </c>
      <c r="B1208" s="2" t="s">
        <v>12045</v>
      </c>
      <c r="C1208" s="2">
        <v>33</v>
      </c>
      <c r="D1208" s="2" t="s">
        <v>12043</v>
      </c>
      <c r="E1208" s="2">
        <f>COUNTIF(Table16[customer_id],Table13[[#This Row],[customer_id]])</f>
        <v>5</v>
      </c>
      <c r="F1208" s="13">
        <f>SUMIFS(Table16[Purchase_history],Table16[customer_id],Table13[[#This Row],[customer_id]])</f>
        <v>4071.21</v>
      </c>
      <c r="G1208" s="20">
        <v>44338</v>
      </c>
      <c r="H1208" s="21">
        <v>44952</v>
      </c>
      <c r="I1208" s="15">
        <f>(Table134[[#This Row],[Last_Day]]-Table134[[#This Row],[First_Day]]+1)/365</f>
        <v>1.6849315068493151</v>
      </c>
      <c r="J1208" s="59">
        <f>Table134[[#This Row],[number_of_purchases]]/Table134[[#This Row],[customer_total_years]]</f>
        <v>2.9674796747967478</v>
      </c>
      <c r="K1208" s="13">
        <f>Table134[[#This Row],[purchase_history]]/Table134[[#This Row],[number_of_purchases]]</f>
        <v>814.24199999999996</v>
      </c>
      <c r="L1208" s="2">
        <f>IF(YEAR(Table134[[#This Row],[Last_Day]])=2021,5,IF(YEAR(Table134[[#This Row],[Last_Day]])=2022,7,IF(YEAR(Table134[[#This Row],[Last_Day]])=2023,10,"Không xác định")))</f>
        <v>10</v>
      </c>
      <c r="M1208" s="15">
        <f>Table134[[#This Row],[avg_number_of_purchases]]*Table1345[[#This Row],[avg_purchase_value]]*Table1345[[#This Row],[expected_lifespan]]</f>
        <v>24162.465853658534</v>
      </c>
      <c r="N1208" t="s">
        <v>12046</v>
      </c>
    </row>
    <row r="1209" spans="1:14" x14ac:dyDescent="0.3">
      <c r="A1209" s="2" t="s">
        <v>1207</v>
      </c>
      <c r="B1209" s="2" t="s">
        <v>12040</v>
      </c>
      <c r="C1209" s="2">
        <v>36</v>
      </c>
      <c r="D1209" s="2" t="s">
        <v>12049</v>
      </c>
      <c r="E1209" s="2">
        <f>COUNTIF(Table16[customer_id],Table13[[#This Row],[customer_id]])</f>
        <v>6</v>
      </c>
      <c r="F1209" s="13">
        <f>SUMIFS(Table16[Purchase_history],Table16[customer_id],Table13[[#This Row],[customer_id]])</f>
        <v>10025.460000000001</v>
      </c>
      <c r="G1209" s="20">
        <v>44221</v>
      </c>
      <c r="H1209" s="21">
        <v>44938</v>
      </c>
      <c r="I1209" s="15">
        <f>(Table134[[#This Row],[Last_Day]]-Table134[[#This Row],[First_Day]]+1)/365</f>
        <v>1.9671232876712328</v>
      </c>
      <c r="J1209" s="59">
        <f>Table134[[#This Row],[number_of_purchases]]/Table134[[#This Row],[customer_total_years]]</f>
        <v>3.0501392757660168</v>
      </c>
      <c r="K1209" s="13">
        <f>Table134[[#This Row],[purchase_history]]/Table134[[#This Row],[number_of_purchases]]</f>
        <v>1670.91</v>
      </c>
      <c r="L1209" s="2">
        <f>IF(YEAR(Table134[[#This Row],[Last_Day]])=2021,5,IF(YEAR(Table134[[#This Row],[Last_Day]])=2022,7,IF(YEAR(Table134[[#This Row],[Last_Day]])=2023,10,"Không xác định")))</f>
        <v>10</v>
      </c>
      <c r="M1209" s="15">
        <f>Table134[[#This Row],[avg_number_of_purchases]]*Table1345[[#This Row],[avg_purchase_value]]*Table1345[[#This Row],[expected_lifespan]]</f>
        <v>50965.08217270195</v>
      </c>
      <c r="N1209" t="s">
        <v>12046</v>
      </c>
    </row>
    <row r="1210" spans="1:14" x14ac:dyDescent="0.3">
      <c r="A1210" s="2" t="s">
        <v>1208</v>
      </c>
      <c r="B1210" s="2" t="s">
        <v>12045</v>
      </c>
      <c r="C1210" s="2">
        <v>39</v>
      </c>
      <c r="D1210" s="2" t="s">
        <v>12043</v>
      </c>
      <c r="E1210" s="2">
        <f>COUNTIF(Table16[customer_id],Table13[[#This Row],[customer_id]])</f>
        <v>8</v>
      </c>
      <c r="F1210" s="13">
        <f>SUMIFS(Table16[Purchase_history],Table16[customer_id],Table13[[#This Row],[customer_id]])</f>
        <v>22770.93</v>
      </c>
      <c r="G1210" s="20">
        <v>44261</v>
      </c>
      <c r="H1210" s="21">
        <v>44955</v>
      </c>
      <c r="I1210" s="15">
        <f>(Table134[[#This Row],[Last_Day]]-Table134[[#This Row],[First_Day]]+1)/365</f>
        <v>1.904109589041096</v>
      </c>
      <c r="J1210" s="59">
        <f>Table134[[#This Row],[number_of_purchases]]/Table134[[#This Row],[customer_total_years]]</f>
        <v>4.2014388489208629</v>
      </c>
      <c r="K1210" s="13">
        <f>Table134[[#This Row],[purchase_history]]/Table134[[#This Row],[number_of_purchases]]</f>
        <v>2846.36625</v>
      </c>
      <c r="L1210" s="2">
        <f>IF(YEAR(Table134[[#This Row],[Last_Day]])=2021,5,IF(YEAR(Table134[[#This Row],[Last_Day]])=2022,7,IF(YEAR(Table134[[#This Row],[Last_Day]])=2023,10,"Không xác định")))</f>
        <v>10</v>
      </c>
      <c r="M1210" s="15">
        <f>Table134[[#This Row],[avg_number_of_purchases]]*Table1345[[#This Row],[avg_purchase_value]]*Table1345[[#This Row],[expected_lifespan]]</f>
        <v>119588.33741007192</v>
      </c>
      <c r="N1210" t="s">
        <v>12048</v>
      </c>
    </row>
    <row r="1211" spans="1:14" x14ac:dyDescent="0.3">
      <c r="A1211" s="2" t="s">
        <v>1209</v>
      </c>
      <c r="B1211" s="2" t="s">
        <v>12040</v>
      </c>
      <c r="C1211" s="2">
        <v>25</v>
      </c>
      <c r="D1211" s="2" t="s">
        <v>12041</v>
      </c>
      <c r="E1211" s="2">
        <f>COUNTIF(Table16[customer_id],Table13[[#This Row],[customer_id]])</f>
        <v>4</v>
      </c>
      <c r="F1211" s="13">
        <f>SUMIFS(Table16[Purchase_history],Table16[customer_id],Table13[[#This Row],[customer_id]])</f>
        <v>14266.49</v>
      </c>
      <c r="G1211" s="20">
        <v>44216</v>
      </c>
      <c r="H1211" s="21">
        <v>44878</v>
      </c>
      <c r="I1211" s="15">
        <f>(Table134[[#This Row],[Last_Day]]-Table134[[#This Row],[First_Day]]+1)/365</f>
        <v>1.8164383561643835</v>
      </c>
      <c r="J1211" s="59">
        <f>Table134[[#This Row],[number_of_purchases]]/Table134[[#This Row],[customer_total_years]]</f>
        <v>2.2021116138763199</v>
      </c>
      <c r="K1211" s="13">
        <f>Table134[[#This Row],[purchase_history]]/Table134[[#This Row],[number_of_purchases]]</f>
        <v>3566.6224999999999</v>
      </c>
      <c r="L1211" s="2">
        <f>IF(YEAR(Table134[[#This Row],[Last_Day]])=2021,5,IF(YEAR(Table134[[#This Row],[Last_Day]])=2022,7,IF(YEAR(Table134[[#This Row],[Last_Day]])=2023,10,"Không xác định")))</f>
        <v>7</v>
      </c>
      <c r="M1211" s="15">
        <f>Table134[[#This Row],[avg_number_of_purchases]]*Table1345[[#This Row],[avg_purchase_value]]*Table1345[[#This Row],[expected_lifespan]]</f>
        <v>54978.705806938167</v>
      </c>
      <c r="N1211" t="s">
        <v>12048</v>
      </c>
    </row>
    <row r="1212" spans="1:14" x14ac:dyDescent="0.3">
      <c r="A1212" s="2" t="s">
        <v>1210</v>
      </c>
      <c r="B1212" s="2" t="s">
        <v>12045</v>
      </c>
      <c r="C1212" s="2">
        <v>31</v>
      </c>
      <c r="D1212" s="2" t="s">
        <v>12043</v>
      </c>
      <c r="E1212" s="2">
        <f>COUNTIF(Table16[customer_id],Table13[[#This Row],[customer_id]])</f>
        <v>3</v>
      </c>
      <c r="F1212" s="13">
        <f>SUMIFS(Table16[Purchase_history],Table16[customer_id],Table13[[#This Row],[customer_id]])</f>
        <v>905.48</v>
      </c>
      <c r="G1212" s="20">
        <v>44645</v>
      </c>
      <c r="H1212" s="21">
        <v>44966</v>
      </c>
      <c r="I1212" s="15">
        <f>(Table134[[#This Row],[Last_Day]]-Table134[[#This Row],[First_Day]]+1)/365</f>
        <v>0.88219178082191785</v>
      </c>
      <c r="J1212" s="59">
        <f>Table134[[#This Row],[number_of_purchases]]/Table134[[#This Row],[customer_total_years]]</f>
        <v>3.4006211180124222</v>
      </c>
      <c r="K1212" s="13">
        <f>Table134[[#This Row],[purchase_history]]/Table134[[#This Row],[number_of_purchases]]</f>
        <v>301.82666666666665</v>
      </c>
      <c r="L1212" s="2">
        <f>IF(YEAR(Table134[[#This Row],[Last_Day]])=2021,5,IF(YEAR(Table134[[#This Row],[Last_Day]])=2022,7,IF(YEAR(Table134[[#This Row],[Last_Day]])=2023,10,"Không xác định")))</f>
        <v>10</v>
      </c>
      <c r="M1212" s="15">
        <f>Table134[[#This Row],[avg_number_of_purchases]]*Table1345[[#This Row],[avg_purchase_value]]*Table1345[[#This Row],[expected_lifespan]]</f>
        <v>10263.981366459628</v>
      </c>
      <c r="N1212" t="s">
        <v>12042</v>
      </c>
    </row>
    <row r="1213" spans="1:14" x14ac:dyDescent="0.3">
      <c r="A1213" s="2" t="s">
        <v>1211</v>
      </c>
      <c r="B1213" s="2" t="s">
        <v>12040</v>
      </c>
      <c r="C1213" s="2">
        <v>25</v>
      </c>
      <c r="D1213" s="2" t="s">
        <v>12041</v>
      </c>
      <c r="E1213" s="2">
        <f>COUNTIF(Table16[customer_id],Table13[[#This Row],[customer_id]])</f>
        <v>4</v>
      </c>
      <c r="F1213" s="13">
        <f>SUMIFS(Table16[Purchase_history],Table16[customer_id],Table13[[#This Row],[customer_id]])</f>
        <v>8239.7800000000007</v>
      </c>
      <c r="G1213" s="20">
        <v>44200</v>
      </c>
      <c r="H1213" s="21">
        <v>44671</v>
      </c>
      <c r="I1213" s="15">
        <f>(Table134[[#This Row],[Last_Day]]-Table134[[#This Row],[First_Day]]+1)/365</f>
        <v>1.2931506849315069</v>
      </c>
      <c r="J1213" s="59">
        <f>Table134[[#This Row],[number_of_purchases]]/Table134[[#This Row],[customer_total_years]]</f>
        <v>3.0932203389830506</v>
      </c>
      <c r="K1213" s="13">
        <f>Table134[[#This Row],[purchase_history]]/Table134[[#This Row],[number_of_purchases]]</f>
        <v>2059.9450000000002</v>
      </c>
      <c r="L1213" s="2">
        <f>IF(YEAR(Table134[[#This Row],[Last_Day]])=2021,5,IF(YEAR(Table134[[#This Row],[Last_Day]])=2022,7,IF(YEAR(Table134[[#This Row],[Last_Day]])=2023,10,"Không xác định")))</f>
        <v>7</v>
      </c>
      <c r="M1213" s="15">
        <f>Table134[[#This Row],[avg_number_of_purchases]]*Table1345[[#This Row],[avg_purchase_value]]*Table1345[[#This Row],[expected_lifespan]]</f>
        <v>44603.046398305079</v>
      </c>
      <c r="N1213" t="s">
        <v>12042</v>
      </c>
    </row>
    <row r="1214" spans="1:14" x14ac:dyDescent="0.3">
      <c r="A1214" s="2" t="s">
        <v>1212</v>
      </c>
      <c r="B1214" s="2" t="s">
        <v>12040</v>
      </c>
      <c r="C1214" s="2">
        <v>36</v>
      </c>
      <c r="D1214" s="2" t="s">
        <v>12049</v>
      </c>
      <c r="E1214" s="2">
        <f>COUNTIF(Table16[customer_id],Table13[[#This Row],[customer_id]])</f>
        <v>8</v>
      </c>
      <c r="F1214" s="13">
        <f>SUMIFS(Table16[Purchase_history],Table16[customer_id],Table13[[#This Row],[customer_id]])</f>
        <v>19254.659999999996</v>
      </c>
      <c r="G1214" s="20">
        <v>44262</v>
      </c>
      <c r="H1214" s="21">
        <v>44969</v>
      </c>
      <c r="I1214" s="15">
        <f>(Table134[[#This Row],[Last_Day]]-Table134[[#This Row],[First_Day]]+1)/365</f>
        <v>1.9397260273972603</v>
      </c>
      <c r="J1214" s="59">
        <f>Table134[[#This Row],[number_of_purchases]]/Table134[[#This Row],[customer_total_years]]</f>
        <v>4.1242937853107344</v>
      </c>
      <c r="K1214" s="13">
        <f>Table134[[#This Row],[purchase_history]]/Table134[[#This Row],[number_of_purchases]]</f>
        <v>2406.8324999999995</v>
      </c>
      <c r="L1214" s="2">
        <f>IF(YEAR(Table134[[#This Row],[Last_Day]])=2021,5,IF(YEAR(Table134[[#This Row],[Last_Day]])=2022,7,IF(YEAR(Table134[[#This Row],[Last_Day]])=2023,10,"Không xác định")))</f>
        <v>10</v>
      </c>
      <c r="M1214" s="15">
        <f>Table134[[#This Row],[avg_number_of_purchases]]*Table1345[[#This Row],[avg_purchase_value]]*Table1345[[#This Row],[expected_lifespan]]</f>
        <v>99264.843220338968</v>
      </c>
      <c r="N1214" t="s">
        <v>12042</v>
      </c>
    </row>
    <row r="1215" spans="1:14" x14ac:dyDescent="0.3">
      <c r="A1215" s="2" t="s">
        <v>1213</v>
      </c>
      <c r="B1215" s="2" t="s">
        <v>12040</v>
      </c>
      <c r="C1215" s="2">
        <v>54</v>
      </c>
      <c r="D1215" s="2" t="s">
        <v>12041</v>
      </c>
      <c r="E1215" s="2">
        <f>COUNTIF(Table16[customer_id],Table13[[#This Row],[customer_id]])</f>
        <v>5</v>
      </c>
      <c r="F1215" s="13">
        <f>SUMIFS(Table16[Purchase_history],Table16[customer_id],Table13[[#This Row],[customer_id]])</f>
        <v>20072.269999999997</v>
      </c>
      <c r="G1215" s="20">
        <v>44311</v>
      </c>
      <c r="H1215" s="21">
        <v>44933</v>
      </c>
      <c r="I1215" s="15">
        <f>(Table134[[#This Row],[Last_Day]]-Table134[[#This Row],[First_Day]]+1)/365</f>
        <v>1.7068493150684931</v>
      </c>
      <c r="J1215" s="59">
        <f>Table134[[#This Row],[number_of_purchases]]/Table134[[#This Row],[customer_total_years]]</f>
        <v>2.9293739967897272</v>
      </c>
      <c r="K1215" s="13">
        <f>Table134[[#This Row],[purchase_history]]/Table134[[#This Row],[number_of_purchases]]</f>
        <v>4014.4539999999993</v>
      </c>
      <c r="L1215" s="2">
        <f>IF(YEAR(Table134[[#This Row],[Last_Day]])=2021,5,IF(YEAR(Table134[[#This Row],[Last_Day]])=2022,7,IF(YEAR(Table134[[#This Row],[Last_Day]])=2023,10,"Không xác định")))</f>
        <v>10</v>
      </c>
      <c r="M1215" s="15">
        <f>Table134[[#This Row],[avg_number_of_purchases]]*Table1345[[#This Row],[avg_purchase_value]]*Table1345[[#This Row],[expected_lifespan]]</f>
        <v>117598.37158908506</v>
      </c>
      <c r="N1215" t="s">
        <v>12042</v>
      </c>
    </row>
    <row r="1216" spans="1:14" x14ac:dyDescent="0.3">
      <c r="A1216" s="2" t="s">
        <v>1214</v>
      </c>
      <c r="B1216" s="2" t="s">
        <v>12040</v>
      </c>
      <c r="C1216" s="2">
        <v>66</v>
      </c>
      <c r="D1216" s="2" t="s">
        <v>12041</v>
      </c>
      <c r="E1216" s="2">
        <f>COUNTIF(Table16[customer_id],Table13[[#This Row],[customer_id]])</f>
        <v>10</v>
      </c>
      <c r="F1216" s="13">
        <f>SUMIFS(Table16[Purchase_history],Table16[customer_id],Table13[[#This Row],[customer_id]])</f>
        <v>32564.18</v>
      </c>
      <c r="G1216" s="20">
        <v>44265</v>
      </c>
      <c r="H1216" s="21">
        <v>44968</v>
      </c>
      <c r="I1216" s="15">
        <f>(Table134[[#This Row],[Last_Day]]-Table134[[#This Row],[First_Day]]+1)/365</f>
        <v>1.9287671232876713</v>
      </c>
      <c r="J1216" s="59">
        <f>Table134[[#This Row],[number_of_purchases]]/Table134[[#This Row],[customer_total_years]]</f>
        <v>5.1846590909090908</v>
      </c>
      <c r="K1216" s="13">
        <f>Table134[[#This Row],[purchase_history]]/Table134[[#This Row],[number_of_purchases]]</f>
        <v>3256.4180000000001</v>
      </c>
      <c r="L1216" s="2">
        <f>IF(YEAR(Table134[[#This Row],[Last_Day]])=2021,5,IF(YEAR(Table134[[#This Row],[Last_Day]])=2022,7,IF(YEAR(Table134[[#This Row],[Last_Day]])=2023,10,"Không xác định")))</f>
        <v>10</v>
      </c>
      <c r="M1216" s="15">
        <f>Table134[[#This Row],[avg_number_of_purchases]]*Table1345[[#This Row],[avg_purchase_value]]*Table1345[[#This Row],[expected_lifespan]]</f>
        <v>168834.171875</v>
      </c>
      <c r="N1216" t="s">
        <v>12046</v>
      </c>
    </row>
    <row r="1217" spans="1:14" x14ac:dyDescent="0.3">
      <c r="A1217" s="2" t="s">
        <v>1215</v>
      </c>
      <c r="B1217" s="2" t="s">
        <v>12040</v>
      </c>
      <c r="C1217" s="2">
        <v>48</v>
      </c>
      <c r="D1217" s="2" t="s">
        <v>12041</v>
      </c>
      <c r="E1217" s="2">
        <f>COUNTIF(Table16[customer_id],Table13[[#This Row],[customer_id]])</f>
        <v>10</v>
      </c>
      <c r="F1217" s="13">
        <f>SUMIFS(Table16[Purchase_history],Table16[customer_id],Table13[[#This Row],[customer_id]])</f>
        <v>35749.99</v>
      </c>
      <c r="G1217" s="20">
        <v>44210</v>
      </c>
      <c r="H1217" s="21">
        <v>44925</v>
      </c>
      <c r="I1217" s="15">
        <f>(Table134[[#This Row],[Last_Day]]-Table134[[#This Row],[First_Day]]+1)/365</f>
        <v>1.9616438356164383</v>
      </c>
      <c r="J1217" s="59">
        <f>Table134[[#This Row],[number_of_purchases]]/Table134[[#This Row],[customer_total_years]]</f>
        <v>5.0977653631284916</v>
      </c>
      <c r="K1217" s="13">
        <f>Table134[[#This Row],[purchase_history]]/Table134[[#This Row],[number_of_purchases]]</f>
        <v>3574.9989999999998</v>
      </c>
      <c r="L1217" s="2">
        <f>IF(YEAR(Table134[[#This Row],[Last_Day]])=2021,5,IF(YEAR(Table134[[#This Row],[Last_Day]])=2022,7,IF(YEAR(Table134[[#This Row],[Last_Day]])=2023,10,"Không xác định")))</f>
        <v>7</v>
      </c>
      <c r="M1217" s="15">
        <f>Table134[[#This Row],[avg_number_of_purchases]]*Table1345[[#This Row],[avg_purchase_value]]*Table1345[[#This Row],[expected_lifespan]]</f>
        <v>127571.54252793296</v>
      </c>
      <c r="N1217" t="s">
        <v>12047</v>
      </c>
    </row>
    <row r="1218" spans="1:14" x14ac:dyDescent="0.3">
      <c r="A1218" s="2" t="s">
        <v>1216</v>
      </c>
      <c r="B1218" s="2" t="s">
        <v>12045</v>
      </c>
      <c r="C1218" s="2">
        <v>18</v>
      </c>
      <c r="D1218" s="2" t="s">
        <v>12049</v>
      </c>
      <c r="E1218" s="2">
        <f>COUNTIF(Table16[customer_id],Table13[[#This Row],[customer_id]])</f>
        <v>5</v>
      </c>
      <c r="F1218" s="13">
        <f>SUMIFS(Table16[Purchase_history],Table16[customer_id],Table13[[#This Row],[customer_id]])</f>
        <v>3907.9500000000003</v>
      </c>
      <c r="G1218" s="20">
        <v>44224</v>
      </c>
      <c r="H1218" s="21">
        <v>44742</v>
      </c>
      <c r="I1218" s="15">
        <f>(Table134[[#This Row],[Last_Day]]-Table134[[#This Row],[First_Day]]+1)/365</f>
        <v>1.4219178082191781</v>
      </c>
      <c r="J1218" s="59">
        <f>Table134[[#This Row],[number_of_purchases]]/Table134[[#This Row],[customer_total_years]]</f>
        <v>3.516377649325626</v>
      </c>
      <c r="K1218" s="13">
        <f>Table134[[#This Row],[purchase_history]]/Table134[[#This Row],[number_of_purchases]]</f>
        <v>781.59</v>
      </c>
      <c r="L1218" s="2">
        <f>IF(YEAR(Table134[[#This Row],[Last_Day]])=2021,5,IF(YEAR(Table134[[#This Row],[Last_Day]])=2022,7,IF(YEAR(Table134[[#This Row],[Last_Day]])=2023,10,"Không xác định")))</f>
        <v>7</v>
      </c>
      <c r="M1218" s="15">
        <f>Table134[[#This Row],[avg_number_of_purchases]]*Table1345[[#This Row],[avg_purchase_value]]*Table1345[[#This Row],[expected_lifespan]]</f>
        <v>19238.559248554913</v>
      </c>
      <c r="N1218" t="s">
        <v>12048</v>
      </c>
    </row>
    <row r="1219" spans="1:14" x14ac:dyDescent="0.3">
      <c r="A1219" s="2" t="s">
        <v>1217</v>
      </c>
      <c r="B1219" s="2" t="s">
        <v>12040</v>
      </c>
      <c r="C1219" s="2">
        <v>56</v>
      </c>
      <c r="D1219" s="2" t="s">
        <v>12041</v>
      </c>
      <c r="E1219" s="2">
        <f>COUNTIF(Table16[customer_id],Table13[[#This Row],[customer_id]])</f>
        <v>5</v>
      </c>
      <c r="F1219" s="13">
        <f>SUMIFS(Table16[Purchase_history],Table16[customer_id],Table13[[#This Row],[customer_id]])</f>
        <v>16240.16</v>
      </c>
      <c r="G1219" s="20">
        <v>44407</v>
      </c>
      <c r="H1219" s="21">
        <v>44768</v>
      </c>
      <c r="I1219" s="15">
        <f>(Table134[[#This Row],[Last_Day]]-Table134[[#This Row],[First_Day]]+1)/365</f>
        <v>0.99178082191780825</v>
      </c>
      <c r="J1219" s="59">
        <f>Table134[[#This Row],[number_of_purchases]]/Table134[[#This Row],[customer_total_years]]</f>
        <v>5.041436464088398</v>
      </c>
      <c r="K1219" s="13">
        <f>Table134[[#This Row],[purchase_history]]/Table134[[#This Row],[number_of_purchases]]</f>
        <v>3248.0320000000002</v>
      </c>
      <c r="L1219" s="2">
        <f>IF(YEAR(Table134[[#This Row],[Last_Day]])=2021,5,IF(YEAR(Table134[[#This Row],[Last_Day]])=2022,7,IF(YEAR(Table134[[#This Row],[Last_Day]])=2023,10,"Không xác định")))</f>
        <v>7</v>
      </c>
      <c r="M1219" s="15">
        <f>Table134[[#This Row],[avg_number_of_purchases]]*Table1345[[#This Row],[avg_purchase_value]]*Table1345[[#This Row],[expected_lifespan]]</f>
        <v>114623.22872928178</v>
      </c>
      <c r="N1219" t="s">
        <v>12047</v>
      </c>
    </row>
    <row r="1220" spans="1:14" x14ac:dyDescent="0.3">
      <c r="A1220" s="2" t="s">
        <v>1218</v>
      </c>
      <c r="B1220" s="2" t="s">
        <v>12040</v>
      </c>
      <c r="C1220" s="2">
        <v>61</v>
      </c>
      <c r="D1220" s="2" t="s">
        <v>12043</v>
      </c>
      <c r="E1220" s="2">
        <f>COUNTIF(Table16[customer_id],Table13[[#This Row],[customer_id]])</f>
        <v>10</v>
      </c>
      <c r="F1220" s="13">
        <f>SUMIFS(Table16[Purchase_history],Table16[customer_id],Table13[[#This Row],[customer_id]])</f>
        <v>23068.16</v>
      </c>
      <c r="G1220" s="20">
        <v>44202</v>
      </c>
      <c r="H1220" s="21">
        <v>44949</v>
      </c>
      <c r="I1220" s="15">
        <f>(Table134[[#This Row],[Last_Day]]-Table134[[#This Row],[First_Day]]+1)/365</f>
        <v>2.0493150684931507</v>
      </c>
      <c r="J1220" s="59">
        <f>Table134[[#This Row],[number_of_purchases]]/Table134[[#This Row],[customer_total_years]]</f>
        <v>4.8796791443850269</v>
      </c>
      <c r="K1220" s="13">
        <f>Table134[[#This Row],[purchase_history]]/Table134[[#This Row],[number_of_purchases]]</f>
        <v>2306.8159999999998</v>
      </c>
      <c r="L1220" s="2">
        <f>IF(YEAR(Table134[[#This Row],[Last_Day]])=2021,5,IF(YEAR(Table134[[#This Row],[Last_Day]])=2022,7,IF(YEAR(Table134[[#This Row],[Last_Day]])=2023,10,"Không xác định")))</f>
        <v>10</v>
      </c>
      <c r="M1220" s="15">
        <f>Table134[[#This Row],[avg_number_of_purchases]]*Table1345[[#This Row],[avg_purchase_value]]*Table1345[[#This Row],[expected_lifespan]]</f>
        <v>112565.21925133689</v>
      </c>
      <c r="N1220" t="s">
        <v>12048</v>
      </c>
    </row>
    <row r="1221" spans="1:14" x14ac:dyDescent="0.3">
      <c r="A1221" s="2" t="s">
        <v>1219</v>
      </c>
      <c r="B1221" s="2" t="s">
        <v>12040</v>
      </c>
      <c r="C1221" s="2">
        <v>53</v>
      </c>
      <c r="D1221" s="2" t="s">
        <v>12043</v>
      </c>
      <c r="E1221" s="2">
        <f>COUNTIF(Table16[customer_id],Table13[[#This Row],[customer_id]])</f>
        <v>4</v>
      </c>
      <c r="F1221" s="13">
        <f>SUMIFS(Table16[Purchase_history],Table16[customer_id],Table13[[#This Row],[customer_id]])</f>
        <v>5977.1799999999994</v>
      </c>
      <c r="G1221" s="20">
        <v>44278</v>
      </c>
      <c r="H1221" s="21">
        <v>44951</v>
      </c>
      <c r="I1221" s="15">
        <f>(Table134[[#This Row],[Last_Day]]-Table134[[#This Row],[First_Day]]+1)/365</f>
        <v>1.8465753424657534</v>
      </c>
      <c r="J1221" s="59">
        <f>Table134[[#This Row],[number_of_purchases]]/Table134[[#This Row],[customer_total_years]]</f>
        <v>2.1661721068249258</v>
      </c>
      <c r="K1221" s="13">
        <f>Table134[[#This Row],[purchase_history]]/Table134[[#This Row],[number_of_purchases]]</f>
        <v>1494.2949999999998</v>
      </c>
      <c r="L1221" s="2">
        <f>IF(YEAR(Table134[[#This Row],[Last_Day]])=2021,5,IF(YEAR(Table134[[#This Row],[Last_Day]])=2022,7,IF(YEAR(Table134[[#This Row],[Last_Day]])=2023,10,"Không xác định")))</f>
        <v>10</v>
      </c>
      <c r="M1221" s="15">
        <f>Table134[[#This Row],[avg_number_of_purchases]]*Table1345[[#This Row],[avg_purchase_value]]*Table1345[[#This Row],[expected_lifespan]]</f>
        <v>32369.001483679524</v>
      </c>
      <c r="N1221" t="s">
        <v>12047</v>
      </c>
    </row>
    <row r="1222" spans="1:14" x14ac:dyDescent="0.3">
      <c r="A1222" s="2" t="s">
        <v>1220</v>
      </c>
      <c r="B1222" s="2" t="s">
        <v>12040</v>
      </c>
      <c r="C1222" s="2">
        <v>38</v>
      </c>
      <c r="D1222" s="2" t="s">
        <v>12043</v>
      </c>
      <c r="E1222" s="2">
        <f>COUNTIF(Table16[customer_id],Table13[[#This Row],[customer_id]])</f>
        <v>5</v>
      </c>
      <c r="F1222" s="13">
        <f>SUMIFS(Table16[Purchase_history],Table16[customer_id],Table13[[#This Row],[customer_id]])</f>
        <v>10586.49</v>
      </c>
      <c r="G1222" s="20">
        <v>44515</v>
      </c>
      <c r="H1222" s="21">
        <v>44800</v>
      </c>
      <c r="I1222" s="15">
        <f>(Table134[[#This Row],[Last_Day]]-Table134[[#This Row],[First_Day]]+1)/365</f>
        <v>0.78356164383561644</v>
      </c>
      <c r="J1222" s="59">
        <f>Table134[[#This Row],[number_of_purchases]]/Table134[[#This Row],[customer_total_years]]</f>
        <v>6.3811188811188808</v>
      </c>
      <c r="K1222" s="13">
        <f>Table134[[#This Row],[purchase_history]]/Table134[[#This Row],[number_of_purchases]]</f>
        <v>2117.2979999999998</v>
      </c>
      <c r="L1222" s="2">
        <f>IF(YEAR(Table134[[#This Row],[Last_Day]])=2021,5,IF(YEAR(Table134[[#This Row],[Last_Day]])=2022,7,IF(YEAR(Table134[[#This Row],[Last_Day]])=2023,10,"Không xác định")))</f>
        <v>7</v>
      </c>
      <c r="M1222" s="15">
        <f>Table134[[#This Row],[avg_number_of_purchases]]*Table1345[[#This Row],[avg_purchase_value]]*Table1345[[#This Row],[expected_lifespan]]</f>
        <v>94575.111713286693</v>
      </c>
      <c r="N1222" t="s">
        <v>12047</v>
      </c>
    </row>
    <row r="1223" spans="1:14" x14ac:dyDescent="0.3">
      <c r="A1223" s="2" t="s">
        <v>1221</v>
      </c>
      <c r="B1223" s="2" t="s">
        <v>12040</v>
      </c>
      <c r="C1223" s="2">
        <v>51</v>
      </c>
      <c r="D1223" s="2" t="s">
        <v>12043</v>
      </c>
      <c r="E1223" s="2">
        <f>COUNTIF(Table16[customer_id],Table13[[#This Row],[customer_id]])</f>
        <v>4</v>
      </c>
      <c r="F1223" s="13">
        <f>SUMIFS(Table16[Purchase_history],Table16[customer_id],Table13[[#This Row],[customer_id]])</f>
        <v>17440.640000000003</v>
      </c>
      <c r="G1223" s="20">
        <v>44489</v>
      </c>
      <c r="H1223" s="21">
        <v>44991</v>
      </c>
      <c r="I1223" s="15">
        <f>(Table134[[#This Row],[Last_Day]]-Table134[[#This Row],[First_Day]]+1)/365</f>
        <v>1.3780821917808219</v>
      </c>
      <c r="J1223" s="59">
        <f>Table134[[#This Row],[number_of_purchases]]/Table134[[#This Row],[customer_total_years]]</f>
        <v>2.9025844930417497</v>
      </c>
      <c r="K1223" s="13">
        <f>Table134[[#This Row],[purchase_history]]/Table134[[#This Row],[number_of_purchases]]</f>
        <v>4360.1600000000008</v>
      </c>
      <c r="L1223" s="2">
        <f>IF(YEAR(Table134[[#This Row],[Last_Day]])=2021,5,IF(YEAR(Table134[[#This Row],[Last_Day]])=2022,7,IF(YEAR(Table134[[#This Row],[Last_Day]])=2023,10,"Không xác định")))</f>
        <v>10</v>
      </c>
      <c r="M1223" s="15">
        <f>Table134[[#This Row],[avg_number_of_purchases]]*Table1345[[#This Row],[avg_purchase_value]]*Table1345[[#This Row],[expected_lifespan]]</f>
        <v>126557.32803180917</v>
      </c>
      <c r="N1223" t="s">
        <v>12047</v>
      </c>
    </row>
    <row r="1224" spans="1:14" x14ac:dyDescent="0.3">
      <c r="A1224" s="2" t="s">
        <v>1222</v>
      </c>
      <c r="B1224" s="2" t="s">
        <v>12045</v>
      </c>
      <c r="C1224" s="2">
        <v>27</v>
      </c>
      <c r="D1224" s="2" t="s">
        <v>12041</v>
      </c>
      <c r="E1224" s="2">
        <f>COUNTIF(Table16[customer_id],Table13[[#This Row],[customer_id]])</f>
        <v>7</v>
      </c>
      <c r="F1224" s="13">
        <f>SUMIFS(Table16[Purchase_history],Table16[customer_id],Table13[[#This Row],[customer_id]])</f>
        <v>11312.71</v>
      </c>
      <c r="G1224" s="20">
        <v>44418</v>
      </c>
      <c r="H1224" s="21">
        <v>44886</v>
      </c>
      <c r="I1224" s="15">
        <f>(Table134[[#This Row],[Last_Day]]-Table134[[#This Row],[First_Day]]+1)/365</f>
        <v>1.284931506849315</v>
      </c>
      <c r="J1224" s="59">
        <f>Table134[[#This Row],[number_of_purchases]]/Table134[[#This Row],[customer_total_years]]</f>
        <v>5.4477611940298507</v>
      </c>
      <c r="K1224" s="13">
        <f>Table134[[#This Row],[purchase_history]]/Table134[[#This Row],[number_of_purchases]]</f>
        <v>1616.1014285714284</v>
      </c>
      <c r="L1224" s="2">
        <f>IF(YEAR(Table134[[#This Row],[Last_Day]])=2021,5,IF(YEAR(Table134[[#This Row],[Last_Day]])=2022,7,IF(YEAR(Table134[[#This Row],[Last_Day]])=2023,10,"Không xác định")))</f>
        <v>7</v>
      </c>
      <c r="M1224" s="15">
        <f>Table134[[#This Row],[avg_number_of_purchases]]*Table1345[[#This Row],[avg_purchase_value]]*Table1345[[#This Row],[expected_lifespan]]</f>
        <v>61628.942537313422</v>
      </c>
      <c r="N1224" t="s">
        <v>12042</v>
      </c>
    </row>
    <row r="1225" spans="1:14" x14ac:dyDescent="0.3">
      <c r="A1225" s="2" t="s">
        <v>1223</v>
      </c>
      <c r="B1225" s="2" t="s">
        <v>12040</v>
      </c>
      <c r="C1225" s="2">
        <v>47</v>
      </c>
      <c r="D1225" s="2" t="s">
        <v>12041</v>
      </c>
      <c r="E1225" s="2">
        <f>COUNTIF(Table16[customer_id],Table13[[#This Row],[customer_id]])</f>
        <v>9</v>
      </c>
      <c r="F1225" s="13">
        <f>SUMIFS(Table16[Purchase_history],Table16[customer_id],Table13[[#This Row],[customer_id]])</f>
        <v>38806.31</v>
      </c>
      <c r="G1225" s="20">
        <v>44207</v>
      </c>
      <c r="H1225" s="21">
        <v>44964</v>
      </c>
      <c r="I1225" s="15">
        <f>(Table134[[#This Row],[Last_Day]]-Table134[[#This Row],[First_Day]]+1)/365</f>
        <v>2.0767123287671234</v>
      </c>
      <c r="J1225" s="59">
        <f>Table134[[#This Row],[number_of_purchases]]/Table134[[#This Row],[customer_total_years]]</f>
        <v>4.3337730870712399</v>
      </c>
      <c r="K1225" s="13">
        <f>Table134[[#This Row],[purchase_history]]/Table134[[#This Row],[number_of_purchases]]</f>
        <v>4311.8122222222219</v>
      </c>
      <c r="L1225" s="2">
        <f>IF(YEAR(Table134[[#This Row],[Last_Day]])=2021,5,IF(YEAR(Table134[[#This Row],[Last_Day]])=2022,7,IF(YEAR(Table134[[#This Row],[Last_Day]])=2023,10,"Không xác định")))</f>
        <v>10</v>
      </c>
      <c r="M1225" s="15">
        <f>Table134[[#This Row],[avg_number_of_purchases]]*Table1345[[#This Row],[avg_purchase_value]]*Table1345[[#This Row],[expected_lifespan]]</f>
        <v>186864.15765171504</v>
      </c>
      <c r="N1225" t="s">
        <v>12046</v>
      </c>
    </row>
    <row r="1226" spans="1:14" x14ac:dyDescent="0.3">
      <c r="A1226" s="2" t="s">
        <v>1224</v>
      </c>
      <c r="B1226" s="2" t="s">
        <v>12045</v>
      </c>
      <c r="C1226" s="2">
        <v>43</v>
      </c>
      <c r="D1226" s="2" t="s">
        <v>12043</v>
      </c>
      <c r="E1226" s="2">
        <f>COUNTIF(Table16[customer_id],Table13[[#This Row],[customer_id]])</f>
        <v>7</v>
      </c>
      <c r="F1226" s="13">
        <f>SUMIFS(Table16[Purchase_history],Table16[customer_id],Table13[[#This Row],[customer_id]])</f>
        <v>10416.89</v>
      </c>
      <c r="G1226" s="20">
        <v>44212</v>
      </c>
      <c r="H1226" s="21">
        <v>44934</v>
      </c>
      <c r="I1226" s="15">
        <f>(Table134[[#This Row],[Last_Day]]-Table134[[#This Row],[First_Day]]+1)/365</f>
        <v>1.9808219178082191</v>
      </c>
      <c r="J1226" s="59">
        <f>Table134[[#This Row],[number_of_purchases]]/Table134[[#This Row],[customer_total_years]]</f>
        <v>3.5338865836791147</v>
      </c>
      <c r="K1226" s="13">
        <f>Table134[[#This Row],[purchase_history]]/Table134[[#This Row],[number_of_purchases]]</f>
        <v>1488.1271428571429</v>
      </c>
      <c r="L1226" s="2">
        <f>IF(YEAR(Table134[[#This Row],[Last_Day]])=2021,5,IF(YEAR(Table134[[#This Row],[Last_Day]])=2022,7,IF(YEAR(Table134[[#This Row],[Last_Day]])=2023,10,"Không xác định")))</f>
        <v>10</v>
      </c>
      <c r="M1226" s="15">
        <f>Table134[[#This Row],[avg_number_of_purchases]]*Table1345[[#This Row],[avg_purchase_value]]*Table1345[[#This Row],[expected_lifespan]]</f>
        <v>52588.725449515907</v>
      </c>
      <c r="N1226" t="s">
        <v>12047</v>
      </c>
    </row>
    <row r="1227" spans="1:14" x14ac:dyDescent="0.3">
      <c r="A1227" s="2" t="s">
        <v>1225</v>
      </c>
      <c r="B1227" s="2" t="s">
        <v>12040</v>
      </c>
      <c r="C1227" s="2">
        <v>61</v>
      </c>
      <c r="D1227" s="2" t="s">
        <v>12041</v>
      </c>
      <c r="E1227" s="2">
        <f>COUNTIF(Table16[customer_id],Table13[[#This Row],[customer_id]])</f>
        <v>5</v>
      </c>
      <c r="F1227" s="13">
        <f>SUMIFS(Table16[Purchase_history],Table16[customer_id],Table13[[#This Row],[customer_id]])</f>
        <v>5516.1799999999994</v>
      </c>
      <c r="G1227" s="20">
        <v>44227</v>
      </c>
      <c r="H1227" s="21">
        <v>44877</v>
      </c>
      <c r="I1227" s="15">
        <f>(Table134[[#This Row],[Last_Day]]-Table134[[#This Row],[First_Day]]+1)/365</f>
        <v>1.7835616438356163</v>
      </c>
      <c r="J1227" s="59">
        <f>Table134[[#This Row],[number_of_purchases]]/Table134[[#This Row],[customer_total_years]]</f>
        <v>2.8033794162826422</v>
      </c>
      <c r="K1227" s="13">
        <f>Table134[[#This Row],[purchase_history]]/Table134[[#This Row],[number_of_purchases]]</f>
        <v>1103.2359999999999</v>
      </c>
      <c r="L1227" s="2">
        <f>IF(YEAR(Table134[[#This Row],[Last_Day]])=2021,5,IF(YEAR(Table134[[#This Row],[Last_Day]])=2022,7,IF(YEAR(Table134[[#This Row],[Last_Day]])=2023,10,"Không xác định")))</f>
        <v>7</v>
      </c>
      <c r="M1227" s="15">
        <f>Table134[[#This Row],[avg_number_of_purchases]]*Table1345[[#This Row],[avg_purchase_value]]*Table1345[[#This Row],[expected_lifespan]]</f>
        <v>21649.523655913974</v>
      </c>
      <c r="N1227" t="s">
        <v>12047</v>
      </c>
    </row>
    <row r="1228" spans="1:14" x14ac:dyDescent="0.3">
      <c r="A1228" s="2" t="s">
        <v>1226</v>
      </c>
      <c r="B1228" s="2" t="s">
        <v>12045</v>
      </c>
      <c r="C1228" s="2">
        <v>52</v>
      </c>
      <c r="D1228" s="2" t="s">
        <v>12043</v>
      </c>
      <c r="E1228" s="2">
        <f>COUNTIF(Table16[customer_id],Table13[[#This Row],[customer_id]])</f>
        <v>5</v>
      </c>
      <c r="F1228" s="13">
        <f>SUMIFS(Table16[Purchase_history],Table16[customer_id],Table13[[#This Row],[customer_id]])</f>
        <v>34356.68</v>
      </c>
      <c r="G1228" s="20">
        <v>44255</v>
      </c>
      <c r="H1228" s="21">
        <v>44637</v>
      </c>
      <c r="I1228" s="15">
        <f>(Table134[[#This Row],[Last_Day]]-Table134[[#This Row],[First_Day]]+1)/365</f>
        <v>1.0493150684931507</v>
      </c>
      <c r="J1228" s="59">
        <f>Table134[[#This Row],[number_of_purchases]]/Table134[[#This Row],[customer_total_years]]</f>
        <v>4.7650130548302867</v>
      </c>
      <c r="K1228" s="13">
        <f>Table134[[#This Row],[purchase_history]]/Table134[[#This Row],[number_of_purchases]]</f>
        <v>6871.3360000000002</v>
      </c>
      <c r="L1228" s="2">
        <f>IF(YEAR(Table134[[#This Row],[Last_Day]])=2021,5,IF(YEAR(Table134[[#This Row],[Last_Day]])=2022,7,IF(YEAR(Table134[[#This Row],[Last_Day]])=2023,10,"Không xác định")))</f>
        <v>7</v>
      </c>
      <c r="M1228" s="15">
        <f>Table134[[#This Row],[avg_number_of_purchases]]*Table1345[[#This Row],[avg_purchase_value]]*Table1345[[#This Row],[expected_lifespan]]</f>
        <v>229194.04020887727</v>
      </c>
      <c r="N1228" t="s">
        <v>12044</v>
      </c>
    </row>
    <row r="1229" spans="1:14" x14ac:dyDescent="0.3">
      <c r="A1229" s="2" t="s">
        <v>1227</v>
      </c>
      <c r="B1229" s="2" t="s">
        <v>12040</v>
      </c>
      <c r="C1229" s="2">
        <v>55</v>
      </c>
      <c r="D1229" s="2" t="s">
        <v>12043</v>
      </c>
      <c r="E1229" s="2">
        <f>COUNTIF(Table16[customer_id],Table13[[#This Row],[customer_id]])</f>
        <v>3</v>
      </c>
      <c r="F1229" s="13">
        <f>SUMIFS(Table16[Purchase_history],Table16[customer_id],Table13[[#This Row],[customer_id]])</f>
        <v>739.47</v>
      </c>
      <c r="G1229" s="20">
        <v>44410</v>
      </c>
      <c r="H1229" s="21">
        <v>44771</v>
      </c>
      <c r="I1229" s="15">
        <f>(Table134[[#This Row],[Last_Day]]-Table134[[#This Row],[First_Day]]+1)/365</f>
        <v>0.99178082191780825</v>
      </c>
      <c r="J1229" s="59">
        <f>Table134[[#This Row],[number_of_purchases]]/Table134[[#This Row],[customer_total_years]]</f>
        <v>3.0248618784530388</v>
      </c>
      <c r="K1229" s="13">
        <f>Table134[[#This Row],[purchase_history]]/Table134[[#This Row],[number_of_purchases]]</f>
        <v>246.49</v>
      </c>
      <c r="L1229" s="2">
        <f>IF(YEAR(Table134[[#This Row],[Last_Day]])=2021,5,IF(YEAR(Table134[[#This Row],[Last_Day]])=2022,7,IF(YEAR(Table134[[#This Row],[Last_Day]])=2023,10,"Không xác định")))</f>
        <v>7</v>
      </c>
      <c r="M1229" s="15">
        <f>Table134[[#This Row],[avg_number_of_purchases]]*Table1345[[#This Row],[avg_purchase_value]]*Table1345[[#This Row],[expected_lifespan]]</f>
        <v>5219.1874309392269</v>
      </c>
      <c r="N1229" t="s">
        <v>12046</v>
      </c>
    </row>
    <row r="1230" spans="1:14" x14ac:dyDescent="0.3">
      <c r="A1230" s="2" t="s">
        <v>1228</v>
      </c>
      <c r="B1230" s="2" t="s">
        <v>12040</v>
      </c>
      <c r="C1230" s="2">
        <v>39</v>
      </c>
      <c r="D1230" s="2" t="s">
        <v>12043</v>
      </c>
      <c r="E1230" s="2">
        <f>COUNTIF(Table16[customer_id],Table13[[#This Row],[customer_id]])</f>
        <v>3</v>
      </c>
      <c r="F1230" s="13">
        <f>SUMIFS(Table16[Purchase_history],Table16[customer_id],Table13[[#This Row],[customer_id]])</f>
        <v>8707.5499999999993</v>
      </c>
      <c r="G1230" s="20">
        <v>44239</v>
      </c>
      <c r="H1230" s="21">
        <v>44645</v>
      </c>
      <c r="I1230" s="15">
        <f>(Table134[[#This Row],[Last_Day]]-Table134[[#This Row],[First_Day]]+1)/365</f>
        <v>1.1150684931506849</v>
      </c>
      <c r="J1230" s="59">
        <f>Table134[[#This Row],[number_of_purchases]]/Table134[[#This Row],[customer_total_years]]</f>
        <v>2.6904176904176906</v>
      </c>
      <c r="K1230" s="13">
        <f>Table134[[#This Row],[purchase_history]]/Table134[[#This Row],[number_of_purchases]]</f>
        <v>2902.5166666666664</v>
      </c>
      <c r="L1230" s="2">
        <f>IF(YEAR(Table134[[#This Row],[Last_Day]])=2021,5,IF(YEAR(Table134[[#This Row],[Last_Day]])=2022,7,IF(YEAR(Table134[[#This Row],[Last_Day]])=2023,10,"Không xác định")))</f>
        <v>7</v>
      </c>
      <c r="M1230" s="15">
        <f>Table134[[#This Row],[avg_number_of_purchases]]*Table1345[[#This Row],[avg_purchase_value]]*Table1345[[#This Row],[expected_lifespan]]</f>
        <v>54662.875307125309</v>
      </c>
      <c r="N1230" t="s">
        <v>12044</v>
      </c>
    </row>
    <row r="1231" spans="1:14" x14ac:dyDescent="0.3">
      <c r="A1231" s="2" t="s">
        <v>1229</v>
      </c>
      <c r="B1231" s="2" t="s">
        <v>12040</v>
      </c>
      <c r="C1231" s="2">
        <v>24</v>
      </c>
      <c r="D1231" s="2" t="s">
        <v>12043</v>
      </c>
      <c r="E1231" s="2">
        <f>COUNTIF(Table16[customer_id],Table13[[#This Row],[customer_id]])</f>
        <v>2</v>
      </c>
      <c r="F1231" s="13">
        <f>SUMIFS(Table16[Purchase_history],Table16[customer_id],Table13[[#This Row],[customer_id]])</f>
        <v>94.14</v>
      </c>
      <c r="G1231" s="20">
        <v>44442</v>
      </c>
      <c r="H1231" s="21">
        <v>44617</v>
      </c>
      <c r="I1231" s="15">
        <f>(Table134[[#This Row],[Last_Day]]-Table134[[#This Row],[First_Day]]+1)/365</f>
        <v>0.48219178082191783</v>
      </c>
      <c r="J1231" s="59">
        <f>Table134[[#This Row],[number_of_purchases]]/Table134[[#This Row],[customer_total_years]]</f>
        <v>4.1477272727272725</v>
      </c>
      <c r="K1231" s="13">
        <f>Table134[[#This Row],[purchase_history]]/Table134[[#This Row],[number_of_purchases]]</f>
        <v>47.07</v>
      </c>
      <c r="L1231" s="2">
        <f>IF(YEAR(Table134[[#This Row],[Last_Day]])=2021,5,IF(YEAR(Table134[[#This Row],[Last_Day]])=2022,7,IF(YEAR(Table134[[#This Row],[Last_Day]])=2023,10,"Không xác định")))</f>
        <v>7</v>
      </c>
      <c r="M1231" s="15">
        <f>Table134[[#This Row],[avg_number_of_purchases]]*Table1345[[#This Row],[avg_purchase_value]]*Table1345[[#This Row],[expected_lifespan]]</f>
        <v>1366.6346590909091</v>
      </c>
      <c r="N1231" t="s">
        <v>12048</v>
      </c>
    </row>
    <row r="1232" spans="1:14" x14ac:dyDescent="0.3">
      <c r="A1232" s="2" t="s">
        <v>1230</v>
      </c>
      <c r="B1232" s="2" t="s">
        <v>12040</v>
      </c>
      <c r="C1232" s="2">
        <v>22</v>
      </c>
      <c r="D1232" s="2" t="s">
        <v>12041</v>
      </c>
      <c r="E1232" s="2">
        <f>COUNTIF(Table16[customer_id],Table13[[#This Row],[customer_id]])</f>
        <v>5</v>
      </c>
      <c r="F1232" s="13">
        <f>SUMIFS(Table16[Purchase_history],Table16[customer_id],Table13[[#This Row],[customer_id]])</f>
        <v>3875.1099999999997</v>
      </c>
      <c r="G1232" s="20">
        <v>44261</v>
      </c>
      <c r="H1232" s="21">
        <v>44677</v>
      </c>
      <c r="I1232" s="15">
        <f>(Table134[[#This Row],[Last_Day]]-Table134[[#This Row],[First_Day]]+1)/365</f>
        <v>1.1424657534246576</v>
      </c>
      <c r="J1232" s="59">
        <f>Table134[[#This Row],[number_of_purchases]]/Table134[[#This Row],[customer_total_years]]</f>
        <v>4.376498800959232</v>
      </c>
      <c r="K1232" s="13">
        <f>Table134[[#This Row],[purchase_history]]/Table134[[#This Row],[number_of_purchases]]</f>
        <v>775.02199999999993</v>
      </c>
      <c r="L1232" s="2">
        <f>IF(YEAR(Table134[[#This Row],[Last_Day]])=2021,5,IF(YEAR(Table134[[#This Row],[Last_Day]])=2022,7,IF(YEAR(Table134[[#This Row],[Last_Day]])=2023,10,"Không xác định")))</f>
        <v>7</v>
      </c>
      <c r="M1232" s="15">
        <f>Table134[[#This Row],[avg_number_of_purchases]]*Table1345[[#This Row],[avg_purchase_value]]*Table1345[[#This Row],[expected_lifespan]]</f>
        <v>23743.179976019179</v>
      </c>
      <c r="N1232" t="s">
        <v>12042</v>
      </c>
    </row>
    <row r="1233" spans="1:14" x14ac:dyDescent="0.3">
      <c r="A1233" s="2" t="s">
        <v>1231</v>
      </c>
      <c r="B1233" s="2" t="s">
        <v>12040</v>
      </c>
      <c r="C1233" s="2">
        <v>18</v>
      </c>
      <c r="D1233" s="2" t="s">
        <v>12043</v>
      </c>
      <c r="E1233" s="2">
        <f>COUNTIF(Table16[customer_id],Table13[[#This Row],[customer_id]])</f>
        <v>10</v>
      </c>
      <c r="F1233" s="13">
        <f>SUMIFS(Table16[Purchase_history],Table16[customer_id],Table13[[#This Row],[customer_id]])</f>
        <v>7257</v>
      </c>
      <c r="G1233" s="20">
        <v>44250</v>
      </c>
      <c r="H1233" s="21">
        <v>44789</v>
      </c>
      <c r="I1233" s="15">
        <f>(Table134[[#This Row],[Last_Day]]-Table134[[#This Row],[First_Day]]+1)/365</f>
        <v>1.4794520547945205</v>
      </c>
      <c r="J1233" s="59">
        <f>Table134[[#This Row],[number_of_purchases]]/Table134[[#This Row],[customer_total_years]]</f>
        <v>6.7592592592592595</v>
      </c>
      <c r="K1233" s="13">
        <f>Table134[[#This Row],[purchase_history]]/Table134[[#This Row],[number_of_purchases]]</f>
        <v>725.7</v>
      </c>
      <c r="L1233" s="2">
        <f>IF(YEAR(Table134[[#This Row],[Last_Day]])=2021,5,IF(YEAR(Table134[[#This Row],[Last_Day]])=2022,7,IF(YEAR(Table134[[#This Row],[Last_Day]])=2023,10,"Không xác định")))</f>
        <v>7</v>
      </c>
      <c r="M1233" s="15">
        <f>Table134[[#This Row],[avg_number_of_purchases]]*Table1345[[#This Row],[avg_purchase_value]]*Table1345[[#This Row],[expected_lifespan]]</f>
        <v>34336.361111111117</v>
      </c>
      <c r="N1233" t="s">
        <v>12047</v>
      </c>
    </row>
    <row r="1234" spans="1:14" x14ac:dyDescent="0.3">
      <c r="A1234" s="2" t="s">
        <v>1232</v>
      </c>
      <c r="B1234" s="2" t="s">
        <v>12040</v>
      </c>
      <c r="C1234" s="2">
        <v>36</v>
      </c>
      <c r="D1234" s="2" t="s">
        <v>12049</v>
      </c>
      <c r="E1234" s="2">
        <f>COUNTIF(Table16[customer_id],Table13[[#This Row],[customer_id]])</f>
        <v>4</v>
      </c>
      <c r="F1234" s="13">
        <f>SUMIFS(Table16[Purchase_history],Table16[customer_id],Table13[[#This Row],[customer_id]])</f>
        <v>2555.27</v>
      </c>
      <c r="G1234" s="20">
        <v>44240</v>
      </c>
      <c r="H1234" s="21">
        <v>44914</v>
      </c>
      <c r="I1234" s="15">
        <f>(Table134[[#This Row],[Last_Day]]-Table134[[#This Row],[First_Day]]+1)/365</f>
        <v>1.8493150684931507</v>
      </c>
      <c r="J1234" s="59">
        <f>Table134[[#This Row],[number_of_purchases]]/Table134[[#This Row],[customer_total_years]]</f>
        <v>2.162962962962963</v>
      </c>
      <c r="K1234" s="13">
        <f>Table134[[#This Row],[purchase_history]]/Table134[[#This Row],[number_of_purchases]]</f>
        <v>638.8175</v>
      </c>
      <c r="L1234" s="2">
        <f>IF(YEAR(Table134[[#This Row],[Last_Day]])=2021,5,IF(YEAR(Table134[[#This Row],[Last_Day]])=2022,7,IF(YEAR(Table134[[#This Row],[Last_Day]])=2023,10,"Không xác định")))</f>
        <v>7</v>
      </c>
      <c r="M1234" s="15">
        <f>Table134[[#This Row],[avg_number_of_purchases]]*Table1345[[#This Row],[avg_purchase_value]]*Table1345[[#This Row],[expected_lifespan]]</f>
        <v>9672.1701481481487</v>
      </c>
      <c r="N1234" t="s">
        <v>12044</v>
      </c>
    </row>
    <row r="1235" spans="1:14" x14ac:dyDescent="0.3">
      <c r="A1235" s="2" t="s">
        <v>1233</v>
      </c>
      <c r="B1235" s="2" t="s">
        <v>12045</v>
      </c>
      <c r="C1235" s="2">
        <v>54</v>
      </c>
      <c r="D1235" s="2" t="s">
        <v>12041</v>
      </c>
      <c r="E1235" s="2">
        <f>COUNTIF(Table16[customer_id],Table13[[#This Row],[customer_id]])</f>
        <v>3</v>
      </c>
      <c r="F1235" s="13">
        <f>SUMIFS(Table16[Purchase_history],Table16[customer_id],Table13[[#This Row],[customer_id]])</f>
        <v>2836.7000000000003</v>
      </c>
      <c r="G1235" s="20">
        <v>44605</v>
      </c>
      <c r="H1235" s="21">
        <v>44919</v>
      </c>
      <c r="I1235" s="15">
        <f>(Table134[[#This Row],[Last_Day]]-Table134[[#This Row],[First_Day]]+1)/365</f>
        <v>0.86301369863013699</v>
      </c>
      <c r="J1235" s="59">
        <f>Table134[[#This Row],[number_of_purchases]]/Table134[[#This Row],[customer_total_years]]</f>
        <v>3.4761904761904763</v>
      </c>
      <c r="K1235" s="13">
        <f>Table134[[#This Row],[purchase_history]]/Table134[[#This Row],[number_of_purchases]]</f>
        <v>945.56666666666672</v>
      </c>
      <c r="L1235" s="2">
        <f>IF(YEAR(Table134[[#This Row],[Last_Day]])=2021,5,IF(YEAR(Table134[[#This Row],[Last_Day]])=2022,7,IF(YEAR(Table134[[#This Row],[Last_Day]])=2023,10,"Không xác định")))</f>
        <v>7</v>
      </c>
      <c r="M1235" s="15">
        <f>Table134[[#This Row],[avg_number_of_purchases]]*Table1345[[#This Row],[avg_purchase_value]]*Table1345[[#This Row],[expected_lifespan]]</f>
        <v>23008.788888888892</v>
      </c>
      <c r="N1235" t="s">
        <v>12048</v>
      </c>
    </row>
    <row r="1236" spans="1:14" x14ac:dyDescent="0.3">
      <c r="A1236" s="2" t="s">
        <v>1234</v>
      </c>
      <c r="B1236" s="2" t="s">
        <v>12040</v>
      </c>
      <c r="C1236" s="2">
        <v>53</v>
      </c>
      <c r="D1236" s="2" t="s">
        <v>12041</v>
      </c>
      <c r="E1236" s="2">
        <f>COUNTIF(Table16[customer_id],Table13[[#This Row],[customer_id]])</f>
        <v>8</v>
      </c>
      <c r="F1236" s="13">
        <f>SUMIFS(Table16[Purchase_history],Table16[customer_id],Table13[[#This Row],[customer_id]])</f>
        <v>14002.75</v>
      </c>
      <c r="G1236" s="20">
        <v>44260</v>
      </c>
      <c r="H1236" s="21">
        <v>44960</v>
      </c>
      <c r="I1236" s="15">
        <f>(Table134[[#This Row],[Last_Day]]-Table134[[#This Row],[First_Day]]+1)/365</f>
        <v>1.9205479452054794</v>
      </c>
      <c r="J1236" s="59">
        <f>Table134[[#This Row],[number_of_purchases]]/Table134[[#This Row],[customer_total_years]]</f>
        <v>4.1654778887303854</v>
      </c>
      <c r="K1236" s="13">
        <f>Table134[[#This Row],[purchase_history]]/Table134[[#This Row],[number_of_purchases]]</f>
        <v>1750.34375</v>
      </c>
      <c r="L1236" s="2">
        <f>IF(YEAR(Table134[[#This Row],[Last_Day]])=2021,5,IF(YEAR(Table134[[#This Row],[Last_Day]])=2022,7,IF(YEAR(Table134[[#This Row],[Last_Day]])=2023,10,"Không xác định")))</f>
        <v>10</v>
      </c>
      <c r="M1236" s="15">
        <f>Table134[[#This Row],[avg_number_of_purchases]]*Table1345[[#This Row],[avg_purchase_value]]*Table1345[[#This Row],[expected_lifespan]]</f>
        <v>72910.181883024256</v>
      </c>
      <c r="N1236" t="s">
        <v>12047</v>
      </c>
    </row>
    <row r="1237" spans="1:14" x14ac:dyDescent="0.3">
      <c r="A1237" s="2" t="s">
        <v>1235</v>
      </c>
      <c r="B1237" s="2" t="s">
        <v>12040</v>
      </c>
      <c r="C1237" s="2">
        <v>47</v>
      </c>
      <c r="D1237" s="2" t="s">
        <v>12049</v>
      </c>
      <c r="E1237" s="2">
        <f>COUNTIF(Table16[customer_id],Table13[[#This Row],[customer_id]])</f>
        <v>5</v>
      </c>
      <c r="F1237" s="13">
        <f>SUMIFS(Table16[Purchase_history],Table16[customer_id],Table13[[#This Row],[customer_id]])</f>
        <v>2249.63</v>
      </c>
      <c r="G1237" s="20">
        <v>44488</v>
      </c>
      <c r="H1237" s="21">
        <v>44945</v>
      </c>
      <c r="I1237" s="15">
        <f>(Table134[[#This Row],[Last_Day]]-Table134[[#This Row],[First_Day]]+1)/365</f>
        <v>1.2547945205479452</v>
      </c>
      <c r="J1237" s="59">
        <f>Table134[[#This Row],[number_of_purchases]]/Table134[[#This Row],[customer_total_years]]</f>
        <v>3.9847161572052405</v>
      </c>
      <c r="K1237" s="13">
        <f>Table134[[#This Row],[purchase_history]]/Table134[[#This Row],[number_of_purchases]]</f>
        <v>449.92600000000004</v>
      </c>
      <c r="L1237" s="2">
        <f>IF(YEAR(Table134[[#This Row],[Last_Day]])=2021,5,IF(YEAR(Table134[[#This Row],[Last_Day]])=2022,7,IF(YEAR(Table134[[#This Row],[Last_Day]])=2023,10,"Không xác định")))</f>
        <v>10</v>
      </c>
      <c r="M1237" s="15">
        <f>Table134[[#This Row],[avg_number_of_purchases]]*Table1345[[#This Row],[avg_purchase_value]]*Table1345[[#This Row],[expected_lifespan]]</f>
        <v>17928.274017467251</v>
      </c>
      <c r="N1237" t="s">
        <v>12048</v>
      </c>
    </row>
    <row r="1238" spans="1:14" x14ac:dyDescent="0.3">
      <c r="A1238" s="2" t="s">
        <v>1236</v>
      </c>
      <c r="B1238" s="2" t="s">
        <v>12045</v>
      </c>
      <c r="C1238" s="2">
        <v>37</v>
      </c>
      <c r="D1238" s="2" t="s">
        <v>12043</v>
      </c>
      <c r="E1238" s="2">
        <f>COUNTIF(Table16[customer_id],Table13[[#This Row],[customer_id]])</f>
        <v>6</v>
      </c>
      <c r="F1238" s="13">
        <f>SUMIFS(Table16[Purchase_history],Table16[customer_id],Table13[[#This Row],[customer_id]])</f>
        <v>11140.59</v>
      </c>
      <c r="G1238" s="20">
        <v>44570</v>
      </c>
      <c r="H1238" s="21">
        <v>44923</v>
      </c>
      <c r="I1238" s="15">
        <f>(Table134[[#This Row],[Last_Day]]-Table134[[#This Row],[First_Day]]+1)/365</f>
        <v>0.96986301369863015</v>
      </c>
      <c r="J1238" s="59">
        <f>Table134[[#This Row],[number_of_purchases]]/Table134[[#This Row],[customer_total_years]]</f>
        <v>6.1864406779661012</v>
      </c>
      <c r="K1238" s="13">
        <f>Table134[[#This Row],[purchase_history]]/Table134[[#This Row],[number_of_purchases]]</f>
        <v>1856.7650000000001</v>
      </c>
      <c r="L1238" s="2">
        <f>IF(YEAR(Table134[[#This Row],[Last_Day]])=2021,5,IF(YEAR(Table134[[#This Row],[Last_Day]])=2022,7,IF(YEAR(Table134[[#This Row],[Last_Day]])=2023,10,"Không xác định")))</f>
        <v>7</v>
      </c>
      <c r="M1238" s="15">
        <f>Table134[[#This Row],[avg_number_of_purchases]]*Table1345[[#This Row],[avg_purchase_value]]*Table1345[[#This Row],[expected_lifespan]]</f>
        <v>80407.365677966096</v>
      </c>
      <c r="N1238" t="s">
        <v>12042</v>
      </c>
    </row>
    <row r="1239" spans="1:14" x14ac:dyDescent="0.3">
      <c r="A1239" s="2" t="s">
        <v>1237</v>
      </c>
      <c r="B1239" s="2" t="s">
        <v>12040</v>
      </c>
      <c r="C1239" s="2">
        <v>50</v>
      </c>
      <c r="D1239" s="2" t="s">
        <v>12043</v>
      </c>
      <c r="E1239" s="2">
        <f>COUNTIF(Table16[customer_id],Table13[[#This Row],[customer_id]])</f>
        <v>6</v>
      </c>
      <c r="F1239" s="13">
        <f>SUMIFS(Table16[Purchase_history],Table16[customer_id],Table13[[#This Row],[customer_id]])</f>
        <v>2225.0700000000002</v>
      </c>
      <c r="G1239" s="20">
        <v>44284</v>
      </c>
      <c r="H1239" s="21">
        <v>44976</v>
      </c>
      <c r="I1239" s="15">
        <f>(Table134[[#This Row],[Last_Day]]-Table134[[#This Row],[First_Day]]+1)/365</f>
        <v>1.8986301369863015</v>
      </c>
      <c r="J1239" s="59">
        <f>Table134[[#This Row],[number_of_purchases]]/Table134[[#This Row],[customer_total_years]]</f>
        <v>3.16017316017316</v>
      </c>
      <c r="K1239" s="13">
        <f>Table134[[#This Row],[purchase_history]]/Table134[[#This Row],[number_of_purchases]]</f>
        <v>370.84500000000003</v>
      </c>
      <c r="L1239" s="2">
        <f>IF(YEAR(Table134[[#This Row],[Last_Day]])=2021,5,IF(YEAR(Table134[[#This Row],[Last_Day]])=2022,7,IF(YEAR(Table134[[#This Row],[Last_Day]])=2023,10,"Không xác định")))</f>
        <v>10</v>
      </c>
      <c r="M1239" s="15">
        <f>Table134[[#This Row],[avg_number_of_purchases]]*Table1345[[#This Row],[avg_purchase_value]]*Table1345[[#This Row],[expected_lifespan]]</f>
        <v>11719.344155844155</v>
      </c>
      <c r="N1239" t="s">
        <v>12046</v>
      </c>
    </row>
    <row r="1240" spans="1:14" x14ac:dyDescent="0.3">
      <c r="A1240" s="2" t="s">
        <v>1238</v>
      </c>
      <c r="B1240" s="2" t="s">
        <v>12040</v>
      </c>
      <c r="C1240" s="2">
        <v>51</v>
      </c>
      <c r="D1240" s="2" t="s">
        <v>12043</v>
      </c>
      <c r="E1240" s="2">
        <f>COUNTIF(Table16[customer_id],Table13[[#This Row],[customer_id]])</f>
        <v>5</v>
      </c>
      <c r="F1240" s="13">
        <f>SUMIFS(Table16[Purchase_history],Table16[customer_id],Table13[[#This Row],[customer_id]])</f>
        <v>8900.7999999999993</v>
      </c>
      <c r="G1240" s="20">
        <v>44290</v>
      </c>
      <c r="H1240" s="21">
        <v>44876</v>
      </c>
      <c r="I1240" s="15">
        <f>(Table134[[#This Row],[Last_Day]]-Table134[[#This Row],[First_Day]]+1)/365</f>
        <v>1.6082191780821917</v>
      </c>
      <c r="J1240" s="59">
        <f>Table134[[#This Row],[number_of_purchases]]/Table134[[#This Row],[customer_total_years]]</f>
        <v>3.1090289608177173</v>
      </c>
      <c r="K1240" s="13">
        <f>Table134[[#This Row],[purchase_history]]/Table134[[#This Row],[number_of_purchases]]</f>
        <v>1780.1599999999999</v>
      </c>
      <c r="L1240" s="2">
        <f>IF(YEAR(Table134[[#This Row],[Last_Day]])=2021,5,IF(YEAR(Table134[[#This Row],[Last_Day]])=2022,7,IF(YEAR(Table134[[#This Row],[Last_Day]])=2023,10,"Không xác định")))</f>
        <v>7</v>
      </c>
      <c r="M1240" s="15">
        <f>Table134[[#This Row],[avg_number_of_purchases]]*Table1345[[#This Row],[avg_purchase_value]]*Table1345[[#This Row],[expected_lifespan]]</f>
        <v>38741.982964224866</v>
      </c>
      <c r="N1240" t="s">
        <v>12044</v>
      </c>
    </row>
    <row r="1241" spans="1:14" x14ac:dyDescent="0.3">
      <c r="A1241" s="2" t="s">
        <v>1239</v>
      </c>
      <c r="B1241" s="2" t="s">
        <v>12045</v>
      </c>
      <c r="C1241" s="2">
        <v>28</v>
      </c>
      <c r="D1241" s="2" t="s">
        <v>12043</v>
      </c>
      <c r="E1241" s="2">
        <f>COUNTIF(Table16[customer_id],Table13[[#This Row],[customer_id]])</f>
        <v>8</v>
      </c>
      <c r="F1241" s="13">
        <f>SUMIFS(Table16[Purchase_history],Table16[customer_id],Table13[[#This Row],[customer_id]])</f>
        <v>29590.05</v>
      </c>
      <c r="G1241" s="20">
        <v>44203</v>
      </c>
      <c r="H1241" s="21">
        <v>44807</v>
      </c>
      <c r="I1241" s="15">
        <f>(Table134[[#This Row],[Last_Day]]-Table134[[#This Row],[First_Day]]+1)/365</f>
        <v>1.6575342465753424</v>
      </c>
      <c r="J1241" s="59">
        <f>Table134[[#This Row],[number_of_purchases]]/Table134[[#This Row],[customer_total_years]]</f>
        <v>4.8264462809917354</v>
      </c>
      <c r="K1241" s="13">
        <f>Table134[[#This Row],[purchase_history]]/Table134[[#This Row],[number_of_purchases]]</f>
        <v>3698.7562499999999</v>
      </c>
      <c r="L1241" s="2">
        <f>IF(YEAR(Table134[[#This Row],[Last_Day]])=2021,5,IF(YEAR(Table134[[#This Row],[Last_Day]])=2022,7,IF(YEAR(Table134[[#This Row],[Last_Day]])=2023,10,"Không xác định")))</f>
        <v>7</v>
      </c>
      <c r="M1241" s="15">
        <f>Table134[[#This Row],[avg_number_of_purchases]]*Table1345[[#This Row],[avg_purchase_value]]*Table1345[[#This Row],[expected_lifespan]]</f>
        <v>124962.93842975204</v>
      </c>
      <c r="N1241" t="s">
        <v>12047</v>
      </c>
    </row>
    <row r="1242" spans="1:14" x14ac:dyDescent="0.3">
      <c r="A1242" s="2" t="s">
        <v>1240</v>
      </c>
      <c r="B1242" s="2" t="s">
        <v>12045</v>
      </c>
      <c r="C1242" s="2">
        <v>53</v>
      </c>
      <c r="D1242" s="2" t="s">
        <v>12049</v>
      </c>
      <c r="E1242" s="2">
        <f>COUNTIF(Table16[customer_id],Table13[[#This Row],[customer_id]])</f>
        <v>3</v>
      </c>
      <c r="F1242" s="13">
        <f>SUMIFS(Table16[Purchase_history],Table16[customer_id],Table13[[#This Row],[customer_id]])</f>
        <v>26915.71</v>
      </c>
      <c r="G1242" s="20">
        <v>44536</v>
      </c>
      <c r="H1242" s="21">
        <v>44732</v>
      </c>
      <c r="I1242" s="15">
        <f>(Table134[[#This Row],[Last_Day]]-Table134[[#This Row],[First_Day]]+1)/365</f>
        <v>0.53972602739726028</v>
      </c>
      <c r="J1242" s="59">
        <f>Table134[[#This Row],[number_of_purchases]]/Table134[[#This Row],[customer_total_years]]</f>
        <v>5.5583756345177662</v>
      </c>
      <c r="K1242" s="13">
        <f>Table134[[#This Row],[purchase_history]]/Table134[[#This Row],[number_of_purchases]]</f>
        <v>8971.9033333333336</v>
      </c>
      <c r="L1242" s="2">
        <f>IF(YEAR(Table134[[#This Row],[Last_Day]])=2021,5,IF(YEAR(Table134[[#This Row],[Last_Day]])=2022,7,IF(YEAR(Table134[[#This Row],[Last_Day]])=2023,10,"Không xác định")))</f>
        <v>7</v>
      </c>
      <c r="M1242" s="15">
        <f>Table134[[#This Row],[avg_number_of_purchases]]*Table1345[[#This Row],[avg_purchase_value]]*Table1345[[#This Row],[expected_lifespan]]</f>
        <v>349084.46218274109</v>
      </c>
      <c r="N1242" t="s">
        <v>12046</v>
      </c>
    </row>
    <row r="1243" spans="1:14" x14ac:dyDescent="0.3">
      <c r="A1243" s="2" t="s">
        <v>1241</v>
      </c>
      <c r="B1243" s="2" t="s">
        <v>12040</v>
      </c>
      <c r="C1243" s="2">
        <v>35</v>
      </c>
      <c r="D1243" s="2" t="s">
        <v>12049</v>
      </c>
      <c r="E1243" s="2">
        <f>COUNTIF(Table16[customer_id],Table13[[#This Row],[customer_id]])</f>
        <v>7</v>
      </c>
      <c r="F1243" s="13">
        <f>SUMIFS(Table16[Purchase_history],Table16[customer_id],Table13[[#This Row],[customer_id]])</f>
        <v>20595.79</v>
      </c>
      <c r="G1243" s="20">
        <v>44408</v>
      </c>
      <c r="H1243" s="21">
        <v>44809</v>
      </c>
      <c r="I1243" s="15">
        <f>(Table134[[#This Row],[Last_Day]]-Table134[[#This Row],[First_Day]]+1)/365</f>
        <v>1.1013698630136985</v>
      </c>
      <c r="J1243" s="59">
        <f>Table134[[#This Row],[number_of_purchases]]/Table134[[#This Row],[customer_total_years]]</f>
        <v>6.355721393034826</v>
      </c>
      <c r="K1243" s="13">
        <f>Table134[[#This Row],[purchase_history]]/Table134[[#This Row],[number_of_purchases]]</f>
        <v>2942.2557142857145</v>
      </c>
      <c r="L1243" s="2">
        <f>IF(YEAR(Table134[[#This Row],[Last_Day]])=2021,5,IF(YEAR(Table134[[#This Row],[Last_Day]])=2022,7,IF(YEAR(Table134[[#This Row],[Last_Day]])=2023,10,"Không xác định")))</f>
        <v>7</v>
      </c>
      <c r="M1243" s="15">
        <f>Table134[[#This Row],[avg_number_of_purchases]]*Table1345[[#This Row],[avg_purchase_value]]*Table1345[[#This Row],[expected_lifespan]]</f>
        <v>130901.10310945274</v>
      </c>
      <c r="N1243" t="s">
        <v>12042</v>
      </c>
    </row>
    <row r="1244" spans="1:14" x14ac:dyDescent="0.3">
      <c r="A1244" s="2" t="s">
        <v>1242</v>
      </c>
      <c r="B1244" s="2" t="s">
        <v>12045</v>
      </c>
      <c r="C1244" s="2">
        <v>47</v>
      </c>
      <c r="D1244" s="2" t="s">
        <v>12041</v>
      </c>
      <c r="E1244" s="2">
        <f>COUNTIF(Table16[customer_id],Table13[[#This Row],[customer_id]])</f>
        <v>6</v>
      </c>
      <c r="F1244" s="13">
        <f>SUMIFS(Table16[Purchase_history],Table16[customer_id],Table13[[#This Row],[customer_id]])</f>
        <v>1675.1399999999999</v>
      </c>
      <c r="G1244" s="20">
        <v>44306</v>
      </c>
      <c r="H1244" s="21">
        <v>44937</v>
      </c>
      <c r="I1244" s="15">
        <f>(Table134[[#This Row],[Last_Day]]-Table134[[#This Row],[First_Day]]+1)/365</f>
        <v>1.7315068493150685</v>
      </c>
      <c r="J1244" s="59">
        <f>Table134[[#This Row],[number_of_purchases]]/Table134[[#This Row],[customer_total_years]]</f>
        <v>3.4651898734177213</v>
      </c>
      <c r="K1244" s="13">
        <f>Table134[[#This Row],[purchase_history]]/Table134[[#This Row],[number_of_purchases]]</f>
        <v>279.19</v>
      </c>
      <c r="L1244" s="2">
        <f>IF(YEAR(Table134[[#This Row],[Last_Day]])=2021,5,IF(YEAR(Table134[[#This Row],[Last_Day]])=2022,7,IF(YEAR(Table134[[#This Row],[Last_Day]])=2023,10,"Không xác định")))</f>
        <v>10</v>
      </c>
      <c r="M1244" s="15">
        <f>Table134[[#This Row],[avg_number_of_purchases]]*Table1345[[#This Row],[avg_purchase_value]]*Table1345[[#This Row],[expected_lifespan]]</f>
        <v>9674.4636075949365</v>
      </c>
      <c r="N1244" t="s">
        <v>12047</v>
      </c>
    </row>
    <row r="1245" spans="1:14" x14ac:dyDescent="0.3">
      <c r="A1245" s="2" t="s">
        <v>1243</v>
      </c>
      <c r="B1245" s="2" t="s">
        <v>12040</v>
      </c>
      <c r="C1245" s="2">
        <v>54</v>
      </c>
      <c r="D1245" s="2" t="s">
        <v>12049</v>
      </c>
      <c r="E1245" s="2">
        <f>COUNTIF(Table16[customer_id],Table13[[#This Row],[customer_id]])</f>
        <v>2</v>
      </c>
      <c r="F1245" s="13">
        <f>SUMIFS(Table16[Purchase_history],Table16[customer_id],Table13[[#This Row],[customer_id]])</f>
        <v>6001.5999999999995</v>
      </c>
      <c r="G1245" s="20">
        <v>44312</v>
      </c>
      <c r="H1245" s="21">
        <v>44628</v>
      </c>
      <c r="I1245" s="15">
        <f>(Table134[[#This Row],[Last_Day]]-Table134[[#This Row],[First_Day]]+1)/365</f>
        <v>0.86849315068493149</v>
      </c>
      <c r="J1245" s="59">
        <f>Table134[[#This Row],[number_of_purchases]]/Table134[[#This Row],[customer_total_years]]</f>
        <v>2.3028391167192428</v>
      </c>
      <c r="K1245" s="13">
        <f>Table134[[#This Row],[purchase_history]]/Table134[[#This Row],[number_of_purchases]]</f>
        <v>3000.7999999999997</v>
      </c>
      <c r="L1245" s="2">
        <f>IF(YEAR(Table134[[#This Row],[Last_Day]])=2021,5,IF(YEAR(Table134[[#This Row],[Last_Day]])=2022,7,IF(YEAR(Table134[[#This Row],[Last_Day]])=2023,10,"Không xác định")))</f>
        <v>7</v>
      </c>
      <c r="M1245" s="15">
        <f>Table134[[#This Row],[avg_number_of_purchases]]*Table1345[[#This Row],[avg_purchase_value]]*Table1345[[#This Row],[expected_lifespan]]</f>
        <v>48372.517350157723</v>
      </c>
      <c r="N1245" t="s">
        <v>12046</v>
      </c>
    </row>
    <row r="1246" spans="1:14" x14ac:dyDescent="0.3">
      <c r="A1246" s="2" t="s">
        <v>1244</v>
      </c>
      <c r="B1246" s="2" t="s">
        <v>12040</v>
      </c>
      <c r="C1246" s="2">
        <v>61</v>
      </c>
      <c r="D1246" s="2" t="s">
        <v>12041</v>
      </c>
      <c r="E1246" s="2">
        <f>COUNTIF(Table16[customer_id],Table13[[#This Row],[customer_id]])</f>
        <v>3</v>
      </c>
      <c r="F1246" s="13">
        <f>SUMIFS(Table16[Purchase_history],Table16[customer_id],Table13[[#This Row],[customer_id]])</f>
        <v>3482.03</v>
      </c>
      <c r="G1246" s="20">
        <v>44222</v>
      </c>
      <c r="H1246" s="21">
        <v>44525</v>
      </c>
      <c r="I1246" s="15">
        <f>(Table134[[#This Row],[Last_Day]]-Table134[[#This Row],[First_Day]]+1)/365</f>
        <v>0.83287671232876714</v>
      </c>
      <c r="J1246" s="59">
        <f>Table134[[#This Row],[number_of_purchases]]/Table134[[#This Row],[customer_total_years]]</f>
        <v>3.6019736842105261</v>
      </c>
      <c r="K1246" s="13">
        <f>Table134[[#This Row],[purchase_history]]/Table134[[#This Row],[number_of_purchases]]</f>
        <v>1160.6766666666667</v>
      </c>
      <c r="L1246" s="2">
        <f>IF(YEAR(Table134[[#This Row],[Last_Day]])=2021,5,IF(YEAR(Table134[[#This Row],[Last_Day]])=2022,7,IF(YEAR(Table134[[#This Row],[Last_Day]])=2023,10,"Không xác định")))</f>
        <v>5</v>
      </c>
      <c r="M1246" s="15">
        <f>Table134[[#This Row],[avg_number_of_purchases]]*Table1345[[#This Row],[avg_purchase_value]]*Table1345[[#This Row],[expected_lifespan]]</f>
        <v>20903.63404605263</v>
      </c>
      <c r="N1246" t="s">
        <v>12042</v>
      </c>
    </row>
    <row r="1247" spans="1:14" x14ac:dyDescent="0.3">
      <c r="A1247" s="2" t="s">
        <v>1245</v>
      </c>
      <c r="B1247" s="2" t="s">
        <v>12045</v>
      </c>
      <c r="C1247" s="2">
        <v>35</v>
      </c>
      <c r="D1247" s="2" t="s">
        <v>12043</v>
      </c>
      <c r="E1247" s="2">
        <f>COUNTIF(Table16[customer_id],Table13[[#This Row],[customer_id]])</f>
        <v>5</v>
      </c>
      <c r="F1247" s="13">
        <f>SUMIFS(Table16[Purchase_history],Table16[customer_id],Table13[[#This Row],[customer_id]])</f>
        <v>21901.909999999996</v>
      </c>
      <c r="G1247" s="20">
        <v>44395</v>
      </c>
      <c r="H1247" s="21">
        <v>44868</v>
      </c>
      <c r="I1247" s="15">
        <f>(Table134[[#This Row],[Last_Day]]-Table134[[#This Row],[First_Day]]+1)/365</f>
        <v>1.2986301369863014</v>
      </c>
      <c r="J1247" s="59">
        <f>Table134[[#This Row],[number_of_purchases]]/Table134[[#This Row],[customer_total_years]]</f>
        <v>3.850210970464135</v>
      </c>
      <c r="K1247" s="13">
        <f>Table134[[#This Row],[purchase_history]]/Table134[[#This Row],[number_of_purchases]]</f>
        <v>4380.3819999999996</v>
      </c>
      <c r="L1247" s="2">
        <f>IF(YEAR(Table134[[#This Row],[Last_Day]])=2021,5,IF(YEAR(Table134[[#This Row],[Last_Day]])=2022,7,IF(YEAR(Table134[[#This Row],[Last_Day]])=2023,10,"Không xác định")))</f>
        <v>7</v>
      </c>
      <c r="M1247" s="15">
        <f>Table134[[#This Row],[avg_number_of_purchases]]*Table1345[[#This Row],[avg_purchase_value]]*Table1345[[#This Row],[expected_lifespan]]</f>
        <v>118057.76381856539</v>
      </c>
      <c r="N1247" t="s">
        <v>12044</v>
      </c>
    </row>
    <row r="1248" spans="1:14" x14ac:dyDescent="0.3">
      <c r="A1248" s="2" t="s">
        <v>1246</v>
      </c>
      <c r="B1248" s="2" t="s">
        <v>12040</v>
      </c>
      <c r="C1248" s="2">
        <v>60</v>
      </c>
      <c r="D1248" s="2" t="s">
        <v>12049</v>
      </c>
      <c r="E1248" s="2">
        <f>COUNTIF(Table16[customer_id],Table13[[#This Row],[customer_id]])</f>
        <v>5</v>
      </c>
      <c r="F1248" s="13">
        <f>SUMIFS(Table16[Purchase_history],Table16[customer_id],Table13[[#This Row],[customer_id]])</f>
        <v>7211.2099999999991</v>
      </c>
      <c r="G1248" s="20">
        <v>44329</v>
      </c>
      <c r="H1248" s="21">
        <v>44961</v>
      </c>
      <c r="I1248" s="15">
        <f>(Table134[[#This Row],[Last_Day]]-Table134[[#This Row],[First_Day]]+1)/365</f>
        <v>1.7342465753424658</v>
      </c>
      <c r="J1248" s="59">
        <f>Table134[[#This Row],[number_of_purchases]]/Table134[[#This Row],[customer_total_years]]</f>
        <v>2.8830963665086888</v>
      </c>
      <c r="K1248" s="13">
        <f>Table134[[#This Row],[purchase_history]]/Table134[[#This Row],[number_of_purchases]]</f>
        <v>1442.2419999999997</v>
      </c>
      <c r="L1248" s="2">
        <f>IF(YEAR(Table134[[#This Row],[Last_Day]])=2021,5,IF(YEAR(Table134[[#This Row],[Last_Day]])=2022,7,IF(YEAR(Table134[[#This Row],[Last_Day]])=2023,10,"Không xác định")))</f>
        <v>10</v>
      </c>
      <c r="M1248" s="15">
        <f>Table134[[#This Row],[avg_number_of_purchases]]*Table1345[[#This Row],[avg_purchase_value]]*Table1345[[#This Row],[expected_lifespan]]</f>
        <v>41581.226698262239</v>
      </c>
      <c r="N1248" t="s">
        <v>12044</v>
      </c>
    </row>
    <row r="1249" spans="1:14" x14ac:dyDescent="0.3">
      <c r="A1249" s="2" t="s">
        <v>1247</v>
      </c>
      <c r="B1249" s="2" t="s">
        <v>12040</v>
      </c>
      <c r="C1249" s="2">
        <v>25</v>
      </c>
      <c r="D1249" s="2" t="s">
        <v>12043</v>
      </c>
      <c r="E1249" s="2">
        <f>COUNTIF(Table16[customer_id],Table13[[#This Row],[customer_id]])</f>
        <v>5</v>
      </c>
      <c r="F1249" s="13">
        <f>SUMIFS(Table16[Purchase_history],Table16[customer_id],Table13[[#This Row],[customer_id]])</f>
        <v>11607.17</v>
      </c>
      <c r="G1249" s="20">
        <v>44386</v>
      </c>
      <c r="H1249" s="21">
        <v>44924</v>
      </c>
      <c r="I1249" s="15">
        <f>(Table134[[#This Row],[Last_Day]]-Table134[[#This Row],[First_Day]]+1)/365</f>
        <v>1.4767123287671233</v>
      </c>
      <c r="J1249" s="59">
        <f>Table134[[#This Row],[number_of_purchases]]/Table134[[#This Row],[customer_total_years]]</f>
        <v>3.3858998144712431</v>
      </c>
      <c r="K1249" s="13">
        <f>Table134[[#This Row],[purchase_history]]/Table134[[#This Row],[number_of_purchases]]</f>
        <v>2321.4340000000002</v>
      </c>
      <c r="L1249" s="2">
        <f>IF(YEAR(Table134[[#This Row],[Last_Day]])=2021,5,IF(YEAR(Table134[[#This Row],[Last_Day]])=2022,7,IF(YEAR(Table134[[#This Row],[Last_Day]])=2023,10,"Không xác định")))</f>
        <v>7</v>
      </c>
      <c r="M1249" s="15">
        <f>Table134[[#This Row],[avg_number_of_purchases]]*Table1345[[#This Row],[avg_purchase_value]]*Table1345[[#This Row],[expected_lifespan]]</f>
        <v>55021.000649350652</v>
      </c>
      <c r="N1249" t="s">
        <v>12048</v>
      </c>
    </row>
    <row r="1250" spans="1:14" x14ac:dyDescent="0.3">
      <c r="A1250" s="2" t="s">
        <v>1248</v>
      </c>
      <c r="B1250" s="2" t="s">
        <v>12045</v>
      </c>
      <c r="C1250" s="2">
        <v>45</v>
      </c>
      <c r="D1250" s="2" t="s">
        <v>12049</v>
      </c>
      <c r="E1250" s="2">
        <f>COUNTIF(Table16[customer_id],Table13[[#This Row],[customer_id]])</f>
        <v>7</v>
      </c>
      <c r="F1250" s="13">
        <f>SUMIFS(Table16[Purchase_history],Table16[customer_id],Table13[[#This Row],[customer_id]])</f>
        <v>31389.81</v>
      </c>
      <c r="G1250" s="20">
        <v>44345</v>
      </c>
      <c r="H1250" s="21">
        <v>44971</v>
      </c>
      <c r="I1250" s="15">
        <f>(Table134[[#This Row],[Last_Day]]-Table134[[#This Row],[First_Day]]+1)/365</f>
        <v>1.7178082191780821</v>
      </c>
      <c r="J1250" s="59">
        <f>Table134[[#This Row],[number_of_purchases]]/Table134[[#This Row],[customer_total_years]]</f>
        <v>4.0749601275917069</v>
      </c>
      <c r="K1250" s="13">
        <f>Table134[[#This Row],[purchase_history]]/Table134[[#This Row],[number_of_purchases]]</f>
        <v>4484.2585714285715</v>
      </c>
      <c r="L1250" s="2">
        <f>IF(YEAR(Table134[[#This Row],[Last_Day]])=2021,5,IF(YEAR(Table134[[#This Row],[Last_Day]])=2022,7,IF(YEAR(Table134[[#This Row],[Last_Day]])=2023,10,"Không xác định")))</f>
        <v>10</v>
      </c>
      <c r="M1250" s="15">
        <f>Table134[[#This Row],[avg_number_of_purchases]]*Table1345[[#This Row],[avg_purchase_value]]*Table1345[[#This Row],[expected_lifespan]]</f>
        <v>182731.74880382777</v>
      </c>
      <c r="N1250" t="s">
        <v>12047</v>
      </c>
    </row>
    <row r="1251" spans="1:14" x14ac:dyDescent="0.3">
      <c r="A1251" s="2" t="s">
        <v>1249</v>
      </c>
      <c r="B1251" s="2" t="s">
        <v>12040</v>
      </c>
      <c r="C1251" s="2">
        <v>33</v>
      </c>
      <c r="D1251" s="2" t="s">
        <v>12041</v>
      </c>
      <c r="E1251" s="2">
        <f>COUNTIF(Table16[customer_id],Table13[[#This Row],[customer_id]])</f>
        <v>8</v>
      </c>
      <c r="F1251" s="13">
        <f>SUMIFS(Table16[Purchase_history],Table16[customer_id],Table13[[#This Row],[customer_id]])</f>
        <v>10685.810000000001</v>
      </c>
      <c r="G1251" s="20">
        <v>44218</v>
      </c>
      <c r="H1251" s="21">
        <v>44943</v>
      </c>
      <c r="I1251" s="15">
        <f>(Table134[[#This Row],[Last_Day]]-Table134[[#This Row],[First_Day]]+1)/365</f>
        <v>1.989041095890411</v>
      </c>
      <c r="J1251" s="59">
        <f>Table134[[#This Row],[number_of_purchases]]/Table134[[#This Row],[customer_total_years]]</f>
        <v>4.0220385674931132</v>
      </c>
      <c r="K1251" s="13">
        <f>Table134[[#This Row],[purchase_history]]/Table134[[#This Row],[number_of_purchases]]</f>
        <v>1335.7262500000002</v>
      </c>
      <c r="L1251" s="2">
        <f>IF(YEAR(Table134[[#This Row],[Last_Day]])=2021,5,IF(YEAR(Table134[[#This Row],[Last_Day]])=2022,7,IF(YEAR(Table134[[#This Row],[Last_Day]])=2023,10,"Không xác định")))</f>
        <v>10</v>
      </c>
      <c r="M1251" s="15">
        <f>Table134[[#This Row],[avg_number_of_purchases]]*Table1345[[#This Row],[avg_purchase_value]]*Table1345[[#This Row],[expected_lifespan]]</f>
        <v>53723.424931129484</v>
      </c>
      <c r="N1251" t="s">
        <v>12048</v>
      </c>
    </row>
    <row r="1252" spans="1:14" x14ac:dyDescent="0.3">
      <c r="A1252" s="2" t="s">
        <v>1250</v>
      </c>
      <c r="B1252" s="2" t="s">
        <v>12045</v>
      </c>
      <c r="C1252" s="2">
        <v>27</v>
      </c>
      <c r="D1252" s="2" t="s">
        <v>12043</v>
      </c>
      <c r="E1252" s="2">
        <f>COUNTIF(Table16[customer_id],Table13[[#This Row],[customer_id]])</f>
        <v>5</v>
      </c>
      <c r="F1252" s="13">
        <f>SUMIFS(Table16[Purchase_history],Table16[customer_id],Table13[[#This Row],[customer_id]])</f>
        <v>16066.279999999999</v>
      </c>
      <c r="G1252" s="20">
        <v>44251</v>
      </c>
      <c r="H1252" s="21">
        <v>44877</v>
      </c>
      <c r="I1252" s="15">
        <f>(Table134[[#This Row],[Last_Day]]-Table134[[#This Row],[First_Day]]+1)/365</f>
        <v>1.7178082191780821</v>
      </c>
      <c r="J1252" s="59">
        <f>Table134[[#This Row],[number_of_purchases]]/Table134[[#This Row],[customer_total_years]]</f>
        <v>2.9106858054226477</v>
      </c>
      <c r="K1252" s="13">
        <f>Table134[[#This Row],[purchase_history]]/Table134[[#This Row],[number_of_purchases]]</f>
        <v>3213.2559999999999</v>
      </c>
      <c r="L1252" s="2">
        <f>IF(YEAR(Table134[[#This Row],[Last_Day]])=2021,5,IF(YEAR(Table134[[#This Row],[Last_Day]])=2022,7,IF(YEAR(Table134[[#This Row],[Last_Day]])=2023,10,"Không xác định")))</f>
        <v>7</v>
      </c>
      <c r="M1252" s="15">
        <f>Table134[[#This Row],[avg_number_of_purchases]]*Table1345[[#This Row],[avg_purchase_value]]*Table1345[[#This Row],[expected_lifespan]]</f>
        <v>65469.450398724082</v>
      </c>
      <c r="N1252" t="s">
        <v>12044</v>
      </c>
    </row>
    <row r="1253" spans="1:14" x14ac:dyDescent="0.3">
      <c r="A1253" s="2" t="s">
        <v>1251</v>
      </c>
      <c r="B1253" s="2" t="s">
        <v>12040</v>
      </c>
      <c r="C1253" s="2">
        <v>53</v>
      </c>
      <c r="D1253" s="2" t="s">
        <v>12043</v>
      </c>
      <c r="E1253" s="2">
        <f>COUNTIF(Table16[customer_id],Table13[[#This Row],[customer_id]])</f>
        <v>5</v>
      </c>
      <c r="F1253" s="13">
        <f>SUMIFS(Table16[Purchase_history],Table16[customer_id],Table13[[#This Row],[customer_id]])</f>
        <v>39215.11</v>
      </c>
      <c r="G1253" s="20">
        <v>44197</v>
      </c>
      <c r="H1253" s="21">
        <v>44603</v>
      </c>
      <c r="I1253" s="15">
        <f>(Table134[[#This Row],[Last_Day]]-Table134[[#This Row],[First_Day]]+1)/365</f>
        <v>1.1150684931506849</v>
      </c>
      <c r="J1253" s="59">
        <f>Table134[[#This Row],[number_of_purchases]]/Table134[[#This Row],[customer_total_years]]</f>
        <v>4.4840294840294845</v>
      </c>
      <c r="K1253" s="13">
        <f>Table134[[#This Row],[purchase_history]]/Table134[[#This Row],[number_of_purchases]]</f>
        <v>7843.0219999999999</v>
      </c>
      <c r="L1253" s="2">
        <f>IF(YEAR(Table134[[#This Row],[Last_Day]])=2021,5,IF(YEAR(Table134[[#This Row],[Last_Day]])=2022,7,IF(YEAR(Table134[[#This Row],[Last_Day]])=2023,10,"Không xác định")))</f>
        <v>7</v>
      </c>
      <c r="M1253" s="15">
        <f>Table134[[#This Row],[avg_number_of_purchases]]*Table1345[[#This Row],[avg_purchase_value]]*Table1345[[#This Row],[expected_lifespan]]</f>
        <v>246178.39324324328</v>
      </c>
      <c r="N1253" t="s">
        <v>12042</v>
      </c>
    </row>
    <row r="1254" spans="1:14" x14ac:dyDescent="0.3">
      <c r="A1254" s="2" t="s">
        <v>1252</v>
      </c>
      <c r="B1254" s="2" t="s">
        <v>12045</v>
      </c>
      <c r="C1254" s="2">
        <v>21</v>
      </c>
      <c r="D1254" s="2" t="s">
        <v>12043</v>
      </c>
      <c r="E1254" s="2">
        <f>COUNTIF(Table16[customer_id],Table13[[#This Row],[customer_id]])</f>
        <v>6</v>
      </c>
      <c r="F1254" s="13">
        <f>SUMIFS(Table16[Purchase_history],Table16[customer_id],Table13[[#This Row],[customer_id]])</f>
        <v>1608.1699999999998</v>
      </c>
      <c r="G1254" s="20">
        <v>44524</v>
      </c>
      <c r="H1254" s="21">
        <v>44945</v>
      </c>
      <c r="I1254" s="15">
        <f>(Table134[[#This Row],[Last_Day]]-Table134[[#This Row],[First_Day]]+1)/365</f>
        <v>1.1561643835616437</v>
      </c>
      <c r="J1254" s="59">
        <f>Table134[[#This Row],[number_of_purchases]]/Table134[[#This Row],[customer_total_years]]</f>
        <v>5.18957345971564</v>
      </c>
      <c r="K1254" s="13">
        <f>Table134[[#This Row],[purchase_history]]/Table134[[#This Row],[number_of_purchases]]</f>
        <v>268.02833333333331</v>
      </c>
      <c r="L1254" s="2">
        <f>IF(YEAR(Table134[[#This Row],[Last_Day]])=2021,5,IF(YEAR(Table134[[#This Row],[Last_Day]])=2022,7,IF(YEAR(Table134[[#This Row],[Last_Day]])=2023,10,"Không xác định")))</f>
        <v>10</v>
      </c>
      <c r="M1254" s="15">
        <f>Table134[[#This Row],[avg_number_of_purchases]]*Table1345[[#This Row],[avg_purchase_value]]*Table1345[[#This Row],[expected_lifespan]]</f>
        <v>13909.527251184834</v>
      </c>
      <c r="N1254" t="s">
        <v>12046</v>
      </c>
    </row>
    <row r="1255" spans="1:14" x14ac:dyDescent="0.3">
      <c r="A1255" s="2" t="s">
        <v>1253</v>
      </c>
      <c r="B1255" s="2" t="s">
        <v>12040</v>
      </c>
      <c r="C1255" s="2">
        <v>66</v>
      </c>
      <c r="D1255" s="2" t="s">
        <v>12049</v>
      </c>
      <c r="E1255" s="2">
        <f>COUNTIF(Table16[customer_id],Table13[[#This Row],[customer_id]])</f>
        <v>4</v>
      </c>
      <c r="F1255" s="13">
        <f>SUMIFS(Table16[Purchase_history],Table16[customer_id],Table13[[#This Row],[customer_id]])</f>
        <v>737.69999999999993</v>
      </c>
      <c r="G1255" s="20">
        <v>44362</v>
      </c>
      <c r="H1255" s="21">
        <v>44666</v>
      </c>
      <c r="I1255" s="15">
        <f>(Table134[[#This Row],[Last_Day]]-Table134[[#This Row],[First_Day]]+1)/365</f>
        <v>0.83561643835616439</v>
      </c>
      <c r="J1255" s="59">
        <f>Table134[[#This Row],[number_of_purchases]]/Table134[[#This Row],[customer_total_years]]</f>
        <v>4.7868852459016393</v>
      </c>
      <c r="K1255" s="13">
        <f>Table134[[#This Row],[purchase_history]]/Table134[[#This Row],[number_of_purchases]]</f>
        <v>184.42499999999998</v>
      </c>
      <c r="L1255" s="2">
        <f>IF(YEAR(Table134[[#This Row],[Last_Day]])=2021,5,IF(YEAR(Table134[[#This Row],[Last_Day]])=2022,7,IF(YEAR(Table134[[#This Row],[Last_Day]])=2023,10,"Không xác định")))</f>
        <v>7</v>
      </c>
      <c r="M1255" s="15">
        <f>Table134[[#This Row],[avg_number_of_purchases]]*Table1345[[#This Row],[avg_purchase_value]]*Table1345[[#This Row],[expected_lifespan]]</f>
        <v>6179.7491803278681</v>
      </c>
      <c r="N1255" t="s">
        <v>12048</v>
      </c>
    </row>
    <row r="1256" spans="1:14" x14ac:dyDescent="0.3">
      <c r="A1256" s="2" t="s">
        <v>1254</v>
      </c>
      <c r="B1256" s="2" t="s">
        <v>12040</v>
      </c>
      <c r="C1256" s="2">
        <v>39</v>
      </c>
      <c r="D1256" s="2" t="s">
        <v>12041</v>
      </c>
      <c r="E1256" s="2">
        <f>COUNTIF(Table16[customer_id],Table13[[#This Row],[customer_id]])</f>
        <v>9</v>
      </c>
      <c r="F1256" s="13">
        <f>SUMIFS(Table16[Purchase_history],Table16[customer_id],Table13[[#This Row],[customer_id]])</f>
        <v>33908.239999999998</v>
      </c>
      <c r="G1256" s="20">
        <v>44337</v>
      </c>
      <c r="H1256" s="21">
        <v>44946</v>
      </c>
      <c r="I1256" s="15">
        <f>(Table134[[#This Row],[Last_Day]]-Table134[[#This Row],[First_Day]]+1)/365</f>
        <v>1.6712328767123288</v>
      </c>
      <c r="J1256" s="59">
        <f>Table134[[#This Row],[number_of_purchases]]/Table134[[#This Row],[customer_total_years]]</f>
        <v>5.3852459016393439</v>
      </c>
      <c r="K1256" s="13">
        <f>Table134[[#This Row],[purchase_history]]/Table134[[#This Row],[number_of_purchases]]</f>
        <v>3767.5822222222218</v>
      </c>
      <c r="L1256" s="2">
        <f>IF(YEAR(Table134[[#This Row],[Last_Day]])=2021,5,IF(YEAR(Table134[[#This Row],[Last_Day]])=2022,7,IF(YEAR(Table134[[#This Row],[Last_Day]])=2023,10,"Không xác định")))</f>
        <v>10</v>
      </c>
      <c r="M1256" s="15">
        <f>Table134[[#This Row],[avg_number_of_purchases]]*Table1345[[#This Row],[avg_purchase_value]]*Table1345[[#This Row],[expected_lifespan]]</f>
        <v>202893.56721311473</v>
      </c>
      <c r="N1256" t="s">
        <v>12042</v>
      </c>
    </row>
    <row r="1257" spans="1:14" x14ac:dyDescent="0.3">
      <c r="A1257" s="2" t="s">
        <v>1255</v>
      </c>
      <c r="B1257" s="2" t="s">
        <v>12045</v>
      </c>
      <c r="C1257" s="2">
        <v>68</v>
      </c>
      <c r="D1257" s="2" t="s">
        <v>12043</v>
      </c>
      <c r="E1257" s="2">
        <f>COUNTIF(Table16[customer_id],Table13[[#This Row],[customer_id]])</f>
        <v>7</v>
      </c>
      <c r="F1257" s="13">
        <f>SUMIFS(Table16[Purchase_history],Table16[customer_id],Table13[[#This Row],[customer_id]])</f>
        <v>9202.81</v>
      </c>
      <c r="G1257" s="20">
        <v>44365</v>
      </c>
      <c r="H1257" s="21">
        <v>44964</v>
      </c>
      <c r="I1257" s="15">
        <f>(Table134[[#This Row],[Last_Day]]-Table134[[#This Row],[First_Day]]+1)/365</f>
        <v>1.6438356164383561</v>
      </c>
      <c r="J1257" s="59">
        <f>Table134[[#This Row],[number_of_purchases]]/Table134[[#This Row],[customer_total_years]]</f>
        <v>4.2583333333333337</v>
      </c>
      <c r="K1257" s="13">
        <f>Table134[[#This Row],[purchase_history]]/Table134[[#This Row],[number_of_purchases]]</f>
        <v>1314.6871428571428</v>
      </c>
      <c r="L1257" s="2">
        <f>IF(YEAR(Table134[[#This Row],[Last_Day]])=2021,5,IF(YEAR(Table134[[#This Row],[Last_Day]])=2022,7,IF(YEAR(Table134[[#This Row],[Last_Day]])=2023,10,"Không xác định")))</f>
        <v>10</v>
      </c>
      <c r="M1257" s="15">
        <f>Table134[[#This Row],[avg_number_of_purchases]]*Table1345[[#This Row],[avg_purchase_value]]*Table1345[[#This Row],[expected_lifespan]]</f>
        <v>55983.760833333334</v>
      </c>
      <c r="N1257" t="s">
        <v>12044</v>
      </c>
    </row>
    <row r="1258" spans="1:14" x14ac:dyDescent="0.3">
      <c r="A1258" s="2" t="s">
        <v>1256</v>
      </c>
      <c r="B1258" s="2" t="s">
        <v>12040</v>
      </c>
      <c r="C1258" s="2">
        <v>58</v>
      </c>
      <c r="D1258" s="2" t="s">
        <v>12041</v>
      </c>
      <c r="E1258" s="2">
        <f>COUNTIF(Table16[customer_id],Table13[[#This Row],[customer_id]])</f>
        <v>7</v>
      </c>
      <c r="F1258" s="13">
        <f>SUMIFS(Table16[Purchase_history],Table16[customer_id],Table13[[#This Row],[customer_id]])</f>
        <v>5026.83</v>
      </c>
      <c r="G1258" s="20">
        <v>44313</v>
      </c>
      <c r="H1258" s="21">
        <v>44806</v>
      </c>
      <c r="I1258" s="15">
        <f>(Table134[[#This Row],[Last_Day]]-Table134[[#This Row],[First_Day]]+1)/365</f>
        <v>1.3534246575342466</v>
      </c>
      <c r="J1258" s="59">
        <f>Table134[[#This Row],[number_of_purchases]]/Table134[[#This Row],[customer_total_years]]</f>
        <v>5.1720647773279351</v>
      </c>
      <c r="K1258" s="13">
        <f>Table134[[#This Row],[purchase_history]]/Table134[[#This Row],[number_of_purchases]]</f>
        <v>718.11857142857139</v>
      </c>
      <c r="L1258" s="2">
        <f>IF(YEAR(Table134[[#This Row],[Last_Day]])=2021,5,IF(YEAR(Table134[[#This Row],[Last_Day]])=2022,7,IF(YEAR(Table134[[#This Row],[Last_Day]])=2023,10,"Không xác định")))</f>
        <v>7</v>
      </c>
      <c r="M1258" s="15">
        <f>Table134[[#This Row],[avg_number_of_purchases]]*Table1345[[#This Row],[avg_purchase_value]]*Table1345[[#This Row],[expected_lifespan]]</f>
        <v>25999.090384615381</v>
      </c>
      <c r="N1258" t="s">
        <v>12042</v>
      </c>
    </row>
    <row r="1259" spans="1:14" x14ac:dyDescent="0.3">
      <c r="A1259" s="2" t="s">
        <v>1257</v>
      </c>
      <c r="B1259" s="2" t="s">
        <v>12045</v>
      </c>
      <c r="C1259" s="2">
        <v>55</v>
      </c>
      <c r="D1259" s="2" t="s">
        <v>12043</v>
      </c>
      <c r="E1259" s="2">
        <f>COUNTIF(Table16[customer_id],Table13[[#This Row],[customer_id]])</f>
        <v>4</v>
      </c>
      <c r="F1259" s="13">
        <f>SUMIFS(Table16[Purchase_history],Table16[customer_id],Table13[[#This Row],[customer_id]])</f>
        <v>10804.029999999999</v>
      </c>
      <c r="G1259" s="20">
        <v>44236</v>
      </c>
      <c r="H1259" s="21">
        <v>44989</v>
      </c>
      <c r="I1259" s="15">
        <f>(Table134[[#This Row],[Last_Day]]-Table134[[#This Row],[First_Day]]+1)/365</f>
        <v>2.0657534246575344</v>
      </c>
      <c r="J1259" s="59">
        <f>Table134[[#This Row],[number_of_purchases]]/Table134[[#This Row],[customer_total_years]]</f>
        <v>1.9363395225464188</v>
      </c>
      <c r="K1259" s="13">
        <f>Table134[[#This Row],[purchase_history]]/Table134[[#This Row],[number_of_purchases]]</f>
        <v>2701.0074999999997</v>
      </c>
      <c r="L1259" s="2">
        <f>IF(YEAR(Table134[[#This Row],[Last_Day]])=2021,5,IF(YEAR(Table134[[#This Row],[Last_Day]])=2022,7,IF(YEAR(Table134[[#This Row],[Last_Day]])=2023,10,"Không xác định")))</f>
        <v>10</v>
      </c>
      <c r="M1259" s="15">
        <f>Table134[[#This Row],[avg_number_of_purchases]]*Table1345[[#This Row],[avg_purchase_value]]*Table1345[[#This Row],[expected_lifespan]]</f>
        <v>52300.675729442955</v>
      </c>
      <c r="N1259" t="s">
        <v>12047</v>
      </c>
    </row>
    <row r="1260" spans="1:14" x14ac:dyDescent="0.3">
      <c r="A1260" s="2" t="s">
        <v>1258</v>
      </c>
      <c r="B1260" s="2" t="s">
        <v>12040</v>
      </c>
      <c r="C1260" s="2">
        <v>26</v>
      </c>
      <c r="D1260" s="2" t="s">
        <v>12043</v>
      </c>
      <c r="E1260" s="2">
        <f>COUNTIF(Table16[customer_id],Table13[[#This Row],[customer_id]])</f>
        <v>4</v>
      </c>
      <c r="F1260" s="13">
        <f>SUMIFS(Table16[Purchase_history],Table16[customer_id],Table13[[#This Row],[customer_id]])</f>
        <v>15123.52</v>
      </c>
      <c r="G1260" s="20">
        <v>44319</v>
      </c>
      <c r="H1260" s="21">
        <v>44558</v>
      </c>
      <c r="I1260" s="15">
        <f>(Table134[[#This Row],[Last_Day]]-Table134[[#This Row],[First_Day]]+1)/365</f>
        <v>0.65753424657534243</v>
      </c>
      <c r="J1260" s="59">
        <f>Table134[[#This Row],[number_of_purchases]]/Table134[[#This Row],[customer_total_years]]</f>
        <v>6.0833333333333339</v>
      </c>
      <c r="K1260" s="13">
        <f>Table134[[#This Row],[purchase_history]]/Table134[[#This Row],[number_of_purchases]]</f>
        <v>3780.88</v>
      </c>
      <c r="L1260" s="2">
        <f>IF(YEAR(Table134[[#This Row],[Last_Day]])=2021,5,IF(YEAR(Table134[[#This Row],[Last_Day]])=2022,7,IF(YEAR(Table134[[#This Row],[Last_Day]])=2023,10,"Không xác định")))</f>
        <v>5</v>
      </c>
      <c r="M1260" s="15">
        <f>Table134[[#This Row],[avg_number_of_purchases]]*Table1345[[#This Row],[avg_purchase_value]]*Table1345[[#This Row],[expected_lifespan]]</f>
        <v>115001.76666666668</v>
      </c>
      <c r="N1260" t="s">
        <v>12046</v>
      </c>
    </row>
    <row r="1261" spans="1:14" x14ac:dyDescent="0.3">
      <c r="A1261" s="2" t="s">
        <v>1259</v>
      </c>
      <c r="B1261" s="2" t="s">
        <v>12045</v>
      </c>
      <c r="C1261" s="2">
        <v>33</v>
      </c>
      <c r="D1261" s="2" t="s">
        <v>12043</v>
      </c>
      <c r="E1261" s="2">
        <f>COUNTIF(Table16[customer_id],Table13[[#This Row],[customer_id]])</f>
        <v>5</v>
      </c>
      <c r="F1261" s="13">
        <f>SUMIFS(Table16[Purchase_history],Table16[customer_id],Table13[[#This Row],[customer_id]])</f>
        <v>7603.67</v>
      </c>
      <c r="G1261" s="20">
        <v>44309</v>
      </c>
      <c r="H1261" s="21">
        <v>44949</v>
      </c>
      <c r="I1261" s="15">
        <f>(Table134[[#This Row],[Last_Day]]-Table134[[#This Row],[First_Day]]+1)/365</f>
        <v>1.7561643835616438</v>
      </c>
      <c r="J1261" s="59">
        <f>Table134[[#This Row],[number_of_purchases]]/Table134[[#This Row],[customer_total_years]]</f>
        <v>2.8471138845553821</v>
      </c>
      <c r="K1261" s="13">
        <f>Table134[[#This Row],[purchase_history]]/Table134[[#This Row],[number_of_purchases]]</f>
        <v>1520.7339999999999</v>
      </c>
      <c r="L1261" s="2">
        <f>IF(YEAR(Table134[[#This Row],[Last_Day]])=2021,5,IF(YEAR(Table134[[#This Row],[Last_Day]])=2022,7,IF(YEAR(Table134[[#This Row],[Last_Day]])=2023,10,"Không xác định")))</f>
        <v>10</v>
      </c>
      <c r="M1261" s="15">
        <f>Table134[[#This Row],[avg_number_of_purchases]]*Table1345[[#This Row],[avg_purchase_value]]*Table1345[[#This Row],[expected_lifespan]]</f>
        <v>43297.028861154438</v>
      </c>
      <c r="N1261" t="s">
        <v>12046</v>
      </c>
    </row>
    <row r="1262" spans="1:14" x14ac:dyDescent="0.3">
      <c r="A1262" s="2" t="s">
        <v>1260</v>
      </c>
      <c r="B1262" s="2" t="s">
        <v>12040</v>
      </c>
      <c r="C1262" s="2">
        <v>50</v>
      </c>
      <c r="D1262" s="2" t="s">
        <v>12043</v>
      </c>
      <c r="E1262" s="2">
        <f>COUNTIF(Table16[customer_id],Table13[[#This Row],[customer_id]])</f>
        <v>1</v>
      </c>
      <c r="F1262" s="13">
        <f>SUMIFS(Table16[Purchase_history],Table16[customer_id],Table13[[#This Row],[customer_id]])</f>
        <v>7502</v>
      </c>
      <c r="G1262" s="20">
        <v>44969</v>
      </c>
      <c r="H1262" s="21">
        <v>44969</v>
      </c>
      <c r="I1262" s="15">
        <f>(Table134[[#This Row],[Last_Day]]-Table134[[#This Row],[First_Day]]+1)/365</f>
        <v>2.7397260273972603E-3</v>
      </c>
      <c r="J1262" s="59">
        <f>Table134[[#This Row],[number_of_purchases]]/Table134[[#This Row],[customer_total_years]]</f>
        <v>365</v>
      </c>
      <c r="K1262" s="13">
        <f>Table134[[#This Row],[purchase_history]]/Table134[[#This Row],[number_of_purchases]]</f>
        <v>7502</v>
      </c>
      <c r="L1262" s="2">
        <f>IF(YEAR(Table134[[#This Row],[Last_Day]])=2021,5,IF(YEAR(Table134[[#This Row],[Last_Day]])=2022,7,IF(YEAR(Table134[[#This Row],[Last_Day]])=2023,10,"Không xác định")))</f>
        <v>10</v>
      </c>
      <c r="M1262" s="15">
        <f>Table134[[#This Row],[avg_number_of_purchases]]*Table1345[[#This Row],[avg_purchase_value]]*Table1345[[#This Row],[expected_lifespan]]</f>
        <v>27382300</v>
      </c>
      <c r="N1262" t="s">
        <v>12046</v>
      </c>
    </row>
    <row r="1263" spans="1:14" x14ac:dyDescent="0.3">
      <c r="A1263" s="2" t="s">
        <v>1261</v>
      </c>
      <c r="B1263" s="2" t="s">
        <v>12045</v>
      </c>
      <c r="C1263" s="2">
        <v>49</v>
      </c>
      <c r="D1263" s="2" t="s">
        <v>12043</v>
      </c>
      <c r="E1263" s="2">
        <f>COUNTIF(Table16[customer_id],Table13[[#This Row],[customer_id]])</f>
        <v>4</v>
      </c>
      <c r="F1263" s="13">
        <f>SUMIFS(Table16[Purchase_history],Table16[customer_id],Table13[[#This Row],[customer_id]])</f>
        <v>2384.1800000000003</v>
      </c>
      <c r="G1263" s="20">
        <v>44475</v>
      </c>
      <c r="H1263" s="21">
        <v>44967</v>
      </c>
      <c r="I1263" s="15">
        <f>(Table134[[#This Row],[Last_Day]]-Table134[[#This Row],[First_Day]]+1)/365</f>
        <v>1.3506849315068492</v>
      </c>
      <c r="J1263" s="59">
        <f>Table134[[#This Row],[number_of_purchases]]/Table134[[#This Row],[customer_total_years]]</f>
        <v>2.961460446247465</v>
      </c>
      <c r="K1263" s="13">
        <f>Table134[[#This Row],[purchase_history]]/Table134[[#This Row],[number_of_purchases]]</f>
        <v>596.04500000000007</v>
      </c>
      <c r="L1263" s="2">
        <f>IF(YEAR(Table134[[#This Row],[Last_Day]])=2021,5,IF(YEAR(Table134[[#This Row],[Last_Day]])=2022,7,IF(YEAR(Table134[[#This Row],[Last_Day]])=2023,10,"Không xác định")))</f>
        <v>10</v>
      </c>
      <c r="M1263" s="15">
        <f>Table134[[#This Row],[avg_number_of_purchases]]*Table1345[[#This Row],[avg_purchase_value]]*Table1345[[#This Row],[expected_lifespan]]</f>
        <v>17651.636916835705</v>
      </c>
      <c r="N1263" t="s">
        <v>12047</v>
      </c>
    </row>
    <row r="1264" spans="1:14" x14ac:dyDescent="0.3">
      <c r="A1264" s="2" t="s">
        <v>1262</v>
      </c>
      <c r="B1264" s="2" t="s">
        <v>12045</v>
      </c>
      <c r="C1264" s="2">
        <v>42</v>
      </c>
      <c r="D1264" s="2" t="s">
        <v>12043</v>
      </c>
      <c r="E1264" s="2">
        <f>COUNTIF(Table16[customer_id],Table13[[#This Row],[customer_id]])</f>
        <v>6</v>
      </c>
      <c r="F1264" s="13">
        <f>SUMIFS(Table16[Purchase_history],Table16[customer_id],Table13[[#This Row],[customer_id]])</f>
        <v>12439.630000000001</v>
      </c>
      <c r="G1264" s="20">
        <v>44263</v>
      </c>
      <c r="H1264" s="21">
        <v>44894</v>
      </c>
      <c r="I1264" s="15">
        <f>(Table134[[#This Row],[Last_Day]]-Table134[[#This Row],[First_Day]]+1)/365</f>
        <v>1.7315068493150685</v>
      </c>
      <c r="J1264" s="59">
        <f>Table134[[#This Row],[number_of_purchases]]/Table134[[#This Row],[customer_total_years]]</f>
        <v>3.4651898734177213</v>
      </c>
      <c r="K1264" s="13">
        <f>Table134[[#This Row],[purchase_history]]/Table134[[#This Row],[number_of_purchases]]</f>
        <v>2073.271666666667</v>
      </c>
      <c r="L1264" s="2">
        <f>IF(YEAR(Table134[[#This Row],[Last_Day]])=2021,5,IF(YEAR(Table134[[#This Row],[Last_Day]])=2022,7,IF(YEAR(Table134[[#This Row],[Last_Day]])=2023,10,"Không xác định")))</f>
        <v>7</v>
      </c>
      <c r="M1264" s="15">
        <f>Table134[[#This Row],[avg_number_of_purchases]]*Table1345[[#This Row],[avg_purchase_value]]*Table1345[[#This Row],[expected_lifespan]]</f>
        <v>50289.959889240512</v>
      </c>
      <c r="N1264" t="s">
        <v>12044</v>
      </c>
    </row>
    <row r="1265" spans="1:14" x14ac:dyDescent="0.3">
      <c r="A1265" s="2" t="s">
        <v>1263</v>
      </c>
      <c r="B1265" s="2" t="s">
        <v>12040</v>
      </c>
      <c r="C1265" s="2">
        <v>30</v>
      </c>
      <c r="D1265" s="2" t="s">
        <v>12041</v>
      </c>
      <c r="E1265" s="2">
        <f>COUNTIF(Table16[customer_id],Table13[[#This Row],[customer_id]])</f>
        <v>6</v>
      </c>
      <c r="F1265" s="13">
        <f>SUMIFS(Table16[Purchase_history],Table16[customer_id],Table13[[#This Row],[customer_id]])</f>
        <v>13625.09</v>
      </c>
      <c r="G1265" s="20">
        <v>44383</v>
      </c>
      <c r="H1265" s="21">
        <v>44744</v>
      </c>
      <c r="I1265" s="15">
        <f>(Table134[[#This Row],[Last_Day]]-Table134[[#This Row],[First_Day]]+1)/365</f>
        <v>0.99178082191780825</v>
      </c>
      <c r="J1265" s="59">
        <f>Table134[[#This Row],[number_of_purchases]]/Table134[[#This Row],[customer_total_years]]</f>
        <v>6.0497237569060776</v>
      </c>
      <c r="K1265" s="13">
        <f>Table134[[#This Row],[purchase_history]]/Table134[[#This Row],[number_of_purchases]]</f>
        <v>2270.8483333333334</v>
      </c>
      <c r="L1265" s="2">
        <f>IF(YEAR(Table134[[#This Row],[Last_Day]])=2021,5,IF(YEAR(Table134[[#This Row],[Last_Day]])=2022,7,IF(YEAR(Table134[[#This Row],[Last_Day]])=2023,10,"Không xác định")))</f>
        <v>7</v>
      </c>
      <c r="M1265" s="15">
        <f>Table134[[#This Row],[avg_number_of_purchases]]*Table1345[[#This Row],[avg_purchase_value]]*Table1345[[#This Row],[expected_lifespan]]</f>
        <v>96166.035773480675</v>
      </c>
      <c r="N1265" t="s">
        <v>12042</v>
      </c>
    </row>
    <row r="1266" spans="1:14" x14ac:dyDescent="0.3">
      <c r="A1266" s="2" t="s">
        <v>1264</v>
      </c>
      <c r="B1266" s="2" t="s">
        <v>12040</v>
      </c>
      <c r="C1266" s="2">
        <v>27</v>
      </c>
      <c r="D1266" s="2" t="s">
        <v>12043</v>
      </c>
      <c r="E1266" s="2">
        <f>COUNTIF(Table16[customer_id],Table13[[#This Row],[customer_id]])</f>
        <v>3</v>
      </c>
      <c r="F1266" s="13">
        <f>SUMIFS(Table16[Purchase_history],Table16[customer_id],Table13[[#This Row],[customer_id]])</f>
        <v>8749.39</v>
      </c>
      <c r="G1266" s="20">
        <v>44343</v>
      </c>
      <c r="H1266" s="21">
        <v>44844</v>
      </c>
      <c r="I1266" s="15">
        <f>(Table134[[#This Row],[Last_Day]]-Table134[[#This Row],[First_Day]]+1)/365</f>
        <v>1.3753424657534246</v>
      </c>
      <c r="J1266" s="59">
        <f>Table134[[#This Row],[number_of_purchases]]/Table134[[#This Row],[customer_total_years]]</f>
        <v>2.1812749003984067</v>
      </c>
      <c r="K1266" s="13">
        <f>Table134[[#This Row],[purchase_history]]/Table134[[#This Row],[number_of_purchases]]</f>
        <v>2916.4633333333331</v>
      </c>
      <c r="L1266" s="2">
        <f>IF(YEAR(Table134[[#This Row],[Last_Day]])=2021,5,IF(YEAR(Table134[[#This Row],[Last_Day]])=2022,7,IF(YEAR(Table134[[#This Row],[Last_Day]])=2023,10,"Không xác định")))</f>
        <v>7</v>
      </c>
      <c r="M1266" s="15">
        <f>Table134[[#This Row],[avg_number_of_purchases]]*Table1345[[#This Row],[avg_purchase_value]]*Table1345[[#This Row],[expected_lifespan]]</f>
        <v>44531.2578685259</v>
      </c>
      <c r="N1266" t="s">
        <v>12047</v>
      </c>
    </row>
    <row r="1267" spans="1:14" x14ac:dyDescent="0.3">
      <c r="A1267" s="2" t="s">
        <v>1265</v>
      </c>
      <c r="B1267" s="2" t="s">
        <v>12045</v>
      </c>
      <c r="C1267" s="2">
        <v>21</v>
      </c>
      <c r="D1267" s="2" t="s">
        <v>12043</v>
      </c>
      <c r="E1267" s="2">
        <f>COUNTIF(Table16[customer_id],Table13[[#This Row],[customer_id]])</f>
        <v>6</v>
      </c>
      <c r="F1267" s="13">
        <f>SUMIFS(Table16[Purchase_history],Table16[customer_id],Table13[[#This Row],[customer_id]])</f>
        <v>2647.66</v>
      </c>
      <c r="G1267" s="20">
        <v>44322</v>
      </c>
      <c r="H1267" s="21">
        <v>44906</v>
      </c>
      <c r="I1267" s="15">
        <f>(Table134[[#This Row],[Last_Day]]-Table134[[#This Row],[First_Day]]+1)/365</f>
        <v>1.6027397260273972</v>
      </c>
      <c r="J1267" s="59">
        <f>Table134[[#This Row],[number_of_purchases]]/Table134[[#This Row],[customer_total_years]]</f>
        <v>3.7435897435897436</v>
      </c>
      <c r="K1267" s="13">
        <f>Table134[[#This Row],[purchase_history]]/Table134[[#This Row],[number_of_purchases]]</f>
        <v>441.27666666666664</v>
      </c>
      <c r="L1267" s="2">
        <f>IF(YEAR(Table134[[#This Row],[Last_Day]])=2021,5,IF(YEAR(Table134[[#This Row],[Last_Day]])=2022,7,IF(YEAR(Table134[[#This Row],[Last_Day]])=2023,10,"Không xác định")))</f>
        <v>7</v>
      </c>
      <c r="M1267" s="15">
        <f>Table134[[#This Row],[avg_number_of_purchases]]*Table1345[[#This Row],[avg_purchase_value]]*Table1345[[#This Row],[expected_lifespan]]</f>
        <v>11563.711623931624</v>
      </c>
      <c r="N1267" t="s">
        <v>12047</v>
      </c>
    </row>
    <row r="1268" spans="1:14" x14ac:dyDescent="0.3">
      <c r="A1268" s="2" t="s">
        <v>1266</v>
      </c>
      <c r="B1268" s="2" t="s">
        <v>12045</v>
      </c>
      <c r="C1268" s="2">
        <v>21</v>
      </c>
      <c r="D1268" s="2" t="s">
        <v>12049</v>
      </c>
      <c r="E1268" s="2">
        <f>COUNTIF(Table16[customer_id],Table13[[#This Row],[customer_id]])</f>
        <v>2</v>
      </c>
      <c r="F1268" s="13">
        <f>SUMIFS(Table16[Purchase_history],Table16[customer_id],Table13[[#This Row],[customer_id]])</f>
        <v>6001.5999999999995</v>
      </c>
      <c r="G1268" s="20">
        <v>44421</v>
      </c>
      <c r="H1268" s="21">
        <v>44617</v>
      </c>
      <c r="I1268" s="15">
        <f>(Table134[[#This Row],[Last_Day]]-Table134[[#This Row],[First_Day]]+1)/365</f>
        <v>0.53972602739726028</v>
      </c>
      <c r="J1268" s="59">
        <f>Table134[[#This Row],[number_of_purchases]]/Table134[[#This Row],[customer_total_years]]</f>
        <v>3.7055837563451774</v>
      </c>
      <c r="K1268" s="13">
        <f>Table134[[#This Row],[purchase_history]]/Table134[[#This Row],[number_of_purchases]]</f>
        <v>3000.7999999999997</v>
      </c>
      <c r="L1268" s="2">
        <f>IF(YEAR(Table134[[#This Row],[Last_Day]])=2021,5,IF(YEAR(Table134[[#This Row],[Last_Day]])=2022,7,IF(YEAR(Table134[[#This Row],[Last_Day]])=2023,10,"Không xác định")))</f>
        <v>7</v>
      </c>
      <c r="M1268" s="15">
        <f>Table134[[#This Row],[avg_number_of_purchases]]*Table1345[[#This Row],[avg_purchase_value]]*Table1345[[#This Row],[expected_lifespan]]</f>
        <v>77838.010152284245</v>
      </c>
      <c r="N1268" t="s">
        <v>12047</v>
      </c>
    </row>
    <row r="1269" spans="1:14" x14ac:dyDescent="0.3">
      <c r="A1269" s="2" t="s">
        <v>1267</v>
      </c>
      <c r="B1269" s="2" t="s">
        <v>12040</v>
      </c>
      <c r="C1269" s="2">
        <v>31</v>
      </c>
      <c r="D1269" s="2" t="s">
        <v>12041</v>
      </c>
      <c r="E1269" s="2">
        <f>COUNTIF(Table16[customer_id],Table13[[#This Row],[customer_id]])</f>
        <v>9</v>
      </c>
      <c r="F1269" s="13">
        <f>SUMIFS(Table16[Purchase_history],Table16[customer_id],Table13[[#This Row],[customer_id]])</f>
        <v>28176.629999999997</v>
      </c>
      <c r="G1269" s="20">
        <v>44217</v>
      </c>
      <c r="H1269" s="21">
        <v>44917</v>
      </c>
      <c r="I1269" s="15">
        <f>(Table134[[#This Row],[Last_Day]]-Table134[[#This Row],[First_Day]]+1)/365</f>
        <v>1.9205479452054794</v>
      </c>
      <c r="J1269" s="59">
        <f>Table134[[#This Row],[number_of_purchases]]/Table134[[#This Row],[customer_total_years]]</f>
        <v>4.6861626248216837</v>
      </c>
      <c r="K1269" s="13">
        <f>Table134[[#This Row],[purchase_history]]/Table134[[#This Row],[number_of_purchases]]</f>
        <v>3130.7366666666662</v>
      </c>
      <c r="L1269" s="2">
        <f>IF(YEAR(Table134[[#This Row],[Last_Day]])=2021,5,IF(YEAR(Table134[[#This Row],[Last_Day]])=2022,7,IF(YEAR(Table134[[#This Row],[Last_Day]])=2023,10,"Không xác định")))</f>
        <v>7</v>
      </c>
      <c r="M1269" s="15">
        <f>Table134[[#This Row],[avg_number_of_purchases]]*Table1345[[#This Row],[avg_purchase_value]]*Table1345[[#This Row],[expected_lifespan]]</f>
        <v>102697.98808844507</v>
      </c>
      <c r="N1269" t="s">
        <v>12047</v>
      </c>
    </row>
    <row r="1270" spans="1:14" x14ac:dyDescent="0.3">
      <c r="A1270" s="2" t="s">
        <v>1268</v>
      </c>
      <c r="B1270" s="2" t="s">
        <v>12045</v>
      </c>
      <c r="C1270" s="2">
        <v>31</v>
      </c>
      <c r="D1270" s="2" t="s">
        <v>12041</v>
      </c>
      <c r="E1270" s="2">
        <f>COUNTIF(Table16[customer_id],Table13[[#This Row],[customer_id]])</f>
        <v>7</v>
      </c>
      <c r="F1270" s="13">
        <f>SUMIFS(Table16[Purchase_history],Table16[customer_id],Table13[[#This Row],[customer_id]])</f>
        <v>22655.8</v>
      </c>
      <c r="G1270" s="20">
        <v>44424</v>
      </c>
      <c r="H1270" s="21">
        <v>44944</v>
      </c>
      <c r="I1270" s="15">
        <f>(Table134[[#This Row],[Last_Day]]-Table134[[#This Row],[First_Day]]+1)/365</f>
        <v>1.4273972602739726</v>
      </c>
      <c r="J1270" s="59">
        <f>Table134[[#This Row],[number_of_purchases]]/Table134[[#This Row],[customer_total_years]]</f>
        <v>4.9040307101727443</v>
      </c>
      <c r="K1270" s="13">
        <f>Table134[[#This Row],[purchase_history]]/Table134[[#This Row],[number_of_purchases]]</f>
        <v>3236.542857142857</v>
      </c>
      <c r="L1270" s="2">
        <f>IF(YEAR(Table134[[#This Row],[Last_Day]])=2021,5,IF(YEAR(Table134[[#This Row],[Last_Day]])=2022,7,IF(YEAR(Table134[[#This Row],[Last_Day]])=2023,10,"Không xác định")))</f>
        <v>10</v>
      </c>
      <c r="M1270" s="15">
        <f>Table134[[#This Row],[avg_number_of_purchases]]*Table1345[[#This Row],[avg_purchase_value]]*Table1345[[#This Row],[expected_lifespan]]</f>
        <v>158721.0556621881</v>
      </c>
      <c r="N1270" t="s">
        <v>12042</v>
      </c>
    </row>
    <row r="1271" spans="1:14" x14ac:dyDescent="0.3">
      <c r="A1271" s="2" t="s">
        <v>1269</v>
      </c>
      <c r="B1271" s="2" t="s">
        <v>12045</v>
      </c>
      <c r="C1271" s="2">
        <v>30</v>
      </c>
      <c r="D1271" s="2" t="s">
        <v>12043</v>
      </c>
      <c r="E1271" s="2">
        <f>COUNTIF(Table16[customer_id],Table13[[#This Row],[customer_id]])</f>
        <v>3</v>
      </c>
      <c r="F1271" s="13">
        <f>SUMIFS(Table16[Purchase_history],Table16[customer_id],Table13[[#This Row],[customer_id]])</f>
        <v>15004</v>
      </c>
      <c r="G1271" s="20">
        <v>44275</v>
      </c>
      <c r="H1271" s="21">
        <v>44638</v>
      </c>
      <c r="I1271" s="15">
        <f>(Table134[[#This Row],[Last_Day]]-Table134[[#This Row],[First_Day]]+1)/365</f>
        <v>0.99726027397260275</v>
      </c>
      <c r="J1271" s="59">
        <f>Table134[[#This Row],[number_of_purchases]]/Table134[[#This Row],[customer_total_years]]</f>
        <v>3.0082417582417582</v>
      </c>
      <c r="K1271" s="13">
        <f>Table134[[#This Row],[purchase_history]]/Table134[[#This Row],[number_of_purchases]]</f>
        <v>5001.333333333333</v>
      </c>
      <c r="L1271" s="2">
        <f>IF(YEAR(Table134[[#This Row],[Last_Day]])=2021,5,IF(YEAR(Table134[[#This Row],[Last_Day]])=2022,7,IF(YEAR(Table134[[#This Row],[Last_Day]])=2023,10,"Không xác định")))</f>
        <v>7</v>
      </c>
      <c r="M1271" s="15">
        <f>Table134[[#This Row],[avg_number_of_purchases]]*Table1345[[#This Row],[avg_purchase_value]]*Table1345[[#This Row],[expected_lifespan]]</f>
        <v>105316.53846153845</v>
      </c>
      <c r="N1271" t="s">
        <v>12044</v>
      </c>
    </row>
    <row r="1272" spans="1:14" x14ac:dyDescent="0.3">
      <c r="A1272" s="2" t="s">
        <v>1270</v>
      </c>
      <c r="B1272" s="2" t="s">
        <v>12040</v>
      </c>
      <c r="C1272" s="2">
        <v>50</v>
      </c>
      <c r="D1272" s="2" t="s">
        <v>12043</v>
      </c>
      <c r="E1272" s="2">
        <f>COUNTIF(Table16[customer_id],Table13[[#This Row],[customer_id]])</f>
        <v>1</v>
      </c>
      <c r="F1272" s="13">
        <f>SUMIFS(Table16[Purchase_history],Table16[customer_id],Table13[[#This Row],[customer_id]])</f>
        <v>15.15</v>
      </c>
      <c r="G1272" s="20">
        <v>44924</v>
      </c>
      <c r="H1272" s="21">
        <v>44924</v>
      </c>
      <c r="I1272" s="15">
        <f>(Table134[[#This Row],[Last_Day]]-Table134[[#This Row],[First_Day]]+1)/365</f>
        <v>2.7397260273972603E-3</v>
      </c>
      <c r="J1272" s="59">
        <f>Table134[[#This Row],[number_of_purchases]]/Table134[[#This Row],[customer_total_years]]</f>
        <v>365</v>
      </c>
      <c r="K1272" s="13">
        <f>Table134[[#This Row],[purchase_history]]/Table134[[#This Row],[number_of_purchases]]</f>
        <v>15.15</v>
      </c>
      <c r="L1272" s="2">
        <f>IF(YEAR(Table134[[#This Row],[Last_Day]])=2021,5,IF(YEAR(Table134[[#This Row],[Last_Day]])=2022,7,IF(YEAR(Table134[[#This Row],[Last_Day]])=2023,10,"Không xác định")))</f>
        <v>7</v>
      </c>
      <c r="M1272" s="15">
        <f>Table134[[#This Row],[avg_number_of_purchases]]*Table1345[[#This Row],[avg_purchase_value]]*Table1345[[#This Row],[expected_lifespan]]</f>
        <v>38708.25</v>
      </c>
      <c r="N1272" t="s">
        <v>12048</v>
      </c>
    </row>
    <row r="1273" spans="1:14" x14ac:dyDescent="0.3">
      <c r="A1273" s="2" t="s">
        <v>1271</v>
      </c>
      <c r="B1273" s="2" t="s">
        <v>12040</v>
      </c>
      <c r="C1273" s="2">
        <v>32</v>
      </c>
      <c r="D1273" s="2" t="s">
        <v>12043</v>
      </c>
      <c r="E1273" s="2">
        <f>COUNTIF(Table16[customer_id],Table13[[#This Row],[customer_id]])</f>
        <v>6</v>
      </c>
      <c r="F1273" s="13">
        <f>SUMIFS(Table16[Purchase_history],Table16[customer_id],Table13[[#This Row],[customer_id]])</f>
        <v>29856.670000000002</v>
      </c>
      <c r="G1273" s="20">
        <v>44364</v>
      </c>
      <c r="H1273" s="21">
        <v>44976</v>
      </c>
      <c r="I1273" s="15">
        <f>(Table134[[#This Row],[Last_Day]]-Table134[[#This Row],[First_Day]]+1)/365</f>
        <v>1.6794520547945206</v>
      </c>
      <c r="J1273" s="59">
        <f>Table134[[#This Row],[number_of_purchases]]/Table134[[#This Row],[customer_total_years]]</f>
        <v>3.5725938009787925</v>
      </c>
      <c r="K1273" s="13">
        <f>Table134[[#This Row],[purchase_history]]/Table134[[#This Row],[number_of_purchases]]</f>
        <v>4976.1116666666667</v>
      </c>
      <c r="L1273" s="2">
        <f>IF(YEAR(Table134[[#This Row],[Last_Day]])=2021,5,IF(YEAR(Table134[[#This Row],[Last_Day]])=2022,7,IF(YEAR(Table134[[#This Row],[Last_Day]])=2023,10,"Không xác định")))</f>
        <v>10</v>
      </c>
      <c r="M1273" s="15">
        <f>Table134[[#This Row],[avg_number_of_purchases]]*Table1345[[#This Row],[avg_purchase_value]]*Table1345[[#This Row],[expected_lifespan]]</f>
        <v>177776.2569331158</v>
      </c>
      <c r="N1273" t="s">
        <v>12047</v>
      </c>
    </row>
    <row r="1274" spans="1:14" x14ac:dyDescent="0.3">
      <c r="A1274" s="2" t="s">
        <v>1272</v>
      </c>
      <c r="B1274" s="2" t="s">
        <v>12045</v>
      </c>
      <c r="C1274" s="2">
        <v>62</v>
      </c>
      <c r="D1274" s="2" t="s">
        <v>12049</v>
      </c>
      <c r="E1274" s="2">
        <f>COUNTIF(Table16[customer_id],Table13[[#This Row],[customer_id]])</f>
        <v>4</v>
      </c>
      <c r="F1274" s="13">
        <f>SUMIFS(Table16[Purchase_history],Table16[customer_id],Table13[[#This Row],[customer_id]])</f>
        <v>9302.49</v>
      </c>
      <c r="G1274" s="20">
        <v>44203</v>
      </c>
      <c r="H1274" s="21">
        <v>44929</v>
      </c>
      <c r="I1274" s="15">
        <f>(Table134[[#This Row],[Last_Day]]-Table134[[#This Row],[First_Day]]+1)/365</f>
        <v>1.9917808219178081</v>
      </c>
      <c r="J1274" s="59">
        <f>Table134[[#This Row],[number_of_purchases]]/Table134[[#This Row],[customer_total_years]]</f>
        <v>2.0082530949105917</v>
      </c>
      <c r="K1274" s="13">
        <f>Table134[[#This Row],[purchase_history]]/Table134[[#This Row],[number_of_purchases]]</f>
        <v>2325.6224999999999</v>
      </c>
      <c r="L1274" s="2">
        <f>IF(YEAR(Table134[[#This Row],[Last_Day]])=2021,5,IF(YEAR(Table134[[#This Row],[Last_Day]])=2022,7,IF(YEAR(Table134[[#This Row],[Last_Day]])=2023,10,"Không xác định")))</f>
        <v>10</v>
      </c>
      <c r="M1274" s="15">
        <f>Table134[[#This Row],[avg_number_of_purchases]]*Table1345[[#This Row],[avg_purchase_value]]*Table1345[[#This Row],[expected_lifespan]]</f>
        <v>46704.385832187072</v>
      </c>
      <c r="N1274" t="s">
        <v>12044</v>
      </c>
    </row>
    <row r="1275" spans="1:14" x14ac:dyDescent="0.3">
      <c r="A1275" s="2" t="s">
        <v>1273</v>
      </c>
      <c r="B1275" s="2" t="s">
        <v>12040</v>
      </c>
      <c r="C1275" s="2">
        <v>65</v>
      </c>
      <c r="D1275" s="2" t="s">
        <v>12043</v>
      </c>
      <c r="E1275" s="2">
        <f>COUNTIF(Table16[customer_id],Table13[[#This Row],[customer_id]])</f>
        <v>5</v>
      </c>
      <c r="F1275" s="13">
        <f>SUMIFS(Table16[Purchase_history],Table16[customer_id],Table13[[#This Row],[customer_id]])</f>
        <v>10533.869999999999</v>
      </c>
      <c r="G1275" s="20">
        <v>44327</v>
      </c>
      <c r="H1275" s="21">
        <v>44834</v>
      </c>
      <c r="I1275" s="15">
        <f>(Table134[[#This Row],[Last_Day]]-Table134[[#This Row],[First_Day]]+1)/365</f>
        <v>1.3917808219178083</v>
      </c>
      <c r="J1275" s="59">
        <f>Table134[[#This Row],[number_of_purchases]]/Table134[[#This Row],[customer_total_years]]</f>
        <v>3.5925196850393699</v>
      </c>
      <c r="K1275" s="13">
        <f>Table134[[#This Row],[purchase_history]]/Table134[[#This Row],[number_of_purchases]]</f>
        <v>2106.7739999999999</v>
      </c>
      <c r="L1275" s="2">
        <f>IF(YEAR(Table134[[#This Row],[Last_Day]])=2021,5,IF(YEAR(Table134[[#This Row],[Last_Day]])=2022,7,IF(YEAR(Table134[[#This Row],[Last_Day]])=2023,10,"Không xác định")))</f>
        <v>7</v>
      </c>
      <c r="M1275" s="15">
        <f>Table134[[#This Row],[avg_number_of_purchases]]*Table1345[[#This Row],[avg_purchase_value]]*Table1345[[#This Row],[expected_lifespan]]</f>
        <v>52980.389468503934</v>
      </c>
      <c r="N1275" t="s">
        <v>12044</v>
      </c>
    </row>
    <row r="1276" spans="1:14" x14ac:dyDescent="0.3">
      <c r="A1276" s="2" t="s">
        <v>1274</v>
      </c>
      <c r="B1276" s="2" t="s">
        <v>12045</v>
      </c>
      <c r="C1276" s="2">
        <v>37</v>
      </c>
      <c r="D1276" s="2" t="s">
        <v>12043</v>
      </c>
      <c r="E1276" s="2">
        <f>COUNTIF(Table16[customer_id],Table13[[#This Row],[customer_id]])</f>
        <v>6</v>
      </c>
      <c r="F1276" s="13">
        <f>SUMIFS(Table16[Purchase_history],Table16[customer_id],Table13[[#This Row],[customer_id]])</f>
        <v>19494.14</v>
      </c>
      <c r="G1276" s="20">
        <v>44209</v>
      </c>
      <c r="H1276" s="21">
        <v>44885</v>
      </c>
      <c r="I1276" s="15">
        <f>(Table134[[#This Row],[Last_Day]]-Table134[[#This Row],[First_Day]]+1)/365</f>
        <v>1.8547945205479452</v>
      </c>
      <c r="J1276" s="59">
        <f>Table134[[#This Row],[number_of_purchases]]/Table134[[#This Row],[customer_total_years]]</f>
        <v>3.2348596750369274</v>
      </c>
      <c r="K1276" s="13">
        <f>Table134[[#This Row],[purchase_history]]/Table134[[#This Row],[number_of_purchases]]</f>
        <v>3249.0233333333331</v>
      </c>
      <c r="L1276" s="2">
        <f>IF(YEAR(Table134[[#This Row],[Last_Day]])=2021,5,IF(YEAR(Table134[[#This Row],[Last_Day]])=2022,7,IF(YEAR(Table134[[#This Row],[Last_Day]])=2023,10,"Không xác định")))</f>
        <v>7</v>
      </c>
      <c r="M1276" s="15">
        <f>Table134[[#This Row],[avg_number_of_purchases]]*Table1345[[#This Row],[avg_purchase_value]]*Table1345[[#This Row],[expected_lifespan]]</f>
        <v>73570.941949778426</v>
      </c>
      <c r="N1276" t="s">
        <v>12046</v>
      </c>
    </row>
    <row r="1277" spans="1:14" x14ac:dyDescent="0.3">
      <c r="A1277" s="2" t="s">
        <v>1275</v>
      </c>
      <c r="B1277" s="2" t="s">
        <v>12040</v>
      </c>
      <c r="C1277" s="2">
        <v>24</v>
      </c>
      <c r="D1277" s="2" t="s">
        <v>12049</v>
      </c>
      <c r="E1277" s="2">
        <f>COUNTIF(Table16[customer_id],Table13[[#This Row],[customer_id]])</f>
        <v>5</v>
      </c>
      <c r="F1277" s="13">
        <f>SUMIFS(Table16[Purchase_history],Table16[customer_id],Table13[[#This Row],[customer_id]])</f>
        <v>14851.44</v>
      </c>
      <c r="G1277" s="20">
        <v>44297</v>
      </c>
      <c r="H1277" s="21">
        <v>44850</v>
      </c>
      <c r="I1277" s="15">
        <f>(Table134[[#This Row],[Last_Day]]-Table134[[#This Row],[First_Day]]+1)/365</f>
        <v>1.5178082191780822</v>
      </c>
      <c r="J1277" s="59">
        <f>Table134[[#This Row],[number_of_purchases]]/Table134[[#This Row],[customer_total_years]]</f>
        <v>3.2942238267148016</v>
      </c>
      <c r="K1277" s="13">
        <f>Table134[[#This Row],[purchase_history]]/Table134[[#This Row],[number_of_purchases]]</f>
        <v>2970.288</v>
      </c>
      <c r="L1277" s="2">
        <f>IF(YEAR(Table134[[#This Row],[Last_Day]])=2021,5,IF(YEAR(Table134[[#This Row],[Last_Day]])=2022,7,IF(YEAR(Table134[[#This Row],[Last_Day]])=2023,10,"Không xác định")))</f>
        <v>7</v>
      </c>
      <c r="M1277" s="15">
        <f>Table134[[#This Row],[avg_number_of_purchases]]*Table1345[[#This Row],[avg_purchase_value]]*Table1345[[#This Row],[expected_lifespan]]</f>
        <v>68493.554512635383</v>
      </c>
      <c r="N1277" t="s">
        <v>12047</v>
      </c>
    </row>
    <row r="1278" spans="1:14" x14ac:dyDescent="0.3">
      <c r="A1278" s="2" t="s">
        <v>1276</v>
      </c>
      <c r="B1278" s="2" t="s">
        <v>12040</v>
      </c>
      <c r="C1278" s="2">
        <v>31</v>
      </c>
      <c r="D1278" s="2" t="s">
        <v>12043</v>
      </c>
      <c r="E1278" s="2">
        <f>COUNTIF(Table16[customer_id],Table13[[#This Row],[customer_id]])</f>
        <v>7</v>
      </c>
      <c r="F1278" s="13">
        <f>SUMIFS(Table16[Purchase_history],Table16[customer_id],Table13[[#This Row],[customer_id]])</f>
        <v>5448.18</v>
      </c>
      <c r="G1278" s="20">
        <v>44303</v>
      </c>
      <c r="H1278" s="21">
        <v>44964</v>
      </c>
      <c r="I1278" s="15">
        <f>(Table134[[#This Row],[Last_Day]]-Table134[[#This Row],[First_Day]]+1)/365</f>
        <v>1.8136986301369864</v>
      </c>
      <c r="J1278" s="59">
        <f>Table134[[#This Row],[number_of_purchases]]/Table134[[#This Row],[customer_total_years]]</f>
        <v>3.8595166163141994</v>
      </c>
      <c r="K1278" s="13">
        <f>Table134[[#This Row],[purchase_history]]/Table134[[#This Row],[number_of_purchases]]</f>
        <v>778.31142857142856</v>
      </c>
      <c r="L1278" s="2">
        <f>IF(YEAR(Table134[[#This Row],[Last_Day]])=2021,5,IF(YEAR(Table134[[#This Row],[Last_Day]])=2022,7,IF(YEAR(Table134[[#This Row],[Last_Day]])=2023,10,"Không xác định")))</f>
        <v>10</v>
      </c>
      <c r="M1278" s="15">
        <f>Table134[[#This Row],[avg_number_of_purchases]]*Table1345[[#This Row],[avg_purchase_value]]*Table1345[[#This Row],[expected_lifespan]]</f>
        <v>30039.05891238671</v>
      </c>
      <c r="N1278" t="s">
        <v>12046</v>
      </c>
    </row>
    <row r="1279" spans="1:14" x14ac:dyDescent="0.3">
      <c r="A1279" s="2" t="s">
        <v>1277</v>
      </c>
      <c r="B1279" s="2" t="s">
        <v>12045</v>
      </c>
      <c r="C1279" s="2">
        <v>26</v>
      </c>
      <c r="D1279" s="2" t="s">
        <v>12043</v>
      </c>
      <c r="E1279" s="2">
        <f>COUNTIF(Table16[customer_id],Table13[[#This Row],[customer_id]])</f>
        <v>6</v>
      </c>
      <c r="F1279" s="13">
        <f>SUMIFS(Table16[Purchase_history],Table16[customer_id],Table13[[#This Row],[customer_id]])</f>
        <v>5280.68</v>
      </c>
      <c r="G1279" s="20">
        <v>44597</v>
      </c>
      <c r="H1279" s="21">
        <v>44984</v>
      </c>
      <c r="I1279" s="15">
        <f>(Table134[[#This Row],[Last_Day]]-Table134[[#This Row],[First_Day]]+1)/365</f>
        <v>1.0630136986301371</v>
      </c>
      <c r="J1279" s="59">
        <f>Table134[[#This Row],[number_of_purchases]]/Table134[[#This Row],[customer_total_years]]</f>
        <v>5.644329896907216</v>
      </c>
      <c r="K1279" s="13">
        <f>Table134[[#This Row],[purchase_history]]/Table134[[#This Row],[number_of_purchases]]</f>
        <v>880.11333333333334</v>
      </c>
      <c r="L1279" s="2">
        <f>IF(YEAR(Table134[[#This Row],[Last_Day]])=2021,5,IF(YEAR(Table134[[#This Row],[Last_Day]])=2022,7,IF(YEAR(Table134[[#This Row],[Last_Day]])=2023,10,"Không xác định")))</f>
        <v>10</v>
      </c>
      <c r="M1279" s="15">
        <f>Table134[[#This Row],[avg_number_of_purchases]]*Table1345[[#This Row],[avg_purchase_value]]*Table1345[[#This Row],[expected_lifespan]]</f>
        <v>49676.5</v>
      </c>
      <c r="N1279" t="s">
        <v>12048</v>
      </c>
    </row>
    <row r="1280" spans="1:14" x14ac:dyDescent="0.3">
      <c r="A1280" s="2" t="s">
        <v>1278</v>
      </c>
      <c r="B1280" s="2" t="s">
        <v>12045</v>
      </c>
      <c r="C1280" s="2">
        <v>59</v>
      </c>
      <c r="D1280" s="2" t="s">
        <v>12041</v>
      </c>
      <c r="E1280" s="2">
        <f>COUNTIF(Table16[customer_id],Table13[[#This Row],[customer_id]])</f>
        <v>4</v>
      </c>
      <c r="F1280" s="13">
        <f>SUMIFS(Table16[Purchase_history],Table16[customer_id],Table13[[#This Row],[customer_id]])</f>
        <v>16582.240000000002</v>
      </c>
      <c r="G1280" s="20">
        <v>44207</v>
      </c>
      <c r="H1280" s="21">
        <v>44777</v>
      </c>
      <c r="I1280" s="15">
        <f>(Table134[[#This Row],[Last_Day]]-Table134[[#This Row],[First_Day]]+1)/365</f>
        <v>1.5643835616438355</v>
      </c>
      <c r="J1280" s="59">
        <f>Table134[[#This Row],[number_of_purchases]]/Table134[[#This Row],[customer_total_years]]</f>
        <v>2.5569176882661999</v>
      </c>
      <c r="K1280" s="13">
        <f>Table134[[#This Row],[purchase_history]]/Table134[[#This Row],[number_of_purchases]]</f>
        <v>4145.5600000000004</v>
      </c>
      <c r="L1280" s="2">
        <f>IF(YEAR(Table134[[#This Row],[Last_Day]])=2021,5,IF(YEAR(Table134[[#This Row],[Last_Day]])=2022,7,IF(YEAR(Table134[[#This Row],[Last_Day]])=2023,10,"Không xác định")))</f>
        <v>7</v>
      </c>
      <c r="M1280" s="15">
        <f>Table134[[#This Row],[avg_number_of_purchases]]*Table1345[[#This Row],[avg_purchase_value]]*Table1345[[#This Row],[expected_lifespan]]</f>
        <v>74198.989842381809</v>
      </c>
      <c r="N1280" t="s">
        <v>12048</v>
      </c>
    </row>
    <row r="1281" spans="1:14" x14ac:dyDescent="0.3">
      <c r="A1281" s="2" t="s">
        <v>1279</v>
      </c>
      <c r="B1281" s="2" t="s">
        <v>12040</v>
      </c>
      <c r="C1281" s="2">
        <v>53</v>
      </c>
      <c r="D1281" s="2" t="s">
        <v>12041</v>
      </c>
      <c r="E1281" s="2">
        <f>COUNTIF(Table16[customer_id],Table13[[#This Row],[customer_id]])</f>
        <v>3</v>
      </c>
      <c r="F1281" s="13">
        <f>SUMIFS(Table16[Purchase_history],Table16[customer_id],Table13[[#This Row],[customer_id]])</f>
        <v>8117.4</v>
      </c>
      <c r="G1281" s="20">
        <v>44459</v>
      </c>
      <c r="H1281" s="21">
        <v>44843</v>
      </c>
      <c r="I1281" s="15">
        <f>(Table134[[#This Row],[Last_Day]]-Table134[[#This Row],[First_Day]]+1)/365</f>
        <v>1.0547945205479452</v>
      </c>
      <c r="J1281" s="59">
        <f>Table134[[#This Row],[number_of_purchases]]/Table134[[#This Row],[customer_total_years]]</f>
        <v>2.8441558441558441</v>
      </c>
      <c r="K1281" s="13">
        <f>Table134[[#This Row],[purchase_history]]/Table134[[#This Row],[number_of_purchases]]</f>
        <v>2705.7999999999997</v>
      </c>
      <c r="L1281" s="2">
        <f>IF(YEAR(Table134[[#This Row],[Last_Day]])=2021,5,IF(YEAR(Table134[[#This Row],[Last_Day]])=2022,7,IF(YEAR(Table134[[#This Row],[Last_Day]])=2023,10,"Không xác định")))</f>
        <v>7</v>
      </c>
      <c r="M1281" s="15">
        <f>Table134[[#This Row],[avg_number_of_purchases]]*Table1345[[#This Row],[avg_purchase_value]]*Table1345[[#This Row],[expected_lifespan]]</f>
        <v>53870.018181818174</v>
      </c>
      <c r="N1281" t="s">
        <v>12044</v>
      </c>
    </row>
    <row r="1282" spans="1:14" x14ac:dyDescent="0.3">
      <c r="A1282" s="2" t="s">
        <v>1280</v>
      </c>
      <c r="B1282" s="2" t="s">
        <v>12040</v>
      </c>
      <c r="C1282" s="2">
        <v>38</v>
      </c>
      <c r="D1282" s="2" t="s">
        <v>12041</v>
      </c>
      <c r="E1282" s="2">
        <f>COUNTIF(Table16[customer_id],Table13[[#This Row],[customer_id]])</f>
        <v>4</v>
      </c>
      <c r="F1282" s="13">
        <f>SUMIFS(Table16[Purchase_history],Table16[customer_id],Table13[[#This Row],[customer_id]])</f>
        <v>3948.61</v>
      </c>
      <c r="G1282" s="20">
        <v>44206</v>
      </c>
      <c r="H1282" s="21">
        <v>44743</v>
      </c>
      <c r="I1282" s="15">
        <f>(Table134[[#This Row],[Last_Day]]-Table134[[#This Row],[First_Day]]+1)/365</f>
        <v>1.473972602739726</v>
      </c>
      <c r="J1282" s="59">
        <f>Table134[[#This Row],[number_of_purchases]]/Table134[[#This Row],[customer_total_years]]</f>
        <v>2.7137546468401488</v>
      </c>
      <c r="K1282" s="13">
        <f>Table134[[#This Row],[purchase_history]]/Table134[[#This Row],[number_of_purchases]]</f>
        <v>987.15250000000003</v>
      </c>
      <c r="L1282" s="2">
        <f>IF(YEAR(Table134[[#This Row],[Last_Day]])=2021,5,IF(YEAR(Table134[[#This Row],[Last_Day]])=2022,7,IF(YEAR(Table134[[#This Row],[Last_Day]])=2023,10,"Không xác định")))</f>
        <v>7</v>
      </c>
      <c r="M1282" s="15">
        <f>Table134[[#This Row],[avg_number_of_purchases]]*Table1345[[#This Row],[avg_purchase_value]]*Table1345[[#This Row],[expected_lifespan]]</f>
        <v>18752.22778810409</v>
      </c>
      <c r="N1282" t="s">
        <v>12042</v>
      </c>
    </row>
    <row r="1283" spans="1:14" x14ac:dyDescent="0.3">
      <c r="A1283" s="2" t="s">
        <v>1281</v>
      </c>
      <c r="B1283" s="2" t="s">
        <v>12045</v>
      </c>
      <c r="C1283" s="2">
        <v>56</v>
      </c>
      <c r="D1283" s="2" t="s">
        <v>12043</v>
      </c>
      <c r="E1283" s="2">
        <f>COUNTIF(Table16[customer_id],Table13[[#This Row],[customer_id]])</f>
        <v>7</v>
      </c>
      <c r="F1283" s="13">
        <f>SUMIFS(Table16[Purchase_history],Table16[customer_id],Table13[[#This Row],[customer_id]])</f>
        <v>9619.2400000000016</v>
      </c>
      <c r="G1283" s="20">
        <v>44321</v>
      </c>
      <c r="H1283" s="21">
        <v>44961</v>
      </c>
      <c r="I1283" s="15">
        <f>(Table134[[#This Row],[Last_Day]]-Table134[[#This Row],[First_Day]]+1)/365</f>
        <v>1.7561643835616438</v>
      </c>
      <c r="J1283" s="59">
        <f>Table134[[#This Row],[number_of_purchases]]/Table134[[#This Row],[customer_total_years]]</f>
        <v>3.985959438377535</v>
      </c>
      <c r="K1283" s="13">
        <f>Table134[[#This Row],[purchase_history]]/Table134[[#This Row],[number_of_purchases]]</f>
        <v>1374.1771428571431</v>
      </c>
      <c r="L1283" s="2">
        <f>IF(YEAR(Table134[[#This Row],[Last_Day]])=2021,5,IF(YEAR(Table134[[#This Row],[Last_Day]])=2022,7,IF(YEAR(Table134[[#This Row],[Last_Day]])=2023,10,"Không xác định")))</f>
        <v>10</v>
      </c>
      <c r="M1283" s="15">
        <f>Table134[[#This Row],[avg_number_of_purchases]]*Table1345[[#This Row],[avg_purchase_value]]*Table1345[[#This Row],[expected_lifespan]]</f>
        <v>54774.143525741034</v>
      </c>
      <c r="N1283" t="s">
        <v>12047</v>
      </c>
    </row>
    <row r="1284" spans="1:14" x14ac:dyDescent="0.3">
      <c r="A1284" s="2" t="s">
        <v>1282</v>
      </c>
      <c r="B1284" s="2" t="s">
        <v>12040</v>
      </c>
      <c r="C1284" s="2">
        <v>34</v>
      </c>
      <c r="D1284" s="2" t="s">
        <v>12043</v>
      </c>
      <c r="E1284" s="2">
        <f>COUNTIF(Table16[customer_id],Table13[[#This Row],[customer_id]])</f>
        <v>2</v>
      </c>
      <c r="F1284" s="13">
        <f>SUMIFS(Table16[Purchase_history],Table16[customer_id],Table13[[#This Row],[customer_id]])</f>
        <v>873.52</v>
      </c>
      <c r="G1284" s="20">
        <v>44517</v>
      </c>
      <c r="H1284" s="21">
        <v>44571</v>
      </c>
      <c r="I1284" s="15">
        <f>(Table134[[#This Row],[Last_Day]]-Table134[[#This Row],[First_Day]]+1)/365</f>
        <v>0.15068493150684931</v>
      </c>
      <c r="J1284" s="59">
        <f>Table134[[#This Row],[number_of_purchases]]/Table134[[#This Row],[customer_total_years]]</f>
        <v>13.272727272727273</v>
      </c>
      <c r="K1284" s="13">
        <f>Table134[[#This Row],[purchase_history]]/Table134[[#This Row],[number_of_purchases]]</f>
        <v>436.76</v>
      </c>
      <c r="L1284" s="2">
        <f>IF(YEAR(Table134[[#This Row],[Last_Day]])=2021,5,IF(YEAR(Table134[[#This Row],[Last_Day]])=2022,7,IF(YEAR(Table134[[#This Row],[Last_Day]])=2023,10,"Không xác định")))</f>
        <v>7</v>
      </c>
      <c r="M1284" s="15">
        <f>Table134[[#This Row],[avg_number_of_purchases]]*Table1345[[#This Row],[avg_purchase_value]]*Table1345[[#This Row],[expected_lifespan]]</f>
        <v>40578.974545454548</v>
      </c>
      <c r="N1284" t="s">
        <v>12047</v>
      </c>
    </row>
    <row r="1285" spans="1:14" x14ac:dyDescent="0.3">
      <c r="A1285" s="2" t="s">
        <v>1283</v>
      </c>
      <c r="B1285" s="2" t="s">
        <v>12045</v>
      </c>
      <c r="C1285" s="2">
        <v>64</v>
      </c>
      <c r="D1285" s="2" t="s">
        <v>12041</v>
      </c>
      <c r="E1285" s="2">
        <f>COUNTIF(Table16[customer_id],Table13[[#This Row],[customer_id]])</f>
        <v>6</v>
      </c>
      <c r="F1285" s="13">
        <f>SUMIFS(Table16[Purchase_history],Table16[customer_id],Table13[[#This Row],[customer_id]])</f>
        <v>24719.659999999996</v>
      </c>
      <c r="G1285" s="20">
        <v>44346</v>
      </c>
      <c r="H1285" s="21">
        <v>44715</v>
      </c>
      <c r="I1285" s="15">
        <f>(Table134[[#This Row],[Last_Day]]-Table134[[#This Row],[First_Day]]+1)/365</f>
        <v>1.0136986301369864</v>
      </c>
      <c r="J1285" s="59">
        <f>Table134[[#This Row],[number_of_purchases]]/Table134[[#This Row],[customer_total_years]]</f>
        <v>5.9189189189189184</v>
      </c>
      <c r="K1285" s="13">
        <f>Table134[[#This Row],[purchase_history]]/Table134[[#This Row],[number_of_purchases]]</f>
        <v>4119.9433333333327</v>
      </c>
      <c r="L1285" s="2">
        <f>IF(YEAR(Table134[[#This Row],[Last_Day]])=2021,5,IF(YEAR(Table134[[#This Row],[Last_Day]])=2022,7,IF(YEAR(Table134[[#This Row],[Last_Day]])=2023,10,"Không xác định")))</f>
        <v>7</v>
      </c>
      <c r="M1285" s="15">
        <f>Table134[[#This Row],[avg_number_of_purchases]]*Table1345[[#This Row],[avg_purchase_value]]*Table1345[[#This Row],[expected_lifespan]]</f>
        <v>170699.27378378375</v>
      </c>
      <c r="N1285" t="s">
        <v>12046</v>
      </c>
    </row>
    <row r="1286" spans="1:14" x14ac:dyDescent="0.3">
      <c r="A1286" s="2" t="s">
        <v>1284</v>
      </c>
      <c r="B1286" s="2" t="s">
        <v>12040</v>
      </c>
      <c r="C1286" s="2">
        <v>32</v>
      </c>
      <c r="D1286" s="2" t="s">
        <v>12049</v>
      </c>
      <c r="E1286" s="2">
        <f>COUNTIF(Table16[customer_id],Table13[[#This Row],[customer_id]])</f>
        <v>10</v>
      </c>
      <c r="F1286" s="13">
        <f>SUMIFS(Table16[Purchase_history],Table16[customer_id],Table13[[#This Row],[customer_id]])</f>
        <v>22880.55</v>
      </c>
      <c r="G1286" s="20">
        <v>44260</v>
      </c>
      <c r="H1286" s="21">
        <v>44805</v>
      </c>
      <c r="I1286" s="15">
        <f>(Table134[[#This Row],[Last_Day]]-Table134[[#This Row],[First_Day]]+1)/365</f>
        <v>1.4958904109589042</v>
      </c>
      <c r="J1286" s="59">
        <f>Table134[[#This Row],[number_of_purchases]]/Table134[[#This Row],[customer_total_years]]</f>
        <v>6.6849816849816843</v>
      </c>
      <c r="K1286" s="13">
        <f>Table134[[#This Row],[purchase_history]]/Table134[[#This Row],[number_of_purchases]]</f>
        <v>2288.0549999999998</v>
      </c>
      <c r="L1286" s="2">
        <f>IF(YEAR(Table134[[#This Row],[Last_Day]])=2021,5,IF(YEAR(Table134[[#This Row],[Last_Day]])=2022,7,IF(YEAR(Table134[[#This Row],[Last_Day]])=2023,10,"Không xác định")))</f>
        <v>7</v>
      </c>
      <c r="M1286" s="15">
        <f>Table134[[#This Row],[avg_number_of_purchases]]*Table1345[[#This Row],[avg_purchase_value]]*Table1345[[#This Row],[expected_lifespan]]</f>
        <v>107069.24038461536</v>
      </c>
      <c r="N1286" t="s">
        <v>12048</v>
      </c>
    </row>
    <row r="1287" spans="1:14" x14ac:dyDescent="0.3">
      <c r="A1287" s="2" t="s">
        <v>1285</v>
      </c>
      <c r="B1287" s="2" t="s">
        <v>12045</v>
      </c>
      <c r="C1287" s="2">
        <v>34</v>
      </c>
      <c r="D1287" s="2" t="s">
        <v>12041</v>
      </c>
      <c r="E1287" s="2">
        <f>COUNTIF(Table16[customer_id],Table13[[#This Row],[customer_id]])</f>
        <v>6</v>
      </c>
      <c r="F1287" s="13">
        <f>SUMIFS(Table16[Purchase_history],Table16[customer_id],Table13[[#This Row],[customer_id]])</f>
        <v>638.33000000000004</v>
      </c>
      <c r="G1287" s="20">
        <v>44568</v>
      </c>
      <c r="H1287" s="21">
        <v>44882</v>
      </c>
      <c r="I1287" s="15">
        <f>(Table134[[#This Row],[Last_Day]]-Table134[[#This Row],[First_Day]]+1)/365</f>
        <v>0.86301369863013699</v>
      </c>
      <c r="J1287" s="59">
        <f>Table134[[#This Row],[number_of_purchases]]/Table134[[#This Row],[customer_total_years]]</f>
        <v>6.9523809523809526</v>
      </c>
      <c r="K1287" s="13">
        <f>Table134[[#This Row],[purchase_history]]/Table134[[#This Row],[number_of_purchases]]</f>
        <v>106.38833333333334</v>
      </c>
      <c r="L1287" s="2">
        <f>IF(YEAR(Table134[[#This Row],[Last_Day]])=2021,5,IF(YEAR(Table134[[#This Row],[Last_Day]])=2022,7,IF(YEAR(Table134[[#This Row],[Last_Day]])=2023,10,"Không xác định")))</f>
        <v>7</v>
      </c>
      <c r="M1287" s="15">
        <f>Table134[[#This Row],[avg_number_of_purchases]]*Table1345[[#This Row],[avg_purchase_value]]*Table1345[[#This Row],[expected_lifespan]]</f>
        <v>5177.5655555555559</v>
      </c>
      <c r="N1287" t="s">
        <v>12048</v>
      </c>
    </row>
    <row r="1288" spans="1:14" x14ac:dyDescent="0.3">
      <c r="A1288" s="2" t="s">
        <v>1286</v>
      </c>
      <c r="B1288" s="2" t="s">
        <v>12040</v>
      </c>
      <c r="C1288" s="2">
        <v>43</v>
      </c>
      <c r="D1288" s="2" t="s">
        <v>12041</v>
      </c>
      <c r="E1288" s="2">
        <f>COUNTIF(Table16[customer_id],Table13[[#This Row],[customer_id]])</f>
        <v>7</v>
      </c>
      <c r="F1288" s="13">
        <f>SUMIFS(Table16[Purchase_history],Table16[customer_id],Table13[[#This Row],[customer_id]])</f>
        <v>11554.05</v>
      </c>
      <c r="G1288" s="20">
        <v>44438</v>
      </c>
      <c r="H1288" s="21">
        <v>44914</v>
      </c>
      <c r="I1288" s="15">
        <f>(Table134[[#This Row],[Last_Day]]-Table134[[#This Row],[First_Day]]+1)/365</f>
        <v>1.3068493150684932</v>
      </c>
      <c r="J1288" s="59">
        <f>Table134[[#This Row],[number_of_purchases]]/Table134[[#This Row],[customer_total_years]]</f>
        <v>5.3563941299790354</v>
      </c>
      <c r="K1288" s="13">
        <f>Table134[[#This Row],[purchase_history]]/Table134[[#This Row],[number_of_purchases]]</f>
        <v>1650.5785714285714</v>
      </c>
      <c r="L1288" s="2">
        <f>IF(YEAR(Table134[[#This Row],[Last_Day]])=2021,5,IF(YEAR(Table134[[#This Row],[Last_Day]])=2022,7,IF(YEAR(Table134[[#This Row],[Last_Day]])=2023,10,"Không xác định")))</f>
        <v>7</v>
      </c>
      <c r="M1288" s="15">
        <f>Table134[[#This Row],[avg_number_of_purchases]]*Table1345[[#This Row],[avg_purchase_value]]*Table1345[[#This Row],[expected_lifespan]]</f>
        <v>61888.04559748427</v>
      </c>
      <c r="N1288" t="s">
        <v>12046</v>
      </c>
    </row>
    <row r="1289" spans="1:14" x14ac:dyDescent="0.3">
      <c r="A1289" s="2" t="s">
        <v>1287</v>
      </c>
      <c r="B1289" s="2" t="s">
        <v>12040</v>
      </c>
      <c r="C1289" s="2">
        <v>58</v>
      </c>
      <c r="D1289" s="2" t="s">
        <v>12049</v>
      </c>
      <c r="E1289" s="2">
        <f>COUNTIF(Table16[customer_id],Table13[[#This Row],[customer_id]])</f>
        <v>1</v>
      </c>
      <c r="F1289" s="13">
        <f>SUMIFS(Table16[Purchase_history],Table16[customer_id],Table13[[#This Row],[customer_id]])</f>
        <v>1016.5</v>
      </c>
      <c r="G1289" s="20">
        <v>44331</v>
      </c>
      <c r="H1289" s="21">
        <v>44331</v>
      </c>
      <c r="I1289" s="15">
        <f>(Table134[[#This Row],[Last_Day]]-Table134[[#This Row],[First_Day]]+1)/365</f>
        <v>2.7397260273972603E-3</v>
      </c>
      <c r="J1289" s="59">
        <f>Table134[[#This Row],[number_of_purchases]]/Table134[[#This Row],[customer_total_years]]</f>
        <v>365</v>
      </c>
      <c r="K1289" s="13">
        <f>Table134[[#This Row],[purchase_history]]/Table134[[#This Row],[number_of_purchases]]</f>
        <v>1016.5</v>
      </c>
      <c r="L1289" s="2">
        <f>IF(YEAR(Table134[[#This Row],[Last_Day]])=2021,5,IF(YEAR(Table134[[#This Row],[Last_Day]])=2022,7,IF(YEAR(Table134[[#This Row],[Last_Day]])=2023,10,"Không xác định")))</f>
        <v>5</v>
      </c>
      <c r="M1289" s="15">
        <f>Table134[[#This Row],[avg_number_of_purchases]]*Table1345[[#This Row],[avg_purchase_value]]*Table1345[[#This Row],[expected_lifespan]]</f>
        <v>1855112.5</v>
      </c>
      <c r="N1289" t="s">
        <v>12042</v>
      </c>
    </row>
    <row r="1290" spans="1:14" x14ac:dyDescent="0.3">
      <c r="A1290" s="2" t="s">
        <v>1288</v>
      </c>
      <c r="B1290" s="2" t="s">
        <v>12040</v>
      </c>
      <c r="C1290" s="2">
        <v>30</v>
      </c>
      <c r="D1290" s="2" t="s">
        <v>12041</v>
      </c>
      <c r="E1290" s="2">
        <f>COUNTIF(Table16[customer_id],Table13[[#This Row],[customer_id]])</f>
        <v>6</v>
      </c>
      <c r="F1290" s="13">
        <f>SUMIFS(Table16[Purchase_history],Table16[customer_id],Table13[[#This Row],[customer_id]])</f>
        <v>19868.299999999996</v>
      </c>
      <c r="G1290" s="20">
        <v>44250</v>
      </c>
      <c r="H1290" s="21">
        <v>44988</v>
      </c>
      <c r="I1290" s="15">
        <f>(Table134[[#This Row],[Last_Day]]-Table134[[#This Row],[First_Day]]+1)/365</f>
        <v>2.0246575342465754</v>
      </c>
      <c r="J1290" s="59">
        <f>Table134[[#This Row],[number_of_purchases]]/Table134[[#This Row],[customer_total_years]]</f>
        <v>2.963464140730717</v>
      </c>
      <c r="K1290" s="13">
        <f>Table134[[#This Row],[purchase_history]]/Table134[[#This Row],[number_of_purchases]]</f>
        <v>3311.3833333333328</v>
      </c>
      <c r="L1290" s="2">
        <f>IF(YEAR(Table134[[#This Row],[Last_Day]])=2021,5,IF(YEAR(Table134[[#This Row],[Last_Day]])=2022,7,IF(YEAR(Table134[[#This Row],[Last_Day]])=2023,10,"Không xác định")))</f>
        <v>10</v>
      </c>
      <c r="M1290" s="15">
        <f>Table134[[#This Row],[avg_number_of_purchases]]*Table1345[[#This Row],[avg_purchase_value]]*Table1345[[#This Row],[expected_lifespan]]</f>
        <v>98131.657645466825</v>
      </c>
      <c r="N1290" t="s">
        <v>12047</v>
      </c>
    </row>
    <row r="1291" spans="1:14" x14ac:dyDescent="0.3">
      <c r="A1291" s="2" t="s">
        <v>1289</v>
      </c>
      <c r="B1291" s="2" t="s">
        <v>12045</v>
      </c>
      <c r="C1291" s="2">
        <v>65</v>
      </c>
      <c r="D1291" s="2" t="s">
        <v>12049</v>
      </c>
      <c r="E1291" s="2">
        <f>COUNTIF(Table16[customer_id],Table13[[#This Row],[customer_id]])</f>
        <v>6</v>
      </c>
      <c r="F1291" s="13">
        <f>SUMIFS(Table16[Purchase_history],Table16[customer_id],Table13[[#This Row],[customer_id]])</f>
        <v>13432.08</v>
      </c>
      <c r="G1291" s="20">
        <v>44199</v>
      </c>
      <c r="H1291" s="21">
        <v>44757</v>
      </c>
      <c r="I1291" s="15">
        <f>(Table134[[#This Row],[Last_Day]]-Table134[[#This Row],[First_Day]]+1)/365</f>
        <v>1.5315068493150685</v>
      </c>
      <c r="J1291" s="59">
        <f>Table134[[#This Row],[number_of_purchases]]/Table134[[#This Row],[customer_total_years]]</f>
        <v>3.9177101967799643</v>
      </c>
      <c r="K1291" s="13">
        <f>Table134[[#This Row],[purchase_history]]/Table134[[#This Row],[number_of_purchases]]</f>
        <v>2238.6799999999998</v>
      </c>
      <c r="L1291" s="2">
        <f>IF(YEAR(Table134[[#This Row],[Last_Day]])=2021,5,IF(YEAR(Table134[[#This Row],[Last_Day]])=2022,7,IF(YEAR(Table134[[#This Row],[Last_Day]])=2023,10,"Không xác định")))</f>
        <v>7</v>
      </c>
      <c r="M1291" s="15">
        <f>Table134[[#This Row],[avg_number_of_purchases]]*Table1345[[#This Row],[avg_purchase_value]]*Table1345[[#This Row],[expected_lifespan]]</f>
        <v>61393.496243291585</v>
      </c>
      <c r="N1291" t="s">
        <v>12048</v>
      </c>
    </row>
    <row r="1292" spans="1:14" x14ac:dyDescent="0.3">
      <c r="A1292" s="2" t="s">
        <v>1290</v>
      </c>
      <c r="B1292" s="2" t="s">
        <v>12045</v>
      </c>
      <c r="C1292" s="2">
        <v>37</v>
      </c>
      <c r="D1292" s="2" t="s">
        <v>12041</v>
      </c>
      <c r="E1292" s="2">
        <f>COUNTIF(Table16[customer_id],Table13[[#This Row],[customer_id]])</f>
        <v>4</v>
      </c>
      <c r="F1292" s="13">
        <f>SUMIFS(Table16[Purchase_history],Table16[customer_id],Table13[[#This Row],[customer_id]])</f>
        <v>3165.0800000000004</v>
      </c>
      <c r="G1292" s="20">
        <v>44539</v>
      </c>
      <c r="H1292" s="21">
        <v>44942</v>
      </c>
      <c r="I1292" s="15">
        <f>(Table134[[#This Row],[Last_Day]]-Table134[[#This Row],[First_Day]]+1)/365</f>
        <v>1.106849315068493</v>
      </c>
      <c r="J1292" s="59">
        <f>Table134[[#This Row],[number_of_purchases]]/Table134[[#This Row],[customer_total_years]]</f>
        <v>3.6138613861386144</v>
      </c>
      <c r="K1292" s="13">
        <f>Table134[[#This Row],[purchase_history]]/Table134[[#This Row],[number_of_purchases]]</f>
        <v>791.2700000000001</v>
      </c>
      <c r="L1292" s="2">
        <f>IF(YEAR(Table134[[#This Row],[Last_Day]])=2021,5,IF(YEAR(Table134[[#This Row],[Last_Day]])=2022,7,IF(YEAR(Table134[[#This Row],[Last_Day]])=2023,10,"Không xác định")))</f>
        <v>10</v>
      </c>
      <c r="M1292" s="15">
        <f>Table134[[#This Row],[avg_number_of_purchases]]*Table1345[[#This Row],[avg_purchase_value]]*Table1345[[#This Row],[expected_lifespan]]</f>
        <v>28595.40099009902</v>
      </c>
      <c r="N1292" t="s">
        <v>12047</v>
      </c>
    </row>
    <row r="1293" spans="1:14" x14ac:dyDescent="0.3">
      <c r="A1293" s="2" t="s">
        <v>1291</v>
      </c>
      <c r="B1293" s="2" t="s">
        <v>12040</v>
      </c>
      <c r="C1293" s="2">
        <v>67</v>
      </c>
      <c r="D1293" s="2" t="s">
        <v>12041</v>
      </c>
      <c r="E1293" s="2">
        <f>COUNTIF(Table16[customer_id],Table13[[#This Row],[customer_id]])</f>
        <v>3</v>
      </c>
      <c r="F1293" s="13">
        <f>SUMIFS(Table16[Purchase_history],Table16[customer_id],Table13[[#This Row],[customer_id]])</f>
        <v>755.15999999999985</v>
      </c>
      <c r="G1293" s="20">
        <v>44201</v>
      </c>
      <c r="H1293" s="21">
        <v>44820</v>
      </c>
      <c r="I1293" s="15">
        <f>(Table134[[#This Row],[Last_Day]]-Table134[[#This Row],[First_Day]]+1)/365</f>
        <v>1.6986301369863013</v>
      </c>
      <c r="J1293" s="59">
        <f>Table134[[#This Row],[number_of_purchases]]/Table134[[#This Row],[customer_total_years]]</f>
        <v>1.7661290322580647</v>
      </c>
      <c r="K1293" s="13">
        <f>Table134[[#This Row],[purchase_history]]/Table134[[#This Row],[number_of_purchases]]</f>
        <v>251.71999999999994</v>
      </c>
      <c r="L1293" s="2">
        <f>IF(YEAR(Table134[[#This Row],[Last_Day]])=2021,5,IF(YEAR(Table134[[#This Row],[Last_Day]])=2022,7,IF(YEAR(Table134[[#This Row],[Last_Day]])=2023,10,"Không xác định")))</f>
        <v>7</v>
      </c>
      <c r="M1293" s="15">
        <f>Table134[[#This Row],[avg_number_of_purchases]]*Table1345[[#This Row],[avg_purchase_value]]*Table1345[[#This Row],[expected_lifespan]]</f>
        <v>3111.99</v>
      </c>
      <c r="N1293" t="s">
        <v>12044</v>
      </c>
    </row>
    <row r="1294" spans="1:14" x14ac:dyDescent="0.3">
      <c r="A1294" s="2" t="s">
        <v>1292</v>
      </c>
      <c r="B1294" s="2" t="s">
        <v>12040</v>
      </c>
      <c r="C1294" s="2">
        <v>18</v>
      </c>
      <c r="D1294" s="2" t="s">
        <v>12041</v>
      </c>
      <c r="E1294" s="2">
        <f>COUNTIF(Table16[customer_id],Table13[[#This Row],[customer_id]])</f>
        <v>4</v>
      </c>
      <c r="F1294" s="13">
        <f>SUMIFS(Table16[Purchase_history],Table16[customer_id],Table13[[#This Row],[customer_id]])</f>
        <v>32709.059999999998</v>
      </c>
      <c r="G1294" s="20">
        <v>44312</v>
      </c>
      <c r="H1294" s="21">
        <v>44821</v>
      </c>
      <c r="I1294" s="15">
        <f>(Table134[[#This Row],[Last_Day]]-Table134[[#This Row],[First_Day]]+1)/365</f>
        <v>1.3972602739726028</v>
      </c>
      <c r="J1294" s="59">
        <f>Table134[[#This Row],[number_of_purchases]]/Table134[[#This Row],[customer_total_years]]</f>
        <v>2.8627450980392157</v>
      </c>
      <c r="K1294" s="13">
        <f>Table134[[#This Row],[purchase_history]]/Table134[[#This Row],[number_of_purchases]]</f>
        <v>8177.2649999999994</v>
      </c>
      <c r="L1294" s="2">
        <f>IF(YEAR(Table134[[#This Row],[Last_Day]])=2021,5,IF(YEAR(Table134[[#This Row],[Last_Day]])=2022,7,IF(YEAR(Table134[[#This Row],[Last_Day]])=2023,10,"Không xác định")))</f>
        <v>7</v>
      </c>
      <c r="M1294" s="15">
        <f>Table134[[#This Row],[avg_number_of_purchases]]*Table1345[[#This Row],[avg_purchase_value]]*Table1345[[#This Row],[expected_lifespan]]</f>
        <v>163865.97705882351</v>
      </c>
      <c r="N1294" t="s">
        <v>12047</v>
      </c>
    </row>
    <row r="1295" spans="1:14" x14ac:dyDescent="0.3">
      <c r="A1295" s="2" t="s">
        <v>1293</v>
      </c>
      <c r="B1295" s="2" t="s">
        <v>12045</v>
      </c>
      <c r="C1295" s="2">
        <v>22</v>
      </c>
      <c r="D1295" s="2" t="s">
        <v>12041</v>
      </c>
      <c r="E1295" s="2">
        <f>COUNTIF(Table16[customer_id],Table13[[#This Row],[customer_id]])</f>
        <v>7</v>
      </c>
      <c r="F1295" s="13">
        <f>SUMIFS(Table16[Purchase_history],Table16[customer_id],Table13[[#This Row],[customer_id]])</f>
        <v>50822.5</v>
      </c>
      <c r="G1295" s="20">
        <v>44249</v>
      </c>
      <c r="H1295" s="21">
        <v>44624</v>
      </c>
      <c r="I1295" s="15">
        <f>(Table134[[#This Row],[Last_Day]]-Table134[[#This Row],[First_Day]]+1)/365</f>
        <v>1.0301369863013699</v>
      </c>
      <c r="J1295" s="59">
        <f>Table134[[#This Row],[number_of_purchases]]/Table134[[#This Row],[customer_total_years]]</f>
        <v>6.7952127659574471</v>
      </c>
      <c r="K1295" s="13">
        <f>Table134[[#This Row],[purchase_history]]/Table134[[#This Row],[number_of_purchases]]</f>
        <v>7260.3571428571431</v>
      </c>
      <c r="L1295" s="2">
        <f>IF(YEAR(Table134[[#This Row],[Last_Day]])=2021,5,IF(YEAR(Table134[[#This Row],[Last_Day]])=2022,7,IF(YEAR(Table134[[#This Row],[Last_Day]])=2023,10,"Không xác định")))</f>
        <v>7</v>
      </c>
      <c r="M1295" s="15">
        <f>Table134[[#This Row],[avg_number_of_purchases]]*Table1345[[#This Row],[avg_purchase_value]]*Table1345[[#This Row],[expected_lifespan]]</f>
        <v>345349.70079787239</v>
      </c>
      <c r="N1295" t="s">
        <v>12048</v>
      </c>
    </row>
    <row r="1296" spans="1:14" x14ac:dyDescent="0.3">
      <c r="A1296" s="2" t="s">
        <v>1294</v>
      </c>
      <c r="B1296" s="2" t="s">
        <v>12045</v>
      </c>
      <c r="C1296" s="2">
        <v>43</v>
      </c>
      <c r="D1296" s="2" t="s">
        <v>12043</v>
      </c>
      <c r="E1296" s="2">
        <f>COUNTIF(Table16[customer_id],Table13[[#This Row],[customer_id]])</f>
        <v>4</v>
      </c>
      <c r="F1296" s="13">
        <f>SUMIFS(Table16[Purchase_history],Table16[customer_id],Table13[[#This Row],[customer_id]])</f>
        <v>3513.9599999999996</v>
      </c>
      <c r="G1296" s="20">
        <v>44227</v>
      </c>
      <c r="H1296" s="21">
        <v>44821</v>
      </c>
      <c r="I1296" s="15">
        <f>(Table134[[#This Row],[Last_Day]]-Table134[[#This Row],[First_Day]]+1)/365</f>
        <v>1.6301369863013699</v>
      </c>
      <c r="J1296" s="59">
        <f>Table134[[#This Row],[number_of_purchases]]/Table134[[#This Row],[customer_total_years]]</f>
        <v>2.4537815126050417</v>
      </c>
      <c r="K1296" s="13">
        <f>Table134[[#This Row],[purchase_history]]/Table134[[#This Row],[number_of_purchases]]</f>
        <v>878.4899999999999</v>
      </c>
      <c r="L1296" s="2">
        <f>IF(YEAR(Table134[[#This Row],[Last_Day]])=2021,5,IF(YEAR(Table134[[#This Row],[Last_Day]])=2022,7,IF(YEAR(Table134[[#This Row],[Last_Day]])=2023,10,"Không xác định")))</f>
        <v>7</v>
      </c>
      <c r="M1296" s="15">
        <f>Table134[[#This Row],[avg_number_of_purchases]]*Table1345[[#This Row],[avg_purchase_value]]*Table1345[[#This Row],[expected_lifespan]]</f>
        <v>15089.357647058821</v>
      </c>
      <c r="N1296" t="s">
        <v>12044</v>
      </c>
    </row>
    <row r="1297" spans="1:14" x14ac:dyDescent="0.3">
      <c r="A1297" s="2" t="s">
        <v>1295</v>
      </c>
      <c r="B1297" s="2" t="s">
        <v>12045</v>
      </c>
      <c r="C1297" s="2">
        <v>26</v>
      </c>
      <c r="D1297" s="2" t="s">
        <v>12043</v>
      </c>
      <c r="E1297" s="2">
        <f>COUNTIF(Table16[customer_id],Table13[[#This Row],[customer_id]])</f>
        <v>6</v>
      </c>
      <c r="F1297" s="13">
        <f>SUMIFS(Table16[Purchase_history],Table16[customer_id],Table13[[#This Row],[customer_id]])</f>
        <v>3572.79</v>
      </c>
      <c r="G1297" s="20">
        <v>44339</v>
      </c>
      <c r="H1297" s="21">
        <v>44917</v>
      </c>
      <c r="I1297" s="15">
        <f>(Table134[[#This Row],[Last_Day]]-Table134[[#This Row],[First_Day]]+1)/365</f>
        <v>1.5863013698630137</v>
      </c>
      <c r="J1297" s="59">
        <f>Table134[[#This Row],[number_of_purchases]]/Table134[[#This Row],[customer_total_years]]</f>
        <v>3.7823834196891193</v>
      </c>
      <c r="K1297" s="13">
        <f>Table134[[#This Row],[purchase_history]]/Table134[[#This Row],[number_of_purchases]]</f>
        <v>595.46500000000003</v>
      </c>
      <c r="L1297" s="2">
        <f>IF(YEAR(Table134[[#This Row],[Last_Day]])=2021,5,IF(YEAR(Table134[[#This Row],[Last_Day]])=2022,7,IF(YEAR(Table134[[#This Row],[Last_Day]])=2023,10,"Không xác định")))</f>
        <v>7</v>
      </c>
      <c r="M1297" s="15">
        <f>Table134[[#This Row],[avg_number_of_purchases]]*Table1345[[#This Row],[avg_purchase_value]]*Table1345[[#This Row],[expected_lifespan]]</f>
        <v>15765.938601036272</v>
      </c>
      <c r="N1297" t="s">
        <v>12047</v>
      </c>
    </row>
    <row r="1298" spans="1:14" x14ac:dyDescent="0.3">
      <c r="A1298" s="2" t="s">
        <v>1296</v>
      </c>
      <c r="B1298" s="2" t="s">
        <v>12040</v>
      </c>
      <c r="C1298" s="2">
        <v>30</v>
      </c>
      <c r="D1298" s="2" t="s">
        <v>12043</v>
      </c>
      <c r="E1298" s="2">
        <f>COUNTIF(Table16[customer_id],Table13[[#This Row],[customer_id]])</f>
        <v>7</v>
      </c>
      <c r="F1298" s="13">
        <f>SUMIFS(Table16[Purchase_history],Table16[customer_id],Table13[[#This Row],[customer_id]])</f>
        <v>3447.5000000000005</v>
      </c>
      <c r="G1298" s="20">
        <v>44226</v>
      </c>
      <c r="H1298" s="21">
        <v>44942</v>
      </c>
      <c r="I1298" s="15">
        <f>(Table134[[#This Row],[Last_Day]]-Table134[[#This Row],[First_Day]]+1)/365</f>
        <v>1.9643835616438357</v>
      </c>
      <c r="J1298" s="59">
        <f>Table134[[#This Row],[number_of_purchases]]/Table134[[#This Row],[customer_total_years]]</f>
        <v>3.5634588563458856</v>
      </c>
      <c r="K1298" s="13">
        <f>Table134[[#This Row],[purchase_history]]/Table134[[#This Row],[number_of_purchases]]</f>
        <v>492.50000000000006</v>
      </c>
      <c r="L1298" s="2">
        <f>IF(YEAR(Table134[[#This Row],[Last_Day]])=2021,5,IF(YEAR(Table134[[#This Row],[Last_Day]])=2022,7,IF(YEAR(Table134[[#This Row],[Last_Day]])=2023,10,"Không xác định")))</f>
        <v>10</v>
      </c>
      <c r="M1298" s="15">
        <f>Table134[[#This Row],[avg_number_of_purchases]]*Table1345[[#This Row],[avg_purchase_value]]*Table1345[[#This Row],[expected_lifespan]]</f>
        <v>17550.034867503487</v>
      </c>
      <c r="N1298" t="s">
        <v>12046</v>
      </c>
    </row>
    <row r="1299" spans="1:14" x14ac:dyDescent="0.3">
      <c r="A1299" s="2" t="s">
        <v>1297</v>
      </c>
      <c r="B1299" s="2" t="s">
        <v>12040</v>
      </c>
      <c r="C1299" s="2">
        <v>65</v>
      </c>
      <c r="D1299" s="2" t="s">
        <v>12041</v>
      </c>
      <c r="E1299" s="2">
        <f>COUNTIF(Table16[customer_id],Table13[[#This Row],[customer_id]])</f>
        <v>5</v>
      </c>
      <c r="F1299" s="13">
        <f>SUMIFS(Table16[Purchase_history],Table16[customer_id],Table13[[#This Row],[customer_id]])</f>
        <v>15039.119999999999</v>
      </c>
      <c r="G1299" s="20">
        <v>44479</v>
      </c>
      <c r="H1299" s="21">
        <v>44913</v>
      </c>
      <c r="I1299" s="15">
        <f>(Table134[[#This Row],[Last_Day]]-Table134[[#This Row],[First_Day]]+1)/365</f>
        <v>1.1917808219178083</v>
      </c>
      <c r="J1299" s="59">
        <f>Table134[[#This Row],[number_of_purchases]]/Table134[[#This Row],[customer_total_years]]</f>
        <v>4.1954022988505741</v>
      </c>
      <c r="K1299" s="13">
        <f>Table134[[#This Row],[purchase_history]]/Table134[[#This Row],[number_of_purchases]]</f>
        <v>3007.8239999999996</v>
      </c>
      <c r="L1299" s="2">
        <f>IF(YEAR(Table134[[#This Row],[Last_Day]])=2021,5,IF(YEAR(Table134[[#This Row],[Last_Day]])=2022,7,IF(YEAR(Table134[[#This Row],[Last_Day]])=2023,10,"Không xác định")))</f>
        <v>7</v>
      </c>
      <c r="M1299" s="15">
        <f>Table134[[#This Row],[avg_number_of_purchases]]*Table1345[[#This Row],[avg_purchase_value]]*Table1345[[#This Row],[expected_lifespan]]</f>
        <v>88333.222068965493</v>
      </c>
      <c r="N1299" t="s">
        <v>12048</v>
      </c>
    </row>
    <row r="1300" spans="1:14" x14ac:dyDescent="0.3">
      <c r="A1300" s="2" t="s">
        <v>1298</v>
      </c>
      <c r="B1300" s="2" t="s">
        <v>12045</v>
      </c>
      <c r="C1300" s="2">
        <v>26</v>
      </c>
      <c r="D1300" s="2" t="s">
        <v>12043</v>
      </c>
      <c r="E1300" s="2">
        <f>COUNTIF(Table16[customer_id],Table13[[#This Row],[customer_id]])</f>
        <v>4</v>
      </c>
      <c r="F1300" s="13">
        <f>SUMIFS(Table16[Purchase_history],Table16[customer_id],Table13[[#This Row],[customer_id]])</f>
        <v>18083.47</v>
      </c>
      <c r="G1300" s="20">
        <v>44320</v>
      </c>
      <c r="H1300" s="21">
        <v>44844</v>
      </c>
      <c r="I1300" s="15">
        <f>(Table134[[#This Row],[Last_Day]]-Table134[[#This Row],[First_Day]]+1)/365</f>
        <v>1.4383561643835616</v>
      </c>
      <c r="J1300" s="59">
        <f>Table134[[#This Row],[number_of_purchases]]/Table134[[#This Row],[customer_total_years]]</f>
        <v>2.7809523809523808</v>
      </c>
      <c r="K1300" s="13">
        <f>Table134[[#This Row],[purchase_history]]/Table134[[#This Row],[number_of_purchases]]</f>
        <v>4520.8675000000003</v>
      </c>
      <c r="L1300" s="2">
        <f>IF(YEAR(Table134[[#This Row],[Last_Day]])=2021,5,IF(YEAR(Table134[[#This Row],[Last_Day]])=2022,7,IF(YEAR(Table134[[#This Row],[Last_Day]])=2023,10,"Không xác định")))</f>
        <v>7</v>
      </c>
      <c r="M1300" s="15">
        <f>Table134[[#This Row],[avg_number_of_purchases]]*Table1345[[#This Row],[avg_purchase_value]]*Table1345[[#This Row],[expected_lifespan]]</f>
        <v>88006.220666666661</v>
      </c>
      <c r="N1300" t="s">
        <v>12048</v>
      </c>
    </row>
    <row r="1301" spans="1:14" x14ac:dyDescent="0.3">
      <c r="A1301" s="2" t="s">
        <v>1299</v>
      </c>
      <c r="B1301" s="2" t="s">
        <v>12040</v>
      </c>
      <c r="C1301" s="2">
        <v>41</v>
      </c>
      <c r="D1301" s="2" t="s">
        <v>12041</v>
      </c>
      <c r="E1301" s="2">
        <f>COUNTIF(Table16[customer_id],Table13[[#This Row],[customer_id]])</f>
        <v>4</v>
      </c>
      <c r="F1301" s="13">
        <f>SUMIFS(Table16[Purchase_history],Table16[customer_id],Table13[[#This Row],[customer_id]])</f>
        <v>8063.58</v>
      </c>
      <c r="G1301" s="20">
        <v>44251</v>
      </c>
      <c r="H1301" s="21">
        <v>44873</v>
      </c>
      <c r="I1301" s="15">
        <f>(Table134[[#This Row],[Last_Day]]-Table134[[#This Row],[First_Day]]+1)/365</f>
        <v>1.7068493150684931</v>
      </c>
      <c r="J1301" s="59">
        <f>Table134[[#This Row],[number_of_purchases]]/Table134[[#This Row],[customer_total_years]]</f>
        <v>2.3434991974317816</v>
      </c>
      <c r="K1301" s="13">
        <f>Table134[[#This Row],[purchase_history]]/Table134[[#This Row],[number_of_purchases]]</f>
        <v>2015.895</v>
      </c>
      <c r="L1301" s="2">
        <f>IF(YEAR(Table134[[#This Row],[Last_Day]])=2021,5,IF(YEAR(Table134[[#This Row],[Last_Day]])=2022,7,IF(YEAR(Table134[[#This Row],[Last_Day]])=2023,10,"Không xác định")))</f>
        <v>7</v>
      </c>
      <c r="M1301" s="15">
        <f>Table134[[#This Row],[avg_number_of_purchases]]*Table1345[[#This Row],[avg_purchase_value]]*Table1345[[#This Row],[expected_lifespan]]</f>
        <v>33069.738202247194</v>
      </c>
      <c r="N1301" t="s">
        <v>12044</v>
      </c>
    </row>
    <row r="1302" spans="1:14" x14ac:dyDescent="0.3">
      <c r="A1302" s="2" t="s">
        <v>1300</v>
      </c>
      <c r="B1302" s="2" t="s">
        <v>12040</v>
      </c>
      <c r="C1302" s="2">
        <v>55</v>
      </c>
      <c r="D1302" s="2" t="s">
        <v>12043</v>
      </c>
      <c r="E1302" s="2">
        <f>COUNTIF(Table16[customer_id],Table13[[#This Row],[customer_id]])</f>
        <v>6</v>
      </c>
      <c r="F1302" s="13">
        <f>SUMIFS(Table16[Purchase_history],Table16[customer_id],Table13[[#This Row],[customer_id]])</f>
        <v>17047.25</v>
      </c>
      <c r="G1302" s="20">
        <v>44461</v>
      </c>
      <c r="H1302" s="21">
        <v>44968</v>
      </c>
      <c r="I1302" s="15">
        <f>(Table134[[#This Row],[Last_Day]]-Table134[[#This Row],[First_Day]]+1)/365</f>
        <v>1.3917808219178083</v>
      </c>
      <c r="J1302" s="59">
        <f>Table134[[#This Row],[number_of_purchases]]/Table134[[#This Row],[customer_total_years]]</f>
        <v>4.3110236220472435</v>
      </c>
      <c r="K1302" s="13">
        <f>Table134[[#This Row],[purchase_history]]/Table134[[#This Row],[number_of_purchases]]</f>
        <v>2841.2083333333335</v>
      </c>
      <c r="L1302" s="2">
        <f>IF(YEAR(Table134[[#This Row],[Last_Day]])=2021,5,IF(YEAR(Table134[[#This Row],[Last_Day]])=2022,7,IF(YEAR(Table134[[#This Row],[Last_Day]])=2023,10,"Không xác định")))</f>
        <v>10</v>
      </c>
      <c r="M1302" s="15">
        <f>Table134[[#This Row],[avg_number_of_purchases]]*Table1345[[#This Row],[avg_purchase_value]]*Table1345[[#This Row],[expected_lifespan]]</f>
        <v>122485.16240157479</v>
      </c>
      <c r="N1302" t="s">
        <v>12047</v>
      </c>
    </row>
    <row r="1303" spans="1:14" x14ac:dyDescent="0.3">
      <c r="A1303" s="2" t="s">
        <v>1301</v>
      </c>
      <c r="B1303" s="2" t="s">
        <v>12040</v>
      </c>
      <c r="C1303" s="2">
        <v>30</v>
      </c>
      <c r="D1303" s="2" t="s">
        <v>12043</v>
      </c>
      <c r="E1303" s="2">
        <f>COUNTIF(Table16[customer_id],Table13[[#This Row],[customer_id]])</f>
        <v>5</v>
      </c>
      <c r="F1303" s="13">
        <f>SUMIFS(Table16[Purchase_history],Table16[customer_id],Table13[[#This Row],[customer_id]])</f>
        <v>28203.14</v>
      </c>
      <c r="G1303" s="20">
        <v>44407</v>
      </c>
      <c r="H1303" s="21">
        <v>44523</v>
      </c>
      <c r="I1303" s="15">
        <f>(Table134[[#This Row],[Last_Day]]-Table134[[#This Row],[First_Day]]+1)/365</f>
        <v>0.32054794520547947</v>
      </c>
      <c r="J1303" s="59">
        <f>Table134[[#This Row],[number_of_purchases]]/Table134[[#This Row],[customer_total_years]]</f>
        <v>15.598290598290598</v>
      </c>
      <c r="K1303" s="13">
        <f>Table134[[#This Row],[purchase_history]]/Table134[[#This Row],[number_of_purchases]]</f>
        <v>5640.6279999999997</v>
      </c>
      <c r="L1303" s="2">
        <f>IF(YEAR(Table134[[#This Row],[Last_Day]])=2021,5,IF(YEAR(Table134[[#This Row],[Last_Day]])=2022,7,IF(YEAR(Table134[[#This Row],[Last_Day]])=2023,10,"Không xác định")))</f>
        <v>5</v>
      </c>
      <c r="M1303" s="15">
        <f>Table134[[#This Row],[avg_number_of_purchases]]*Table1345[[#This Row],[avg_purchase_value]]*Table1345[[#This Row],[expected_lifespan]]</f>
        <v>439920.77350427344</v>
      </c>
      <c r="N1303" t="s">
        <v>12042</v>
      </c>
    </row>
    <row r="1304" spans="1:14" x14ac:dyDescent="0.3">
      <c r="A1304" s="2" t="s">
        <v>1302</v>
      </c>
      <c r="B1304" s="2" t="s">
        <v>12040</v>
      </c>
      <c r="C1304" s="2">
        <v>51</v>
      </c>
      <c r="D1304" s="2" t="s">
        <v>12049</v>
      </c>
      <c r="E1304" s="2">
        <f>COUNTIF(Table16[customer_id],Table13[[#This Row],[customer_id]])</f>
        <v>4</v>
      </c>
      <c r="F1304" s="13">
        <f>SUMIFS(Table16[Purchase_history],Table16[customer_id],Table13[[#This Row],[customer_id]])</f>
        <v>24972.909999999996</v>
      </c>
      <c r="G1304" s="20">
        <v>44487</v>
      </c>
      <c r="H1304" s="21">
        <v>44981</v>
      </c>
      <c r="I1304" s="15">
        <f>(Table134[[#This Row],[Last_Day]]-Table134[[#This Row],[First_Day]]+1)/365</f>
        <v>1.3561643835616439</v>
      </c>
      <c r="J1304" s="59">
        <f>Table134[[#This Row],[number_of_purchases]]/Table134[[#This Row],[customer_total_years]]</f>
        <v>2.9494949494949494</v>
      </c>
      <c r="K1304" s="13">
        <f>Table134[[#This Row],[purchase_history]]/Table134[[#This Row],[number_of_purchases]]</f>
        <v>6243.2274999999991</v>
      </c>
      <c r="L1304" s="2">
        <f>IF(YEAR(Table134[[#This Row],[Last_Day]])=2021,5,IF(YEAR(Table134[[#This Row],[Last_Day]])=2022,7,IF(YEAR(Table134[[#This Row],[Last_Day]])=2023,10,"Không xác định")))</f>
        <v>10</v>
      </c>
      <c r="M1304" s="15">
        <f>Table134[[#This Row],[avg_number_of_purchases]]*Table1345[[#This Row],[avg_purchase_value]]*Table1345[[#This Row],[expected_lifespan]]</f>
        <v>184143.67979797974</v>
      </c>
      <c r="N1304" t="s">
        <v>12048</v>
      </c>
    </row>
    <row r="1305" spans="1:14" x14ac:dyDescent="0.3">
      <c r="A1305" s="2" t="s">
        <v>1303</v>
      </c>
      <c r="B1305" s="2" t="s">
        <v>12045</v>
      </c>
      <c r="C1305" s="2">
        <v>40</v>
      </c>
      <c r="D1305" s="2" t="s">
        <v>12043</v>
      </c>
      <c r="E1305" s="2">
        <f>COUNTIF(Table16[customer_id],Table13[[#This Row],[customer_id]])</f>
        <v>3</v>
      </c>
      <c r="F1305" s="13">
        <f>SUMIFS(Table16[Purchase_history],Table16[customer_id],Table13[[#This Row],[customer_id]])</f>
        <v>1709.62</v>
      </c>
      <c r="G1305" s="20">
        <v>44458</v>
      </c>
      <c r="H1305" s="21">
        <v>44811</v>
      </c>
      <c r="I1305" s="15">
        <f>(Table134[[#This Row],[Last_Day]]-Table134[[#This Row],[First_Day]]+1)/365</f>
        <v>0.96986301369863015</v>
      </c>
      <c r="J1305" s="59">
        <f>Table134[[#This Row],[number_of_purchases]]/Table134[[#This Row],[customer_total_years]]</f>
        <v>3.0932203389830506</v>
      </c>
      <c r="K1305" s="13">
        <f>Table134[[#This Row],[purchase_history]]/Table134[[#This Row],[number_of_purchases]]</f>
        <v>569.87333333333333</v>
      </c>
      <c r="L1305" s="2">
        <f>IF(YEAR(Table134[[#This Row],[Last_Day]])=2021,5,IF(YEAR(Table134[[#This Row],[Last_Day]])=2022,7,IF(YEAR(Table134[[#This Row],[Last_Day]])=2023,10,"Không xác định")))</f>
        <v>7</v>
      </c>
      <c r="M1305" s="15">
        <f>Table134[[#This Row],[avg_number_of_purchases]]*Table1345[[#This Row],[avg_purchase_value]]*Table1345[[#This Row],[expected_lifespan]]</f>
        <v>12339.206497175141</v>
      </c>
      <c r="N1305" t="s">
        <v>12042</v>
      </c>
    </row>
    <row r="1306" spans="1:14" x14ac:dyDescent="0.3">
      <c r="A1306" s="2" t="s">
        <v>1304</v>
      </c>
      <c r="B1306" s="2" t="s">
        <v>12040</v>
      </c>
      <c r="C1306" s="2">
        <v>20</v>
      </c>
      <c r="D1306" s="2" t="s">
        <v>12043</v>
      </c>
      <c r="E1306" s="2">
        <f>COUNTIF(Table16[customer_id],Table13[[#This Row],[customer_id]])</f>
        <v>6</v>
      </c>
      <c r="F1306" s="13">
        <f>SUMIFS(Table16[Purchase_history],Table16[customer_id],Table13[[#This Row],[customer_id]])</f>
        <v>12587.41</v>
      </c>
      <c r="G1306" s="20">
        <v>44218</v>
      </c>
      <c r="H1306" s="21">
        <v>44800</v>
      </c>
      <c r="I1306" s="15">
        <f>(Table134[[#This Row],[Last_Day]]-Table134[[#This Row],[First_Day]]+1)/365</f>
        <v>1.5972602739726027</v>
      </c>
      <c r="J1306" s="59">
        <f>Table134[[#This Row],[number_of_purchases]]/Table134[[#This Row],[customer_total_years]]</f>
        <v>3.7564322469982847</v>
      </c>
      <c r="K1306" s="13">
        <f>Table134[[#This Row],[purchase_history]]/Table134[[#This Row],[number_of_purchases]]</f>
        <v>2097.9016666666666</v>
      </c>
      <c r="L1306" s="2">
        <f>IF(YEAR(Table134[[#This Row],[Last_Day]])=2021,5,IF(YEAR(Table134[[#This Row],[Last_Day]])=2022,7,IF(YEAR(Table134[[#This Row],[Last_Day]])=2023,10,"Không xác định")))</f>
        <v>7</v>
      </c>
      <c r="M1306" s="15">
        <f>Table134[[#This Row],[avg_number_of_purchases]]*Table1345[[#This Row],[avg_purchase_value]]*Table1345[[#This Row],[expected_lifespan]]</f>
        <v>55164.378301886791</v>
      </c>
      <c r="N1306" t="s">
        <v>12048</v>
      </c>
    </row>
    <row r="1307" spans="1:14" x14ac:dyDescent="0.3">
      <c r="A1307" s="2" t="s">
        <v>1305</v>
      </c>
      <c r="B1307" s="2" t="s">
        <v>12045</v>
      </c>
      <c r="C1307" s="2">
        <v>34</v>
      </c>
      <c r="D1307" s="2" t="s">
        <v>12049</v>
      </c>
      <c r="E1307" s="2">
        <f>COUNTIF(Table16[customer_id],Table13[[#This Row],[customer_id]])</f>
        <v>6</v>
      </c>
      <c r="F1307" s="13">
        <f>SUMIFS(Table16[Purchase_history],Table16[customer_id],Table13[[#This Row],[customer_id]])</f>
        <v>8877.4399999999987</v>
      </c>
      <c r="G1307" s="20">
        <v>44379</v>
      </c>
      <c r="H1307" s="21">
        <v>44991</v>
      </c>
      <c r="I1307" s="15">
        <f>(Table134[[#This Row],[Last_Day]]-Table134[[#This Row],[First_Day]]+1)/365</f>
        <v>1.6794520547945206</v>
      </c>
      <c r="J1307" s="59">
        <f>Table134[[#This Row],[number_of_purchases]]/Table134[[#This Row],[customer_total_years]]</f>
        <v>3.5725938009787925</v>
      </c>
      <c r="K1307" s="13">
        <f>Table134[[#This Row],[purchase_history]]/Table134[[#This Row],[number_of_purchases]]</f>
        <v>1479.573333333333</v>
      </c>
      <c r="L1307" s="2">
        <f>IF(YEAR(Table134[[#This Row],[Last_Day]])=2021,5,IF(YEAR(Table134[[#This Row],[Last_Day]])=2022,7,IF(YEAR(Table134[[#This Row],[Last_Day]])=2023,10,"Không xác định")))</f>
        <v>10</v>
      </c>
      <c r="M1307" s="15">
        <f>Table134[[#This Row],[avg_number_of_purchases]]*Table1345[[#This Row],[avg_purchase_value]]*Table1345[[#This Row],[expected_lifespan]]</f>
        <v>52859.145187601942</v>
      </c>
      <c r="N1307" t="s">
        <v>12047</v>
      </c>
    </row>
    <row r="1308" spans="1:14" x14ac:dyDescent="0.3">
      <c r="A1308" s="2" t="s">
        <v>1306</v>
      </c>
      <c r="B1308" s="2" t="s">
        <v>12040</v>
      </c>
      <c r="C1308" s="2">
        <v>27</v>
      </c>
      <c r="D1308" s="2" t="s">
        <v>12043</v>
      </c>
      <c r="E1308" s="2">
        <f>COUNTIF(Table16[customer_id],Table13[[#This Row],[customer_id]])</f>
        <v>6</v>
      </c>
      <c r="F1308" s="13">
        <f>SUMIFS(Table16[Purchase_history],Table16[customer_id],Table13[[#This Row],[customer_id]])</f>
        <v>5430.25</v>
      </c>
      <c r="G1308" s="20">
        <v>44352</v>
      </c>
      <c r="H1308" s="21">
        <v>44867</v>
      </c>
      <c r="I1308" s="15">
        <f>(Table134[[#This Row],[Last_Day]]-Table134[[#This Row],[First_Day]]+1)/365</f>
        <v>1.4136986301369863</v>
      </c>
      <c r="J1308" s="59">
        <f>Table134[[#This Row],[number_of_purchases]]/Table134[[#This Row],[customer_total_years]]</f>
        <v>4.2441860465116283</v>
      </c>
      <c r="K1308" s="13">
        <f>Table134[[#This Row],[purchase_history]]/Table134[[#This Row],[number_of_purchases]]</f>
        <v>905.04166666666663</v>
      </c>
      <c r="L1308" s="2">
        <f>IF(YEAR(Table134[[#This Row],[Last_Day]])=2021,5,IF(YEAR(Table134[[#This Row],[Last_Day]])=2022,7,IF(YEAR(Table134[[#This Row],[Last_Day]])=2023,10,"Không xác định")))</f>
        <v>7</v>
      </c>
      <c r="M1308" s="15">
        <f>Table134[[#This Row],[avg_number_of_purchases]]*Table1345[[#This Row],[avg_purchase_value]]*Table1345[[#This Row],[expected_lifespan]]</f>
        <v>26888.156492248065</v>
      </c>
      <c r="N1308" t="s">
        <v>12042</v>
      </c>
    </row>
    <row r="1309" spans="1:14" x14ac:dyDescent="0.3">
      <c r="A1309" s="2" t="s">
        <v>1307</v>
      </c>
      <c r="B1309" s="2" t="s">
        <v>12040</v>
      </c>
      <c r="C1309" s="2">
        <v>26</v>
      </c>
      <c r="D1309" s="2" t="s">
        <v>12049</v>
      </c>
      <c r="E1309" s="2">
        <f>COUNTIF(Table16[customer_id],Table13[[#This Row],[customer_id]])</f>
        <v>5</v>
      </c>
      <c r="F1309" s="13">
        <f>SUMIFS(Table16[Purchase_history],Table16[customer_id],Table13[[#This Row],[customer_id]])</f>
        <v>27370.329999999998</v>
      </c>
      <c r="G1309" s="20">
        <v>44343</v>
      </c>
      <c r="H1309" s="21">
        <v>44857</v>
      </c>
      <c r="I1309" s="15">
        <f>(Table134[[#This Row],[Last_Day]]-Table134[[#This Row],[First_Day]]+1)/365</f>
        <v>1.4109589041095891</v>
      </c>
      <c r="J1309" s="59">
        <f>Table134[[#This Row],[number_of_purchases]]/Table134[[#This Row],[customer_total_years]]</f>
        <v>3.5436893203883493</v>
      </c>
      <c r="K1309" s="13">
        <f>Table134[[#This Row],[purchase_history]]/Table134[[#This Row],[number_of_purchases]]</f>
        <v>5474.0659999999998</v>
      </c>
      <c r="L1309" s="2">
        <f>IF(YEAR(Table134[[#This Row],[Last_Day]])=2021,5,IF(YEAR(Table134[[#This Row],[Last_Day]])=2022,7,IF(YEAR(Table134[[#This Row],[Last_Day]])=2023,10,"Không xác định")))</f>
        <v>7</v>
      </c>
      <c r="M1309" s="15">
        <f>Table134[[#This Row],[avg_number_of_purchases]]*Table1345[[#This Row],[avg_purchase_value]]*Table1345[[#This Row],[expected_lifespan]]</f>
        <v>135788.72456310678</v>
      </c>
      <c r="N1309" t="s">
        <v>12048</v>
      </c>
    </row>
    <row r="1310" spans="1:14" x14ac:dyDescent="0.3">
      <c r="A1310" s="2" t="s">
        <v>1308</v>
      </c>
      <c r="B1310" s="2" t="s">
        <v>12045</v>
      </c>
      <c r="C1310" s="2">
        <v>47</v>
      </c>
      <c r="D1310" s="2" t="s">
        <v>12049</v>
      </c>
      <c r="E1310" s="2">
        <f>COUNTIF(Table16[customer_id],Table13[[#This Row],[customer_id]])</f>
        <v>5</v>
      </c>
      <c r="F1310" s="13">
        <f>SUMIFS(Table16[Purchase_history],Table16[customer_id],Table13[[#This Row],[customer_id]])</f>
        <v>1946.1000000000001</v>
      </c>
      <c r="G1310" s="20">
        <v>44376</v>
      </c>
      <c r="H1310" s="21">
        <v>44629</v>
      </c>
      <c r="I1310" s="15">
        <f>(Table134[[#This Row],[Last_Day]]-Table134[[#This Row],[First_Day]]+1)/365</f>
        <v>0.69589041095890414</v>
      </c>
      <c r="J1310" s="59">
        <f>Table134[[#This Row],[number_of_purchases]]/Table134[[#This Row],[customer_total_years]]</f>
        <v>7.1850393700787398</v>
      </c>
      <c r="K1310" s="13">
        <f>Table134[[#This Row],[purchase_history]]/Table134[[#This Row],[number_of_purchases]]</f>
        <v>389.22</v>
      </c>
      <c r="L1310" s="2">
        <f>IF(YEAR(Table134[[#This Row],[Last_Day]])=2021,5,IF(YEAR(Table134[[#This Row],[Last_Day]])=2022,7,IF(YEAR(Table134[[#This Row],[Last_Day]])=2023,10,"Không xác định")))</f>
        <v>7</v>
      </c>
      <c r="M1310" s="15">
        <f>Table134[[#This Row],[avg_number_of_purchases]]*Table1345[[#This Row],[avg_purchase_value]]*Table1345[[#This Row],[expected_lifespan]]</f>
        <v>19575.927165354333</v>
      </c>
      <c r="N1310" t="s">
        <v>12044</v>
      </c>
    </row>
    <row r="1311" spans="1:14" x14ac:dyDescent="0.3">
      <c r="A1311" s="2" t="s">
        <v>1309</v>
      </c>
      <c r="B1311" s="2" t="s">
        <v>12040</v>
      </c>
      <c r="C1311" s="2">
        <v>32</v>
      </c>
      <c r="D1311" s="2" t="s">
        <v>12041</v>
      </c>
      <c r="E1311" s="2">
        <f>COUNTIF(Table16[customer_id],Table13[[#This Row],[customer_id]])</f>
        <v>4</v>
      </c>
      <c r="F1311" s="13">
        <f>SUMIFS(Table16[Purchase_history],Table16[customer_id],Table13[[#This Row],[customer_id]])</f>
        <v>15453.84</v>
      </c>
      <c r="G1311" s="20">
        <v>44274</v>
      </c>
      <c r="H1311" s="21">
        <v>44700</v>
      </c>
      <c r="I1311" s="15">
        <f>(Table134[[#This Row],[Last_Day]]-Table134[[#This Row],[First_Day]]+1)/365</f>
        <v>1.1698630136986301</v>
      </c>
      <c r="J1311" s="59">
        <f>Table134[[#This Row],[number_of_purchases]]/Table134[[#This Row],[customer_total_years]]</f>
        <v>3.4192037470725998</v>
      </c>
      <c r="K1311" s="13">
        <f>Table134[[#This Row],[purchase_history]]/Table134[[#This Row],[number_of_purchases]]</f>
        <v>3863.46</v>
      </c>
      <c r="L1311" s="2">
        <f>IF(YEAR(Table134[[#This Row],[Last_Day]])=2021,5,IF(YEAR(Table134[[#This Row],[Last_Day]])=2022,7,IF(YEAR(Table134[[#This Row],[Last_Day]])=2023,10,"Không xác định")))</f>
        <v>7</v>
      </c>
      <c r="M1311" s="15">
        <f>Table134[[#This Row],[avg_number_of_purchases]]*Table1345[[#This Row],[avg_purchase_value]]*Table1345[[#This Row],[expected_lifespan]]</f>
        <v>92469.698360655748</v>
      </c>
      <c r="N1311" t="s">
        <v>12048</v>
      </c>
    </row>
    <row r="1312" spans="1:14" x14ac:dyDescent="0.3">
      <c r="A1312" s="2" t="s">
        <v>1310</v>
      </c>
      <c r="B1312" s="2" t="s">
        <v>12040</v>
      </c>
      <c r="C1312" s="2">
        <v>54</v>
      </c>
      <c r="D1312" s="2" t="s">
        <v>12041</v>
      </c>
      <c r="E1312" s="2">
        <f>COUNTIF(Table16[customer_id],Table13[[#This Row],[customer_id]])</f>
        <v>6</v>
      </c>
      <c r="F1312" s="13">
        <f>SUMIFS(Table16[Purchase_history],Table16[customer_id],Table13[[#This Row],[customer_id]])</f>
        <v>3709.6499999999996</v>
      </c>
      <c r="G1312" s="20">
        <v>44233</v>
      </c>
      <c r="H1312" s="21">
        <v>44983</v>
      </c>
      <c r="I1312" s="15">
        <f>(Table134[[#This Row],[Last_Day]]-Table134[[#This Row],[First_Day]]+1)/365</f>
        <v>2.0575342465753423</v>
      </c>
      <c r="J1312" s="59">
        <f>Table134[[#This Row],[number_of_purchases]]/Table134[[#This Row],[customer_total_years]]</f>
        <v>2.9161118508655126</v>
      </c>
      <c r="K1312" s="13">
        <f>Table134[[#This Row],[purchase_history]]/Table134[[#This Row],[number_of_purchases]]</f>
        <v>618.27499999999998</v>
      </c>
      <c r="L1312" s="2">
        <f>IF(YEAR(Table134[[#This Row],[Last_Day]])=2021,5,IF(YEAR(Table134[[#This Row],[Last_Day]])=2022,7,IF(YEAR(Table134[[#This Row],[Last_Day]])=2023,10,"Không xác định")))</f>
        <v>10</v>
      </c>
      <c r="M1312" s="15">
        <f>Table134[[#This Row],[avg_number_of_purchases]]*Table1345[[#This Row],[avg_purchase_value]]*Table1345[[#This Row],[expected_lifespan]]</f>
        <v>18029.590545938747</v>
      </c>
      <c r="N1312" t="s">
        <v>12042</v>
      </c>
    </row>
    <row r="1313" spans="1:14" x14ac:dyDescent="0.3">
      <c r="A1313" s="2" t="s">
        <v>1311</v>
      </c>
      <c r="B1313" s="2" t="s">
        <v>12040</v>
      </c>
      <c r="C1313" s="2">
        <v>30</v>
      </c>
      <c r="D1313" s="2" t="s">
        <v>12041</v>
      </c>
      <c r="E1313" s="2">
        <f>COUNTIF(Table16[customer_id],Table13[[#This Row],[customer_id]])</f>
        <v>4</v>
      </c>
      <c r="F1313" s="13">
        <f>SUMIFS(Table16[Purchase_history],Table16[customer_id],Table13[[#This Row],[customer_id]])</f>
        <v>12494.2</v>
      </c>
      <c r="G1313" s="20">
        <v>44347</v>
      </c>
      <c r="H1313" s="21">
        <v>44594</v>
      </c>
      <c r="I1313" s="15">
        <f>(Table134[[#This Row],[Last_Day]]-Table134[[#This Row],[First_Day]]+1)/365</f>
        <v>0.67945205479452053</v>
      </c>
      <c r="J1313" s="59">
        <f>Table134[[#This Row],[number_of_purchases]]/Table134[[#This Row],[customer_total_years]]</f>
        <v>5.8870967741935489</v>
      </c>
      <c r="K1313" s="13">
        <f>Table134[[#This Row],[purchase_history]]/Table134[[#This Row],[number_of_purchases]]</f>
        <v>3123.55</v>
      </c>
      <c r="L1313" s="2">
        <f>IF(YEAR(Table134[[#This Row],[Last_Day]])=2021,5,IF(YEAR(Table134[[#This Row],[Last_Day]])=2022,7,IF(YEAR(Table134[[#This Row],[Last_Day]])=2023,10,"Không xác định")))</f>
        <v>7</v>
      </c>
      <c r="M1313" s="15">
        <f>Table134[[#This Row],[avg_number_of_purchases]]*Table1345[[#This Row],[avg_purchase_value]]*Table1345[[#This Row],[expected_lifespan]]</f>
        <v>128720.48790322583</v>
      </c>
      <c r="N1313" t="s">
        <v>12048</v>
      </c>
    </row>
    <row r="1314" spans="1:14" x14ac:dyDescent="0.3">
      <c r="A1314" s="2" t="s">
        <v>1312</v>
      </c>
      <c r="B1314" s="2" t="s">
        <v>12045</v>
      </c>
      <c r="C1314" s="2">
        <v>39</v>
      </c>
      <c r="D1314" s="2" t="s">
        <v>12049</v>
      </c>
      <c r="E1314" s="2">
        <f>COUNTIF(Table16[customer_id],Table13[[#This Row],[customer_id]])</f>
        <v>2</v>
      </c>
      <c r="F1314" s="13">
        <f>SUMIFS(Table16[Purchase_history],Table16[customer_id],Table13[[#This Row],[customer_id]])</f>
        <v>5643.9299999999994</v>
      </c>
      <c r="G1314" s="20">
        <v>44400</v>
      </c>
      <c r="H1314" s="21">
        <v>44891</v>
      </c>
      <c r="I1314" s="15">
        <f>(Table134[[#This Row],[Last_Day]]-Table134[[#This Row],[First_Day]]+1)/365</f>
        <v>1.3479452054794521</v>
      </c>
      <c r="J1314" s="59">
        <f>Table134[[#This Row],[number_of_purchases]]/Table134[[#This Row],[customer_total_years]]</f>
        <v>1.4837398373983739</v>
      </c>
      <c r="K1314" s="13">
        <f>Table134[[#This Row],[purchase_history]]/Table134[[#This Row],[number_of_purchases]]</f>
        <v>2821.9649999999997</v>
      </c>
      <c r="L1314" s="2">
        <f>IF(YEAR(Table134[[#This Row],[Last_Day]])=2021,5,IF(YEAR(Table134[[#This Row],[Last_Day]])=2022,7,IF(YEAR(Table134[[#This Row],[Last_Day]])=2023,10,"Không xác định")))</f>
        <v>7</v>
      </c>
      <c r="M1314" s="15">
        <f>Table134[[#This Row],[avg_number_of_purchases]]*Table1345[[#This Row],[avg_purchase_value]]*Table1345[[#This Row],[expected_lifespan]]</f>
        <v>29309.433231707313</v>
      </c>
      <c r="N1314" t="s">
        <v>12044</v>
      </c>
    </row>
    <row r="1315" spans="1:14" x14ac:dyDescent="0.3">
      <c r="A1315" s="2" t="s">
        <v>1313</v>
      </c>
      <c r="B1315" s="2" t="s">
        <v>12040</v>
      </c>
      <c r="C1315" s="2">
        <v>65</v>
      </c>
      <c r="D1315" s="2" t="s">
        <v>12043</v>
      </c>
      <c r="E1315" s="2">
        <f>COUNTIF(Table16[customer_id],Table13[[#This Row],[customer_id]])</f>
        <v>4</v>
      </c>
      <c r="F1315" s="13">
        <f>SUMIFS(Table16[Purchase_history],Table16[customer_id],Table13[[#This Row],[customer_id]])</f>
        <v>1468.9899999999998</v>
      </c>
      <c r="G1315" s="20">
        <v>44634</v>
      </c>
      <c r="H1315" s="21">
        <v>44832</v>
      </c>
      <c r="I1315" s="15">
        <f>(Table134[[#This Row],[Last_Day]]-Table134[[#This Row],[First_Day]]+1)/365</f>
        <v>0.54520547945205478</v>
      </c>
      <c r="J1315" s="59">
        <f>Table134[[#This Row],[number_of_purchases]]/Table134[[#This Row],[customer_total_years]]</f>
        <v>7.3366834170854274</v>
      </c>
      <c r="K1315" s="13">
        <f>Table134[[#This Row],[purchase_history]]/Table134[[#This Row],[number_of_purchases]]</f>
        <v>367.24749999999995</v>
      </c>
      <c r="L1315" s="2">
        <f>IF(YEAR(Table134[[#This Row],[Last_Day]])=2021,5,IF(YEAR(Table134[[#This Row],[Last_Day]])=2022,7,IF(YEAR(Table134[[#This Row],[Last_Day]])=2023,10,"Không xác định")))</f>
        <v>7</v>
      </c>
      <c r="M1315" s="15">
        <f>Table134[[#This Row],[avg_number_of_purchases]]*Table1345[[#This Row],[avg_purchase_value]]*Table1345[[#This Row],[expected_lifespan]]</f>
        <v>18860.650502512559</v>
      </c>
      <c r="N1315" t="s">
        <v>12047</v>
      </c>
    </row>
    <row r="1316" spans="1:14" x14ac:dyDescent="0.3">
      <c r="A1316" s="2" t="s">
        <v>1314</v>
      </c>
      <c r="B1316" s="2" t="s">
        <v>12045</v>
      </c>
      <c r="C1316" s="2">
        <v>31</v>
      </c>
      <c r="D1316" s="2" t="s">
        <v>12041</v>
      </c>
      <c r="E1316" s="2">
        <f>COUNTIF(Table16[customer_id],Table13[[#This Row],[customer_id]])</f>
        <v>7</v>
      </c>
      <c r="F1316" s="13">
        <f>SUMIFS(Table16[Purchase_history],Table16[customer_id],Table13[[#This Row],[customer_id]])</f>
        <v>6153.3</v>
      </c>
      <c r="G1316" s="20">
        <v>44303</v>
      </c>
      <c r="H1316" s="21">
        <v>44680</v>
      </c>
      <c r="I1316" s="15">
        <f>(Table134[[#This Row],[Last_Day]]-Table134[[#This Row],[First_Day]]+1)/365</f>
        <v>1.0356164383561643</v>
      </c>
      <c r="J1316" s="59">
        <f>Table134[[#This Row],[number_of_purchases]]/Table134[[#This Row],[customer_total_years]]</f>
        <v>6.7592592592592595</v>
      </c>
      <c r="K1316" s="13">
        <f>Table134[[#This Row],[purchase_history]]/Table134[[#This Row],[number_of_purchases]]</f>
        <v>879.0428571428572</v>
      </c>
      <c r="L1316" s="2">
        <f>IF(YEAR(Table134[[#This Row],[Last_Day]])=2021,5,IF(YEAR(Table134[[#This Row],[Last_Day]])=2022,7,IF(YEAR(Table134[[#This Row],[Last_Day]])=2023,10,"Không xác định")))</f>
        <v>7</v>
      </c>
      <c r="M1316" s="15">
        <f>Table134[[#This Row],[avg_number_of_purchases]]*Table1345[[#This Row],[avg_purchase_value]]*Table1345[[#This Row],[expected_lifespan]]</f>
        <v>41591.750000000007</v>
      </c>
      <c r="N1316" t="s">
        <v>12044</v>
      </c>
    </row>
    <row r="1317" spans="1:14" x14ac:dyDescent="0.3">
      <c r="A1317" s="2" t="s">
        <v>1315</v>
      </c>
      <c r="B1317" s="2" t="s">
        <v>12040</v>
      </c>
      <c r="C1317" s="2">
        <v>57</v>
      </c>
      <c r="D1317" s="2" t="s">
        <v>12049</v>
      </c>
      <c r="E1317" s="2">
        <f>COUNTIF(Table16[customer_id],Table13[[#This Row],[customer_id]])</f>
        <v>3</v>
      </c>
      <c r="F1317" s="13">
        <f>SUMIFS(Table16[Purchase_history],Table16[customer_id],Table13[[#This Row],[customer_id]])</f>
        <v>1553.1200000000001</v>
      </c>
      <c r="G1317" s="20">
        <v>44204</v>
      </c>
      <c r="H1317" s="21">
        <v>44883</v>
      </c>
      <c r="I1317" s="15">
        <f>(Table134[[#This Row],[Last_Day]]-Table134[[#This Row],[First_Day]]+1)/365</f>
        <v>1.8630136986301369</v>
      </c>
      <c r="J1317" s="59">
        <f>Table134[[#This Row],[number_of_purchases]]/Table134[[#This Row],[customer_total_years]]</f>
        <v>1.6102941176470589</v>
      </c>
      <c r="K1317" s="13">
        <f>Table134[[#This Row],[purchase_history]]/Table134[[#This Row],[number_of_purchases]]</f>
        <v>517.70666666666671</v>
      </c>
      <c r="L1317" s="2">
        <f>IF(YEAR(Table134[[#This Row],[Last_Day]])=2021,5,IF(YEAR(Table134[[#This Row],[Last_Day]])=2022,7,IF(YEAR(Table134[[#This Row],[Last_Day]])=2023,10,"Không xác định")))</f>
        <v>7</v>
      </c>
      <c r="M1317" s="15">
        <f>Table134[[#This Row],[avg_number_of_purchases]]*Table1345[[#This Row],[avg_purchase_value]]*Table1345[[#This Row],[expected_lifespan]]</f>
        <v>5835.6200000000008</v>
      </c>
      <c r="N1317" t="s">
        <v>12042</v>
      </c>
    </row>
    <row r="1318" spans="1:14" x14ac:dyDescent="0.3">
      <c r="A1318" s="2" t="s">
        <v>1316</v>
      </c>
      <c r="B1318" s="2" t="s">
        <v>12040</v>
      </c>
      <c r="C1318" s="2">
        <v>18</v>
      </c>
      <c r="D1318" s="2" t="s">
        <v>12049</v>
      </c>
      <c r="E1318" s="2">
        <f>COUNTIF(Table16[customer_id],Table13[[#This Row],[customer_id]])</f>
        <v>1</v>
      </c>
      <c r="F1318" s="13">
        <f>SUMIFS(Table16[Purchase_history],Table16[customer_id],Table13[[#This Row],[customer_id]])</f>
        <v>35.840000000000003</v>
      </c>
      <c r="G1318" s="20">
        <v>44206</v>
      </c>
      <c r="H1318" s="21">
        <v>44206</v>
      </c>
      <c r="I1318" s="15">
        <f>(Table134[[#This Row],[Last_Day]]-Table134[[#This Row],[First_Day]]+1)/365</f>
        <v>2.7397260273972603E-3</v>
      </c>
      <c r="J1318" s="59">
        <f>Table134[[#This Row],[number_of_purchases]]/Table134[[#This Row],[customer_total_years]]</f>
        <v>365</v>
      </c>
      <c r="K1318" s="13">
        <f>Table134[[#This Row],[purchase_history]]/Table134[[#This Row],[number_of_purchases]]</f>
        <v>35.840000000000003</v>
      </c>
      <c r="L1318" s="2">
        <f>IF(YEAR(Table134[[#This Row],[Last_Day]])=2021,5,IF(YEAR(Table134[[#This Row],[Last_Day]])=2022,7,IF(YEAR(Table134[[#This Row],[Last_Day]])=2023,10,"Không xác định")))</f>
        <v>5</v>
      </c>
      <c r="M1318" s="15">
        <f>Table134[[#This Row],[avg_number_of_purchases]]*Table1345[[#This Row],[avg_purchase_value]]*Table1345[[#This Row],[expected_lifespan]]</f>
        <v>65408</v>
      </c>
      <c r="N1318" t="s">
        <v>12042</v>
      </c>
    </row>
    <row r="1319" spans="1:14" x14ac:dyDescent="0.3">
      <c r="A1319" s="2" t="s">
        <v>1317</v>
      </c>
      <c r="B1319" s="2" t="s">
        <v>12040</v>
      </c>
      <c r="C1319" s="2">
        <v>19</v>
      </c>
      <c r="D1319" s="2" t="s">
        <v>12041</v>
      </c>
      <c r="E1319" s="2">
        <f>COUNTIF(Table16[customer_id],Table13[[#This Row],[customer_id]])</f>
        <v>7</v>
      </c>
      <c r="F1319" s="13">
        <f>SUMIFS(Table16[Purchase_history],Table16[customer_id],Table13[[#This Row],[customer_id]])</f>
        <v>15821.19</v>
      </c>
      <c r="G1319" s="20">
        <v>44199</v>
      </c>
      <c r="H1319" s="21">
        <v>44973</v>
      </c>
      <c r="I1319" s="15">
        <f>(Table134[[#This Row],[Last_Day]]-Table134[[#This Row],[First_Day]]+1)/365</f>
        <v>2.1232876712328768</v>
      </c>
      <c r="J1319" s="59">
        <f>Table134[[#This Row],[number_of_purchases]]/Table134[[#This Row],[customer_total_years]]</f>
        <v>3.2967741935483872</v>
      </c>
      <c r="K1319" s="13">
        <f>Table134[[#This Row],[purchase_history]]/Table134[[#This Row],[number_of_purchases]]</f>
        <v>2260.17</v>
      </c>
      <c r="L1319" s="2">
        <f>IF(YEAR(Table134[[#This Row],[Last_Day]])=2021,5,IF(YEAR(Table134[[#This Row],[Last_Day]])=2022,7,IF(YEAR(Table134[[#This Row],[Last_Day]])=2023,10,"Không xác định")))</f>
        <v>10</v>
      </c>
      <c r="M1319" s="15">
        <f>Table134[[#This Row],[avg_number_of_purchases]]*Table1345[[#This Row],[avg_purchase_value]]*Table1345[[#This Row],[expected_lifespan]]</f>
        <v>74512.701290322584</v>
      </c>
      <c r="N1319" t="s">
        <v>12044</v>
      </c>
    </row>
    <row r="1320" spans="1:14" x14ac:dyDescent="0.3">
      <c r="A1320" s="2" t="s">
        <v>1318</v>
      </c>
      <c r="B1320" s="2" t="s">
        <v>12045</v>
      </c>
      <c r="C1320" s="2">
        <v>56</v>
      </c>
      <c r="D1320" s="2" t="s">
        <v>12043</v>
      </c>
      <c r="E1320" s="2">
        <f>COUNTIF(Table16[customer_id],Table13[[#This Row],[customer_id]])</f>
        <v>4</v>
      </c>
      <c r="F1320" s="13">
        <f>SUMIFS(Table16[Purchase_history],Table16[customer_id],Table13[[#This Row],[customer_id]])</f>
        <v>1233.05</v>
      </c>
      <c r="G1320" s="20">
        <v>44338</v>
      </c>
      <c r="H1320" s="21">
        <v>44931</v>
      </c>
      <c r="I1320" s="15">
        <f>(Table134[[#This Row],[Last_Day]]-Table134[[#This Row],[First_Day]]+1)/365</f>
        <v>1.6273972602739726</v>
      </c>
      <c r="J1320" s="59">
        <f>Table134[[#This Row],[number_of_purchases]]/Table134[[#This Row],[customer_total_years]]</f>
        <v>2.457912457912458</v>
      </c>
      <c r="K1320" s="13">
        <f>Table134[[#This Row],[purchase_history]]/Table134[[#This Row],[number_of_purchases]]</f>
        <v>308.26249999999999</v>
      </c>
      <c r="L1320" s="2">
        <f>IF(YEAR(Table134[[#This Row],[Last_Day]])=2021,5,IF(YEAR(Table134[[#This Row],[Last_Day]])=2022,7,IF(YEAR(Table134[[#This Row],[Last_Day]])=2023,10,"Không xác định")))</f>
        <v>10</v>
      </c>
      <c r="M1320" s="15">
        <f>Table134[[#This Row],[avg_number_of_purchases]]*Table1345[[#This Row],[avg_purchase_value]]*Table1345[[#This Row],[expected_lifespan]]</f>
        <v>7576.8223905723898</v>
      </c>
      <c r="N1320" t="s">
        <v>12046</v>
      </c>
    </row>
    <row r="1321" spans="1:14" x14ac:dyDescent="0.3">
      <c r="A1321" s="2" t="s">
        <v>1319</v>
      </c>
      <c r="B1321" s="2" t="s">
        <v>12045</v>
      </c>
      <c r="C1321" s="2">
        <v>59</v>
      </c>
      <c r="D1321" s="2" t="s">
        <v>12041</v>
      </c>
      <c r="E1321" s="2">
        <f>COUNTIF(Table16[customer_id],Table13[[#This Row],[customer_id]])</f>
        <v>3</v>
      </c>
      <c r="F1321" s="13">
        <f>SUMIFS(Table16[Purchase_history],Table16[customer_id],Table13[[#This Row],[customer_id]])</f>
        <v>11103</v>
      </c>
      <c r="G1321" s="20">
        <v>44457</v>
      </c>
      <c r="H1321" s="21">
        <v>44786</v>
      </c>
      <c r="I1321" s="15">
        <f>(Table134[[#This Row],[Last_Day]]-Table134[[#This Row],[First_Day]]+1)/365</f>
        <v>0.90410958904109584</v>
      </c>
      <c r="J1321" s="59">
        <f>Table134[[#This Row],[number_of_purchases]]/Table134[[#This Row],[customer_total_years]]</f>
        <v>3.3181818181818183</v>
      </c>
      <c r="K1321" s="13">
        <f>Table134[[#This Row],[purchase_history]]/Table134[[#This Row],[number_of_purchases]]</f>
        <v>3701</v>
      </c>
      <c r="L1321" s="2">
        <f>IF(YEAR(Table134[[#This Row],[Last_Day]])=2021,5,IF(YEAR(Table134[[#This Row],[Last_Day]])=2022,7,IF(YEAR(Table134[[#This Row],[Last_Day]])=2023,10,"Không xác định")))</f>
        <v>7</v>
      </c>
      <c r="M1321" s="15">
        <f>Table134[[#This Row],[avg_number_of_purchases]]*Table1345[[#This Row],[avg_purchase_value]]*Table1345[[#This Row],[expected_lifespan]]</f>
        <v>85964.136363636368</v>
      </c>
      <c r="N1321" t="s">
        <v>12048</v>
      </c>
    </row>
    <row r="1322" spans="1:14" x14ac:dyDescent="0.3">
      <c r="A1322" s="2" t="s">
        <v>1320</v>
      </c>
      <c r="B1322" s="2" t="s">
        <v>12040</v>
      </c>
      <c r="C1322" s="2">
        <v>43</v>
      </c>
      <c r="D1322" s="2" t="s">
        <v>12043</v>
      </c>
      <c r="E1322" s="2">
        <f>COUNTIF(Table16[customer_id],Table13[[#This Row],[customer_id]])</f>
        <v>5</v>
      </c>
      <c r="F1322" s="13">
        <f>SUMIFS(Table16[Purchase_history],Table16[customer_id],Table13[[#This Row],[customer_id]])</f>
        <v>15781.99</v>
      </c>
      <c r="G1322" s="20">
        <v>44405</v>
      </c>
      <c r="H1322" s="21">
        <v>44978</v>
      </c>
      <c r="I1322" s="15">
        <f>(Table134[[#This Row],[Last_Day]]-Table134[[#This Row],[First_Day]]+1)/365</f>
        <v>1.5726027397260274</v>
      </c>
      <c r="J1322" s="59">
        <f>Table134[[#This Row],[number_of_purchases]]/Table134[[#This Row],[customer_total_years]]</f>
        <v>3.1794425087108014</v>
      </c>
      <c r="K1322" s="13">
        <f>Table134[[#This Row],[purchase_history]]/Table134[[#This Row],[number_of_purchases]]</f>
        <v>3156.3980000000001</v>
      </c>
      <c r="L1322" s="2">
        <f>IF(YEAR(Table134[[#This Row],[Last_Day]])=2021,5,IF(YEAR(Table134[[#This Row],[Last_Day]])=2022,7,IF(YEAR(Table134[[#This Row],[Last_Day]])=2023,10,"Không xác định")))</f>
        <v>10</v>
      </c>
      <c r="M1322" s="15">
        <f>Table134[[#This Row],[avg_number_of_purchases]]*Table1345[[#This Row],[avg_purchase_value]]*Table1345[[#This Row],[expected_lifespan]]</f>
        <v>100355.85975609756</v>
      </c>
      <c r="N1322" t="s">
        <v>12044</v>
      </c>
    </row>
    <row r="1323" spans="1:14" x14ac:dyDescent="0.3">
      <c r="A1323" s="2" t="s">
        <v>1321</v>
      </c>
      <c r="B1323" s="2" t="s">
        <v>12040</v>
      </c>
      <c r="C1323" s="2">
        <v>31</v>
      </c>
      <c r="D1323" s="2" t="s">
        <v>12041</v>
      </c>
      <c r="E1323" s="2">
        <f>COUNTIF(Table16[customer_id],Table13[[#This Row],[customer_id]])</f>
        <v>6</v>
      </c>
      <c r="F1323" s="13">
        <f>SUMIFS(Table16[Purchase_history],Table16[customer_id],Table13[[#This Row],[customer_id]])</f>
        <v>6222.2199999999993</v>
      </c>
      <c r="G1323" s="20">
        <v>44397</v>
      </c>
      <c r="H1323" s="21">
        <v>44930</v>
      </c>
      <c r="I1323" s="15">
        <f>(Table134[[#This Row],[Last_Day]]-Table134[[#This Row],[First_Day]]+1)/365</f>
        <v>1.463013698630137</v>
      </c>
      <c r="J1323" s="59">
        <f>Table134[[#This Row],[number_of_purchases]]/Table134[[#This Row],[customer_total_years]]</f>
        <v>4.1011235955056184</v>
      </c>
      <c r="K1323" s="13">
        <f>Table134[[#This Row],[purchase_history]]/Table134[[#This Row],[number_of_purchases]]</f>
        <v>1037.0366666666666</v>
      </c>
      <c r="L1323" s="2">
        <f>IF(YEAR(Table134[[#This Row],[Last_Day]])=2021,5,IF(YEAR(Table134[[#This Row],[Last_Day]])=2022,7,IF(YEAR(Table134[[#This Row],[Last_Day]])=2023,10,"Không xác định")))</f>
        <v>10</v>
      </c>
      <c r="M1323" s="15">
        <f>Table134[[#This Row],[avg_number_of_purchases]]*Table1345[[#This Row],[avg_purchase_value]]*Table1345[[#This Row],[expected_lifespan]]</f>
        <v>42530.155430711609</v>
      </c>
      <c r="N1323" t="s">
        <v>12048</v>
      </c>
    </row>
    <row r="1324" spans="1:14" x14ac:dyDescent="0.3">
      <c r="A1324" s="2" t="s">
        <v>1322</v>
      </c>
      <c r="B1324" s="2" t="s">
        <v>12040</v>
      </c>
      <c r="C1324" s="2">
        <v>26</v>
      </c>
      <c r="D1324" s="2" t="s">
        <v>12043</v>
      </c>
      <c r="E1324" s="2">
        <f>COUNTIF(Table16[customer_id],Table13[[#This Row],[customer_id]])</f>
        <v>4</v>
      </c>
      <c r="F1324" s="13">
        <f>SUMIFS(Table16[Purchase_history],Table16[customer_id],Table13[[#This Row],[customer_id]])</f>
        <v>8152.4</v>
      </c>
      <c r="G1324" s="20">
        <v>44247</v>
      </c>
      <c r="H1324" s="21">
        <v>44976</v>
      </c>
      <c r="I1324" s="15">
        <f>(Table134[[#This Row],[Last_Day]]-Table134[[#This Row],[First_Day]]+1)/365</f>
        <v>2</v>
      </c>
      <c r="J1324" s="59">
        <f>Table134[[#This Row],[number_of_purchases]]/Table134[[#This Row],[customer_total_years]]</f>
        <v>2</v>
      </c>
      <c r="K1324" s="13">
        <f>Table134[[#This Row],[purchase_history]]/Table134[[#This Row],[number_of_purchases]]</f>
        <v>2038.1</v>
      </c>
      <c r="L1324" s="2">
        <f>IF(YEAR(Table134[[#This Row],[Last_Day]])=2021,5,IF(YEAR(Table134[[#This Row],[Last_Day]])=2022,7,IF(YEAR(Table134[[#This Row],[Last_Day]])=2023,10,"Không xác định")))</f>
        <v>10</v>
      </c>
      <c r="M1324" s="15">
        <f>Table134[[#This Row],[avg_number_of_purchases]]*Table1345[[#This Row],[avg_purchase_value]]*Table1345[[#This Row],[expected_lifespan]]</f>
        <v>40762</v>
      </c>
      <c r="N1324" t="s">
        <v>12046</v>
      </c>
    </row>
    <row r="1325" spans="1:14" x14ac:dyDescent="0.3">
      <c r="A1325" s="2" t="s">
        <v>1323</v>
      </c>
      <c r="B1325" s="2" t="s">
        <v>12040</v>
      </c>
      <c r="C1325" s="2">
        <v>48</v>
      </c>
      <c r="D1325" s="2" t="s">
        <v>12043</v>
      </c>
      <c r="E1325" s="2">
        <f>COUNTIF(Table16[customer_id],Table13[[#This Row],[customer_id]])</f>
        <v>2</v>
      </c>
      <c r="F1325" s="13">
        <f>SUMIFS(Table16[Purchase_history],Table16[customer_id],Table13[[#This Row],[customer_id]])</f>
        <v>609.28000000000009</v>
      </c>
      <c r="G1325" s="20">
        <v>44219</v>
      </c>
      <c r="H1325" s="21">
        <v>44352</v>
      </c>
      <c r="I1325" s="15">
        <f>(Table134[[#This Row],[Last_Day]]-Table134[[#This Row],[First_Day]]+1)/365</f>
        <v>0.36712328767123287</v>
      </c>
      <c r="J1325" s="59">
        <f>Table134[[#This Row],[number_of_purchases]]/Table134[[#This Row],[customer_total_years]]</f>
        <v>5.4477611940298507</v>
      </c>
      <c r="K1325" s="13">
        <f>Table134[[#This Row],[purchase_history]]/Table134[[#This Row],[number_of_purchases]]</f>
        <v>304.64000000000004</v>
      </c>
      <c r="L1325" s="2">
        <f>IF(YEAR(Table134[[#This Row],[Last_Day]])=2021,5,IF(YEAR(Table134[[#This Row],[Last_Day]])=2022,7,IF(YEAR(Table134[[#This Row],[Last_Day]])=2023,10,"Không xác định")))</f>
        <v>5</v>
      </c>
      <c r="M1325" s="15">
        <f>Table134[[#This Row],[avg_number_of_purchases]]*Table1345[[#This Row],[avg_purchase_value]]*Table1345[[#This Row],[expected_lifespan]]</f>
        <v>8298.0298507462703</v>
      </c>
      <c r="N1325" t="s">
        <v>12044</v>
      </c>
    </row>
    <row r="1326" spans="1:14" x14ac:dyDescent="0.3">
      <c r="A1326" s="2" t="s">
        <v>1324</v>
      </c>
      <c r="B1326" s="2" t="s">
        <v>12045</v>
      </c>
      <c r="C1326" s="2">
        <v>35</v>
      </c>
      <c r="D1326" s="2" t="s">
        <v>12043</v>
      </c>
      <c r="E1326" s="2">
        <f>COUNTIF(Table16[customer_id],Table13[[#This Row],[customer_id]])</f>
        <v>2</v>
      </c>
      <c r="F1326" s="13">
        <f>SUMIFS(Table16[Purchase_history],Table16[customer_id],Table13[[#This Row],[customer_id]])</f>
        <v>1500.3999999999999</v>
      </c>
      <c r="G1326" s="20">
        <v>44573</v>
      </c>
      <c r="H1326" s="21">
        <v>44716</v>
      </c>
      <c r="I1326" s="15">
        <f>(Table134[[#This Row],[Last_Day]]-Table134[[#This Row],[First_Day]]+1)/365</f>
        <v>0.39452054794520547</v>
      </c>
      <c r="J1326" s="59">
        <f>Table134[[#This Row],[number_of_purchases]]/Table134[[#This Row],[customer_total_years]]</f>
        <v>5.0694444444444446</v>
      </c>
      <c r="K1326" s="13">
        <f>Table134[[#This Row],[purchase_history]]/Table134[[#This Row],[number_of_purchases]]</f>
        <v>750.19999999999993</v>
      </c>
      <c r="L1326" s="2">
        <f>IF(YEAR(Table134[[#This Row],[Last_Day]])=2021,5,IF(YEAR(Table134[[#This Row],[Last_Day]])=2022,7,IF(YEAR(Table134[[#This Row],[Last_Day]])=2023,10,"Không xác định")))</f>
        <v>7</v>
      </c>
      <c r="M1326" s="15">
        <f>Table134[[#This Row],[avg_number_of_purchases]]*Table1345[[#This Row],[avg_purchase_value]]*Table1345[[#This Row],[expected_lifespan]]</f>
        <v>26621.680555555555</v>
      </c>
      <c r="N1326" t="s">
        <v>12046</v>
      </c>
    </row>
    <row r="1327" spans="1:14" x14ac:dyDescent="0.3">
      <c r="A1327" s="2" t="s">
        <v>1325</v>
      </c>
      <c r="B1327" s="2" t="s">
        <v>12040</v>
      </c>
      <c r="C1327" s="2">
        <v>48</v>
      </c>
      <c r="D1327" s="2" t="s">
        <v>12043</v>
      </c>
      <c r="E1327" s="2">
        <f>COUNTIF(Table16[customer_id],Table13[[#This Row],[customer_id]])</f>
        <v>4</v>
      </c>
      <c r="F1327" s="13">
        <f>SUMIFS(Table16[Purchase_history],Table16[customer_id],Table13[[#This Row],[customer_id]])</f>
        <v>601.12</v>
      </c>
      <c r="G1327" s="20">
        <v>44524</v>
      </c>
      <c r="H1327" s="21">
        <v>44679</v>
      </c>
      <c r="I1327" s="15">
        <f>(Table134[[#This Row],[Last_Day]]-Table134[[#This Row],[First_Day]]+1)/365</f>
        <v>0.42739726027397262</v>
      </c>
      <c r="J1327" s="59">
        <f>Table134[[#This Row],[number_of_purchases]]/Table134[[#This Row],[customer_total_years]]</f>
        <v>9.3589743589743577</v>
      </c>
      <c r="K1327" s="13">
        <f>Table134[[#This Row],[purchase_history]]/Table134[[#This Row],[number_of_purchases]]</f>
        <v>150.28</v>
      </c>
      <c r="L1327" s="2">
        <f>IF(YEAR(Table134[[#This Row],[Last_Day]])=2021,5,IF(YEAR(Table134[[#This Row],[Last_Day]])=2022,7,IF(YEAR(Table134[[#This Row],[Last_Day]])=2023,10,"Không xác định")))</f>
        <v>7</v>
      </c>
      <c r="M1327" s="15">
        <f>Table134[[#This Row],[avg_number_of_purchases]]*Table1345[[#This Row],[avg_purchase_value]]*Table1345[[#This Row],[expected_lifespan]]</f>
        <v>9845.2666666666646</v>
      </c>
      <c r="N1327" t="s">
        <v>12047</v>
      </c>
    </row>
    <row r="1328" spans="1:14" x14ac:dyDescent="0.3">
      <c r="A1328" s="2" t="s">
        <v>1326</v>
      </c>
      <c r="B1328" s="2" t="s">
        <v>12045</v>
      </c>
      <c r="C1328" s="2">
        <v>21</v>
      </c>
      <c r="D1328" s="2" t="s">
        <v>12043</v>
      </c>
      <c r="E1328" s="2">
        <f>COUNTIF(Table16[customer_id],Table13[[#This Row],[customer_id]])</f>
        <v>4</v>
      </c>
      <c r="F1328" s="13">
        <f>SUMIFS(Table16[Purchase_history],Table16[customer_id],Table13[[#This Row],[customer_id]])</f>
        <v>17614.489999999998</v>
      </c>
      <c r="G1328" s="20">
        <v>44265</v>
      </c>
      <c r="H1328" s="21">
        <v>44974</v>
      </c>
      <c r="I1328" s="15">
        <f>(Table134[[#This Row],[Last_Day]]-Table134[[#This Row],[First_Day]]+1)/365</f>
        <v>1.9452054794520548</v>
      </c>
      <c r="J1328" s="59">
        <f>Table134[[#This Row],[number_of_purchases]]/Table134[[#This Row],[customer_total_years]]</f>
        <v>2.056338028169014</v>
      </c>
      <c r="K1328" s="13">
        <f>Table134[[#This Row],[purchase_history]]/Table134[[#This Row],[number_of_purchases]]</f>
        <v>4403.6224999999995</v>
      </c>
      <c r="L1328" s="2">
        <f>IF(YEAR(Table134[[#This Row],[Last_Day]])=2021,5,IF(YEAR(Table134[[#This Row],[Last_Day]])=2022,7,IF(YEAR(Table134[[#This Row],[Last_Day]])=2023,10,"Không xác định")))</f>
        <v>10</v>
      </c>
      <c r="M1328" s="15">
        <f>Table134[[#This Row],[avg_number_of_purchases]]*Table1345[[#This Row],[avg_purchase_value]]*Table1345[[#This Row],[expected_lifespan]]</f>
        <v>90553.364084507033</v>
      </c>
      <c r="N1328" t="s">
        <v>12046</v>
      </c>
    </row>
    <row r="1329" spans="1:14" x14ac:dyDescent="0.3">
      <c r="A1329" s="2" t="s">
        <v>1327</v>
      </c>
      <c r="B1329" s="2" t="s">
        <v>12040</v>
      </c>
      <c r="C1329" s="2">
        <v>48</v>
      </c>
      <c r="D1329" s="2" t="s">
        <v>12043</v>
      </c>
      <c r="E1329" s="2">
        <f>COUNTIF(Table16[customer_id],Table13[[#This Row],[customer_id]])</f>
        <v>6</v>
      </c>
      <c r="F1329" s="13">
        <f>SUMIFS(Table16[Purchase_history],Table16[customer_id],Table13[[#This Row],[customer_id]])</f>
        <v>11837.240000000002</v>
      </c>
      <c r="G1329" s="20">
        <v>44201</v>
      </c>
      <c r="H1329" s="21">
        <v>44932</v>
      </c>
      <c r="I1329" s="15">
        <f>(Table134[[#This Row],[Last_Day]]-Table134[[#This Row],[First_Day]]+1)/365</f>
        <v>2.0054794520547947</v>
      </c>
      <c r="J1329" s="59">
        <f>Table134[[#This Row],[number_of_purchases]]/Table134[[#This Row],[customer_total_years]]</f>
        <v>2.9918032786885242</v>
      </c>
      <c r="K1329" s="13">
        <f>Table134[[#This Row],[purchase_history]]/Table134[[#This Row],[number_of_purchases]]</f>
        <v>1972.8733333333337</v>
      </c>
      <c r="L1329" s="2">
        <f>IF(YEAR(Table134[[#This Row],[Last_Day]])=2021,5,IF(YEAR(Table134[[#This Row],[Last_Day]])=2022,7,IF(YEAR(Table134[[#This Row],[Last_Day]])=2023,10,"Không xác định")))</f>
        <v>10</v>
      </c>
      <c r="M1329" s="15">
        <f>Table134[[#This Row],[avg_number_of_purchases]]*Table1345[[#This Row],[avg_purchase_value]]*Table1345[[#This Row],[expected_lifespan]]</f>
        <v>59024.489071038253</v>
      </c>
      <c r="N1329" t="s">
        <v>12048</v>
      </c>
    </row>
    <row r="1330" spans="1:14" x14ac:dyDescent="0.3">
      <c r="A1330" s="2" t="s">
        <v>1328</v>
      </c>
      <c r="B1330" s="2" t="s">
        <v>12040</v>
      </c>
      <c r="C1330" s="2">
        <v>58</v>
      </c>
      <c r="D1330" s="2" t="s">
        <v>12041</v>
      </c>
      <c r="E1330" s="2">
        <f>COUNTIF(Table16[customer_id],Table13[[#This Row],[customer_id]])</f>
        <v>8</v>
      </c>
      <c r="F1330" s="13">
        <f>SUMIFS(Table16[Purchase_history],Table16[customer_id],Table13[[#This Row],[customer_id]])</f>
        <v>20415.379999999997</v>
      </c>
      <c r="G1330" s="20">
        <v>44337</v>
      </c>
      <c r="H1330" s="21">
        <v>44662</v>
      </c>
      <c r="I1330" s="15">
        <f>(Table134[[#This Row],[Last_Day]]-Table134[[#This Row],[First_Day]]+1)/365</f>
        <v>0.89315068493150684</v>
      </c>
      <c r="J1330" s="59">
        <f>Table134[[#This Row],[number_of_purchases]]/Table134[[#This Row],[customer_total_years]]</f>
        <v>8.9570552147239262</v>
      </c>
      <c r="K1330" s="13">
        <f>Table134[[#This Row],[purchase_history]]/Table134[[#This Row],[number_of_purchases]]</f>
        <v>2551.9224999999997</v>
      </c>
      <c r="L1330" s="2">
        <f>IF(YEAR(Table134[[#This Row],[Last_Day]])=2021,5,IF(YEAR(Table134[[#This Row],[Last_Day]])=2022,7,IF(YEAR(Table134[[#This Row],[Last_Day]])=2023,10,"Không xác định")))</f>
        <v>7</v>
      </c>
      <c r="M1330" s="15">
        <f>Table134[[#This Row],[avg_number_of_purchases]]*Table1345[[#This Row],[avg_purchase_value]]*Table1345[[#This Row],[expected_lifespan]]</f>
        <v>160003.97515337422</v>
      </c>
      <c r="N1330" t="s">
        <v>12046</v>
      </c>
    </row>
    <row r="1331" spans="1:14" x14ac:dyDescent="0.3">
      <c r="A1331" s="2" t="s">
        <v>1329</v>
      </c>
      <c r="B1331" s="2" t="s">
        <v>12040</v>
      </c>
      <c r="C1331" s="2">
        <v>25</v>
      </c>
      <c r="D1331" s="2" t="s">
        <v>12043</v>
      </c>
      <c r="E1331" s="2">
        <f>COUNTIF(Table16[customer_id],Table13[[#This Row],[customer_id]])</f>
        <v>4</v>
      </c>
      <c r="F1331" s="13">
        <f>SUMIFS(Table16[Purchase_history],Table16[customer_id],Table13[[#This Row],[customer_id]])</f>
        <v>17220.82</v>
      </c>
      <c r="G1331" s="20">
        <v>44284</v>
      </c>
      <c r="H1331" s="21">
        <v>44916</v>
      </c>
      <c r="I1331" s="15">
        <f>(Table134[[#This Row],[Last_Day]]-Table134[[#This Row],[First_Day]]+1)/365</f>
        <v>1.7342465753424658</v>
      </c>
      <c r="J1331" s="59">
        <f>Table134[[#This Row],[number_of_purchases]]/Table134[[#This Row],[customer_total_years]]</f>
        <v>2.3064770932069507</v>
      </c>
      <c r="K1331" s="13">
        <f>Table134[[#This Row],[purchase_history]]/Table134[[#This Row],[number_of_purchases]]</f>
        <v>4305.2049999999999</v>
      </c>
      <c r="L1331" s="2">
        <f>IF(YEAR(Table134[[#This Row],[Last_Day]])=2021,5,IF(YEAR(Table134[[#This Row],[Last_Day]])=2022,7,IF(YEAR(Table134[[#This Row],[Last_Day]])=2023,10,"Không xác định")))</f>
        <v>7</v>
      </c>
      <c r="M1331" s="15">
        <f>Table134[[#This Row],[avg_number_of_purchases]]*Table1345[[#This Row],[avg_purchase_value]]*Table1345[[#This Row],[expected_lifespan]]</f>
        <v>69508.996998420203</v>
      </c>
      <c r="N1331" t="s">
        <v>12047</v>
      </c>
    </row>
    <row r="1332" spans="1:14" x14ac:dyDescent="0.3">
      <c r="A1332" s="2" t="s">
        <v>1330</v>
      </c>
      <c r="B1332" s="2" t="s">
        <v>12040</v>
      </c>
      <c r="C1332" s="2">
        <v>37</v>
      </c>
      <c r="D1332" s="2" t="s">
        <v>12041</v>
      </c>
      <c r="E1332" s="2">
        <f>COUNTIF(Table16[customer_id],Table13[[#This Row],[customer_id]])</f>
        <v>5</v>
      </c>
      <c r="F1332" s="13">
        <f>SUMIFS(Table16[Purchase_history],Table16[customer_id],Table13[[#This Row],[customer_id]])</f>
        <v>291.92000000000007</v>
      </c>
      <c r="G1332" s="20">
        <v>44403</v>
      </c>
      <c r="H1332" s="21">
        <v>44832</v>
      </c>
      <c r="I1332" s="15">
        <f>(Table134[[#This Row],[Last_Day]]-Table134[[#This Row],[First_Day]]+1)/365</f>
        <v>1.178082191780822</v>
      </c>
      <c r="J1332" s="59">
        <f>Table134[[#This Row],[number_of_purchases]]/Table134[[#This Row],[customer_total_years]]</f>
        <v>4.2441860465116275</v>
      </c>
      <c r="K1332" s="13">
        <f>Table134[[#This Row],[purchase_history]]/Table134[[#This Row],[number_of_purchases]]</f>
        <v>58.384000000000015</v>
      </c>
      <c r="L1332" s="2">
        <f>IF(YEAR(Table134[[#This Row],[Last_Day]])=2021,5,IF(YEAR(Table134[[#This Row],[Last_Day]])=2022,7,IF(YEAR(Table134[[#This Row],[Last_Day]])=2023,10,"Không xác định")))</f>
        <v>7</v>
      </c>
      <c r="M1332" s="15">
        <f>Table134[[#This Row],[avg_number_of_purchases]]*Table1345[[#This Row],[avg_purchase_value]]*Table1345[[#This Row],[expected_lifespan]]</f>
        <v>1734.5479069767443</v>
      </c>
      <c r="N1332" t="s">
        <v>12047</v>
      </c>
    </row>
    <row r="1333" spans="1:14" x14ac:dyDescent="0.3">
      <c r="A1333" s="2" t="s">
        <v>1331</v>
      </c>
      <c r="B1333" s="2" t="s">
        <v>12045</v>
      </c>
      <c r="C1333" s="2">
        <v>44</v>
      </c>
      <c r="D1333" s="2" t="s">
        <v>12041</v>
      </c>
      <c r="E1333" s="2">
        <f>COUNTIF(Table16[customer_id],Table13[[#This Row],[customer_id]])</f>
        <v>3</v>
      </c>
      <c r="F1333" s="13">
        <f>SUMIFS(Table16[Purchase_history],Table16[customer_id],Table13[[#This Row],[customer_id]])</f>
        <v>15369.939999999999</v>
      </c>
      <c r="G1333" s="20">
        <v>44441</v>
      </c>
      <c r="H1333" s="21">
        <v>44819</v>
      </c>
      <c r="I1333" s="15">
        <f>(Table134[[#This Row],[Last_Day]]-Table134[[#This Row],[First_Day]]+1)/365</f>
        <v>1.0383561643835617</v>
      </c>
      <c r="J1333" s="59">
        <f>Table134[[#This Row],[number_of_purchases]]/Table134[[#This Row],[customer_total_years]]</f>
        <v>2.8891820580474934</v>
      </c>
      <c r="K1333" s="13">
        <f>Table134[[#This Row],[purchase_history]]/Table134[[#This Row],[number_of_purchases]]</f>
        <v>5123.3133333333326</v>
      </c>
      <c r="L1333" s="2">
        <f>IF(YEAR(Table134[[#This Row],[Last_Day]])=2021,5,IF(YEAR(Table134[[#This Row],[Last_Day]])=2022,7,IF(YEAR(Table134[[#This Row],[Last_Day]])=2023,10,"Không xác định")))</f>
        <v>7</v>
      </c>
      <c r="M1333" s="15">
        <f>Table134[[#This Row],[avg_number_of_purchases]]*Table1345[[#This Row],[avg_purchase_value]]*Table1345[[#This Row],[expected_lifespan]]</f>
        <v>103615.29472295512</v>
      </c>
      <c r="N1333" t="s">
        <v>12048</v>
      </c>
    </row>
    <row r="1334" spans="1:14" x14ac:dyDescent="0.3">
      <c r="A1334" s="2" t="s">
        <v>1332</v>
      </c>
      <c r="B1334" s="2" t="s">
        <v>12040</v>
      </c>
      <c r="C1334" s="2">
        <v>24</v>
      </c>
      <c r="D1334" s="2" t="s">
        <v>12043</v>
      </c>
      <c r="E1334" s="2">
        <f>COUNTIF(Table16[customer_id],Table13[[#This Row],[customer_id]])</f>
        <v>5</v>
      </c>
      <c r="F1334" s="13">
        <f>SUMIFS(Table16[Purchase_history],Table16[customer_id],Table13[[#This Row],[customer_id]])</f>
        <v>51477.979999999996</v>
      </c>
      <c r="G1334" s="20">
        <v>44230</v>
      </c>
      <c r="H1334" s="21">
        <v>44810</v>
      </c>
      <c r="I1334" s="15">
        <f>(Table134[[#This Row],[Last_Day]]-Table134[[#This Row],[First_Day]]+1)/365</f>
        <v>1.5917808219178082</v>
      </c>
      <c r="J1334" s="59">
        <f>Table134[[#This Row],[number_of_purchases]]/Table134[[#This Row],[customer_total_years]]</f>
        <v>3.1411359724612735</v>
      </c>
      <c r="K1334" s="13">
        <f>Table134[[#This Row],[purchase_history]]/Table134[[#This Row],[number_of_purchases]]</f>
        <v>10295.596</v>
      </c>
      <c r="L1334" s="2">
        <f>IF(YEAR(Table134[[#This Row],[Last_Day]])=2021,5,IF(YEAR(Table134[[#This Row],[Last_Day]])=2022,7,IF(YEAR(Table134[[#This Row],[Last_Day]])=2023,10,"Không xác định")))</f>
        <v>7</v>
      </c>
      <c r="M1334" s="15">
        <f>Table134[[#This Row],[avg_number_of_purchases]]*Table1345[[#This Row],[avg_purchase_value]]*Table1345[[#This Row],[expected_lifespan]]</f>
        <v>226379.06867469876</v>
      </c>
      <c r="N1334" t="s">
        <v>12047</v>
      </c>
    </row>
    <row r="1335" spans="1:14" x14ac:dyDescent="0.3">
      <c r="A1335" s="2" t="s">
        <v>1333</v>
      </c>
      <c r="B1335" s="2" t="s">
        <v>12040</v>
      </c>
      <c r="C1335" s="2">
        <v>65</v>
      </c>
      <c r="D1335" s="2" t="s">
        <v>12041</v>
      </c>
      <c r="E1335" s="2">
        <f>COUNTIF(Table16[customer_id],Table13[[#This Row],[customer_id]])</f>
        <v>1</v>
      </c>
      <c r="F1335" s="13">
        <f>SUMIFS(Table16[Purchase_history],Table16[customer_id],Table13[[#This Row],[customer_id]])</f>
        <v>5401.53</v>
      </c>
      <c r="G1335" s="20">
        <v>44594</v>
      </c>
      <c r="H1335" s="21">
        <v>44594</v>
      </c>
      <c r="I1335" s="15">
        <f>(Table134[[#This Row],[Last_Day]]-Table134[[#This Row],[First_Day]]+1)/365</f>
        <v>2.7397260273972603E-3</v>
      </c>
      <c r="J1335" s="59">
        <f>Table134[[#This Row],[number_of_purchases]]/Table134[[#This Row],[customer_total_years]]</f>
        <v>365</v>
      </c>
      <c r="K1335" s="13">
        <f>Table134[[#This Row],[purchase_history]]/Table134[[#This Row],[number_of_purchases]]</f>
        <v>5401.53</v>
      </c>
      <c r="L1335" s="2">
        <f>IF(YEAR(Table134[[#This Row],[Last_Day]])=2021,5,IF(YEAR(Table134[[#This Row],[Last_Day]])=2022,7,IF(YEAR(Table134[[#This Row],[Last_Day]])=2023,10,"Không xác định")))</f>
        <v>7</v>
      </c>
      <c r="M1335" s="15">
        <f>Table134[[#This Row],[avg_number_of_purchases]]*Table1345[[#This Row],[avg_purchase_value]]*Table1345[[#This Row],[expected_lifespan]]</f>
        <v>13800909.15</v>
      </c>
      <c r="N1335" t="s">
        <v>12044</v>
      </c>
    </row>
    <row r="1336" spans="1:14" x14ac:dyDescent="0.3">
      <c r="A1336" s="2" t="s">
        <v>1334</v>
      </c>
      <c r="B1336" s="2" t="s">
        <v>12040</v>
      </c>
      <c r="C1336" s="2">
        <v>24</v>
      </c>
      <c r="D1336" s="2" t="s">
        <v>12041</v>
      </c>
      <c r="E1336" s="2">
        <f>COUNTIF(Table16[customer_id],Table13[[#This Row],[customer_id]])</f>
        <v>6</v>
      </c>
      <c r="F1336" s="13">
        <f>SUMIFS(Table16[Purchase_history],Table16[customer_id],Table13[[#This Row],[customer_id]])</f>
        <v>18495.3</v>
      </c>
      <c r="G1336" s="20">
        <v>44208</v>
      </c>
      <c r="H1336" s="21">
        <v>44846</v>
      </c>
      <c r="I1336" s="15">
        <f>(Table134[[#This Row],[Last_Day]]-Table134[[#This Row],[First_Day]]+1)/365</f>
        <v>1.7506849315068493</v>
      </c>
      <c r="J1336" s="59">
        <f>Table134[[#This Row],[number_of_purchases]]/Table134[[#This Row],[customer_total_years]]</f>
        <v>3.427230046948357</v>
      </c>
      <c r="K1336" s="13">
        <f>Table134[[#This Row],[purchase_history]]/Table134[[#This Row],[number_of_purchases]]</f>
        <v>3082.5499999999997</v>
      </c>
      <c r="L1336" s="2">
        <f>IF(YEAR(Table134[[#This Row],[Last_Day]])=2021,5,IF(YEAR(Table134[[#This Row],[Last_Day]])=2022,7,IF(YEAR(Table134[[#This Row],[Last_Day]])=2023,10,"Không xác định")))</f>
        <v>7</v>
      </c>
      <c r="M1336" s="15">
        <f>Table134[[#This Row],[avg_number_of_purchases]]*Table1345[[#This Row],[avg_purchase_value]]*Table1345[[#This Row],[expected_lifespan]]</f>
        <v>73952.255868544598</v>
      </c>
      <c r="N1336" t="s">
        <v>12042</v>
      </c>
    </row>
    <row r="1337" spans="1:14" x14ac:dyDescent="0.3">
      <c r="A1337" s="2" t="s">
        <v>1335</v>
      </c>
      <c r="B1337" s="2" t="s">
        <v>12045</v>
      </c>
      <c r="C1337" s="2">
        <v>62</v>
      </c>
      <c r="D1337" s="2" t="s">
        <v>12043</v>
      </c>
      <c r="E1337" s="2">
        <f>COUNTIF(Table16[customer_id],Table13[[#This Row],[customer_id]])</f>
        <v>10</v>
      </c>
      <c r="F1337" s="13">
        <f>SUMIFS(Table16[Purchase_history],Table16[customer_id],Table13[[#This Row],[customer_id]])</f>
        <v>25097.059999999998</v>
      </c>
      <c r="G1337" s="20">
        <v>44247</v>
      </c>
      <c r="H1337" s="21">
        <v>44935</v>
      </c>
      <c r="I1337" s="15">
        <f>(Table134[[#This Row],[Last_Day]]-Table134[[#This Row],[First_Day]]+1)/365</f>
        <v>1.8876712328767122</v>
      </c>
      <c r="J1337" s="59">
        <f>Table134[[#This Row],[number_of_purchases]]/Table134[[#This Row],[customer_total_years]]</f>
        <v>5.2975326560232228</v>
      </c>
      <c r="K1337" s="13">
        <f>Table134[[#This Row],[purchase_history]]/Table134[[#This Row],[number_of_purchases]]</f>
        <v>2509.7059999999997</v>
      </c>
      <c r="L1337" s="2">
        <f>IF(YEAR(Table134[[#This Row],[Last_Day]])=2021,5,IF(YEAR(Table134[[#This Row],[Last_Day]])=2022,7,IF(YEAR(Table134[[#This Row],[Last_Day]])=2023,10,"Không xác định")))</f>
        <v>10</v>
      </c>
      <c r="M1337" s="15">
        <f>Table134[[#This Row],[avg_number_of_purchases]]*Table1345[[#This Row],[avg_purchase_value]]*Table1345[[#This Row],[expected_lifespan]]</f>
        <v>132952.49492017415</v>
      </c>
      <c r="N1337" t="s">
        <v>12044</v>
      </c>
    </row>
    <row r="1338" spans="1:14" x14ac:dyDescent="0.3">
      <c r="A1338" s="2" t="s">
        <v>1336</v>
      </c>
      <c r="B1338" s="2" t="s">
        <v>12045</v>
      </c>
      <c r="C1338" s="2">
        <v>44</v>
      </c>
      <c r="D1338" s="2" t="s">
        <v>12041</v>
      </c>
      <c r="E1338" s="2">
        <f>COUNTIF(Table16[customer_id],Table13[[#This Row],[customer_id]])</f>
        <v>4</v>
      </c>
      <c r="F1338" s="13">
        <f>SUMIFS(Table16[Purchase_history],Table16[customer_id],Table13[[#This Row],[customer_id]])</f>
        <v>18384.3</v>
      </c>
      <c r="G1338" s="20">
        <v>44199</v>
      </c>
      <c r="H1338" s="21">
        <v>44804</v>
      </c>
      <c r="I1338" s="15">
        <f>(Table134[[#This Row],[Last_Day]]-Table134[[#This Row],[First_Day]]+1)/365</f>
        <v>1.6602739726027398</v>
      </c>
      <c r="J1338" s="59">
        <f>Table134[[#This Row],[number_of_purchases]]/Table134[[#This Row],[customer_total_years]]</f>
        <v>2.4092409240924093</v>
      </c>
      <c r="K1338" s="13">
        <f>Table134[[#This Row],[purchase_history]]/Table134[[#This Row],[number_of_purchases]]</f>
        <v>4596.0749999999998</v>
      </c>
      <c r="L1338" s="2">
        <f>IF(YEAR(Table134[[#This Row],[Last_Day]])=2021,5,IF(YEAR(Table134[[#This Row],[Last_Day]])=2022,7,IF(YEAR(Table134[[#This Row],[Last_Day]])=2023,10,"Không xác định")))</f>
        <v>7</v>
      </c>
      <c r="M1338" s="15">
        <f>Table134[[#This Row],[avg_number_of_purchases]]*Table1345[[#This Row],[avg_purchase_value]]*Table1345[[#This Row],[expected_lifespan]]</f>
        <v>77511.36386138614</v>
      </c>
      <c r="N1338" t="s">
        <v>12048</v>
      </c>
    </row>
    <row r="1339" spans="1:14" x14ac:dyDescent="0.3">
      <c r="A1339" s="2" t="s">
        <v>1337</v>
      </c>
      <c r="B1339" s="2" t="s">
        <v>12040</v>
      </c>
      <c r="C1339" s="2">
        <v>36</v>
      </c>
      <c r="D1339" s="2" t="s">
        <v>12049</v>
      </c>
      <c r="E1339" s="2">
        <f>COUNTIF(Table16[customer_id],Table13[[#This Row],[customer_id]])</f>
        <v>7</v>
      </c>
      <c r="F1339" s="13">
        <f>SUMIFS(Table16[Purchase_history],Table16[customer_id],Table13[[#This Row],[customer_id]])</f>
        <v>26922.289999999994</v>
      </c>
      <c r="G1339" s="20">
        <v>44230</v>
      </c>
      <c r="H1339" s="21">
        <v>44971</v>
      </c>
      <c r="I1339" s="15">
        <f>(Table134[[#This Row],[Last_Day]]-Table134[[#This Row],[First_Day]]+1)/365</f>
        <v>2.032876712328767</v>
      </c>
      <c r="J1339" s="59">
        <f>Table134[[#This Row],[number_of_purchases]]/Table134[[#This Row],[customer_total_years]]</f>
        <v>3.4433962264150946</v>
      </c>
      <c r="K1339" s="13">
        <f>Table134[[#This Row],[purchase_history]]/Table134[[#This Row],[number_of_purchases]]</f>
        <v>3846.0414285714278</v>
      </c>
      <c r="L1339" s="2">
        <f>IF(YEAR(Table134[[#This Row],[Last_Day]])=2021,5,IF(YEAR(Table134[[#This Row],[Last_Day]])=2022,7,IF(YEAR(Table134[[#This Row],[Last_Day]])=2023,10,"Không xác định")))</f>
        <v>10</v>
      </c>
      <c r="M1339" s="15">
        <f>Table134[[#This Row],[avg_number_of_purchases]]*Table1345[[#This Row],[avg_purchase_value]]*Table1345[[#This Row],[expected_lifespan]]</f>
        <v>132434.44541778974</v>
      </c>
      <c r="N1339" t="s">
        <v>12047</v>
      </c>
    </row>
    <row r="1340" spans="1:14" x14ac:dyDescent="0.3">
      <c r="A1340" s="2" t="s">
        <v>1338</v>
      </c>
      <c r="B1340" s="2" t="s">
        <v>12040</v>
      </c>
      <c r="C1340" s="2">
        <v>41</v>
      </c>
      <c r="D1340" s="2" t="s">
        <v>12049</v>
      </c>
      <c r="E1340" s="2">
        <f>COUNTIF(Table16[customer_id],Table13[[#This Row],[customer_id]])</f>
        <v>11</v>
      </c>
      <c r="F1340" s="13">
        <f>SUMIFS(Table16[Purchase_history],Table16[customer_id],Table13[[#This Row],[customer_id]])</f>
        <v>38316.589999999997</v>
      </c>
      <c r="G1340" s="20">
        <v>44456</v>
      </c>
      <c r="H1340" s="21">
        <v>44946</v>
      </c>
      <c r="I1340" s="15">
        <f>(Table134[[#This Row],[Last_Day]]-Table134[[#This Row],[First_Day]]+1)/365</f>
        <v>1.3452054794520547</v>
      </c>
      <c r="J1340" s="59">
        <f>Table134[[#This Row],[number_of_purchases]]/Table134[[#This Row],[customer_total_years]]</f>
        <v>8.1771894093686353</v>
      </c>
      <c r="K1340" s="13">
        <f>Table134[[#This Row],[purchase_history]]/Table134[[#This Row],[number_of_purchases]]</f>
        <v>3483.3263636363631</v>
      </c>
      <c r="L1340" s="2">
        <f>IF(YEAR(Table134[[#This Row],[Last_Day]])=2021,5,IF(YEAR(Table134[[#This Row],[Last_Day]])=2022,7,IF(YEAR(Table134[[#This Row],[Last_Day]])=2023,10,"Không xác định")))</f>
        <v>10</v>
      </c>
      <c r="M1340" s="15">
        <f>Table134[[#This Row],[avg_number_of_purchases]]*Table1345[[#This Row],[avg_purchase_value]]*Table1345[[#This Row],[expected_lifespan]]</f>
        <v>284838.19450101827</v>
      </c>
      <c r="N1340" t="s">
        <v>12047</v>
      </c>
    </row>
    <row r="1341" spans="1:14" x14ac:dyDescent="0.3">
      <c r="A1341" s="2" t="s">
        <v>1339</v>
      </c>
      <c r="B1341" s="2" t="s">
        <v>12040</v>
      </c>
      <c r="C1341" s="2">
        <v>61</v>
      </c>
      <c r="D1341" s="2" t="s">
        <v>12041</v>
      </c>
      <c r="E1341" s="2">
        <f>COUNTIF(Table16[customer_id],Table13[[#This Row],[customer_id]])</f>
        <v>2</v>
      </c>
      <c r="F1341" s="13">
        <f>SUMIFS(Table16[Purchase_history],Table16[customer_id],Table13[[#This Row],[customer_id]])</f>
        <v>5448.5999999999995</v>
      </c>
      <c r="G1341" s="20">
        <v>44839</v>
      </c>
      <c r="H1341" s="21">
        <v>44898</v>
      </c>
      <c r="I1341" s="15">
        <f>(Table134[[#This Row],[Last_Day]]-Table134[[#This Row],[First_Day]]+1)/365</f>
        <v>0.16438356164383561</v>
      </c>
      <c r="J1341" s="59">
        <f>Table134[[#This Row],[number_of_purchases]]/Table134[[#This Row],[customer_total_years]]</f>
        <v>12.166666666666668</v>
      </c>
      <c r="K1341" s="13">
        <f>Table134[[#This Row],[purchase_history]]/Table134[[#This Row],[number_of_purchases]]</f>
        <v>2724.2999999999997</v>
      </c>
      <c r="L1341" s="2">
        <f>IF(YEAR(Table134[[#This Row],[Last_Day]])=2021,5,IF(YEAR(Table134[[#This Row],[Last_Day]])=2022,7,IF(YEAR(Table134[[#This Row],[Last_Day]])=2023,10,"Không xác định")))</f>
        <v>7</v>
      </c>
      <c r="M1341" s="15">
        <f>Table134[[#This Row],[avg_number_of_purchases]]*Table1345[[#This Row],[avg_purchase_value]]*Table1345[[#This Row],[expected_lifespan]]</f>
        <v>232019.55000000002</v>
      </c>
      <c r="N1341" t="s">
        <v>12044</v>
      </c>
    </row>
    <row r="1342" spans="1:14" x14ac:dyDescent="0.3">
      <c r="A1342" s="2" t="s">
        <v>1340</v>
      </c>
      <c r="B1342" s="2" t="s">
        <v>12040</v>
      </c>
      <c r="C1342" s="2">
        <v>58</v>
      </c>
      <c r="D1342" s="2" t="s">
        <v>12043</v>
      </c>
      <c r="E1342" s="2">
        <f>COUNTIF(Table16[customer_id],Table13[[#This Row],[customer_id]])</f>
        <v>3</v>
      </c>
      <c r="F1342" s="13">
        <f>SUMIFS(Table16[Purchase_history],Table16[customer_id],Table13[[#This Row],[customer_id]])</f>
        <v>8044.48</v>
      </c>
      <c r="G1342" s="20">
        <v>44371</v>
      </c>
      <c r="H1342" s="21">
        <v>44982</v>
      </c>
      <c r="I1342" s="15">
        <f>(Table134[[#This Row],[Last_Day]]-Table134[[#This Row],[First_Day]]+1)/365</f>
        <v>1.6767123287671233</v>
      </c>
      <c r="J1342" s="59">
        <f>Table134[[#This Row],[number_of_purchases]]/Table134[[#This Row],[customer_total_years]]</f>
        <v>1.7892156862745099</v>
      </c>
      <c r="K1342" s="13">
        <f>Table134[[#This Row],[purchase_history]]/Table134[[#This Row],[number_of_purchases]]</f>
        <v>2681.4933333333333</v>
      </c>
      <c r="L1342" s="2">
        <f>IF(YEAR(Table134[[#This Row],[Last_Day]])=2021,5,IF(YEAR(Table134[[#This Row],[Last_Day]])=2022,7,IF(YEAR(Table134[[#This Row],[Last_Day]])=2023,10,"Không xác định")))</f>
        <v>10</v>
      </c>
      <c r="M1342" s="15">
        <f>Table134[[#This Row],[avg_number_of_purchases]]*Table1345[[#This Row],[avg_purchase_value]]*Table1345[[#This Row],[expected_lifespan]]</f>
        <v>47977.699346405236</v>
      </c>
      <c r="N1342" t="s">
        <v>12044</v>
      </c>
    </row>
    <row r="1343" spans="1:14" x14ac:dyDescent="0.3">
      <c r="A1343" s="2" t="s">
        <v>1341</v>
      </c>
      <c r="B1343" s="2" t="s">
        <v>12045</v>
      </c>
      <c r="C1343" s="2">
        <v>20</v>
      </c>
      <c r="D1343" s="2" t="s">
        <v>12043</v>
      </c>
      <c r="E1343" s="2">
        <f>COUNTIF(Table16[customer_id],Table13[[#This Row],[customer_id]])</f>
        <v>3</v>
      </c>
      <c r="F1343" s="13">
        <f>SUMIFS(Table16[Purchase_history],Table16[customer_id],Table13[[#This Row],[customer_id]])</f>
        <v>9607.7899999999991</v>
      </c>
      <c r="G1343" s="20">
        <v>44242</v>
      </c>
      <c r="H1343" s="21">
        <v>44618</v>
      </c>
      <c r="I1343" s="15">
        <f>(Table134[[#This Row],[Last_Day]]-Table134[[#This Row],[First_Day]]+1)/365</f>
        <v>1.0328767123287672</v>
      </c>
      <c r="J1343" s="59">
        <f>Table134[[#This Row],[number_of_purchases]]/Table134[[#This Row],[customer_total_years]]</f>
        <v>2.9045092838196283</v>
      </c>
      <c r="K1343" s="13">
        <f>Table134[[#This Row],[purchase_history]]/Table134[[#This Row],[number_of_purchases]]</f>
        <v>3202.5966666666664</v>
      </c>
      <c r="L1343" s="2">
        <f>IF(YEAR(Table134[[#This Row],[Last_Day]])=2021,5,IF(YEAR(Table134[[#This Row],[Last_Day]])=2022,7,IF(YEAR(Table134[[#This Row],[Last_Day]])=2023,10,"Không xác định")))</f>
        <v>7</v>
      </c>
      <c r="M1343" s="15">
        <f>Table134[[#This Row],[avg_number_of_purchases]]*Table1345[[#This Row],[avg_purchase_value]]*Table1345[[#This Row],[expected_lifespan]]</f>
        <v>65113.802254641894</v>
      </c>
      <c r="N1343" t="s">
        <v>12046</v>
      </c>
    </row>
    <row r="1344" spans="1:14" x14ac:dyDescent="0.3">
      <c r="A1344" s="2" t="s">
        <v>1342</v>
      </c>
      <c r="B1344" s="2" t="s">
        <v>12045</v>
      </c>
      <c r="C1344" s="2">
        <v>26</v>
      </c>
      <c r="D1344" s="2" t="s">
        <v>12043</v>
      </c>
      <c r="E1344" s="2">
        <f>COUNTIF(Table16[customer_id],Table13[[#This Row],[customer_id]])</f>
        <v>5</v>
      </c>
      <c r="F1344" s="13">
        <f>SUMIFS(Table16[Purchase_history],Table16[customer_id],Table13[[#This Row],[customer_id]])</f>
        <v>15718.130000000001</v>
      </c>
      <c r="G1344" s="20">
        <v>44243</v>
      </c>
      <c r="H1344" s="21">
        <v>44721</v>
      </c>
      <c r="I1344" s="15">
        <f>(Table134[[#This Row],[Last_Day]]-Table134[[#This Row],[First_Day]]+1)/365</f>
        <v>1.3123287671232877</v>
      </c>
      <c r="J1344" s="59">
        <f>Table134[[#This Row],[number_of_purchases]]/Table134[[#This Row],[customer_total_years]]</f>
        <v>3.8100208768267221</v>
      </c>
      <c r="K1344" s="13">
        <f>Table134[[#This Row],[purchase_history]]/Table134[[#This Row],[number_of_purchases]]</f>
        <v>3143.6260000000002</v>
      </c>
      <c r="L1344" s="2">
        <f>IF(YEAR(Table134[[#This Row],[Last_Day]])=2021,5,IF(YEAR(Table134[[#This Row],[Last_Day]])=2022,7,IF(YEAR(Table134[[#This Row],[Last_Day]])=2023,10,"Không xác định")))</f>
        <v>7</v>
      </c>
      <c r="M1344" s="15">
        <f>Table134[[#This Row],[avg_number_of_purchases]]*Table1345[[#This Row],[avg_purchase_value]]*Table1345[[#This Row],[expected_lifespan]]</f>
        <v>83840.964822546972</v>
      </c>
      <c r="N1344" t="s">
        <v>12042</v>
      </c>
    </row>
    <row r="1345" spans="1:14" x14ac:dyDescent="0.3">
      <c r="A1345" s="2" t="s">
        <v>1343</v>
      </c>
      <c r="B1345" s="2" t="s">
        <v>12040</v>
      </c>
      <c r="C1345" s="2">
        <v>48</v>
      </c>
      <c r="D1345" s="2" t="s">
        <v>12041</v>
      </c>
      <c r="E1345" s="2">
        <f>COUNTIF(Table16[customer_id],Table13[[#This Row],[customer_id]])</f>
        <v>4</v>
      </c>
      <c r="F1345" s="13">
        <f>SUMIFS(Table16[Purchase_history],Table16[customer_id],Table13[[#This Row],[customer_id]])</f>
        <v>20384.199999999997</v>
      </c>
      <c r="G1345" s="20">
        <v>44390</v>
      </c>
      <c r="H1345" s="21">
        <v>44714</v>
      </c>
      <c r="I1345" s="15">
        <f>(Table134[[#This Row],[Last_Day]]-Table134[[#This Row],[First_Day]]+1)/365</f>
        <v>0.8904109589041096</v>
      </c>
      <c r="J1345" s="59">
        <f>Table134[[#This Row],[number_of_purchases]]/Table134[[#This Row],[customer_total_years]]</f>
        <v>4.4923076923076923</v>
      </c>
      <c r="K1345" s="13">
        <f>Table134[[#This Row],[purchase_history]]/Table134[[#This Row],[number_of_purchases]]</f>
        <v>5096.0499999999993</v>
      </c>
      <c r="L1345" s="2">
        <f>IF(YEAR(Table134[[#This Row],[Last_Day]])=2021,5,IF(YEAR(Table134[[#This Row],[Last_Day]])=2022,7,IF(YEAR(Table134[[#This Row],[Last_Day]])=2023,10,"Không xác định")))</f>
        <v>7</v>
      </c>
      <c r="M1345" s="15">
        <f>Table134[[#This Row],[avg_number_of_purchases]]*Table1345[[#This Row],[avg_purchase_value]]*Table1345[[#This Row],[expected_lifespan]]</f>
        <v>160251.17230769229</v>
      </c>
      <c r="N1345" t="s">
        <v>12047</v>
      </c>
    </row>
    <row r="1346" spans="1:14" x14ac:dyDescent="0.3">
      <c r="A1346" s="2" t="s">
        <v>1344</v>
      </c>
      <c r="B1346" s="2" t="s">
        <v>12040</v>
      </c>
      <c r="C1346" s="2">
        <v>66</v>
      </c>
      <c r="D1346" s="2" t="s">
        <v>12043</v>
      </c>
      <c r="E1346" s="2">
        <f>COUNTIF(Table16[customer_id],Table13[[#This Row],[customer_id]])</f>
        <v>6</v>
      </c>
      <c r="F1346" s="13">
        <f>SUMIFS(Table16[Purchase_history],Table16[customer_id],Table13[[#This Row],[customer_id]])</f>
        <v>19971.620000000003</v>
      </c>
      <c r="G1346" s="20">
        <v>44237</v>
      </c>
      <c r="H1346" s="21">
        <v>44977</v>
      </c>
      <c r="I1346" s="15">
        <f>(Table134[[#This Row],[Last_Day]]-Table134[[#This Row],[First_Day]]+1)/365</f>
        <v>2.0301369863013701</v>
      </c>
      <c r="J1346" s="59">
        <f>Table134[[#This Row],[number_of_purchases]]/Table134[[#This Row],[customer_total_years]]</f>
        <v>2.9554655870445341</v>
      </c>
      <c r="K1346" s="13">
        <f>Table134[[#This Row],[purchase_history]]/Table134[[#This Row],[number_of_purchases]]</f>
        <v>3328.6033333333339</v>
      </c>
      <c r="L1346" s="2">
        <f>IF(YEAR(Table134[[#This Row],[Last_Day]])=2021,5,IF(YEAR(Table134[[#This Row],[Last_Day]])=2022,7,IF(YEAR(Table134[[#This Row],[Last_Day]])=2023,10,"Không xác định")))</f>
        <v>10</v>
      </c>
      <c r="M1346" s="15">
        <f>Table134[[#This Row],[avg_number_of_purchases]]*Table1345[[#This Row],[avg_purchase_value]]*Table1345[[#This Row],[expected_lifespan]]</f>
        <v>98375.726045883945</v>
      </c>
      <c r="N1346" t="s">
        <v>12044</v>
      </c>
    </row>
    <row r="1347" spans="1:14" x14ac:dyDescent="0.3">
      <c r="A1347" s="2" t="s">
        <v>1345</v>
      </c>
      <c r="B1347" s="2" t="s">
        <v>12045</v>
      </c>
      <c r="C1347" s="2">
        <v>34</v>
      </c>
      <c r="D1347" s="2" t="s">
        <v>12043</v>
      </c>
      <c r="E1347" s="2">
        <f>COUNTIF(Table16[customer_id],Table13[[#This Row],[customer_id]])</f>
        <v>7</v>
      </c>
      <c r="F1347" s="13">
        <f>SUMIFS(Table16[Purchase_history],Table16[customer_id],Table13[[#This Row],[customer_id]])</f>
        <v>23618.54</v>
      </c>
      <c r="G1347" s="20">
        <v>44394</v>
      </c>
      <c r="H1347" s="21">
        <v>44814</v>
      </c>
      <c r="I1347" s="15">
        <f>(Table134[[#This Row],[Last_Day]]-Table134[[#This Row],[First_Day]]+1)/365</f>
        <v>1.1534246575342466</v>
      </c>
      <c r="J1347" s="59">
        <f>Table134[[#This Row],[number_of_purchases]]/Table134[[#This Row],[customer_total_years]]</f>
        <v>6.068883610451306</v>
      </c>
      <c r="K1347" s="13">
        <f>Table134[[#This Row],[purchase_history]]/Table134[[#This Row],[number_of_purchases]]</f>
        <v>3374.0771428571429</v>
      </c>
      <c r="L1347" s="2">
        <f>IF(YEAR(Table134[[#This Row],[Last_Day]])=2021,5,IF(YEAR(Table134[[#This Row],[Last_Day]])=2022,7,IF(YEAR(Table134[[#This Row],[Last_Day]])=2023,10,"Không xác định")))</f>
        <v>7</v>
      </c>
      <c r="M1347" s="15">
        <f>Table134[[#This Row],[avg_number_of_purchases]]*Table1345[[#This Row],[avg_purchase_value]]*Table1345[[#This Row],[expected_lifespan]]</f>
        <v>143338.17030878857</v>
      </c>
      <c r="N1347" t="s">
        <v>12046</v>
      </c>
    </row>
    <row r="1348" spans="1:14" x14ac:dyDescent="0.3">
      <c r="A1348" s="2" t="s">
        <v>1346</v>
      </c>
      <c r="B1348" s="2" t="s">
        <v>12040</v>
      </c>
      <c r="C1348" s="2">
        <v>23</v>
      </c>
      <c r="D1348" s="2" t="s">
        <v>12049</v>
      </c>
      <c r="E1348" s="2">
        <f>COUNTIF(Table16[customer_id],Table13[[#This Row],[customer_id]])</f>
        <v>11</v>
      </c>
      <c r="F1348" s="13">
        <f>SUMIFS(Table16[Purchase_history],Table16[customer_id],Table13[[#This Row],[customer_id]])</f>
        <v>18074.899999999998</v>
      </c>
      <c r="G1348" s="20">
        <v>44260</v>
      </c>
      <c r="H1348" s="21">
        <v>44960</v>
      </c>
      <c r="I1348" s="15">
        <f>(Table134[[#This Row],[Last_Day]]-Table134[[#This Row],[First_Day]]+1)/365</f>
        <v>1.9205479452054794</v>
      </c>
      <c r="J1348" s="59">
        <f>Table134[[#This Row],[number_of_purchases]]/Table134[[#This Row],[customer_total_years]]</f>
        <v>5.7275320970042793</v>
      </c>
      <c r="K1348" s="13">
        <f>Table134[[#This Row],[purchase_history]]/Table134[[#This Row],[number_of_purchases]]</f>
        <v>1643.1727272727271</v>
      </c>
      <c r="L1348" s="2">
        <f>IF(YEAR(Table134[[#This Row],[Last_Day]])=2021,5,IF(YEAR(Table134[[#This Row],[Last_Day]])=2022,7,IF(YEAR(Table134[[#This Row],[Last_Day]])=2023,10,"Không xác định")))</f>
        <v>10</v>
      </c>
      <c r="M1348" s="15">
        <f>Table134[[#This Row],[avg_number_of_purchases]]*Table1345[[#This Row],[avg_purchase_value]]*Table1345[[#This Row],[expected_lifespan]]</f>
        <v>94113.245363766036</v>
      </c>
      <c r="N1348" t="s">
        <v>12044</v>
      </c>
    </row>
    <row r="1349" spans="1:14" x14ac:dyDescent="0.3">
      <c r="A1349" s="2" t="s">
        <v>1347</v>
      </c>
      <c r="B1349" s="2" t="s">
        <v>12040</v>
      </c>
      <c r="C1349" s="2">
        <v>23</v>
      </c>
      <c r="D1349" s="2" t="s">
        <v>12041</v>
      </c>
      <c r="E1349" s="2">
        <f>COUNTIF(Table16[customer_id],Table13[[#This Row],[customer_id]])</f>
        <v>6</v>
      </c>
      <c r="F1349" s="13">
        <f>SUMIFS(Table16[Purchase_history],Table16[customer_id],Table13[[#This Row],[customer_id]])</f>
        <v>44519.810000000005</v>
      </c>
      <c r="G1349" s="20">
        <v>44435</v>
      </c>
      <c r="H1349" s="21">
        <v>44923</v>
      </c>
      <c r="I1349" s="15">
        <f>(Table134[[#This Row],[Last_Day]]-Table134[[#This Row],[First_Day]]+1)/365</f>
        <v>1.3397260273972602</v>
      </c>
      <c r="J1349" s="59">
        <f>Table134[[#This Row],[number_of_purchases]]/Table134[[#This Row],[customer_total_years]]</f>
        <v>4.4785276073619631</v>
      </c>
      <c r="K1349" s="13">
        <f>Table134[[#This Row],[purchase_history]]/Table134[[#This Row],[number_of_purchases]]</f>
        <v>7419.9683333333342</v>
      </c>
      <c r="L1349" s="2">
        <f>IF(YEAR(Table134[[#This Row],[Last_Day]])=2021,5,IF(YEAR(Table134[[#This Row],[Last_Day]])=2022,7,IF(YEAR(Table134[[#This Row],[Last_Day]])=2023,10,"Không xác định")))</f>
        <v>7</v>
      </c>
      <c r="M1349" s="15">
        <f>Table134[[#This Row],[avg_number_of_purchases]]*Table1345[[#This Row],[avg_purchase_value]]*Table1345[[#This Row],[expected_lifespan]]</f>
        <v>232613.73118609408</v>
      </c>
      <c r="N1349" t="s">
        <v>12047</v>
      </c>
    </row>
    <row r="1350" spans="1:14" x14ac:dyDescent="0.3">
      <c r="A1350" s="2" t="s">
        <v>1348</v>
      </c>
      <c r="B1350" s="2" t="s">
        <v>12045</v>
      </c>
      <c r="C1350" s="2">
        <v>56</v>
      </c>
      <c r="D1350" s="2" t="s">
        <v>12043</v>
      </c>
      <c r="E1350" s="2">
        <f>COUNTIF(Table16[customer_id],Table13[[#This Row],[customer_id]])</f>
        <v>4</v>
      </c>
      <c r="F1350" s="13">
        <f>SUMIFS(Table16[Purchase_history],Table16[customer_id],Table13[[#This Row],[customer_id]])</f>
        <v>13319.779999999999</v>
      </c>
      <c r="G1350" s="20">
        <v>44340</v>
      </c>
      <c r="H1350" s="21">
        <v>44861</v>
      </c>
      <c r="I1350" s="15">
        <f>(Table134[[#This Row],[Last_Day]]-Table134[[#This Row],[First_Day]]+1)/365</f>
        <v>1.4301369863013698</v>
      </c>
      <c r="J1350" s="59">
        <f>Table134[[#This Row],[number_of_purchases]]/Table134[[#This Row],[customer_total_years]]</f>
        <v>2.7969348659003832</v>
      </c>
      <c r="K1350" s="13">
        <f>Table134[[#This Row],[purchase_history]]/Table134[[#This Row],[number_of_purchases]]</f>
        <v>3329.9449999999997</v>
      </c>
      <c r="L1350" s="2">
        <f>IF(YEAR(Table134[[#This Row],[Last_Day]])=2021,5,IF(YEAR(Table134[[#This Row],[Last_Day]])=2022,7,IF(YEAR(Table134[[#This Row],[Last_Day]])=2023,10,"Không xác định")))</f>
        <v>7</v>
      </c>
      <c r="M1350" s="15">
        <f>Table134[[#This Row],[avg_number_of_purchases]]*Table1345[[#This Row],[avg_purchase_value]]*Table1345[[#This Row],[expected_lifespan]]</f>
        <v>65195.474904214556</v>
      </c>
      <c r="N1350" t="s">
        <v>12046</v>
      </c>
    </row>
    <row r="1351" spans="1:14" x14ac:dyDescent="0.3">
      <c r="A1351" s="2" t="s">
        <v>1349</v>
      </c>
      <c r="B1351" s="2" t="s">
        <v>12040</v>
      </c>
      <c r="C1351" s="2">
        <v>19</v>
      </c>
      <c r="D1351" s="2" t="s">
        <v>12043</v>
      </c>
      <c r="E1351" s="2">
        <f>COUNTIF(Table16[customer_id],Table13[[#This Row],[customer_id]])</f>
        <v>4</v>
      </c>
      <c r="F1351" s="13">
        <f>SUMIFS(Table16[Purchase_history],Table16[customer_id],Table13[[#This Row],[customer_id]])</f>
        <v>9627.42</v>
      </c>
      <c r="G1351" s="20">
        <v>44598</v>
      </c>
      <c r="H1351" s="21">
        <v>44899</v>
      </c>
      <c r="I1351" s="15">
        <f>(Table134[[#This Row],[Last_Day]]-Table134[[#This Row],[First_Day]]+1)/365</f>
        <v>0.82739726027397265</v>
      </c>
      <c r="J1351" s="59">
        <f>Table134[[#This Row],[number_of_purchases]]/Table134[[#This Row],[customer_total_years]]</f>
        <v>4.8344370860927146</v>
      </c>
      <c r="K1351" s="13">
        <f>Table134[[#This Row],[purchase_history]]/Table134[[#This Row],[number_of_purchases]]</f>
        <v>2406.855</v>
      </c>
      <c r="L1351" s="2">
        <f>IF(YEAR(Table134[[#This Row],[Last_Day]])=2021,5,IF(YEAR(Table134[[#This Row],[Last_Day]])=2022,7,IF(YEAR(Table134[[#This Row],[Last_Day]])=2023,10,"Không xác định")))</f>
        <v>7</v>
      </c>
      <c r="M1351" s="15">
        <f>Table134[[#This Row],[avg_number_of_purchases]]*Table1345[[#This Row],[avg_purchase_value]]*Table1345[[#This Row],[expected_lifespan]]</f>
        <v>81450.523509933773</v>
      </c>
      <c r="N1351" t="s">
        <v>12046</v>
      </c>
    </row>
    <row r="1352" spans="1:14" x14ac:dyDescent="0.3">
      <c r="A1352" s="2" t="s">
        <v>1350</v>
      </c>
      <c r="B1352" s="2" t="s">
        <v>12040</v>
      </c>
      <c r="C1352" s="2">
        <v>51</v>
      </c>
      <c r="D1352" s="2" t="s">
        <v>12041</v>
      </c>
      <c r="E1352" s="2">
        <f>COUNTIF(Table16[customer_id],Table13[[#This Row],[customer_id]])</f>
        <v>5</v>
      </c>
      <c r="F1352" s="13">
        <f>SUMIFS(Table16[Purchase_history],Table16[customer_id],Table13[[#This Row],[customer_id]])</f>
        <v>1789.26</v>
      </c>
      <c r="G1352" s="20">
        <v>44276</v>
      </c>
      <c r="H1352" s="21">
        <v>44774</v>
      </c>
      <c r="I1352" s="15">
        <f>(Table134[[#This Row],[Last_Day]]-Table134[[#This Row],[First_Day]]+1)/365</f>
        <v>1.3671232876712329</v>
      </c>
      <c r="J1352" s="59">
        <f>Table134[[#This Row],[number_of_purchases]]/Table134[[#This Row],[customer_total_years]]</f>
        <v>3.6573146292585168</v>
      </c>
      <c r="K1352" s="13">
        <f>Table134[[#This Row],[purchase_history]]/Table134[[#This Row],[number_of_purchases]]</f>
        <v>357.85199999999998</v>
      </c>
      <c r="L1352" s="2">
        <f>IF(YEAR(Table134[[#This Row],[Last_Day]])=2021,5,IF(YEAR(Table134[[#This Row],[Last_Day]])=2022,7,IF(YEAR(Table134[[#This Row],[Last_Day]])=2023,10,"Không xác định")))</f>
        <v>7</v>
      </c>
      <c r="M1352" s="15">
        <f>Table134[[#This Row],[avg_number_of_purchases]]*Table1345[[#This Row],[avg_purchase_value]]*Table1345[[#This Row],[expected_lifespan]]</f>
        <v>9161.4414829659308</v>
      </c>
      <c r="N1352" t="s">
        <v>12042</v>
      </c>
    </row>
    <row r="1353" spans="1:14" x14ac:dyDescent="0.3">
      <c r="A1353" s="2" t="s">
        <v>1351</v>
      </c>
      <c r="B1353" s="2" t="s">
        <v>12045</v>
      </c>
      <c r="C1353" s="2">
        <v>56</v>
      </c>
      <c r="D1353" s="2" t="s">
        <v>12043</v>
      </c>
      <c r="E1353" s="2">
        <f>COUNTIF(Table16[customer_id],Table13[[#This Row],[customer_id]])</f>
        <v>3</v>
      </c>
      <c r="F1353" s="13">
        <f>SUMIFS(Table16[Purchase_history],Table16[customer_id],Table13[[#This Row],[customer_id]])</f>
        <v>1859.51</v>
      </c>
      <c r="G1353" s="20">
        <v>44546</v>
      </c>
      <c r="H1353" s="21">
        <v>44848</v>
      </c>
      <c r="I1353" s="15">
        <f>(Table134[[#This Row],[Last_Day]]-Table134[[#This Row],[First_Day]]+1)/365</f>
        <v>0.83013698630136989</v>
      </c>
      <c r="J1353" s="59">
        <f>Table134[[#This Row],[number_of_purchases]]/Table134[[#This Row],[customer_total_years]]</f>
        <v>3.6138613861386135</v>
      </c>
      <c r="K1353" s="13">
        <f>Table134[[#This Row],[purchase_history]]/Table134[[#This Row],[number_of_purchases]]</f>
        <v>619.8366666666667</v>
      </c>
      <c r="L1353" s="2">
        <f>IF(YEAR(Table134[[#This Row],[Last_Day]])=2021,5,IF(YEAR(Table134[[#This Row],[Last_Day]])=2022,7,IF(YEAR(Table134[[#This Row],[Last_Day]])=2023,10,"Không xác định")))</f>
        <v>7</v>
      </c>
      <c r="M1353" s="15">
        <f>Table134[[#This Row],[avg_number_of_purchases]]*Table1345[[#This Row],[avg_purchase_value]]*Table1345[[#This Row],[expected_lifespan]]</f>
        <v>15680.026567656763</v>
      </c>
      <c r="N1353" t="s">
        <v>12044</v>
      </c>
    </row>
    <row r="1354" spans="1:14" x14ac:dyDescent="0.3">
      <c r="A1354" s="2" t="s">
        <v>1352</v>
      </c>
      <c r="B1354" s="2" t="s">
        <v>12040</v>
      </c>
      <c r="C1354" s="2">
        <v>20</v>
      </c>
      <c r="D1354" s="2" t="s">
        <v>12049</v>
      </c>
      <c r="E1354" s="2">
        <f>COUNTIF(Table16[customer_id],Table13[[#This Row],[customer_id]])</f>
        <v>3</v>
      </c>
      <c r="F1354" s="13">
        <f>SUMIFS(Table16[Purchase_history],Table16[customer_id],Table13[[#This Row],[customer_id]])</f>
        <v>12903.440000000002</v>
      </c>
      <c r="G1354" s="20">
        <v>44199</v>
      </c>
      <c r="H1354" s="21">
        <v>44481</v>
      </c>
      <c r="I1354" s="15">
        <f>(Table134[[#This Row],[Last_Day]]-Table134[[#This Row],[First_Day]]+1)/365</f>
        <v>0.77534246575342469</v>
      </c>
      <c r="J1354" s="59">
        <f>Table134[[#This Row],[number_of_purchases]]/Table134[[#This Row],[customer_total_years]]</f>
        <v>3.8692579505300353</v>
      </c>
      <c r="K1354" s="13">
        <f>Table134[[#This Row],[purchase_history]]/Table134[[#This Row],[number_of_purchases]]</f>
        <v>4301.1466666666674</v>
      </c>
      <c r="L1354" s="2">
        <f>IF(YEAR(Table134[[#This Row],[Last_Day]])=2021,5,IF(YEAR(Table134[[#This Row],[Last_Day]])=2022,7,IF(YEAR(Table134[[#This Row],[Last_Day]])=2023,10,"Không xác định")))</f>
        <v>5</v>
      </c>
      <c r="M1354" s="15">
        <f>Table134[[#This Row],[avg_number_of_purchases]]*Table1345[[#This Row],[avg_purchase_value]]*Table1345[[#This Row],[expected_lifespan]]</f>
        <v>83211.229681978817</v>
      </c>
      <c r="N1354" t="s">
        <v>12046</v>
      </c>
    </row>
    <row r="1355" spans="1:14" x14ac:dyDescent="0.3">
      <c r="A1355" s="2" t="s">
        <v>1353</v>
      </c>
      <c r="B1355" s="2" t="s">
        <v>12045</v>
      </c>
      <c r="C1355" s="2">
        <v>24</v>
      </c>
      <c r="D1355" s="2" t="s">
        <v>12041</v>
      </c>
      <c r="E1355" s="2">
        <f>COUNTIF(Table16[customer_id],Table13[[#This Row],[customer_id]])</f>
        <v>6</v>
      </c>
      <c r="F1355" s="13">
        <f>SUMIFS(Table16[Purchase_history],Table16[customer_id],Table13[[#This Row],[customer_id]])</f>
        <v>18303.959999999995</v>
      </c>
      <c r="G1355" s="20">
        <v>44312</v>
      </c>
      <c r="H1355" s="21">
        <v>44871</v>
      </c>
      <c r="I1355" s="15">
        <f>(Table134[[#This Row],[Last_Day]]-Table134[[#This Row],[First_Day]]+1)/365</f>
        <v>1.5342465753424657</v>
      </c>
      <c r="J1355" s="59">
        <f>Table134[[#This Row],[number_of_purchases]]/Table134[[#This Row],[customer_total_years]]</f>
        <v>3.910714285714286</v>
      </c>
      <c r="K1355" s="13">
        <f>Table134[[#This Row],[purchase_history]]/Table134[[#This Row],[number_of_purchases]]</f>
        <v>3050.6599999999994</v>
      </c>
      <c r="L1355" s="2">
        <f>IF(YEAR(Table134[[#This Row],[Last_Day]])=2021,5,IF(YEAR(Table134[[#This Row],[Last_Day]])=2022,7,IF(YEAR(Table134[[#This Row],[Last_Day]])=2023,10,"Không xác định")))</f>
        <v>7</v>
      </c>
      <c r="M1355" s="15">
        <f>Table134[[#This Row],[avg_number_of_purchases]]*Table1345[[#This Row],[avg_purchase_value]]*Table1345[[#This Row],[expected_lifespan]]</f>
        <v>83511.81749999999</v>
      </c>
      <c r="N1355" t="s">
        <v>12044</v>
      </c>
    </row>
    <row r="1356" spans="1:14" x14ac:dyDescent="0.3">
      <c r="A1356" s="2" t="s">
        <v>1354</v>
      </c>
      <c r="B1356" s="2" t="s">
        <v>12040</v>
      </c>
      <c r="C1356" s="2">
        <v>59</v>
      </c>
      <c r="D1356" s="2" t="s">
        <v>12049</v>
      </c>
      <c r="E1356" s="2">
        <f>COUNTIF(Table16[customer_id],Table13[[#This Row],[customer_id]])</f>
        <v>2</v>
      </c>
      <c r="F1356" s="13">
        <f>SUMIFS(Table16[Purchase_history],Table16[customer_id],Table13[[#This Row],[customer_id]])</f>
        <v>7867.94</v>
      </c>
      <c r="G1356" s="20">
        <v>44591</v>
      </c>
      <c r="H1356" s="21">
        <v>44945</v>
      </c>
      <c r="I1356" s="15">
        <f>(Table134[[#This Row],[Last_Day]]-Table134[[#This Row],[First_Day]]+1)/365</f>
        <v>0.9726027397260274</v>
      </c>
      <c r="J1356" s="59">
        <f>Table134[[#This Row],[number_of_purchases]]/Table134[[#This Row],[customer_total_years]]</f>
        <v>2.056338028169014</v>
      </c>
      <c r="K1356" s="13">
        <f>Table134[[#This Row],[purchase_history]]/Table134[[#This Row],[number_of_purchases]]</f>
        <v>3933.97</v>
      </c>
      <c r="L1356" s="2">
        <f>IF(YEAR(Table134[[#This Row],[Last_Day]])=2021,5,IF(YEAR(Table134[[#This Row],[Last_Day]])=2022,7,IF(YEAR(Table134[[#This Row],[Last_Day]])=2023,10,"Không xác định")))</f>
        <v>10</v>
      </c>
      <c r="M1356" s="15">
        <f>Table134[[#This Row],[avg_number_of_purchases]]*Table1345[[#This Row],[avg_purchase_value]]*Table1345[[#This Row],[expected_lifespan]]</f>
        <v>80895.72112676056</v>
      </c>
      <c r="N1356" t="s">
        <v>12048</v>
      </c>
    </row>
    <row r="1357" spans="1:14" x14ac:dyDescent="0.3">
      <c r="A1357" s="2" t="s">
        <v>1355</v>
      </c>
      <c r="B1357" s="2" t="s">
        <v>12045</v>
      </c>
      <c r="C1357" s="2">
        <v>49</v>
      </c>
      <c r="D1357" s="2" t="s">
        <v>12049</v>
      </c>
      <c r="E1357" s="2">
        <f>COUNTIF(Table16[customer_id],Table13[[#This Row],[customer_id]])</f>
        <v>4</v>
      </c>
      <c r="F1357" s="13">
        <f>SUMIFS(Table16[Purchase_history],Table16[customer_id],Table13[[#This Row],[customer_id]])</f>
        <v>646.28</v>
      </c>
      <c r="G1357" s="20">
        <v>44349</v>
      </c>
      <c r="H1357" s="21">
        <v>44532</v>
      </c>
      <c r="I1357" s="15">
        <f>(Table134[[#This Row],[Last_Day]]-Table134[[#This Row],[First_Day]]+1)/365</f>
        <v>0.50410958904109593</v>
      </c>
      <c r="J1357" s="59">
        <f>Table134[[#This Row],[number_of_purchases]]/Table134[[#This Row],[customer_total_years]]</f>
        <v>7.9347826086956514</v>
      </c>
      <c r="K1357" s="13">
        <f>Table134[[#This Row],[purchase_history]]/Table134[[#This Row],[number_of_purchases]]</f>
        <v>161.57</v>
      </c>
      <c r="L1357" s="2">
        <f>IF(YEAR(Table134[[#This Row],[Last_Day]])=2021,5,IF(YEAR(Table134[[#This Row],[Last_Day]])=2022,7,IF(YEAR(Table134[[#This Row],[Last_Day]])=2023,10,"Không xác định")))</f>
        <v>5</v>
      </c>
      <c r="M1357" s="15">
        <f>Table134[[#This Row],[avg_number_of_purchases]]*Table1345[[#This Row],[avg_purchase_value]]*Table1345[[#This Row],[expected_lifespan]]</f>
        <v>6410.1141304347821</v>
      </c>
      <c r="N1357" t="s">
        <v>12048</v>
      </c>
    </row>
    <row r="1358" spans="1:14" x14ac:dyDescent="0.3">
      <c r="A1358" s="2" t="s">
        <v>1356</v>
      </c>
      <c r="B1358" s="2" t="s">
        <v>12040</v>
      </c>
      <c r="C1358" s="2">
        <v>22</v>
      </c>
      <c r="D1358" s="2" t="s">
        <v>12043</v>
      </c>
      <c r="E1358" s="2">
        <f>COUNTIF(Table16[customer_id],Table13[[#This Row],[customer_id]])</f>
        <v>7</v>
      </c>
      <c r="F1358" s="13">
        <f>SUMIFS(Table16[Purchase_history],Table16[customer_id],Table13[[#This Row],[customer_id]])</f>
        <v>5469.8499999999995</v>
      </c>
      <c r="G1358" s="20">
        <v>44467</v>
      </c>
      <c r="H1358" s="21">
        <v>44897</v>
      </c>
      <c r="I1358" s="15">
        <f>(Table134[[#This Row],[Last_Day]]-Table134[[#This Row],[First_Day]]+1)/365</f>
        <v>1.1808219178082191</v>
      </c>
      <c r="J1358" s="59">
        <f>Table134[[#This Row],[number_of_purchases]]/Table134[[#This Row],[customer_total_years]]</f>
        <v>5.9280742459396754</v>
      </c>
      <c r="K1358" s="13">
        <f>Table134[[#This Row],[purchase_history]]/Table134[[#This Row],[number_of_purchases]]</f>
        <v>781.40714285714273</v>
      </c>
      <c r="L1358" s="2">
        <f>IF(YEAR(Table134[[#This Row],[Last_Day]])=2021,5,IF(YEAR(Table134[[#This Row],[Last_Day]])=2022,7,IF(YEAR(Table134[[#This Row],[Last_Day]])=2023,10,"Không xác định")))</f>
        <v>7</v>
      </c>
      <c r="M1358" s="15">
        <f>Table134[[#This Row],[avg_number_of_purchases]]*Table1345[[#This Row],[avg_purchase_value]]*Table1345[[#This Row],[expected_lifespan]]</f>
        <v>32425.676914153129</v>
      </c>
      <c r="N1358" t="s">
        <v>12046</v>
      </c>
    </row>
    <row r="1359" spans="1:14" x14ac:dyDescent="0.3">
      <c r="A1359" s="2" t="s">
        <v>1357</v>
      </c>
      <c r="B1359" s="2" t="s">
        <v>12045</v>
      </c>
      <c r="C1359" s="2">
        <v>64</v>
      </c>
      <c r="D1359" s="2" t="s">
        <v>12041</v>
      </c>
      <c r="E1359" s="2">
        <f>COUNTIF(Table16[customer_id],Table13[[#This Row],[customer_id]])</f>
        <v>4</v>
      </c>
      <c r="F1359" s="13">
        <f>SUMIFS(Table16[Purchase_history],Table16[customer_id],Table13[[#This Row],[customer_id]])</f>
        <v>1178.83</v>
      </c>
      <c r="G1359" s="20">
        <v>44419</v>
      </c>
      <c r="H1359" s="21">
        <v>44925</v>
      </c>
      <c r="I1359" s="15">
        <f>(Table134[[#This Row],[Last_Day]]-Table134[[#This Row],[First_Day]]+1)/365</f>
        <v>1.3890410958904109</v>
      </c>
      <c r="J1359" s="59">
        <f>Table134[[#This Row],[number_of_purchases]]/Table134[[#This Row],[customer_total_years]]</f>
        <v>2.8796844181459567</v>
      </c>
      <c r="K1359" s="13">
        <f>Table134[[#This Row],[purchase_history]]/Table134[[#This Row],[number_of_purchases]]</f>
        <v>294.70749999999998</v>
      </c>
      <c r="L1359" s="2">
        <f>IF(YEAR(Table134[[#This Row],[Last_Day]])=2021,5,IF(YEAR(Table134[[#This Row],[Last_Day]])=2022,7,IF(YEAR(Table134[[#This Row],[Last_Day]])=2023,10,"Không xác định")))</f>
        <v>7</v>
      </c>
      <c r="M1359" s="15">
        <f>Table134[[#This Row],[avg_number_of_purchases]]*Table1345[[#This Row],[avg_purchase_value]]*Table1345[[#This Row],[expected_lifespan]]</f>
        <v>5940.6521696252457</v>
      </c>
      <c r="N1359" t="s">
        <v>12048</v>
      </c>
    </row>
    <row r="1360" spans="1:14" x14ac:dyDescent="0.3">
      <c r="A1360" s="2" t="s">
        <v>1358</v>
      </c>
      <c r="B1360" s="2" t="s">
        <v>12040</v>
      </c>
      <c r="C1360" s="2">
        <v>23</v>
      </c>
      <c r="D1360" s="2" t="s">
        <v>12043</v>
      </c>
      <c r="E1360" s="2">
        <f>COUNTIF(Table16[customer_id],Table13[[#This Row],[customer_id]])</f>
        <v>6</v>
      </c>
      <c r="F1360" s="13">
        <f>SUMIFS(Table16[Purchase_history],Table16[customer_id],Table13[[#This Row],[customer_id]])</f>
        <v>25323.32</v>
      </c>
      <c r="G1360" s="20">
        <v>44325</v>
      </c>
      <c r="H1360" s="21">
        <v>44951</v>
      </c>
      <c r="I1360" s="15">
        <f>(Table134[[#This Row],[Last_Day]]-Table134[[#This Row],[First_Day]]+1)/365</f>
        <v>1.7178082191780821</v>
      </c>
      <c r="J1360" s="59">
        <f>Table134[[#This Row],[number_of_purchases]]/Table134[[#This Row],[customer_total_years]]</f>
        <v>3.4928229665071773</v>
      </c>
      <c r="K1360" s="13">
        <f>Table134[[#This Row],[purchase_history]]/Table134[[#This Row],[number_of_purchases]]</f>
        <v>4220.5533333333333</v>
      </c>
      <c r="L1360" s="2">
        <f>IF(YEAR(Table134[[#This Row],[Last_Day]])=2021,5,IF(YEAR(Table134[[#This Row],[Last_Day]])=2022,7,IF(YEAR(Table134[[#This Row],[Last_Day]])=2023,10,"Không xác định")))</f>
        <v>10</v>
      </c>
      <c r="M1360" s="15">
        <f>Table134[[#This Row],[avg_number_of_purchases]]*Table1345[[#This Row],[avg_purchase_value]]*Table1345[[#This Row],[expected_lifespan]]</f>
        <v>147416.4561403509</v>
      </c>
      <c r="N1360" t="s">
        <v>12048</v>
      </c>
    </row>
    <row r="1361" spans="1:14" x14ac:dyDescent="0.3">
      <c r="A1361" s="2" t="s">
        <v>1359</v>
      </c>
      <c r="B1361" s="2" t="s">
        <v>12040</v>
      </c>
      <c r="C1361" s="2">
        <v>54</v>
      </c>
      <c r="D1361" s="2" t="s">
        <v>12049</v>
      </c>
      <c r="E1361" s="2">
        <f>COUNTIF(Table16[customer_id],Table13[[#This Row],[customer_id]])</f>
        <v>12</v>
      </c>
      <c r="F1361" s="13">
        <f>SUMIFS(Table16[Purchase_history],Table16[customer_id],Table13[[#This Row],[customer_id]])</f>
        <v>82255.329999999987</v>
      </c>
      <c r="G1361" s="20">
        <v>44211</v>
      </c>
      <c r="H1361" s="21">
        <v>44990</v>
      </c>
      <c r="I1361" s="15">
        <f>(Table134[[#This Row],[Last_Day]]-Table134[[#This Row],[First_Day]]+1)/365</f>
        <v>2.1369863013698631</v>
      </c>
      <c r="J1361" s="59">
        <f>Table134[[#This Row],[number_of_purchases]]/Table134[[#This Row],[customer_total_years]]</f>
        <v>5.615384615384615</v>
      </c>
      <c r="K1361" s="13">
        <f>Table134[[#This Row],[purchase_history]]/Table134[[#This Row],[number_of_purchases]]</f>
        <v>6854.6108333333323</v>
      </c>
      <c r="L1361" s="2">
        <f>IF(YEAR(Table134[[#This Row],[Last_Day]])=2021,5,IF(YEAR(Table134[[#This Row],[Last_Day]])=2022,7,IF(YEAR(Table134[[#This Row],[Last_Day]])=2023,10,"Không xác định")))</f>
        <v>10</v>
      </c>
      <c r="M1361" s="15">
        <f>Table134[[#This Row],[avg_number_of_purchases]]*Table1345[[#This Row],[avg_purchase_value]]*Table1345[[#This Row],[expected_lifespan]]</f>
        <v>384912.76217948709</v>
      </c>
      <c r="N1361" t="s">
        <v>12042</v>
      </c>
    </row>
    <row r="1362" spans="1:14" x14ac:dyDescent="0.3">
      <c r="A1362" s="2" t="s">
        <v>1360</v>
      </c>
      <c r="B1362" s="2" t="s">
        <v>12045</v>
      </c>
      <c r="C1362" s="2">
        <v>61</v>
      </c>
      <c r="D1362" s="2" t="s">
        <v>12043</v>
      </c>
      <c r="E1362" s="2">
        <f>COUNTIF(Table16[customer_id],Table13[[#This Row],[customer_id]])</f>
        <v>3</v>
      </c>
      <c r="F1362" s="13">
        <f>SUMIFS(Table16[Purchase_history],Table16[customer_id],Table13[[#This Row],[customer_id]])</f>
        <v>11039.94</v>
      </c>
      <c r="G1362" s="20">
        <v>44224</v>
      </c>
      <c r="H1362" s="21">
        <v>44882</v>
      </c>
      <c r="I1362" s="15">
        <f>(Table134[[#This Row],[Last_Day]]-Table134[[#This Row],[First_Day]]+1)/365</f>
        <v>1.8054794520547945</v>
      </c>
      <c r="J1362" s="59">
        <f>Table134[[#This Row],[number_of_purchases]]/Table134[[#This Row],[customer_total_years]]</f>
        <v>1.6616084977238239</v>
      </c>
      <c r="K1362" s="13">
        <f>Table134[[#This Row],[purchase_history]]/Table134[[#This Row],[number_of_purchases]]</f>
        <v>3679.98</v>
      </c>
      <c r="L1362" s="2">
        <f>IF(YEAR(Table134[[#This Row],[Last_Day]])=2021,5,IF(YEAR(Table134[[#This Row],[Last_Day]])=2022,7,IF(YEAR(Table134[[#This Row],[Last_Day]])=2023,10,"Không xác định")))</f>
        <v>7</v>
      </c>
      <c r="M1362" s="15">
        <f>Table134[[#This Row],[avg_number_of_purchases]]*Table1345[[#This Row],[avg_purchase_value]]*Table1345[[#This Row],[expected_lifespan]]</f>
        <v>42802.802276176022</v>
      </c>
      <c r="N1362" t="s">
        <v>12044</v>
      </c>
    </row>
    <row r="1363" spans="1:14" x14ac:dyDescent="0.3">
      <c r="A1363" s="2" t="s">
        <v>1361</v>
      </c>
      <c r="B1363" s="2" t="s">
        <v>12040</v>
      </c>
      <c r="C1363" s="2">
        <v>54</v>
      </c>
      <c r="D1363" s="2" t="s">
        <v>12043</v>
      </c>
      <c r="E1363" s="2">
        <f>COUNTIF(Table16[customer_id],Table13[[#This Row],[customer_id]])</f>
        <v>3</v>
      </c>
      <c r="F1363" s="13">
        <f>SUMIFS(Table16[Purchase_history],Table16[customer_id],Table13[[#This Row],[customer_id]])</f>
        <v>2669.76</v>
      </c>
      <c r="G1363" s="20">
        <v>44579</v>
      </c>
      <c r="H1363" s="21">
        <v>44983</v>
      </c>
      <c r="I1363" s="15">
        <f>(Table134[[#This Row],[Last_Day]]-Table134[[#This Row],[First_Day]]+1)/365</f>
        <v>1.1095890410958904</v>
      </c>
      <c r="J1363" s="59">
        <f>Table134[[#This Row],[number_of_purchases]]/Table134[[#This Row],[customer_total_years]]</f>
        <v>2.7037037037037037</v>
      </c>
      <c r="K1363" s="13">
        <f>Table134[[#This Row],[purchase_history]]/Table134[[#This Row],[number_of_purchases]]</f>
        <v>889.92000000000007</v>
      </c>
      <c r="L1363" s="2">
        <f>IF(YEAR(Table134[[#This Row],[Last_Day]])=2021,5,IF(YEAR(Table134[[#This Row],[Last_Day]])=2022,7,IF(YEAR(Table134[[#This Row],[Last_Day]])=2023,10,"Không xác định")))</f>
        <v>10</v>
      </c>
      <c r="M1363" s="15">
        <f>Table134[[#This Row],[avg_number_of_purchases]]*Table1345[[#This Row],[avg_purchase_value]]*Table1345[[#This Row],[expected_lifespan]]</f>
        <v>24060.800000000003</v>
      </c>
      <c r="N1363" t="s">
        <v>12046</v>
      </c>
    </row>
    <row r="1364" spans="1:14" x14ac:dyDescent="0.3">
      <c r="A1364" s="2" t="s">
        <v>1362</v>
      </c>
      <c r="B1364" s="2" t="s">
        <v>12040</v>
      </c>
      <c r="C1364" s="2">
        <v>49</v>
      </c>
      <c r="D1364" s="2" t="s">
        <v>12041</v>
      </c>
      <c r="E1364" s="2">
        <f>COUNTIF(Table16[customer_id],Table13[[#This Row],[customer_id]])</f>
        <v>3</v>
      </c>
      <c r="F1364" s="13">
        <f>SUMIFS(Table16[Purchase_history],Table16[customer_id],Table13[[#This Row],[customer_id]])</f>
        <v>19851.239999999998</v>
      </c>
      <c r="G1364" s="20">
        <v>44224</v>
      </c>
      <c r="H1364" s="21">
        <v>44881</v>
      </c>
      <c r="I1364" s="15">
        <f>(Table134[[#This Row],[Last_Day]]-Table134[[#This Row],[First_Day]]+1)/365</f>
        <v>1.8027397260273972</v>
      </c>
      <c r="J1364" s="59">
        <f>Table134[[#This Row],[number_of_purchases]]/Table134[[#This Row],[customer_total_years]]</f>
        <v>1.6641337386018238</v>
      </c>
      <c r="K1364" s="13">
        <f>Table134[[#This Row],[purchase_history]]/Table134[[#This Row],[number_of_purchases]]</f>
        <v>6617.079999999999</v>
      </c>
      <c r="L1364" s="2">
        <f>IF(YEAR(Table134[[#This Row],[Last_Day]])=2021,5,IF(YEAR(Table134[[#This Row],[Last_Day]])=2022,7,IF(YEAR(Table134[[#This Row],[Last_Day]])=2023,10,"Không xác định")))</f>
        <v>7</v>
      </c>
      <c r="M1364" s="15">
        <f>Table134[[#This Row],[avg_number_of_purchases]]*Table1345[[#This Row],[avg_purchase_value]]*Table1345[[#This Row],[expected_lifespan]]</f>
        <v>77081.942553191489</v>
      </c>
      <c r="N1364" t="s">
        <v>12042</v>
      </c>
    </row>
    <row r="1365" spans="1:14" x14ac:dyDescent="0.3">
      <c r="A1365" s="2" t="s">
        <v>1363</v>
      </c>
      <c r="B1365" s="2" t="s">
        <v>12040</v>
      </c>
      <c r="C1365" s="2">
        <v>35</v>
      </c>
      <c r="D1365" s="2" t="s">
        <v>12043</v>
      </c>
      <c r="E1365" s="2">
        <f>COUNTIF(Table16[customer_id],Table13[[#This Row],[customer_id]])</f>
        <v>4</v>
      </c>
      <c r="F1365" s="13">
        <f>SUMIFS(Table16[Purchase_history],Table16[customer_id],Table13[[#This Row],[customer_id]])</f>
        <v>513.74</v>
      </c>
      <c r="G1365" s="20">
        <v>44694</v>
      </c>
      <c r="H1365" s="21">
        <v>44965</v>
      </c>
      <c r="I1365" s="15">
        <f>(Table134[[#This Row],[Last_Day]]-Table134[[#This Row],[First_Day]]+1)/365</f>
        <v>0.74520547945205484</v>
      </c>
      <c r="J1365" s="59">
        <f>Table134[[#This Row],[number_of_purchases]]/Table134[[#This Row],[customer_total_years]]</f>
        <v>5.367647058823529</v>
      </c>
      <c r="K1365" s="13">
        <f>Table134[[#This Row],[purchase_history]]/Table134[[#This Row],[number_of_purchases]]</f>
        <v>128.435</v>
      </c>
      <c r="L1365" s="2">
        <f>IF(YEAR(Table134[[#This Row],[Last_Day]])=2021,5,IF(YEAR(Table134[[#This Row],[Last_Day]])=2022,7,IF(YEAR(Table134[[#This Row],[Last_Day]])=2023,10,"Không xác định")))</f>
        <v>10</v>
      </c>
      <c r="M1365" s="15">
        <f>Table134[[#This Row],[avg_number_of_purchases]]*Table1345[[#This Row],[avg_purchase_value]]*Table1345[[#This Row],[expected_lifespan]]</f>
        <v>6893.9375</v>
      </c>
      <c r="N1365" t="s">
        <v>12048</v>
      </c>
    </row>
    <row r="1366" spans="1:14" x14ac:dyDescent="0.3">
      <c r="A1366" s="2" t="s">
        <v>1364</v>
      </c>
      <c r="B1366" s="2" t="s">
        <v>12040</v>
      </c>
      <c r="C1366" s="2">
        <v>33</v>
      </c>
      <c r="D1366" s="2" t="s">
        <v>12041</v>
      </c>
      <c r="E1366" s="2">
        <f>COUNTIF(Table16[customer_id],Table13[[#This Row],[customer_id]])</f>
        <v>7</v>
      </c>
      <c r="F1366" s="13">
        <f>SUMIFS(Table16[Purchase_history],Table16[customer_id],Table13[[#This Row],[customer_id]])</f>
        <v>2099.79</v>
      </c>
      <c r="G1366" s="20">
        <v>44277</v>
      </c>
      <c r="H1366" s="21">
        <v>44889</v>
      </c>
      <c r="I1366" s="15">
        <f>(Table134[[#This Row],[Last_Day]]-Table134[[#This Row],[First_Day]]+1)/365</f>
        <v>1.6794520547945206</v>
      </c>
      <c r="J1366" s="59">
        <f>Table134[[#This Row],[number_of_purchases]]/Table134[[#This Row],[customer_total_years]]</f>
        <v>4.1680261011419244</v>
      </c>
      <c r="K1366" s="13">
        <f>Table134[[#This Row],[purchase_history]]/Table134[[#This Row],[number_of_purchases]]</f>
        <v>299.96999999999997</v>
      </c>
      <c r="L1366" s="2">
        <f>IF(YEAR(Table134[[#This Row],[Last_Day]])=2021,5,IF(YEAR(Table134[[#This Row],[Last_Day]])=2022,7,IF(YEAR(Table134[[#This Row],[Last_Day]])=2023,10,"Không xác định")))</f>
        <v>7</v>
      </c>
      <c r="M1366" s="15">
        <f>Table134[[#This Row],[avg_number_of_purchases]]*Table1345[[#This Row],[avg_purchase_value]]*Table1345[[#This Row],[expected_lifespan]]</f>
        <v>8751.9795269167989</v>
      </c>
      <c r="N1366" t="s">
        <v>12046</v>
      </c>
    </row>
    <row r="1367" spans="1:14" x14ac:dyDescent="0.3">
      <c r="A1367" s="2" t="s">
        <v>1365</v>
      </c>
      <c r="B1367" s="2" t="s">
        <v>12045</v>
      </c>
      <c r="C1367" s="2">
        <v>55</v>
      </c>
      <c r="D1367" s="2" t="s">
        <v>12041</v>
      </c>
      <c r="E1367" s="2">
        <f>COUNTIF(Table16[customer_id],Table13[[#This Row],[customer_id]])</f>
        <v>2</v>
      </c>
      <c r="F1367" s="13">
        <f>SUMIFS(Table16[Purchase_history],Table16[customer_id],Table13[[#This Row],[customer_id]])</f>
        <v>731.88</v>
      </c>
      <c r="G1367" s="20">
        <v>44245</v>
      </c>
      <c r="H1367" s="21">
        <v>44303</v>
      </c>
      <c r="I1367" s="15">
        <f>(Table134[[#This Row],[Last_Day]]-Table134[[#This Row],[First_Day]]+1)/365</f>
        <v>0.16164383561643836</v>
      </c>
      <c r="J1367" s="59">
        <f>Table134[[#This Row],[number_of_purchases]]/Table134[[#This Row],[customer_total_years]]</f>
        <v>12.372881355932202</v>
      </c>
      <c r="K1367" s="13">
        <f>Table134[[#This Row],[purchase_history]]/Table134[[#This Row],[number_of_purchases]]</f>
        <v>365.94</v>
      </c>
      <c r="L1367" s="2">
        <f>IF(YEAR(Table134[[#This Row],[Last_Day]])=2021,5,IF(YEAR(Table134[[#This Row],[Last_Day]])=2022,7,IF(YEAR(Table134[[#This Row],[Last_Day]])=2023,10,"Không xác định")))</f>
        <v>5</v>
      </c>
      <c r="M1367" s="15">
        <f>Table134[[#This Row],[avg_number_of_purchases]]*Table1345[[#This Row],[avg_purchase_value]]*Table1345[[#This Row],[expected_lifespan]]</f>
        <v>22638.661016949151</v>
      </c>
      <c r="N1367" t="s">
        <v>12047</v>
      </c>
    </row>
    <row r="1368" spans="1:14" x14ac:dyDescent="0.3">
      <c r="A1368" s="2" t="s">
        <v>1366</v>
      </c>
      <c r="B1368" s="2" t="s">
        <v>12040</v>
      </c>
      <c r="C1368" s="2">
        <v>67</v>
      </c>
      <c r="D1368" s="2" t="s">
        <v>12041</v>
      </c>
      <c r="E1368" s="2">
        <f>COUNTIF(Table16[customer_id],Table13[[#This Row],[customer_id]])</f>
        <v>4</v>
      </c>
      <c r="F1368" s="13">
        <f>SUMIFS(Table16[Purchase_history],Table16[customer_id],Table13[[#This Row],[customer_id]])</f>
        <v>27554.92</v>
      </c>
      <c r="G1368" s="20">
        <v>44207</v>
      </c>
      <c r="H1368" s="21">
        <v>44930</v>
      </c>
      <c r="I1368" s="15">
        <f>(Table134[[#This Row],[Last_Day]]-Table134[[#This Row],[First_Day]]+1)/365</f>
        <v>1.9835616438356165</v>
      </c>
      <c r="J1368" s="59">
        <f>Table134[[#This Row],[number_of_purchases]]/Table134[[#This Row],[customer_total_years]]</f>
        <v>2.0165745856353592</v>
      </c>
      <c r="K1368" s="13">
        <f>Table134[[#This Row],[purchase_history]]/Table134[[#This Row],[number_of_purchases]]</f>
        <v>6888.73</v>
      </c>
      <c r="L1368" s="2">
        <f>IF(YEAR(Table134[[#This Row],[Last_Day]])=2021,5,IF(YEAR(Table134[[#This Row],[Last_Day]])=2022,7,IF(YEAR(Table134[[#This Row],[Last_Day]])=2023,10,"Không xác định")))</f>
        <v>10</v>
      </c>
      <c r="M1368" s="15">
        <f>Table134[[#This Row],[avg_number_of_purchases]]*Table1345[[#This Row],[avg_purchase_value]]*Table1345[[#This Row],[expected_lifespan]]</f>
        <v>138916.37845303866</v>
      </c>
      <c r="N1368" t="s">
        <v>12047</v>
      </c>
    </row>
    <row r="1369" spans="1:14" x14ac:dyDescent="0.3">
      <c r="A1369" s="2" t="s">
        <v>1367</v>
      </c>
      <c r="B1369" s="2" t="s">
        <v>12040</v>
      </c>
      <c r="C1369" s="2">
        <v>43</v>
      </c>
      <c r="D1369" s="2" t="s">
        <v>12043</v>
      </c>
      <c r="E1369" s="2">
        <f>COUNTIF(Table16[customer_id],Table13[[#This Row],[customer_id]])</f>
        <v>4</v>
      </c>
      <c r="F1369" s="13">
        <f>SUMIFS(Table16[Purchase_history],Table16[customer_id],Table13[[#This Row],[customer_id]])</f>
        <v>16244.98</v>
      </c>
      <c r="G1369" s="20">
        <v>44319</v>
      </c>
      <c r="H1369" s="21">
        <v>44652</v>
      </c>
      <c r="I1369" s="15">
        <f>(Table134[[#This Row],[Last_Day]]-Table134[[#This Row],[First_Day]]+1)/365</f>
        <v>0.91506849315068495</v>
      </c>
      <c r="J1369" s="59">
        <f>Table134[[#This Row],[number_of_purchases]]/Table134[[#This Row],[customer_total_years]]</f>
        <v>4.3712574850299397</v>
      </c>
      <c r="K1369" s="13">
        <f>Table134[[#This Row],[purchase_history]]/Table134[[#This Row],[number_of_purchases]]</f>
        <v>4061.2449999999999</v>
      </c>
      <c r="L1369" s="2">
        <f>IF(YEAR(Table134[[#This Row],[Last_Day]])=2021,5,IF(YEAR(Table134[[#This Row],[Last_Day]])=2022,7,IF(YEAR(Table134[[#This Row],[Last_Day]])=2023,10,"Không xác định")))</f>
        <v>7</v>
      </c>
      <c r="M1369" s="15">
        <f>Table134[[#This Row],[avg_number_of_purchases]]*Table1345[[#This Row],[avg_purchase_value]]*Table1345[[#This Row],[expected_lifespan]]</f>
        <v>124269.23323353291</v>
      </c>
      <c r="N1369" t="s">
        <v>12047</v>
      </c>
    </row>
    <row r="1370" spans="1:14" x14ac:dyDescent="0.3">
      <c r="A1370" s="2" t="s">
        <v>1368</v>
      </c>
      <c r="B1370" s="2" t="s">
        <v>12040</v>
      </c>
      <c r="C1370" s="2">
        <v>34</v>
      </c>
      <c r="D1370" s="2" t="s">
        <v>12041</v>
      </c>
      <c r="E1370" s="2">
        <f>COUNTIF(Table16[customer_id],Table13[[#This Row],[customer_id]])</f>
        <v>4</v>
      </c>
      <c r="F1370" s="13">
        <f>SUMIFS(Table16[Purchase_history],Table16[customer_id],Table13[[#This Row],[customer_id]])</f>
        <v>10018.9</v>
      </c>
      <c r="G1370" s="20">
        <v>44314</v>
      </c>
      <c r="H1370" s="21">
        <v>44791</v>
      </c>
      <c r="I1370" s="15">
        <f>(Table134[[#This Row],[Last_Day]]-Table134[[#This Row],[First_Day]]+1)/365</f>
        <v>1.3095890410958904</v>
      </c>
      <c r="J1370" s="59">
        <f>Table134[[#This Row],[number_of_purchases]]/Table134[[#This Row],[customer_total_years]]</f>
        <v>3.0543933054393309</v>
      </c>
      <c r="K1370" s="13">
        <f>Table134[[#This Row],[purchase_history]]/Table134[[#This Row],[number_of_purchases]]</f>
        <v>2504.7249999999999</v>
      </c>
      <c r="L1370" s="2">
        <f>IF(YEAR(Table134[[#This Row],[Last_Day]])=2021,5,IF(YEAR(Table134[[#This Row],[Last_Day]])=2022,7,IF(YEAR(Table134[[#This Row],[Last_Day]])=2023,10,"Không xác định")))</f>
        <v>7</v>
      </c>
      <c r="M1370" s="15">
        <f>Table134[[#This Row],[avg_number_of_purchases]]*Table1345[[#This Row],[avg_purchase_value]]*Table1345[[#This Row],[expected_lifespan]]</f>
        <v>53552.906903765695</v>
      </c>
      <c r="N1370" t="s">
        <v>12044</v>
      </c>
    </row>
    <row r="1371" spans="1:14" x14ac:dyDescent="0.3">
      <c r="A1371" s="2" t="s">
        <v>1369</v>
      </c>
      <c r="B1371" s="2" t="s">
        <v>12045</v>
      </c>
      <c r="C1371" s="2">
        <v>25</v>
      </c>
      <c r="D1371" s="2" t="s">
        <v>12043</v>
      </c>
      <c r="E1371" s="2">
        <f>COUNTIF(Table16[customer_id],Table13[[#This Row],[customer_id]])</f>
        <v>3</v>
      </c>
      <c r="F1371" s="13">
        <f>SUMIFS(Table16[Purchase_history],Table16[customer_id],Table13[[#This Row],[customer_id]])</f>
        <v>1442.24</v>
      </c>
      <c r="G1371" s="20">
        <v>44276</v>
      </c>
      <c r="H1371" s="21">
        <v>44882</v>
      </c>
      <c r="I1371" s="15">
        <f>(Table134[[#This Row],[Last_Day]]-Table134[[#This Row],[First_Day]]+1)/365</f>
        <v>1.6630136986301369</v>
      </c>
      <c r="J1371" s="59">
        <f>Table134[[#This Row],[number_of_purchases]]/Table134[[#This Row],[customer_total_years]]</f>
        <v>1.8039538714991763</v>
      </c>
      <c r="K1371" s="13">
        <f>Table134[[#This Row],[purchase_history]]/Table134[[#This Row],[number_of_purchases]]</f>
        <v>480.74666666666667</v>
      </c>
      <c r="L1371" s="2">
        <f>IF(YEAR(Table134[[#This Row],[Last_Day]])=2021,5,IF(YEAR(Table134[[#This Row],[Last_Day]])=2022,7,IF(YEAR(Table134[[#This Row],[Last_Day]])=2023,10,"Không xác định")))</f>
        <v>7</v>
      </c>
      <c r="M1371" s="15">
        <f>Table134[[#This Row],[avg_number_of_purchases]]*Table1345[[#This Row],[avg_purchase_value]]*Table1345[[#This Row],[expected_lifespan]]</f>
        <v>6070.7136738056015</v>
      </c>
      <c r="N1371" t="s">
        <v>12047</v>
      </c>
    </row>
    <row r="1372" spans="1:14" x14ac:dyDescent="0.3">
      <c r="A1372" s="2" t="s">
        <v>1370</v>
      </c>
      <c r="B1372" s="2" t="s">
        <v>12040</v>
      </c>
      <c r="C1372" s="2">
        <v>34</v>
      </c>
      <c r="D1372" s="2" t="s">
        <v>12043</v>
      </c>
      <c r="E1372" s="2">
        <f>COUNTIF(Table16[customer_id],Table13[[#This Row],[customer_id]])</f>
        <v>4</v>
      </c>
      <c r="F1372" s="13">
        <f>SUMIFS(Table16[Purchase_history],Table16[customer_id],Table13[[#This Row],[customer_id]])</f>
        <v>2861.29</v>
      </c>
      <c r="G1372" s="20">
        <v>44214</v>
      </c>
      <c r="H1372" s="21">
        <v>44940</v>
      </c>
      <c r="I1372" s="15">
        <f>(Table134[[#This Row],[Last_Day]]-Table134[[#This Row],[First_Day]]+1)/365</f>
        <v>1.9917808219178081</v>
      </c>
      <c r="J1372" s="59">
        <f>Table134[[#This Row],[number_of_purchases]]/Table134[[#This Row],[customer_total_years]]</f>
        <v>2.0082530949105917</v>
      </c>
      <c r="K1372" s="13">
        <f>Table134[[#This Row],[purchase_history]]/Table134[[#This Row],[number_of_purchases]]</f>
        <v>715.32249999999999</v>
      </c>
      <c r="L1372" s="2">
        <f>IF(YEAR(Table134[[#This Row],[Last_Day]])=2021,5,IF(YEAR(Table134[[#This Row],[Last_Day]])=2022,7,IF(YEAR(Table134[[#This Row],[Last_Day]])=2023,10,"Không xác định")))</f>
        <v>10</v>
      </c>
      <c r="M1372" s="15">
        <f>Table134[[#This Row],[avg_number_of_purchases]]*Table1345[[#This Row],[avg_purchase_value]]*Table1345[[#This Row],[expected_lifespan]]</f>
        <v>14365.486244841817</v>
      </c>
      <c r="N1372" t="s">
        <v>12047</v>
      </c>
    </row>
    <row r="1373" spans="1:14" x14ac:dyDescent="0.3">
      <c r="A1373" s="2" t="s">
        <v>1371</v>
      </c>
      <c r="B1373" s="2" t="s">
        <v>12045</v>
      </c>
      <c r="C1373" s="2">
        <v>44</v>
      </c>
      <c r="D1373" s="2" t="s">
        <v>12043</v>
      </c>
      <c r="E1373" s="2">
        <f>COUNTIF(Table16[customer_id],Table13[[#This Row],[customer_id]])</f>
        <v>8</v>
      </c>
      <c r="F1373" s="13">
        <f>SUMIFS(Table16[Purchase_history],Table16[customer_id],Table13[[#This Row],[customer_id]])</f>
        <v>31775.88</v>
      </c>
      <c r="G1373" s="20">
        <v>44260</v>
      </c>
      <c r="H1373" s="21">
        <v>44964</v>
      </c>
      <c r="I1373" s="15">
        <f>(Table134[[#This Row],[Last_Day]]-Table134[[#This Row],[First_Day]]+1)/365</f>
        <v>1.9315068493150684</v>
      </c>
      <c r="J1373" s="59">
        <f>Table134[[#This Row],[number_of_purchases]]/Table134[[#This Row],[customer_total_years]]</f>
        <v>4.1418439716312054</v>
      </c>
      <c r="K1373" s="13">
        <f>Table134[[#This Row],[purchase_history]]/Table134[[#This Row],[number_of_purchases]]</f>
        <v>3971.9850000000001</v>
      </c>
      <c r="L1373" s="2">
        <f>IF(YEAR(Table134[[#This Row],[Last_Day]])=2021,5,IF(YEAR(Table134[[#This Row],[Last_Day]])=2022,7,IF(YEAR(Table134[[#This Row],[Last_Day]])=2023,10,"Không xác định")))</f>
        <v>10</v>
      </c>
      <c r="M1373" s="15">
        <f>Table134[[#This Row],[avg_number_of_purchases]]*Table1345[[#This Row],[avg_purchase_value]]*Table1345[[#This Row],[expected_lifespan]]</f>
        <v>164513.42127659573</v>
      </c>
      <c r="N1373" t="s">
        <v>12046</v>
      </c>
    </row>
    <row r="1374" spans="1:14" x14ac:dyDescent="0.3">
      <c r="A1374" s="2" t="s">
        <v>1372</v>
      </c>
      <c r="B1374" s="2" t="s">
        <v>12040</v>
      </c>
      <c r="C1374" s="2">
        <v>43</v>
      </c>
      <c r="D1374" s="2" t="s">
        <v>12041</v>
      </c>
      <c r="E1374" s="2">
        <f>COUNTIF(Table16[customer_id],Table13[[#This Row],[customer_id]])</f>
        <v>7</v>
      </c>
      <c r="F1374" s="13">
        <f>SUMIFS(Table16[Purchase_history],Table16[customer_id],Table13[[#This Row],[customer_id]])</f>
        <v>15612.21</v>
      </c>
      <c r="G1374" s="20">
        <v>44282</v>
      </c>
      <c r="H1374" s="21">
        <v>44617</v>
      </c>
      <c r="I1374" s="15">
        <f>(Table134[[#This Row],[Last_Day]]-Table134[[#This Row],[First_Day]]+1)/365</f>
        <v>0.92054794520547945</v>
      </c>
      <c r="J1374" s="59">
        <f>Table134[[#This Row],[number_of_purchases]]/Table134[[#This Row],[customer_total_years]]</f>
        <v>7.604166666666667</v>
      </c>
      <c r="K1374" s="13">
        <f>Table134[[#This Row],[purchase_history]]/Table134[[#This Row],[number_of_purchases]]</f>
        <v>2230.315714285714</v>
      </c>
      <c r="L1374" s="2">
        <f>IF(YEAR(Table134[[#This Row],[Last_Day]])=2021,5,IF(YEAR(Table134[[#This Row],[Last_Day]])=2022,7,IF(YEAR(Table134[[#This Row],[Last_Day]])=2023,10,"Không xác định")))</f>
        <v>7</v>
      </c>
      <c r="M1374" s="15">
        <f>Table134[[#This Row],[avg_number_of_purchases]]*Table1345[[#This Row],[avg_purchase_value]]*Table1345[[#This Row],[expected_lifespan]]</f>
        <v>118717.84687499999</v>
      </c>
      <c r="N1374" t="s">
        <v>12046</v>
      </c>
    </row>
    <row r="1375" spans="1:14" x14ac:dyDescent="0.3">
      <c r="A1375" s="2" t="s">
        <v>1373</v>
      </c>
      <c r="B1375" s="2" t="s">
        <v>12040</v>
      </c>
      <c r="C1375" s="2">
        <v>60</v>
      </c>
      <c r="D1375" s="2" t="s">
        <v>12041</v>
      </c>
      <c r="E1375" s="2">
        <f>COUNTIF(Table16[customer_id],Table13[[#This Row],[customer_id]])</f>
        <v>6</v>
      </c>
      <c r="F1375" s="13">
        <f>SUMIFS(Table16[Purchase_history],Table16[customer_id],Table13[[#This Row],[customer_id]])</f>
        <v>8044.3099999999995</v>
      </c>
      <c r="G1375" s="20">
        <v>44212</v>
      </c>
      <c r="H1375" s="21">
        <v>44674</v>
      </c>
      <c r="I1375" s="15">
        <f>(Table134[[#This Row],[Last_Day]]-Table134[[#This Row],[First_Day]]+1)/365</f>
        <v>1.2684931506849315</v>
      </c>
      <c r="J1375" s="59">
        <f>Table134[[#This Row],[number_of_purchases]]/Table134[[#This Row],[customer_total_years]]</f>
        <v>4.7300215982721383</v>
      </c>
      <c r="K1375" s="13">
        <f>Table134[[#This Row],[purchase_history]]/Table134[[#This Row],[number_of_purchases]]</f>
        <v>1340.7183333333332</v>
      </c>
      <c r="L1375" s="2">
        <f>IF(YEAR(Table134[[#This Row],[Last_Day]])=2021,5,IF(YEAR(Table134[[#This Row],[Last_Day]])=2022,7,IF(YEAR(Table134[[#This Row],[Last_Day]])=2023,10,"Không xác định")))</f>
        <v>7</v>
      </c>
      <c r="M1375" s="15">
        <f>Table134[[#This Row],[avg_number_of_purchases]]*Table1345[[#This Row],[avg_purchase_value]]*Table1345[[#This Row],[expected_lifespan]]</f>
        <v>44391.386717062633</v>
      </c>
      <c r="N1375" t="s">
        <v>12042</v>
      </c>
    </row>
    <row r="1376" spans="1:14" x14ac:dyDescent="0.3">
      <c r="A1376" s="2" t="s">
        <v>1374</v>
      </c>
      <c r="B1376" s="2" t="s">
        <v>12040</v>
      </c>
      <c r="C1376" s="2">
        <v>60</v>
      </c>
      <c r="D1376" s="2" t="s">
        <v>12043</v>
      </c>
      <c r="E1376" s="2">
        <f>COUNTIF(Table16[customer_id],Table13[[#This Row],[customer_id]])</f>
        <v>3</v>
      </c>
      <c r="F1376" s="13">
        <f>SUMIFS(Table16[Purchase_history],Table16[customer_id],Table13[[#This Row],[customer_id]])</f>
        <v>894.52</v>
      </c>
      <c r="G1376" s="20">
        <v>44286</v>
      </c>
      <c r="H1376" s="21">
        <v>44542</v>
      </c>
      <c r="I1376" s="15">
        <f>(Table134[[#This Row],[Last_Day]]-Table134[[#This Row],[First_Day]]+1)/365</f>
        <v>0.70410958904109588</v>
      </c>
      <c r="J1376" s="59">
        <f>Table134[[#This Row],[number_of_purchases]]/Table134[[#This Row],[customer_total_years]]</f>
        <v>4.2607003891050583</v>
      </c>
      <c r="K1376" s="13">
        <f>Table134[[#This Row],[purchase_history]]/Table134[[#This Row],[number_of_purchases]]</f>
        <v>298.17333333333335</v>
      </c>
      <c r="L1376" s="2">
        <f>IF(YEAR(Table134[[#This Row],[Last_Day]])=2021,5,IF(YEAR(Table134[[#This Row],[Last_Day]])=2022,7,IF(YEAR(Table134[[#This Row],[Last_Day]])=2023,10,"Không xác định")))</f>
        <v>5</v>
      </c>
      <c r="M1376" s="15">
        <f>Table134[[#This Row],[avg_number_of_purchases]]*Table1345[[#This Row],[avg_purchase_value]]*Table1345[[#This Row],[expected_lifespan]]</f>
        <v>6352.136186770429</v>
      </c>
      <c r="N1376" t="s">
        <v>12046</v>
      </c>
    </row>
    <row r="1377" spans="1:14" x14ac:dyDescent="0.3">
      <c r="A1377" s="2" t="s">
        <v>1375</v>
      </c>
      <c r="B1377" s="2" t="s">
        <v>12045</v>
      </c>
      <c r="C1377" s="2">
        <v>27</v>
      </c>
      <c r="D1377" s="2" t="s">
        <v>12043</v>
      </c>
      <c r="E1377" s="2">
        <f>COUNTIF(Table16[customer_id],Table13[[#This Row],[customer_id]])</f>
        <v>4</v>
      </c>
      <c r="F1377" s="13">
        <f>SUMIFS(Table16[Purchase_history],Table16[customer_id],Table13[[#This Row],[customer_id]])</f>
        <v>25514.05</v>
      </c>
      <c r="G1377" s="20">
        <v>44270</v>
      </c>
      <c r="H1377" s="21">
        <v>44655</v>
      </c>
      <c r="I1377" s="15">
        <f>(Table134[[#This Row],[Last_Day]]-Table134[[#This Row],[First_Day]]+1)/365</f>
        <v>1.0575342465753426</v>
      </c>
      <c r="J1377" s="59">
        <f>Table134[[#This Row],[number_of_purchases]]/Table134[[#This Row],[customer_total_years]]</f>
        <v>3.7823834196891188</v>
      </c>
      <c r="K1377" s="13">
        <f>Table134[[#This Row],[purchase_history]]/Table134[[#This Row],[number_of_purchases]]</f>
        <v>6378.5124999999998</v>
      </c>
      <c r="L1377" s="2">
        <f>IF(YEAR(Table134[[#This Row],[Last_Day]])=2021,5,IF(YEAR(Table134[[#This Row],[Last_Day]])=2022,7,IF(YEAR(Table134[[#This Row],[Last_Day]])=2023,10,"Không xác định")))</f>
        <v>7</v>
      </c>
      <c r="M1377" s="15">
        <f>Table134[[#This Row],[avg_number_of_purchases]]*Table1345[[#This Row],[avg_purchase_value]]*Table1345[[#This Row],[expected_lifespan]]</f>
        <v>168881.85945595853</v>
      </c>
      <c r="N1377" t="s">
        <v>12046</v>
      </c>
    </row>
    <row r="1378" spans="1:14" x14ac:dyDescent="0.3">
      <c r="A1378" s="2" t="s">
        <v>1376</v>
      </c>
      <c r="B1378" s="2" t="s">
        <v>12040</v>
      </c>
      <c r="C1378" s="2">
        <v>61</v>
      </c>
      <c r="D1378" s="2" t="s">
        <v>12043</v>
      </c>
      <c r="E1378" s="2">
        <f>COUNTIF(Table16[customer_id],Table13[[#This Row],[customer_id]])</f>
        <v>7</v>
      </c>
      <c r="F1378" s="13">
        <f>SUMIFS(Table16[Purchase_history],Table16[customer_id],Table13[[#This Row],[customer_id]])</f>
        <v>20471.38</v>
      </c>
      <c r="G1378" s="20">
        <v>44198</v>
      </c>
      <c r="H1378" s="21">
        <v>44774</v>
      </c>
      <c r="I1378" s="15">
        <f>(Table134[[#This Row],[Last_Day]]-Table134[[#This Row],[First_Day]]+1)/365</f>
        <v>1.5808219178082192</v>
      </c>
      <c r="J1378" s="59">
        <f>Table134[[#This Row],[number_of_purchases]]/Table134[[#This Row],[customer_total_years]]</f>
        <v>4.4280762564991329</v>
      </c>
      <c r="K1378" s="13">
        <f>Table134[[#This Row],[purchase_history]]/Table134[[#This Row],[number_of_purchases]]</f>
        <v>2924.4828571428575</v>
      </c>
      <c r="L1378" s="2">
        <f>IF(YEAR(Table134[[#This Row],[Last_Day]])=2021,5,IF(YEAR(Table134[[#This Row],[Last_Day]])=2022,7,IF(YEAR(Table134[[#This Row],[Last_Day]])=2023,10,"Không xác định")))</f>
        <v>7</v>
      </c>
      <c r="M1378" s="15">
        <f>Table134[[#This Row],[avg_number_of_purchases]]*Table1345[[#This Row],[avg_purchase_value]]*Table1345[[#This Row],[expected_lifespan]]</f>
        <v>90648.83171577123</v>
      </c>
      <c r="N1378" t="s">
        <v>12046</v>
      </c>
    </row>
    <row r="1379" spans="1:14" x14ac:dyDescent="0.3">
      <c r="A1379" s="2" t="s">
        <v>1377</v>
      </c>
      <c r="B1379" s="2" t="s">
        <v>12045</v>
      </c>
      <c r="C1379" s="2">
        <v>61</v>
      </c>
      <c r="D1379" s="2" t="s">
        <v>12041</v>
      </c>
      <c r="E1379" s="2">
        <f>COUNTIF(Table16[customer_id],Table13[[#This Row],[customer_id]])</f>
        <v>6</v>
      </c>
      <c r="F1379" s="13">
        <f>SUMIFS(Table16[Purchase_history],Table16[customer_id],Table13[[#This Row],[customer_id]])</f>
        <v>15798.839999999998</v>
      </c>
      <c r="G1379" s="20">
        <v>44301</v>
      </c>
      <c r="H1379" s="21">
        <v>44924</v>
      </c>
      <c r="I1379" s="15">
        <f>(Table134[[#This Row],[Last_Day]]-Table134[[#This Row],[First_Day]]+1)/365</f>
        <v>1.7095890410958905</v>
      </c>
      <c r="J1379" s="59">
        <f>Table134[[#This Row],[number_of_purchases]]/Table134[[#This Row],[customer_total_years]]</f>
        <v>3.5096153846153846</v>
      </c>
      <c r="K1379" s="13">
        <f>Table134[[#This Row],[purchase_history]]/Table134[[#This Row],[number_of_purchases]]</f>
        <v>2633.14</v>
      </c>
      <c r="L1379" s="2">
        <f>IF(YEAR(Table134[[#This Row],[Last_Day]])=2021,5,IF(YEAR(Table134[[#This Row],[Last_Day]])=2022,7,IF(YEAR(Table134[[#This Row],[Last_Day]])=2023,10,"Không xác định")))</f>
        <v>7</v>
      </c>
      <c r="M1379" s="15">
        <f>Table134[[#This Row],[avg_number_of_purchases]]*Table1345[[#This Row],[avg_purchase_value]]*Table1345[[#This Row],[expected_lifespan]]</f>
        <v>64689.160576923081</v>
      </c>
      <c r="N1379" t="s">
        <v>12042</v>
      </c>
    </row>
    <row r="1380" spans="1:14" x14ac:dyDescent="0.3">
      <c r="A1380" s="2" t="s">
        <v>1378</v>
      </c>
      <c r="B1380" s="2" t="s">
        <v>12040</v>
      </c>
      <c r="C1380" s="2">
        <v>34</v>
      </c>
      <c r="D1380" s="2" t="s">
        <v>12043</v>
      </c>
      <c r="E1380" s="2">
        <f>COUNTIF(Table16[customer_id],Table13[[#This Row],[customer_id]])</f>
        <v>6</v>
      </c>
      <c r="F1380" s="13">
        <f>SUMIFS(Table16[Purchase_history],Table16[customer_id],Table13[[#This Row],[customer_id]])</f>
        <v>8121.26</v>
      </c>
      <c r="G1380" s="20">
        <v>44368</v>
      </c>
      <c r="H1380" s="21">
        <v>44918</v>
      </c>
      <c r="I1380" s="15">
        <f>(Table134[[#This Row],[Last_Day]]-Table134[[#This Row],[First_Day]]+1)/365</f>
        <v>1.5095890410958903</v>
      </c>
      <c r="J1380" s="59">
        <f>Table134[[#This Row],[number_of_purchases]]/Table134[[#This Row],[customer_total_years]]</f>
        <v>3.9745916515426498</v>
      </c>
      <c r="K1380" s="13">
        <f>Table134[[#This Row],[purchase_history]]/Table134[[#This Row],[number_of_purchases]]</f>
        <v>1353.5433333333333</v>
      </c>
      <c r="L1380" s="2">
        <f>IF(YEAR(Table134[[#This Row],[Last_Day]])=2021,5,IF(YEAR(Table134[[#This Row],[Last_Day]])=2022,7,IF(YEAR(Table134[[#This Row],[Last_Day]])=2023,10,"Không xác định")))</f>
        <v>7</v>
      </c>
      <c r="M1380" s="15">
        <f>Table134[[#This Row],[avg_number_of_purchases]]*Table1345[[#This Row],[avg_purchase_value]]*Table1345[[#This Row],[expected_lifespan]]</f>
        <v>37658.474228675135</v>
      </c>
      <c r="N1380" t="s">
        <v>12048</v>
      </c>
    </row>
    <row r="1381" spans="1:14" x14ac:dyDescent="0.3">
      <c r="A1381" s="2" t="s">
        <v>1379</v>
      </c>
      <c r="B1381" s="2" t="s">
        <v>12045</v>
      </c>
      <c r="C1381" s="2">
        <v>56</v>
      </c>
      <c r="D1381" s="2" t="s">
        <v>12049</v>
      </c>
      <c r="E1381" s="2">
        <f>COUNTIF(Table16[customer_id],Table13[[#This Row],[customer_id]])</f>
        <v>7</v>
      </c>
      <c r="F1381" s="13">
        <f>SUMIFS(Table16[Purchase_history],Table16[customer_id],Table13[[#This Row],[customer_id]])</f>
        <v>1445.4900000000002</v>
      </c>
      <c r="G1381" s="20">
        <v>44216</v>
      </c>
      <c r="H1381" s="21">
        <v>44920</v>
      </c>
      <c r="I1381" s="15">
        <f>(Table134[[#This Row],[Last_Day]]-Table134[[#This Row],[First_Day]]+1)/365</f>
        <v>1.9315068493150684</v>
      </c>
      <c r="J1381" s="59">
        <f>Table134[[#This Row],[number_of_purchases]]/Table134[[#This Row],[customer_total_years]]</f>
        <v>3.624113475177305</v>
      </c>
      <c r="K1381" s="13">
        <f>Table134[[#This Row],[purchase_history]]/Table134[[#This Row],[number_of_purchases]]</f>
        <v>206.49857142857147</v>
      </c>
      <c r="L1381" s="2">
        <f>IF(YEAR(Table134[[#This Row],[Last_Day]])=2021,5,IF(YEAR(Table134[[#This Row],[Last_Day]])=2022,7,IF(YEAR(Table134[[#This Row],[Last_Day]])=2023,10,"Không xác định")))</f>
        <v>7</v>
      </c>
      <c r="M1381" s="15">
        <f>Table134[[#This Row],[avg_number_of_purchases]]*Table1345[[#This Row],[avg_purchase_value]]*Table1345[[#This Row],[expected_lifespan]]</f>
        <v>5238.6197872340435</v>
      </c>
      <c r="N1381" t="s">
        <v>12042</v>
      </c>
    </row>
    <row r="1382" spans="1:14" x14ac:dyDescent="0.3">
      <c r="A1382" s="2" t="s">
        <v>1380</v>
      </c>
      <c r="B1382" s="2" t="s">
        <v>12045</v>
      </c>
      <c r="C1382" s="2">
        <v>55</v>
      </c>
      <c r="D1382" s="2" t="s">
        <v>12041</v>
      </c>
      <c r="E1382" s="2">
        <f>COUNTIF(Table16[customer_id],Table13[[#This Row],[customer_id]])</f>
        <v>6</v>
      </c>
      <c r="F1382" s="13">
        <f>SUMIFS(Table16[Purchase_history],Table16[customer_id],Table13[[#This Row],[customer_id]])</f>
        <v>22109.89</v>
      </c>
      <c r="G1382" s="20">
        <v>44470</v>
      </c>
      <c r="H1382" s="21">
        <v>44962</v>
      </c>
      <c r="I1382" s="15">
        <f>(Table134[[#This Row],[Last_Day]]-Table134[[#This Row],[First_Day]]+1)/365</f>
        <v>1.3506849315068492</v>
      </c>
      <c r="J1382" s="59">
        <f>Table134[[#This Row],[number_of_purchases]]/Table134[[#This Row],[customer_total_years]]</f>
        <v>4.4421906693711968</v>
      </c>
      <c r="K1382" s="13">
        <f>Table134[[#This Row],[purchase_history]]/Table134[[#This Row],[number_of_purchases]]</f>
        <v>3684.9816666666666</v>
      </c>
      <c r="L1382" s="2">
        <f>IF(YEAR(Table134[[#This Row],[Last_Day]])=2021,5,IF(YEAR(Table134[[#This Row],[Last_Day]])=2022,7,IF(YEAR(Table134[[#This Row],[Last_Day]])=2023,10,"Không xác định")))</f>
        <v>10</v>
      </c>
      <c r="M1382" s="15">
        <f>Table134[[#This Row],[avg_number_of_purchases]]*Table1345[[#This Row],[avg_purchase_value]]*Table1345[[#This Row],[expected_lifespan]]</f>
        <v>163693.91176470587</v>
      </c>
      <c r="N1382" t="s">
        <v>12047</v>
      </c>
    </row>
    <row r="1383" spans="1:14" x14ac:dyDescent="0.3">
      <c r="A1383" s="2" t="s">
        <v>1381</v>
      </c>
      <c r="B1383" s="2" t="s">
        <v>12040</v>
      </c>
      <c r="C1383" s="2">
        <v>23</v>
      </c>
      <c r="D1383" s="2" t="s">
        <v>12049</v>
      </c>
      <c r="E1383" s="2">
        <f>COUNTIF(Table16[customer_id],Table13[[#This Row],[customer_id]])</f>
        <v>3</v>
      </c>
      <c r="F1383" s="13">
        <f>SUMIFS(Table16[Purchase_history],Table16[customer_id],Table13[[#This Row],[customer_id]])</f>
        <v>3651.36</v>
      </c>
      <c r="G1383" s="20">
        <v>44590</v>
      </c>
      <c r="H1383" s="21">
        <v>44756</v>
      </c>
      <c r="I1383" s="15">
        <f>(Table134[[#This Row],[Last_Day]]-Table134[[#This Row],[First_Day]]+1)/365</f>
        <v>0.45753424657534247</v>
      </c>
      <c r="J1383" s="59">
        <f>Table134[[#This Row],[number_of_purchases]]/Table134[[#This Row],[customer_total_years]]</f>
        <v>6.5568862275449105</v>
      </c>
      <c r="K1383" s="13">
        <f>Table134[[#This Row],[purchase_history]]/Table134[[#This Row],[number_of_purchases]]</f>
        <v>1217.1200000000001</v>
      </c>
      <c r="L1383" s="2">
        <f>IF(YEAR(Table134[[#This Row],[Last_Day]])=2021,5,IF(YEAR(Table134[[#This Row],[Last_Day]])=2022,7,IF(YEAR(Table134[[#This Row],[Last_Day]])=2023,10,"Không xác định")))</f>
        <v>7</v>
      </c>
      <c r="M1383" s="15">
        <f>Table134[[#This Row],[avg_number_of_purchases]]*Table1345[[#This Row],[avg_purchase_value]]*Table1345[[#This Row],[expected_lifespan]]</f>
        <v>55863.621556886232</v>
      </c>
      <c r="N1383" t="s">
        <v>12042</v>
      </c>
    </row>
    <row r="1384" spans="1:14" x14ac:dyDescent="0.3">
      <c r="A1384" s="2" t="s">
        <v>1382</v>
      </c>
      <c r="B1384" s="2" t="s">
        <v>12040</v>
      </c>
      <c r="C1384" s="2">
        <v>32</v>
      </c>
      <c r="D1384" s="2" t="s">
        <v>12049</v>
      </c>
      <c r="E1384" s="2">
        <f>COUNTIF(Table16[customer_id],Table13[[#This Row],[customer_id]])</f>
        <v>8</v>
      </c>
      <c r="F1384" s="13">
        <f>SUMIFS(Table16[Purchase_history],Table16[customer_id],Table13[[#This Row],[customer_id]])</f>
        <v>8486.3700000000008</v>
      </c>
      <c r="G1384" s="20">
        <v>44237</v>
      </c>
      <c r="H1384" s="21">
        <v>44938</v>
      </c>
      <c r="I1384" s="15">
        <f>(Table134[[#This Row],[Last_Day]]-Table134[[#This Row],[First_Day]]+1)/365</f>
        <v>1.9232876712328768</v>
      </c>
      <c r="J1384" s="59">
        <f>Table134[[#This Row],[number_of_purchases]]/Table134[[#This Row],[customer_total_years]]</f>
        <v>4.1595441595441596</v>
      </c>
      <c r="K1384" s="13">
        <f>Table134[[#This Row],[purchase_history]]/Table134[[#This Row],[number_of_purchases]]</f>
        <v>1060.7962500000001</v>
      </c>
      <c r="L1384" s="2">
        <f>IF(YEAR(Table134[[#This Row],[Last_Day]])=2021,5,IF(YEAR(Table134[[#This Row],[Last_Day]])=2022,7,IF(YEAR(Table134[[#This Row],[Last_Day]])=2023,10,"Không xác định")))</f>
        <v>10</v>
      </c>
      <c r="M1384" s="15">
        <f>Table134[[#This Row],[avg_number_of_purchases]]*Table1345[[#This Row],[avg_purchase_value]]*Table1345[[#This Row],[expected_lifespan]]</f>
        <v>44124.288461538461</v>
      </c>
      <c r="N1384" t="s">
        <v>12047</v>
      </c>
    </row>
    <row r="1385" spans="1:14" x14ac:dyDescent="0.3">
      <c r="A1385" s="2" t="s">
        <v>1383</v>
      </c>
      <c r="B1385" s="2" t="s">
        <v>12040</v>
      </c>
      <c r="C1385" s="2">
        <v>37</v>
      </c>
      <c r="D1385" s="2" t="s">
        <v>12043</v>
      </c>
      <c r="E1385" s="2">
        <f>COUNTIF(Table16[customer_id],Table13[[#This Row],[customer_id]])</f>
        <v>6</v>
      </c>
      <c r="F1385" s="13">
        <f>SUMIFS(Table16[Purchase_history],Table16[customer_id],Table13[[#This Row],[customer_id]])</f>
        <v>9447.02</v>
      </c>
      <c r="G1385" s="20">
        <v>44249</v>
      </c>
      <c r="H1385" s="21">
        <v>44866</v>
      </c>
      <c r="I1385" s="15">
        <f>(Table134[[#This Row],[Last_Day]]-Table134[[#This Row],[First_Day]]+1)/365</f>
        <v>1.6931506849315068</v>
      </c>
      <c r="J1385" s="59">
        <f>Table134[[#This Row],[number_of_purchases]]/Table134[[#This Row],[customer_total_years]]</f>
        <v>3.5436893203883497</v>
      </c>
      <c r="K1385" s="13">
        <f>Table134[[#This Row],[purchase_history]]/Table134[[#This Row],[number_of_purchases]]</f>
        <v>1574.5033333333333</v>
      </c>
      <c r="L1385" s="2">
        <f>IF(YEAR(Table134[[#This Row],[Last_Day]])=2021,5,IF(YEAR(Table134[[#This Row],[Last_Day]])=2022,7,IF(YEAR(Table134[[#This Row],[Last_Day]])=2023,10,"Không xác định")))</f>
        <v>7</v>
      </c>
      <c r="M1385" s="15">
        <f>Table134[[#This Row],[avg_number_of_purchases]]*Table1345[[#This Row],[avg_purchase_value]]*Table1345[[#This Row],[expected_lifespan]]</f>
        <v>39056.854530744342</v>
      </c>
      <c r="N1385" t="s">
        <v>12044</v>
      </c>
    </row>
    <row r="1386" spans="1:14" x14ac:dyDescent="0.3">
      <c r="A1386" s="2" t="s">
        <v>1384</v>
      </c>
      <c r="B1386" s="2" t="s">
        <v>12040</v>
      </c>
      <c r="C1386" s="2">
        <v>18</v>
      </c>
      <c r="D1386" s="2" t="s">
        <v>12043</v>
      </c>
      <c r="E1386" s="2">
        <f>COUNTIF(Table16[customer_id],Table13[[#This Row],[customer_id]])</f>
        <v>4</v>
      </c>
      <c r="F1386" s="13">
        <f>SUMIFS(Table16[Purchase_history],Table16[customer_id],Table13[[#This Row],[customer_id]])</f>
        <v>1068.1199999999999</v>
      </c>
      <c r="G1386" s="20">
        <v>44216</v>
      </c>
      <c r="H1386" s="21">
        <v>44940</v>
      </c>
      <c r="I1386" s="15">
        <f>(Table134[[#This Row],[Last_Day]]-Table134[[#This Row],[First_Day]]+1)/365</f>
        <v>1.9863013698630136</v>
      </c>
      <c r="J1386" s="59">
        <f>Table134[[#This Row],[number_of_purchases]]/Table134[[#This Row],[customer_total_years]]</f>
        <v>2.0137931034482759</v>
      </c>
      <c r="K1386" s="13">
        <f>Table134[[#This Row],[purchase_history]]/Table134[[#This Row],[number_of_purchases]]</f>
        <v>267.02999999999997</v>
      </c>
      <c r="L1386" s="2">
        <f>IF(YEAR(Table134[[#This Row],[Last_Day]])=2021,5,IF(YEAR(Table134[[#This Row],[Last_Day]])=2022,7,IF(YEAR(Table134[[#This Row],[Last_Day]])=2023,10,"Không xác định")))</f>
        <v>10</v>
      </c>
      <c r="M1386" s="15">
        <f>Table134[[#This Row],[avg_number_of_purchases]]*Table1345[[#This Row],[avg_purchase_value]]*Table1345[[#This Row],[expected_lifespan]]</f>
        <v>5377.4317241379313</v>
      </c>
      <c r="N1386" t="s">
        <v>12044</v>
      </c>
    </row>
    <row r="1387" spans="1:14" x14ac:dyDescent="0.3">
      <c r="A1387" s="2" t="s">
        <v>1385</v>
      </c>
      <c r="B1387" s="2" t="s">
        <v>12045</v>
      </c>
      <c r="C1387" s="2">
        <v>29</v>
      </c>
      <c r="D1387" s="2" t="s">
        <v>12043</v>
      </c>
      <c r="E1387" s="2">
        <f>COUNTIF(Table16[customer_id],Table13[[#This Row],[customer_id]])</f>
        <v>3</v>
      </c>
      <c r="F1387" s="13">
        <f>SUMIFS(Table16[Purchase_history],Table16[customer_id],Table13[[#This Row],[customer_id]])</f>
        <v>14419.15</v>
      </c>
      <c r="G1387" s="20">
        <v>44357</v>
      </c>
      <c r="H1387" s="21">
        <v>44690</v>
      </c>
      <c r="I1387" s="15">
        <f>(Table134[[#This Row],[Last_Day]]-Table134[[#This Row],[First_Day]]+1)/365</f>
        <v>0.91506849315068495</v>
      </c>
      <c r="J1387" s="59">
        <f>Table134[[#This Row],[number_of_purchases]]/Table134[[#This Row],[customer_total_years]]</f>
        <v>3.2784431137724552</v>
      </c>
      <c r="K1387" s="13">
        <f>Table134[[#This Row],[purchase_history]]/Table134[[#This Row],[number_of_purchases]]</f>
        <v>4806.3833333333332</v>
      </c>
      <c r="L1387" s="2">
        <f>IF(YEAR(Table134[[#This Row],[Last_Day]])=2021,5,IF(YEAR(Table134[[#This Row],[Last_Day]])=2022,7,IF(YEAR(Table134[[#This Row],[Last_Day]])=2023,10,"Không xác định")))</f>
        <v>7</v>
      </c>
      <c r="M1387" s="15">
        <f>Table134[[#This Row],[avg_number_of_purchases]]*Table1345[[#This Row],[avg_purchase_value]]*Table1345[[#This Row],[expected_lifespan]]</f>
        <v>110302.18038922155</v>
      </c>
      <c r="N1387" t="s">
        <v>12047</v>
      </c>
    </row>
    <row r="1388" spans="1:14" x14ac:dyDescent="0.3">
      <c r="A1388" s="2" t="s">
        <v>1386</v>
      </c>
      <c r="B1388" s="2" t="s">
        <v>12040</v>
      </c>
      <c r="C1388" s="2">
        <v>55</v>
      </c>
      <c r="D1388" s="2" t="s">
        <v>12041</v>
      </c>
      <c r="E1388" s="2">
        <f>COUNTIF(Table16[customer_id],Table13[[#This Row],[customer_id]])</f>
        <v>2</v>
      </c>
      <c r="F1388" s="13">
        <f>SUMIFS(Table16[Purchase_history],Table16[customer_id],Table13[[#This Row],[customer_id]])</f>
        <v>3901.04</v>
      </c>
      <c r="G1388" s="20">
        <v>44403</v>
      </c>
      <c r="H1388" s="21">
        <v>44633</v>
      </c>
      <c r="I1388" s="15">
        <f>(Table134[[#This Row],[Last_Day]]-Table134[[#This Row],[First_Day]]+1)/365</f>
        <v>0.63287671232876708</v>
      </c>
      <c r="J1388" s="59">
        <f>Table134[[#This Row],[number_of_purchases]]/Table134[[#This Row],[customer_total_years]]</f>
        <v>3.1601731601731604</v>
      </c>
      <c r="K1388" s="13">
        <f>Table134[[#This Row],[purchase_history]]/Table134[[#This Row],[number_of_purchases]]</f>
        <v>1950.52</v>
      </c>
      <c r="L1388" s="2">
        <f>IF(YEAR(Table134[[#This Row],[Last_Day]])=2021,5,IF(YEAR(Table134[[#This Row],[Last_Day]])=2022,7,IF(YEAR(Table134[[#This Row],[Last_Day]])=2023,10,"Không xác định")))</f>
        <v>7</v>
      </c>
      <c r="M1388" s="15">
        <f>Table134[[#This Row],[avg_number_of_purchases]]*Table1345[[#This Row],[avg_purchase_value]]*Table1345[[#This Row],[expected_lifespan]]</f>
        <v>43147.866666666669</v>
      </c>
      <c r="N1388" t="s">
        <v>12044</v>
      </c>
    </row>
    <row r="1389" spans="1:14" x14ac:dyDescent="0.3">
      <c r="A1389" s="2" t="s">
        <v>1387</v>
      </c>
      <c r="B1389" s="2" t="s">
        <v>12045</v>
      </c>
      <c r="C1389" s="2">
        <v>23</v>
      </c>
      <c r="D1389" s="2" t="s">
        <v>12043</v>
      </c>
      <c r="E1389" s="2">
        <f>COUNTIF(Table16[customer_id],Table13[[#This Row],[customer_id]])</f>
        <v>10</v>
      </c>
      <c r="F1389" s="13">
        <f>SUMIFS(Table16[Purchase_history],Table16[customer_id],Table13[[#This Row],[customer_id]])</f>
        <v>42128.39</v>
      </c>
      <c r="G1389" s="20">
        <v>44299</v>
      </c>
      <c r="H1389" s="21">
        <v>44914</v>
      </c>
      <c r="I1389" s="15">
        <f>(Table134[[#This Row],[Last_Day]]-Table134[[#This Row],[First_Day]]+1)/365</f>
        <v>1.6876712328767123</v>
      </c>
      <c r="J1389" s="59">
        <f>Table134[[#This Row],[number_of_purchases]]/Table134[[#This Row],[customer_total_years]]</f>
        <v>5.9253246753246751</v>
      </c>
      <c r="K1389" s="13">
        <f>Table134[[#This Row],[purchase_history]]/Table134[[#This Row],[number_of_purchases]]</f>
        <v>4212.8389999999999</v>
      </c>
      <c r="L1389" s="2">
        <f>IF(YEAR(Table134[[#This Row],[Last_Day]])=2021,5,IF(YEAR(Table134[[#This Row],[Last_Day]])=2022,7,IF(YEAR(Table134[[#This Row],[Last_Day]])=2023,10,"Không xác định")))</f>
        <v>7</v>
      </c>
      <c r="M1389" s="15">
        <f>Table134[[#This Row],[avg_number_of_purchases]]*Table1345[[#This Row],[avg_purchase_value]]*Table1345[[#This Row],[expected_lifespan]]</f>
        <v>174737.07215909089</v>
      </c>
      <c r="N1389" t="s">
        <v>12048</v>
      </c>
    </row>
    <row r="1390" spans="1:14" x14ac:dyDescent="0.3">
      <c r="A1390" s="2" t="s">
        <v>1388</v>
      </c>
      <c r="B1390" s="2" t="s">
        <v>12045</v>
      </c>
      <c r="C1390" s="2">
        <v>33</v>
      </c>
      <c r="D1390" s="2" t="s">
        <v>12043</v>
      </c>
      <c r="E1390" s="2">
        <f>COUNTIF(Table16[customer_id],Table13[[#This Row],[customer_id]])</f>
        <v>4</v>
      </c>
      <c r="F1390" s="13">
        <f>SUMIFS(Table16[Purchase_history],Table16[customer_id],Table13[[#This Row],[customer_id]])</f>
        <v>15194.43</v>
      </c>
      <c r="G1390" s="20">
        <v>44264</v>
      </c>
      <c r="H1390" s="21">
        <v>44839</v>
      </c>
      <c r="I1390" s="15">
        <f>(Table134[[#This Row],[Last_Day]]-Table134[[#This Row],[First_Day]]+1)/365</f>
        <v>1.5780821917808219</v>
      </c>
      <c r="J1390" s="59">
        <f>Table134[[#This Row],[number_of_purchases]]/Table134[[#This Row],[customer_total_years]]</f>
        <v>2.5347222222222223</v>
      </c>
      <c r="K1390" s="13">
        <f>Table134[[#This Row],[purchase_history]]/Table134[[#This Row],[number_of_purchases]]</f>
        <v>3798.6075000000001</v>
      </c>
      <c r="L1390" s="2">
        <f>IF(YEAR(Table134[[#This Row],[Last_Day]])=2021,5,IF(YEAR(Table134[[#This Row],[Last_Day]])=2022,7,IF(YEAR(Table134[[#This Row],[Last_Day]])=2023,10,"Không xác định")))</f>
        <v>7</v>
      </c>
      <c r="M1390" s="15">
        <f>Table134[[#This Row],[avg_number_of_purchases]]*Table1345[[#This Row],[avg_purchase_value]]*Table1345[[#This Row],[expected_lifespan]]</f>
        <v>67398.903906250009</v>
      </c>
      <c r="N1390" t="s">
        <v>12047</v>
      </c>
    </row>
    <row r="1391" spans="1:14" x14ac:dyDescent="0.3">
      <c r="A1391" s="2" t="s">
        <v>1389</v>
      </c>
      <c r="B1391" s="2" t="s">
        <v>12040</v>
      </c>
      <c r="C1391" s="2">
        <v>39</v>
      </c>
      <c r="D1391" s="2" t="s">
        <v>12043</v>
      </c>
      <c r="E1391" s="2">
        <f>COUNTIF(Table16[customer_id],Table13[[#This Row],[customer_id]])</f>
        <v>5</v>
      </c>
      <c r="F1391" s="13">
        <f>SUMIFS(Table16[Purchase_history],Table16[customer_id],Table13[[#This Row],[customer_id]])</f>
        <v>14645.16</v>
      </c>
      <c r="G1391" s="20">
        <v>44233</v>
      </c>
      <c r="H1391" s="21">
        <v>44689</v>
      </c>
      <c r="I1391" s="15">
        <f>(Table134[[#This Row],[Last_Day]]-Table134[[#This Row],[First_Day]]+1)/365</f>
        <v>1.252054794520548</v>
      </c>
      <c r="J1391" s="59">
        <f>Table134[[#This Row],[number_of_purchases]]/Table134[[#This Row],[customer_total_years]]</f>
        <v>3.9934354485776802</v>
      </c>
      <c r="K1391" s="13">
        <f>Table134[[#This Row],[purchase_history]]/Table134[[#This Row],[number_of_purchases]]</f>
        <v>2929.0320000000002</v>
      </c>
      <c r="L1391" s="2">
        <f>IF(YEAR(Table134[[#This Row],[Last_Day]])=2021,5,IF(YEAR(Table134[[#This Row],[Last_Day]])=2022,7,IF(YEAR(Table134[[#This Row],[Last_Day]])=2023,10,"Không xác định")))</f>
        <v>7</v>
      </c>
      <c r="M1391" s="15">
        <f>Table134[[#This Row],[avg_number_of_purchases]]*Table1345[[#This Row],[avg_purchase_value]]*Table1345[[#This Row],[expected_lifespan]]</f>
        <v>81878.301531728663</v>
      </c>
      <c r="N1391" t="s">
        <v>12044</v>
      </c>
    </row>
    <row r="1392" spans="1:14" x14ac:dyDescent="0.3">
      <c r="A1392" s="2" t="s">
        <v>1390</v>
      </c>
      <c r="B1392" s="2" t="s">
        <v>12040</v>
      </c>
      <c r="C1392" s="2">
        <v>34</v>
      </c>
      <c r="D1392" s="2" t="s">
        <v>12043</v>
      </c>
      <c r="E1392" s="2">
        <f>COUNTIF(Table16[customer_id],Table13[[#This Row],[customer_id]])</f>
        <v>6</v>
      </c>
      <c r="F1392" s="13">
        <f>SUMIFS(Table16[Purchase_history],Table16[customer_id],Table13[[#This Row],[customer_id]])</f>
        <v>23146.43</v>
      </c>
      <c r="G1392" s="20">
        <v>44241</v>
      </c>
      <c r="H1392" s="21">
        <v>44840</v>
      </c>
      <c r="I1392" s="15">
        <f>(Table134[[#This Row],[Last_Day]]-Table134[[#This Row],[First_Day]]+1)/365</f>
        <v>1.6438356164383561</v>
      </c>
      <c r="J1392" s="59">
        <f>Table134[[#This Row],[number_of_purchases]]/Table134[[#This Row],[customer_total_years]]</f>
        <v>3.6500000000000004</v>
      </c>
      <c r="K1392" s="13">
        <f>Table134[[#This Row],[purchase_history]]/Table134[[#This Row],[number_of_purchases]]</f>
        <v>3857.7383333333332</v>
      </c>
      <c r="L1392" s="2">
        <f>IF(YEAR(Table134[[#This Row],[Last_Day]])=2021,5,IF(YEAR(Table134[[#This Row],[Last_Day]])=2022,7,IF(YEAR(Table134[[#This Row],[Last_Day]])=2023,10,"Không xác định")))</f>
        <v>7</v>
      </c>
      <c r="M1392" s="15">
        <f>Table134[[#This Row],[avg_number_of_purchases]]*Table1345[[#This Row],[avg_purchase_value]]*Table1345[[#This Row],[expected_lifespan]]</f>
        <v>98565.214416666684</v>
      </c>
      <c r="N1392" t="s">
        <v>12047</v>
      </c>
    </row>
    <row r="1393" spans="1:14" x14ac:dyDescent="0.3">
      <c r="A1393" s="2" t="s">
        <v>1391</v>
      </c>
      <c r="B1393" s="2" t="s">
        <v>12045</v>
      </c>
      <c r="C1393" s="2">
        <v>64</v>
      </c>
      <c r="D1393" s="2" t="s">
        <v>12043</v>
      </c>
      <c r="E1393" s="2">
        <f>COUNTIF(Table16[customer_id],Table13[[#This Row],[customer_id]])</f>
        <v>8</v>
      </c>
      <c r="F1393" s="13">
        <f>SUMIFS(Table16[Purchase_history],Table16[customer_id],Table13[[#This Row],[customer_id]])</f>
        <v>11733.21</v>
      </c>
      <c r="G1393" s="20">
        <v>44266</v>
      </c>
      <c r="H1393" s="21">
        <v>44992</v>
      </c>
      <c r="I1393" s="15">
        <f>(Table134[[#This Row],[Last_Day]]-Table134[[#This Row],[First_Day]]+1)/365</f>
        <v>1.9917808219178081</v>
      </c>
      <c r="J1393" s="59">
        <f>Table134[[#This Row],[number_of_purchases]]/Table134[[#This Row],[customer_total_years]]</f>
        <v>4.0165061898211833</v>
      </c>
      <c r="K1393" s="13">
        <f>Table134[[#This Row],[purchase_history]]/Table134[[#This Row],[number_of_purchases]]</f>
        <v>1466.6512499999999</v>
      </c>
      <c r="L1393" s="2">
        <f>IF(YEAR(Table134[[#This Row],[Last_Day]])=2021,5,IF(YEAR(Table134[[#This Row],[Last_Day]])=2022,7,IF(YEAR(Table134[[#This Row],[Last_Day]])=2023,10,"Không xác định")))</f>
        <v>10</v>
      </c>
      <c r="M1393" s="15">
        <f>Table134[[#This Row],[avg_number_of_purchases]]*Table1345[[#This Row],[avg_purchase_value]]*Table1345[[#This Row],[expected_lifespan]]</f>
        <v>58908.138239339751</v>
      </c>
      <c r="N1393" t="s">
        <v>12046</v>
      </c>
    </row>
    <row r="1394" spans="1:14" x14ac:dyDescent="0.3">
      <c r="A1394" s="2" t="s">
        <v>1392</v>
      </c>
      <c r="B1394" s="2" t="s">
        <v>12040</v>
      </c>
      <c r="C1394" s="2">
        <v>25</v>
      </c>
      <c r="D1394" s="2" t="s">
        <v>12041</v>
      </c>
      <c r="E1394" s="2">
        <f>COUNTIF(Table16[customer_id],Table13[[#This Row],[customer_id]])</f>
        <v>2</v>
      </c>
      <c r="F1394" s="13">
        <f>SUMIFS(Table16[Purchase_history],Table16[customer_id],Table13[[#This Row],[customer_id]])</f>
        <v>7502</v>
      </c>
      <c r="G1394" s="20">
        <v>44392</v>
      </c>
      <c r="H1394" s="21">
        <v>44892</v>
      </c>
      <c r="I1394" s="15">
        <f>(Table134[[#This Row],[Last_Day]]-Table134[[#This Row],[First_Day]]+1)/365</f>
        <v>1.3726027397260274</v>
      </c>
      <c r="J1394" s="59">
        <f>Table134[[#This Row],[number_of_purchases]]/Table134[[#This Row],[customer_total_years]]</f>
        <v>1.4570858283433132</v>
      </c>
      <c r="K1394" s="13">
        <f>Table134[[#This Row],[purchase_history]]/Table134[[#This Row],[number_of_purchases]]</f>
        <v>3751</v>
      </c>
      <c r="L1394" s="2">
        <f>IF(YEAR(Table134[[#This Row],[Last_Day]])=2021,5,IF(YEAR(Table134[[#This Row],[Last_Day]])=2022,7,IF(YEAR(Table134[[#This Row],[Last_Day]])=2023,10,"Không xác định")))</f>
        <v>7</v>
      </c>
      <c r="M1394" s="15">
        <f>Table134[[#This Row],[avg_number_of_purchases]]*Table1345[[#This Row],[avg_purchase_value]]*Table1345[[#This Row],[expected_lifespan]]</f>
        <v>38258.702594810376</v>
      </c>
      <c r="N1394" t="s">
        <v>12044</v>
      </c>
    </row>
    <row r="1395" spans="1:14" x14ac:dyDescent="0.3">
      <c r="A1395" s="2" t="s">
        <v>1393</v>
      </c>
      <c r="B1395" s="2" t="s">
        <v>12045</v>
      </c>
      <c r="C1395" s="2">
        <v>34</v>
      </c>
      <c r="D1395" s="2" t="s">
        <v>12041</v>
      </c>
      <c r="E1395" s="2">
        <f>COUNTIF(Table16[customer_id],Table13[[#This Row],[customer_id]])</f>
        <v>4</v>
      </c>
      <c r="F1395" s="13">
        <f>SUMIFS(Table16[Purchase_history],Table16[customer_id],Table13[[#This Row],[customer_id]])</f>
        <v>20336.739999999998</v>
      </c>
      <c r="G1395" s="20">
        <v>44553</v>
      </c>
      <c r="H1395" s="21">
        <v>44921</v>
      </c>
      <c r="I1395" s="15">
        <f>(Table134[[#This Row],[Last_Day]]-Table134[[#This Row],[First_Day]]+1)/365</f>
        <v>1.010958904109589</v>
      </c>
      <c r="J1395" s="59">
        <f>Table134[[#This Row],[number_of_purchases]]/Table134[[#This Row],[customer_total_years]]</f>
        <v>3.9566395663956642</v>
      </c>
      <c r="K1395" s="13">
        <f>Table134[[#This Row],[purchase_history]]/Table134[[#This Row],[number_of_purchases]]</f>
        <v>5084.1849999999995</v>
      </c>
      <c r="L1395" s="2">
        <f>IF(YEAR(Table134[[#This Row],[Last_Day]])=2021,5,IF(YEAR(Table134[[#This Row],[Last_Day]])=2022,7,IF(YEAR(Table134[[#This Row],[Last_Day]])=2023,10,"Không xác định")))</f>
        <v>7</v>
      </c>
      <c r="M1395" s="15">
        <f>Table134[[#This Row],[avg_number_of_purchases]]*Table1345[[#This Row],[avg_purchase_value]]*Table1345[[#This Row],[expected_lifespan]]</f>
        <v>140814.01273712737</v>
      </c>
      <c r="N1395" t="s">
        <v>12046</v>
      </c>
    </row>
    <row r="1396" spans="1:14" x14ac:dyDescent="0.3">
      <c r="A1396" s="2" t="s">
        <v>1394</v>
      </c>
      <c r="B1396" s="2" t="s">
        <v>12040</v>
      </c>
      <c r="C1396" s="2">
        <v>41</v>
      </c>
      <c r="D1396" s="2" t="s">
        <v>12043</v>
      </c>
      <c r="E1396" s="2">
        <f>COUNTIF(Table16[customer_id],Table13[[#This Row],[customer_id]])</f>
        <v>10</v>
      </c>
      <c r="F1396" s="13">
        <f>SUMIFS(Table16[Purchase_history],Table16[customer_id],Table13[[#This Row],[customer_id]])</f>
        <v>26820.61</v>
      </c>
      <c r="G1396" s="20">
        <v>44226</v>
      </c>
      <c r="H1396" s="21">
        <v>44981</v>
      </c>
      <c r="I1396" s="15">
        <f>(Table134[[#This Row],[Last_Day]]-Table134[[#This Row],[First_Day]]+1)/365</f>
        <v>2.0712328767123287</v>
      </c>
      <c r="J1396" s="59">
        <f>Table134[[#This Row],[number_of_purchases]]/Table134[[#This Row],[customer_total_years]]</f>
        <v>4.8280423280423284</v>
      </c>
      <c r="K1396" s="13">
        <f>Table134[[#This Row],[purchase_history]]/Table134[[#This Row],[number_of_purchases]]</f>
        <v>2682.0610000000001</v>
      </c>
      <c r="L1396" s="2">
        <f>IF(YEAR(Table134[[#This Row],[Last_Day]])=2021,5,IF(YEAR(Table134[[#This Row],[Last_Day]])=2022,7,IF(YEAR(Table134[[#This Row],[Last_Day]])=2023,10,"Không xác định")))</f>
        <v>10</v>
      </c>
      <c r="M1396" s="15">
        <f>Table134[[#This Row],[avg_number_of_purchases]]*Table1345[[#This Row],[avg_purchase_value]]*Table1345[[#This Row],[expected_lifespan]]</f>
        <v>129491.04034391536</v>
      </c>
      <c r="N1396" t="s">
        <v>12046</v>
      </c>
    </row>
    <row r="1397" spans="1:14" x14ac:dyDescent="0.3">
      <c r="A1397" s="2" t="s">
        <v>1395</v>
      </c>
      <c r="B1397" s="2" t="s">
        <v>12040</v>
      </c>
      <c r="C1397" s="2">
        <v>19</v>
      </c>
      <c r="D1397" s="2" t="s">
        <v>12041</v>
      </c>
      <c r="E1397" s="2">
        <f>COUNTIF(Table16[customer_id],Table13[[#This Row],[customer_id]])</f>
        <v>4</v>
      </c>
      <c r="F1397" s="13">
        <f>SUMIFS(Table16[Purchase_history],Table16[customer_id],Table13[[#This Row],[customer_id]])</f>
        <v>22267.34</v>
      </c>
      <c r="G1397" s="20">
        <v>44246</v>
      </c>
      <c r="H1397" s="21">
        <v>44938</v>
      </c>
      <c r="I1397" s="15">
        <f>(Table134[[#This Row],[Last_Day]]-Table134[[#This Row],[First_Day]]+1)/365</f>
        <v>1.8986301369863015</v>
      </c>
      <c r="J1397" s="59">
        <f>Table134[[#This Row],[number_of_purchases]]/Table134[[#This Row],[customer_total_years]]</f>
        <v>2.1067821067821066</v>
      </c>
      <c r="K1397" s="13">
        <f>Table134[[#This Row],[purchase_history]]/Table134[[#This Row],[number_of_purchases]]</f>
        <v>5566.835</v>
      </c>
      <c r="L1397" s="2">
        <f>IF(YEAR(Table134[[#This Row],[Last_Day]])=2021,5,IF(YEAR(Table134[[#This Row],[Last_Day]])=2022,7,IF(YEAR(Table134[[#This Row],[Last_Day]])=2023,10,"Không xác định")))</f>
        <v>10</v>
      </c>
      <c r="M1397" s="15">
        <f>Table134[[#This Row],[avg_number_of_purchases]]*Table1345[[#This Row],[avg_purchase_value]]*Table1345[[#This Row],[expected_lifespan]]</f>
        <v>117281.08369408367</v>
      </c>
      <c r="N1397" t="s">
        <v>12047</v>
      </c>
    </row>
    <row r="1398" spans="1:14" x14ac:dyDescent="0.3">
      <c r="A1398" s="2" t="s">
        <v>1396</v>
      </c>
      <c r="B1398" s="2" t="s">
        <v>12040</v>
      </c>
      <c r="C1398" s="2">
        <v>20</v>
      </c>
      <c r="D1398" s="2" t="s">
        <v>12043</v>
      </c>
      <c r="E1398" s="2">
        <f>COUNTIF(Table16[customer_id],Table13[[#This Row],[customer_id]])</f>
        <v>2</v>
      </c>
      <c r="F1398" s="13">
        <f>SUMIFS(Table16[Purchase_history],Table16[customer_id],Table13[[#This Row],[customer_id]])</f>
        <v>1339.06</v>
      </c>
      <c r="G1398" s="20">
        <v>44363</v>
      </c>
      <c r="H1398" s="21">
        <v>44727</v>
      </c>
      <c r="I1398" s="15">
        <f>(Table134[[#This Row],[Last_Day]]-Table134[[#This Row],[First_Day]]+1)/365</f>
        <v>1</v>
      </c>
      <c r="J1398" s="59">
        <f>Table134[[#This Row],[number_of_purchases]]/Table134[[#This Row],[customer_total_years]]</f>
        <v>2</v>
      </c>
      <c r="K1398" s="13">
        <f>Table134[[#This Row],[purchase_history]]/Table134[[#This Row],[number_of_purchases]]</f>
        <v>669.53</v>
      </c>
      <c r="L1398" s="2">
        <f>IF(YEAR(Table134[[#This Row],[Last_Day]])=2021,5,IF(YEAR(Table134[[#This Row],[Last_Day]])=2022,7,IF(YEAR(Table134[[#This Row],[Last_Day]])=2023,10,"Không xác định")))</f>
        <v>7</v>
      </c>
      <c r="M1398" s="15">
        <f>Table134[[#This Row],[avg_number_of_purchases]]*Table1345[[#This Row],[avg_purchase_value]]*Table1345[[#This Row],[expected_lifespan]]</f>
        <v>9373.42</v>
      </c>
      <c r="N1398" t="s">
        <v>12047</v>
      </c>
    </row>
    <row r="1399" spans="1:14" x14ac:dyDescent="0.3">
      <c r="A1399" s="2" t="s">
        <v>1397</v>
      </c>
      <c r="B1399" s="2" t="s">
        <v>12045</v>
      </c>
      <c r="C1399" s="2">
        <v>30</v>
      </c>
      <c r="D1399" s="2" t="s">
        <v>12041</v>
      </c>
      <c r="E1399" s="2">
        <f>COUNTIF(Table16[customer_id],Table13[[#This Row],[customer_id]])</f>
        <v>3</v>
      </c>
      <c r="F1399" s="13">
        <f>SUMIFS(Table16[Purchase_history],Table16[customer_id],Table13[[#This Row],[customer_id]])</f>
        <v>1226.06</v>
      </c>
      <c r="G1399" s="20">
        <v>44484</v>
      </c>
      <c r="H1399" s="21">
        <v>44993</v>
      </c>
      <c r="I1399" s="15">
        <f>(Table134[[#This Row],[Last_Day]]-Table134[[#This Row],[First_Day]]+1)/365</f>
        <v>1.3972602739726028</v>
      </c>
      <c r="J1399" s="59">
        <f>Table134[[#This Row],[number_of_purchases]]/Table134[[#This Row],[customer_total_years]]</f>
        <v>2.1470588235294117</v>
      </c>
      <c r="K1399" s="13">
        <f>Table134[[#This Row],[purchase_history]]/Table134[[#This Row],[number_of_purchases]]</f>
        <v>408.68666666666667</v>
      </c>
      <c r="L1399" s="2">
        <f>IF(YEAR(Table134[[#This Row],[Last_Day]])=2021,5,IF(YEAR(Table134[[#This Row],[Last_Day]])=2022,7,IF(YEAR(Table134[[#This Row],[Last_Day]])=2023,10,"Không xác định")))</f>
        <v>10</v>
      </c>
      <c r="M1399" s="15">
        <f>Table134[[#This Row],[avg_number_of_purchases]]*Table1345[[#This Row],[avg_purchase_value]]*Table1345[[#This Row],[expected_lifespan]]</f>
        <v>8774.7431372549017</v>
      </c>
      <c r="N1399" t="s">
        <v>12046</v>
      </c>
    </row>
    <row r="1400" spans="1:14" x14ac:dyDescent="0.3">
      <c r="A1400" s="2" t="s">
        <v>1398</v>
      </c>
      <c r="B1400" s="2" t="s">
        <v>12040</v>
      </c>
      <c r="C1400" s="2">
        <v>57</v>
      </c>
      <c r="D1400" s="2" t="s">
        <v>12043</v>
      </c>
      <c r="E1400" s="2">
        <f>COUNTIF(Table16[customer_id],Table13[[#This Row],[customer_id]])</f>
        <v>6</v>
      </c>
      <c r="F1400" s="13">
        <f>SUMIFS(Table16[Purchase_history],Table16[customer_id],Table13[[#This Row],[customer_id]])</f>
        <v>3253.1099999999997</v>
      </c>
      <c r="G1400" s="20">
        <v>44730</v>
      </c>
      <c r="H1400" s="21">
        <v>44918</v>
      </c>
      <c r="I1400" s="15">
        <f>(Table134[[#This Row],[Last_Day]]-Table134[[#This Row],[First_Day]]+1)/365</f>
        <v>0.51780821917808217</v>
      </c>
      <c r="J1400" s="59">
        <f>Table134[[#This Row],[number_of_purchases]]/Table134[[#This Row],[customer_total_years]]</f>
        <v>11.587301587301587</v>
      </c>
      <c r="K1400" s="13">
        <f>Table134[[#This Row],[purchase_history]]/Table134[[#This Row],[number_of_purchases]]</f>
        <v>542.18499999999995</v>
      </c>
      <c r="L1400" s="2">
        <f>IF(YEAR(Table134[[#This Row],[Last_Day]])=2021,5,IF(YEAR(Table134[[#This Row],[Last_Day]])=2022,7,IF(YEAR(Table134[[#This Row],[Last_Day]])=2023,10,"Không xác định")))</f>
        <v>7</v>
      </c>
      <c r="M1400" s="15">
        <f>Table134[[#This Row],[avg_number_of_purchases]]*Table1345[[#This Row],[avg_purchase_value]]*Table1345[[#This Row],[expected_lifespan]]</f>
        <v>43977.227777777771</v>
      </c>
      <c r="N1400" t="s">
        <v>12047</v>
      </c>
    </row>
    <row r="1401" spans="1:14" x14ac:dyDescent="0.3">
      <c r="A1401" s="2" t="s">
        <v>1399</v>
      </c>
      <c r="B1401" s="2" t="s">
        <v>12045</v>
      </c>
      <c r="C1401" s="2">
        <v>42</v>
      </c>
      <c r="D1401" s="2" t="s">
        <v>12041</v>
      </c>
      <c r="E1401" s="2">
        <f>COUNTIF(Table16[customer_id],Table13[[#This Row],[customer_id]])</f>
        <v>4</v>
      </c>
      <c r="F1401" s="13">
        <f>SUMIFS(Table16[Purchase_history],Table16[customer_id],Table13[[#This Row],[customer_id]])</f>
        <v>10865.099999999999</v>
      </c>
      <c r="G1401" s="20">
        <v>44204</v>
      </c>
      <c r="H1401" s="21">
        <v>44939</v>
      </c>
      <c r="I1401" s="15">
        <f>(Table134[[#This Row],[Last_Day]]-Table134[[#This Row],[First_Day]]+1)/365</f>
        <v>2.0164383561643837</v>
      </c>
      <c r="J1401" s="59">
        <f>Table134[[#This Row],[number_of_purchases]]/Table134[[#This Row],[customer_total_years]]</f>
        <v>1.9836956521739129</v>
      </c>
      <c r="K1401" s="13">
        <f>Table134[[#This Row],[purchase_history]]/Table134[[#This Row],[number_of_purchases]]</f>
        <v>2716.2749999999996</v>
      </c>
      <c r="L1401" s="2">
        <f>IF(YEAR(Table134[[#This Row],[Last_Day]])=2021,5,IF(YEAR(Table134[[#This Row],[Last_Day]])=2022,7,IF(YEAR(Table134[[#This Row],[Last_Day]])=2023,10,"Không xác định")))</f>
        <v>10</v>
      </c>
      <c r="M1401" s="15">
        <f>Table134[[#This Row],[avg_number_of_purchases]]*Table1345[[#This Row],[avg_purchase_value]]*Table1345[[#This Row],[expected_lifespan]]</f>
        <v>53882.629076086945</v>
      </c>
      <c r="N1401" t="s">
        <v>12046</v>
      </c>
    </row>
    <row r="1402" spans="1:14" x14ac:dyDescent="0.3">
      <c r="A1402" s="2" t="s">
        <v>1400</v>
      </c>
      <c r="B1402" s="2" t="s">
        <v>12040</v>
      </c>
      <c r="C1402" s="2">
        <v>35</v>
      </c>
      <c r="D1402" s="2" t="s">
        <v>12049</v>
      </c>
      <c r="E1402" s="2">
        <f>COUNTIF(Table16[customer_id],Table13[[#This Row],[customer_id]])</f>
        <v>8</v>
      </c>
      <c r="F1402" s="13">
        <f>SUMIFS(Table16[Purchase_history],Table16[customer_id],Table13[[#This Row],[customer_id]])</f>
        <v>29380.12</v>
      </c>
      <c r="G1402" s="20">
        <v>44367</v>
      </c>
      <c r="H1402" s="21">
        <v>44896</v>
      </c>
      <c r="I1402" s="15">
        <f>(Table134[[#This Row],[Last_Day]]-Table134[[#This Row],[First_Day]]+1)/365</f>
        <v>1.452054794520548</v>
      </c>
      <c r="J1402" s="59">
        <f>Table134[[#This Row],[number_of_purchases]]/Table134[[#This Row],[customer_total_years]]</f>
        <v>5.5094339622641506</v>
      </c>
      <c r="K1402" s="13">
        <f>Table134[[#This Row],[purchase_history]]/Table134[[#This Row],[number_of_purchases]]</f>
        <v>3672.5149999999999</v>
      </c>
      <c r="L1402" s="2">
        <f>IF(YEAR(Table134[[#This Row],[Last_Day]])=2021,5,IF(YEAR(Table134[[#This Row],[Last_Day]])=2022,7,IF(YEAR(Table134[[#This Row],[Last_Day]])=2023,10,"Không xác định")))</f>
        <v>7</v>
      </c>
      <c r="M1402" s="15">
        <f>Table134[[#This Row],[avg_number_of_purchases]]*Table1345[[#This Row],[avg_purchase_value]]*Table1345[[#This Row],[expected_lifespan]]</f>
        <v>141634.35207547166</v>
      </c>
      <c r="N1402" t="s">
        <v>12046</v>
      </c>
    </row>
    <row r="1403" spans="1:14" x14ac:dyDescent="0.3">
      <c r="A1403" s="2" t="s">
        <v>1401</v>
      </c>
      <c r="B1403" s="2" t="s">
        <v>12045</v>
      </c>
      <c r="C1403" s="2">
        <v>25</v>
      </c>
      <c r="D1403" s="2" t="s">
        <v>12043</v>
      </c>
      <c r="E1403" s="2">
        <f>COUNTIF(Table16[customer_id],Table13[[#This Row],[customer_id]])</f>
        <v>3</v>
      </c>
      <c r="F1403" s="13">
        <f>SUMIFS(Table16[Purchase_history],Table16[customer_id],Table13[[#This Row],[customer_id]])</f>
        <v>1847.4099999999999</v>
      </c>
      <c r="G1403" s="20">
        <v>44565</v>
      </c>
      <c r="H1403" s="21">
        <v>44961</v>
      </c>
      <c r="I1403" s="15">
        <f>(Table134[[#This Row],[Last_Day]]-Table134[[#This Row],[First_Day]]+1)/365</f>
        <v>1.0876712328767124</v>
      </c>
      <c r="J1403" s="59">
        <f>Table134[[#This Row],[number_of_purchases]]/Table134[[#This Row],[customer_total_years]]</f>
        <v>2.7581863979848866</v>
      </c>
      <c r="K1403" s="13">
        <f>Table134[[#This Row],[purchase_history]]/Table134[[#This Row],[number_of_purchases]]</f>
        <v>615.80333333333328</v>
      </c>
      <c r="L1403" s="2">
        <f>IF(YEAR(Table134[[#This Row],[Last_Day]])=2021,5,IF(YEAR(Table134[[#This Row],[Last_Day]])=2022,7,IF(YEAR(Table134[[#This Row],[Last_Day]])=2023,10,"Không xác định")))</f>
        <v>10</v>
      </c>
      <c r="M1403" s="15">
        <f>Table134[[#This Row],[avg_number_of_purchases]]*Table1345[[#This Row],[avg_purchase_value]]*Table1345[[#This Row],[expected_lifespan]]</f>
        <v>16985.00377833753</v>
      </c>
      <c r="N1403" t="s">
        <v>12044</v>
      </c>
    </row>
    <row r="1404" spans="1:14" x14ac:dyDescent="0.3">
      <c r="A1404" s="2" t="s">
        <v>1402</v>
      </c>
      <c r="B1404" s="2" t="s">
        <v>12045</v>
      </c>
      <c r="C1404" s="2">
        <v>49</v>
      </c>
      <c r="D1404" s="2" t="s">
        <v>12041</v>
      </c>
      <c r="E1404" s="2">
        <f>COUNTIF(Table16[customer_id],Table13[[#This Row],[customer_id]])</f>
        <v>4</v>
      </c>
      <c r="F1404" s="13">
        <f>SUMIFS(Table16[Purchase_history],Table16[customer_id],Table13[[#This Row],[customer_id]])</f>
        <v>3616.11</v>
      </c>
      <c r="G1404" s="20">
        <v>44275</v>
      </c>
      <c r="H1404" s="21">
        <v>44969</v>
      </c>
      <c r="I1404" s="15">
        <f>(Table134[[#This Row],[Last_Day]]-Table134[[#This Row],[First_Day]]+1)/365</f>
        <v>1.904109589041096</v>
      </c>
      <c r="J1404" s="59">
        <f>Table134[[#This Row],[number_of_purchases]]/Table134[[#This Row],[customer_total_years]]</f>
        <v>2.1007194244604315</v>
      </c>
      <c r="K1404" s="13">
        <f>Table134[[#This Row],[purchase_history]]/Table134[[#This Row],[number_of_purchases]]</f>
        <v>904.02750000000003</v>
      </c>
      <c r="L1404" s="2">
        <f>IF(YEAR(Table134[[#This Row],[Last_Day]])=2021,5,IF(YEAR(Table134[[#This Row],[Last_Day]])=2022,7,IF(YEAR(Table134[[#This Row],[Last_Day]])=2023,10,"Không xác định")))</f>
        <v>10</v>
      </c>
      <c r="M1404" s="15">
        <f>Table134[[#This Row],[avg_number_of_purchases]]*Table1345[[#This Row],[avg_purchase_value]]*Table1345[[#This Row],[expected_lifespan]]</f>
        <v>18991.081294964028</v>
      </c>
      <c r="N1404" t="s">
        <v>12042</v>
      </c>
    </row>
    <row r="1405" spans="1:14" x14ac:dyDescent="0.3">
      <c r="A1405" s="2" t="s">
        <v>1403</v>
      </c>
      <c r="B1405" s="2" t="s">
        <v>12045</v>
      </c>
      <c r="C1405" s="2">
        <v>25</v>
      </c>
      <c r="D1405" s="2" t="s">
        <v>12043</v>
      </c>
      <c r="E1405" s="2">
        <f>COUNTIF(Table16[customer_id],Table13[[#This Row],[customer_id]])</f>
        <v>3</v>
      </c>
      <c r="F1405" s="13">
        <f>SUMIFS(Table16[Purchase_history],Table16[customer_id],Table13[[#This Row],[customer_id]])</f>
        <v>7802.08</v>
      </c>
      <c r="G1405" s="20">
        <v>44244</v>
      </c>
      <c r="H1405" s="21">
        <v>44774</v>
      </c>
      <c r="I1405" s="15">
        <f>(Table134[[#This Row],[Last_Day]]-Table134[[#This Row],[First_Day]]+1)/365</f>
        <v>1.4547945205479451</v>
      </c>
      <c r="J1405" s="59">
        <f>Table134[[#This Row],[number_of_purchases]]/Table134[[#This Row],[customer_total_years]]</f>
        <v>2.0621468926553672</v>
      </c>
      <c r="K1405" s="13">
        <f>Table134[[#This Row],[purchase_history]]/Table134[[#This Row],[number_of_purchases]]</f>
        <v>2600.6933333333332</v>
      </c>
      <c r="L1405" s="2">
        <f>IF(YEAR(Table134[[#This Row],[Last_Day]])=2021,5,IF(YEAR(Table134[[#This Row],[Last_Day]])=2022,7,IF(YEAR(Table134[[#This Row],[Last_Day]])=2023,10,"Không xác định")))</f>
        <v>7</v>
      </c>
      <c r="M1405" s="15">
        <f>Table134[[#This Row],[avg_number_of_purchases]]*Table1345[[#This Row],[avg_purchase_value]]*Table1345[[#This Row],[expected_lifespan]]</f>
        <v>37541.081732580038</v>
      </c>
      <c r="N1405" t="s">
        <v>12048</v>
      </c>
    </row>
    <row r="1406" spans="1:14" x14ac:dyDescent="0.3">
      <c r="A1406" s="2" t="s">
        <v>1404</v>
      </c>
      <c r="B1406" s="2" t="s">
        <v>12040</v>
      </c>
      <c r="C1406" s="2">
        <v>46</v>
      </c>
      <c r="D1406" s="2" t="s">
        <v>12049</v>
      </c>
      <c r="E1406" s="2">
        <f>COUNTIF(Table16[customer_id],Table13[[#This Row],[customer_id]])</f>
        <v>7</v>
      </c>
      <c r="F1406" s="13">
        <f>SUMIFS(Table16[Purchase_history],Table16[customer_id],Table13[[#This Row],[customer_id]])</f>
        <v>47011.59</v>
      </c>
      <c r="G1406" s="20">
        <v>44241</v>
      </c>
      <c r="H1406" s="21">
        <v>44953</v>
      </c>
      <c r="I1406" s="15">
        <f>(Table134[[#This Row],[Last_Day]]-Table134[[#This Row],[First_Day]]+1)/365</f>
        <v>1.9534246575342467</v>
      </c>
      <c r="J1406" s="59">
        <f>Table134[[#This Row],[number_of_purchases]]/Table134[[#This Row],[customer_total_years]]</f>
        <v>3.5834502103786816</v>
      </c>
      <c r="K1406" s="13">
        <f>Table134[[#This Row],[purchase_history]]/Table134[[#This Row],[number_of_purchases]]</f>
        <v>6715.9414285714283</v>
      </c>
      <c r="L1406" s="2">
        <f>IF(YEAR(Table134[[#This Row],[Last_Day]])=2021,5,IF(YEAR(Table134[[#This Row],[Last_Day]])=2022,7,IF(YEAR(Table134[[#This Row],[Last_Day]])=2023,10,"Không xác định")))</f>
        <v>10</v>
      </c>
      <c r="M1406" s="15">
        <f>Table134[[#This Row],[avg_number_of_purchases]]*Table1345[[#This Row],[avg_purchase_value]]*Table1345[[#This Row],[expected_lifespan]]</f>
        <v>240662.41725105187</v>
      </c>
      <c r="N1406" t="s">
        <v>12044</v>
      </c>
    </row>
    <row r="1407" spans="1:14" x14ac:dyDescent="0.3">
      <c r="A1407" s="2" t="s">
        <v>1405</v>
      </c>
      <c r="B1407" s="2" t="s">
        <v>12040</v>
      </c>
      <c r="C1407" s="2">
        <v>18</v>
      </c>
      <c r="D1407" s="2" t="s">
        <v>12049</v>
      </c>
      <c r="E1407" s="2">
        <f>COUNTIF(Table16[customer_id],Table13[[#This Row],[customer_id]])</f>
        <v>6</v>
      </c>
      <c r="F1407" s="13">
        <f>SUMIFS(Table16[Purchase_history],Table16[customer_id],Table13[[#This Row],[customer_id]])</f>
        <v>10994.97</v>
      </c>
      <c r="G1407" s="20">
        <v>44341</v>
      </c>
      <c r="H1407" s="21">
        <v>44975</v>
      </c>
      <c r="I1407" s="15">
        <f>(Table134[[#This Row],[Last_Day]]-Table134[[#This Row],[First_Day]]+1)/365</f>
        <v>1.7397260273972603</v>
      </c>
      <c r="J1407" s="59">
        <f>Table134[[#This Row],[number_of_purchases]]/Table134[[#This Row],[customer_total_years]]</f>
        <v>3.4488188976377949</v>
      </c>
      <c r="K1407" s="13">
        <f>Table134[[#This Row],[purchase_history]]/Table134[[#This Row],[number_of_purchases]]</f>
        <v>1832.4949999999999</v>
      </c>
      <c r="L1407" s="2">
        <f>IF(YEAR(Table134[[#This Row],[Last_Day]])=2021,5,IF(YEAR(Table134[[#This Row],[Last_Day]])=2022,7,IF(YEAR(Table134[[#This Row],[Last_Day]])=2023,10,"Không xác định")))</f>
        <v>10</v>
      </c>
      <c r="M1407" s="15">
        <f>Table134[[#This Row],[avg_number_of_purchases]]*Table1345[[#This Row],[avg_purchase_value]]*Table1345[[#This Row],[expected_lifespan]]</f>
        <v>63199.433858267701</v>
      </c>
      <c r="N1407" t="s">
        <v>12047</v>
      </c>
    </row>
    <row r="1408" spans="1:14" x14ac:dyDescent="0.3">
      <c r="A1408" s="2" t="s">
        <v>1406</v>
      </c>
      <c r="B1408" s="2" t="s">
        <v>12045</v>
      </c>
      <c r="C1408" s="2">
        <v>43</v>
      </c>
      <c r="D1408" s="2" t="s">
        <v>12043</v>
      </c>
      <c r="E1408" s="2">
        <f>COUNTIF(Table16[customer_id],Table13[[#This Row],[customer_id]])</f>
        <v>4</v>
      </c>
      <c r="F1408" s="13">
        <f>SUMIFS(Table16[Purchase_history],Table16[customer_id],Table13[[#This Row],[customer_id]])</f>
        <v>7847.97</v>
      </c>
      <c r="G1408" s="20">
        <v>44219</v>
      </c>
      <c r="H1408" s="21">
        <v>44874</v>
      </c>
      <c r="I1408" s="15">
        <f>(Table134[[#This Row],[Last_Day]]-Table134[[#This Row],[First_Day]]+1)/365</f>
        <v>1.7972602739726027</v>
      </c>
      <c r="J1408" s="59">
        <f>Table134[[#This Row],[number_of_purchases]]/Table134[[#This Row],[customer_total_years]]</f>
        <v>2.225609756097561</v>
      </c>
      <c r="K1408" s="13">
        <f>Table134[[#This Row],[purchase_history]]/Table134[[#This Row],[number_of_purchases]]</f>
        <v>1961.9925000000001</v>
      </c>
      <c r="L1408" s="2">
        <f>IF(YEAR(Table134[[#This Row],[Last_Day]])=2021,5,IF(YEAR(Table134[[#This Row],[Last_Day]])=2022,7,IF(YEAR(Table134[[#This Row],[Last_Day]])=2023,10,"Không xác định")))</f>
        <v>7</v>
      </c>
      <c r="M1408" s="15">
        <f>Table134[[#This Row],[avg_number_of_purchases]]*Table1345[[#This Row],[avg_purchase_value]]*Table1345[[#This Row],[expected_lifespan]]</f>
        <v>30566.407545731705</v>
      </c>
      <c r="N1408" t="s">
        <v>12048</v>
      </c>
    </row>
    <row r="1409" spans="1:14" x14ac:dyDescent="0.3">
      <c r="A1409" s="2" t="s">
        <v>1407</v>
      </c>
      <c r="B1409" s="2" t="s">
        <v>12040</v>
      </c>
      <c r="C1409" s="2">
        <v>55</v>
      </c>
      <c r="D1409" s="2" t="s">
        <v>12043</v>
      </c>
      <c r="E1409" s="2">
        <f>COUNTIF(Table16[customer_id],Table13[[#This Row],[customer_id]])</f>
        <v>7</v>
      </c>
      <c r="F1409" s="13">
        <f>SUMIFS(Table16[Purchase_history],Table16[customer_id],Table13[[#This Row],[customer_id]])</f>
        <v>18268.949999999997</v>
      </c>
      <c r="G1409" s="20">
        <v>44322</v>
      </c>
      <c r="H1409" s="21">
        <v>44986</v>
      </c>
      <c r="I1409" s="15">
        <f>(Table134[[#This Row],[Last_Day]]-Table134[[#This Row],[First_Day]]+1)/365</f>
        <v>1.821917808219178</v>
      </c>
      <c r="J1409" s="59">
        <f>Table134[[#This Row],[number_of_purchases]]/Table134[[#This Row],[customer_total_years]]</f>
        <v>3.8421052631578947</v>
      </c>
      <c r="K1409" s="13">
        <f>Table134[[#This Row],[purchase_history]]/Table134[[#This Row],[number_of_purchases]]</f>
        <v>2609.8499999999995</v>
      </c>
      <c r="L1409" s="2">
        <f>IF(YEAR(Table134[[#This Row],[Last_Day]])=2021,5,IF(YEAR(Table134[[#This Row],[Last_Day]])=2022,7,IF(YEAR(Table134[[#This Row],[Last_Day]])=2023,10,"Không xác định")))</f>
        <v>10</v>
      </c>
      <c r="M1409" s="15">
        <f>Table134[[#This Row],[avg_number_of_purchases]]*Table1345[[#This Row],[avg_purchase_value]]*Table1345[[#This Row],[expected_lifespan]]</f>
        <v>100273.18421052629</v>
      </c>
      <c r="N1409" t="s">
        <v>12046</v>
      </c>
    </row>
    <row r="1410" spans="1:14" x14ac:dyDescent="0.3">
      <c r="A1410" s="2" t="s">
        <v>1408</v>
      </c>
      <c r="B1410" s="2" t="s">
        <v>12045</v>
      </c>
      <c r="C1410" s="2">
        <v>48</v>
      </c>
      <c r="D1410" s="2" t="s">
        <v>12043</v>
      </c>
      <c r="E1410" s="2">
        <f>COUNTIF(Table16[customer_id],Table13[[#This Row],[customer_id]])</f>
        <v>3</v>
      </c>
      <c r="F1410" s="13">
        <f>SUMIFS(Table16[Purchase_history],Table16[customer_id],Table13[[#This Row],[customer_id]])</f>
        <v>26864.1</v>
      </c>
      <c r="G1410" s="20">
        <v>44443</v>
      </c>
      <c r="H1410" s="21">
        <v>44983</v>
      </c>
      <c r="I1410" s="15">
        <f>(Table134[[#This Row],[Last_Day]]-Table134[[#This Row],[First_Day]]+1)/365</f>
        <v>1.4821917808219178</v>
      </c>
      <c r="J1410" s="59">
        <f>Table134[[#This Row],[number_of_purchases]]/Table134[[#This Row],[customer_total_years]]</f>
        <v>2.0240295748613679</v>
      </c>
      <c r="K1410" s="13">
        <f>Table134[[#This Row],[purchase_history]]/Table134[[#This Row],[number_of_purchases]]</f>
        <v>8954.6999999999989</v>
      </c>
      <c r="L1410" s="2">
        <f>IF(YEAR(Table134[[#This Row],[Last_Day]])=2021,5,IF(YEAR(Table134[[#This Row],[Last_Day]])=2022,7,IF(YEAR(Table134[[#This Row],[Last_Day]])=2023,10,"Không xác định")))</f>
        <v>10</v>
      </c>
      <c r="M1410" s="15">
        <f>Table134[[#This Row],[avg_number_of_purchases]]*Table1345[[#This Row],[avg_purchase_value]]*Table1345[[#This Row],[expected_lifespan]]</f>
        <v>181245.7763401109</v>
      </c>
      <c r="N1410" t="s">
        <v>12046</v>
      </c>
    </row>
    <row r="1411" spans="1:14" x14ac:dyDescent="0.3">
      <c r="A1411" s="2" t="s">
        <v>1409</v>
      </c>
      <c r="B1411" s="2" t="s">
        <v>12045</v>
      </c>
      <c r="C1411" s="2">
        <v>67</v>
      </c>
      <c r="D1411" s="2" t="s">
        <v>12049</v>
      </c>
      <c r="E1411" s="2">
        <f>COUNTIF(Table16[customer_id],Table13[[#This Row],[customer_id]])</f>
        <v>4</v>
      </c>
      <c r="F1411" s="13">
        <f>SUMIFS(Table16[Purchase_history],Table16[customer_id],Table13[[#This Row],[customer_id]])</f>
        <v>7589.48</v>
      </c>
      <c r="G1411" s="20">
        <v>44306</v>
      </c>
      <c r="H1411" s="21">
        <v>44896</v>
      </c>
      <c r="I1411" s="15">
        <f>(Table134[[#This Row],[Last_Day]]-Table134[[#This Row],[First_Day]]+1)/365</f>
        <v>1.6191780821917807</v>
      </c>
      <c r="J1411" s="59">
        <f>Table134[[#This Row],[number_of_purchases]]/Table134[[#This Row],[customer_total_years]]</f>
        <v>2.4703891708967851</v>
      </c>
      <c r="K1411" s="13">
        <f>Table134[[#This Row],[purchase_history]]/Table134[[#This Row],[number_of_purchases]]</f>
        <v>1897.37</v>
      </c>
      <c r="L1411" s="2">
        <f>IF(YEAR(Table134[[#This Row],[Last_Day]])=2021,5,IF(YEAR(Table134[[#This Row],[Last_Day]])=2022,7,IF(YEAR(Table134[[#This Row],[Last_Day]])=2023,10,"Không xác định")))</f>
        <v>7</v>
      </c>
      <c r="M1411" s="15">
        <f>Table134[[#This Row],[avg_number_of_purchases]]*Table1345[[#This Row],[avg_purchase_value]]*Table1345[[#This Row],[expected_lifespan]]</f>
        <v>32810.696108291027</v>
      </c>
      <c r="N1411" t="s">
        <v>12046</v>
      </c>
    </row>
    <row r="1412" spans="1:14" x14ac:dyDescent="0.3">
      <c r="A1412" s="2" t="s">
        <v>1410</v>
      </c>
      <c r="B1412" s="2" t="s">
        <v>12045</v>
      </c>
      <c r="C1412" s="2">
        <v>68</v>
      </c>
      <c r="D1412" s="2" t="s">
        <v>12049</v>
      </c>
      <c r="E1412" s="2">
        <f>COUNTIF(Table16[customer_id],Table13[[#This Row],[customer_id]])</f>
        <v>5</v>
      </c>
      <c r="F1412" s="13">
        <f>SUMIFS(Table16[Purchase_history],Table16[customer_id],Table13[[#This Row],[customer_id]])</f>
        <v>2673.4</v>
      </c>
      <c r="G1412" s="20">
        <v>44242</v>
      </c>
      <c r="H1412" s="21">
        <v>44753</v>
      </c>
      <c r="I1412" s="15">
        <f>(Table134[[#This Row],[Last_Day]]-Table134[[#This Row],[First_Day]]+1)/365</f>
        <v>1.4027397260273973</v>
      </c>
      <c r="J1412" s="59">
        <f>Table134[[#This Row],[number_of_purchases]]/Table134[[#This Row],[customer_total_years]]</f>
        <v>3.564453125</v>
      </c>
      <c r="K1412" s="13">
        <f>Table134[[#This Row],[purchase_history]]/Table134[[#This Row],[number_of_purchases]]</f>
        <v>534.68000000000006</v>
      </c>
      <c r="L1412" s="2">
        <f>IF(YEAR(Table134[[#This Row],[Last_Day]])=2021,5,IF(YEAR(Table134[[#This Row],[Last_Day]])=2022,7,IF(YEAR(Table134[[#This Row],[Last_Day]])=2023,10,"Không xác định")))</f>
        <v>7</v>
      </c>
      <c r="M1412" s="15">
        <f>Table134[[#This Row],[avg_number_of_purchases]]*Table1345[[#This Row],[avg_purchase_value]]*Table1345[[#This Row],[expected_lifespan]]</f>
        <v>13340.892578125002</v>
      </c>
      <c r="N1412" t="s">
        <v>12047</v>
      </c>
    </row>
    <row r="1413" spans="1:14" x14ac:dyDescent="0.3">
      <c r="A1413" s="2" t="s">
        <v>1411</v>
      </c>
      <c r="B1413" s="2" t="s">
        <v>12045</v>
      </c>
      <c r="C1413" s="2">
        <v>65</v>
      </c>
      <c r="D1413" s="2" t="s">
        <v>12043</v>
      </c>
      <c r="E1413" s="2">
        <f>COUNTIF(Table16[customer_id],Table13[[#This Row],[customer_id]])</f>
        <v>3</v>
      </c>
      <c r="F1413" s="13">
        <f>SUMIFS(Table16[Purchase_history],Table16[customer_id],Table13[[#This Row],[customer_id]])</f>
        <v>12343.939999999999</v>
      </c>
      <c r="G1413" s="20">
        <v>44617</v>
      </c>
      <c r="H1413" s="21">
        <v>44853</v>
      </c>
      <c r="I1413" s="15">
        <f>(Table134[[#This Row],[Last_Day]]-Table134[[#This Row],[First_Day]]+1)/365</f>
        <v>0.64931506849315068</v>
      </c>
      <c r="J1413" s="59">
        <f>Table134[[#This Row],[number_of_purchases]]/Table134[[#This Row],[customer_total_years]]</f>
        <v>4.6202531645569618</v>
      </c>
      <c r="K1413" s="13">
        <f>Table134[[#This Row],[purchase_history]]/Table134[[#This Row],[number_of_purchases]]</f>
        <v>4114.6466666666665</v>
      </c>
      <c r="L1413" s="2">
        <f>IF(YEAR(Table134[[#This Row],[Last_Day]])=2021,5,IF(YEAR(Table134[[#This Row],[Last_Day]])=2022,7,IF(YEAR(Table134[[#This Row],[Last_Day]])=2023,10,"Không xác định")))</f>
        <v>7</v>
      </c>
      <c r="M1413" s="15">
        <f>Table134[[#This Row],[avg_number_of_purchases]]*Table1345[[#This Row],[avg_purchase_value]]*Table1345[[#This Row],[expected_lifespan]]</f>
        <v>133074.96497890295</v>
      </c>
      <c r="N1413" t="s">
        <v>12047</v>
      </c>
    </row>
    <row r="1414" spans="1:14" x14ac:dyDescent="0.3">
      <c r="A1414" s="2" t="s">
        <v>1412</v>
      </c>
      <c r="B1414" s="2" t="s">
        <v>12040</v>
      </c>
      <c r="C1414" s="2">
        <v>51</v>
      </c>
      <c r="D1414" s="2" t="s">
        <v>12041</v>
      </c>
      <c r="E1414" s="2">
        <f>COUNTIF(Table16[customer_id],Table13[[#This Row],[customer_id]])</f>
        <v>4</v>
      </c>
      <c r="F1414" s="13">
        <f>SUMIFS(Table16[Purchase_history],Table16[customer_id],Table13[[#This Row],[customer_id]])</f>
        <v>12350.849999999999</v>
      </c>
      <c r="G1414" s="20">
        <v>44875</v>
      </c>
      <c r="H1414" s="21">
        <v>44983</v>
      </c>
      <c r="I1414" s="15">
        <f>(Table134[[#This Row],[Last_Day]]-Table134[[#This Row],[First_Day]]+1)/365</f>
        <v>0.29863013698630136</v>
      </c>
      <c r="J1414" s="59">
        <f>Table134[[#This Row],[number_of_purchases]]/Table134[[#This Row],[customer_total_years]]</f>
        <v>13.394495412844037</v>
      </c>
      <c r="K1414" s="13">
        <f>Table134[[#This Row],[purchase_history]]/Table134[[#This Row],[number_of_purchases]]</f>
        <v>3087.7124999999996</v>
      </c>
      <c r="L1414" s="2">
        <f>IF(YEAR(Table134[[#This Row],[Last_Day]])=2021,5,IF(YEAR(Table134[[#This Row],[Last_Day]])=2022,7,IF(YEAR(Table134[[#This Row],[Last_Day]])=2023,10,"Không xác định")))</f>
        <v>10</v>
      </c>
      <c r="M1414" s="15">
        <f>Table134[[#This Row],[avg_number_of_purchases]]*Table1345[[#This Row],[avg_purchase_value]]*Table1345[[#This Row],[expected_lifespan]]</f>
        <v>413583.50917431188</v>
      </c>
      <c r="N1414" t="s">
        <v>12042</v>
      </c>
    </row>
    <row r="1415" spans="1:14" x14ac:dyDescent="0.3">
      <c r="A1415" s="2" t="s">
        <v>1413</v>
      </c>
      <c r="B1415" s="2" t="s">
        <v>12045</v>
      </c>
      <c r="C1415" s="2">
        <v>40</v>
      </c>
      <c r="D1415" s="2" t="s">
        <v>12043</v>
      </c>
      <c r="E1415" s="2">
        <f>COUNTIF(Table16[customer_id],Table13[[#This Row],[customer_id]])</f>
        <v>4</v>
      </c>
      <c r="F1415" s="13">
        <f>SUMIFS(Table16[Purchase_history],Table16[customer_id],Table13[[#This Row],[customer_id]])</f>
        <v>6188.95</v>
      </c>
      <c r="G1415" s="20">
        <v>44214</v>
      </c>
      <c r="H1415" s="21">
        <v>44941</v>
      </c>
      <c r="I1415" s="15">
        <f>(Table134[[#This Row],[Last_Day]]-Table134[[#This Row],[First_Day]]+1)/365</f>
        <v>1.9945205479452055</v>
      </c>
      <c r="J1415" s="59">
        <f>Table134[[#This Row],[number_of_purchases]]/Table134[[#This Row],[customer_total_years]]</f>
        <v>2.0054945054945055</v>
      </c>
      <c r="K1415" s="13">
        <f>Table134[[#This Row],[purchase_history]]/Table134[[#This Row],[number_of_purchases]]</f>
        <v>1547.2375</v>
      </c>
      <c r="L1415" s="2">
        <f>IF(YEAR(Table134[[#This Row],[Last_Day]])=2021,5,IF(YEAR(Table134[[#This Row],[Last_Day]])=2022,7,IF(YEAR(Table134[[#This Row],[Last_Day]])=2023,10,"Không xác định")))</f>
        <v>10</v>
      </c>
      <c r="M1415" s="15">
        <f>Table134[[#This Row],[avg_number_of_purchases]]*Table1345[[#This Row],[avg_purchase_value]]*Table1345[[#This Row],[expected_lifespan]]</f>
        <v>31029.76304945055</v>
      </c>
      <c r="N1415" t="s">
        <v>12047</v>
      </c>
    </row>
    <row r="1416" spans="1:14" x14ac:dyDescent="0.3">
      <c r="A1416" s="2" t="s">
        <v>1414</v>
      </c>
      <c r="B1416" s="2" t="s">
        <v>12040</v>
      </c>
      <c r="C1416" s="2">
        <v>19</v>
      </c>
      <c r="D1416" s="2" t="s">
        <v>12049</v>
      </c>
      <c r="E1416" s="2">
        <f>COUNTIF(Table16[customer_id],Table13[[#This Row],[customer_id]])</f>
        <v>7</v>
      </c>
      <c r="F1416" s="13">
        <f>SUMIFS(Table16[Purchase_history],Table16[customer_id],Table13[[#This Row],[customer_id]])</f>
        <v>63475.48</v>
      </c>
      <c r="G1416" s="20">
        <v>44467</v>
      </c>
      <c r="H1416" s="21">
        <v>44969</v>
      </c>
      <c r="I1416" s="15">
        <f>(Table134[[#This Row],[Last_Day]]-Table134[[#This Row],[First_Day]]+1)/365</f>
        <v>1.3780821917808219</v>
      </c>
      <c r="J1416" s="59">
        <f>Table134[[#This Row],[number_of_purchases]]/Table134[[#This Row],[customer_total_years]]</f>
        <v>5.0795228628230618</v>
      </c>
      <c r="K1416" s="13">
        <f>Table134[[#This Row],[purchase_history]]/Table134[[#This Row],[number_of_purchases]]</f>
        <v>9067.925714285715</v>
      </c>
      <c r="L1416" s="2">
        <f>IF(YEAR(Table134[[#This Row],[Last_Day]])=2021,5,IF(YEAR(Table134[[#This Row],[Last_Day]])=2022,7,IF(YEAR(Table134[[#This Row],[Last_Day]])=2023,10,"Không xác định")))</f>
        <v>10</v>
      </c>
      <c r="M1416" s="15">
        <f>Table134[[#This Row],[avg_number_of_purchases]]*Table1345[[#This Row],[avg_purchase_value]]*Table1345[[#This Row],[expected_lifespan]]</f>
        <v>460607.3598409543</v>
      </c>
      <c r="N1416" t="s">
        <v>12048</v>
      </c>
    </row>
    <row r="1417" spans="1:14" x14ac:dyDescent="0.3">
      <c r="A1417" s="2" t="s">
        <v>1415</v>
      </c>
      <c r="B1417" s="2" t="s">
        <v>12045</v>
      </c>
      <c r="C1417" s="2">
        <v>61</v>
      </c>
      <c r="D1417" s="2" t="s">
        <v>12043</v>
      </c>
      <c r="E1417" s="2">
        <f>COUNTIF(Table16[customer_id],Table13[[#This Row],[customer_id]])</f>
        <v>9</v>
      </c>
      <c r="F1417" s="13">
        <f>SUMIFS(Table16[Purchase_history],Table16[customer_id],Table13[[#This Row],[customer_id]])</f>
        <v>9934.89</v>
      </c>
      <c r="G1417" s="20">
        <v>44515</v>
      </c>
      <c r="H1417" s="21">
        <v>44991</v>
      </c>
      <c r="I1417" s="15">
        <f>(Table134[[#This Row],[Last_Day]]-Table134[[#This Row],[First_Day]]+1)/365</f>
        <v>1.3068493150684932</v>
      </c>
      <c r="J1417" s="59">
        <f>Table134[[#This Row],[number_of_purchases]]/Table134[[#This Row],[customer_total_years]]</f>
        <v>6.8867924528301883</v>
      </c>
      <c r="K1417" s="13">
        <f>Table134[[#This Row],[purchase_history]]/Table134[[#This Row],[number_of_purchases]]</f>
        <v>1103.8766666666666</v>
      </c>
      <c r="L1417" s="2">
        <f>IF(YEAR(Table134[[#This Row],[Last_Day]])=2021,5,IF(YEAR(Table134[[#This Row],[Last_Day]])=2022,7,IF(YEAR(Table134[[#This Row],[Last_Day]])=2023,10,"Không xác định")))</f>
        <v>10</v>
      </c>
      <c r="M1417" s="15">
        <f>Table134[[#This Row],[avg_number_of_purchases]]*Table1345[[#This Row],[avg_purchase_value]]*Table1345[[#This Row],[expected_lifespan]]</f>
        <v>76021.694968553449</v>
      </c>
      <c r="N1417" t="s">
        <v>12042</v>
      </c>
    </row>
    <row r="1418" spans="1:14" x14ac:dyDescent="0.3">
      <c r="A1418" s="2" t="s">
        <v>1416</v>
      </c>
      <c r="B1418" s="2" t="s">
        <v>12045</v>
      </c>
      <c r="C1418" s="2">
        <v>61</v>
      </c>
      <c r="D1418" s="2" t="s">
        <v>12043</v>
      </c>
      <c r="E1418" s="2">
        <f>COUNTIF(Table16[customer_id],Table13[[#This Row],[customer_id]])</f>
        <v>4</v>
      </c>
      <c r="F1418" s="13">
        <f>SUMIFS(Table16[Purchase_history],Table16[customer_id],Table13[[#This Row],[customer_id]])</f>
        <v>15651.24</v>
      </c>
      <c r="G1418" s="20">
        <v>44234</v>
      </c>
      <c r="H1418" s="21">
        <v>44825</v>
      </c>
      <c r="I1418" s="15">
        <f>(Table134[[#This Row],[Last_Day]]-Table134[[#This Row],[First_Day]]+1)/365</f>
        <v>1.6219178082191781</v>
      </c>
      <c r="J1418" s="59">
        <f>Table134[[#This Row],[number_of_purchases]]/Table134[[#This Row],[customer_total_years]]</f>
        <v>2.4662162162162162</v>
      </c>
      <c r="K1418" s="13">
        <f>Table134[[#This Row],[purchase_history]]/Table134[[#This Row],[number_of_purchases]]</f>
        <v>3912.81</v>
      </c>
      <c r="L1418" s="2">
        <f>IF(YEAR(Table134[[#This Row],[Last_Day]])=2021,5,IF(YEAR(Table134[[#This Row],[Last_Day]])=2022,7,IF(YEAR(Table134[[#This Row],[Last_Day]])=2023,10,"Không xác định")))</f>
        <v>7</v>
      </c>
      <c r="M1418" s="15">
        <f>Table134[[#This Row],[avg_number_of_purchases]]*Table1345[[#This Row],[avg_purchase_value]]*Table1345[[#This Row],[expected_lifespan]]</f>
        <v>67548.848310810805</v>
      </c>
      <c r="N1418" t="s">
        <v>12042</v>
      </c>
    </row>
    <row r="1419" spans="1:14" x14ac:dyDescent="0.3">
      <c r="A1419" s="2" t="s">
        <v>1417</v>
      </c>
      <c r="B1419" s="2" t="s">
        <v>12045</v>
      </c>
      <c r="C1419" s="2">
        <v>29</v>
      </c>
      <c r="D1419" s="2" t="s">
        <v>12043</v>
      </c>
      <c r="E1419" s="2">
        <f>COUNTIF(Table16[customer_id],Table13[[#This Row],[customer_id]])</f>
        <v>7</v>
      </c>
      <c r="F1419" s="13">
        <f>SUMIFS(Table16[Purchase_history],Table16[customer_id],Table13[[#This Row],[customer_id]])</f>
        <v>30150.95</v>
      </c>
      <c r="G1419" s="20">
        <v>44317</v>
      </c>
      <c r="H1419" s="21">
        <v>44861</v>
      </c>
      <c r="I1419" s="15">
        <f>(Table134[[#This Row],[Last_Day]]-Table134[[#This Row],[First_Day]]+1)/365</f>
        <v>1.4931506849315068</v>
      </c>
      <c r="J1419" s="59">
        <f>Table134[[#This Row],[number_of_purchases]]/Table134[[#This Row],[customer_total_years]]</f>
        <v>4.6880733944954125</v>
      </c>
      <c r="K1419" s="13">
        <f>Table134[[#This Row],[purchase_history]]/Table134[[#This Row],[number_of_purchases]]</f>
        <v>4307.2785714285719</v>
      </c>
      <c r="L1419" s="2">
        <f>IF(YEAR(Table134[[#This Row],[Last_Day]])=2021,5,IF(YEAR(Table134[[#This Row],[Last_Day]])=2022,7,IF(YEAR(Table134[[#This Row],[Last_Day]])=2023,10,"Không xác định")))</f>
        <v>7</v>
      </c>
      <c r="M1419" s="15">
        <f>Table134[[#This Row],[avg_number_of_purchases]]*Table1345[[#This Row],[avg_purchase_value]]*Table1345[[#This Row],[expected_lifespan]]</f>
        <v>141349.86651376149</v>
      </c>
      <c r="N1419" t="s">
        <v>12044</v>
      </c>
    </row>
    <row r="1420" spans="1:14" x14ac:dyDescent="0.3">
      <c r="A1420" s="2" t="s">
        <v>1418</v>
      </c>
      <c r="B1420" s="2" t="s">
        <v>12040</v>
      </c>
      <c r="C1420" s="2">
        <v>24</v>
      </c>
      <c r="D1420" s="2" t="s">
        <v>12049</v>
      </c>
      <c r="E1420" s="2">
        <f>COUNTIF(Table16[customer_id],Table13[[#This Row],[customer_id]])</f>
        <v>6</v>
      </c>
      <c r="F1420" s="13">
        <f>SUMIFS(Table16[Purchase_history],Table16[customer_id],Table13[[#This Row],[customer_id]])</f>
        <v>19744.04</v>
      </c>
      <c r="G1420" s="20">
        <v>44200</v>
      </c>
      <c r="H1420" s="21">
        <v>44745</v>
      </c>
      <c r="I1420" s="15">
        <f>(Table134[[#This Row],[Last_Day]]-Table134[[#This Row],[First_Day]]+1)/365</f>
        <v>1.4958904109589042</v>
      </c>
      <c r="J1420" s="59">
        <f>Table134[[#This Row],[number_of_purchases]]/Table134[[#This Row],[customer_total_years]]</f>
        <v>4.0109890109890109</v>
      </c>
      <c r="K1420" s="13">
        <f>Table134[[#This Row],[purchase_history]]/Table134[[#This Row],[number_of_purchases]]</f>
        <v>3290.6733333333336</v>
      </c>
      <c r="L1420" s="2">
        <f>IF(YEAR(Table134[[#This Row],[Last_Day]])=2021,5,IF(YEAR(Table134[[#This Row],[Last_Day]])=2022,7,IF(YEAR(Table134[[#This Row],[Last_Day]])=2023,10,"Không xác định")))</f>
        <v>7</v>
      </c>
      <c r="M1420" s="15">
        <f>Table134[[#This Row],[avg_number_of_purchases]]*Table1345[[#This Row],[avg_purchase_value]]*Table1345[[#This Row],[expected_lifespan]]</f>
        <v>92391.982051282059</v>
      </c>
      <c r="N1420" t="s">
        <v>12047</v>
      </c>
    </row>
    <row r="1421" spans="1:14" x14ac:dyDescent="0.3">
      <c r="A1421" s="2" t="s">
        <v>1419</v>
      </c>
      <c r="B1421" s="2" t="s">
        <v>12040</v>
      </c>
      <c r="C1421" s="2">
        <v>62</v>
      </c>
      <c r="D1421" s="2" t="s">
        <v>12041</v>
      </c>
      <c r="E1421" s="2">
        <f>COUNTIF(Table16[customer_id],Table13[[#This Row],[customer_id]])</f>
        <v>3</v>
      </c>
      <c r="F1421" s="13">
        <f>SUMIFS(Table16[Purchase_history],Table16[customer_id],Table13[[#This Row],[customer_id]])</f>
        <v>4116.66</v>
      </c>
      <c r="G1421" s="20">
        <v>44459</v>
      </c>
      <c r="H1421" s="21">
        <v>44534</v>
      </c>
      <c r="I1421" s="15">
        <f>(Table134[[#This Row],[Last_Day]]-Table134[[#This Row],[First_Day]]+1)/365</f>
        <v>0.20821917808219179</v>
      </c>
      <c r="J1421" s="59">
        <f>Table134[[#This Row],[number_of_purchases]]/Table134[[#This Row],[customer_total_years]]</f>
        <v>14.407894736842104</v>
      </c>
      <c r="K1421" s="13">
        <f>Table134[[#This Row],[purchase_history]]/Table134[[#This Row],[number_of_purchases]]</f>
        <v>1372.22</v>
      </c>
      <c r="L1421" s="2">
        <f>IF(YEAR(Table134[[#This Row],[Last_Day]])=2021,5,IF(YEAR(Table134[[#This Row],[Last_Day]])=2022,7,IF(YEAR(Table134[[#This Row],[Last_Day]])=2023,10,"Không xác định")))</f>
        <v>5</v>
      </c>
      <c r="M1421" s="15">
        <f>Table134[[#This Row],[avg_number_of_purchases]]*Table1345[[#This Row],[avg_purchase_value]]*Table1345[[#This Row],[expected_lifespan]]</f>
        <v>98854.006578947359</v>
      </c>
      <c r="N1421" t="s">
        <v>12044</v>
      </c>
    </row>
    <row r="1422" spans="1:14" x14ac:dyDescent="0.3">
      <c r="A1422" s="2" t="s">
        <v>1420</v>
      </c>
      <c r="B1422" s="2" t="s">
        <v>12040</v>
      </c>
      <c r="C1422" s="2">
        <v>64</v>
      </c>
      <c r="D1422" s="2" t="s">
        <v>12041</v>
      </c>
      <c r="E1422" s="2">
        <f>COUNTIF(Table16[customer_id],Table13[[#This Row],[customer_id]])</f>
        <v>9</v>
      </c>
      <c r="F1422" s="13">
        <f>SUMIFS(Table16[Purchase_history],Table16[customer_id],Table13[[#This Row],[customer_id]])</f>
        <v>23268.22</v>
      </c>
      <c r="G1422" s="20">
        <v>44313</v>
      </c>
      <c r="H1422" s="21">
        <v>44954</v>
      </c>
      <c r="I1422" s="15">
        <f>(Table134[[#This Row],[Last_Day]]-Table134[[#This Row],[First_Day]]+1)/365</f>
        <v>1.7589041095890412</v>
      </c>
      <c r="J1422" s="59">
        <f>Table134[[#This Row],[number_of_purchases]]/Table134[[#This Row],[customer_total_years]]</f>
        <v>5.1168224299065415</v>
      </c>
      <c r="K1422" s="13">
        <f>Table134[[#This Row],[purchase_history]]/Table134[[#This Row],[number_of_purchases]]</f>
        <v>2585.3577777777778</v>
      </c>
      <c r="L1422" s="2">
        <f>IF(YEAR(Table134[[#This Row],[Last_Day]])=2021,5,IF(YEAR(Table134[[#This Row],[Last_Day]])=2022,7,IF(YEAR(Table134[[#This Row],[Last_Day]])=2023,10,"Không xác định")))</f>
        <v>10</v>
      </c>
      <c r="M1422" s="15">
        <f>Table134[[#This Row],[avg_number_of_purchases]]*Table1345[[#This Row],[avg_purchase_value]]*Table1345[[#This Row],[expected_lifespan]]</f>
        <v>132288.16666666666</v>
      </c>
      <c r="N1422" t="s">
        <v>12044</v>
      </c>
    </row>
    <row r="1423" spans="1:14" x14ac:dyDescent="0.3">
      <c r="A1423" s="2" t="s">
        <v>1421</v>
      </c>
      <c r="B1423" s="2" t="s">
        <v>12040</v>
      </c>
      <c r="C1423" s="2">
        <v>33</v>
      </c>
      <c r="D1423" s="2" t="s">
        <v>12041</v>
      </c>
      <c r="E1423" s="2">
        <f>COUNTIF(Table16[customer_id],Table13[[#This Row],[customer_id]])</f>
        <v>5</v>
      </c>
      <c r="F1423" s="13">
        <f>SUMIFS(Table16[Purchase_history],Table16[customer_id],Table13[[#This Row],[customer_id]])</f>
        <v>14205.01</v>
      </c>
      <c r="G1423" s="20">
        <v>44291</v>
      </c>
      <c r="H1423" s="21">
        <v>44768</v>
      </c>
      <c r="I1423" s="15">
        <f>(Table134[[#This Row],[Last_Day]]-Table134[[#This Row],[First_Day]]+1)/365</f>
        <v>1.3095890410958904</v>
      </c>
      <c r="J1423" s="59">
        <f>Table134[[#This Row],[number_of_purchases]]/Table134[[#This Row],[customer_total_years]]</f>
        <v>3.8179916317991633</v>
      </c>
      <c r="K1423" s="13">
        <f>Table134[[#This Row],[purchase_history]]/Table134[[#This Row],[number_of_purchases]]</f>
        <v>2841.002</v>
      </c>
      <c r="L1423" s="2">
        <f>IF(YEAR(Table134[[#This Row],[Last_Day]])=2021,5,IF(YEAR(Table134[[#This Row],[Last_Day]])=2022,7,IF(YEAR(Table134[[#This Row],[Last_Day]])=2023,10,"Không xác định")))</f>
        <v>7</v>
      </c>
      <c r="M1423" s="15">
        <f>Table134[[#This Row],[avg_number_of_purchases]]*Table1345[[#This Row],[avg_purchase_value]]*Table1345[[#This Row],[expected_lifespan]]</f>
        <v>75928.453033472804</v>
      </c>
      <c r="N1423" t="s">
        <v>12042</v>
      </c>
    </row>
    <row r="1424" spans="1:14" x14ac:dyDescent="0.3">
      <c r="A1424" s="2" t="s">
        <v>1422</v>
      </c>
      <c r="B1424" s="2" t="s">
        <v>12040</v>
      </c>
      <c r="C1424" s="2">
        <v>49</v>
      </c>
      <c r="D1424" s="2" t="s">
        <v>12041</v>
      </c>
      <c r="E1424" s="2">
        <f>COUNTIF(Table16[customer_id],Table13[[#This Row],[customer_id]])</f>
        <v>4</v>
      </c>
      <c r="F1424" s="13">
        <f>SUMIFS(Table16[Purchase_history],Table16[customer_id],Table13[[#This Row],[customer_id]])</f>
        <v>1561.9799999999998</v>
      </c>
      <c r="G1424" s="20">
        <v>44292</v>
      </c>
      <c r="H1424" s="21">
        <v>44987</v>
      </c>
      <c r="I1424" s="15">
        <f>(Table134[[#This Row],[Last_Day]]-Table134[[#This Row],[First_Day]]+1)/365</f>
        <v>1.9068493150684931</v>
      </c>
      <c r="J1424" s="59">
        <f>Table134[[#This Row],[number_of_purchases]]/Table134[[#This Row],[customer_total_years]]</f>
        <v>2.0977011494252875</v>
      </c>
      <c r="K1424" s="13">
        <f>Table134[[#This Row],[purchase_history]]/Table134[[#This Row],[number_of_purchases]]</f>
        <v>390.49499999999995</v>
      </c>
      <c r="L1424" s="2">
        <f>IF(YEAR(Table134[[#This Row],[Last_Day]])=2021,5,IF(YEAR(Table134[[#This Row],[Last_Day]])=2022,7,IF(YEAR(Table134[[#This Row],[Last_Day]])=2023,10,"Không xác định")))</f>
        <v>10</v>
      </c>
      <c r="M1424" s="15">
        <f>Table134[[#This Row],[avg_number_of_purchases]]*Table1345[[#This Row],[avg_purchase_value]]*Table1345[[#This Row],[expected_lifespan]]</f>
        <v>8191.4181034482754</v>
      </c>
      <c r="N1424" t="s">
        <v>12042</v>
      </c>
    </row>
    <row r="1425" spans="1:14" x14ac:dyDescent="0.3">
      <c r="A1425" s="2" t="s">
        <v>1423</v>
      </c>
      <c r="B1425" s="2" t="s">
        <v>12045</v>
      </c>
      <c r="C1425" s="2">
        <v>54</v>
      </c>
      <c r="D1425" s="2" t="s">
        <v>12049</v>
      </c>
      <c r="E1425" s="2">
        <f>COUNTIF(Table16[customer_id],Table13[[#This Row],[customer_id]])</f>
        <v>3</v>
      </c>
      <c r="F1425" s="13">
        <f>SUMIFS(Table16[Purchase_history],Table16[customer_id],Table13[[#This Row],[customer_id]])</f>
        <v>5854.84</v>
      </c>
      <c r="G1425" s="20">
        <v>44465</v>
      </c>
      <c r="H1425" s="21">
        <v>44982</v>
      </c>
      <c r="I1425" s="15">
        <f>(Table134[[#This Row],[Last_Day]]-Table134[[#This Row],[First_Day]]+1)/365</f>
        <v>1.4191780821917808</v>
      </c>
      <c r="J1425" s="59">
        <f>Table134[[#This Row],[number_of_purchases]]/Table134[[#This Row],[customer_total_years]]</f>
        <v>2.1138996138996138</v>
      </c>
      <c r="K1425" s="13">
        <f>Table134[[#This Row],[purchase_history]]/Table134[[#This Row],[number_of_purchases]]</f>
        <v>1951.6133333333335</v>
      </c>
      <c r="L1425" s="2">
        <f>IF(YEAR(Table134[[#This Row],[Last_Day]])=2021,5,IF(YEAR(Table134[[#This Row],[Last_Day]])=2022,7,IF(YEAR(Table134[[#This Row],[Last_Day]])=2023,10,"Không xác định")))</f>
        <v>10</v>
      </c>
      <c r="M1425" s="15">
        <f>Table134[[#This Row],[avg_number_of_purchases]]*Table1345[[#This Row],[avg_purchase_value]]*Table1345[[#This Row],[expected_lifespan]]</f>
        <v>41255.146718146716</v>
      </c>
      <c r="N1425" t="s">
        <v>12042</v>
      </c>
    </row>
    <row r="1426" spans="1:14" x14ac:dyDescent="0.3">
      <c r="A1426" s="2" t="s">
        <v>1424</v>
      </c>
      <c r="B1426" s="2" t="s">
        <v>12045</v>
      </c>
      <c r="C1426" s="2">
        <v>42</v>
      </c>
      <c r="D1426" s="2" t="s">
        <v>12041</v>
      </c>
      <c r="E1426" s="2">
        <f>COUNTIF(Table16[customer_id],Table13[[#This Row],[customer_id]])</f>
        <v>2</v>
      </c>
      <c r="F1426" s="13">
        <f>SUMIFS(Table16[Purchase_history],Table16[customer_id],Table13[[#This Row],[customer_id]])</f>
        <v>1236.1599999999999</v>
      </c>
      <c r="G1426" s="20">
        <v>44342</v>
      </c>
      <c r="H1426" s="21">
        <v>44775</v>
      </c>
      <c r="I1426" s="15">
        <f>(Table134[[#This Row],[Last_Day]]-Table134[[#This Row],[First_Day]]+1)/365</f>
        <v>1.189041095890411</v>
      </c>
      <c r="J1426" s="59">
        <f>Table134[[#This Row],[number_of_purchases]]/Table134[[#This Row],[customer_total_years]]</f>
        <v>1.6820276497695852</v>
      </c>
      <c r="K1426" s="13">
        <f>Table134[[#This Row],[purchase_history]]/Table134[[#This Row],[number_of_purchases]]</f>
        <v>618.07999999999993</v>
      </c>
      <c r="L1426" s="2">
        <f>IF(YEAR(Table134[[#This Row],[Last_Day]])=2021,5,IF(YEAR(Table134[[#This Row],[Last_Day]])=2022,7,IF(YEAR(Table134[[#This Row],[Last_Day]])=2023,10,"Không xác định")))</f>
        <v>7</v>
      </c>
      <c r="M1426" s="15">
        <f>Table134[[#This Row],[avg_number_of_purchases]]*Table1345[[#This Row],[avg_purchase_value]]*Table1345[[#This Row],[expected_lifespan]]</f>
        <v>7277.3935483870955</v>
      </c>
      <c r="N1426" t="s">
        <v>12042</v>
      </c>
    </row>
    <row r="1427" spans="1:14" x14ac:dyDescent="0.3">
      <c r="A1427" s="2" t="s">
        <v>1425</v>
      </c>
      <c r="B1427" s="2" t="s">
        <v>12040</v>
      </c>
      <c r="C1427" s="2">
        <v>25</v>
      </c>
      <c r="D1427" s="2" t="s">
        <v>12043</v>
      </c>
      <c r="E1427" s="2">
        <f>COUNTIF(Table16[customer_id],Table13[[#This Row],[customer_id]])</f>
        <v>6</v>
      </c>
      <c r="F1427" s="13">
        <f>SUMIFS(Table16[Purchase_history],Table16[customer_id],Table13[[#This Row],[customer_id]])</f>
        <v>11899.8</v>
      </c>
      <c r="G1427" s="20">
        <v>44285</v>
      </c>
      <c r="H1427" s="21">
        <v>44923</v>
      </c>
      <c r="I1427" s="15">
        <f>(Table134[[#This Row],[Last_Day]]-Table134[[#This Row],[First_Day]]+1)/365</f>
        <v>1.7506849315068493</v>
      </c>
      <c r="J1427" s="59">
        <f>Table134[[#This Row],[number_of_purchases]]/Table134[[#This Row],[customer_total_years]]</f>
        <v>3.427230046948357</v>
      </c>
      <c r="K1427" s="13">
        <f>Table134[[#This Row],[purchase_history]]/Table134[[#This Row],[number_of_purchases]]</f>
        <v>1983.3</v>
      </c>
      <c r="L1427" s="2">
        <f>IF(YEAR(Table134[[#This Row],[Last_Day]])=2021,5,IF(YEAR(Table134[[#This Row],[Last_Day]])=2022,7,IF(YEAR(Table134[[#This Row],[Last_Day]])=2023,10,"Không xác định")))</f>
        <v>7</v>
      </c>
      <c r="M1427" s="15">
        <f>Table134[[#This Row],[avg_number_of_purchases]]*Table1345[[#This Row],[avg_purchase_value]]*Table1345[[#This Row],[expected_lifespan]]</f>
        <v>47580.57746478873</v>
      </c>
      <c r="N1427" t="s">
        <v>12046</v>
      </c>
    </row>
    <row r="1428" spans="1:14" x14ac:dyDescent="0.3">
      <c r="A1428" s="2" t="s">
        <v>1426</v>
      </c>
      <c r="B1428" s="2" t="s">
        <v>12040</v>
      </c>
      <c r="C1428" s="2">
        <v>29</v>
      </c>
      <c r="D1428" s="2" t="s">
        <v>12043</v>
      </c>
      <c r="E1428" s="2">
        <f>COUNTIF(Table16[customer_id],Table13[[#This Row],[customer_id]])</f>
        <v>5</v>
      </c>
      <c r="F1428" s="13">
        <f>SUMIFS(Table16[Purchase_history],Table16[customer_id],Table13[[#This Row],[customer_id]])</f>
        <v>22611.57</v>
      </c>
      <c r="G1428" s="20">
        <v>44481</v>
      </c>
      <c r="H1428" s="21">
        <v>44963</v>
      </c>
      <c r="I1428" s="15">
        <f>(Table134[[#This Row],[Last_Day]]-Table134[[#This Row],[First_Day]]+1)/365</f>
        <v>1.3232876712328767</v>
      </c>
      <c r="J1428" s="59">
        <f>Table134[[#This Row],[number_of_purchases]]/Table134[[#This Row],[customer_total_years]]</f>
        <v>3.7784679089026914</v>
      </c>
      <c r="K1428" s="13">
        <f>Table134[[#This Row],[purchase_history]]/Table134[[#This Row],[number_of_purchases]]</f>
        <v>4522.3140000000003</v>
      </c>
      <c r="L1428" s="2">
        <f>IF(YEAR(Table134[[#This Row],[Last_Day]])=2021,5,IF(YEAR(Table134[[#This Row],[Last_Day]])=2022,7,IF(YEAR(Table134[[#This Row],[Last_Day]])=2023,10,"Không xác định")))</f>
        <v>10</v>
      </c>
      <c r="M1428" s="15">
        <f>Table134[[#This Row],[avg_number_of_purchases]]*Table1345[[#This Row],[avg_purchase_value]]*Table1345[[#This Row],[expected_lifespan]]</f>
        <v>170874.18322981367</v>
      </c>
      <c r="N1428" t="s">
        <v>12047</v>
      </c>
    </row>
    <row r="1429" spans="1:14" x14ac:dyDescent="0.3">
      <c r="A1429" s="2" t="s">
        <v>1427</v>
      </c>
      <c r="B1429" s="2" t="s">
        <v>12045</v>
      </c>
      <c r="C1429" s="2">
        <v>18</v>
      </c>
      <c r="D1429" s="2" t="s">
        <v>12043</v>
      </c>
      <c r="E1429" s="2">
        <f>COUNTIF(Table16[customer_id],Table13[[#This Row],[customer_id]])</f>
        <v>8</v>
      </c>
      <c r="F1429" s="13">
        <f>SUMIFS(Table16[Purchase_history],Table16[customer_id],Table13[[#This Row],[customer_id]])</f>
        <v>33808.720000000001</v>
      </c>
      <c r="G1429" s="20">
        <v>44203</v>
      </c>
      <c r="H1429" s="21">
        <v>44958</v>
      </c>
      <c r="I1429" s="15">
        <f>(Table134[[#This Row],[Last_Day]]-Table134[[#This Row],[First_Day]]+1)/365</f>
        <v>2.0712328767123287</v>
      </c>
      <c r="J1429" s="59">
        <f>Table134[[#This Row],[number_of_purchases]]/Table134[[#This Row],[customer_total_years]]</f>
        <v>3.8624338624338628</v>
      </c>
      <c r="K1429" s="13">
        <f>Table134[[#This Row],[purchase_history]]/Table134[[#This Row],[number_of_purchases]]</f>
        <v>4226.09</v>
      </c>
      <c r="L1429" s="2">
        <f>IF(YEAR(Table134[[#This Row],[Last_Day]])=2021,5,IF(YEAR(Table134[[#This Row],[Last_Day]])=2022,7,IF(YEAR(Table134[[#This Row],[Last_Day]])=2023,10,"Không xác định")))</f>
        <v>10</v>
      </c>
      <c r="M1429" s="15">
        <f>Table134[[#This Row],[avg_number_of_purchases]]*Table1345[[#This Row],[avg_purchase_value]]*Table1345[[#This Row],[expected_lifespan]]</f>
        <v>163229.93121693123</v>
      </c>
      <c r="N1429" t="s">
        <v>12047</v>
      </c>
    </row>
    <row r="1430" spans="1:14" x14ac:dyDescent="0.3">
      <c r="A1430" s="2" t="s">
        <v>1428</v>
      </c>
      <c r="B1430" s="2" t="s">
        <v>12045</v>
      </c>
      <c r="C1430" s="2">
        <v>52</v>
      </c>
      <c r="D1430" s="2" t="s">
        <v>12041</v>
      </c>
      <c r="E1430" s="2">
        <f>COUNTIF(Table16[customer_id],Table13[[#This Row],[customer_id]])</f>
        <v>9</v>
      </c>
      <c r="F1430" s="13">
        <f>SUMIFS(Table16[Purchase_history],Table16[customer_id],Table13[[#This Row],[customer_id]])</f>
        <v>9986.06</v>
      </c>
      <c r="G1430" s="20">
        <v>44309</v>
      </c>
      <c r="H1430" s="21">
        <v>44844</v>
      </c>
      <c r="I1430" s="15">
        <f>(Table134[[#This Row],[Last_Day]]-Table134[[#This Row],[First_Day]]+1)/365</f>
        <v>1.4684931506849315</v>
      </c>
      <c r="J1430" s="59">
        <f>Table134[[#This Row],[number_of_purchases]]/Table134[[#This Row],[customer_total_years]]</f>
        <v>6.1287313432835822</v>
      </c>
      <c r="K1430" s="13">
        <f>Table134[[#This Row],[purchase_history]]/Table134[[#This Row],[number_of_purchases]]</f>
        <v>1109.5622222222221</v>
      </c>
      <c r="L1430" s="2">
        <f>IF(YEAR(Table134[[#This Row],[Last_Day]])=2021,5,IF(YEAR(Table134[[#This Row],[Last_Day]])=2022,7,IF(YEAR(Table134[[#This Row],[Last_Day]])=2023,10,"Không xác định")))</f>
        <v>7</v>
      </c>
      <c r="M1430" s="15">
        <f>Table134[[#This Row],[avg_number_of_purchases]]*Table1345[[#This Row],[avg_purchase_value]]*Table1345[[#This Row],[expected_lifespan]]</f>
        <v>47601.461380597008</v>
      </c>
      <c r="N1430" t="s">
        <v>12048</v>
      </c>
    </row>
    <row r="1431" spans="1:14" x14ac:dyDescent="0.3">
      <c r="A1431" s="2" t="s">
        <v>1429</v>
      </c>
      <c r="B1431" s="2" t="s">
        <v>12045</v>
      </c>
      <c r="C1431" s="2">
        <v>37</v>
      </c>
      <c r="D1431" s="2" t="s">
        <v>12043</v>
      </c>
      <c r="E1431" s="2">
        <f>COUNTIF(Table16[customer_id],Table13[[#This Row],[customer_id]])</f>
        <v>4</v>
      </c>
      <c r="F1431" s="13">
        <f>SUMIFS(Table16[Purchase_history],Table16[customer_id],Table13[[#This Row],[customer_id]])</f>
        <v>6117.86</v>
      </c>
      <c r="G1431" s="20">
        <v>44343</v>
      </c>
      <c r="H1431" s="21">
        <v>44984</v>
      </c>
      <c r="I1431" s="15">
        <f>(Table134[[#This Row],[Last_Day]]-Table134[[#This Row],[First_Day]]+1)/365</f>
        <v>1.7589041095890412</v>
      </c>
      <c r="J1431" s="59">
        <f>Table134[[#This Row],[number_of_purchases]]/Table134[[#This Row],[customer_total_years]]</f>
        <v>2.2741433021806854</v>
      </c>
      <c r="K1431" s="13">
        <f>Table134[[#This Row],[purchase_history]]/Table134[[#This Row],[number_of_purchases]]</f>
        <v>1529.4649999999999</v>
      </c>
      <c r="L1431" s="2">
        <f>IF(YEAR(Table134[[#This Row],[Last_Day]])=2021,5,IF(YEAR(Table134[[#This Row],[Last_Day]])=2022,7,IF(YEAR(Table134[[#This Row],[Last_Day]])=2023,10,"Không xác định")))</f>
        <v>10</v>
      </c>
      <c r="M1431" s="15">
        <f>Table134[[#This Row],[avg_number_of_purchases]]*Table1345[[#This Row],[avg_purchase_value]]*Table1345[[#This Row],[expected_lifespan]]</f>
        <v>34782.22585669782</v>
      </c>
      <c r="N1431" t="s">
        <v>12048</v>
      </c>
    </row>
    <row r="1432" spans="1:14" x14ac:dyDescent="0.3">
      <c r="A1432" s="2" t="s">
        <v>1430</v>
      </c>
      <c r="B1432" s="2" t="s">
        <v>12040</v>
      </c>
      <c r="C1432" s="2">
        <v>42</v>
      </c>
      <c r="D1432" s="2" t="s">
        <v>12043</v>
      </c>
      <c r="E1432" s="2">
        <f>COUNTIF(Table16[customer_id],Table13[[#This Row],[customer_id]])</f>
        <v>10</v>
      </c>
      <c r="F1432" s="13">
        <f>SUMIFS(Table16[Purchase_history],Table16[customer_id],Table13[[#This Row],[customer_id]])</f>
        <v>16355.92</v>
      </c>
      <c r="G1432" s="20">
        <v>44339</v>
      </c>
      <c r="H1432" s="21">
        <v>44950</v>
      </c>
      <c r="I1432" s="15">
        <f>(Table134[[#This Row],[Last_Day]]-Table134[[#This Row],[First_Day]]+1)/365</f>
        <v>1.6767123287671233</v>
      </c>
      <c r="J1432" s="59">
        <f>Table134[[#This Row],[number_of_purchases]]/Table134[[#This Row],[customer_total_years]]</f>
        <v>5.9640522875816995</v>
      </c>
      <c r="K1432" s="13">
        <f>Table134[[#This Row],[purchase_history]]/Table134[[#This Row],[number_of_purchases]]</f>
        <v>1635.5920000000001</v>
      </c>
      <c r="L1432" s="2">
        <f>IF(YEAR(Table134[[#This Row],[Last_Day]])=2021,5,IF(YEAR(Table134[[#This Row],[Last_Day]])=2022,7,IF(YEAR(Table134[[#This Row],[Last_Day]])=2023,10,"Không xác định")))</f>
        <v>10</v>
      </c>
      <c r="M1432" s="15">
        <f>Table134[[#This Row],[avg_number_of_purchases]]*Table1345[[#This Row],[avg_purchase_value]]*Table1345[[#This Row],[expected_lifespan]]</f>
        <v>97547.562091503278</v>
      </c>
      <c r="N1432" t="s">
        <v>12047</v>
      </c>
    </row>
    <row r="1433" spans="1:14" x14ac:dyDescent="0.3">
      <c r="A1433" s="2" t="s">
        <v>1431</v>
      </c>
      <c r="B1433" s="2" t="s">
        <v>12045</v>
      </c>
      <c r="C1433" s="2">
        <v>69</v>
      </c>
      <c r="D1433" s="2" t="s">
        <v>12043</v>
      </c>
      <c r="E1433" s="2">
        <f>COUNTIF(Table16[customer_id],Table13[[#This Row],[customer_id]])</f>
        <v>5</v>
      </c>
      <c r="F1433" s="13">
        <f>SUMIFS(Table16[Purchase_history],Table16[customer_id],Table13[[#This Row],[customer_id]])</f>
        <v>11265.38</v>
      </c>
      <c r="G1433" s="20">
        <v>44280</v>
      </c>
      <c r="H1433" s="21">
        <v>44928</v>
      </c>
      <c r="I1433" s="15">
        <f>(Table134[[#This Row],[Last_Day]]-Table134[[#This Row],[First_Day]]+1)/365</f>
        <v>1.7780821917808218</v>
      </c>
      <c r="J1433" s="59">
        <f>Table134[[#This Row],[number_of_purchases]]/Table134[[#This Row],[customer_total_years]]</f>
        <v>2.8120184899845917</v>
      </c>
      <c r="K1433" s="13">
        <f>Table134[[#This Row],[purchase_history]]/Table134[[#This Row],[number_of_purchases]]</f>
        <v>2253.076</v>
      </c>
      <c r="L1433" s="2">
        <f>IF(YEAR(Table134[[#This Row],[Last_Day]])=2021,5,IF(YEAR(Table134[[#This Row],[Last_Day]])=2022,7,IF(YEAR(Table134[[#This Row],[Last_Day]])=2023,10,"Không xác định")))</f>
        <v>10</v>
      </c>
      <c r="M1433" s="15">
        <f>Table134[[#This Row],[avg_number_of_purchases]]*Table1345[[#This Row],[avg_purchase_value]]*Table1345[[#This Row],[expected_lifespan]]</f>
        <v>63356.913713405236</v>
      </c>
      <c r="N1433" t="s">
        <v>12047</v>
      </c>
    </row>
    <row r="1434" spans="1:14" x14ac:dyDescent="0.3">
      <c r="A1434" s="2" t="s">
        <v>1432</v>
      </c>
      <c r="B1434" s="2" t="s">
        <v>12040</v>
      </c>
      <c r="C1434" s="2">
        <v>29</v>
      </c>
      <c r="D1434" s="2" t="s">
        <v>12043</v>
      </c>
      <c r="E1434" s="2">
        <f>COUNTIF(Table16[customer_id],Table13[[#This Row],[customer_id]])</f>
        <v>2</v>
      </c>
      <c r="F1434" s="13">
        <f>SUMIFS(Table16[Purchase_history],Table16[customer_id],Table13[[#This Row],[customer_id]])</f>
        <v>8702.32</v>
      </c>
      <c r="G1434" s="20">
        <v>44373</v>
      </c>
      <c r="H1434" s="21">
        <v>44390</v>
      </c>
      <c r="I1434" s="15">
        <f>(Table134[[#This Row],[Last_Day]]-Table134[[#This Row],[First_Day]]+1)/365</f>
        <v>4.9315068493150684E-2</v>
      </c>
      <c r="J1434" s="59">
        <f>Table134[[#This Row],[number_of_purchases]]/Table134[[#This Row],[customer_total_years]]</f>
        <v>40.555555555555557</v>
      </c>
      <c r="K1434" s="13">
        <f>Table134[[#This Row],[purchase_history]]/Table134[[#This Row],[number_of_purchases]]</f>
        <v>4351.16</v>
      </c>
      <c r="L1434" s="2">
        <f>IF(YEAR(Table134[[#This Row],[Last_Day]])=2021,5,IF(YEAR(Table134[[#This Row],[Last_Day]])=2022,7,IF(YEAR(Table134[[#This Row],[Last_Day]])=2023,10,"Không xác định")))</f>
        <v>5</v>
      </c>
      <c r="M1434" s="15">
        <f>Table134[[#This Row],[avg_number_of_purchases]]*Table1345[[#This Row],[avg_purchase_value]]*Table1345[[#This Row],[expected_lifespan]]</f>
        <v>882318.5555555555</v>
      </c>
      <c r="N1434" t="s">
        <v>12046</v>
      </c>
    </row>
    <row r="1435" spans="1:14" x14ac:dyDescent="0.3">
      <c r="A1435" s="2" t="s">
        <v>1433</v>
      </c>
      <c r="B1435" s="2" t="s">
        <v>12040</v>
      </c>
      <c r="C1435" s="2">
        <v>60</v>
      </c>
      <c r="D1435" s="2" t="s">
        <v>12043</v>
      </c>
      <c r="E1435" s="2">
        <f>COUNTIF(Table16[customer_id],Table13[[#This Row],[customer_id]])</f>
        <v>2</v>
      </c>
      <c r="F1435" s="13">
        <f>SUMIFS(Table16[Purchase_history],Table16[customer_id],Table13[[#This Row],[customer_id]])</f>
        <v>7585.68</v>
      </c>
      <c r="G1435" s="20">
        <v>44483</v>
      </c>
      <c r="H1435" s="21">
        <v>44723</v>
      </c>
      <c r="I1435" s="15">
        <f>(Table134[[#This Row],[Last_Day]]-Table134[[#This Row],[First_Day]]+1)/365</f>
        <v>0.66027397260273968</v>
      </c>
      <c r="J1435" s="59">
        <f>Table134[[#This Row],[number_of_purchases]]/Table134[[#This Row],[customer_total_years]]</f>
        <v>3.0290456431535273</v>
      </c>
      <c r="K1435" s="13">
        <f>Table134[[#This Row],[purchase_history]]/Table134[[#This Row],[number_of_purchases]]</f>
        <v>3792.84</v>
      </c>
      <c r="L1435" s="2">
        <f>IF(YEAR(Table134[[#This Row],[Last_Day]])=2021,5,IF(YEAR(Table134[[#This Row],[Last_Day]])=2022,7,IF(YEAR(Table134[[#This Row],[Last_Day]])=2023,10,"Không xác định")))</f>
        <v>7</v>
      </c>
      <c r="M1435" s="15">
        <f>Table134[[#This Row],[avg_number_of_purchases]]*Table1345[[#This Row],[avg_purchase_value]]*Table1345[[#This Row],[expected_lifespan]]</f>
        <v>80420.798340248977</v>
      </c>
      <c r="N1435" t="s">
        <v>12047</v>
      </c>
    </row>
    <row r="1436" spans="1:14" x14ac:dyDescent="0.3">
      <c r="A1436" s="2" t="s">
        <v>1434</v>
      </c>
      <c r="B1436" s="2" t="s">
        <v>12040</v>
      </c>
      <c r="C1436" s="2">
        <v>32</v>
      </c>
      <c r="D1436" s="2" t="s">
        <v>12041</v>
      </c>
      <c r="E1436" s="2">
        <f>COUNTIF(Table16[customer_id],Table13[[#This Row],[customer_id]])</f>
        <v>3</v>
      </c>
      <c r="F1436" s="13">
        <f>SUMIFS(Table16[Purchase_history],Table16[customer_id],Table13[[#This Row],[customer_id]])</f>
        <v>4917.54</v>
      </c>
      <c r="G1436" s="20">
        <v>44597</v>
      </c>
      <c r="H1436" s="21">
        <v>44879</v>
      </c>
      <c r="I1436" s="15">
        <f>(Table134[[#This Row],[Last_Day]]-Table134[[#This Row],[First_Day]]+1)/365</f>
        <v>0.77534246575342469</v>
      </c>
      <c r="J1436" s="59">
        <f>Table134[[#This Row],[number_of_purchases]]/Table134[[#This Row],[customer_total_years]]</f>
        <v>3.8692579505300353</v>
      </c>
      <c r="K1436" s="13">
        <f>Table134[[#This Row],[purchase_history]]/Table134[[#This Row],[number_of_purchases]]</f>
        <v>1639.18</v>
      </c>
      <c r="L1436" s="2">
        <f>IF(YEAR(Table134[[#This Row],[Last_Day]])=2021,5,IF(YEAR(Table134[[#This Row],[Last_Day]])=2022,7,IF(YEAR(Table134[[#This Row],[Last_Day]])=2023,10,"Không xác định")))</f>
        <v>7</v>
      </c>
      <c r="M1436" s="15">
        <f>Table134[[#This Row],[avg_number_of_purchases]]*Table1345[[#This Row],[avg_purchase_value]]*Table1345[[#This Row],[expected_lifespan]]</f>
        <v>44396.871731448766</v>
      </c>
      <c r="N1436" t="s">
        <v>12048</v>
      </c>
    </row>
    <row r="1437" spans="1:14" x14ac:dyDescent="0.3">
      <c r="A1437" s="2" t="s">
        <v>1435</v>
      </c>
      <c r="B1437" s="2" t="s">
        <v>12040</v>
      </c>
      <c r="C1437" s="2">
        <v>58</v>
      </c>
      <c r="D1437" s="2" t="s">
        <v>12043</v>
      </c>
      <c r="E1437" s="2">
        <f>COUNTIF(Table16[customer_id],Table13[[#This Row],[customer_id]])</f>
        <v>3</v>
      </c>
      <c r="F1437" s="13">
        <f>SUMIFS(Table16[Purchase_history],Table16[customer_id],Table13[[#This Row],[customer_id]])</f>
        <v>7867.94</v>
      </c>
      <c r="G1437" s="20">
        <v>44387</v>
      </c>
      <c r="H1437" s="21">
        <v>44699</v>
      </c>
      <c r="I1437" s="15">
        <f>(Table134[[#This Row],[Last_Day]]-Table134[[#This Row],[First_Day]]+1)/365</f>
        <v>0.8575342465753425</v>
      </c>
      <c r="J1437" s="59">
        <f>Table134[[#This Row],[number_of_purchases]]/Table134[[#This Row],[customer_total_years]]</f>
        <v>3.4984025559105429</v>
      </c>
      <c r="K1437" s="13">
        <f>Table134[[#This Row],[purchase_history]]/Table134[[#This Row],[number_of_purchases]]</f>
        <v>2622.6466666666665</v>
      </c>
      <c r="L1437" s="2">
        <f>IF(YEAR(Table134[[#This Row],[Last_Day]])=2021,5,IF(YEAR(Table134[[#This Row],[Last_Day]])=2022,7,IF(YEAR(Table134[[#This Row],[Last_Day]])=2023,10,"Không xác định")))</f>
        <v>7</v>
      </c>
      <c r="M1437" s="15">
        <f>Table134[[#This Row],[avg_number_of_purchases]]*Table1345[[#This Row],[avg_purchase_value]]*Table1345[[#This Row],[expected_lifespan]]</f>
        <v>64225.51661341852</v>
      </c>
      <c r="N1437" t="s">
        <v>12044</v>
      </c>
    </row>
    <row r="1438" spans="1:14" x14ac:dyDescent="0.3">
      <c r="A1438" s="2" t="s">
        <v>1436</v>
      </c>
      <c r="B1438" s="2" t="s">
        <v>12040</v>
      </c>
      <c r="C1438" s="2">
        <v>58</v>
      </c>
      <c r="D1438" s="2" t="s">
        <v>12043</v>
      </c>
      <c r="E1438" s="2">
        <f>COUNTIF(Table16[customer_id],Table13[[#This Row],[customer_id]])</f>
        <v>3</v>
      </c>
      <c r="F1438" s="13">
        <f>SUMIFS(Table16[Purchase_history],Table16[customer_id],Table13[[#This Row],[customer_id]])</f>
        <v>459.93</v>
      </c>
      <c r="G1438" s="20">
        <v>44392</v>
      </c>
      <c r="H1438" s="21">
        <v>44770</v>
      </c>
      <c r="I1438" s="15">
        <f>(Table134[[#This Row],[Last_Day]]-Table134[[#This Row],[First_Day]]+1)/365</f>
        <v>1.0383561643835617</v>
      </c>
      <c r="J1438" s="59">
        <f>Table134[[#This Row],[number_of_purchases]]/Table134[[#This Row],[customer_total_years]]</f>
        <v>2.8891820580474934</v>
      </c>
      <c r="K1438" s="13">
        <f>Table134[[#This Row],[purchase_history]]/Table134[[#This Row],[number_of_purchases]]</f>
        <v>153.31</v>
      </c>
      <c r="L1438" s="2">
        <f>IF(YEAR(Table134[[#This Row],[Last_Day]])=2021,5,IF(YEAR(Table134[[#This Row],[Last_Day]])=2022,7,IF(YEAR(Table134[[#This Row],[Last_Day]])=2023,10,"Không xác định")))</f>
        <v>7</v>
      </c>
      <c r="M1438" s="15">
        <f>Table134[[#This Row],[avg_number_of_purchases]]*Table1345[[#This Row],[avg_purchase_value]]*Table1345[[#This Row],[expected_lifespan]]</f>
        <v>3100.5835092348284</v>
      </c>
      <c r="N1438" t="s">
        <v>12042</v>
      </c>
    </row>
    <row r="1439" spans="1:14" x14ac:dyDescent="0.3">
      <c r="A1439" s="2" t="s">
        <v>1437</v>
      </c>
      <c r="B1439" s="2" t="s">
        <v>12040</v>
      </c>
      <c r="C1439" s="2">
        <v>57</v>
      </c>
      <c r="D1439" s="2" t="s">
        <v>12043</v>
      </c>
      <c r="E1439" s="2">
        <f>COUNTIF(Table16[customer_id],Table13[[#This Row],[customer_id]])</f>
        <v>4</v>
      </c>
      <c r="F1439" s="13">
        <f>SUMIFS(Table16[Purchase_history],Table16[customer_id],Table13[[#This Row],[customer_id]])</f>
        <v>21953.07</v>
      </c>
      <c r="G1439" s="20">
        <v>44303</v>
      </c>
      <c r="H1439" s="21">
        <v>44980</v>
      </c>
      <c r="I1439" s="15">
        <f>(Table134[[#This Row],[Last_Day]]-Table134[[#This Row],[First_Day]]+1)/365</f>
        <v>1.8575342465753424</v>
      </c>
      <c r="J1439" s="59">
        <f>Table134[[#This Row],[number_of_purchases]]/Table134[[#This Row],[customer_total_years]]</f>
        <v>2.1533923303834808</v>
      </c>
      <c r="K1439" s="13">
        <f>Table134[[#This Row],[purchase_history]]/Table134[[#This Row],[number_of_purchases]]</f>
        <v>5488.2674999999999</v>
      </c>
      <c r="L1439" s="2">
        <f>IF(YEAR(Table134[[#This Row],[Last_Day]])=2021,5,IF(YEAR(Table134[[#This Row],[Last_Day]])=2022,7,IF(YEAR(Table134[[#This Row],[Last_Day]])=2023,10,"Không xác định")))</f>
        <v>10</v>
      </c>
      <c r="M1439" s="15">
        <f>Table134[[#This Row],[avg_number_of_purchases]]*Table1345[[#This Row],[avg_purchase_value]]*Table1345[[#This Row],[expected_lifespan]]</f>
        <v>118183.9314159292</v>
      </c>
      <c r="N1439" t="s">
        <v>12047</v>
      </c>
    </row>
    <row r="1440" spans="1:14" x14ac:dyDescent="0.3">
      <c r="A1440" s="2" t="s">
        <v>1438</v>
      </c>
      <c r="B1440" s="2" t="s">
        <v>12045</v>
      </c>
      <c r="C1440" s="2">
        <v>59</v>
      </c>
      <c r="D1440" s="2" t="s">
        <v>12043</v>
      </c>
      <c r="E1440" s="2">
        <f>COUNTIF(Table16[customer_id],Table13[[#This Row],[customer_id]])</f>
        <v>5</v>
      </c>
      <c r="F1440" s="13">
        <f>SUMIFS(Table16[Purchase_history],Table16[customer_id],Table13[[#This Row],[customer_id]])</f>
        <v>5530.5899999999992</v>
      </c>
      <c r="G1440" s="20">
        <v>44397</v>
      </c>
      <c r="H1440" s="21">
        <v>44954</v>
      </c>
      <c r="I1440" s="15">
        <f>(Table134[[#This Row],[Last_Day]]-Table134[[#This Row],[First_Day]]+1)/365</f>
        <v>1.5287671232876712</v>
      </c>
      <c r="J1440" s="59">
        <f>Table134[[#This Row],[number_of_purchases]]/Table134[[#This Row],[customer_total_years]]</f>
        <v>3.2706093189964158</v>
      </c>
      <c r="K1440" s="13">
        <f>Table134[[#This Row],[purchase_history]]/Table134[[#This Row],[number_of_purchases]]</f>
        <v>1106.1179999999999</v>
      </c>
      <c r="L1440" s="2">
        <f>IF(YEAR(Table134[[#This Row],[Last_Day]])=2021,5,IF(YEAR(Table134[[#This Row],[Last_Day]])=2022,7,IF(YEAR(Table134[[#This Row],[Last_Day]])=2023,10,"Không xác định")))</f>
        <v>10</v>
      </c>
      <c r="M1440" s="15">
        <f>Table134[[#This Row],[avg_number_of_purchases]]*Table1345[[#This Row],[avg_purchase_value]]*Table1345[[#This Row],[expected_lifespan]]</f>
        <v>36176.798387096773</v>
      </c>
      <c r="N1440" t="s">
        <v>12044</v>
      </c>
    </row>
    <row r="1441" spans="1:14" x14ac:dyDescent="0.3">
      <c r="A1441" s="2" t="s">
        <v>1439</v>
      </c>
      <c r="B1441" s="2" t="s">
        <v>12045</v>
      </c>
      <c r="C1441" s="2">
        <v>31</v>
      </c>
      <c r="D1441" s="2" t="s">
        <v>12043</v>
      </c>
      <c r="E1441" s="2">
        <f>COUNTIF(Table16[customer_id],Table13[[#This Row],[customer_id]])</f>
        <v>4</v>
      </c>
      <c r="F1441" s="13">
        <f>SUMIFS(Table16[Purchase_history],Table16[customer_id],Table13[[#This Row],[customer_id]])</f>
        <v>20812.02</v>
      </c>
      <c r="G1441" s="20">
        <v>44201</v>
      </c>
      <c r="H1441" s="21">
        <v>44566</v>
      </c>
      <c r="I1441" s="15">
        <f>(Table134[[#This Row],[Last_Day]]-Table134[[#This Row],[First_Day]]+1)/365</f>
        <v>1.0027397260273974</v>
      </c>
      <c r="J1441" s="59">
        <f>Table134[[#This Row],[number_of_purchases]]/Table134[[#This Row],[customer_total_years]]</f>
        <v>3.9890710382513657</v>
      </c>
      <c r="K1441" s="13">
        <f>Table134[[#This Row],[purchase_history]]/Table134[[#This Row],[number_of_purchases]]</f>
        <v>5203.0050000000001</v>
      </c>
      <c r="L1441" s="2">
        <f>IF(YEAR(Table134[[#This Row],[Last_Day]])=2021,5,IF(YEAR(Table134[[#This Row],[Last_Day]])=2022,7,IF(YEAR(Table134[[#This Row],[Last_Day]])=2023,10,"Không xác định")))</f>
        <v>7</v>
      </c>
      <c r="M1441" s="15">
        <f>Table134[[#This Row],[avg_number_of_purchases]]*Table1345[[#This Row],[avg_purchase_value]]*Table1345[[#This Row],[expected_lifespan]]</f>
        <v>145286.09590163932</v>
      </c>
      <c r="N1441" t="s">
        <v>12044</v>
      </c>
    </row>
    <row r="1442" spans="1:14" x14ac:dyDescent="0.3">
      <c r="A1442" s="2" t="s">
        <v>1440</v>
      </c>
      <c r="B1442" s="2" t="s">
        <v>12040</v>
      </c>
      <c r="C1442" s="2">
        <v>20</v>
      </c>
      <c r="D1442" s="2" t="s">
        <v>12043</v>
      </c>
      <c r="E1442" s="2">
        <f>COUNTIF(Table16[customer_id],Table13[[#This Row],[customer_id]])</f>
        <v>3</v>
      </c>
      <c r="F1442" s="13">
        <f>SUMIFS(Table16[Purchase_history],Table16[customer_id],Table13[[#This Row],[customer_id]])</f>
        <v>7548.92</v>
      </c>
      <c r="G1442" s="20">
        <v>44279</v>
      </c>
      <c r="H1442" s="21">
        <v>44774</v>
      </c>
      <c r="I1442" s="15">
        <f>(Table134[[#This Row],[Last_Day]]-Table134[[#This Row],[First_Day]]+1)/365</f>
        <v>1.3589041095890411</v>
      </c>
      <c r="J1442" s="59">
        <f>Table134[[#This Row],[number_of_purchases]]/Table134[[#This Row],[customer_total_years]]</f>
        <v>2.2076612903225805</v>
      </c>
      <c r="K1442" s="13">
        <f>Table134[[#This Row],[purchase_history]]/Table134[[#This Row],[number_of_purchases]]</f>
        <v>2516.3066666666668</v>
      </c>
      <c r="L1442" s="2">
        <f>IF(YEAR(Table134[[#This Row],[Last_Day]])=2021,5,IF(YEAR(Table134[[#This Row],[Last_Day]])=2022,7,IF(YEAR(Table134[[#This Row],[Last_Day]])=2023,10,"Không xác định")))</f>
        <v>7</v>
      </c>
      <c r="M1442" s="15">
        <f>Table134[[#This Row],[avg_number_of_purchases]]*Table1345[[#This Row],[avg_purchase_value]]*Table1345[[#This Row],[expected_lifespan]]</f>
        <v>38886.069758064514</v>
      </c>
      <c r="N1442" t="s">
        <v>12047</v>
      </c>
    </row>
    <row r="1443" spans="1:14" x14ac:dyDescent="0.3">
      <c r="A1443" s="2" t="s">
        <v>1441</v>
      </c>
      <c r="B1443" s="2" t="s">
        <v>12045</v>
      </c>
      <c r="C1443" s="2">
        <v>48</v>
      </c>
      <c r="D1443" s="2" t="s">
        <v>12041</v>
      </c>
      <c r="E1443" s="2">
        <f>COUNTIF(Table16[customer_id],Table13[[#This Row],[customer_id]])</f>
        <v>5</v>
      </c>
      <c r="F1443" s="13">
        <f>SUMIFS(Table16[Purchase_history],Table16[customer_id],Table13[[#This Row],[customer_id]])</f>
        <v>8085.0900000000011</v>
      </c>
      <c r="G1443" s="20">
        <v>44229</v>
      </c>
      <c r="H1443" s="21">
        <v>44986</v>
      </c>
      <c r="I1443" s="15">
        <f>(Table134[[#This Row],[Last_Day]]-Table134[[#This Row],[First_Day]]+1)/365</f>
        <v>2.0767123287671234</v>
      </c>
      <c r="J1443" s="59">
        <f>Table134[[#This Row],[number_of_purchases]]/Table134[[#This Row],[customer_total_years]]</f>
        <v>2.4076517150395778</v>
      </c>
      <c r="K1443" s="13">
        <f>Table134[[#This Row],[purchase_history]]/Table134[[#This Row],[number_of_purchases]]</f>
        <v>1617.0180000000003</v>
      </c>
      <c r="L1443" s="2">
        <f>IF(YEAR(Table134[[#This Row],[Last_Day]])=2021,5,IF(YEAR(Table134[[#This Row],[Last_Day]])=2022,7,IF(YEAR(Table134[[#This Row],[Last_Day]])=2023,10,"Không xác định")))</f>
        <v>10</v>
      </c>
      <c r="M1443" s="15">
        <f>Table134[[#This Row],[avg_number_of_purchases]]*Table1345[[#This Row],[avg_purchase_value]]*Table1345[[#This Row],[expected_lifespan]]</f>
        <v>38932.161609498682</v>
      </c>
      <c r="N1443" t="s">
        <v>12042</v>
      </c>
    </row>
    <row r="1444" spans="1:14" x14ac:dyDescent="0.3">
      <c r="A1444" s="2" t="s">
        <v>1442</v>
      </c>
      <c r="B1444" s="2" t="s">
        <v>12040</v>
      </c>
      <c r="C1444" s="2">
        <v>40</v>
      </c>
      <c r="D1444" s="2" t="s">
        <v>12041</v>
      </c>
      <c r="E1444" s="2">
        <f>COUNTIF(Table16[customer_id],Table13[[#This Row],[customer_id]])</f>
        <v>5</v>
      </c>
      <c r="F1444" s="13">
        <f>SUMIFS(Table16[Purchase_history],Table16[customer_id],Table13[[#This Row],[customer_id]])</f>
        <v>30341.11</v>
      </c>
      <c r="G1444" s="20">
        <v>44415</v>
      </c>
      <c r="H1444" s="21">
        <v>44829</v>
      </c>
      <c r="I1444" s="15">
        <f>(Table134[[#This Row],[Last_Day]]-Table134[[#This Row],[First_Day]]+1)/365</f>
        <v>1.1369863013698631</v>
      </c>
      <c r="J1444" s="59">
        <f>Table134[[#This Row],[number_of_purchases]]/Table134[[#This Row],[customer_total_years]]</f>
        <v>4.3975903614457827</v>
      </c>
      <c r="K1444" s="13">
        <f>Table134[[#This Row],[purchase_history]]/Table134[[#This Row],[number_of_purchases]]</f>
        <v>6068.2219999999998</v>
      </c>
      <c r="L1444" s="2">
        <f>IF(YEAR(Table134[[#This Row],[Last_Day]])=2021,5,IF(YEAR(Table134[[#This Row],[Last_Day]])=2022,7,IF(YEAR(Table134[[#This Row],[Last_Day]])=2023,10,"Không xác định")))</f>
        <v>7</v>
      </c>
      <c r="M1444" s="15">
        <f>Table134[[#This Row],[avg_number_of_purchases]]*Table1345[[#This Row],[avg_purchase_value]]*Table1345[[#This Row],[expected_lifespan]]</f>
        <v>186798.88204819275</v>
      </c>
      <c r="N1444" t="s">
        <v>12042</v>
      </c>
    </row>
    <row r="1445" spans="1:14" x14ac:dyDescent="0.3">
      <c r="A1445" s="2" t="s">
        <v>1443</v>
      </c>
      <c r="B1445" s="2" t="s">
        <v>12045</v>
      </c>
      <c r="C1445" s="2">
        <v>55</v>
      </c>
      <c r="D1445" s="2" t="s">
        <v>12041</v>
      </c>
      <c r="E1445" s="2">
        <f>COUNTIF(Table16[customer_id],Table13[[#This Row],[customer_id]])</f>
        <v>5</v>
      </c>
      <c r="F1445" s="13">
        <f>SUMIFS(Table16[Purchase_history],Table16[customer_id],Table13[[#This Row],[customer_id]])</f>
        <v>11504.289999999999</v>
      </c>
      <c r="G1445" s="20">
        <v>44537</v>
      </c>
      <c r="H1445" s="21">
        <v>44989</v>
      </c>
      <c r="I1445" s="15">
        <f>(Table134[[#This Row],[Last_Day]]-Table134[[#This Row],[First_Day]]+1)/365</f>
        <v>1.2410958904109588</v>
      </c>
      <c r="J1445" s="59">
        <f>Table134[[#This Row],[number_of_purchases]]/Table134[[#This Row],[customer_total_years]]</f>
        <v>4.0286975717439297</v>
      </c>
      <c r="K1445" s="13">
        <f>Table134[[#This Row],[purchase_history]]/Table134[[#This Row],[number_of_purchases]]</f>
        <v>2300.8579999999997</v>
      </c>
      <c r="L1445" s="2">
        <f>IF(YEAR(Table134[[#This Row],[Last_Day]])=2021,5,IF(YEAR(Table134[[#This Row],[Last_Day]])=2022,7,IF(YEAR(Table134[[#This Row],[Last_Day]])=2023,10,"Không xác định")))</f>
        <v>10</v>
      </c>
      <c r="M1445" s="15">
        <f>Table134[[#This Row],[avg_number_of_purchases]]*Table1345[[#This Row],[avg_purchase_value]]*Table1345[[#This Row],[expected_lifespan]]</f>
        <v>92694.610375275937</v>
      </c>
      <c r="N1445" t="s">
        <v>12042</v>
      </c>
    </row>
    <row r="1446" spans="1:14" x14ac:dyDescent="0.3">
      <c r="A1446" s="2" t="s">
        <v>1444</v>
      </c>
      <c r="B1446" s="2" t="s">
        <v>12040</v>
      </c>
      <c r="C1446" s="2">
        <v>28</v>
      </c>
      <c r="D1446" s="2" t="s">
        <v>12041</v>
      </c>
      <c r="E1446" s="2">
        <f>COUNTIF(Table16[customer_id],Table13[[#This Row],[customer_id]])</f>
        <v>7</v>
      </c>
      <c r="F1446" s="13">
        <f>SUMIFS(Table16[Purchase_history],Table16[customer_id],Table13[[#This Row],[customer_id]])</f>
        <v>21515.819999999996</v>
      </c>
      <c r="G1446" s="20">
        <v>44271</v>
      </c>
      <c r="H1446" s="21">
        <v>44839</v>
      </c>
      <c r="I1446" s="15">
        <f>(Table134[[#This Row],[Last_Day]]-Table134[[#This Row],[First_Day]]+1)/365</f>
        <v>1.558904109589041</v>
      </c>
      <c r="J1446" s="59">
        <f>Table134[[#This Row],[number_of_purchases]]/Table134[[#This Row],[customer_total_years]]</f>
        <v>4.4903339191564147</v>
      </c>
      <c r="K1446" s="13">
        <f>Table134[[#This Row],[purchase_history]]/Table134[[#This Row],[number_of_purchases]]</f>
        <v>3073.6885714285709</v>
      </c>
      <c r="L1446" s="2">
        <f>IF(YEAR(Table134[[#This Row],[Last_Day]])=2021,5,IF(YEAR(Table134[[#This Row],[Last_Day]])=2022,7,IF(YEAR(Table134[[#This Row],[Last_Day]])=2023,10,"Không xác định")))</f>
        <v>7</v>
      </c>
      <c r="M1446" s="15">
        <f>Table134[[#This Row],[avg_number_of_purchases]]*Table1345[[#This Row],[avg_purchase_value]]*Table1345[[#This Row],[expected_lifespan]]</f>
        <v>96613.216344463945</v>
      </c>
      <c r="N1446" t="s">
        <v>12044</v>
      </c>
    </row>
    <row r="1447" spans="1:14" x14ac:dyDescent="0.3">
      <c r="A1447" s="2" t="s">
        <v>1445</v>
      </c>
      <c r="B1447" s="2" t="s">
        <v>12045</v>
      </c>
      <c r="C1447" s="2">
        <v>26</v>
      </c>
      <c r="D1447" s="2" t="s">
        <v>12043</v>
      </c>
      <c r="E1447" s="2">
        <f>COUNTIF(Table16[customer_id],Table13[[#This Row],[customer_id]])</f>
        <v>3</v>
      </c>
      <c r="F1447" s="13">
        <f>SUMIFS(Table16[Purchase_history],Table16[customer_id],Table13[[#This Row],[customer_id]])</f>
        <v>4890.1899999999996</v>
      </c>
      <c r="G1447" s="20">
        <v>44422</v>
      </c>
      <c r="H1447" s="21">
        <v>44975</v>
      </c>
      <c r="I1447" s="15">
        <f>(Table134[[#This Row],[Last_Day]]-Table134[[#This Row],[First_Day]]+1)/365</f>
        <v>1.5178082191780822</v>
      </c>
      <c r="J1447" s="59">
        <f>Table134[[#This Row],[number_of_purchases]]/Table134[[#This Row],[customer_total_years]]</f>
        <v>1.976534296028881</v>
      </c>
      <c r="K1447" s="13">
        <f>Table134[[#This Row],[purchase_history]]/Table134[[#This Row],[number_of_purchases]]</f>
        <v>1630.0633333333333</v>
      </c>
      <c r="L1447" s="2">
        <f>IF(YEAR(Table134[[#This Row],[Last_Day]])=2021,5,IF(YEAR(Table134[[#This Row],[Last_Day]])=2022,7,IF(YEAR(Table134[[#This Row],[Last_Day]])=2023,10,"Không xác định")))</f>
        <v>10</v>
      </c>
      <c r="M1447" s="15">
        <f>Table134[[#This Row],[avg_number_of_purchases]]*Table1345[[#This Row],[avg_purchase_value]]*Table1345[[#This Row],[expected_lifespan]]</f>
        <v>32218.760830324907</v>
      </c>
      <c r="N1447" t="s">
        <v>12042</v>
      </c>
    </row>
    <row r="1448" spans="1:14" x14ac:dyDescent="0.3">
      <c r="A1448" s="2" t="s">
        <v>1446</v>
      </c>
      <c r="B1448" s="2" t="s">
        <v>12040</v>
      </c>
      <c r="C1448" s="2">
        <v>64</v>
      </c>
      <c r="D1448" s="2" t="s">
        <v>12043</v>
      </c>
      <c r="E1448" s="2">
        <f>COUNTIF(Table16[customer_id],Table13[[#This Row],[customer_id]])</f>
        <v>5</v>
      </c>
      <c r="F1448" s="13">
        <f>SUMIFS(Table16[Purchase_history],Table16[customer_id],Table13[[#This Row],[customer_id]])</f>
        <v>17455.13</v>
      </c>
      <c r="G1448" s="20">
        <v>44252</v>
      </c>
      <c r="H1448" s="21">
        <v>44787</v>
      </c>
      <c r="I1448" s="15">
        <f>(Table134[[#This Row],[Last_Day]]-Table134[[#This Row],[First_Day]]+1)/365</f>
        <v>1.4684931506849315</v>
      </c>
      <c r="J1448" s="59">
        <f>Table134[[#This Row],[number_of_purchases]]/Table134[[#This Row],[customer_total_years]]</f>
        <v>3.4048507462686568</v>
      </c>
      <c r="K1448" s="13">
        <f>Table134[[#This Row],[purchase_history]]/Table134[[#This Row],[number_of_purchases]]</f>
        <v>3491.0260000000003</v>
      </c>
      <c r="L1448" s="2">
        <f>IF(YEAR(Table134[[#This Row],[Last_Day]])=2021,5,IF(YEAR(Table134[[#This Row],[Last_Day]])=2022,7,IF(YEAR(Table134[[#This Row],[Last_Day]])=2023,10,"Không xác định")))</f>
        <v>7</v>
      </c>
      <c r="M1448" s="15">
        <f>Table134[[#This Row],[avg_number_of_purchases]]*Table1345[[#This Row],[avg_purchase_value]]*Table1345[[#This Row],[expected_lifespan]]</f>
        <v>83204.957369402997</v>
      </c>
      <c r="N1448" t="s">
        <v>12046</v>
      </c>
    </row>
    <row r="1449" spans="1:14" x14ac:dyDescent="0.3">
      <c r="A1449" s="2" t="s">
        <v>1447</v>
      </c>
      <c r="B1449" s="2" t="s">
        <v>12040</v>
      </c>
      <c r="C1449" s="2">
        <v>48</v>
      </c>
      <c r="D1449" s="2" t="s">
        <v>12041</v>
      </c>
      <c r="E1449" s="2">
        <f>COUNTIF(Table16[customer_id],Table13[[#This Row],[customer_id]])</f>
        <v>5</v>
      </c>
      <c r="F1449" s="13">
        <f>SUMIFS(Table16[Purchase_history],Table16[customer_id],Table13[[#This Row],[customer_id]])</f>
        <v>27994.079999999998</v>
      </c>
      <c r="G1449" s="20">
        <v>44464</v>
      </c>
      <c r="H1449" s="21">
        <v>44990</v>
      </c>
      <c r="I1449" s="15">
        <f>(Table134[[#This Row],[Last_Day]]-Table134[[#This Row],[First_Day]]+1)/365</f>
        <v>1.4438356164383561</v>
      </c>
      <c r="J1449" s="59">
        <f>Table134[[#This Row],[number_of_purchases]]/Table134[[#This Row],[customer_total_years]]</f>
        <v>3.4629981024667931</v>
      </c>
      <c r="K1449" s="13">
        <f>Table134[[#This Row],[purchase_history]]/Table134[[#This Row],[number_of_purchases]]</f>
        <v>5598.8159999999998</v>
      </c>
      <c r="L1449" s="2">
        <f>IF(YEAR(Table134[[#This Row],[Last_Day]])=2021,5,IF(YEAR(Table134[[#This Row],[Last_Day]])=2022,7,IF(YEAR(Table134[[#This Row],[Last_Day]])=2023,10,"Không xác định")))</f>
        <v>10</v>
      </c>
      <c r="M1449" s="15">
        <f>Table134[[#This Row],[avg_number_of_purchases]]*Table1345[[#This Row],[avg_purchase_value]]*Table1345[[#This Row],[expected_lifespan]]</f>
        <v>193886.89184060722</v>
      </c>
      <c r="N1449" t="s">
        <v>12048</v>
      </c>
    </row>
    <row r="1450" spans="1:14" x14ac:dyDescent="0.3">
      <c r="A1450" s="2" t="s">
        <v>1448</v>
      </c>
      <c r="B1450" s="2" t="s">
        <v>12040</v>
      </c>
      <c r="C1450" s="2">
        <v>47</v>
      </c>
      <c r="D1450" s="2" t="s">
        <v>12041</v>
      </c>
      <c r="E1450" s="2">
        <f>COUNTIF(Table16[customer_id],Table13[[#This Row],[customer_id]])</f>
        <v>3</v>
      </c>
      <c r="F1450" s="13">
        <f>SUMIFS(Table16[Purchase_history],Table16[customer_id],Table13[[#This Row],[customer_id]])</f>
        <v>4031.79</v>
      </c>
      <c r="G1450" s="20">
        <v>44705</v>
      </c>
      <c r="H1450" s="21">
        <v>44904</v>
      </c>
      <c r="I1450" s="15">
        <f>(Table134[[#This Row],[Last_Day]]-Table134[[#This Row],[First_Day]]+1)/365</f>
        <v>0.54794520547945202</v>
      </c>
      <c r="J1450" s="59">
        <f>Table134[[#This Row],[number_of_purchases]]/Table134[[#This Row],[customer_total_years]]</f>
        <v>5.4750000000000005</v>
      </c>
      <c r="K1450" s="13">
        <f>Table134[[#This Row],[purchase_history]]/Table134[[#This Row],[number_of_purchases]]</f>
        <v>1343.93</v>
      </c>
      <c r="L1450" s="2">
        <f>IF(YEAR(Table134[[#This Row],[Last_Day]])=2021,5,IF(YEAR(Table134[[#This Row],[Last_Day]])=2022,7,IF(YEAR(Table134[[#This Row],[Last_Day]])=2023,10,"Không xác định")))</f>
        <v>7</v>
      </c>
      <c r="M1450" s="15">
        <f>Table134[[#This Row],[avg_number_of_purchases]]*Table1345[[#This Row],[avg_purchase_value]]*Table1345[[#This Row],[expected_lifespan]]</f>
        <v>51506.117250000003</v>
      </c>
      <c r="N1450" t="s">
        <v>12047</v>
      </c>
    </row>
    <row r="1451" spans="1:14" x14ac:dyDescent="0.3">
      <c r="A1451" s="2" t="s">
        <v>1449</v>
      </c>
      <c r="B1451" s="2" t="s">
        <v>12045</v>
      </c>
      <c r="C1451" s="2">
        <v>21</v>
      </c>
      <c r="D1451" s="2" t="s">
        <v>12043</v>
      </c>
      <c r="E1451" s="2">
        <f>COUNTIF(Table16[customer_id],Table13[[#This Row],[customer_id]])</f>
        <v>7</v>
      </c>
      <c r="F1451" s="13">
        <f>SUMIFS(Table16[Purchase_history],Table16[customer_id],Table13[[#This Row],[customer_id]])</f>
        <v>11389.650000000001</v>
      </c>
      <c r="G1451" s="20">
        <v>44225</v>
      </c>
      <c r="H1451" s="21">
        <v>44906</v>
      </c>
      <c r="I1451" s="15">
        <f>(Table134[[#This Row],[Last_Day]]-Table134[[#This Row],[First_Day]]+1)/365</f>
        <v>1.8684931506849316</v>
      </c>
      <c r="J1451" s="59">
        <f>Table134[[#This Row],[number_of_purchases]]/Table134[[#This Row],[customer_total_years]]</f>
        <v>3.7463343108504397</v>
      </c>
      <c r="K1451" s="13">
        <f>Table134[[#This Row],[purchase_history]]/Table134[[#This Row],[number_of_purchases]]</f>
        <v>1627.0928571428574</v>
      </c>
      <c r="L1451" s="2">
        <f>IF(YEAR(Table134[[#This Row],[Last_Day]])=2021,5,IF(YEAR(Table134[[#This Row],[Last_Day]])=2022,7,IF(YEAR(Table134[[#This Row],[Last_Day]])=2023,10,"Không xác định")))</f>
        <v>7</v>
      </c>
      <c r="M1451" s="15">
        <f>Table134[[#This Row],[avg_number_of_purchases]]*Table1345[[#This Row],[avg_purchase_value]]*Table1345[[#This Row],[expected_lifespan]]</f>
        <v>42669.436583577721</v>
      </c>
      <c r="N1451" t="s">
        <v>12047</v>
      </c>
    </row>
    <row r="1452" spans="1:14" x14ac:dyDescent="0.3">
      <c r="A1452" s="2" t="s">
        <v>1450</v>
      </c>
      <c r="B1452" s="2" t="s">
        <v>12040</v>
      </c>
      <c r="C1452" s="2">
        <v>55</v>
      </c>
      <c r="D1452" s="2" t="s">
        <v>12049</v>
      </c>
      <c r="E1452" s="2">
        <f>COUNTIF(Table16[customer_id],Table13[[#This Row],[customer_id]])</f>
        <v>3</v>
      </c>
      <c r="F1452" s="13">
        <f>SUMIFS(Table16[Purchase_history],Table16[customer_id],Table13[[#This Row],[customer_id]])</f>
        <v>33835.68</v>
      </c>
      <c r="G1452" s="20">
        <v>44644</v>
      </c>
      <c r="H1452" s="21">
        <v>44857</v>
      </c>
      <c r="I1452" s="15">
        <f>(Table134[[#This Row],[Last_Day]]-Table134[[#This Row],[First_Day]]+1)/365</f>
        <v>0.58630136986301373</v>
      </c>
      <c r="J1452" s="59">
        <f>Table134[[#This Row],[number_of_purchases]]/Table134[[#This Row],[customer_total_years]]</f>
        <v>5.1168224299065415</v>
      </c>
      <c r="K1452" s="13">
        <f>Table134[[#This Row],[purchase_history]]/Table134[[#This Row],[number_of_purchases]]</f>
        <v>11278.56</v>
      </c>
      <c r="L1452" s="2">
        <f>IF(YEAR(Table134[[#This Row],[Last_Day]])=2021,5,IF(YEAR(Table134[[#This Row],[Last_Day]])=2022,7,IF(YEAR(Table134[[#This Row],[Last_Day]])=2023,10,"Không xác định")))</f>
        <v>7</v>
      </c>
      <c r="M1452" s="15">
        <f>Table134[[#This Row],[avg_number_of_purchases]]*Table1345[[#This Row],[avg_purchase_value]]*Table1345[[#This Row],[expected_lifespan]]</f>
        <v>403972.72149532707</v>
      </c>
      <c r="N1452" t="s">
        <v>12044</v>
      </c>
    </row>
    <row r="1453" spans="1:14" x14ac:dyDescent="0.3">
      <c r="A1453" s="2" t="s">
        <v>1451</v>
      </c>
      <c r="B1453" s="2" t="s">
        <v>12040</v>
      </c>
      <c r="C1453" s="2">
        <v>23</v>
      </c>
      <c r="D1453" s="2" t="s">
        <v>12041</v>
      </c>
      <c r="E1453" s="2">
        <f>COUNTIF(Table16[customer_id],Table13[[#This Row],[customer_id]])</f>
        <v>6</v>
      </c>
      <c r="F1453" s="13">
        <f>SUMIFS(Table16[Purchase_history],Table16[customer_id],Table13[[#This Row],[customer_id]])</f>
        <v>3257.09</v>
      </c>
      <c r="G1453" s="20">
        <v>44397</v>
      </c>
      <c r="H1453" s="21">
        <v>44855</v>
      </c>
      <c r="I1453" s="15">
        <f>(Table134[[#This Row],[Last_Day]]-Table134[[#This Row],[First_Day]]+1)/365</f>
        <v>1.2575342465753425</v>
      </c>
      <c r="J1453" s="59">
        <f>Table134[[#This Row],[number_of_purchases]]/Table134[[#This Row],[customer_total_years]]</f>
        <v>4.7712418300653594</v>
      </c>
      <c r="K1453" s="13">
        <f>Table134[[#This Row],[purchase_history]]/Table134[[#This Row],[number_of_purchases]]</f>
        <v>542.84833333333336</v>
      </c>
      <c r="L1453" s="2">
        <f>IF(YEAR(Table134[[#This Row],[Last_Day]])=2021,5,IF(YEAR(Table134[[#This Row],[Last_Day]])=2022,7,IF(YEAR(Table134[[#This Row],[Last_Day]])=2023,10,"Không xác định")))</f>
        <v>7</v>
      </c>
      <c r="M1453" s="15">
        <f>Table134[[#This Row],[avg_number_of_purchases]]*Table1345[[#This Row],[avg_purchase_value]]*Table1345[[#This Row],[expected_lifespan]]</f>
        <v>18130.424727668844</v>
      </c>
      <c r="N1453" t="s">
        <v>12042</v>
      </c>
    </row>
    <row r="1454" spans="1:14" x14ac:dyDescent="0.3">
      <c r="A1454" s="2" t="s">
        <v>1452</v>
      </c>
      <c r="B1454" s="2" t="s">
        <v>12040</v>
      </c>
      <c r="C1454" s="2">
        <v>61</v>
      </c>
      <c r="D1454" s="2" t="s">
        <v>12043</v>
      </c>
      <c r="E1454" s="2">
        <f>COUNTIF(Table16[customer_id],Table13[[#This Row],[customer_id]])</f>
        <v>6</v>
      </c>
      <c r="F1454" s="13">
        <f>SUMIFS(Table16[Purchase_history],Table16[customer_id],Table13[[#This Row],[customer_id]])</f>
        <v>20499.21</v>
      </c>
      <c r="G1454" s="20">
        <v>44348</v>
      </c>
      <c r="H1454" s="21">
        <v>44948</v>
      </c>
      <c r="I1454" s="15">
        <f>(Table134[[#This Row],[Last_Day]]-Table134[[#This Row],[First_Day]]+1)/365</f>
        <v>1.6465753424657534</v>
      </c>
      <c r="J1454" s="59">
        <f>Table134[[#This Row],[number_of_purchases]]/Table134[[#This Row],[customer_total_years]]</f>
        <v>3.643926788685524</v>
      </c>
      <c r="K1454" s="13">
        <f>Table134[[#This Row],[purchase_history]]/Table134[[#This Row],[number_of_purchases]]</f>
        <v>3416.5349999999999</v>
      </c>
      <c r="L1454" s="2">
        <f>IF(YEAR(Table134[[#This Row],[Last_Day]])=2021,5,IF(YEAR(Table134[[#This Row],[Last_Day]])=2022,7,IF(YEAR(Table134[[#This Row],[Last_Day]])=2023,10,"Không xác định")))</f>
        <v>10</v>
      </c>
      <c r="M1454" s="15">
        <f>Table134[[#This Row],[avg_number_of_purchases]]*Table1345[[#This Row],[avg_purchase_value]]*Table1345[[#This Row],[expected_lifespan]]</f>
        <v>124496.03410981696</v>
      </c>
      <c r="N1454" t="s">
        <v>12047</v>
      </c>
    </row>
    <row r="1455" spans="1:14" x14ac:dyDescent="0.3">
      <c r="A1455" s="2" t="s">
        <v>1453</v>
      </c>
      <c r="B1455" s="2" t="s">
        <v>12045</v>
      </c>
      <c r="C1455" s="2">
        <v>27</v>
      </c>
      <c r="D1455" s="2" t="s">
        <v>12043</v>
      </c>
      <c r="E1455" s="2">
        <f>COUNTIF(Table16[customer_id],Table13[[#This Row],[customer_id]])</f>
        <v>7</v>
      </c>
      <c r="F1455" s="13">
        <f>SUMIFS(Table16[Purchase_history],Table16[customer_id],Table13[[#This Row],[customer_id]])</f>
        <v>15947.889999999998</v>
      </c>
      <c r="G1455" s="20">
        <v>44480</v>
      </c>
      <c r="H1455" s="21">
        <v>44857</v>
      </c>
      <c r="I1455" s="15">
        <f>(Table134[[#This Row],[Last_Day]]-Table134[[#This Row],[First_Day]]+1)/365</f>
        <v>1.0356164383561643</v>
      </c>
      <c r="J1455" s="59">
        <f>Table134[[#This Row],[number_of_purchases]]/Table134[[#This Row],[customer_total_years]]</f>
        <v>6.7592592592592595</v>
      </c>
      <c r="K1455" s="13">
        <f>Table134[[#This Row],[purchase_history]]/Table134[[#This Row],[number_of_purchases]]</f>
        <v>2278.2699999999995</v>
      </c>
      <c r="L1455" s="2">
        <f>IF(YEAR(Table134[[#This Row],[Last_Day]])=2021,5,IF(YEAR(Table134[[#This Row],[Last_Day]])=2022,7,IF(YEAR(Table134[[#This Row],[Last_Day]])=2023,10,"Không xác định")))</f>
        <v>7</v>
      </c>
      <c r="M1455" s="15">
        <f>Table134[[#This Row],[avg_number_of_purchases]]*Table1345[[#This Row],[avg_purchase_value]]*Table1345[[#This Row],[expected_lifespan]]</f>
        <v>107795.92314814813</v>
      </c>
      <c r="N1455" t="s">
        <v>12046</v>
      </c>
    </row>
    <row r="1456" spans="1:14" x14ac:dyDescent="0.3">
      <c r="A1456" s="2" t="s">
        <v>1454</v>
      </c>
      <c r="B1456" s="2" t="s">
        <v>12045</v>
      </c>
      <c r="C1456" s="2">
        <v>32</v>
      </c>
      <c r="D1456" s="2" t="s">
        <v>12043</v>
      </c>
      <c r="E1456" s="2">
        <f>COUNTIF(Table16[customer_id],Table13[[#This Row],[customer_id]])</f>
        <v>1</v>
      </c>
      <c r="F1456" s="13">
        <f>SUMIFS(Table16[Purchase_history],Table16[customer_id],Table13[[#This Row],[customer_id]])</f>
        <v>365.94</v>
      </c>
      <c r="G1456" s="20">
        <v>44820</v>
      </c>
      <c r="H1456" s="21">
        <v>44820</v>
      </c>
      <c r="I1456" s="15">
        <f>(Table134[[#This Row],[Last_Day]]-Table134[[#This Row],[First_Day]]+1)/365</f>
        <v>2.7397260273972603E-3</v>
      </c>
      <c r="J1456" s="59">
        <f>Table134[[#This Row],[number_of_purchases]]/Table134[[#This Row],[customer_total_years]]</f>
        <v>365</v>
      </c>
      <c r="K1456" s="13">
        <f>Table134[[#This Row],[purchase_history]]/Table134[[#This Row],[number_of_purchases]]</f>
        <v>365.94</v>
      </c>
      <c r="L1456" s="2">
        <f>IF(YEAR(Table134[[#This Row],[Last_Day]])=2021,5,IF(YEAR(Table134[[#This Row],[Last_Day]])=2022,7,IF(YEAR(Table134[[#This Row],[Last_Day]])=2023,10,"Không xác định")))</f>
        <v>7</v>
      </c>
      <c r="M1456" s="15">
        <f>Table134[[#This Row],[avg_number_of_purchases]]*Table1345[[#This Row],[avg_purchase_value]]*Table1345[[#This Row],[expected_lifespan]]</f>
        <v>934976.70000000007</v>
      </c>
      <c r="N1456" t="s">
        <v>12046</v>
      </c>
    </row>
    <row r="1457" spans="1:14" x14ac:dyDescent="0.3">
      <c r="A1457" s="2" t="s">
        <v>1455</v>
      </c>
      <c r="B1457" s="2" t="s">
        <v>12045</v>
      </c>
      <c r="C1457" s="2">
        <v>41</v>
      </c>
      <c r="D1457" s="2" t="s">
        <v>12049</v>
      </c>
      <c r="E1457" s="2">
        <f>COUNTIF(Table16[customer_id],Table13[[#This Row],[customer_id]])</f>
        <v>4</v>
      </c>
      <c r="F1457" s="13">
        <f>SUMIFS(Table16[Purchase_history],Table16[customer_id],Table13[[#This Row],[customer_id]])</f>
        <v>28781.39</v>
      </c>
      <c r="G1457" s="20">
        <v>44259</v>
      </c>
      <c r="H1457" s="21">
        <v>44834</v>
      </c>
      <c r="I1457" s="15">
        <f>(Table134[[#This Row],[Last_Day]]-Table134[[#This Row],[First_Day]]+1)/365</f>
        <v>1.5780821917808219</v>
      </c>
      <c r="J1457" s="59">
        <f>Table134[[#This Row],[number_of_purchases]]/Table134[[#This Row],[customer_total_years]]</f>
        <v>2.5347222222222223</v>
      </c>
      <c r="K1457" s="13">
        <f>Table134[[#This Row],[purchase_history]]/Table134[[#This Row],[number_of_purchases]]</f>
        <v>7195.3474999999999</v>
      </c>
      <c r="L1457" s="2">
        <f>IF(YEAR(Table134[[#This Row],[Last_Day]])=2021,5,IF(YEAR(Table134[[#This Row],[Last_Day]])=2022,7,IF(YEAR(Table134[[#This Row],[Last_Day]])=2023,10,"Không xác định")))</f>
        <v>7</v>
      </c>
      <c r="M1457" s="15">
        <f>Table134[[#This Row],[avg_number_of_purchases]]*Table1345[[#This Row],[avg_purchase_value]]*Table1345[[#This Row],[expected_lifespan]]</f>
        <v>127667.45043402778</v>
      </c>
      <c r="N1457" t="s">
        <v>12042</v>
      </c>
    </row>
    <row r="1458" spans="1:14" x14ac:dyDescent="0.3">
      <c r="A1458" s="2" t="s">
        <v>1456</v>
      </c>
      <c r="B1458" s="2" t="s">
        <v>12040</v>
      </c>
      <c r="C1458" s="2">
        <v>56</v>
      </c>
      <c r="D1458" s="2" t="s">
        <v>12043</v>
      </c>
      <c r="E1458" s="2">
        <f>COUNTIF(Table16[customer_id],Table13[[#This Row],[customer_id]])</f>
        <v>7</v>
      </c>
      <c r="F1458" s="13">
        <f>SUMIFS(Table16[Purchase_history],Table16[customer_id],Table13[[#This Row],[customer_id]])</f>
        <v>3662.2700000000004</v>
      </c>
      <c r="G1458" s="20">
        <v>44433</v>
      </c>
      <c r="H1458" s="21">
        <v>44853</v>
      </c>
      <c r="I1458" s="15">
        <f>(Table134[[#This Row],[Last_Day]]-Table134[[#This Row],[First_Day]]+1)/365</f>
        <v>1.1534246575342466</v>
      </c>
      <c r="J1458" s="59">
        <f>Table134[[#This Row],[number_of_purchases]]/Table134[[#This Row],[customer_total_years]]</f>
        <v>6.068883610451306</v>
      </c>
      <c r="K1458" s="13">
        <f>Table134[[#This Row],[purchase_history]]/Table134[[#This Row],[number_of_purchases]]</f>
        <v>523.18142857142868</v>
      </c>
      <c r="L1458" s="2">
        <f>IF(YEAR(Table134[[#This Row],[Last_Day]])=2021,5,IF(YEAR(Table134[[#This Row],[Last_Day]])=2022,7,IF(YEAR(Table134[[#This Row],[Last_Day]])=2023,10,"Không xác định")))</f>
        <v>7</v>
      </c>
      <c r="M1458" s="15">
        <f>Table134[[#This Row],[avg_number_of_purchases]]*Table1345[[#This Row],[avg_purchase_value]]*Table1345[[#This Row],[expected_lifespan]]</f>
        <v>22225.890380047509</v>
      </c>
      <c r="N1458" t="s">
        <v>12048</v>
      </c>
    </row>
    <row r="1459" spans="1:14" x14ac:dyDescent="0.3">
      <c r="A1459" s="2" t="s">
        <v>1457</v>
      </c>
      <c r="B1459" s="2" t="s">
        <v>12040</v>
      </c>
      <c r="C1459" s="2">
        <v>50</v>
      </c>
      <c r="D1459" s="2" t="s">
        <v>12049</v>
      </c>
      <c r="E1459" s="2">
        <f>COUNTIF(Table16[customer_id],Table13[[#This Row],[customer_id]])</f>
        <v>5</v>
      </c>
      <c r="F1459" s="13">
        <f>SUMIFS(Table16[Purchase_history],Table16[customer_id],Table13[[#This Row],[customer_id]])</f>
        <v>2199.3999999999996</v>
      </c>
      <c r="G1459" s="20">
        <v>44650</v>
      </c>
      <c r="H1459" s="21">
        <v>44978</v>
      </c>
      <c r="I1459" s="15">
        <f>(Table134[[#This Row],[Last_Day]]-Table134[[#This Row],[First_Day]]+1)/365</f>
        <v>0.90136986301369859</v>
      </c>
      <c r="J1459" s="59">
        <f>Table134[[#This Row],[number_of_purchases]]/Table134[[#This Row],[customer_total_years]]</f>
        <v>5.547112462006079</v>
      </c>
      <c r="K1459" s="13">
        <f>Table134[[#This Row],[purchase_history]]/Table134[[#This Row],[number_of_purchases]]</f>
        <v>439.87999999999994</v>
      </c>
      <c r="L1459" s="2">
        <f>IF(YEAR(Table134[[#This Row],[Last_Day]])=2021,5,IF(YEAR(Table134[[#This Row],[Last_Day]])=2022,7,IF(YEAR(Table134[[#This Row],[Last_Day]])=2023,10,"Không xác định")))</f>
        <v>10</v>
      </c>
      <c r="M1459" s="15">
        <f>Table134[[#This Row],[avg_number_of_purchases]]*Table1345[[#This Row],[avg_purchase_value]]*Table1345[[#This Row],[expected_lifespan]]</f>
        <v>24400.638297872338</v>
      </c>
      <c r="N1459" t="s">
        <v>12047</v>
      </c>
    </row>
    <row r="1460" spans="1:14" x14ac:dyDescent="0.3">
      <c r="A1460" s="2" t="s">
        <v>1458</v>
      </c>
      <c r="B1460" s="2" t="s">
        <v>12040</v>
      </c>
      <c r="C1460" s="2">
        <v>68</v>
      </c>
      <c r="D1460" s="2" t="s">
        <v>12043</v>
      </c>
      <c r="E1460" s="2">
        <f>COUNTIF(Table16[customer_id],Table13[[#This Row],[customer_id]])</f>
        <v>8</v>
      </c>
      <c r="F1460" s="13">
        <f>SUMIFS(Table16[Purchase_history],Table16[customer_id],Table13[[#This Row],[customer_id]])</f>
        <v>13991.529999999999</v>
      </c>
      <c r="G1460" s="20">
        <v>44222</v>
      </c>
      <c r="H1460" s="21">
        <v>44898</v>
      </c>
      <c r="I1460" s="15">
        <f>(Table134[[#This Row],[Last_Day]]-Table134[[#This Row],[First_Day]]+1)/365</f>
        <v>1.8547945205479452</v>
      </c>
      <c r="J1460" s="59">
        <f>Table134[[#This Row],[number_of_purchases]]/Table134[[#This Row],[customer_total_years]]</f>
        <v>4.3131462333825699</v>
      </c>
      <c r="K1460" s="13">
        <f>Table134[[#This Row],[purchase_history]]/Table134[[#This Row],[number_of_purchases]]</f>
        <v>1748.9412499999999</v>
      </c>
      <c r="L1460" s="2">
        <f>IF(YEAR(Table134[[#This Row],[Last_Day]])=2021,5,IF(YEAR(Table134[[#This Row],[Last_Day]])=2022,7,IF(YEAR(Table134[[#This Row],[Last_Day]])=2023,10,"Không xác định")))</f>
        <v>7</v>
      </c>
      <c r="M1460" s="15">
        <f>Table134[[#This Row],[avg_number_of_purchases]]*Table1345[[#This Row],[avg_purchase_value]]*Table1345[[#This Row],[expected_lifespan]]</f>
        <v>52804.075553914321</v>
      </c>
      <c r="N1460" t="s">
        <v>12046</v>
      </c>
    </row>
    <row r="1461" spans="1:14" x14ac:dyDescent="0.3">
      <c r="A1461" s="2" t="s">
        <v>1459</v>
      </c>
      <c r="B1461" s="2" t="s">
        <v>12040</v>
      </c>
      <c r="C1461" s="2">
        <v>25</v>
      </c>
      <c r="D1461" s="2" t="s">
        <v>12041</v>
      </c>
      <c r="E1461" s="2">
        <f>COUNTIF(Table16[customer_id],Table13[[#This Row],[customer_id]])</f>
        <v>3</v>
      </c>
      <c r="F1461" s="13">
        <f>SUMIFS(Table16[Purchase_history],Table16[customer_id],Table13[[#This Row],[customer_id]])</f>
        <v>6164.24</v>
      </c>
      <c r="G1461" s="20">
        <v>44271</v>
      </c>
      <c r="H1461" s="21">
        <v>44914</v>
      </c>
      <c r="I1461" s="15">
        <f>(Table134[[#This Row],[Last_Day]]-Table134[[#This Row],[First_Day]]+1)/365</f>
        <v>1.7643835616438357</v>
      </c>
      <c r="J1461" s="59">
        <f>Table134[[#This Row],[number_of_purchases]]/Table134[[#This Row],[customer_total_years]]</f>
        <v>1.7003105590062111</v>
      </c>
      <c r="K1461" s="13">
        <f>Table134[[#This Row],[purchase_history]]/Table134[[#This Row],[number_of_purchases]]</f>
        <v>2054.7466666666664</v>
      </c>
      <c r="L1461" s="2">
        <f>IF(YEAR(Table134[[#This Row],[Last_Day]])=2021,5,IF(YEAR(Table134[[#This Row],[Last_Day]])=2022,7,IF(YEAR(Table134[[#This Row],[Last_Day]])=2023,10,"Không xác định")))</f>
        <v>7</v>
      </c>
      <c r="M1461" s="15">
        <f>Table134[[#This Row],[avg_number_of_purchases]]*Table1345[[#This Row],[avg_purchase_value]]*Table1345[[#This Row],[expected_lifespan]]</f>
        <v>24455.95217391304</v>
      </c>
      <c r="N1461" t="s">
        <v>12042</v>
      </c>
    </row>
    <row r="1462" spans="1:14" x14ac:dyDescent="0.3">
      <c r="A1462" s="2" t="s">
        <v>1460</v>
      </c>
      <c r="B1462" s="2" t="s">
        <v>12040</v>
      </c>
      <c r="C1462" s="2">
        <v>67</v>
      </c>
      <c r="D1462" s="2" t="s">
        <v>12041</v>
      </c>
      <c r="E1462" s="2">
        <f>COUNTIF(Table16[customer_id],Table13[[#This Row],[customer_id]])</f>
        <v>3</v>
      </c>
      <c r="F1462" s="13">
        <f>SUMIFS(Table16[Purchase_history],Table16[customer_id],Table13[[#This Row],[customer_id]])</f>
        <v>381.4</v>
      </c>
      <c r="G1462" s="20">
        <v>44534</v>
      </c>
      <c r="H1462" s="21">
        <v>44882</v>
      </c>
      <c r="I1462" s="15">
        <f>(Table134[[#This Row],[Last_Day]]-Table134[[#This Row],[First_Day]]+1)/365</f>
        <v>0.95616438356164379</v>
      </c>
      <c r="J1462" s="59">
        <f>Table134[[#This Row],[number_of_purchases]]/Table134[[#This Row],[customer_total_years]]</f>
        <v>3.1375358166189113</v>
      </c>
      <c r="K1462" s="13">
        <f>Table134[[#This Row],[purchase_history]]/Table134[[#This Row],[number_of_purchases]]</f>
        <v>127.13333333333333</v>
      </c>
      <c r="L1462" s="2">
        <f>IF(YEAR(Table134[[#This Row],[Last_Day]])=2021,5,IF(YEAR(Table134[[#This Row],[Last_Day]])=2022,7,IF(YEAR(Table134[[#This Row],[Last_Day]])=2023,10,"Không xác định")))</f>
        <v>7</v>
      </c>
      <c r="M1462" s="15">
        <f>Table134[[#This Row],[avg_number_of_purchases]]*Table1345[[#This Row],[avg_purchase_value]]*Table1345[[#This Row],[expected_lifespan]]</f>
        <v>2792.1977077363895</v>
      </c>
      <c r="N1462" t="s">
        <v>12044</v>
      </c>
    </row>
    <row r="1463" spans="1:14" x14ac:dyDescent="0.3">
      <c r="A1463" s="2" t="s">
        <v>1461</v>
      </c>
      <c r="B1463" s="2" t="s">
        <v>12045</v>
      </c>
      <c r="C1463" s="2">
        <v>38</v>
      </c>
      <c r="D1463" s="2" t="s">
        <v>12041</v>
      </c>
      <c r="E1463" s="2">
        <f>COUNTIF(Table16[customer_id],Table13[[#This Row],[customer_id]])</f>
        <v>10</v>
      </c>
      <c r="F1463" s="13">
        <f>SUMIFS(Table16[Purchase_history],Table16[customer_id],Table13[[#This Row],[customer_id]])</f>
        <v>33037.179999999993</v>
      </c>
      <c r="G1463" s="20">
        <v>44304</v>
      </c>
      <c r="H1463" s="21">
        <v>44950</v>
      </c>
      <c r="I1463" s="15">
        <f>(Table134[[#This Row],[Last_Day]]-Table134[[#This Row],[First_Day]]+1)/365</f>
        <v>1.7726027397260273</v>
      </c>
      <c r="J1463" s="59">
        <f>Table134[[#This Row],[number_of_purchases]]/Table134[[#This Row],[customer_total_years]]</f>
        <v>5.6414219474497687</v>
      </c>
      <c r="K1463" s="13">
        <f>Table134[[#This Row],[purchase_history]]/Table134[[#This Row],[number_of_purchases]]</f>
        <v>3303.7179999999994</v>
      </c>
      <c r="L1463" s="2">
        <f>IF(YEAR(Table134[[#This Row],[Last_Day]])=2021,5,IF(YEAR(Table134[[#This Row],[Last_Day]])=2022,7,IF(YEAR(Table134[[#This Row],[Last_Day]])=2023,10,"Không xác định")))</f>
        <v>10</v>
      </c>
      <c r="M1463" s="15">
        <f>Table134[[#This Row],[avg_number_of_purchases]]*Table1345[[#This Row],[avg_purchase_value]]*Table1345[[#This Row],[expected_lifespan]]</f>
        <v>186376.67233384852</v>
      </c>
      <c r="N1463" t="s">
        <v>12044</v>
      </c>
    </row>
    <row r="1464" spans="1:14" x14ac:dyDescent="0.3">
      <c r="A1464" s="2" t="s">
        <v>1462</v>
      </c>
      <c r="B1464" s="2" t="s">
        <v>12040</v>
      </c>
      <c r="C1464" s="2">
        <v>68</v>
      </c>
      <c r="D1464" s="2" t="s">
        <v>12041</v>
      </c>
      <c r="E1464" s="2">
        <f>COUNTIF(Table16[customer_id],Table13[[#This Row],[customer_id]])</f>
        <v>5</v>
      </c>
      <c r="F1464" s="13">
        <f>SUMIFS(Table16[Purchase_history],Table16[customer_id],Table13[[#This Row],[customer_id]])</f>
        <v>6130.29</v>
      </c>
      <c r="G1464" s="20">
        <v>44314</v>
      </c>
      <c r="H1464" s="21">
        <v>44809</v>
      </c>
      <c r="I1464" s="15">
        <f>(Table134[[#This Row],[Last_Day]]-Table134[[#This Row],[First_Day]]+1)/365</f>
        <v>1.3589041095890411</v>
      </c>
      <c r="J1464" s="59">
        <f>Table134[[#This Row],[number_of_purchases]]/Table134[[#This Row],[customer_total_years]]</f>
        <v>3.679435483870968</v>
      </c>
      <c r="K1464" s="13">
        <f>Table134[[#This Row],[purchase_history]]/Table134[[#This Row],[number_of_purchases]]</f>
        <v>1226.058</v>
      </c>
      <c r="L1464" s="2">
        <f>IF(YEAR(Table134[[#This Row],[Last_Day]])=2021,5,IF(YEAR(Table134[[#This Row],[Last_Day]])=2022,7,IF(YEAR(Table134[[#This Row],[Last_Day]])=2023,10,"Không xác định")))</f>
        <v>7</v>
      </c>
      <c r="M1464" s="15">
        <f>Table134[[#This Row],[avg_number_of_purchases]]*Table1345[[#This Row],[avg_purchase_value]]*Table1345[[#This Row],[expected_lifespan]]</f>
        <v>31578.409173387103</v>
      </c>
      <c r="N1464" t="s">
        <v>12048</v>
      </c>
    </row>
    <row r="1465" spans="1:14" x14ac:dyDescent="0.3">
      <c r="A1465" s="2" t="s">
        <v>1463</v>
      </c>
      <c r="B1465" s="2" t="s">
        <v>12045</v>
      </c>
      <c r="C1465" s="2">
        <v>21</v>
      </c>
      <c r="D1465" s="2" t="s">
        <v>12043</v>
      </c>
      <c r="E1465" s="2">
        <f>COUNTIF(Table16[customer_id],Table13[[#This Row],[customer_id]])</f>
        <v>3</v>
      </c>
      <c r="F1465" s="13">
        <f>SUMIFS(Table16[Purchase_history],Table16[customer_id],Table13[[#This Row],[customer_id]])</f>
        <v>1265.6299999999999</v>
      </c>
      <c r="G1465" s="20">
        <v>44285</v>
      </c>
      <c r="H1465" s="21">
        <v>44703</v>
      </c>
      <c r="I1465" s="15">
        <f>(Table134[[#This Row],[Last_Day]]-Table134[[#This Row],[First_Day]]+1)/365</f>
        <v>1.1479452054794521</v>
      </c>
      <c r="J1465" s="59">
        <f>Table134[[#This Row],[number_of_purchases]]/Table134[[#This Row],[customer_total_years]]</f>
        <v>2.6133651551312647</v>
      </c>
      <c r="K1465" s="13">
        <f>Table134[[#This Row],[purchase_history]]/Table134[[#This Row],[number_of_purchases]]</f>
        <v>421.87666666666661</v>
      </c>
      <c r="L1465" s="2">
        <f>IF(YEAR(Table134[[#This Row],[Last_Day]])=2021,5,IF(YEAR(Table134[[#This Row],[Last_Day]])=2022,7,IF(YEAR(Table134[[#This Row],[Last_Day]])=2023,10,"Không xác định")))</f>
        <v>7</v>
      </c>
      <c r="M1465" s="15">
        <f>Table134[[#This Row],[avg_number_of_purchases]]*Table1345[[#This Row],[avg_purchase_value]]*Table1345[[#This Row],[expected_lifespan]]</f>
        <v>7717.6244630071578</v>
      </c>
      <c r="N1465" t="s">
        <v>12044</v>
      </c>
    </row>
    <row r="1466" spans="1:14" x14ac:dyDescent="0.3">
      <c r="A1466" s="2" t="s">
        <v>1464</v>
      </c>
      <c r="B1466" s="2" t="s">
        <v>12045</v>
      </c>
      <c r="C1466" s="2">
        <v>58</v>
      </c>
      <c r="D1466" s="2" t="s">
        <v>12043</v>
      </c>
      <c r="E1466" s="2">
        <f>COUNTIF(Table16[customer_id],Table13[[#This Row],[customer_id]])</f>
        <v>5</v>
      </c>
      <c r="F1466" s="13">
        <f>SUMIFS(Table16[Purchase_history],Table16[customer_id],Table13[[#This Row],[customer_id]])</f>
        <v>27620.45</v>
      </c>
      <c r="G1466" s="20">
        <v>44286</v>
      </c>
      <c r="H1466" s="21">
        <v>44767</v>
      </c>
      <c r="I1466" s="15">
        <f>(Table134[[#This Row],[Last_Day]]-Table134[[#This Row],[First_Day]]+1)/365</f>
        <v>1.3205479452054794</v>
      </c>
      <c r="J1466" s="59">
        <f>Table134[[#This Row],[number_of_purchases]]/Table134[[#This Row],[customer_total_years]]</f>
        <v>3.786307053941909</v>
      </c>
      <c r="K1466" s="13">
        <f>Table134[[#This Row],[purchase_history]]/Table134[[#This Row],[number_of_purchases]]</f>
        <v>5524.09</v>
      </c>
      <c r="L1466" s="2">
        <f>IF(YEAR(Table134[[#This Row],[Last_Day]])=2021,5,IF(YEAR(Table134[[#This Row],[Last_Day]])=2022,7,IF(YEAR(Table134[[#This Row],[Last_Day]])=2023,10,"Không xác định")))</f>
        <v>7</v>
      </c>
      <c r="M1466" s="15">
        <f>Table134[[#This Row],[avg_number_of_purchases]]*Table1345[[#This Row],[avg_purchase_value]]*Table1345[[#This Row],[expected_lifespan]]</f>
        <v>146411.30653526974</v>
      </c>
      <c r="N1466" t="s">
        <v>12048</v>
      </c>
    </row>
    <row r="1467" spans="1:14" x14ac:dyDescent="0.3">
      <c r="A1467" s="2" t="s">
        <v>1465</v>
      </c>
      <c r="B1467" s="2" t="s">
        <v>12040</v>
      </c>
      <c r="C1467" s="2">
        <v>39</v>
      </c>
      <c r="D1467" s="2" t="s">
        <v>12041</v>
      </c>
      <c r="E1467" s="2">
        <f>COUNTIF(Table16[customer_id],Table13[[#This Row],[customer_id]])</f>
        <v>3</v>
      </c>
      <c r="F1467" s="13">
        <f>SUMIFS(Table16[Purchase_history],Table16[customer_id],Table13[[#This Row],[customer_id]])</f>
        <v>5542.94</v>
      </c>
      <c r="G1467" s="20">
        <v>44354</v>
      </c>
      <c r="H1467" s="21">
        <v>44906</v>
      </c>
      <c r="I1467" s="15">
        <f>(Table134[[#This Row],[Last_Day]]-Table134[[#This Row],[First_Day]]+1)/365</f>
        <v>1.515068493150685</v>
      </c>
      <c r="J1467" s="59">
        <f>Table134[[#This Row],[number_of_purchases]]/Table134[[#This Row],[customer_total_years]]</f>
        <v>1.9801084990958406</v>
      </c>
      <c r="K1467" s="13">
        <f>Table134[[#This Row],[purchase_history]]/Table134[[#This Row],[number_of_purchases]]</f>
        <v>1847.6466666666665</v>
      </c>
      <c r="L1467" s="2">
        <f>IF(YEAR(Table134[[#This Row],[Last_Day]])=2021,5,IF(YEAR(Table134[[#This Row],[Last_Day]])=2022,7,IF(YEAR(Table134[[#This Row],[Last_Day]])=2023,10,"Không xác định")))</f>
        <v>7</v>
      </c>
      <c r="M1467" s="15">
        <f>Table134[[#This Row],[avg_number_of_purchases]]*Table1345[[#This Row],[avg_purchase_value]]*Table1345[[#This Row],[expected_lifespan]]</f>
        <v>25609.786075949363</v>
      </c>
      <c r="N1467" t="s">
        <v>12042</v>
      </c>
    </row>
    <row r="1468" spans="1:14" x14ac:dyDescent="0.3">
      <c r="A1468" s="2" t="s">
        <v>1466</v>
      </c>
      <c r="B1468" s="2" t="s">
        <v>12040</v>
      </c>
      <c r="C1468" s="2">
        <v>56</v>
      </c>
      <c r="D1468" s="2" t="s">
        <v>12041</v>
      </c>
      <c r="E1468" s="2">
        <f>COUNTIF(Table16[customer_id],Table13[[#This Row],[customer_id]])</f>
        <v>3</v>
      </c>
      <c r="F1468" s="13">
        <f>SUMIFS(Table16[Purchase_history],Table16[customer_id],Table13[[#This Row],[customer_id]])</f>
        <v>752.81</v>
      </c>
      <c r="G1468" s="20">
        <v>44575</v>
      </c>
      <c r="H1468" s="21">
        <v>44797</v>
      </c>
      <c r="I1468" s="15">
        <f>(Table134[[#This Row],[Last_Day]]-Table134[[#This Row],[First_Day]]+1)/365</f>
        <v>0.61095890410958908</v>
      </c>
      <c r="J1468" s="59">
        <f>Table134[[#This Row],[number_of_purchases]]/Table134[[#This Row],[customer_total_years]]</f>
        <v>4.9103139013452912</v>
      </c>
      <c r="K1468" s="13">
        <f>Table134[[#This Row],[purchase_history]]/Table134[[#This Row],[number_of_purchases]]</f>
        <v>250.93666666666664</v>
      </c>
      <c r="L1468" s="2">
        <f>IF(YEAR(Table134[[#This Row],[Last_Day]])=2021,5,IF(YEAR(Table134[[#This Row],[Last_Day]])=2022,7,IF(YEAR(Table134[[#This Row],[Last_Day]])=2023,10,"Không xác định")))</f>
        <v>7</v>
      </c>
      <c r="M1468" s="15">
        <f>Table134[[#This Row],[avg_number_of_purchases]]*Table1345[[#This Row],[avg_purchase_value]]*Table1345[[#This Row],[expected_lifespan]]</f>
        <v>8625.2446188340782</v>
      </c>
      <c r="N1468" t="s">
        <v>12048</v>
      </c>
    </row>
    <row r="1469" spans="1:14" x14ac:dyDescent="0.3">
      <c r="A1469" s="2" t="s">
        <v>1467</v>
      </c>
      <c r="B1469" s="2" t="s">
        <v>12040</v>
      </c>
      <c r="C1469" s="2">
        <v>28</v>
      </c>
      <c r="D1469" s="2" t="s">
        <v>12041</v>
      </c>
      <c r="E1469" s="2">
        <f>COUNTIF(Table16[customer_id],Table13[[#This Row],[customer_id]])</f>
        <v>1</v>
      </c>
      <c r="F1469" s="13">
        <f>SUMIFS(Table16[Purchase_history],Table16[customer_id],Table13[[#This Row],[customer_id]])</f>
        <v>4801.28</v>
      </c>
      <c r="G1469" s="20">
        <v>44512</v>
      </c>
      <c r="H1469" s="21">
        <v>44512</v>
      </c>
      <c r="I1469" s="15">
        <f>(Table134[[#This Row],[Last_Day]]-Table134[[#This Row],[First_Day]]+1)/365</f>
        <v>2.7397260273972603E-3</v>
      </c>
      <c r="J1469" s="59">
        <f>Table134[[#This Row],[number_of_purchases]]/Table134[[#This Row],[customer_total_years]]</f>
        <v>365</v>
      </c>
      <c r="K1469" s="13">
        <f>Table134[[#This Row],[purchase_history]]/Table134[[#This Row],[number_of_purchases]]</f>
        <v>4801.28</v>
      </c>
      <c r="L1469" s="2">
        <f>IF(YEAR(Table134[[#This Row],[Last_Day]])=2021,5,IF(YEAR(Table134[[#This Row],[Last_Day]])=2022,7,IF(YEAR(Table134[[#This Row],[Last_Day]])=2023,10,"Không xác định")))</f>
        <v>5</v>
      </c>
      <c r="M1469" s="15">
        <f>Table134[[#This Row],[avg_number_of_purchases]]*Table1345[[#This Row],[avg_purchase_value]]*Table1345[[#This Row],[expected_lifespan]]</f>
        <v>8762336</v>
      </c>
      <c r="N1469" t="s">
        <v>12048</v>
      </c>
    </row>
    <row r="1470" spans="1:14" x14ac:dyDescent="0.3">
      <c r="A1470" s="2" t="s">
        <v>1468</v>
      </c>
      <c r="B1470" s="2" t="s">
        <v>12040</v>
      </c>
      <c r="C1470" s="2">
        <v>39</v>
      </c>
      <c r="D1470" s="2" t="s">
        <v>12041</v>
      </c>
      <c r="E1470" s="2">
        <f>COUNTIF(Table16[customer_id],Table13[[#This Row],[customer_id]])</f>
        <v>9</v>
      </c>
      <c r="F1470" s="13">
        <f>SUMIFS(Table16[Purchase_history],Table16[customer_id],Table13[[#This Row],[customer_id]])</f>
        <v>16451.34</v>
      </c>
      <c r="G1470" s="20">
        <v>44231</v>
      </c>
      <c r="H1470" s="21">
        <v>44932</v>
      </c>
      <c r="I1470" s="15">
        <f>(Table134[[#This Row],[Last_Day]]-Table134[[#This Row],[First_Day]]+1)/365</f>
        <v>1.9232876712328768</v>
      </c>
      <c r="J1470" s="59">
        <f>Table134[[#This Row],[number_of_purchases]]/Table134[[#This Row],[customer_total_years]]</f>
        <v>4.6794871794871788</v>
      </c>
      <c r="K1470" s="13">
        <f>Table134[[#This Row],[purchase_history]]/Table134[[#This Row],[number_of_purchases]]</f>
        <v>1827.9266666666667</v>
      </c>
      <c r="L1470" s="2">
        <f>IF(YEAR(Table134[[#This Row],[Last_Day]])=2021,5,IF(YEAR(Table134[[#This Row],[Last_Day]])=2022,7,IF(YEAR(Table134[[#This Row],[Last_Day]])=2023,10,"Không xác định")))</f>
        <v>10</v>
      </c>
      <c r="M1470" s="15">
        <f>Table134[[#This Row],[avg_number_of_purchases]]*Table1345[[#This Row],[avg_purchase_value]]*Table1345[[#This Row],[expected_lifespan]]</f>
        <v>85537.594017094016</v>
      </c>
      <c r="N1470" t="s">
        <v>12044</v>
      </c>
    </row>
    <row r="1471" spans="1:14" x14ac:dyDescent="0.3">
      <c r="A1471" s="2" t="s">
        <v>1469</v>
      </c>
      <c r="B1471" s="2" t="s">
        <v>12040</v>
      </c>
      <c r="C1471" s="2">
        <v>59</v>
      </c>
      <c r="D1471" s="2" t="s">
        <v>12043</v>
      </c>
      <c r="E1471" s="2">
        <f>COUNTIF(Table16[customer_id],Table13[[#This Row],[customer_id]])</f>
        <v>5</v>
      </c>
      <c r="F1471" s="13">
        <f>SUMIFS(Table16[Purchase_history],Table16[customer_id],Table13[[#This Row],[customer_id]])</f>
        <v>12879.09</v>
      </c>
      <c r="G1471" s="20">
        <v>44294</v>
      </c>
      <c r="H1471" s="21">
        <v>44836</v>
      </c>
      <c r="I1471" s="15">
        <f>(Table134[[#This Row],[Last_Day]]-Table134[[#This Row],[First_Day]]+1)/365</f>
        <v>1.4876712328767123</v>
      </c>
      <c r="J1471" s="59">
        <f>Table134[[#This Row],[number_of_purchases]]/Table134[[#This Row],[customer_total_years]]</f>
        <v>3.3609576427255985</v>
      </c>
      <c r="K1471" s="13">
        <f>Table134[[#This Row],[purchase_history]]/Table134[[#This Row],[number_of_purchases]]</f>
        <v>2575.8180000000002</v>
      </c>
      <c r="L1471" s="2">
        <f>IF(YEAR(Table134[[#This Row],[Last_Day]])=2021,5,IF(YEAR(Table134[[#This Row],[Last_Day]])=2022,7,IF(YEAR(Table134[[#This Row],[Last_Day]])=2023,10,"Không xác định")))</f>
        <v>7</v>
      </c>
      <c r="M1471" s="15">
        <f>Table134[[#This Row],[avg_number_of_purchases]]*Table1345[[#This Row],[avg_purchase_value]]*Table1345[[#This Row],[expected_lifespan]]</f>
        <v>60600.506353591161</v>
      </c>
      <c r="N1471" t="s">
        <v>12047</v>
      </c>
    </row>
    <row r="1472" spans="1:14" x14ac:dyDescent="0.3">
      <c r="A1472" s="2" t="s">
        <v>1470</v>
      </c>
      <c r="B1472" s="2" t="s">
        <v>12045</v>
      </c>
      <c r="C1472" s="2">
        <v>68</v>
      </c>
      <c r="D1472" s="2" t="s">
        <v>12043</v>
      </c>
      <c r="E1472" s="2">
        <f>COUNTIF(Table16[customer_id],Table13[[#This Row],[customer_id]])</f>
        <v>6</v>
      </c>
      <c r="F1472" s="13">
        <f>SUMIFS(Table16[Purchase_history],Table16[customer_id],Table13[[#This Row],[customer_id]])</f>
        <v>15811.57</v>
      </c>
      <c r="G1472" s="20">
        <v>44318</v>
      </c>
      <c r="H1472" s="21">
        <v>44924</v>
      </c>
      <c r="I1472" s="15">
        <f>(Table134[[#This Row],[Last_Day]]-Table134[[#This Row],[First_Day]]+1)/365</f>
        <v>1.6630136986301369</v>
      </c>
      <c r="J1472" s="59">
        <f>Table134[[#This Row],[number_of_purchases]]/Table134[[#This Row],[customer_total_years]]</f>
        <v>3.6079077429983526</v>
      </c>
      <c r="K1472" s="13">
        <f>Table134[[#This Row],[purchase_history]]/Table134[[#This Row],[number_of_purchases]]</f>
        <v>2635.2616666666668</v>
      </c>
      <c r="L1472" s="2">
        <f>IF(YEAR(Table134[[#This Row],[Last_Day]])=2021,5,IF(YEAR(Table134[[#This Row],[Last_Day]])=2022,7,IF(YEAR(Table134[[#This Row],[Last_Day]])=2023,10,"Không xác định")))</f>
        <v>7</v>
      </c>
      <c r="M1472" s="15">
        <f>Table134[[#This Row],[avg_number_of_purchases]]*Table1345[[#This Row],[avg_purchase_value]]*Table1345[[#This Row],[expected_lifespan]]</f>
        <v>66554.466803953866</v>
      </c>
      <c r="N1472" t="s">
        <v>12048</v>
      </c>
    </row>
    <row r="1473" spans="1:14" x14ac:dyDescent="0.3">
      <c r="A1473" s="2" t="s">
        <v>1471</v>
      </c>
      <c r="B1473" s="2" t="s">
        <v>12040</v>
      </c>
      <c r="C1473" s="2">
        <v>29</v>
      </c>
      <c r="D1473" s="2" t="s">
        <v>12041</v>
      </c>
      <c r="E1473" s="2">
        <f>COUNTIF(Table16[customer_id],Table13[[#This Row],[customer_id]])</f>
        <v>4</v>
      </c>
      <c r="F1473" s="13">
        <f>SUMIFS(Table16[Purchase_history],Table16[customer_id],Table13[[#This Row],[customer_id]])</f>
        <v>16677.87</v>
      </c>
      <c r="G1473" s="20">
        <v>44284</v>
      </c>
      <c r="H1473" s="21">
        <v>44908</v>
      </c>
      <c r="I1473" s="15">
        <f>(Table134[[#This Row],[Last_Day]]-Table134[[#This Row],[First_Day]]+1)/365</f>
        <v>1.7123287671232876</v>
      </c>
      <c r="J1473" s="59">
        <f>Table134[[#This Row],[number_of_purchases]]/Table134[[#This Row],[customer_total_years]]</f>
        <v>2.3359999999999999</v>
      </c>
      <c r="K1473" s="13">
        <f>Table134[[#This Row],[purchase_history]]/Table134[[#This Row],[number_of_purchases]]</f>
        <v>4169.4674999999997</v>
      </c>
      <c r="L1473" s="2">
        <f>IF(YEAR(Table134[[#This Row],[Last_Day]])=2021,5,IF(YEAR(Table134[[#This Row],[Last_Day]])=2022,7,IF(YEAR(Table134[[#This Row],[Last_Day]])=2023,10,"Không xác định")))</f>
        <v>7</v>
      </c>
      <c r="M1473" s="15">
        <f>Table134[[#This Row],[avg_number_of_purchases]]*Table1345[[#This Row],[avg_purchase_value]]*Table1345[[#This Row],[expected_lifespan]]</f>
        <v>68179.132559999984</v>
      </c>
      <c r="N1473" t="s">
        <v>12047</v>
      </c>
    </row>
    <row r="1474" spans="1:14" x14ac:dyDescent="0.3">
      <c r="A1474" s="2" t="s">
        <v>1472</v>
      </c>
      <c r="B1474" s="2" t="s">
        <v>12040</v>
      </c>
      <c r="C1474" s="2">
        <v>51</v>
      </c>
      <c r="D1474" s="2" t="s">
        <v>12043</v>
      </c>
      <c r="E1474" s="2">
        <f>COUNTIF(Table16[customer_id],Table13[[#This Row],[customer_id]])</f>
        <v>7</v>
      </c>
      <c r="F1474" s="13">
        <f>SUMIFS(Table16[Purchase_history],Table16[customer_id],Table13[[#This Row],[customer_id]])</f>
        <v>28921.07</v>
      </c>
      <c r="G1474" s="20">
        <v>44314</v>
      </c>
      <c r="H1474" s="21">
        <v>44862</v>
      </c>
      <c r="I1474" s="15">
        <f>(Table134[[#This Row],[Last_Day]]-Table134[[#This Row],[First_Day]]+1)/365</f>
        <v>1.5041095890410958</v>
      </c>
      <c r="J1474" s="59">
        <f>Table134[[#This Row],[number_of_purchases]]/Table134[[#This Row],[customer_total_years]]</f>
        <v>4.6539162112932608</v>
      </c>
      <c r="K1474" s="13">
        <f>Table134[[#This Row],[purchase_history]]/Table134[[#This Row],[number_of_purchases]]</f>
        <v>4131.5814285714287</v>
      </c>
      <c r="L1474" s="2">
        <f>IF(YEAR(Table134[[#This Row],[Last_Day]])=2021,5,IF(YEAR(Table134[[#This Row],[Last_Day]])=2022,7,IF(YEAR(Table134[[#This Row],[Last_Day]])=2023,10,"Không xác định")))</f>
        <v>7</v>
      </c>
      <c r="M1474" s="15">
        <f>Table134[[#This Row],[avg_number_of_purchases]]*Table1345[[#This Row],[avg_purchase_value]]*Table1345[[#This Row],[expected_lifespan]]</f>
        <v>134596.23652094719</v>
      </c>
      <c r="N1474" t="s">
        <v>12047</v>
      </c>
    </row>
    <row r="1475" spans="1:14" x14ac:dyDescent="0.3">
      <c r="A1475" s="2" t="s">
        <v>1473</v>
      </c>
      <c r="B1475" s="2" t="s">
        <v>12045</v>
      </c>
      <c r="C1475" s="2">
        <v>41</v>
      </c>
      <c r="D1475" s="2" t="s">
        <v>12041</v>
      </c>
      <c r="E1475" s="2">
        <f>COUNTIF(Table16[customer_id],Table13[[#This Row],[customer_id]])</f>
        <v>5</v>
      </c>
      <c r="F1475" s="13">
        <f>SUMIFS(Table16[Purchase_history],Table16[customer_id],Table13[[#This Row],[customer_id]])</f>
        <v>2602.62</v>
      </c>
      <c r="G1475" s="20">
        <v>44572</v>
      </c>
      <c r="H1475" s="21">
        <v>44909</v>
      </c>
      <c r="I1475" s="15">
        <f>(Table134[[#This Row],[Last_Day]]-Table134[[#This Row],[First_Day]]+1)/365</f>
        <v>0.92602739726027394</v>
      </c>
      <c r="J1475" s="59">
        <f>Table134[[#This Row],[number_of_purchases]]/Table134[[#This Row],[customer_total_years]]</f>
        <v>5.3994082840236688</v>
      </c>
      <c r="K1475" s="13">
        <f>Table134[[#This Row],[purchase_history]]/Table134[[#This Row],[number_of_purchases]]</f>
        <v>520.524</v>
      </c>
      <c r="L1475" s="2">
        <f>IF(YEAR(Table134[[#This Row],[Last_Day]])=2021,5,IF(YEAR(Table134[[#This Row],[Last_Day]])=2022,7,IF(YEAR(Table134[[#This Row],[Last_Day]])=2023,10,"Không xác định")))</f>
        <v>7</v>
      </c>
      <c r="M1475" s="15">
        <f>Table134[[#This Row],[avg_number_of_purchases]]*Table1345[[#This Row],[avg_purchase_value]]*Table1345[[#This Row],[expected_lifespan]]</f>
        <v>19673.651183431954</v>
      </c>
      <c r="N1475" t="s">
        <v>12047</v>
      </c>
    </row>
    <row r="1476" spans="1:14" x14ac:dyDescent="0.3">
      <c r="A1476" s="2" t="s">
        <v>1474</v>
      </c>
      <c r="B1476" s="2" t="s">
        <v>12040</v>
      </c>
      <c r="C1476" s="2">
        <v>34</v>
      </c>
      <c r="D1476" s="2" t="s">
        <v>12043</v>
      </c>
      <c r="E1476" s="2">
        <f>COUNTIF(Table16[customer_id],Table13[[#This Row],[customer_id]])</f>
        <v>5</v>
      </c>
      <c r="F1476" s="13">
        <f>SUMIFS(Table16[Purchase_history],Table16[customer_id],Table13[[#This Row],[customer_id]])</f>
        <v>13994.88</v>
      </c>
      <c r="G1476" s="20">
        <v>44249</v>
      </c>
      <c r="H1476" s="21">
        <v>44571</v>
      </c>
      <c r="I1476" s="15">
        <f>(Table134[[#This Row],[Last_Day]]-Table134[[#This Row],[First_Day]]+1)/365</f>
        <v>0.8849315068493151</v>
      </c>
      <c r="J1476" s="59">
        <f>Table134[[#This Row],[number_of_purchases]]/Table134[[#This Row],[customer_total_years]]</f>
        <v>5.6501547987616094</v>
      </c>
      <c r="K1476" s="13">
        <f>Table134[[#This Row],[purchase_history]]/Table134[[#This Row],[number_of_purchases]]</f>
        <v>2798.9759999999997</v>
      </c>
      <c r="L1476" s="2">
        <f>IF(YEAR(Table134[[#This Row],[Last_Day]])=2021,5,IF(YEAR(Table134[[#This Row],[Last_Day]])=2022,7,IF(YEAR(Table134[[#This Row],[Last_Day]])=2023,10,"Không xác định")))</f>
        <v>7</v>
      </c>
      <c r="M1476" s="15">
        <f>Table134[[#This Row],[avg_number_of_purchases]]*Table1345[[#This Row],[avg_purchase_value]]*Table1345[[#This Row],[expected_lifespan]]</f>
        <v>110702.53374613001</v>
      </c>
      <c r="N1476" t="s">
        <v>12046</v>
      </c>
    </row>
    <row r="1477" spans="1:14" x14ac:dyDescent="0.3">
      <c r="A1477" s="2" t="s">
        <v>1475</v>
      </c>
      <c r="B1477" s="2" t="s">
        <v>12045</v>
      </c>
      <c r="C1477" s="2">
        <v>18</v>
      </c>
      <c r="D1477" s="2" t="s">
        <v>12041</v>
      </c>
      <c r="E1477" s="2">
        <f>COUNTIF(Table16[customer_id],Table13[[#This Row],[customer_id]])</f>
        <v>6</v>
      </c>
      <c r="F1477" s="13">
        <f>SUMIFS(Table16[Purchase_history],Table16[customer_id],Table13[[#This Row],[customer_id]])</f>
        <v>9983.9599999999991</v>
      </c>
      <c r="G1477" s="20">
        <v>44299</v>
      </c>
      <c r="H1477" s="21">
        <v>44993</v>
      </c>
      <c r="I1477" s="15">
        <f>(Table134[[#This Row],[Last_Day]]-Table134[[#This Row],[First_Day]]+1)/365</f>
        <v>1.904109589041096</v>
      </c>
      <c r="J1477" s="59">
        <f>Table134[[#This Row],[number_of_purchases]]/Table134[[#This Row],[customer_total_years]]</f>
        <v>3.1510791366906474</v>
      </c>
      <c r="K1477" s="13">
        <f>Table134[[#This Row],[purchase_history]]/Table134[[#This Row],[number_of_purchases]]</f>
        <v>1663.9933333333331</v>
      </c>
      <c r="L1477" s="2">
        <f>IF(YEAR(Table134[[#This Row],[Last_Day]])=2021,5,IF(YEAR(Table134[[#This Row],[Last_Day]])=2022,7,IF(YEAR(Table134[[#This Row],[Last_Day]])=2023,10,"Không xác định")))</f>
        <v>10</v>
      </c>
      <c r="M1477" s="15">
        <f>Table134[[#This Row],[avg_number_of_purchases]]*Table1345[[#This Row],[avg_purchase_value]]*Table1345[[#This Row],[expected_lifespan]]</f>
        <v>52433.746762589915</v>
      </c>
      <c r="N1477" t="s">
        <v>12048</v>
      </c>
    </row>
    <row r="1478" spans="1:14" x14ac:dyDescent="0.3">
      <c r="A1478" s="2" t="s">
        <v>1476</v>
      </c>
      <c r="B1478" s="2" t="s">
        <v>12040</v>
      </c>
      <c r="C1478" s="2">
        <v>44</v>
      </c>
      <c r="D1478" s="2" t="s">
        <v>12043</v>
      </c>
      <c r="E1478" s="2">
        <f>COUNTIF(Table16[customer_id],Table13[[#This Row],[customer_id]])</f>
        <v>5</v>
      </c>
      <c r="F1478" s="13">
        <f>SUMIFS(Table16[Purchase_history],Table16[customer_id],Table13[[#This Row],[customer_id]])</f>
        <v>10182.14</v>
      </c>
      <c r="G1478" s="20">
        <v>44301</v>
      </c>
      <c r="H1478" s="21">
        <v>44876</v>
      </c>
      <c r="I1478" s="15">
        <f>(Table134[[#This Row],[Last_Day]]-Table134[[#This Row],[First_Day]]+1)/365</f>
        <v>1.5780821917808219</v>
      </c>
      <c r="J1478" s="59">
        <f>Table134[[#This Row],[number_of_purchases]]/Table134[[#This Row],[customer_total_years]]</f>
        <v>3.1684027777777777</v>
      </c>
      <c r="K1478" s="13">
        <f>Table134[[#This Row],[purchase_history]]/Table134[[#This Row],[number_of_purchases]]</f>
        <v>2036.4279999999999</v>
      </c>
      <c r="L1478" s="2">
        <f>IF(YEAR(Table134[[#This Row],[Last_Day]])=2021,5,IF(YEAR(Table134[[#This Row],[Last_Day]])=2022,7,IF(YEAR(Table134[[#This Row],[Last_Day]])=2023,10,"Không xác định")))</f>
        <v>7</v>
      </c>
      <c r="M1478" s="15">
        <f>Table134[[#This Row],[avg_number_of_purchases]]*Table1345[[#This Row],[avg_purchase_value]]*Table1345[[#This Row],[expected_lifespan]]</f>
        <v>45165.568923611107</v>
      </c>
      <c r="N1478" t="s">
        <v>12044</v>
      </c>
    </row>
    <row r="1479" spans="1:14" x14ac:dyDescent="0.3">
      <c r="A1479" s="2" t="s">
        <v>1477</v>
      </c>
      <c r="B1479" s="2" t="s">
        <v>12045</v>
      </c>
      <c r="C1479" s="2">
        <v>43</v>
      </c>
      <c r="D1479" s="2" t="s">
        <v>12043</v>
      </c>
      <c r="E1479" s="2">
        <f>COUNTIF(Table16[customer_id],Table13[[#This Row],[customer_id]])</f>
        <v>2</v>
      </c>
      <c r="F1479" s="13">
        <f>SUMIFS(Table16[Purchase_history],Table16[customer_id],Table13[[#This Row],[customer_id]])</f>
        <v>4813.0099999999993</v>
      </c>
      <c r="G1479" s="20">
        <v>44240</v>
      </c>
      <c r="H1479" s="21">
        <v>44349</v>
      </c>
      <c r="I1479" s="15">
        <f>(Table134[[#This Row],[Last_Day]]-Table134[[#This Row],[First_Day]]+1)/365</f>
        <v>0.30136986301369861</v>
      </c>
      <c r="J1479" s="59">
        <f>Table134[[#This Row],[number_of_purchases]]/Table134[[#This Row],[customer_total_years]]</f>
        <v>6.6363636363636367</v>
      </c>
      <c r="K1479" s="13">
        <f>Table134[[#This Row],[purchase_history]]/Table134[[#This Row],[number_of_purchases]]</f>
        <v>2406.5049999999997</v>
      </c>
      <c r="L1479" s="2">
        <f>IF(YEAR(Table134[[#This Row],[Last_Day]])=2021,5,IF(YEAR(Table134[[#This Row],[Last_Day]])=2022,7,IF(YEAR(Table134[[#This Row],[Last_Day]])=2023,10,"Không xác định")))</f>
        <v>5</v>
      </c>
      <c r="M1479" s="15">
        <f>Table134[[#This Row],[avg_number_of_purchases]]*Table1345[[#This Row],[avg_purchase_value]]*Table1345[[#This Row],[expected_lifespan]]</f>
        <v>79852.21136363635</v>
      </c>
      <c r="N1479" t="s">
        <v>12044</v>
      </c>
    </row>
    <row r="1480" spans="1:14" x14ac:dyDescent="0.3">
      <c r="A1480" s="2" t="s">
        <v>1478</v>
      </c>
      <c r="B1480" s="2" t="s">
        <v>12040</v>
      </c>
      <c r="C1480" s="2">
        <v>67</v>
      </c>
      <c r="D1480" s="2" t="s">
        <v>12049</v>
      </c>
      <c r="E1480" s="2">
        <f>COUNTIF(Table16[customer_id],Table13[[#This Row],[customer_id]])</f>
        <v>5</v>
      </c>
      <c r="F1480" s="13">
        <f>SUMIFS(Table16[Purchase_history],Table16[customer_id],Table13[[#This Row],[customer_id]])</f>
        <v>15408.68</v>
      </c>
      <c r="G1480" s="20">
        <v>44429</v>
      </c>
      <c r="H1480" s="21">
        <v>44991</v>
      </c>
      <c r="I1480" s="15">
        <f>(Table134[[#This Row],[Last_Day]]-Table134[[#This Row],[First_Day]]+1)/365</f>
        <v>1.5424657534246575</v>
      </c>
      <c r="J1480" s="59">
        <f>Table134[[#This Row],[number_of_purchases]]/Table134[[#This Row],[customer_total_years]]</f>
        <v>3.241563055062167</v>
      </c>
      <c r="K1480" s="13">
        <f>Table134[[#This Row],[purchase_history]]/Table134[[#This Row],[number_of_purchases]]</f>
        <v>3081.7359999999999</v>
      </c>
      <c r="L1480" s="2">
        <f>IF(YEAR(Table134[[#This Row],[Last_Day]])=2021,5,IF(YEAR(Table134[[#This Row],[Last_Day]])=2022,7,IF(YEAR(Table134[[#This Row],[Last_Day]])=2023,10,"Không xác định")))</f>
        <v>10</v>
      </c>
      <c r="M1480" s="15">
        <f>Table134[[#This Row],[avg_number_of_purchases]]*Table1345[[#This Row],[avg_purchase_value]]*Table1345[[#This Row],[expected_lifespan]]</f>
        <v>99896.415630550619</v>
      </c>
      <c r="N1480" t="s">
        <v>12042</v>
      </c>
    </row>
    <row r="1481" spans="1:14" x14ac:dyDescent="0.3">
      <c r="A1481" s="2" t="s">
        <v>1479</v>
      </c>
      <c r="B1481" s="2" t="s">
        <v>12045</v>
      </c>
      <c r="C1481" s="2">
        <v>29</v>
      </c>
      <c r="D1481" s="2" t="s">
        <v>12043</v>
      </c>
      <c r="E1481" s="2">
        <f>COUNTIF(Table16[customer_id],Table13[[#This Row],[customer_id]])</f>
        <v>5</v>
      </c>
      <c r="F1481" s="13">
        <f>SUMIFS(Table16[Purchase_history],Table16[customer_id],Table13[[#This Row],[customer_id]])</f>
        <v>5067.3999999999996</v>
      </c>
      <c r="G1481" s="20">
        <v>44230</v>
      </c>
      <c r="H1481" s="21">
        <v>44564</v>
      </c>
      <c r="I1481" s="15">
        <f>(Table134[[#This Row],[Last_Day]]-Table134[[#This Row],[First_Day]]+1)/365</f>
        <v>0.9178082191780822</v>
      </c>
      <c r="J1481" s="59">
        <f>Table134[[#This Row],[number_of_purchases]]/Table134[[#This Row],[customer_total_years]]</f>
        <v>5.4477611940298507</v>
      </c>
      <c r="K1481" s="13">
        <f>Table134[[#This Row],[purchase_history]]/Table134[[#This Row],[number_of_purchases]]</f>
        <v>1013.4799999999999</v>
      </c>
      <c r="L1481" s="2">
        <f>IF(YEAR(Table134[[#This Row],[Last_Day]])=2021,5,IF(YEAR(Table134[[#This Row],[Last_Day]])=2022,7,IF(YEAR(Table134[[#This Row],[Last_Day]])=2023,10,"Không xác định")))</f>
        <v>7</v>
      </c>
      <c r="M1481" s="15">
        <f>Table134[[#This Row],[avg_number_of_purchases]]*Table1345[[#This Row],[avg_purchase_value]]*Table1345[[#This Row],[expected_lifespan]]</f>
        <v>38648.379104477608</v>
      </c>
      <c r="N1481" t="s">
        <v>12044</v>
      </c>
    </row>
    <row r="1482" spans="1:14" x14ac:dyDescent="0.3">
      <c r="A1482" s="2" t="s">
        <v>1480</v>
      </c>
      <c r="B1482" s="2" t="s">
        <v>12045</v>
      </c>
      <c r="C1482" s="2">
        <v>64</v>
      </c>
      <c r="D1482" s="2" t="s">
        <v>12041</v>
      </c>
      <c r="E1482" s="2">
        <f>COUNTIF(Table16[customer_id],Table13[[#This Row],[customer_id]])</f>
        <v>7</v>
      </c>
      <c r="F1482" s="13">
        <f>SUMIFS(Table16[Purchase_history],Table16[customer_id],Table13[[#This Row],[customer_id]])</f>
        <v>1061.6100000000001</v>
      </c>
      <c r="G1482" s="20">
        <v>44308</v>
      </c>
      <c r="H1482" s="21">
        <v>44989</v>
      </c>
      <c r="I1482" s="15">
        <f>(Table134[[#This Row],[Last_Day]]-Table134[[#This Row],[First_Day]]+1)/365</f>
        <v>1.8684931506849316</v>
      </c>
      <c r="J1482" s="59">
        <f>Table134[[#This Row],[number_of_purchases]]/Table134[[#This Row],[customer_total_years]]</f>
        <v>3.7463343108504397</v>
      </c>
      <c r="K1482" s="13">
        <f>Table134[[#This Row],[purchase_history]]/Table134[[#This Row],[number_of_purchases]]</f>
        <v>151.65857142857143</v>
      </c>
      <c r="L1482" s="2">
        <f>IF(YEAR(Table134[[#This Row],[Last_Day]])=2021,5,IF(YEAR(Table134[[#This Row],[Last_Day]])=2022,7,IF(YEAR(Table134[[#This Row],[Last_Day]])=2023,10,"Không xác định")))</f>
        <v>10</v>
      </c>
      <c r="M1482" s="15">
        <f>Table134[[#This Row],[avg_number_of_purchases]]*Table1345[[#This Row],[avg_purchase_value]]*Table1345[[#This Row],[expected_lifespan]]</f>
        <v>5681.6370967741932</v>
      </c>
      <c r="N1482" t="s">
        <v>12048</v>
      </c>
    </row>
    <row r="1483" spans="1:14" x14ac:dyDescent="0.3">
      <c r="A1483" s="2" t="s">
        <v>1481</v>
      </c>
      <c r="B1483" s="2" t="s">
        <v>12045</v>
      </c>
      <c r="C1483" s="2">
        <v>55</v>
      </c>
      <c r="D1483" s="2" t="s">
        <v>12049</v>
      </c>
      <c r="E1483" s="2">
        <f>COUNTIF(Table16[customer_id],Table13[[#This Row],[customer_id]])</f>
        <v>3</v>
      </c>
      <c r="F1483" s="13">
        <f>SUMIFS(Table16[Purchase_history],Table16[customer_id],Table13[[#This Row],[customer_id]])</f>
        <v>6367.5399999999991</v>
      </c>
      <c r="G1483" s="20">
        <v>44283</v>
      </c>
      <c r="H1483" s="21">
        <v>44525</v>
      </c>
      <c r="I1483" s="15">
        <f>(Table134[[#This Row],[Last_Day]]-Table134[[#This Row],[First_Day]]+1)/365</f>
        <v>0.66575342465753429</v>
      </c>
      <c r="J1483" s="59">
        <f>Table134[[#This Row],[number_of_purchases]]/Table134[[#This Row],[customer_total_years]]</f>
        <v>4.5061728395061724</v>
      </c>
      <c r="K1483" s="13">
        <f>Table134[[#This Row],[purchase_history]]/Table134[[#This Row],[number_of_purchases]]</f>
        <v>2122.5133333333329</v>
      </c>
      <c r="L1483" s="2">
        <f>IF(YEAR(Table134[[#This Row],[Last_Day]])=2021,5,IF(YEAR(Table134[[#This Row],[Last_Day]])=2022,7,IF(YEAR(Table134[[#This Row],[Last_Day]])=2023,10,"Không xác định")))</f>
        <v>5</v>
      </c>
      <c r="M1483" s="15">
        <f>Table134[[#This Row],[avg_number_of_purchases]]*Table1345[[#This Row],[avg_purchase_value]]*Table1345[[#This Row],[expected_lifespan]]</f>
        <v>47822.059670781884</v>
      </c>
      <c r="N1483" t="s">
        <v>12042</v>
      </c>
    </row>
    <row r="1484" spans="1:14" x14ac:dyDescent="0.3">
      <c r="A1484" s="2" t="s">
        <v>1482</v>
      </c>
      <c r="B1484" s="2" t="s">
        <v>12040</v>
      </c>
      <c r="C1484" s="2">
        <v>26</v>
      </c>
      <c r="D1484" s="2" t="s">
        <v>12043</v>
      </c>
      <c r="E1484" s="2">
        <f>COUNTIF(Table16[customer_id],Table13[[#This Row],[customer_id]])</f>
        <v>6</v>
      </c>
      <c r="F1484" s="13">
        <f>SUMIFS(Table16[Purchase_history],Table16[customer_id],Table13[[#This Row],[customer_id]])</f>
        <v>8983.5999999999985</v>
      </c>
      <c r="G1484" s="20">
        <v>44436</v>
      </c>
      <c r="H1484" s="21">
        <v>44942</v>
      </c>
      <c r="I1484" s="15">
        <f>(Table134[[#This Row],[Last_Day]]-Table134[[#This Row],[First_Day]]+1)/365</f>
        <v>1.3890410958904109</v>
      </c>
      <c r="J1484" s="59">
        <f>Table134[[#This Row],[number_of_purchases]]/Table134[[#This Row],[customer_total_years]]</f>
        <v>4.3195266272189352</v>
      </c>
      <c r="K1484" s="13">
        <f>Table134[[#This Row],[purchase_history]]/Table134[[#This Row],[number_of_purchases]]</f>
        <v>1497.2666666666664</v>
      </c>
      <c r="L1484" s="2">
        <f>IF(YEAR(Table134[[#This Row],[Last_Day]])=2021,5,IF(YEAR(Table134[[#This Row],[Last_Day]])=2022,7,IF(YEAR(Table134[[#This Row],[Last_Day]])=2023,10,"Không xác định")))</f>
        <v>10</v>
      </c>
      <c r="M1484" s="15">
        <f>Table134[[#This Row],[avg_number_of_purchases]]*Table1345[[#This Row],[avg_purchase_value]]*Table1345[[#This Row],[expected_lifespan]]</f>
        <v>64674.832347140036</v>
      </c>
      <c r="N1484" t="s">
        <v>12048</v>
      </c>
    </row>
    <row r="1485" spans="1:14" x14ac:dyDescent="0.3">
      <c r="A1485" s="2" t="s">
        <v>1483</v>
      </c>
      <c r="B1485" s="2" t="s">
        <v>12040</v>
      </c>
      <c r="C1485" s="2">
        <v>20</v>
      </c>
      <c r="D1485" s="2" t="s">
        <v>12049</v>
      </c>
      <c r="E1485" s="2">
        <f>COUNTIF(Table16[customer_id],Table13[[#This Row],[customer_id]])</f>
        <v>4</v>
      </c>
      <c r="F1485" s="13">
        <f>SUMIFS(Table16[Purchase_history],Table16[customer_id],Table13[[#This Row],[customer_id]])</f>
        <v>266.73</v>
      </c>
      <c r="G1485" s="20">
        <v>44281</v>
      </c>
      <c r="H1485" s="21">
        <v>44678</v>
      </c>
      <c r="I1485" s="15">
        <f>(Table134[[#This Row],[Last_Day]]-Table134[[#This Row],[First_Day]]+1)/365</f>
        <v>1.0904109589041096</v>
      </c>
      <c r="J1485" s="59">
        <f>Table134[[#This Row],[number_of_purchases]]/Table134[[#This Row],[customer_total_years]]</f>
        <v>3.6683417085427137</v>
      </c>
      <c r="K1485" s="13">
        <f>Table134[[#This Row],[purchase_history]]/Table134[[#This Row],[number_of_purchases]]</f>
        <v>66.682500000000005</v>
      </c>
      <c r="L1485" s="2">
        <f>IF(YEAR(Table134[[#This Row],[Last_Day]])=2021,5,IF(YEAR(Table134[[#This Row],[Last_Day]])=2022,7,IF(YEAR(Table134[[#This Row],[Last_Day]])=2023,10,"Không xác định")))</f>
        <v>7</v>
      </c>
      <c r="M1485" s="15">
        <f>Table134[[#This Row],[avg_number_of_purchases]]*Table1345[[#This Row],[avg_purchase_value]]*Table1345[[#This Row],[expected_lifespan]]</f>
        <v>1712.2993718592968</v>
      </c>
      <c r="N1485" t="s">
        <v>12044</v>
      </c>
    </row>
    <row r="1486" spans="1:14" x14ac:dyDescent="0.3">
      <c r="A1486" s="2" t="s">
        <v>1484</v>
      </c>
      <c r="B1486" s="2" t="s">
        <v>12040</v>
      </c>
      <c r="C1486" s="2">
        <v>56</v>
      </c>
      <c r="D1486" s="2" t="s">
        <v>12041</v>
      </c>
      <c r="E1486" s="2">
        <f>COUNTIF(Table16[customer_id],Table13[[#This Row],[customer_id]])</f>
        <v>6</v>
      </c>
      <c r="F1486" s="13">
        <f>SUMIFS(Table16[Purchase_history],Table16[customer_id],Table13[[#This Row],[customer_id]])</f>
        <v>14240.27</v>
      </c>
      <c r="G1486" s="20">
        <v>44313</v>
      </c>
      <c r="H1486" s="21">
        <v>44862</v>
      </c>
      <c r="I1486" s="15">
        <f>(Table134[[#This Row],[Last_Day]]-Table134[[#This Row],[First_Day]]+1)/365</f>
        <v>1.5068493150684932</v>
      </c>
      <c r="J1486" s="59">
        <f>Table134[[#This Row],[number_of_purchases]]/Table134[[#This Row],[customer_total_years]]</f>
        <v>3.9818181818181819</v>
      </c>
      <c r="K1486" s="13">
        <f>Table134[[#This Row],[purchase_history]]/Table134[[#This Row],[number_of_purchases]]</f>
        <v>2373.3783333333336</v>
      </c>
      <c r="L1486" s="2">
        <f>IF(YEAR(Table134[[#This Row],[Last_Day]])=2021,5,IF(YEAR(Table134[[#This Row],[Last_Day]])=2022,7,IF(YEAR(Table134[[#This Row],[Last_Day]])=2023,10,"Không xác định")))</f>
        <v>7</v>
      </c>
      <c r="M1486" s="15">
        <f>Table134[[#This Row],[avg_number_of_purchases]]*Table1345[[#This Row],[avg_purchase_value]]*Table1345[[#This Row],[expected_lifespan]]</f>
        <v>66152.527000000002</v>
      </c>
      <c r="N1486" t="s">
        <v>12048</v>
      </c>
    </row>
    <row r="1487" spans="1:14" x14ac:dyDescent="0.3">
      <c r="A1487" s="2" t="s">
        <v>1485</v>
      </c>
      <c r="B1487" s="2" t="s">
        <v>12040</v>
      </c>
      <c r="C1487" s="2">
        <v>42</v>
      </c>
      <c r="D1487" s="2" t="s">
        <v>12041</v>
      </c>
      <c r="E1487" s="2">
        <f>COUNTIF(Table16[customer_id],Table13[[#This Row],[customer_id]])</f>
        <v>7</v>
      </c>
      <c r="F1487" s="13">
        <f>SUMIFS(Table16[Purchase_history],Table16[customer_id],Table13[[#This Row],[customer_id]])</f>
        <v>18283.39</v>
      </c>
      <c r="G1487" s="20">
        <v>44405</v>
      </c>
      <c r="H1487" s="21">
        <v>44825</v>
      </c>
      <c r="I1487" s="15">
        <f>(Table134[[#This Row],[Last_Day]]-Table134[[#This Row],[First_Day]]+1)/365</f>
        <v>1.1534246575342466</v>
      </c>
      <c r="J1487" s="59">
        <f>Table134[[#This Row],[number_of_purchases]]/Table134[[#This Row],[customer_total_years]]</f>
        <v>6.068883610451306</v>
      </c>
      <c r="K1487" s="13">
        <f>Table134[[#This Row],[purchase_history]]/Table134[[#This Row],[number_of_purchases]]</f>
        <v>2611.9128571428569</v>
      </c>
      <c r="L1487" s="2">
        <f>IF(YEAR(Table134[[#This Row],[Last_Day]])=2021,5,IF(YEAR(Table134[[#This Row],[Last_Day]])=2022,7,IF(YEAR(Table134[[#This Row],[Last_Day]])=2023,10,"Không xác định")))</f>
        <v>7</v>
      </c>
      <c r="M1487" s="15">
        <f>Table134[[#This Row],[avg_number_of_purchases]]*Table1345[[#This Row],[avg_purchase_value]]*Table1345[[#This Row],[expected_lifespan]]</f>
        <v>110959.7659144893</v>
      </c>
      <c r="N1487" t="s">
        <v>12046</v>
      </c>
    </row>
    <row r="1488" spans="1:14" x14ac:dyDescent="0.3">
      <c r="A1488" s="2" t="s">
        <v>1486</v>
      </c>
      <c r="B1488" s="2" t="s">
        <v>12040</v>
      </c>
      <c r="C1488" s="2">
        <v>68</v>
      </c>
      <c r="D1488" s="2" t="s">
        <v>12049</v>
      </c>
      <c r="E1488" s="2">
        <f>COUNTIF(Table16[customer_id],Table13[[#This Row],[customer_id]])</f>
        <v>6</v>
      </c>
      <c r="F1488" s="13">
        <f>SUMIFS(Table16[Purchase_history],Table16[customer_id],Table13[[#This Row],[customer_id]])</f>
        <v>14446.84</v>
      </c>
      <c r="G1488" s="20">
        <v>44271</v>
      </c>
      <c r="H1488" s="21">
        <v>44993</v>
      </c>
      <c r="I1488" s="15">
        <f>(Table134[[#This Row],[Last_Day]]-Table134[[#This Row],[First_Day]]+1)/365</f>
        <v>1.9808219178082191</v>
      </c>
      <c r="J1488" s="59">
        <f>Table134[[#This Row],[number_of_purchases]]/Table134[[#This Row],[customer_total_years]]</f>
        <v>3.0290456431535269</v>
      </c>
      <c r="K1488" s="13">
        <f>Table134[[#This Row],[purchase_history]]/Table134[[#This Row],[number_of_purchases]]</f>
        <v>2407.8066666666668</v>
      </c>
      <c r="L1488" s="2">
        <f>IF(YEAR(Table134[[#This Row],[Last_Day]])=2021,5,IF(YEAR(Table134[[#This Row],[Last_Day]])=2022,7,IF(YEAR(Table134[[#This Row],[Last_Day]])=2023,10,"Không xác định")))</f>
        <v>10</v>
      </c>
      <c r="M1488" s="15">
        <f>Table134[[#This Row],[avg_number_of_purchases]]*Table1345[[#This Row],[avg_purchase_value]]*Table1345[[#This Row],[expected_lifespan]]</f>
        <v>72933.562932226836</v>
      </c>
      <c r="N1488" t="s">
        <v>12042</v>
      </c>
    </row>
    <row r="1489" spans="1:14" x14ac:dyDescent="0.3">
      <c r="A1489" s="2" t="s">
        <v>1487</v>
      </c>
      <c r="B1489" s="2" t="s">
        <v>12045</v>
      </c>
      <c r="C1489" s="2">
        <v>68</v>
      </c>
      <c r="D1489" s="2" t="s">
        <v>12041</v>
      </c>
      <c r="E1489" s="2">
        <f>COUNTIF(Table16[customer_id],Table13[[#This Row],[customer_id]])</f>
        <v>3</v>
      </c>
      <c r="F1489" s="13">
        <f>SUMIFS(Table16[Purchase_history],Table16[customer_id],Table13[[#This Row],[customer_id]])</f>
        <v>819.76</v>
      </c>
      <c r="G1489" s="20">
        <v>44231</v>
      </c>
      <c r="H1489" s="21">
        <v>44917</v>
      </c>
      <c r="I1489" s="15">
        <f>(Table134[[#This Row],[Last_Day]]-Table134[[#This Row],[First_Day]]+1)/365</f>
        <v>1.8821917808219177</v>
      </c>
      <c r="J1489" s="59">
        <f>Table134[[#This Row],[number_of_purchases]]/Table134[[#This Row],[customer_total_years]]</f>
        <v>1.5938864628820961</v>
      </c>
      <c r="K1489" s="13">
        <f>Table134[[#This Row],[purchase_history]]/Table134[[#This Row],[number_of_purchases]]</f>
        <v>273.25333333333333</v>
      </c>
      <c r="L1489" s="2">
        <f>IF(YEAR(Table134[[#This Row],[Last_Day]])=2021,5,IF(YEAR(Table134[[#This Row],[Last_Day]])=2022,7,IF(YEAR(Table134[[#This Row],[Last_Day]])=2023,10,"Không xác định")))</f>
        <v>7</v>
      </c>
      <c r="M1489" s="15">
        <f>Table134[[#This Row],[avg_number_of_purchases]]*Table1345[[#This Row],[avg_purchase_value]]*Table1345[[#This Row],[expected_lifespan]]</f>
        <v>3048.7435225618633</v>
      </c>
      <c r="N1489" t="s">
        <v>12042</v>
      </c>
    </row>
    <row r="1490" spans="1:14" x14ac:dyDescent="0.3">
      <c r="A1490" s="2" t="s">
        <v>1488</v>
      </c>
      <c r="B1490" s="2" t="s">
        <v>12045</v>
      </c>
      <c r="C1490" s="2">
        <v>66</v>
      </c>
      <c r="D1490" s="2" t="s">
        <v>12043</v>
      </c>
      <c r="E1490" s="2">
        <f>COUNTIF(Table16[customer_id],Table13[[#This Row],[customer_id]])</f>
        <v>9</v>
      </c>
      <c r="F1490" s="13">
        <f>SUMIFS(Table16[Purchase_history],Table16[customer_id],Table13[[#This Row],[customer_id]])</f>
        <v>26909.79</v>
      </c>
      <c r="G1490" s="20">
        <v>44296</v>
      </c>
      <c r="H1490" s="21">
        <v>44939</v>
      </c>
      <c r="I1490" s="15">
        <f>(Table134[[#This Row],[Last_Day]]-Table134[[#This Row],[First_Day]]+1)/365</f>
        <v>1.7643835616438357</v>
      </c>
      <c r="J1490" s="59">
        <f>Table134[[#This Row],[number_of_purchases]]/Table134[[#This Row],[customer_total_years]]</f>
        <v>5.1009316770186333</v>
      </c>
      <c r="K1490" s="13">
        <f>Table134[[#This Row],[purchase_history]]/Table134[[#This Row],[number_of_purchases]]</f>
        <v>2989.9766666666669</v>
      </c>
      <c r="L1490" s="2">
        <f>IF(YEAR(Table134[[#This Row],[Last_Day]])=2021,5,IF(YEAR(Table134[[#This Row],[Last_Day]])=2022,7,IF(YEAR(Table134[[#This Row],[Last_Day]])=2023,10,"Không xác định")))</f>
        <v>10</v>
      </c>
      <c r="M1490" s="15">
        <f>Table134[[#This Row],[avg_number_of_purchases]]*Table1345[[#This Row],[avg_purchase_value]]*Table1345[[#This Row],[expected_lifespan]]</f>
        <v>152516.66692546586</v>
      </c>
      <c r="N1490" t="s">
        <v>12048</v>
      </c>
    </row>
    <row r="1491" spans="1:14" x14ac:dyDescent="0.3">
      <c r="A1491" s="2" t="s">
        <v>1489</v>
      </c>
      <c r="B1491" s="2" t="s">
        <v>12040</v>
      </c>
      <c r="C1491" s="2">
        <v>27</v>
      </c>
      <c r="D1491" s="2" t="s">
        <v>12043</v>
      </c>
      <c r="E1491" s="2">
        <f>COUNTIF(Table16[customer_id],Table13[[#This Row],[customer_id]])</f>
        <v>3</v>
      </c>
      <c r="F1491" s="13">
        <f>SUMIFS(Table16[Purchase_history],Table16[customer_id],Table13[[#This Row],[customer_id]])</f>
        <v>9986.48</v>
      </c>
      <c r="G1491" s="20">
        <v>44335</v>
      </c>
      <c r="H1491" s="21">
        <v>44773</v>
      </c>
      <c r="I1491" s="15">
        <f>(Table134[[#This Row],[Last_Day]]-Table134[[#This Row],[First_Day]]+1)/365</f>
        <v>1.2027397260273973</v>
      </c>
      <c r="J1491" s="59">
        <f>Table134[[#This Row],[number_of_purchases]]/Table134[[#This Row],[customer_total_years]]</f>
        <v>2.4943052391799543</v>
      </c>
      <c r="K1491" s="13">
        <f>Table134[[#This Row],[purchase_history]]/Table134[[#This Row],[number_of_purchases]]</f>
        <v>3328.8266666666664</v>
      </c>
      <c r="L1491" s="2">
        <f>IF(YEAR(Table134[[#This Row],[Last_Day]])=2021,5,IF(YEAR(Table134[[#This Row],[Last_Day]])=2022,7,IF(YEAR(Table134[[#This Row],[Last_Day]])=2023,10,"Không xác định")))</f>
        <v>7</v>
      </c>
      <c r="M1491" s="15">
        <f>Table134[[#This Row],[avg_number_of_purchases]]*Table1345[[#This Row],[avg_purchase_value]]*Table1345[[#This Row],[expected_lifespan]]</f>
        <v>58121.768564920269</v>
      </c>
      <c r="N1491" t="s">
        <v>12044</v>
      </c>
    </row>
    <row r="1492" spans="1:14" x14ac:dyDescent="0.3">
      <c r="A1492" s="2" t="s">
        <v>1490</v>
      </c>
      <c r="B1492" s="2" t="s">
        <v>12045</v>
      </c>
      <c r="C1492" s="2">
        <v>32</v>
      </c>
      <c r="D1492" s="2" t="s">
        <v>12043</v>
      </c>
      <c r="E1492" s="2">
        <f>COUNTIF(Table16[customer_id],Table13[[#This Row],[customer_id]])</f>
        <v>3</v>
      </c>
      <c r="F1492" s="13">
        <f>SUMIFS(Table16[Purchase_history],Table16[customer_id],Table13[[#This Row],[customer_id]])</f>
        <v>9806.0199999999986</v>
      </c>
      <c r="G1492" s="20">
        <v>44624</v>
      </c>
      <c r="H1492" s="21">
        <v>44958</v>
      </c>
      <c r="I1492" s="15">
        <f>(Table134[[#This Row],[Last_Day]]-Table134[[#This Row],[First_Day]]+1)/365</f>
        <v>0.9178082191780822</v>
      </c>
      <c r="J1492" s="59">
        <f>Table134[[#This Row],[number_of_purchases]]/Table134[[#This Row],[customer_total_years]]</f>
        <v>3.2686567164179103</v>
      </c>
      <c r="K1492" s="13">
        <f>Table134[[#This Row],[purchase_history]]/Table134[[#This Row],[number_of_purchases]]</f>
        <v>3268.6733333333327</v>
      </c>
      <c r="L1492" s="2">
        <f>IF(YEAR(Table134[[#This Row],[Last_Day]])=2021,5,IF(YEAR(Table134[[#This Row],[Last_Day]])=2022,7,IF(YEAR(Table134[[#This Row],[Last_Day]])=2023,10,"Không xác định")))</f>
        <v>10</v>
      </c>
      <c r="M1492" s="15">
        <f>Table134[[#This Row],[avg_number_of_purchases]]*Table1345[[#This Row],[avg_purchase_value]]*Table1345[[#This Row],[expected_lifespan]]</f>
        <v>106841.71044776117</v>
      </c>
      <c r="N1492" t="s">
        <v>12042</v>
      </c>
    </row>
    <row r="1493" spans="1:14" x14ac:dyDescent="0.3">
      <c r="A1493" s="2" t="s">
        <v>1491</v>
      </c>
      <c r="B1493" s="2" t="s">
        <v>12045</v>
      </c>
      <c r="C1493" s="2">
        <v>30</v>
      </c>
      <c r="D1493" s="2" t="s">
        <v>12041</v>
      </c>
      <c r="E1493" s="2">
        <f>COUNTIF(Table16[customer_id],Table13[[#This Row],[customer_id]])</f>
        <v>3</v>
      </c>
      <c r="F1493" s="13">
        <f>SUMIFS(Table16[Purchase_history],Table16[customer_id],Table13[[#This Row],[customer_id]])</f>
        <v>18084</v>
      </c>
      <c r="G1493" s="20">
        <v>44299</v>
      </c>
      <c r="H1493" s="21">
        <v>44902</v>
      </c>
      <c r="I1493" s="15">
        <f>(Table134[[#This Row],[Last_Day]]-Table134[[#This Row],[First_Day]]+1)/365</f>
        <v>1.6547945205479453</v>
      </c>
      <c r="J1493" s="59">
        <f>Table134[[#This Row],[number_of_purchases]]/Table134[[#This Row],[customer_total_years]]</f>
        <v>1.8129139072847682</v>
      </c>
      <c r="K1493" s="13">
        <f>Table134[[#This Row],[purchase_history]]/Table134[[#This Row],[number_of_purchases]]</f>
        <v>6028</v>
      </c>
      <c r="L1493" s="2">
        <f>IF(YEAR(Table134[[#This Row],[Last_Day]])=2021,5,IF(YEAR(Table134[[#This Row],[Last_Day]])=2022,7,IF(YEAR(Table134[[#This Row],[Last_Day]])=2023,10,"Không xác định")))</f>
        <v>7</v>
      </c>
      <c r="M1493" s="15">
        <f>Table134[[#This Row],[avg_number_of_purchases]]*Table1345[[#This Row],[avg_purchase_value]]*Table1345[[#This Row],[expected_lifespan]]</f>
        <v>76497.715231788068</v>
      </c>
      <c r="N1493" t="s">
        <v>12042</v>
      </c>
    </row>
    <row r="1494" spans="1:14" x14ac:dyDescent="0.3">
      <c r="A1494" s="2" t="s">
        <v>1492</v>
      </c>
      <c r="B1494" s="2" t="s">
        <v>12045</v>
      </c>
      <c r="C1494" s="2">
        <v>64</v>
      </c>
      <c r="D1494" s="2" t="s">
        <v>12043</v>
      </c>
      <c r="E1494" s="2">
        <f>COUNTIF(Table16[customer_id],Table13[[#This Row],[customer_id]])</f>
        <v>7</v>
      </c>
      <c r="F1494" s="13">
        <f>SUMIFS(Table16[Purchase_history],Table16[customer_id],Table13[[#This Row],[customer_id]])</f>
        <v>11420.69</v>
      </c>
      <c r="G1494" s="20">
        <v>44315</v>
      </c>
      <c r="H1494" s="21">
        <v>44840</v>
      </c>
      <c r="I1494" s="15">
        <f>(Table134[[#This Row],[Last_Day]]-Table134[[#This Row],[First_Day]]+1)/365</f>
        <v>1.441095890410959</v>
      </c>
      <c r="J1494" s="59">
        <f>Table134[[#This Row],[number_of_purchases]]/Table134[[#This Row],[customer_total_years]]</f>
        <v>4.8574144486692017</v>
      </c>
      <c r="K1494" s="13">
        <f>Table134[[#This Row],[purchase_history]]/Table134[[#This Row],[number_of_purchases]]</f>
        <v>1631.527142857143</v>
      </c>
      <c r="L1494" s="2">
        <f>IF(YEAR(Table134[[#This Row],[Last_Day]])=2021,5,IF(YEAR(Table134[[#This Row],[Last_Day]])=2022,7,IF(YEAR(Table134[[#This Row],[Last_Day]])=2023,10,"Không xác định")))</f>
        <v>7</v>
      </c>
      <c r="M1494" s="15">
        <f>Table134[[#This Row],[avg_number_of_purchases]]*Table1345[[#This Row],[avg_purchase_value]]*Table1345[[#This Row],[expected_lifespan]]</f>
        <v>55475.024619771873</v>
      </c>
      <c r="N1494" t="s">
        <v>12044</v>
      </c>
    </row>
    <row r="1495" spans="1:14" x14ac:dyDescent="0.3">
      <c r="A1495" s="2" t="s">
        <v>1493</v>
      </c>
      <c r="B1495" s="2" t="s">
        <v>12045</v>
      </c>
      <c r="C1495" s="2">
        <v>20</v>
      </c>
      <c r="D1495" s="2" t="s">
        <v>12049</v>
      </c>
      <c r="E1495" s="2">
        <f>COUNTIF(Table16[customer_id],Table13[[#This Row],[customer_id]])</f>
        <v>9</v>
      </c>
      <c r="F1495" s="13">
        <f>SUMIFS(Table16[Purchase_history],Table16[customer_id],Table13[[#This Row],[customer_id]])</f>
        <v>20582.809999999998</v>
      </c>
      <c r="G1495" s="20">
        <v>44284</v>
      </c>
      <c r="H1495" s="21">
        <v>44926</v>
      </c>
      <c r="I1495" s="15">
        <f>(Table134[[#This Row],[Last_Day]]-Table134[[#This Row],[First_Day]]+1)/365</f>
        <v>1.7616438356164383</v>
      </c>
      <c r="J1495" s="59">
        <f>Table134[[#This Row],[number_of_purchases]]/Table134[[#This Row],[customer_total_years]]</f>
        <v>5.1088646967340594</v>
      </c>
      <c r="K1495" s="13">
        <f>Table134[[#This Row],[purchase_history]]/Table134[[#This Row],[number_of_purchases]]</f>
        <v>2286.9788888888888</v>
      </c>
      <c r="L1495" s="2">
        <f>IF(YEAR(Table134[[#This Row],[Last_Day]])=2021,5,IF(YEAR(Table134[[#This Row],[Last_Day]])=2022,7,IF(YEAR(Table134[[#This Row],[Last_Day]])=2023,10,"Không xác định")))</f>
        <v>7</v>
      </c>
      <c r="M1495" s="15">
        <f>Table134[[#This Row],[avg_number_of_purchases]]*Table1345[[#This Row],[avg_purchase_value]]*Table1345[[#This Row],[expected_lifespan]]</f>
        <v>81787.059953343705</v>
      </c>
      <c r="N1495" t="s">
        <v>12046</v>
      </c>
    </row>
    <row r="1496" spans="1:14" x14ac:dyDescent="0.3">
      <c r="A1496" s="2" t="s">
        <v>1494</v>
      </c>
      <c r="B1496" s="2" t="s">
        <v>12040</v>
      </c>
      <c r="C1496" s="2">
        <v>61</v>
      </c>
      <c r="D1496" s="2" t="s">
        <v>12043</v>
      </c>
      <c r="E1496" s="2">
        <f>COUNTIF(Table16[customer_id],Table13[[#This Row],[customer_id]])</f>
        <v>9</v>
      </c>
      <c r="F1496" s="13">
        <f>SUMIFS(Table16[Purchase_history],Table16[customer_id],Table13[[#This Row],[customer_id]])</f>
        <v>4228.1499999999996</v>
      </c>
      <c r="G1496" s="20">
        <v>44230</v>
      </c>
      <c r="H1496" s="21">
        <v>44985</v>
      </c>
      <c r="I1496" s="15">
        <f>(Table134[[#This Row],[Last_Day]]-Table134[[#This Row],[First_Day]]+1)/365</f>
        <v>2.0712328767123287</v>
      </c>
      <c r="J1496" s="59">
        <f>Table134[[#This Row],[number_of_purchases]]/Table134[[#This Row],[customer_total_years]]</f>
        <v>4.3452380952380958</v>
      </c>
      <c r="K1496" s="13">
        <f>Table134[[#This Row],[purchase_history]]/Table134[[#This Row],[number_of_purchases]]</f>
        <v>469.79444444444442</v>
      </c>
      <c r="L1496" s="2">
        <f>IF(YEAR(Table134[[#This Row],[Last_Day]])=2021,5,IF(YEAR(Table134[[#This Row],[Last_Day]])=2022,7,IF(YEAR(Table134[[#This Row],[Last_Day]])=2023,10,"Không xác định")))</f>
        <v>10</v>
      </c>
      <c r="M1496" s="15">
        <f>Table134[[#This Row],[avg_number_of_purchases]]*Table1345[[#This Row],[avg_purchase_value]]*Table1345[[#This Row],[expected_lifespan]]</f>
        <v>20413.687169312172</v>
      </c>
      <c r="N1496" t="s">
        <v>12047</v>
      </c>
    </row>
    <row r="1497" spans="1:14" x14ac:dyDescent="0.3">
      <c r="A1497" s="2" t="s">
        <v>1495</v>
      </c>
      <c r="B1497" s="2" t="s">
        <v>12045</v>
      </c>
      <c r="C1497" s="2">
        <v>48</v>
      </c>
      <c r="D1497" s="2" t="s">
        <v>12043</v>
      </c>
      <c r="E1497" s="2">
        <f>COUNTIF(Table16[customer_id],Table13[[#This Row],[customer_id]])</f>
        <v>5</v>
      </c>
      <c r="F1497" s="13">
        <f>SUMIFS(Table16[Purchase_history],Table16[customer_id],Table13[[#This Row],[customer_id]])</f>
        <v>1240.5599999999997</v>
      </c>
      <c r="G1497" s="20">
        <v>44308</v>
      </c>
      <c r="H1497" s="21">
        <v>44966</v>
      </c>
      <c r="I1497" s="15">
        <f>(Table134[[#This Row],[Last_Day]]-Table134[[#This Row],[First_Day]]+1)/365</f>
        <v>1.8054794520547945</v>
      </c>
      <c r="J1497" s="59">
        <f>Table134[[#This Row],[number_of_purchases]]/Table134[[#This Row],[customer_total_years]]</f>
        <v>2.7693474962063731</v>
      </c>
      <c r="K1497" s="13">
        <f>Table134[[#This Row],[purchase_history]]/Table134[[#This Row],[number_of_purchases]]</f>
        <v>248.11199999999994</v>
      </c>
      <c r="L1497" s="2">
        <f>IF(YEAR(Table134[[#This Row],[Last_Day]])=2021,5,IF(YEAR(Table134[[#This Row],[Last_Day]])=2022,7,IF(YEAR(Table134[[#This Row],[Last_Day]])=2023,10,"Không xác định")))</f>
        <v>10</v>
      </c>
      <c r="M1497" s="15">
        <f>Table134[[#This Row],[avg_number_of_purchases]]*Table1345[[#This Row],[avg_purchase_value]]*Table1345[[#This Row],[expected_lifespan]]</f>
        <v>6871.0834597875546</v>
      </c>
      <c r="N1497" t="s">
        <v>12047</v>
      </c>
    </row>
    <row r="1498" spans="1:14" x14ac:dyDescent="0.3">
      <c r="A1498" s="2" t="s">
        <v>1496</v>
      </c>
      <c r="B1498" s="2" t="s">
        <v>12045</v>
      </c>
      <c r="C1498" s="2">
        <v>53</v>
      </c>
      <c r="D1498" s="2" t="s">
        <v>12043</v>
      </c>
      <c r="E1498" s="2">
        <f>COUNTIF(Table16[customer_id],Table13[[#This Row],[customer_id]])</f>
        <v>7</v>
      </c>
      <c r="F1498" s="13">
        <f>SUMIFS(Table16[Purchase_history],Table16[customer_id],Table13[[#This Row],[customer_id]])</f>
        <v>41274.04</v>
      </c>
      <c r="G1498" s="20">
        <v>44213</v>
      </c>
      <c r="H1498" s="21">
        <v>44988</v>
      </c>
      <c r="I1498" s="15">
        <f>(Table134[[#This Row],[Last_Day]]-Table134[[#This Row],[First_Day]]+1)/365</f>
        <v>2.1260273972602741</v>
      </c>
      <c r="J1498" s="59">
        <f>Table134[[#This Row],[number_of_purchases]]/Table134[[#This Row],[customer_total_years]]</f>
        <v>3.2925257731958761</v>
      </c>
      <c r="K1498" s="13">
        <f>Table134[[#This Row],[purchase_history]]/Table134[[#This Row],[number_of_purchases]]</f>
        <v>5896.2914285714287</v>
      </c>
      <c r="L1498" s="2">
        <f>IF(YEAR(Table134[[#This Row],[Last_Day]])=2021,5,IF(YEAR(Table134[[#This Row],[Last_Day]])=2022,7,IF(YEAR(Table134[[#This Row],[Last_Day]])=2023,10,"Không xác định")))</f>
        <v>10</v>
      </c>
      <c r="M1498" s="15">
        <f>Table134[[#This Row],[avg_number_of_purchases]]*Table1345[[#This Row],[avg_purchase_value]]*Table1345[[#This Row],[expected_lifespan]]</f>
        <v>194136.9149484536</v>
      </c>
      <c r="N1498" t="s">
        <v>12044</v>
      </c>
    </row>
    <row r="1499" spans="1:14" x14ac:dyDescent="0.3">
      <c r="A1499" s="2" t="s">
        <v>1497</v>
      </c>
      <c r="B1499" s="2" t="s">
        <v>12045</v>
      </c>
      <c r="C1499" s="2">
        <v>47</v>
      </c>
      <c r="D1499" s="2" t="s">
        <v>12049</v>
      </c>
      <c r="E1499" s="2">
        <f>COUNTIF(Table16[customer_id],Table13[[#This Row],[customer_id]])</f>
        <v>3</v>
      </c>
      <c r="F1499" s="13">
        <f>SUMIFS(Table16[Purchase_history],Table16[customer_id],Table13[[#This Row],[customer_id]])</f>
        <v>40654</v>
      </c>
      <c r="G1499" s="20">
        <v>44430</v>
      </c>
      <c r="H1499" s="21">
        <v>44838</v>
      </c>
      <c r="I1499" s="15">
        <f>(Table134[[#This Row],[Last_Day]]-Table134[[#This Row],[First_Day]]+1)/365</f>
        <v>1.1205479452054794</v>
      </c>
      <c r="J1499" s="59">
        <f>Table134[[#This Row],[number_of_purchases]]/Table134[[#This Row],[customer_total_years]]</f>
        <v>2.6772616136919316</v>
      </c>
      <c r="K1499" s="13">
        <f>Table134[[#This Row],[purchase_history]]/Table134[[#This Row],[number_of_purchases]]</f>
        <v>13551.333333333334</v>
      </c>
      <c r="L1499" s="2">
        <f>IF(YEAR(Table134[[#This Row],[Last_Day]])=2021,5,IF(YEAR(Table134[[#This Row],[Last_Day]])=2022,7,IF(YEAR(Table134[[#This Row],[Last_Day]])=2023,10,"Không xác định")))</f>
        <v>7</v>
      </c>
      <c r="M1499" s="15">
        <f>Table134[[#This Row],[avg_number_of_purchases]]*Table1345[[#This Row],[avg_purchase_value]]*Table1345[[#This Row],[expected_lifespan]]</f>
        <v>253963.25183374085</v>
      </c>
      <c r="N1499" t="s">
        <v>12047</v>
      </c>
    </row>
    <row r="1500" spans="1:14" x14ac:dyDescent="0.3">
      <c r="A1500" s="2" t="s">
        <v>1498</v>
      </c>
      <c r="B1500" s="2" t="s">
        <v>12045</v>
      </c>
      <c r="C1500" s="2">
        <v>29</v>
      </c>
      <c r="D1500" s="2" t="s">
        <v>12049</v>
      </c>
      <c r="E1500" s="2">
        <f>COUNTIF(Table16[customer_id],Table13[[#This Row],[customer_id]])</f>
        <v>3</v>
      </c>
      <c r="F1500" s="13">
        <f>SUMIFS(Table16[Purchase_history],Table16[customer_id],Table13[[#This Row],[customer_id]])</f>
        <v>1720.69</v>
      </c>
      <c r="G1500" s="20">
        <v>44272</v>
      </c>
      <c r="H1500" s="21">
        <v>44970</v>
      </c>
      <c r="I1500" s="15">
        <f>(Table134[[#This Row],[Last_Day]]-Table134[[#This Row],[First_Day]]+1)/365</f>
        <v>1.9150684931506849</v>
      </c>
      <c r="J1500" s="59">
        <f>Table134[[#This Row],[number_of_purchases]]/Table134[[#This Row],[customer_total_years]]</f>
        <v>1.5665236051502145</v>
      </c>
      <c r="K1500" s="13">
        <f>Table134[[#This Row],[purchase_history]]/Table134[[#This Row],[number_of_purchases]]</f>
        <v>573.56333333333339</v>
      </c>
      <c r="L1500" s="2">
        <f>IF(YEAR(Table134[[#This Row],[Last_Day]])=2021,5,IF(YEAR(Table134[[#This Row],[Last_Day]])=2022,7,IF(YEAR(Table134[[#This Row],[Last_Day]])=2023,10,"Không xác định")))</f>
        <v>10</v>
      </c>
      <c r="M1500" s="15">
        <f>Table134[[#This Row],[avg_number_of_purchases]]*Table1345[[#This Row],[avg_purchase_value]]*Table1345[[#This Row],[expected_lifespan]]</f>
        <v>8985.005007153075</v>
      </c>
      <c r="N1500" t="s">
        <v>12047</v>
      </c>
    </row>
    <row r="1501" spans="1:14" x14ac:dyDescent="0.3">
      <c r="A1501" s="2" t="s">
        <v>1499</v>
      </c>
      <c r="B1501" s="2" t="s">
        <v>12040</v>
      </c>
      <c r="C1501" s="2">
        <v>56</v>
      </c>
      <c r="D1501" s="2" t="s">
        <v>12043</v>
      </c>
      <c r="E1501" s="2">
        <f>COUNTIF(Table16[customer_id],Table13[[#This Row],[customer_id]])</f>
        <v>3</v>
      </c>
      <c r="F1501" s="13">
        <f>SUMIFS(Table16[Purchase_history],Table16[customer_id],Table13[[#This Row],[customer_id]])</f>
        <v>17704.72</v>
      </c>
      <c r="G1501" s="20">
        <v>44509</v>
      </c>
      <c r="H1501" s="21">
        <v>44906</v>
      </c>
      <c r="I1501" s="15">
        <f>(Table134[[#This Row],[Last_Day]]-Table134[[#This Row],[First_Day]]+1)/365</f>
        <v>1.0904109589041096</v>
      </c>
      <c r="J1501" s="59">
        <f>Table134[[#This Row],[number_of_purchases]]/Table134[[#This Row],[customer_total_years]]</f>
        <v>2.7512562814070352</v>
      </c>
      <c r="K1501" s="13">
        <f>Table134[[#This Row],[purchase_history]]/Table134[[#This Row],[number_of_purchases]]</f>
        <v>5901.5733333333337</v>
      </c>
      <c r="L1501" s="2">
        <f>IF(YEAR(Table134[[#This Row],[Last_Day]])=2021,5,IF(YEAR(Table134[[#This Row],[Last_Day]])=2022,7,IF(YEAR(Table134[[#This Row],[Last_Day]])=2023,10,"Không xác định")))</f>
        <v>7</v>
      </c>
      <c r="M1501" s="15">
        <f>Table134[[#This Row],[avg_number_of_purchases]]*Table1345[[#This Row],[avg_purchase_value]]*Table1345[[#This Row],[expected_lifespan]]</f>
        <v>113657.18492462313</v>
      </c>
      <c r="N1501" t="s">
        <v>12044</v>
      </c>
    </row>
    <row r="1502" spans="1:14" x14ac:dyDescent="0.3">
      <c r="A1502" s="2" t="s">
        <v>1500</v>
      </c>
      <c r="B1502" s="2" t="s">
        <v>12040</v>
      </c>
      <c r="C1502" s="2">
        <v>38</v>
      </c>
      <c r="D1502" s="2" t="s">
        <v>12041</v>
      </c>
      <c r="E1502" s="2">
        <f>COUNTIF(Table16[customer_id],Table13[[#This Row],[customer_id]])</f>
        <v>4</v>
      </c>
      <c r="F1502" s="13">
        <f>SUMIFS(Table16[Purchase_history],Table16[customer_id],Table13[[#This Row],[customer_id]])</f>
        <v>10808.119999999999</v>
      </c>
      <c r="G1502" s="20">
        <v>44566</v>
      </c>
      <c r="H1502" s="21">
        <v>44865</v>
      </c>
      <c r="I1502" s="15">
        <f>(Table134[[#This Row],[Last_Day]]-Table134[[#This Row],[First_Day]]+1)/365</f>
        <v>0.82191780821917804</v>
      </c>
      <c r="J1502" s="59">
        <f>Table134[[#This Row],[number_of_purchases]]/Table134[[#This Row],[customer_total_years]]</f>
        <v>4.8666666666666671</v>
      </c>
      <c r="K1502" s="13">
        <f>Table134[[#This Row],[purchase_history]]/Table134[[#This Row],[number_of_purchases]]</f>
        <v>2702.0299999999997</v>
      </c>
      <c r="L1502" s="2">
        <f>IF(YEAR(Table134[[#This Row],[Last_Day]])=2021,5,IF(YEAR(Table134[[#This Row],[Last_Day]])=2022,7,IF(YEAR(Table134[[#This Row],[Last_Day]])=2023,10,"Không xác định")))</f>
        <v>7</v>
      </c>
      <c r="M1502" s="15">
        <f>Table134[[#This Row],[avg_number_of_purchases]]*Table1345[[#This Row],[avg_purchase_value]]*Table1345[[#This Row],[expected_lifespan]]</f>
        <v>92049.155333333343</v>
      </c>
      <c r="N1502" t="s">
        <v>12044</v>
      </c>
    </row>
    <row r="1503" spans="1:14" x14ac:dyDescent="0.3">
      <c r="A1503" s="2" t="s">
        <v>1501</v>
      </c>
      <c r="B1503" s="2" t="s">
        <v>12045</v>
      </c>
      <c r="C1503" s="2">
        <v>57</v>
      </c>
      <c r="D1503" s="2" t="s">
        <v>12049</v>
      </c>
      <c r="E1503" s="2">
        <f>COUNTIF(Table16[customer_id],Table13[[#This Row],[customer_id]])</f>
        <v>3</v>
      </c>
      <c r="F1503" s="13">
        <f>SUMIFS(Table16[Purchase_history],Table16[customer_id],Table13[[#This Row],[customer_id]])</f>
        <v>781.31</v>
      </c>
      <c r="G1503" s="20">
        <v>44740</v>
      </c>
      <c r="H1503" s="21">
        <v>44894</v>
      </c>
      <c r="I1503" s="15">
        <f>(Table134[[#This Row],[Last_Day]]-Table134[[#This Row],[First_Day]]+1)/365</f>
        <v>0.42465753424657532</v>
      </c>
      <c r="J1503" s="59">
        <f>Table134[[#This Row],[number_of_purchases]]/Table134[[#This Row],[customer_total_years]]</f>
        <v>7.0645161290322589</v>
      </c>
      <c r="K1503" s="13">
        <f>Table134[[#This Row],[purchase_history]]/Table134[[#This Row],[number_of_purchases]]</f>
        <v>260.43666666666667</v>
      </c>
      <c r="L1503" s="2">
        <f>IF(YEAR(Table134[[#This Row],[Last_Day]])=2021,5,IF(YEAR(Table134[[#This Row],[Last_Day]])=2022,7,IF(YEAR(Table134[[#This Row],[Last_Day]])=2023,10,"Không xác định")))</f>
        <v>7</v>
      </c>
      <c r="M1503" s="15">
        <f>Table134[[#This Row],[avg_number_of_purchases]]*Table1345[[#This Row],[avg_purchase_value]]*Table1345[[#This Row],[expected_lifespan]]</f>
        <v>12879.013225806453</v>
      </c>
      <c r="N1503" t="s">
        <v>12044</v>
      </c>
    </row>
    <row r="1504" spans="1:14" x14ac:dyDescent="0.3">
      <c r="A1504" s="2" t="s">
        <v>1502</v>
      </c>
      <c r="B1504" s="2" t="s">
        <v>12040</v>
      </c>
      <c r="C1504" s="2">
        <v>39</v>
      </c>
      <c r="D1504" s="2" t="s">
        <v>12041</v>
      </c>
      <c r="E1504" s="2">
        <f>COUNTIF(Table16[customer_id],Table13[[#This Row],[customer_id]])</f>
        <v>7</v>
      </c>
      <c r="F1504" s="13">
        <f>SUMIFS(Table16[Purchase_history],Table16[customer_id],Table13[[#This Row],[customer_id]])</f>
        <v>20850.059999999998</v>
      </c>
      <c r="G1504" s="20">
        <v>44204</v>
      </c>
      <c r="H1504" s="21">
        <v>44909</v>
      </c>
      <c r="I1504" s="15">
        <f>(Table134[[#This Row],[Last_Day]]-Table134[[#This Row],[First_Day]]+1)/365</f>
        <v>1.9342465753424658</v>
      </c>
      <c r="J1504" s="59">
        <f>Table134[[#This Row],[number_of_purchases]]/Table134[[#This Row],[customer_total_years]]</f>
        <v>3.6189801699716715</v>
      </c>
      <c r="K1504" s="13">
        <f>Table134[[#This Row],[purchase_history]]/Table134[[#This Row],[number_of_purchases]]</f>
        <v>2978.5799999999995</v>
      </c>
      <c r="L1504" s="2">
        <f>IF(YEAR(Table134[[#This Row],[Last_Day]])=2021,5,IF(YEAR(Table134[[#This Row],[Last_Day]])=2022,7,IF(YEAR(Table134[[#This Row],[Last_Day]])=2023,10,"Không xác định")))</f>
        <v>7</v>
      </c>
      <c r="M1504" s="15">
        <f>Table134[[#This Row],[avg_number_of_purchases]]*Table1345[[#This Row],[avg_purchase_value]]*Table1345[[#This Row],[expected_lifespan]]</f>
        <v>75455.953682719526</v>
      </c>
      <c r="N1504" t="s">
        <v>12046</v>
      </c>
    </row>
    <row r="1505" spans="1:14" x14ac:dyDescent="0.3">
      <c r="A1505" s="2" t="s">
        <v>1503</v>
      </c>
      <c r="B1505" s="2" t="s">
        <v>12040</v>
      </c>
      <c r="C1505" s="2">
        <v>47</v>
      </c>
      <c r="D1505" s="2" t="s">
        <v>12041</v>
      </c>
      <c r="E1505" s="2">
        <f>COUNTIF(Table16[customer_id],Table13[[#This Row],[customer_id]])</f>
        <v>3</v>
      </c>
      <c r="F1505" s="13">
        <f>SUMIFS(Table16[Purchase_history],Table16[customer_id],Table13[[#This Row],[customer_id]])</f>
        <v>477.75</v>
      </c>
      <c r="G1505" s="20">
        <v>44270</v>
      </c>
      <c r="H1505" s="21">
        <v>44862</v>
      </c>
      <c r="I1505" s="15">
        <f>(Table134[[#This Row],[Last_Day]]-Table134[[#This Row],[First_Day]]+1)/365</f>
        <v>1.6246575342465754</v>
      </c>
      <c r="J1505" s="59">
        <f>Table134[[#This Row],[number_of_purchases]]/Table134[[#This Row],[customer_total_years]]</f>
        <v>1.8465430016863404</v>
      </c>
      <c r="K1505" s="13">
        <f>Table134[[#This Row],[purchase_history]]/Table134[[#This Row],[number_of_purchases]]</f>
        <v>159.25</v>
      </c>
      <c r="L1505" s="2">
        <f>IF(YEAR(Table134[[#This Row],[Last_Day]])=2021,5,IF(YEAR(Table134[[#This Row],[Last_Day]])=2022,7,IF(YEAR(Table134[[#This Row],[Last_Day]])=2023,10,"Không xác định")))</f>
        <v>7</v>
      </c>
      <c r="M1505" s="15">
        <f>Table134[[#This Row],[avg_number_of_purchases]]*Table1345[[#This Row],[avg_purchase_value]]*Table1345[[#This Row],[expected_lifespan]]</f>
        <v>2058.433811129848</v>
      </c>
      <c r="N1505" t="s">
        <v>12044</v>
      </c>
    </row>
    <row r="1506" spans="1:14" x14ac:dyDescent="0.3">
      <c r="A1506" s="2" t="s">
        <v>1504</v>
      </c>
      <c r="B1506" s="2" t="s">
        <v>12040</v>
      </c>
      <c r="C1506" s="2">
        <v>26</v>
      </c>
      <c r="D1506" s="2" t="s">
        <v>12043</v>
      </c>
      <c r="E1506" s="2">
        <f>COUNTIF(Table16[customer_id],Table13[[#This Row],[customer_id]])</f>
        <v>5</v>
      </c>
      <c r="F1506" s="13">
        <f>SUMIFS(Table16[Purchase_history],Table16[customer_id],Table13[[#This Row],[customer_id]])</f>
        <v>26695.68</v>
      </c>
      <c r="G1506" s="20">
        <v>44367</v>
      </c>
      <c r="H1506" s="21">
        <v>44934</v>
      </c>
      <c r="I1506" s="15">
        <f>(Table134[[#This Row],[Last_Day]]-Table134[[#This Row],[First_Day]]+1)/365</f>
        <v>1.5561643835616439</v>
      </c>
      <c r="J1506" s="59">
        <f>Table134[[#This Row],[number_of_purchases]]/Table134[[#This Row],[customer_total_years]]</f>
        <v>3.2130281690140845</v>
      </c>
      <c r="K1506" s="13">
        <f>Table134[[#This Row],[purchase_history]]/Table134[[#This Row],[number_of_purchases]]</f>
        <v>5339.1360000000004</v>
      </c>
      <c r="L1506" s="2">
        <f>IF(YEAR(Table134[[#This Row],[Last_Day]])=2021,5,IF(YEAR(Table134[[#This Row],[Last_Day]])=2022,7,IF(YEAR(Table134[[#This Row],[Last_Day]])=2023,10,"Không xác định")))</f>
        <v>10</v>
      </c>
      <c r="M1506" s="15">
        <f>Table134[[#This Row],[avg_number_of_purchases]]*Table1345[[#This Row],[avg_purchase_value]]*Table1345[[#This Row],[expected_lifespan]]</f>
        <v>171547.94366197183</v>
      </c>
      <c r="N1506" t="s">
        <v>12046</v>
      </c>
    </row>
    <row r="1507" spans="1:14" x14ac:dyDescent="0.3">
      <c r="A1507" s="2" t="s">
        <v>1505</v>
      </c>
      <c r="B1507" s="2" t="s">
        <v>12040</v>
      </c>
      <c r="C1507" s="2">
        <v>27</v>
      </c>
      <c r="D1507" s="2" t="s">
        <v>12041</v>
      </c>
      <c r="E1507" s="2">
        <f>COUNTIF(Table16[customer_id],Table13[[#This Row],[customer_id]])</f>
        <v>7</v>
      </c>
      <c r="F1507" s="13">
        <f>SUMIFS(Table16[Purchase_history],Table16[customer_id],Table13[[#This Row],[customer_id]])</f>
        <v>9020.4599999999991</v>
      </c>
      <c r="G1507" s="20">
        <v>44327</v>
      </c>
      <c r="H1507" s="21">
        <v>44940</v>
      </c>
      <c r="I1507" s="15">
        <f>(Table134[[#This Row],[Last_Day]]-Table134[[#This Row],[First_Day]]+1)/365</f>
        <v>1.6821917808219178</v>
      </c>
      <c r="J1507" s="59">
        <f>Table134[[#This Row],[number_of_purchases]]/Table134[[#This Row],[customer_total_years]]</f>
        <v>4.1612377850162865</v>
      </c>
      <c r="K1507" s="13">
        <f>Table134[[#This Row],[purchase_history]]/Table134[[#This Row],[number_of_purchases]]</f>
        <v>1288.6371428571426</v>
      </c>
      <c r="L1507" s="2">
        <f>IF(YEAR(Table134[[#This Row],[Last_Day]])=2021,5,IF(YEAR(Table134[[#This Row],[Last_Day]])=2022,7,IF(YEAR(Table134[[#This Row],[Last_Day]])=2023,10,"Không xác định")))</f>
        <v>10</v>
      </c>
      <c r="M1507" s="15">
        <f>Table134[[#This Row],[avg_number_of_purchases]]*Table1345[[#This Row],[avg_purchase_value]]*Table1345[[#This Row],[expected_lifespan]]</f>
        <v>53623.255700325724</v>
      </c>
      <c r="N1507" t="s">
        <v>12047</v>
      </c>
    </row>
    <row r="1508" spans="1:14" x14ac:dyDescent="0.3">
      <c r="A1508" s="2" t="s">
        <v>1506</v>
      </c>
      <c r="B1508" s="2" t="s">
        <v>12040</v>
      </c>
      <c r="C1508" s="2">
        <v>37</v>
      </c>
      <c r="D1508" s="2" t="s">
        <v>12043</v>
      </c>
      <c r="E1508" s="2">
        <f>COUNTIF(Table16[customer_id],Table13[[#This Row],[customer_id]])</f>
        <v>8</v>
      </c>
      <c r="F1508" s="13">
        <f>SUMIFS(Table16[Purchase_history],Table16[customer_id],Table13[[#This Row],[customer_id]])</f>
        <v>11322.91</v>
      </c>
      <c r="G1508" s="20">
        <v>44238</v>
      </c>
      <c r="H1508" s="21">
        <v>44913</v>
      </c>
      <c r="I1508" s="15">
        <f>(Table134[[#This Row],[Last_Day]]-Table134[[#This Row],[First_Day]]+1)/365</f>
        <v>1.8520547945205479</v>
      </c>
      <c r="J1508" s="59">
        <f>Table134[[#This Row],[number_of_purchases]]/Table134[[#This Row],[customer_total_years]]</f>
        <v>4.3195266272189352</v>
      </c>
      <c r="K1508" s="13">
        <f>Table134[[#This Row],[purchase_history]]/Table134[[#This Row],[number_of_purchases]]</f>
        <v>1415.36375</v>
      </c>
      <c r="L1508" s="2">
        <f>IF(YEAR(Table134[[#This Row],[Last_Day]])=2021,5,IF(YEAR(Table134[[#This Row],[Last_Day]])=2022,7,IF(YEAR(Table134[[#This Row],[Last_Day]])=2023,10,"Không xác định")))</f>
        <v>7</v>
      </c>
      <c r="M1508" s="15">
        <f>Table134[[#This Row],[avg_number_of_purchases]]*Table1345[[#This Row],[avg_purchase_value]]*Table1345[[#This Row],[expected_lifespan]]</f>
        <v>42795.909837278108</v>
      </c>
      <c r="N1508" t="s">
        <v>12047</v>
      </c>
    </row>
    <row r="1509" spans="1:14" x14ac:dyDescent="0.3">
      <c r="A1509" s="2" t="s">
        <v>1507</v>
      </c>
      <c r="B1509" s="2" t="s">
        <v>12040</v>
      </c>
      <c r="C1509" s="2">
        <v>38</v>
      </c>
      <c r="D1509" s="2" t="s">
        <v>12043</v>
      </c>
      <c r="E1509" s="2">
        <f>COUNTIF(Table16[customer_id],Table13[[#This Row],[customer_id]])</f>
        <v>6</v>
      </c>
      <c r="F1509" s="13">
        <f>SUMIFS(Table16[Purchase_history],Table16[customer_id],Table13[[#This Row],[customer_id]])</f>
        <v>1358.2099999999998</v>
      </c>
      <c r="G1509" s="20">
        <v>44197</v>
      </c>
      <c r="H1509" s="21">
        <v>44484</v>
      </c>
      <c r="I1509" s="15">
        <f>(Table134[[#This Row],[Last_Day]]-Table134[[#This Row],[First_Day]]+1)/365</f>
        <v>0.78904109589041094</v>
      </c>
      <c r="J1509" s="59">
        <f>Table134[[#This Row],[number_of_purchases]]/Table134[[#This Row],[customer_total_years]]</f>
        <v>7.604166666666667</v>
      </c>
      <c r="K1509" s="13">
        <f>Table134[[#This Row],[purchase_history]]/Table134[[#This Row],[number_of_purchases]]</f>
        <v>226.36833333333331</v>
      </c>
      <c r="L1509" s="2">
        <f>IF(YEAR(Table134[[#This Row],[Last_Day]])=2021,5,IF(YEAR(Table134[[#This Row],[Last_Day]])=2022,7,IF(YEAR(Table134[[#This Row],[Last_Day]])=2023,10,"Không xác định")))</f>
        <v>5</v>
      </c>
      <c r="M1509" s="15">
        <f>Table134[[#This Row],[avg_number_of_purchases]]*Table1345[[#This Row],[avg_purchase_value]]*Table1345[[#This Row],[expected_lifespan]]</f>
        <v>8606.7126736111113</v>
      </c>
      <c r="N1509" t="s">
        <v>12048</v>
      </c>
    </row>
    <row r="1510" spans="1:14" x14ac:dyDescent="0.3">
      <c r="A1510" s="2" t="s">
        <v>1508</v>
      </c>
      <c r="B1510" s="2" t="s">
        <v>12045</v>
      </c>
      <c r="C1510" s="2">
        <v>64</v>
      </c>
      <c r="D1510" s="2" t="s">
        <v>12041</v>
      </c>
      <c r="E1510" s="2">
        <f>COUNTIF(Table16[customer_id],Table13[[#This Row],[customer_id]])</f>
        <v>4</v>
      </c>
      <c r="F1510" s="13">
        <f>SUMIFS(Table16[Purchase_history],Table16[customer_id],Table13[[#This Row],[customer_id]])</f>
        <v>5269.2699999999995</v>
      </c>
      <c r="G1510" s="20">
        <v>44216</v>
      </c>
      <c r="H1510" s="21">
        <v>44495</v>
      </c>
      <c r="I1510" s="15">
        <f>(Table134[[#This Row],[Last_Day]]-Table134[[#This Row],[First_Day]]+1)/365</f>
        <v>0.76712328767123283</v>
      </c>
      <c r="J1510" s="59">
        <f>Table134[[#This Row],[number_of_purchases]]/Table134[[#This Row],[customer_total_years]]</f>
        <v>5.2142857142857144</v>
      </c>
      <c r="K1510" s="13">
        <f>Table134[[#This Row],[purchase_history]]/Table134[[#This Row],[number_of_purchases]]</f>
        <v>1317.3174999999999</v>
      </c>
      <c r="L1510" s="2">
        <f>IF(YEAR(Table134[[#This Row],[Last_Day]])=2021,5,IF(YEAR(Table134[[#This Row],[Last_Day]])=2022,7,IF(YEAR(Table134[[#This Row],[Last_Day]])=2023,10,"Không xác định")))</f>
        <v>5</v>
      </c>
      <c r="M1510" s="15">
        <f>Table134[[#This Row],[avg_number_of_purchases]]*Table1345[[#This Row],[avg_purchase_value]]*Table1345[[#This Row],[expected_lifespan]]</f>
        <v>34344.349107142858</v>
      </c>
      <c r="N1510" t="s">
        <v>12046</v>
      </c>
    </row>
    <row r="1511" spans="1:14" x14ac:dyDescent="0.3">
      <c r="A1511" s="2" t="s">
        <v>1509</v>
      </c>
      <c r="B1511" s="2" t="s">
        <v>12040</v>
      </c>
      <c r="C1511" s="2">
        <v>68</v>
      </c>
      <c r="D1511" s="2" t="s">
        <v>12049</v>
      </c>
      <c r="E1511" s="2">
        <f>COUNTIF(Table16[customer_id],Table13[[#This Row],[customer_id]])</f>
        <v>2</v>
      </c>
      <c r="F1511" s="13">
        <f>SUMIFS(Table16[Purchase_history],Table16[customer_id],Table13[[#This Row],[customer_id]])</f>
        <v>4848.3499999999995</v>
      </c>
      <c r="G1511" s="20">
        <v>44474</v>
      </c>
      <c r="H1511" s="21">
        <v>44908</v>
      </c>
      <c r="I1511" s="15">
        <f>(Table134[[#This Row],[Last_Day]]-Table134[[#This Row],[First_Day]]+1)/365</f>
        <v>1.1917808219178083</v>
      </c>
      <c r="J1511" s="59">
        <f>Table134[[#This Row],[number_of_purchases]]/Table134[[#This Row],[customer_total_years]]</f>
        <v>1.6781609195402298</v>
      </c>
      <c r="K1511" s="13">
        <f>Table134[[#This Row],[purchase_history]]/Table134[[#This Row],[number_of_purchases]]</f>
        <v>2424.1749999999997</v>
      </c>
      <c r="L1511" s="2">
        <f>IF(YEAR(Table134[[#This Row],[Last_Day]])=2021,5,IF(YEAR(Table134[[#This Row],[Last_Day]])=2022,7,IF(YEAR(Table134[[#This Row],[Last_Day]])=2023,10,"Không xác định")))</f>
        <v>7</v>
      </c>
      <c r="M1511" s="15">
        <f>Table134[[#This Row],[avg_number_of_purchases]]*Table1345[[#This Row],[avg_purchase_value]]*Table1345[[#This Row],[expected_lifespan]]</f>
        <v>28477.090229885056</v>
      </c>
      <c r="N1511" t="s">
        <v>12047</v>
      </c>
    </row>
    <row r="1512" spans="1:14" x14ac:dyDescent="0.3">
      <c r="A1512" s="2" t="s">
        <v>1510</v>
      </c>
      <c r="B1512" s="2" t="s">
        <v>12040</v>
      </c>
      <c r="C1512" s="2">
        <v>44</v>
      </c>
      <c r="D1512" s="2" t="s">
        <v>12049</v>
      </c>
      <c r="E1512" s="2">
        <f>COUNTIF(Table16[customer_id],Table13[[#This Row],[customer_id]])</f>
        <v>4</v>
      </c>
      <c r="F1512" s="13">
        <f>SUMIFS(Table16[Purchase_history],Table16[customer_id],Table13[[#This Row],[customer_id]])</f>
        <v>10258.349999999999</v>
      </c>
      <c r="G1512" s="20">
        <v>44314</v>
      </c>
      <c r="H1512" s="21">
        <v>44767</v>
      </c>
      <c r="I1512" s="15">
        <f>(Table134[[#This Row],[Last_Day]]-Table134[[#This Row],[First_Day]]+1)/365</f>
        <v>1.2438356164383562</v>
      </c>
      <c r="J1512" s="59">
        <f>Table134[[#This Row],[number_of_purchases]]/Table134[[#This Row],[customer_total_years]]</f>
        <v>3.2158590308370045</v>
      </c>
      <c r="K1512" s="13">
        <f>Table134[[#This Row],[purchase_history]]/Table134[[#This Row],[number_of_purchases]]</f>
        <v>2564.5874999999996</v>
      </c>
      <c r="L1512" s="2">
        <f>IF(YEAR(Table134[[#This Row],[Last_Day]])=2021,5,IF(YEAR(Table134[[#This Row],[Last_Day]])=2022,7,IF(YEAR(Table134[[#This Row],[Last_Day]])=2023,10,"Không xác định")))</f>
        <v>7</v>
      </c>
      <c r="M1512" s="15">
        <f>Table134[[#This Row],[avg_number_of_purchases]]*Table1345[[#This Row],[avg_purchase_value]]*Table1345[[#This Row],[expected_lifespan]]</f>
        <v>57731.463105726871</v>
      </c>
      <c r="N1512" t="s">
        <v>12048</v>
      </c>
    </row>
    <row r="1513" spans="1:14" x14ac:dyDescent="0.3">
      <c r="A1513" s="2" t="s">
        <v>1511</v>
      </c>
      <c r="B1513" s="2" t="s">
        <v>12045</v>
      </c>
      <c r="C1513" s="2">
        <v>42</v>
      </c>
      <c r="D1513" s="2" t="s">
        <v>12049</v>
      </c>
      <c r="E1513" s="2">
        <f>COUNTIF(Table16[customer_id],Table13[[#This Row],[customer_id]])</f>
        <v>5</v>
      </c>
      <c r="F1513" s="13">
        <f>SUMIFS(Table16[Purchase_history],Table16[customer_id],Table13[[#This Row],[customer_id]])</f>
        <v>31522.43</v>
      </c>
      <c r="G1513" s="20">
        <v>44375</v>
      </c>
      <c r="H1513" s="21">
        <v>44910</v>
      </c>
      <c r="I1513" s="15">
        <f>(Table134[[#This Row],[Last_Day]]-Table134[[#This Row],[First_Day]]+1)/365</f>
        <v>1.4684931506849315</v>
      </c>
      <c r="J1513" s="59">
        <f>Table134[[#This Row],[number_of_purchases]]/Table134[[#This Row],[customer_total_years]]</f>
        <v>3.4048507462686568</v>
      </c>
      <c r="K1513" s="13">
        <f>Table134[[#This Row],[purchase_history]]/Table134[[#This Row],[number_of_purchases]]</f>
        <v>6304.4859999999999</v>
      </c>
      <c r="L1513" s="2">
        <f>IF(YEAR(Table134[[#This Row],[Last_Day]])=2021,5,IF(YEAR(Table134[[#This Row],[Last_Day]])=2022,7,IF(YEAR(Table134[[#This Row],[Last_Day]])=2023,10,"Không xác định")))</f>
        <v>7</v>
      </c>
      <c r="M1513" s="15">
        <f>Table134[[#This Row],[avg_number_of_purchases]]*Table1345[[#This Row],[avg_purchase_value]]*Table1345[[#This Row],[expected_lifespan]]</f>
        <v>150260.83703358209</v>
      </c>
      <c r="N1513" t="s">
        <v>12048</v>
      </c>
    </row>
    <row r="1514" spans="1:14" x14ac:dyDescent="0.3">
      <c r="A1514" s="2" t="s">
        <v>1512</v>
      </c>
      <c r="B1514" s="2" t="s">
        <v>12045</v>
      </c>
      <c r="C1514" s="2">
        <v>59</v>
      </c>
      <c r="D1514" s="2" t="s">
        <v>12049</v>
      </c>
      <c r="E1514" s="2">
        <f>COUNTIF(Table16[customer_id],Table13[[#This Row],[customer_id]])</f>
        <v>6</v>
      </c>
      <c r="F1514" s="13">
        <f>SUMIFS(Table16[Purchase_history],Table16[customer_id],Table13[[#This Row],[customer_id]])</f>
        <v>11313.36</v>
      </c>
      <c r="G1514" s="20">
        <v>44359</v>
      </c>
      <c r="H1514" s="21">
        <v>44978</v>
      </c>
      <c r="I1514" s="15">
        <f>(Table134[[#This Row],[Last_Day]]-Table134[[#This Row],[First_Day]]+1)/365</f>
        <v>1.6986301369863013</v>
      </c>
      <c r="J1514" s="59">
        <f>Table134[[#This Row],[number_of_purchases]]/Table134[[#This Row],[customer_total_years]]</f>
        <v>3.5322580645161294</v>
      </c>
      <c r="K1514" s="13">
        <f>Table134[[#This Row],[purchase_history]]/Table134[[#This Row],[number_of_purchases]]</f>
        <v>1885.5600000000002</v>
      </c>
      <c r="L1514" s="2">
        <f>IF(YEAR(Table134[[#This Row],[Last_Day]])=2021,5,IF(YEAR(Table134[[#This Row],[Last_Day]])=2022,7,IF(YEAR(Table134[[#This Row],[Last_Day]])=2023,10,"Không xác định")))</f>
        <v>10</v>
      </c>
      <c r="M1514" s="15">
        <f>Table134[[#This Row],[avg_number_of_purchases]]*Table1345[[#This Row],[avg_purchase_value]]*Table1345[[#This Row],[expected_lifespan]]</f>
        <v>66602.84516129033</v>
      </c>
      <c r="N1514" t="s">
        <v>12044</v>
      </c>
    </row>
    <row r="1515" spans="1:14" x14ac:dyDescent="0.3">
      <c r="A1515" s="2" t="s">
        <v>1513</v>
      </c>
      <c r="B1515" s="2" t="s">
        <v>12040</v>
      </c>
      <c r="C1515" s="2">
        <v>39</v>
      </c>
      <c r="D1515" s="2" t="s">
        <v>12041</v>
      </c>
      <c r="E1515" s="2">
        <f>COUNTIF(Table16[customer_id],Table13[[#This Row],[customer_id]])</f>
        <v>5</v>
      </c>
      <c r="F1515" s="13">
        <f>SUMIFS(Table16[Purchase_history],Table16[customer_id],Table13[[#This Row],[customer_id]])</f>
        <v>18650.890000000003</v>
      </c>
      <c r="G1515" s="20">
        <v>44359</v>
      </c>
      <c r="H1515" s="21">
        <v>44795</v>
      </c>
      <c r="I1515" s="15">
        <f>(Table134[[#This Row],[Last_Day]]-Table134[[#This Row],[First_Day]]+1)/365</f>
        <v>1.1972602739726028</v>
      </c>
      <c r="J1515" s="59">
        <f>Table134[[#This Row],[number_of_purchases]]/Table134[[#This Row],[customer_total_years]]</f>
        <v>4.1762013729977117</v>
      </c>
      <c r="K1515" s="13">
        <f>Table134[[#This Row],[purchase_history]]/Table134[[#This Row],[number_of_purchases]]</f>
        <v>3730.1780000000008</v>
      </c>
      <c r="L1515" s="2">
        <f>IF(YEAR(Table134[[#This Row],[Last_Day]])=2021,5,IF(YEAR(Table134[[#This Row],[Last_Day]])=2022,7,IF(YEAR(Table134[[#This Row],[Last_Day]])=2023,10,"Không xác định")))</f>
        <v>7</v>
      </c>
      <c r="M1515" s="15">
        <f>Table134[[#This Row],[avg_number_of_purchases]]*Table1345[[#This Row],[avg_purchase_value]]*Table1345[[#This Row],[expected_lifespan]]</f>
        <v>109045.82139588104</v>
      </c>
      <c r="N1515" t="s">
        <v>12048</v>
      </c>
    </row>
    <row r="1516" spans="1:14" x14ac:dyDescent="0.3">
      <c r="A1516" s="2" t="s">
        <v>1514</v>
      </c>
      <c r="B1516" s="2" t="s">
        <v>12045</v>
      </c>
      <c r="C1516" s="2">
        <v>69</v>
      </c>
      <c r="D1516" s="2" t="s">
        <v>12043</v>
      </c>
      <c r="E1516" s="2">
        <f>COUNTIF(Table16[customer_id],Table13[[#This Row],[customer_id]])</f>
        <v>7</v>
      </c>
      <c r="F1516" s="13">
        <f>SUMIFS(Table16[Purchase_history],Table16[customer_id],Table13[[#This Row],[customer_id]])</f>
        <v>16093.789999999999</v>
      </c>
      <c r="G1516" s="20">
        <v>44313</v>
      </c>
      <c r="H1516" s="21">
        <v>44913</v>
      </c>
      <c r="I1516" s="15">
        <f>(Table134[[#This Row],[Last_Day]]-Table134[[#This Row],[First_Day]]+1)/365</f>
        <v>1.6465753424657534</v>
      </c>
      <c r="J1516" s="59">
        <f>Table134[[#This Row],[number_of_purchases]]/Table134[[#This Row],[customer_total_years]]</f>
        <v>4.2512479201331113</v>
      </c>
      <c r="K1516" s="13">
        <f>Table134[[#This Row],[purchase_history]]/Table134[[#This Row],[number_of_purchases]]</f>
        <v>2299.1128571428571</v>
      </c>
      <c r="L1516" s="2">
        <f>IF(YEAR(Table134[[#This Row],[Last_Day]])=2021,5,IF(YEAR(Table134[[#This Row],[Last_Day]])=2022,7,IF(YEAR(Table134[[#This Row],[Last_Day]])=2023,10,"Không xác định")))</f>
        <v>7</v>
      </c>
      <c r="M1516" s="15">
        <f>Table134[[#This Row],[avg_number_of_purchases]]*Table1345[[#This Row],[avg_purchase_value]]*Table1345[[#This Row],[expected_lifespan]]</f>
        <v>68418.691264559064</v>
      </c>
      <c r="N1516" t="s">
        <v>12047</v>
      </c>
    </row>
    <row r="1517" spans="1:14" x14ac:dyDescent="0.3">
      <c r="A1517" s="2" t="s">
        <v>1515</v>
      </c>
      <c r="B1517" s="2" t="s">
        <v>12045</v>
      </c>
      <c r="C1517" s="2">
        <v>60</v>
      </c>
      <c r="D1517" s="2" t="s">
        <v>12043</v>
      </c>
      <c r="E1517" s="2">
        <f>COUNTIF(Table16[customer_id],Table13[[#This Row],[customer_id]])</f>
        <v>5</v>
      </c>
      <c r="F1517" s="13">
        <f>SUMIFS(Table16[Purchase_history],Table16[customer_id],Table13[[#This Row],[customer_id]])</f>
        <v>12408.89</v>
      </c>
      <c r="G1517" s="20">
        <v>44600</v>
      </c>
      <c r="H1517" s="21">
        <v>44890</v>
      </c>
      <c r="I1517" s="15">
        <f>(Table134[[#This Row],[Last_Day]]-Table134[[#This Row],[First_Day]]+1)/365</f>
        <v>0.79726027397260268</v>
      </c>
      <c r="J1517" s="59">
        <f>Table134[[#This Row],[number_of_purchases]]/Table134[[#This Row],[customer_total_years]]</f>
        <v>6.2714776632302414</v>
      </c>
      <c r="K1517" s="13">
        <f>Table134[[#This Row],[purchase_history]]/Table134[[#This Row],[number_of_purchases]]</f>
        <v>2481.7779999999998</v>
      </c>
      <c r="L1517" s="2">
        <f>IF(YEAR(Table134[[#This Row],[Last_Day]])=2021,5,IF(YEAR(Table134[[#This Row],[Last_Day]])=2022,7,IF(YEAR(Table134[[#This Row],[Last_Day]])=2023,10,"Không xác định")))</f>
        <v>7</v>
      </c>
      <c r="M1517" s="15">
        <f>Table134[[#This Row],[avg_number_of_purchases]]*Table1345[[#This Row],[avg_purchase_value]]*Table1345[[#This Row],[expected_lifespan]]</f>
        <v>108950.90704467354</v>
      </c>
      <c r="N1517" t="s">
        <v>12047</v>
      </c>
    </row>
    <row r="1518" spans="1:14" x14ac:dyDescent="0.3">
      <c r="A1518" s="2" t="s">
        <v>1516</v>
      </c>
      <c r="B1518" s="2" t="s">
        <v>12040</v>
      </c>
      <c r="C1518" s="2">
        <v>45</v>
      </c>
      <c r="D1518" s="2" t="s">
        <v>12041</v>
      </c>
      <c r="E1518" s="2">
        <f>COUNTIF(Table16[customer_id],Table13[[#This Row],[customer_id]])</f>
        <v>2</v>
      </c>
      <c r="F1518" s="13">
        <f>SUMIFS(Table16[Purchase_history],Table16[customer_id],Table13[[#This Row],[customer_id]])</f>
        <v>171.41</v>
      </c>
      <c r="G1518" s="20">
        <v>44415</v>
      </c>
      <c r="H1518" s="21">
        <v>44542</v>
      </c>
      <c r="I1518" s="15">
        <f>(Table134[[#This Row],[Last_Day]]-Table134[[#This Row],[First_Day]]+1)/365</f>
        <v>0.35068493150684932</v>
      </c>
      <c r="J1518" s="59">
        <f>Table134[[#This Row],[number_of_purchases]]/Table134[[#This Row],[customer_total_years]]</f>
        <v>5.703125</v>
      </c>
      <c r="K1518" s="13">
        <f>Table134[[#This Row],[purchase_history]]/Table134[[#This Row],[number_of_purchases]]</f>
        <v>85.704999999999998</v>
      </c>
      <c r="L1518" s="2">
        <f>IF(YEAR(Table134[[#This Row],[Last_Day]])=2021,5,IF(YEAR(Table134[[#This Row],[Last_Day]])=2022,7,IF(YEAR(Table134[[#This Row],[Last_Day]])=2023,10,"Không xác định")))</f>
        <v>5</v>
      </c>
      <c r="M1518" s="15">
        <f>Table134[[#This Row],[avg_number_of_purchases]]*Table1345[[#This Row],[avg_purchase_value]]*Table1345[[#This Row],[expected_lifespan]]</f>
        <v>2443.931640625</v>
      </c>
      <c r="N1518" t="s">
        <v>12048</v>
      </c>
    </row>
    <row r="1519" spans="1:14" x14ac:dyDescent="0.3">
      <c r="A1519" s="2" t="s">
        <v>1517</v>
      </c>
      <c r="B1519" s="2" t="s">
        <v>12045</v>
      </c>
      <c r="C1519" s="2">
        <v>25</v>
      </c>
      <c r="D1519" s="2" t="s">
        <v>12041</v>
      </c>
      <c r="E1519" s="2">
        <f>COUNTIF(Table16[customer_id],Table13[[#This Row],[customer_id]])</f>
        <v>6</v>
      </c>
      <c r="F1519" s="13">
        <f>SUMIFS(Table16[Purchase_history],Table16[customer_id],Table13[[#This Row],[customer_id]])</f>
        <v>4749.24</v>
      </c>
      <c r="G1519" s="20">
        <v>44214</v>
      </c>
      <c r="H1519" s="21">
        <v>44886</v>
      </c>
      <c r="I1519" s="15">
        <f>(Table134[[#This Row],[Last_Day]]-Table134[[#This Row],[First_Day]]+1)/365</f>
        <v>1.8438356164383563</v>
      </c>
      <c r="J1519" s="59">
        <f>Table134[[#This Row],[number_of_purchases]]/Table134[[#This Row],[customer_total_years]]</f>
        <v>3.2540861812778603</v>
      </c>
      <c r="K1519" s="13">
        <f>Table134[[#This Row],[purchase_history]]/Table134[[#This Row],[number_of_purchases]]</f>
        <v>791.54</v>
      </c>
      <c r="L1519" s="2">
        <f>IF(YEAR(Table134[[#This Row],[Last_Day]])=2021,5,IF(YEAR(Table134[[#This Row],[Last_Day]])=2022,7,IF(YEAR(Table134[[#This Row],[Last_Day]])=2023,10,"Không xác định")))</f>
        <v>7</v>
      </c>
      <c r="M1519" s="15">
        <f>Table134[[#This Row],[avg_number_of_purchases]]*Table1345[[#This Row],[avg_purchase_value]]*Table1345[[#This Row],[expected_lifespan]]</f>
        <v>18030.175631500741</v>
      </c>
      <c r="N1519" t="s">
        <v>12047</v>
      </c>
    </row>
    <row r="1520" spans="1:14" x14ac:dyDescent="0.3">
      <c r="A1520" s="2" t="s">
        <v>1518</v>
      </c>
      <c r="B1520" s="2" t="s">
        <v>12045</v>
      </c>
      <c r="C1520" s="2">
        <v>64</v>
      </c>
      <c r="D1520" s="2" t="s">
        <v>12041</v>
      </c>
      <c r="E1520" s="2">
        <f>COUNTIF(Table16[customer_id],Table13[[#This Row],[customer_id]])</f>
        <v>4</v>
      </c>
      <c r="F1520" s="13">
        <f>SUMIFS(Table16[Purchase_history],Table16[customer_id],Table13[[#This Row],[customer_id]])</f>
        <v>10333.470000000001</v>
      </c>
      <c r="G1520" s="20">
        <v>44282</v>
      </c>
      <c r="H1520" s="21">
        <v>44761</v>
      </c>
      <c r="I1520" s="15">
        <f>(Table134[[#This Row],[Last_Day]]-Table134[[#This Row],[First_Day]]+1)/365</f>
        <v>1.3150684931506849</v>
      </c>
      <c r="J1520" s="59">
        <f>Table134[[#This Row],[number_of_purchases]]/Table134[[#This Row],[customer_total_years]]</f>
        <v>3.041666666666667</v>
      </c>
      <c r="K1520" s="13">
        <f>Table134[[#This Row],[purchase_history]]/Table134[[#This Row],[number_of_purchases]]</f>
        <v>2583.3675000000003</v>
      </c>
      <c r="L1520" s="2">
        <f>IF(YEAR(Table134[[#This Row],[Last_Day]])=2021,5,IF(YEAR(Table134[[#This Row],[Last_Day]])=2022,7,IF(YEAR(Table134[[#This Row],[Last_Day]])=2023,10,"Không xác định")))</f>
        <v>7</v>
      </c>
      <c r="M1520" s="15">
        <f>Table134[[#This Row],[avg_number_of_purchases]]*Table1345[[#This Row],[avg_purchase_value]]*Table1345[[#This Row],[expected_lifespan]]</f>
        <v>55004.199687500011</v>
      </c>
      <c r="N1520" t="s">
        <v>12042</v>
      </c>
    </row>
    <row r="1521" spans="1:14" x14ac:dyDescent="0.3">
      <c r="A1521" s="2" t="s">
        <v>1519</v>
      </c>
      <c r="B1521" s="2" t="s">
        <v>12045</v>
      </c>
      <c r="C1521" s="2">
        <v>36</v>
      </c>
      <c r="D1521" s="2" t="s">
        <v>12049</v>
      </c>
      <c r="E1521" s="2">
        <f>COUNTIF(Table16[customer_id],Table13[[#This Row],[customer_id]])</f>
        <v>4</v>
      </c>
      <c r="F1521" s="13">
        <f>SUMIFS(Table16[Purchase_history],Table16[customer_id],Table13[[#This Row],[customer_id]])</f>
        <v>8559.16</v>
      </c>
      <c r="G1521" s="20">
        <v>44286</v>
      </c>
      <c r="H1521" s="21">
        <v>44929</v>
      </c>
      <c r="I1521" s="15">
        <f>(Table134[[#This Row],[Last_Day]]-Table134[[#This Row],[First_Day]]+1)/365</f>
        <v>1.7643835616438357</v>
      </c>
      <c r="J1521" s="59">
        <f>Table134[[#This Row],[number_of_purchases]]/Table134[[#This Row],[customer_total_years]]</f>
        <v>2.2670807453416146</v>
      </c>
      <c r="K1521" s="13">
        <f>Table134[[#This Row],[purchase_history]]/Table134[[#This Row],[number_of_purchases]]</f>
        <v>2139.79</v>
      </c>
      <c r="L1521" s="2">
        <f>IF(YEAR(Table134[[#This Row],[Last_Day]])=2021,5,IF(YEAR(Table134[[#This Row],[Last_Day]])=2022,7,IF(YEAR(Table134[[#This Row],[Last_Day]])=2023,10,"Không xác định")))</f>
        <v>10</v>
      </c>
      <c r="M1521" s="15">
        <f>Table134[[#This Row],[avg_number_of_purchases]]*Table1345[[#This Row],[avg_purchase_value]]*Table1345[[#This Row],[expected_lifespan]]</f>
        <v>48510.76708074534</v>
      </c>
      <c r="N1521" t="s">
        <v>12046</v>
      </c>
    </row>
    <row r="1522" spans="1:14" x14ac:dyDescent="0.3">
      <c r="A1522" s="2" t="s">
        <v>1520</v>
      </c>
      <c r="B1522" s="2" t="s">
        <v>12040</v>
      </c>
      <c r="C1522" s="2">
        <v>61</v>
      </c>
      <c r="D1522" s="2" t="s">
        <v>12043</v>
      </c>
      <c r="E1522" s="2">
        <f>COUNTIF(Table16[customer_id],Table13[[#This Row],[customer_id]])</f>
        <v>1</v>
      </c>
      <c r="F1522" s="13">
        <f>SUMIFS(Table16[Purchase_history],Table16[customer_id],Table13[[#This Row],[customer_id]])</f>
        <v>300.08</v>
      </c>
      <c r="G1522" s="20">
        <v>44964</v>
      </c>
      <c r="H1522" s="21">
        <v>44964</v>
      </c>
      <c r="I1522" s="15">
        <f>(Table134[[#This Row],[Last_Day]]-Table134[[#This Row],[First_Day]]+1)/365</f>
        <v>2.7397260273972603E-3</v>
      </c>
      <c r="J1522" s="59">
        <f>Table134[[#This Row],[number_of_purchases]]/Table134[[#This Row],[customer_total_years]]</f>
        <v>365</v>
      </c>
      <c r="K1522" s="13">
        <f>Table134[[#This Row],[purchase_history]]/Table134[[#This Row],[number_of_purchases]]</f>
        <v>300.08</v>
      </c>
      <c r="L1522" s="2">
        <f>IF(YEAR(Table134[[#This Row],[Last_Day]])=2021,5,IF(YEAR(Table134[[#This Row],[Last_Day]])=2022,7,IF(YEAR(Table134[[#This Row],[Last_Day]])=2023,10,"Không xác định")))</f>
        <v>10</v>
      </c>
      <c r="M1522" s="15">
        <f>Table134[[#This Row],[avg_number_of_purchases]]*Table1345[[#This Row],[avg_purchase_value]]*Table1345[[#This Row],[expected_lifespan]]</f>
        <v>1095292</v>
      </c>
      <c r="N1522" t="s">
        <v>12046</v>
      </c>
    </row>
    <row r="1523" spans="1:14" x14ac:dyDescent="0.3">
      <c r="A1523" s="2" t="s">
        <v>1521</v>
      </c>
      <c r="B1523" s="2" t="s">
        <v>12040</v>
      </c>
      <c r="C1523" s="2">
        <v>38</v>
      </c>
      <c r="D1523" s="2" t="s">
        <v>12041</v>
      </c>
      <c r="E1523" s="2">
        <f>COUNTIF(Table16[customer_id],Table13[[#This Row],[customer_id]])</f>
        <v>8</v>
      </c>
      <c r="F1523" s="13">
        <f>SUMIFS(Table16[Purchase_history],Table16[customer_id],Table13[[#This Row],[customer_id]])</f>
        <v>19270.36</v>
      </c>
      <c r="G1523" s="20">
        <v>44298</v>
      </c>
      <c r="H1523" s="21">
        <v>44961</v>
      </c>
      <c r="I1523" s="15">
        <f>(Table134[[#This Row],[Last_Day]]-Table134[[#This Row],[First_Day]]+1)/365</f>
        <v>1.8191780821917809</v>
      </c>
      <c r="J1523" s="59">
        <f>Table134[[#This Row],[number_of_purchases]]/Table134[[#This Row],[customer_total_years]]</f>
        <v>4.3975903614457827</v>
      </c>
      <c r="K1523" s="13">
        <f>Table134[[#This Row],[purchase_history]]/Table134[[#This Row],[number_of_purchases]]</f>
        <v>2408.7950000000001</v>
      </c>
      <c r="L1523" s="2">
        <f>IF(YEAR(Table134[[#This Row],[Last_Day]])=2021,5,IF(YEAR(Table134[[#This Row],[Last_Day]])=2022,7,IF(YEAR(Table134[[#This Row],[Last_Day]])=2023,10,"Không xác định")))</f>
        <v>10</v>
      </c>
      <c r="M1523" s="15">
        <f>Table134[[#This Row],[avg_number_of_purchases]]*Table1345[[#This Row],[avg_purchase_value]]*Table1345[[#This Row],[expected_lifespan]]</f>
        <v>105928.93674698795</v>
      </c>
      <c r="N1523" t="s">
        <v>12046</v>
      </c>
    </row>
    <row r="1524" spans="1:14" x14ac:dyDescent="0.3">
      <c r="A1524" s="2" t="s">
        <v>1522</v>
      </c>
      <c r="B1524" s="2" t="s">
        <v>12045</v>
      </c>
      <c r="C1524" s="2">
        <v>57</v>
      </c>
      <c r="D1524" s="2" t="s">
        <v>12049</v>
      </c>
      <c r="E1524" s="2">
        <f>COUNTIF(Table16[customer_id],Table13[[#This Row],[customer_id]])</f>
        <v>4</v>
      </c>
      <c r="F1524" s="13">
        <f>SUMIFS(Table16[Purchase_history],Table16[customer_id],Table13[[#This Row],[customer_id]])</f>
        <v>17007.810000000001</v>
      </c>
      <c r="G1524" s="20">
        <v>44324</v>
      </c>
      <c r="H1524" s="21">
        <v>44842</v>
      </c>
      <c r="I1524" s="15">
        <f>(Table134[[#This Row],[Last_Day]]-Table134[[#This Row],[First_Day]]+1)/365</f>
        <v>1.4219178082191781</v>
      </c>
      <c r="J1524" s="59">
        <f>Table134[[#This Row],[number_of_purchases]]/Table134[[#This Row],[customer_total_years]]</f>
        <v>2.8131021194605008</v>
      </c>
      <c r="K1524" s="13">
        <f>Table134[[#This Row],[purchase_history]]/Table134[[#This Row],[number_of_purchases]]</f>
        <v>4251.9525000000003</v>
      </c>
      <c r="L1524" s="2">
        <f>IF(YEAR(Table134[[#This Row],[Last_Day]])=2021,5,IF(YEAR(Table134[[#This Row],[Last_Day]])=2022,7,IF(YEAR(Table134[[#This Row],[Last_Day]])=2023,10,"Không xác định")))</f>
        <v>7</v>
      </c>
      <c r="M1524" s="15">
        <f>Table134[[#This Row],[avg_number_of_purchases]]*Table1345[[#This Row],[avg_purchase_value]]*Table1345[[#This Row],[expected_lifespan]]</f>
        <v>83728.236127167635</v>
      </c>
      <c r="N1524" t="s">
        <v>12046</v>
      </c>
    </row>
    <row r="1525" spans="1:14" x14ac:dyDescent="0.3">
      <c r="A1525" s="2" t="s">
        <v>1523</v>
      </c>
      <c r="B1525" s="2" t="s">
        <v>12040</v>
      </c>
      <c r="C1525" s="2">
        <v>61</v>
      </c>
      <c r="D1525" s="2" t="s">
        <v>12043</v>
      </c>
      <c r="E1525" s="2">
        <f>COUNTIF(Table16[customer_id],Table13[[#This Row],[customer_id]])</f>
        <v>5</v>
      </c>
      <c r="F1525" s="13">
        <f>SUMIFS(Table16[Purchase_history],Table16[customer_id],Table13[[#This Row],[customer_id]])</f>
        <v>7680.3899999999994</v>
      </c>
      <c r="G1525" s="20">
        <v>44276</v>
      </c>
      <c r="H1525" s="21">
        <v>44952</v>
      </c>
      <c r="I1525" s="15">
        <f>(Table134[[#This Row],[Last_Day]]-Table134[[#This Row],[First_Day]]+1)/365</f>
        <v>1.8547945205479452</v>
      </c>
      <c r="J1525" s="59">
        <f>Table134[[#This Row],[number_of_purchases]]/Table134[[#This Row],[customer_total_years]]</f>
        <v>2.6957163958641064</v>
      </c>
      <c r="K1525" s="13">
        <f>Table134[[#This Row],[purchase_history]]/Table134[[#This Row],[number_of_purchases]]</f>
        <v>1536.078</v>
      </c>
      <c r="L1525" s="2">
        <f>IF(YEAR(Table134[[#This Row],[Last_Day]])=2021,5,IF(YEAR(Table134[[#This Row],[Last_Day]])=2022,7,IF(YEAR(Table134[[#This Row],[Last_Day]])=2023,10,"Không xác định")))</f>
        <v>10</v>
      </c>
      <c r="M1525" s="15">
        <f>Table134[[#This Row],[avg_number_of_purchases]]*Table1345[[#This Row],[avg_purchase_value]]*Table1345[[#This Row],[expected_lifespan]]</f>
        <v>41408.306499261445</v>
      </c>
      <c r="N1525" t="s">
        <v>12046</v>
      </c>
    </row>
    <row r="1526" spans="1:14" x14ac:dyDescent="0.3">
      <c r="A1526" s="2" t="s">
        <v>1524</v>
      </c>
      <c r="B1526" s="2" t="s">
        <v>12040</v>
      </c>
      <c r="C1526" s="2">
        <v>50</v>
      </c>
      <c r="D1526" s="2" t="s">
        <v>12041</v>
      </c>
      <c r="E1526" s="2">
        <f>COUNTIF(Table16[customer_id],Table13[[#This Row],[customer_id]])</f>
        <v>2</v>
      </c>
      <c r="F1526" s="13">
        <f>SUMIFS(Table16[Purchase_history],Table16[customer_id],Table13[[#This Row],[customer_id]])</f>
        <v>1090.6600000000001</v>
      </c>
      <c r="G1526" s="20">
        <v>44898</v>
      </c>
      <c r="H1526" s="21">
        <v>44960</v>
      </c>
      <c r="I1526" s="15">
        <f>(Table134[[#This Row],[Last_Day]]-Table134[[#This Row],[First_Day]]+1)/365</f>
        <v>0.17260273972602741</v>
      </c>
      <c r="J1526" s="59">
        <f>Table134[[#This Row],[number_of_purchases]]/Table134[[#This Row],[customer_total_years]]</f>
        <v>11.587301587301587</v>
      </c>
      <c r="K1526" s="13">
        <f>Table134[[#This Row],[purchase_history]]/Table134[[#This Row],[number_of_purchases]]</f>
        <v>545.33000000000004</v>
      </c>
      <c r="L1526" s="2">
        <f>IF(YEAR(Table134[[#This Row],[Last_Day]])=2021,5,IF(YEAR(Table134[[#This Row],[Last_Day]])=2022,7,IF(YEAR(Table134[[#This Row],[Last_Day]])=2023,10,"Không xác định")))</f>
        <v>10</v>
      </c>
      <c r="M1526" s="15">
        <f>Table134[[#This Row],[avg_number_of_purchases]]*Table1345[[#This Row],[avg_purchase_value]]*Table1345[[#This Row],[expected_lifespan]]</f>
        <v>63189.031746031753</v>
      </c>
      <c r="N1526" t="s">
        <v>12044</v>
      </c>
    </row>
    <row r="1527" spans="1:14" x14ac:dyDescent="0.3">
      <c r="A1527" s="2" t="s">
        <v>1525</v>
      </c>
      <c r="B1527" s="2" t="s">
        <v>12040</v>
      </c>
      <c r="C1527" s="2">
        <v>30</v>
      </c>
      <c r="D1527" s="2" t="s">
        <v>12049</v>
      </c>
      <c r="E1527" s="2">
        <f>COUNTIF(Table16[customer_id],Table13[[#This Row],[customer_id]])</f>
        <v>6</v>
      </c>
      <c r="F1527" s="13">
        <f>SUMIFS(Table16[Purchase_history],Table16[customer_id],Table13[[#This Row],[customer_id]])</f>
        <v>28207.68</v>
      </c>
      <c r="G1527" s="20">
        <v>44255</v>
      </c>
      <c r="H1527" s="21">
        <v>44784</v>
      </c>
      <c r="I1527" s="15">
        <f>(Table134[[#This Row],[Last_Day]]-Table134[[#This Row],[First_Day]]+1)/365</f>
        <v>1.452054794520548</v>
      </c>
      <c r="J1527" s="59">
        <f>Table134[[#This Row],[number_of_purchases]]/Table134[[#This Row],[customer_total_years]]</f>
        <v>4.132075471698113</v>
      </c>
      <c r="K1527" s="13">
        <f>Table134[[#This Row],[purchase_history]]/Table134[[#This Row],[number_of_purchases]]</f>
        <v>4701.28</v>
      </c>
      <c r="L1527" s="2">
        <f>IF(YEAR(Table134[[#This Row],[Last_Day]])=2021,5,IF(YEAR(Table134[[#This Row],[Last_Day]])=2022,7,IF(YEAR(Table134[[#This Row],[Last_Day]])=2023,10,"Không xác định")))</f>
        <v>7</v>
      </c>
      <c r="M1527" s="15">
        <f>Table134[[#This Row],[avg_number_of_purchases]]*Table1345[[#This Row],[avg_purchase_value]]*Table1345[[#This Row],[expected_lifespan]]</f>
        <v>135982.30641509432</v>
      </c>
      <c r="N1527" t="s">
        <v>12042</v>
      </c>
    </row>
    <row r="1528" spans="1:14" x14ac:dyDescent="0.3">
      <c r="A1528" s="2" t="s">
        <v>1526</v>
      </c>
      <c r="B1528" s="2" t="s">
        <v>12040</v>
      </c>
      <c r="C1528" s="2">
        <v>28</v>
      </c>
      <c r="D1528" s="2" t="s">
        <v>12041</v>
      </c>
      <c r="E1528" s="2">
        <f>COUNTIF(Table16[customer_id],Table13[[#This Row],[customer_id]])</f>
        <v>5</v>
      </c>
      <c r="F1528" s="13">
        <f>SUMIFS(Table16[Purchase_history],Table16[customer_id],Table13[[#This Row],[customer_id]])</f>
        <v>8866.6</v>
      </c>
      <c r="G1528" s="20">
        <v>44583</v>
      </c>
      <c r="H1528" s="21">
        <v>44875</v>
      </c>
      <c r="I1528" s="15">
        <f>(Table134[[#This Row],[Last_Day]]-Table134[[#This Row],[First_Day]]+1)/365</f>
        <v>0.80273972602739729</v>
      </c>
      <c r="J1528" s="59">
        <f>Table134[[#This Row],[number_of_purchases]]/Table134[[#This Row],[customer_total_years]]</f>
        <v>6.2286689419795218</v>
      </c>
      <c r="K1528" s="13">
        <f>Table134[[#This Row],[purchase_history]]/Table134[[#This Row],[number_of_purchases]]</f>
        <v>1773.3200000000002</v>
      </c>
      <c r="L1528" s="2">
        <f>IF(YEAR(Table134[[#This Row],[Last_Day]])=2021,5,IF(YEAR(Table134[[#This Row],[Last_Day]])=2022,7,IF(YEAR(Table134[[#This Row],[Last_Day]])=2023,10,"Không xác định")))</f>
        <v>7</v>
      </c>
      <c r="M1528" s="15">
        <f>Table134[[#This Row],[avg_number_of_purchases]]*Table1345[[#This Row],[avg_purchase_value]]*Table1345[[#This Row],[expected_lifespan]]</f>
        <v>77317.962457337882</v>
      </c>
      <c r="N1528" t="s">
        <v>12042</v>
      </c>
    </row>
    <row r="1529" spans="1:14" x14ac:dyDescent="0.3">
      <c r="A1529" s="2" t="s">
        <v>1527</v>
      </c>
      <c r="B1529" s="2" t="s">
        <v>12040</v>
      </c>
      <c r="C1529" s="2">
        <v>53</v>
      </c>
      <c r="D1529" s="2" t="s">
        <v>12041</v>
      </c>
      <c r="E1529" s="2">
        <f>COUNTIF(Table16[customer_id],Table13[[#This Row],[customer_id]])</f>
        <v>5</v>
      </c>
      <c r="F1529" s="13">
        <f>SUMIFS(Table16[Purchase_history],Table16[customer_id],Table13[[#This Row],[customer_id]])</f>
        <v>10853.279999999999</v>
      </c>
      <c r="G1529" s="20">
        <v>44316</v>
      </c>
      <c r="H1529" s="21">
        <v>44785</v>
      </c>
      <c r="I1529" s="15">
        <f>(Table134[[#This Row],[Last_Day]]-Table134[[#This Row],[First_Day]]+1)/365</f>
        <v>1.2876712328767124</v>
      </c>
      <c r="J1529" s="59">
        <f>Table134[[#This Row],[number_of_purchases]]/Table134[[#This Row],[customer_total_years]]</f>
        <v>3.8829787234042552</v>
      </c>
      <c r="K1529" s="13">
        <f>Table134[[#This Row],[purchase_history]]/Table134[[#This Row],[number_of_purchases]]</f>
        <v>2170.6559999999999</v>
      </c>
      <c r="L1529" s="2">
        <f>IF(YEAR(Table134[[#This Row],[Last_Day]])=2021,5,IF(YEAR(Table134[[#This Row],[Last_Day]])=2022,7,IF(YEAR(Table134[[#This Row],[Last_Day]])=2023,10,"Không xác định")))</f>
        <v>7</v>
      </c>
      <c r="M1529" s="15">
        <f>Table134[[#This Row],[avg_number_of_purchases]]*Table1345[[#This Row],[avg_purchase_value]]*Table1345[[#This Row],[expected_lifespan]]</f>
        <v>59000.277446808512</v>
      </c>
      <c r="N1529" t="s">
        <v>12042</v>
      </c>
    </row>
    <row r="1530" spans="1:14" x14ac:dyDescent="0.3">
      <c r="A1530" s="2" t="s">
        <v>1528</v>
      </c>
      <c r="B1530" s="2" t="s">
        <v>12040</v>
      </c>
      <c r="C1530" s="2">
        <v>23</v>
      </c>
      <c r="D1530" s="2" t="s">
        <v>12049</v>
      </c>
      <c r="E1530" s="2">
        <f>COUNTIF(Table16[customer_id],Table13[[#This Row],[customer_id]])</f>
        <v>5</v>
      </c>
      <c r="F1530" s="13">
        <f>SUMIFS(Table16[Purchase_history],Table16[customer_id],Table13[[#This Row],[customer_id]])</f>
        <v>8142.25</v>
      </c>
      <c r="G1530" s="20">
        <v>44282</v>
      </c>
      <c r="H1530" s="21">
        <v>44953</v>
      </c>
      <c r="I1530" s="15">
        <f>(Table134[[#This Row],[Last_Day]]-Table134[[#This Row],[First_Day]]+1)/365</f>
        <v>1.8410958904109589</v>
      </c>
      <c r="J1530" s="59">
        <f>Table134[[#This Row],[number_of_purchases]]/Table134[[#This Row],[customer_total_years]]</f>
        <v>2.7157738095238098</v>
      </c>
      <c r="K1530" s="13">
        <f>Table134[[#This Row],[purchase_history]]/Table134[[#This Row],[number_of_purchases]]</f>
        <v>1628.45</v>
      </c>
      <c r="L1530" s="2">
        <f>IF(YEAR(Table134[[#This Row],[Last_Day]])=2021,5,IF(YEAR(Table134[[#This Row],[Last_Day]])=2022,7,IF(YEAR(Table134[[#This Row],[Last_Day]])=2023,10,"Không xác định")))</f>
        <v>10</v>
      </c>
      <c r="M1530" s="15">
        <f>Table134[[#This Row],[avg_number_of_purchases]]*Table1345[[#This Row],[avg_purchase_value]]*Table1345[[#This Row],[expected_lifespan]]</f>
        <v>44225.018601190473</v>
      </c>
      <c r="N1530" t="s">
        <v>12047</v>
      </c>
    </row>
    <row r="1531" spans="1:14" x14ac:dyDescent="0.3">
      <c r="A1531" s="2" t="s">
        <v>1529</v>
      </c>
      <c r="B1531" s="2" t="s">
        <v>12040</v>
      </c>
      <c r="C1531" s="2">
        <v>21</v>
      </c>
      <c r="D1531" s="2" t="s">
        <v>12041</v>
      </c>
      <c r="E1531" s="2">
        <f>COUNTIF(Table16[customer_id],Table13[[#This Row],[customer_id]])</f>
        <v>6</v>
      </c>
      <c r="F1531" s="13">
        <f>SUMIFS(Table16[Purchase_history],Table16[customer_id],Table13[[#This Row],[customer_id]])</f>
        <v>13727.970000000001</v>
      </c>
      <c r="G1531" s="20">
        <v>44388</v>
      </c>
      <c r="H1531" s="21">
        <v>44982</v>
      </c>
      <c r="I1531" s="15">
        <f>(Table134[[#This Row],[Last_Day]]-Table134[[#This Row],[First_Day]]+1)/365</f>
        <v>1.6301369863013699</v>
      </c>
      <c r="J1531" s="59">
        <f>Table134[[#This Row],[number_of_purchases]]/Table134[[#This Row],[customer_total_years]]</f>
        <v>3.6806722689075628</v>
      </c>
      <c r="K1531" s="13">
        <f>Table134[[#This Row],[purchase_history]]/Table134[[#This Row],[number_of_purchases]]</f>
        <v>2287.9950000000003</v>
      </c>
      <c r="L1531" s="2">
        <f>IF(YEAR(Table134[[#This Row],[Last_Day]])=2021,5,IF(YEAR(Table134[[#This Row],[Last_Day]])=2022,7,IF(YEAR(Table134[[#This Row],[Last_Day]])=2023,10,"Không xác định")))</f>
        <v>10</v>
      </c>
      <c r="M1531" s="15">
        <f>Table134[[#This Row],[avg_number_of_purchases]]*Table1345[[#This Row],[avg_purchase_value]]*Table1345[[#This Row],[expected_lifespan]]</f>
        <v>84213.597478991593</v>
      </c>
      <c r="N1531" t="s">
        <v>12042</v>
      </c>
    </row>
    <row r="1532" spans="1:14" x14ac:dyDescent="0.3">
      <c r="A1532" s="2" t="s">
        <v>1530</v>
      </c>
      <c r="B1532" s="2" t="s">
        <v>12040</v>
      </c>
      <c r="C1532" s="2">
        <v>49</v>
      </c>
      <c r="D1532" s="2" t="s">
        <v>12041</v>
      </c>
      <c r="E1532" s="2">
        <f>COUNTIF(Table16[customer_id],Table13[[#This Row],[customer_id]])</f>
        <v>2</v>
      </c>
      <c r="F1532" s="13">
        <f>SUMIFS(Table16[Purchase_history],Table16[customer_id],Table13[[#This Row],[customer_id]])</f>
        <v>1331.07</v>
      </c>
      <c r="G1532" s="20">
        <v>44773</v>
      </c>
      <c r="H1532" s="21">
        <v>44793</v>
      </c>
      <c r="I1532" s="15">
        <f>(Table134[[#This Row],[Last_Day]]-Table134[[#This Row],[First_Day]]+1)/365</f>
        <v>5.7534246575342465E-2</v>
      </c>
      <c r="J1532" s="59">
        <f>Table134[[#This Row],[number_of_purchases]]/Table134[[#This Row],[customer_total_years]]</f>
        <v>34.761904761904759</v>
      </c>
      <c r="K1532" s="13">
        <f>Table134[[#This Row],[purchase_history]]/Table134[[#This Row],[number_of_purchases]]</f>
        <v>665.53499999999997</v>
      </c>
      <c r="L1532" s="2">
        <f>IF(YEAR(Table134[[#This Row],[Last_Day]])=2021,5,IF(YEAR(Table134[[#This Row],[Last_Day]])=2022,7,IF(YEAR(Table134[[#This Row],[Last_Day]])=2023,10,"Không xác định")))</f>
        <v>7</v>
      </c>
      <c r="M1532" s="15">
        <f>Table134[[#This Row],[avg_number_of_purchases]]*Table1345[[#This Row],[avg_purchase_value]]*Table1345[[#This Row],[expected_lifespan]]</f>
        <v>161946.84999999998</v>
      </c>
      <c r="N1532" t="s">
        <v>12044</v>
      </c>
    </row>
    <row r="1533" spans="1:14" x14ac:dyDescent="0.3">
      <c r="A1533" s="2" t="s">
        <v>1531</v>
      </c>
      <c r="B1533" s="2" t="s">
        <v>12040</v>
      </c>
      <c r="C1533" s="2">
        <v>21</v>
      </c>
      <c r="D1533" s="2" t="s">
        <v>12043</v>
      </c>
      <c r="E1533" s="2">
        <f>COUNTIF(Table16[customer_id],Table13[[#This Row],[customer_id]])</f>
        <v>6</v>
      </c>
      <c r="F1533" s="13">
        <f>SUMIFS(Table16[Purchase_history],Table16[customer_id],Table13[[#This Row],[customer_id]])</f>
        <v>24529.599999999999</v>
      </c>
      <c r="G1533" s="20">
        <v>44204</v>
      </c>
      <c r="H1533" s="21">
        <v>44813</v>
      </c>
      <c r="I1533" s="15">
        <f>(Table134[[#This Row],[Last_Day]]-Table134[[#This Row],[First_Day]]+1)/365</f>
        <v>1.6712328767123288</v>
      </c>
      <c r="J1533" s="59">
        <f>Table134[[#This Row],[number_of_purchases]]/Table134[[#This Row],[customer_total_years]]</f>
        <v>3.5901639344262293</v>
      </c>
      <c r="K1533" s="13">
        <f>Table134[[#This Row],[purchase_history]]/Table134[[#This Row],[number_of_purchases]]</f>
        <v>4088.2666666666664</v>
      </c>
      <c r="L1533" s="2">
        <f>IF(YEAR(Table134[[#This Row],[Last_Day]])=2021,5,IF(YEAR(Table134[[#This Row],[Last_Day]])=2022,7,IF(YEAR(Table134[[#This Row],[Last_Day]])=2023,10,"Không xác định")))</f>
        <v>7</v>
      </c>
      <c r="M1533" s="15">
        <f>Table134[[#This Row],[avg_number_of_purchases]]*Table1345[[#This Row],[avg_purchase_value]]*Table1345[[#This Row],[expected_lifespan]]</f>
        <v>102742.83278688524</v>
      </c>
      <c r="N1533" t="s">
        <v>12047</v>
      </c>
    </row>
    <row r="1534" spans="1:14" x14ac:dyDescent="0.3">
      <c r="A1534" s="2" t="s">
        <v>1532</v>
      </c>
      <c r="B1534" s="2" t="s">
        <v>12040</v>
      </c>
      <c r="C1534" s="2">
        <v>25</v>
      </c>
      <c r="D1534" s="2" t="s">
        <v>12049</v>
      </c>
      <c r="E1534" s="2">
        <f>COUNTIF(Table16[customer_id],Table13[[#This Row],[customer_id]])</f>
        <v>6</v>
      </c>
      <c r="F1534" s="13">
        <f>SUMIFS(Table16[Purchase_history],Table16[customer_id],Table13[[#This Row],[customer_id]])</f>
        <v>20137.72</v>
      </c>
      <c r="G1534" s="20">
        <v>44233</v>
      </c>
      <c r="H1534" s="21">
        <v>44879</v>
      </c>
      <c r="I1534" s="15">
        <f>(Table134[[#This Row],[Last_Day]]-Table134[[#This Row],[First_Day]]+1)/365</f>
        <v>1.7726027397260273</v>
      </c>
      <c r="J1534" s="59">
        <f>Table134[[#This Row],[number_of_purchases]]/Table134[[#This Row],[customer_total_years]]</f>
        <v>3.3848531684698608</v>
      </c>
      <c r="K1534" s="13">
        <f>Table134[[#This Row],[purchase_history]]/Table134[[#This Row],[number_of_purchases]]</f>
        <v>3356.2866666666669</v>
      </c>
      <c r="L1534" s="2">
        <f>IF(YEAR(Table134[[#This Row],[Last_Day]])=2021,5,IF(YEAR(Table134[[#This Row],[Last_Day]])=2022,7,IF(YEAR(Table134[[#This Row],[Last_Day]])=2023,10,"Không xác định")))</f>
        <v>7</v>
      </c>
      <c r="M1534" s="15">
        <f>Table134[[#This Row],[avg_number_of_purchases]]*Table1345[[#This Row],[avg_purchase_value]]*Table1345[[#This Row],[expected_lifespan]]</f>
        <v>79523.7629057187</v>
      </c>
      <c r="N1534" t="s">
        <v>12047</v>
      </c>
    </row>
    <row r="1535" spans="1:14" x14ac:dyDescent="0.3">
      <c r="A1535" s="2" t="s">
        <v>1533</v>
      </c>
      <c r="B1535" s="2" t="s">
        <v>12045</v>
      </c>
      <c r="C1535" s="2">
        <v>38</v>
      </c>
      <c r="D1535" s="2" t="s">
        <v>12043</v>
      </c>
      <c r="E1535" s="2">
        <f>COUNTIF(Table16[customer_id],Table13[[#This Row],[customer_id]])</f>
        <v>5</v>
      </c>
      <c r="F1535" s="13">
        <f>SUMIFS(Table16[Purchase_history],Table16[customer_id],Table13[[#This Row],[customer_id]])</f>
        <v>9215.15</v>
      </c>
      <c r="G1535" s="20">
        <v>44398</v>
      </c>
      <c r="H1535" s="21">
        <v>44842</v>
      </c>
      <c r="I1535" s="15">
        <f>(Table134[[#This Row],[Last_Day]]-Table134[[#This Row],[First_Day]]+1)/365</f>
        <v>1.2191780821917808</v>
      </c>
      <c r="J1535" s="59">
        <f>Table134[[#This Row],[number_of_purchases]]/Table134[[#This Row],[customer_total_years]]</f>
        <v>4.1011235955056184</v>
      </c>
      <c r="K1535" s="13">
        <f>Table134[[#This Row],[purchase_history]]/Table134[[#This Row],[number_of_purchases]]</f>
        <v>1843.03</v>
      </c>
      <c r="L1535" s="2">
        <f>IF(YEAR(Table134[[#This Row],[Last_Day]])=2021,5,IF(YEAR(Table134[[#This Row],[Last_Day]])=2022,7,IF(YEAR(Table134[[#This Row],[Last_Day]])=2023,10,"Không xác định")))</f>
        <v>7</v>
      </c>
      <c r="M1535" s="15">
        <f>Table134[[#This Row],[avg_number_of_purchases]]*Table1345[[#This Row],[avg_purchase_value]]*Table1345[[#This Row],[expected_lifespan]]</f>
        <v>52909.456741573034</v>
      </c>
      <c r="N1535" t="s">
        <v>12047</v>
      </c>
    </row>
    <row r="1536" spans="1:14" x14ac:dyDescent="0.3">
      <c r="A1536" s="2" t="s">
        <v>1534</v>
      </c>
      <c r="B1536" s="2" t="s">
        <v>12040</v>
      </c>
      <c r="C1536" s="2">
        <v>54</v>
      </c>
      <c r="D1536" s="2" t="s">
        <v>12049</v>
      </c>
      <c r="E1536" s="2">
        <f>COUNTIF(Table16[customer_id],Table13[[#This Row],[customer_id]])</f>
        <v>2</v>
      </c>
      <c r="F1536" s="13">
        <f>SUMIFS(Table16[Purchase_history],Table16[customer_id],Table13[[#This Row],[customer_id]])</f>
        <v>145.9</v>
      </c>
      <c r="G1536" s="20">
        <v>44918</v>
      </c>
      <c r="H1536" s="21">
        <v>44985</v>
      </c>
      <c r="I1536" s="15">
        <f>(Table134[[#This Row],[Last_Day]]-Table134[[#This Row],[First_Day]]+1)/365</f>
        <v>0.18630136986301371</v>
      </c>
      <c r="J1536" s="59">
        <f>Table134[[#This Row],[number_of_purchases]]/Table134[[#This Row],[customer_total_years]]</f>
        <v>10.735294117647058</v>
      </c>
      <c r="K1536" s="13">
        <f>Table134[[#This Row],[purchase_history]]/Table134[[#This Row],[number_of_purchases]]</f>
        <v>72.95</v>
      </c>
      <c r="L1536" s="2">
        <f>IF(YEAR(Table134[[#This Row],[Last_Day]])=2021,5,IF(YEAR(Table134[[#This Row],[Last_Day]])=2022,7,IF(YEAR(Table134[[#This Row],[Last_Day]])=2023,10,"Không xác định")))</f>
        <v>10</v>
      </c>
      <c r="M1536" s="15">
        <f>Table134[[#This Row],[avg_number_of_purchases]]*Table1345[[#This Row],[avg_purchase_value]]*Table1345[[#This Row],[expected_lifespan]]</f>
        <v>7831.3970588235297</v>
      </c>
      <c r="N1536" t="s">
        <v>12046</v>
      </c>
    </row>
    <row r="1537" spans="1:14" x14ac:dyDescent="0.3">
      <c r="A1537" s="2" t="s">
        <v>1535</v>
      </c>
      <c r="B1537" s="2" t="s">
        <v>12040</v>
      </c>
      <c r="C1537" s="2">
        <v>29</v>
      </c>
      <c r="D1537" s="2" t="s">
        <v>12043</v>
      </c>
      <c r="E1537" s="2">
        <f>COUNTIF(Table16[customer_id],Table13[[#This Row],[customer_id]])</f>
        <v>5</v>
      </c>
      <c r="F1537" s="13">
        <f>SUMIFS(Table16[Purchase_history],Table16[customer_id],Table13[[#This Row],[customer_id]])</f>
        <v>20502.91</v>
      </c>
      <c r="G1537" s="20">
        <v>44286</v>
      </c>
      <c r="H1537" s="21">
        <v>44940</v>
      </c>
      <c r="I1537" s="15">
        <f>(Table134[[#This Row],[Last_Day]]-Table134[[#This Row],[First_Day]]+1)/365</f>
        <v>1.7945205479452055</v>
      </c>
      <c r="J1537" s="59">
        <f>Table134[[#This Row],[number_of_purchases]]/Table134[[#This Row],[customer_total_years]]</f>
        <v>2.7862595419847329</v>
      </c>
      <c r="K1537" s="13">
        <f>Table134[[#This Row],[purchase_history]]/Table134[[#This Row],[number_of_purchases]]</f>
        <v>4100.5820000000003</v>
      </c>
      <c r="L1537" s="2">
        <f>IF(YEAR(Table134[[#This Row],[Last_Day]])=2021,5,IF(YEAR(Table134[[#This Row],[Last_Day]])=2022,7,IF(YEAR(Table134[[#This Row],[Last_Day]])=2023,10,"Không xác định")))</f>
        <v>10</v>
      </c>
      <c r="M1537" s="15">
        <f>Table134[[#This Row],[avg_number_of_purchases]]*Table1345[[#This Row],[avg_purchase_value]]*Table1345[[#This Row],[expected_lifespan]]</f>
        <v>114252.85725190841</v>
      </c>
      <c r="N1537" t="s">
        <v>12048</v>
      </c>
    </row>
    <row r="1538" spans="1:14" x14ac:dyDescent="0.3">
      <c r="A1538" s="2" t="s">
        <v>1536</v>
      </c>
      <c r="B1538" s="2" t="s">
        <v>12045</v>
      </c>
      <c r="C1538" s="2">
        <v>61</v>
      </c>
      <c r="D1538" s="2" t="s">
        <v>12043</v>
      </c>
      <c r="E1538" s="2">
        <f>COUNTIF(Table16[customer_id],Table13[[#This Row],[customer_id]])</f>
        <v>3</v>
      </c>
      <c r="F1538" s="13">
        <f>SUMIFS(Table16[Purchase_history],Table16[customer_id],Table13[[#This Row],[customer_id]])</f>
        <v>27307.53</v>
      </c>
      <c r="G1538" s="20">
        <v>44478</v>
      </c>
      <c r="H1538" s="21">
        <v>44740</v>
      </c>
      <c r="I1538" s="15">
        <f>(Table134[[#This Row],[Last_Day]]-Table134[[#This Row],[First_Day]]+1)/365</f>
        <v>0.72054794520547949</v>
      </c>
      <c r="J1538" s="59">
        <f>Table134[[#This Row],[number_of_purchases]]/Table134[[#This Row],[customer_total_years]]</f>
        <v>4.1634980988593151</v>
      </c>
      <c r="K1538" s="13">
        <f>Table134[[#This Row],[purchase_history]]/Table134[[#This Row],[number_of_purchases]]</f>
        <v>9102.51</v>
      </c>
      <c r="L1538" s="2">
        <f>IF(YEAR(Table134[[#This Row],[Last_Day]])=2021,5,IF(YEAR(Table134[[#This Row],[Last_Day]])=2022,7,IF(YEAR(Table134[[#This Row],[Last_Day]])=2023,10,"Không xác định")))</f>
        <v>7</v>
      </c>
      <c r="M1538" s="15">
        <f>Table134[[#This Row],[avg_number_of_purchases]]*Table1345[[#This Row],[avg_purchase_value]]*Table1345[[#This Row],[expected_lifespan]]</f>
        <v>265287.98155893531</v>
      </c>
      <c r="N1538" t="s">
        <v>12042</v>
      </c>
    </row>
    <row r="1539" spans="1:14" x14ac:dyDescent="0.3">
      <c r="A1539" s="2" t="s">
        <v>1537</v>
      </c>
      <c r="B1539" s="2" t="s">
        <v>12040</v>
      </c>
      <c r="C1539" s="2">
        <v>50</v>
      </c>
      <c r="D1539" s="2" t="s">
        <v>12049</v>
      </c>
      <c r="E1539" s="2">
        <f>COUNTIF(Table16[customer_id],Table13[[#This Row],[customer_id]])</f>
        <v>9</v>
      </c>
      <c r="F1539" s="13">
        <f>SUMIFS(Table16[Purchase_history],Table16[customer_id],Table13[[#This Row],[customer_id]])</f>
        <v>18946.18</v>
      </c>
      <c r="G1539" s="20">
        <v>44247</v>
      </c>
      <c r="H1539" s="21">
        <v>44947</v>
      </c>
      <c r="I1539" s="15">
        <f>(Table134[[#This Row],[Last_Day]]-Table134[[#This Row],[First_Day]]+1)/365</f>
        <v>1.9205479452054794</v>
      </c>
      <c r="J1539" s="59">
        <f>Table134[[#This Row],[number_of_purchases]]/Table134[[#This Row],[customer_total_years]]</f>
        <v>4.6861626248216837</v>
      </c>
      <c r="K1539" s="13">
        <f>Table134[[#This Row],[purchase_history]]/Table134[[#This Row],[number_of_purchases]]</f>
        <v>2105.1311111111113</v>
      </c>
      <c r="L1539" s="2">
        <f>IF(YEAR(Table134[[#This Row],[Last_Day]])=2021,5,IF(YEAR(Table134[[#This Row],[Last_Day]])=2022,7,IF(YEAR(Table134[[#This Row],[Last_Day]])=2023,10,"Không xác định")))</f>
        <v>10</v>
      </c>
      <c r="M1539" s="15">
        <f>Table134[[#This Row],[avg_number_of_purchases]]*Table1345[[#This Row],[avg_purchase_value]]*Table1345[[#This Row],[expected_lifespan]]</f>
        <v>98649.867332382331</v>
      </c>
      <c r="N1539" t="s">
        <v>12042</v>
      </c>
    </row>
    <row r="1540" spans="1:14" x14ac:dyDescent="0.3">
      <c r="A1540" s="2" t="s">
        <v>1538</v>
      </c>
      <c r="B1540" s="2" t="s">
        <v>12045</v>
      </c>
      <c r="C1540" s="2">
        <v>34</v>
      </c>
      <c r="D1540" s="2" t="s">
        <v>12041</v>
      </c>
      <c r="E1540" s="2">
        <f>COUNTIF(Table16[customer_id],Table13[[#This Row],[customer_id]])</f>
        <v>4</v>
      </c>
      <c r="F1540" s="13">
        <f>SUMIFS(Table16[Purchase_history],Table16[customer_id],Table13[[#This Row],[customer_id]])</f>
        <v>2441.71</v>
      </c>
      <c r="G1540" s="20">
        <v>44209</v>
      </c>
      <c r="H1540" s="21">
        <v>44976</v>
      </c>
      <c r="I1540" s="15">
        <f>(Table134[[#This Row],[Last_Day]]-Table134[[#This Row],[First_Day]]+1)/365</f>
        <v>2.1041095890410957</v>
      </c>
      <c r="J1540" s="59">
        <f>Table134[[#This Row],[number_of_purchases]]/Table134[[#This Row],[customer_total_years]]</f>
        <v>1.901041666666667</v>
      </c>
      <c r="K1540" s="13">
        <f>Table134[[#This Row],[purchase_history]]/Table134[[#This Row],[number_of_purchases]]</f>
        <v>610.42750000000001</v>
      </c>
      <c r="L1540" s="2">
        <f>IF(YEAR(Table134[[#This Row],[Last_Day]])=2021,5,IF(YEAR(Table134[[#This Row],[Last_Day]])=2022,7,IF(YEAR(Table134[[#This Row],[Last_Day]])=2023,10,"Không xác định")))</f>
        <v>10</v>
      </c>
      <c r="M1540" s="15">
        <f>Table134[[#This Row],[avg_number_of_purchases]]*Table1345[[#This Row],[avg_purchase_value]]*Table1345[[#This Row],[expected_lifespan]]</f>
        <v>11604.48111979167</v>
      </c>
      <c r="N1540" t="s">
        <v>12044</v>
      </c>
    </row>
    <row r="1541" spans="1:14" x14ac:dyDescent="0.3">
      <c r="A1541" s="2" t="s">
        <v>1539</v>
      </c>
      <c r="B1541" s="2" t="s">
        <v>12040</v>
      </c>
      <c r="C1541" s="2">
        <v>45</v>
      </c>
      <c r="D1541" s="2" t="s">
        <v>12041</v>
      </c>
      <c r="E1541" s="2">
        <f>COUNTIF(Table16[customer_id],Table13[[#This Row],[customer_id]])</f>
        <v>2</v>
      </c>
      <c r="F1541" s="13">
        <f>SUMIFS(Table16[Purchase_history],Table16[customer_id],Table13[[#This Row],[customer_id]])</f>
        <v>950.63999999999987</v>
      </c>
      <c r="G1541" s="20">
        <v>44281</v>
      </c>
      <c r="H1541" s="21">
        <v>44751</v>
      </c>
      <c r="I1541" s="15">
        <f>(Table134[[#This Row],[Last_Day]]-Table134[[#This Row],[First_Day]]+1)/365</f>
        <v>1.2904109589041095</v>
      </c>
      <c r="J1541" s="59">
        <f>Table134[[#This Row],[number_of_purchases]]/Table134[[#This Row],[customer_total_years]]</f>
        <v>1.5498938428874736</v>
      </c>
      <c r="K1541" s="13">
        <f>Table134[[#This Row],[purchase_history]]/Table134[[#This Row],[number_of_purchases]]</f>
        <v>475.31999999999994</v>
      </c>
      <c r="L1541" s="2">
        <f>IF(YEAR(Table134[[#This Row],[Last_Day]])=2021,5,IF(YEAR(Table134[[#This Row],[Last_Day]])=2022,7,IF(YEAR(Table134[[#This Row],[Last_Day]])=2023,10,"Không xác định")))</f>
        <v>7</v>
      </c>
      <c r="M1541" s="15">
        <f>Table134[[#This Row],[avg_number_of_purchases]]*Table1345[[#This Row],[avg_purchase_value]]*Table1345[[#This Row],[expected_lifespan]]</f>
        <v>5156.8687898089174</v>
      </c>
      <c r="N1541" t="s">
        <v>12042</v>
      </c>
    </row>
    <row r="1542" spans="1:14" x14ac:dyDescent="0.3">
      <c r="A1542" s="2" t="s">
        <v>1540</v>
      </c>
      <c r="B1542" s="2" t="s">
        <v>12040</v>
      </c>
      <c r="C1542" s="2">
        <v>34</v>
      </c>
      <c r="D1542" s="2" t="s">
        <v>12049</v>
      </c>
      <c r="E1542" s="2">
        <f>COUNTIF(Table16[customer_id],Table13[[#This Row],[customer_id]])</f>
        <v>7</v>
      </c>
      <c r="F1542" s="13">
        <f>SUMIFS(Table16[Purchase_history],Table16[customer_id],Table13[[#This Row],[customer_id]])</f>
        <v>20177.79</v>
      </c>
      <c r="G1542" s="20">
        <v>44304</v>
      </c>
      <c r="H1542" s="21">
        <v>44990</v>
      </c>
      <c r="I1542" s="15">
        <f>(Table134[[#This Row],[Last_Day]]-Table134[[#This Row],[First_Day]]+1)/365</f>
        <v>1.8821917808219177</v>
      </c>
      <c r="J1542" s="59">
        <f>Table134[[#This Row],[number_of_purchases]]/Table134[[#This Row],[customer_total_years]]</f>
        <v>3.7190684133915575</v>
      </c>
      <c r="K1542" s="13">
        <f>Table134[[#This Row],[purchase_history]]/Table134[[#This Row],[number_of_purchases]]</f>
        <v>2882.5414285714287</v>
      </c>
      <c r="L1542" s="2">
        <f>IF(YEAR(Table134[[#This Row],[Last_Day]])=2021,5,IF(YEAR(Table134[[#This Row],[Last_Day]])=2022,7,IF(YEAR(Table134[[#This Row],[Last_Day]])=2023,10,"Không xác định")))</f>
        <v>10</v>
      </c>
      <c r="M1542" s="15">
        <f>Table134[[#This Row],[avg_number_of_purchases]]*Table1345[[#This Row],[avg_purchase_value]]*Table1345[[#This Row],[expected_lifespan]]</f>
        <v>107203.68777292577</v>
      </c>
      <c r="N1542" t="s">
        <v>12046</v>
      </c>
    </row>
    <row r="1543" spans="1:14" x14ac:dyDescent="0.3">
      <c r="A1543" s="2" t="s">
        <v>1541</v>
      </c>
      <c r="B1543" s="2" t="s">
        <v>12045</v>
      </c>
      <c r="C1543" s="2">
        <v>23</v>
      </c>
      <c r="D1543" s="2" t="s">
        <v>12041</v>
      </c>
      <c r="E1543" s="2">
        <f>COUNTIF(Table16[customer_id],Table13[[#This Row],[customer_id]])</f>
        <v>4</v>
      </c>
      <c r="F1543" s="13">
        <f>SUMIFS(Table16[Purchase_history],Table16[customer_id],Table13[[#This Row],[customer_id]])</f>
        <v>1124.02</v>
      </c>
      <c r="G1543" s="20">
        <v>44229</v>
      </c>
      <c r="H1543" s="21">
        <v>44832</v>
      </c>
      <c r="I1543" s="15">
        <f>(Table134[[#This Row],[Last_Day]]-Table134[[#This Row],[First_Day]]+1)/365</f>
        <v>1.6547945205479453</v>
      </c>
      <c r="J1543" s="59">
        <f>Table134[[#This Row],[number_of_purchases]]/Table134[[#This Row],[customer_total_years]]</f>
        <v>2.4172185430463573</v>
      </c>
      <c r="K1543" s="13">
        <f>Table134[[#This Row],[purchase_history]]/Table134[[#This Row],[number_of_purchases]]</f>
        <v>281.005</v>
      </c>
      <c r="L1543" s="2">
        <f>IF(YEAR(Table134[[#This Row],[Last_Day]])=2021,5,IF(YEAR(Table134[[#This Row],[Last_Day]])=2022,7,IF(YEAR(Table134[[#This Row],[Last_Day]])=2023,10,"Không xác định")))</f>
        <v>7</v>
      </c>
      <c r="M1543" s="15">
        <f>Table134[[#This Row],[avg_number_of_purchases]]*Table1345[[#This Row],[avg_purchase_value]]*Table1345[[#This Row],[expected_lifespan]]</f>
        <v>4754.7534768211908</v>
      </c>
      <c r="N1543" t="s">
        <v>12046</v>
      </c>
    </row>
    <row r="1544" spans="1:14" x14ac:dyDescent="0.3">
      <c r="A1544" s="2" t="s">
        <v>1542</v>
      </c>
      <c r="B1544" s="2" t="s">
        <v>12040</v>
      </c>
      <c r="C1544" s="2">
        <v>31</v>
      </c>
      <c r="D1544" s="2" t="s">
        <v>12041</v>
      </c>
      <c r="E1544" s="2">
        <f>COUNTIF(Table16[customer_id],Table13[[#This Row],[customer_id]])</f>
        <v>11</v>
      </c>
      <c r="F1544" s="13">
        <f>SUMIFS(Table16[Purchase_history],Table16[customer_id],Table13[[#This Row],[customer_id]])</f>
        <v>52107.159999999996</v>
      </c>
      <c r="G1544" s="20">
        <v>44351</v>
      </c>
      <c r="H1544" s="21">
        <v>44867</v>
      </c>
      <c r="I1544" s="15">
        <f>(Table134[[#This Row],[Last_Day]]-Table134[[#This Row],[First_Day]]+1)/365</f>
        <v>1.4164383561643836</v>
      </c>
      <c r="J1544" s="59">
        <f>Table134[[#This Row],[number_of_purchases]]/Table134[[#This Row],[customer_total_years]]</f>
        <v>7.7659574468085104</v>
      </c>
      <c r="K1544" s="13">
        <f>Table134[[#This Row],[purchase_history]]/Table134[[#This Row],[number_of_purchases]]</f>
        <v>4737.0145454545454</v>
      </c>
      <c r="L1544" s="2">
        <f>IF(YEAR(Table134[[#This Row],[Last_Day]])=2021,5,IF(YEAR(Table134[[#This Row],[Last_Day]])=2022,7,IF(YEAR(Table134[[#This Row],[Last_Day]])=2023,10,"Không xác định")))</f>
        <v>7</v>
      </c>
      <c r="M1544" s="15">
        <f>Table134[[#This Row],[avg_number_of_purchases]]*Table1345[[#This Row],[avg_purchase_value]]*Table1345[[#This Row],[expected_lifespan]]</f>
        <v>257512.17369439072</v>
      </c>
      <c r="N1544" t="s">
        <v>12042</v>
      </c>
    </row>
    <row r="1545" spans="1:14" x14ac:dyDescent="0.3">
      <c r="A1545" s="2" t="s">
        <v>1543</v>
      </c>
      <c r="B1545" s="2" t="s">
        <v>12045</v>
      </c>
      <c r="C1545" s="2">
        <v>58</v>
      </c>
      <c r="D1545" s="2" t="s">
        <v>12043</v>
      </c>
      <c r="E1545" s="2">
        <f>COUNTIF(Table16[customer_id],Table13[[#This Row],[customer_id]])</f>
        <v>11</v>
      </c>
      <c r="F1545" s="13">
        <f>SUMIFS(Table16[Purchase_history],Table16[customer_id],Table13[[#This Row],[customer_id]])</f>
        <v>24209.239999999998</v>
      </c>
      <c r="G1545" s="20">
        <v>44295</v>
      </c>
      <c r="H1545" s="21">
        <v>44965</v>
      </c>
      <c r="I1545" s="15">
        <f>(Table134[[#This Row],[Last_Day]]-Table134[[#This Row],[First_Day]]+1)/365</f>
        <v>1.8383561643835618</v>
      </c>
      <c r="J1545" s="59">
        <f>Table134[[#This Row],[number_of_purchases]]/Table134[[#This Row],[customer_total_years]]</f>
        <v>5.9836065573770485</v>
      </c>
      <c r="K1545" s="13">
        <f>Table134[[#This Row],[purchase_history]]/Table134[[#This Row],[number_of_purchases]]</f>
        <v>2200.8399999999997</v>
      </c>
      <c r="L1545" s="2">
        <f>IF(YEAR(Table134[[#This Row],[Last_Day]])=2021,5,IF(YEAR(Table134[[#This Row],[Last_Day]])=2022,7,IF(YEAR(Table134[[#This Row],[Last_Day]])=2023,10,"Không xác định")))</f>
        <v>10</v>
      </c>
      <c r="M1545" s="15">
        <f>Table134[[#This Row],[avg_number_of_purchases]]*Table1345[[#This Row],[avg_purchase_value]]*Table1345[[#This Row],[expected_lifespan]]</f>
        <v>131689.606557377</v>
      </c>
      <c r="N1545" t="s">
        <v>12047</v>
      </c>
    </row>
    <row r="1546" spans="1:14" x14ac:dyDescent="0.3">
      <c r="A1546" s="2" t="s">
        <v>1544</v>
      </c>
      <c r="B1546" s="2" t="s">
        <v>12045</v>
      </c>
      <c r="C1546" s="2">
        <v>30</v>
      </c>
      <c r="D1546" s="2" t="s">
        <v>12041</v>
      </c>
      <c r="E1546" s="2">
        <f>COUNTIF(Table16[customer_id],Table13[[#This Row],[customer_id]])</f>
        <v>4</v>
      </c>
      <c r="F1546" s="13">
        <f>SUMIFS(Table16[Purchase_history],Table16[customer_id],Table13[[#This Row],[customer_id]])</f>
        <v>10608.960000000001</v>
      </c>
      <c r="G1546" s="20">
        <v>44248</v>
      </c>
      <c r="H1546" s="21">
        <v>44897</v>
      </c>
      <c r="I1546" s="15">
        <f>(Table134[[#This Row],[Last_Day]]-Table134[[#This Row],[First_Day]]+1)/365</f>
        <v>1.7808219178082192</v>
      </c>
      <c r="J1546" s="59">
        <f>Table134[[#This Row],[number_of_purchases]]/Table134[[#This Row],[customer_total_years]]</f>
        <v>2.2461538461538462</v>
      </c>
      <c r="K1546" s="13">
        <f>Table134[[#This Row],[purchase_history]]/Table134[[#This Row],[number_of_purchases]]</f>
        <v>2652.2400000000002</v>
      </c>
      <c r="L1546" s="2">
        <f>IF(YEAR(Table134[[#This Row],[Last_Day]])=2021,5,IF(YEAR(Table134[[#This Row],[Last_Day]])=2022,7,IF(YEAR(Table134[[#This Row],[Last_Day]])=2023,10,"Không xác định")))</f>
        <v>7</v>
      </c>
      <c r="M1546" s="15">
        <f>Table134[[#This Row],[avg_number_of_purchases]]*Table1345[[#This Row],[avg_purchase_value]]*Table1345[[#This Row],[expected_lifespan]]</f>
        <v>41701.373538461543</v>
      </c>
      <c r="N1546" t="s">
        <v>12042</v>
      </c>
    </row>
    <row r="1547" spans="1:14" x14ac:dyDescent="0.3">
      <c r="A1547" s="2" t="s">
        <v>1545</v>
      </c>
      <c r="B1547" s="2" t="s">
        <v>12040</v>
      </c>
      <c r="C1547" s="2">
        <v>59</v>
      </c>
      <c r="D1547" s="2" t="s">
        <v>12043</v>
      </c>
      <c r="E1547" s="2">
        <f>COUNTIF(Table16[customer_id],Table13[[#This Row],[customer_id]])</f>
        <v>4</v>
      </c>
      <c r="F1547" s="13">
        <f>SUMIFS(Table16[Purchase_history],Table16[customer_id],Table13[[#This Row],[customer_id]])</f>
        <v>11461.71</v>
      </c>
      <c r="G1547" s="20">
        <v>44489</v>
      </c>
      <c r="H1547" s="21">
        <v>44882</v>
      </c>
      <c r="I1547" s="15">
        <f>(Table134[[#This Row],[Last_Day]]-Table134[[#This Row],[First_Day]]+1)/365</f>
        <v>1.0794520547945206</v>
      </c>
      <c r="J1547" s="59">
        <f>Table134[[#This Row],[number_of_purchases]]/Table134[[#This Row],[customer_total_years]]</f>
        <v>3.7055837563451774</v>
      </c>
      <c r="K1547" s="13">
        <f>Table134[[#This Row],[purchase_history]]/Table134[[#This Row],[number_of_purchases]]</f>
        <v>2865.4274999999998</v>
      </c>
      <c r="L1547" s="2">
        <f>IF(YEAR(Table134[[#This Row],[Last_Day]])=2021,5,IF(YEAR(Table134[[#This Row],[Last_Day]])=2022,7,IF(YEAR(Table134[[#This Row],[Last_Day]])=2023,10,"Không xác định")))</f>
        <v>7</v>
      </c>
      <c r="M1547" s="15">
        <f>Table134[[#This Row],[avg_number_of_purchases]]*Table1345[[#This Row],[avg_purchase_value]]*Table1345[[#This Row],[expected_lifespan]]</f>
        <v>74326.571192893389</v>
      </c>
      <c r="N1547" t="s">
        <v>12042</v>
      </c>
    </row>
    <row r="1548" spans="1:14" x14ac:dyDescent="0.3">
      <c r="A1548" s="2" t="s">
        <v>1546</v>
      </c>
      <c r="B1548" s="2" t="s">
        <v>12040</v>
      </c>
      <c r="C1548" s="2">
        <v>52</v>
      </c>
      <c r="D1548" s="2" t="s">
        <v>12049</v>
      </c>
      <c r="E1548" s="2">
        <f>COUNTIF(Table16[customer_id],Table13[[#This Row],[customer_id]])</f>
        <v>3</v>
      </c>
      <c r="F1548" s="13">
        <f>SUMIFS(Table16[Purchase_history],Table16[customer_id],Table13[[#This Row],[customer_id]])</f>
        <v>10046.16</v>
      </c>
      <c r="G1548" s="20">
        <v>44230</v>
      </c>
      <c r="H1548" s="21">
        <v>44435</v>
      </c>
      <c r="I1548" s="15">
        <f>(Table134[[#This Row],[Last_Day]]-Table134[[#This Row],[First_Day]]+1)/365</f>
        <v>0.56438356164383563</v>
      </c>
      <c r="J1548" s="59">
        <f>Table134[[#This Row],[number_of_purchases]]/Table134[[#This Row],[customer_total_years]]</f>
        <v>5.3155339805825239</v>
      </c>
      <c r="K1548" s="13">
        <f>Table134[[#This Row],[purchase_history]]/Table134[[#This Row],[number_of_purchases]]</f>
        <v>3348.72</v>
      </c>
      <c r="L1548" s="2">
        <f>IF(YEAR(Table134[[#This Row],[Last_Day]])=2021,5,IF(YEAR(Table134[[#This Row],[Last_Day]])=2022,7,IF(YEAR(Table134[[#This Row],[Last_Day]])=2023,10,"Không xác định")))</f>
        <v>5</v>
      </c>
      <c r="M1548" s="15">
        <f>Table134[[#This Row],[avg_number_of_purchases]]*Table1345[[#This Row],[avg_purchase_value]]*Table1345[[#This Row],[expected_lifespan]]</f>
        <v>89001.174757281537</v>
      </c>
      <c r="N1548" t="s">
        <v>12042</v>
      </c>
    </row>
    <row r="1549" spans="1:14" x14ac:dyDescent="0.3">
      <c r="A1549" s="2" t="s">
        <v>1547</v>
      </c>
      <c r="B1549" s="2" t="s">
        <v>12040</v>
      </c>
      <c r="C1549" s="2">
        <v>54</v>
      </c>
      <c r="D1549" s="2" t="s">
        <v>12049</v>
      </c>
      <c r="E1549" s="2">
        <f>COUNTIF(Table16[customer_id],Table13[[#This Row],[customer_id]])</f>
        <v>3</v>
      </c>
      <c r="F1549" s="13">
        <f>SUMIFS(Table16[Purchase_history],Table16[customer_id],Table13[[#This Row],[customer_id]])</f>
        <v>9703.98</v>
      </c>
      <c r="G1549" s="20">
        <v>44416</v>
      </c>
      <c r="H1549" s="21">
        <v>44965</v>
      </c>
      <c r="I1549" s="15">
        <f>(Table134[[#This Row],[Last_Day]]-Table134[[#This Row],[First_Day]]+1)/365</f>
        <v>1.5068493150684932</v>
      </c>
      <c r="J1549" s="59">
        <f>Table134[[#This Row],[number_of_purchases]]/Table134[[#This Row],[customer_total_years]]</f>
        <v>1.990909090909091</v>
      </c>
      <c r="K1549" s="13">
        <f>Table134[[#This Row],[purchase_history]]/Table134[[#This Row],[number_of_purchases]]</f>
        <v>3234.66</v>
      </c>
      <c r="L1549" s="2">
        <f>IF(YEAR(Table134[[#This Row],[Last_Day]])=2021,5,IF(YEAR(Table134[[#This Row],[Last_Day]])=2022,7,IF(YEAR(Table134[[#This Row],[Last_Day]])=2023,10,"Không xác định")))</f>
        <v>10</v>
      </c>
      <c r="M1549" s="15">
        <f>Table134[[#This Row],[avg_number_of_purchases]]*Table1345[[#This Row],[avg_purchase_value]]*Table1345[[#This Row],[expected_lifespan]]</f>
        <v>64399.14</v>
      </c>
      <c r="N1549" t="s">
        <v>12042</v>
      </c>
    </row>
    <row r="1550" spans="1:14" x14ac:dyDescent="0.3">
      <c r="A1550" s="2" t="s">
        <v>1548</v>
      </c>
      <c r="B1550" s="2" t="s">
        <v>12040</v>
      </c>
      <c r="C1550" s="2">
        <v>53</v>
      </c>
      <c r="D1550" s="2" t="s">
        <v>12043</v>
      </c>
      <c r="E1550" s="2">
        <f>COUNTIF(Table16[customer_id],Table13[[#This Row],[customer_id]])</f>
        <v>4</v>
      </c>
      <c r="F1550" s="13">
        <f>SUMIFS(Table16[Purchase_history],Table16[customer_id],Table13[[#This Row],[customer_id]])</f>
        <v>1559.1999999999998</v>
      </c>
      <c r="G1550" s="20">
        <v>44268</v>
      </c>
      <c r="H1550" s="21">
        <v>44877</v>
      </c>
      <c r="I1550" s="15">
        <f>(Table134[[#This Row],[Last_Day]]-Table134[[#This Row],[First_Day]]+1)/365</f>
        <v>1.6712328767123288</v>
      </c>
      <c r="J1550" s="59">
        <f>Table134[[#This Row],[number_of_purchases]]/Table134[[#This Row],[customer_total_years]]</f>
        <v>2.3934426229508197</v>
      </c>
      <c r="K1550" s="13">
        <f>Table134[[#This Row],[purchase_history]]/Table134[[#This Row],[number_of_purchases]]</f>
        <v>389.79999999999995</v>
      </c>
      <c r="L1550" s="2">
        <f>IF(YEAR(Table134[[#This Row],[Last_Day]])=2021,5,IF(YEAR(Table134[[#This Row],[Last_Day]])=2022,7,IF(YEAR(Table134[[#This Row],[Last_Day]])=2023,10,"Không xác định")))</f>
        <v>7</v>
      </c>
      <c r="M1550" s="15">
        <f>Table134[[#This Row],[avg_number_of_purchases]]*Table1345[[#This Row],[avg_purchase_value]]*Table1345[[#This Row],[expected_lifespan]]</f>
        <v>6530.7475409836052</v>
      </c>
      <c r="N1550" t="s">
        <v>12047</v>
      </c>
    </row>
    <row r="1551" spans="1:14" x14ac:dyDescent="0.3">
      <c r="A1551" s="2" t="s">
        <v>1549</v>
      </c>
      <c r="B1551" s="2" t="s">
        <v>12045</v>
      </c>
      <c r="C1551" s="2">
        <v>51</v>
      </c>
      <c r="D1551" s="2" t="s">
        <v>12041</v>
      </c>
      <c r="E1551" s="2">
        <f>COUNTIF(Table16[customer_id],Table13[[#This Row],[customer_id]])</f>
        <v>5</v>
      </c>
      <c r="F1551" s="13">
        <f>SUMIFS(Table16[Purchase_history],Table16[customer_id],Table13[[#This Row],[customer_id]])</f>
        <v>30134.36</v>
      </c>
      <c r="G1551" s="20">
        <v>44306</v>
      </c>
      <c r="H1551" s="21">
        <v>44856</v>
      </c>
      <c r="I1551" s="15">
        <f>(Table134[[#This Row],[Last_Day]]-Table134[[#This Row],[First_Day]]+1)/365</f>
        <v>1.5095890410958903</v>
      </c>
      <c r="J1551" s="59">
        <f>Table134[[#This Row],[number_of_purchases]]/Table134[[#This Row],[customer_total_years]]</f>
        <v>3.3121597096188751</v>
      </c>
      <c r="K1551" s="13">
        <f>Table134[[#This Row],[purchase_history]]/Table134[[#This Row],[number_of_purchases]]</f>
        <v>6026.8720000000003</v>
      </c>
      <c r="L1551" s="2">
        <f>IF(YEAR(Table134[[#This Row],[Last_Day]])=2021,5,IF(YEAR(Table134[[#This Row],[Last_Day]])=2022,7,IF(YEAR(Table134[[#This Row],[Last_Day]])=2023,10,"Không xác định")))</f>
        <v>7</v>
      </c>
      <c r="M1551" s="15">
        <f>Table134[[#This Row],[avg_number_of_purchases]]*Table1345[[#This Row],[avg_purchase_value]]*Table1345[[#This Row],[expected_lifespan]]</f>
        <v>139733.73829401089</v>
      </c>
      <c r="N1551" t="s">
        <v>12046</v>
      </c>
    </row>
    <row r="1552" spans="1:14" x14ac:dyDescent="0.3">
      <c r="A1552" s="2" t="s">
        <v>1550</v>
      </c>
      <c r="B1552" s="2" t="s">
        <v>12040</v>
      </c>
      <c r="C1552" s="2">
        <v>24</v>
      </c>
      <c r="D1552" s="2" t="s">
        <v>12041</v>
      </c>
      <c r="E1552" s="2">
        <f>COUNTIF(Table16[customer_id],Table13[[#This Row],[customer_id]])</f>
        <v>4</v>
      </c>
      <c r="F1552" s="13">
        <f>SUMIFS(Table16[Purchase_history],Table16[customer_id],Table13[[#This Row],[customer_id]])</f>
        <v>18300.68</v>
      </c>
      <c r="G1552" s="20">
        <v>44524</v>
      </c>
      <c r="H1552" s="21">
        <v>44902</v>
      </c>
      <c r="I1552" s="15">
        <f>(Table134[[#This Row],[Last_Day]]-Table134[[#This Row],[First_Day]]+1)/365</f>
        <v>1.0383561643835617</v>
      </c>
      <c r="J1552" s="59">
        <f>Table134[[#This Row],[number_of_purchases]]/Table134[[#This Row],[customer_total_years]]</f>
        <v>3.8522427440633242</v>
      </c>
      <c r="K1552" s="13">
        <f>Table134[[#This Row],[purchase_history]]/Table134[[#This Row],[number_of_purchases]]</f>
        <v>4575.17</v>
      </c>
      <c r="L1552" s="2">
        <f>IF(YEAR(Table134[[#This Row],[Last_Day]])=2021,5,IF(YEAR(Table134[[#This Row],[Last_Day]])=2022,7,IF(YEAR(Table134[[#This Row],[Last_Day]])=2023,10,"Không xác định")))</f>
        <v>7</v>
      </c>
      <c r="M1552" s="15">
        <f>Table134[[#This Row],[avg_number_of_purchases]]*Table1345[[#This Row],[avg_purchase_value]]*Table1345[[#This Row],[expected_lifespan]]</f>
        <v>123372.6580474934</v>
      </c>
      <c r="N1552" t="s">
        <v>12046</v>
      </c>
    </row>
    <row r="1553" spans="1:14" x14ac:dyDescent="0.3">
      <c r="A1553" s="2" t="s">
        <v>1551</v>
      </c>
      <c r="B1553" s="2" t="s">
        <v>12045</v>
      </c>
      <c r="C1553" s="2">
        <v>20</v>
      </c>
      <c r="D1553" s="2" t="s">
        <v>12043</v>
      </c>
      <c r="E1553" s="2">
        <f>COUNTIF(Table16[customer_id],Table13[[#This Row],[customer_id]])</f>
        <v>6</v>
      </c>
      <c r="F1553" s="13">
        <f>SUMIFS(Table16[Purchase_history],Table16[customer_id],Table13[[#This Row],[customer_id]])</f>
        <v>9757.08</v>
      </c>
      <c r="G1553" s="20">
        <v>44208</v>
      </c>
      <c r="H1553" s="21">
        <v>44957</v>
      </c>
      <c r="I1553" s="15">
        <f>(Table134[[#This Row],[Last_Day]]-Table134[[#This Row],[First_Day]]+1)/365</f>
        <v>2.0547945205479454</v>
      </c>
      <c r="J1553" s="59">
        <f>Table134[[#This Row],[number_of_purchases]]/Table134[[#This Row],[customer_total_years]]</f>
        <v>2.9199999999999995</v>
      </c>
      <c r="K1553" s="13">
        <f>Table134[[#This Row],[purchase_history]]/Table134[[#This Row],[number_of_purchases]]</f>
        <v>1626.18</v>
      </c>
      <c r="L1553" s="2">
        <f>IF(YEAR(Table134[[#This Row],[Last_Day]])=2021,5,IF(YEAR(Table134[[#This Row],[Last_Day]])=2022,7,IF(YEAR(Table134[[#This Row],[Last_Day]])=2023,10,"Không xác định")))</f>
        <v>10</v>
      </c>
      <c r="M1553" s="15">
        <f>Table134[[#This Row],[avg_number_of_purchases]]*Table1345[[#This Row],[avg_purchase_value]]*Table1345[[#This Row],[expected_lifespan]]</f>
        <v>47484.455999999991</v>
      </c>
      <c r="N1553" t="s">
        <v>12044</v>
      </c>
    </row>
    <row r="1554" spans="1:14" x14ac:dyDescent="0.3">
      <c r="A1554" s="2" t="s">
        <v>1552</v>
      </c>
      <c r="B1554" s="2" t="s">
        <v>12045</v>
      </c>
      <c r="C1554" s="2">
        <v>29</v>
      </c>
      <c r="D1554" s="2" t="s">
        <v>12043</v>
      </c>
      <c r="E1554" s="2">
        <f>COUNTIF(Table16[customer_id],Table13[[#This Row],[customer_id]])</f>
        <v>3</v>
      </c>
      <c r="F1554" s="13">
        <f>SUMIFS(Table16[Purchase_history],Table16[customer_id],Table13[[#This Row],[customer_id]])</f>
        <v>8075.4400000000005</v>
      </c>
      <c r="G1554" s="20">
        <v>44317</v>
      </c>
      <c r="H1554" s="21">
        <v>44405</v>
      </c>
      <c r="I1554" s="15">
        <f>(Table134[[#This Row],[Last_Day]]-Table134[[#This Row],[First_Day]]+1)/365</f>
        <v>0.24383561643835616</v>
      </c>
      <c r="J1554" s="59">
        <f>Table134[[#This Row],[number_of_purchases]]/Table134[[#This Row],[customer_total_years]]</f>
        <v>12.303370786516854</v>
      </c>
      <c r="K1554" s="13">
        <f>Table134[[#This Row],[purchase_history]]/Table134[[#This Row],[number_of_purchases]]</f>
        <v>2691.8133333333335</v>
      </c>
      <c r="L1554" s="2">
        <f>IF(YEAR(Table134[[#This Row],[Last_Day]])=2021,5,IF(YEAR(Table134[[#This Row],[Last_Day]])=2022,7,IF(YEAR(Table134[[#This Row],[Last_Day]])=2023,10,"Không xác định")))</f>
        <v>5</v>
      </c>
      <c r="M1554" s="15">
        <f>Table134[[#This Row],[avg_number_of_purchases]]*Table1345[[#This Row],[avg_purchase_value]]*Table1345[[#This Row],[expected_lifespan]]</f>
        <v>165591.88764044945</v>
      </c>
      <c r="N1554" t="s">
        <v>12046</v>
      </c>
    </row>
    <row r="1555" spans="1:14" x14ac:dyDescent="0.3">
      <c r="A1555" s="2" t="s">
        <v>1553</v>
      </c>
      <c r="B1555" s="2" t="s">
        <v>12040</v>
      </c>
      <c r="C1555" s="2">
        <v>23</v>
      </c>
      <c r="D1555" s="2" t="s">
        <v>12043</v>
      </c>
      <c r="E1555" s="2">
        <f>COUNTIF(Table16[customer_id],Table13[[#This Row],[customer_id]])</f>
        <v>7</v>
      </c>
      <c r="F1555" s="13">
        <f>SUMIFS(Table16[Purchase_history],Table16[customer_id],Table13[[#This Row],[customer_id]])</f>
        <v>11192.789999999999</v>
      </c>
      <c r="G1555" s="20">
        <v>44197</v>
      </c>
      <c r="H1555" s="21">
        <v>44676</v>
      </c>
      <c r="I1555" s="15">
        <f>(Table134[[#This Row],[Last_Day]]-Table134[[#This Row],[First_Day]]+1)/365</f>
        <v>1.3150684931506849</v>
      </c>
      <c r="J1555" s="59">
        <f>Table134[[#This Row],[number_of_purchases]]/Table134[[#This Row],[customer_total_years]]</f>
        <v>5.322916666666667</v>
      </c>
      <c r="K1555" s="13">
        <f>Table134[[#This Row],[purchase_history]]/Table134[[#This Row],[number_of_purchases]]</f>
        <v>1598.9699999999998</v>
      </c>
      <c r="L1555" s="2">
        <f>IF(YEAR(Table134[[#This Row],[Last_Day]])=2021,5,IF(YEAR(Table134[[#This Row],[Last_Day]])=2022,7,IF(YEAR(Table134[[#This Row],[Last_Day]])=2023,10,"Không xác định")))</f>
        <v>7</v>
      </c>
      <c r="M1555" s="15">
        <f>Table134[[#This Row],[avg_number_of_purchases]]*Table1345[[#This Row],[avg_purchase_value]]*Table1345[[#This Row],[expected_lifespan]]</f>
        <v>59578.288437499992</v>
      </c>
      <c r="N1555" t="s">
        <v>12044</v>
      </c>
    </row>
    <row r="1556" spans="1:14" x14ac:dyDescent="0.3">
      <c r="A1556" s="2" t="s">
        <v>1554</v>
      </c>
      <c r="B1556" s="2" t="s">
        <v>12040</v>
      </c>
      <c r="C1556" s="2">
        <v>52</v>
      </c>
      <c r="D1556" s="2" t="s">
        <v>12043</v>
      </c>
      <c r="E1556" s="2">
        <f>COUNTIF(Table16[customer_id],Table13[[#This Row],[customer_id]])</f>
        <v>3</v>
      </c>
      <c r="F1556" s="13">
        <f>SUMIFS(Table16[Purchase_history],Table16[customer_id],Table13[[#This Row],[customer_id]])</f>
        <v>549.5</v>
      </c>
      <c r="G1556" s="20">
        <v>44519</v>
      </c>
      <c r="H1556" s="21">
        <v>44620</v>
      </c>
      <c r="I1556" s="15">
        <f>(Table134[[#This Row],[Last_Day]]-Table134[[#This Row],[First_Day]]+1)/365</f>
        <v>0.27945205479452057</v>
      </c>
      <c r="J1556" s="59">
        <f>Table134[[#This Row],[number_of_purchases]]/Table134[[#This Row],[customer_total_years]]</f>
        <v>10.735294117647058</v>
      </c>
      <c r="K1556" s="13">
        <f>Table134[[#This Row],[purchase_history]]/Table134[[#This Row],[number_of_purchases]]</f>
        <v>183.16666666666666</v>
      </c>
      <c r="L1556" s="2">
        <f>IF(YEAR(Table134[[#This Row],[Last_Day]])=2021,5,IF(YEAR(Table134[[#This Row],[Last_Day]])=2022,7,IF(YEAR(Table134[[#This Row],[Last_Day]])=2023,10,"Không xác định")))</f>
        <v>7</v>
      </c>
      <c r="M1556" s="15">
        <f>Table134[[#This Row],[avg_number_of_purchases]]*Table1345[[#This Row],[avg_purchase_value]]*Table1345[[#This Row],[expected_lifespan]]</f>
        <v>13764.436274509802</v>
      </c>
      <c r="N1556" t="s">
        <v>12047</v>
      </c>
    </row>
    <row r="1557" spans="1:14" x14ac:dyDescent="0.3">
      <c r="A1557" s="2" t="s">
        <v>1555</v>
      </c>
      <c r="B1557" s="2" t="s">
        <v>12045</v>
      </c>
      <c r="C1557" s="2">
        <v>24</v>
      </c>
      <c r="D1557" s="2" t="s">
        <v>12041</v>
      </c>
      <c r="E1557" s="2">
        <f>COUNTIF(Table16[customer_id],Table13[[#This Row],[customer_id]])</f>
        <v>7</v>
      </c>
      <c r="F1557" s="13">
        <f>SUMIFS(Table16[Purchase_history],Table16[customer_id],Table13[[#This Row],[customer_id]])</f>
        <v>22235.43</v>
      </c>
      <c r="G1557" s="20">
        <v>44205</v>
      </c>
      <c r="H1557" s="21">
        <v>44979</v>
      </c>
      <c r="I1557" s="15">
        <f>(Table134[[#This Row],[Last_Day]]-Table134[[#This Row],[First_Day]]+1)/365</f>
        <v>2.1232876712328768</v>
      </c>
      <c r="J1557" s="59">
        <f>Table134[[#This Row],[number_of_purchases]]/Table134[[#This Row],[customer_total_years]]</f>
        <v>3.2967741935483872</v>
      </c>
      <c r="K1557" s="13">
        <f>Table134[[#This Row],[purchase_history]]/Table134[[#This Row],[number_of_purchases]]</f>
        <v>3176.4900000000002</v>
      </c>
      <c r="L1557" s="2">
        <f>IF(YEAR(Table134[[#This Row],[Last_Day]])=2021,5,IF(YEAR(Table134[[#This Row],[Last_Day]])=2022,7,IF(YEAR(Table134[[#This Row],[Last_Day]])=2023,10,"Không xác định")))</f>
        <v>10</v>
      </c>
      <c r="M1557" s="15">
        <f>Table134[[#This Row],[avg_number_of_purchases]]*Table1345[[#This Row],[avg_purchase_value]]*Table1345[[#This Row],[expected_lifespan]]</f>
        <v>104721.70258064519</v>
      </c>
      <c r="N1557" t="s">
        <v>12044</v>
      </c>
    </row>
    <row r="1558" spans="1:14" x14ac:dyDescent="0.3">
      <c r="A1558" s="2" t="s">
        <v>1556</v>
      </c>
      <c r="B1558" s="2" t="s">
        <v>12045</v>
      </c>
      <c r="C1558" s="2">
        <v>62</v>
      </c>
      <c r="D1558" s="2" t="s">
        <v>12043</v>
      </c>
      <c r="E1558" s="2">
        <f>COUNTIF(Table16[customer_id],Table13[[#This Row],[customer_id]])</f>
        <v>5</v>
      </c>
      <c r="F1558" s="13">
        <f>SUMIFS(Table16[Purchase_history],Table16[customer_id],Table13[[#This Row],[customer_id]])</f>
        <v>9343.14</v>
      </c>
      <c r="G1558" s="20">
        <v>44392</v>
      </c>
      <c r="H1558" s="21">
        <v>44887</v>
      </c>
      <c r="I1558" s="15">
        <f>(Table134[[#This Row],[Last_Day]]-Table134[[#This Row],[First_Day]]+1)/365</f>
        <v>1.3589041095890411</v>
      </c>
      <c r="J1558" s="59">
        <f>Table134[[#This Row],[number_of_purchases]]/Table134[[#This Row],[customer_total_years]]</f>
        <v>3.679435483870968</v>
      </c>
      <c r="K1558" s="13">
        <f>Table134[[#This Row],[purchase_history]]/Table134[[#This Row],[number_of_purchases]]</f>
        <v>1868.6279999999999</v>
      </c>
      <c r="L1558" s="2">
        <f>IF(YEAR(Table134[[#This Row],[Last_Day]])=2021,5,IF(YEAR(Table134[[#This Row],[Last_Day]])=2022,7,IF(YEAR(Table134[[#This Row],[Last_Day]])=2023,10,"Không xác định")))</f>
        <v>7</v>
      </c>
      <c r="M1558" s="15">
        <f>Table134[[#This Row],[avg_number_of_purchases]]*Table1345[[#This Row],[avg_purchase_value]]*Table1345[[#This Row],[expected_lifespan]]</f>
        <v>48128.473185483868</v>
      </c>
      <c r="N1558" t="s">
        <v>12044</v>
      </c>
    </row>
    <row r="1559" spans="1:14" x14ac:dyDescent="0.3">
      <c r="A1559" s="2" t="s">
        <v>1557</v>
      </c>
      <c r="B1559" s="2" t="s">
        <v>12040</v>
      </c>
      <c r="C1559" s="2">
        <v>55</v>
      </c>
      <c r="D1559" s="2" t="s">
        <v>12049</v>
      </c>
      <c r="E1559" s="2">
        <f>COUNTIF(Table16[customer_id],Table13[[#This Row],[customer_id]])</f>
        <v>3</v>
      </c>
      <c r="F1559" s="13">
        <f>SUMIFS(Table16[Purchase_history],Table16[customer_id],Table13[[#This Row],[customer_id]])</f>
        <v>199.56</v>
      </c>
      <c r="G1559" s="20">
        <v>44518</v>
      </c>
      <c r="H1559" s="21">
        <v>44681</v>
      </c>
      <c r="I1559" s="15">
        <f>(Table134[[#This Row],[Last_Day]]-Table134[[#This Row],[First_Day]]+1)/365</f>
        <v>0.44931506849315067</v>
      </c>
      <c r="J1559" s="59">
        <f>Table134[[#This Row],[number_of_purchases]]/Table134[[#This Row],[customer_total_years]]</f>
        <v>6.6768292682926829</v>
      </c>
      <c r="K1559" s="13">
        <f>Table134[[#This Row],[purchase_history]]/Table134[[#This Row],[number_of_purchases]]</f>
        <v>66.52</v>
      </c>
      <c r="L1559" s="2">
        <f>IF(YEAR(Table134[[#This Row],[Last_Day]])=2021,5,IF(YEAR(Table134[[#This Row],[Last_Day]])=2022,7,IF(YEAR(Table134[[#This Row],[Last_Day]])=2023,10,"Không xác định")))</f>
        <v>7</v>
      </c>
      <c r="M1559" s="15">
        <f>Table134[[#This Row],[avg_number_of_purchases]]*Table1345[[#This Row],[avg_purchase_value]]*Table1345[[#This Row],[expected_lifespan]]</f>
        <v>3108.9987804878047</v>
      </c>
      <c r="N1559" t="s">
        <v>12048</v>
      </c>
    </row>
    <row r="1560" spans="1:14" x14ac:dyDescent="0.3">
      <c r="A1560" s="2" t="s">
        <v>1558</v>
      </c>
      <c r="B1560" s="2" t="s">
        <v>12040</v>
      </c>
      <c r="C1560" s="2">
        <v>64</v>
      </c>
      <c r="D1560" s="2" t="s">
        <v>12043</v>
      </c>
      <c r="E1560" s="2">
        <f>COUNTIF(Table16[customer_id],Table13[[#This Row],[customer_id]])</f>
        <v>2</v>
      </c>
      <c r="F1560" s="13">
        <f>SUMIFS(Table16[Purchase_history],Table16[customer_id],Table13[[#This Row],[customer_id]])</f>
        <v>9461.73</v>
      </c>
      <c r="G1560" s="20">
        <v>44211</v>
      </c>
      <c r="H1560" s="21">
        <v>44718</v>
      </c>
      <c r="I1560" s="15">
        <f>(Table134[[#This Row],[Last_Day]]-Table134[[#This Row],[First_Day]]+1)/365</f>
        <v>1.3917808219178083</v>
      </c>
      <c r="J1560" s="59">
        <f>Table134[[#This Row],[number_of_purchases]]/Table134[[#This Row],[customer_total_years]]</f>
        <v>1.4370078740157479</v>
      </c>
      <c r="K1560" s="13">
        <f>Table134[[#This Row],[purchase_history]]/Table134[[#This Row],[number_of_purchases]]</f>
        <v>4730.8649999999998</v>
      </c>
      <c r="L1560" s="2">
        <f>IF(YEAR(Table134[[#This Row],[Last_Day]])=2021,5,IF(YEAR(Table134[[#This Row],[Last_Day]])=2022,7,IF(YEAR(Table134[[#This Row],[Last_Day]])=2023,10,"Không xác định")))</f>
        <v>7</v>
      </c>
      <c r="M1560" s="15">
        <f>Table134[[#This Row],[avg_number_of_purchases]]*Table1345[[#This Row],[avg_purchase_value]]*Table1345[[#This Row],[expected_lifespan]]</f>
        <v>47588.031791338581</v>
      </c>
      <c r="N1560" t="s">
        <v>12044</v>
      </c>
    </row>
    <row r="1561" spans="1:14" x14ac:dyDescent="0.3">
      <c r="A1561" s="2" t="s">
        <v>1559</v>
      </c>
      <c r="B1561" s="2" t="s">
        <v>12045</v>
      </c>
      <c r="C1561" s="2">
        <v>27</v>
      </c>
      <c r="D1561" s="2" t="s">
        <v>12049</v>
      </c>
      <c r="E1561" s="2">
        <f>COUNTIF(Table16[customer_id],Table13[[#This Row],[customer_id]])</f>
        <v>7</v>
      </c>
      <c r="F1561" s="13">
        <f>SUMIFS(Table16[Purchase_history],Table16[customer_id],Table13[[#This Row],[customer_id]])</f>
        <v>3049.25</v>
      </c>
      <c r="G1561" s="20">
        <v>44365</v>
      </c>
      <c r="H1561" s="21">
        <v>44980</v>
      </c>
      <c r="I1561" s="15">
        <f>(Table134[[#This Row],[Last_Day]]-Table134[[#This Row],[First_Day]]+1)/365</f>
        <v>1.6876712328767123</v>
      </c>
      <c r="J1561" s="59">
        <f>Table134[[#This Row],[number_of_purchases]]/Table134[[#This Row],[customer_total_years]]</f>
        <v>4.1477272727272725</v>
      </c>
      <c r="K1561" s="13">
        <f>Table134[[#This Row],[purchase_history]]/Table134[[#This Row],[number_of_purchases]]</f>
        <v>435.60714285714283</v>
      </c>
      <c r="L1561" s="2">
        <f>IF(YEAR(Table134[[#This Row],[Last_Day]])=2021,5,IF(YEAR(Table134[[#This Row],[Last_Day]])=2022,7,IF(YEAR(Table134[[#This Row],[Last_Day]])=2023,10,"Không xác định")))</f>
        <v>10</v>
      </c>
      <c r="M1561" s="15">
        <f>Table134[[#This Row],[avg_number_of_purchases]]*Table1345[[#This Row],[avg_purchase_value]]*Table1345[[#This Row],[expected_lifespan]]</f>
        <v>18067.796266233763</v>
      </c>
      <c r="N1561" t="s">
        <v>12042</v>
      </c>
    </row>
    <row r="1562" spans="1:14" x14ac:dyDescent="0.3">
      <c r="A1562" s="2" t="s">
        <v>1560</v>
      </c>
      <c r="B1562" s="2" t="s">
        <v>12040</v>
      </c>
      <c r="C1562" s="2">
        <v>49</v>
      </c>
      <c r="D1562" s="2" t="s">
        <v>12041</v>
      </c>
      <c r="E1562" s="2">
        <f>COUNTIF(Table16[customer_id],Table13[[#This Row],[customer_id]])</f>
        <v>7</v>
      </c>
      <c r="F1562" s="13">
        <f>SUMIFS(Table16[Purchase_history],Table16[customer_id],Table13[[#This Row],[customer_id]])</f>
        <v>7673.9</v>
      </c>
      <c r="G1562" s="20">
        <v>44279</v>
      </c>
      <c r="H1562" s="21">
        <v>44564</v>
      </c>
      <c r="I1562" s="15">
        <f>(Table134[[#This Row],[Last_Day]]-Table134[[#This Row],[First_Day]]+1)/365</f>
        <v>0.78356164383561644</v>
      </c>
      <c r="J1562" s="59">
        <f>Table134[[#This Row],[number_of_purchases]]/Table134[[#This Row],[customer_total_years]]</f>
        <v>8.9335664335664333</v>
      </c>
      <c r="K1562" s="13">
        <f>Table134[[#This Row],[purchase_history]]/Table134[[#This Row],[number_of_purchases]]</f>
        <v>1096.2714285714285</v>
      </c>
      <c r="L1562" s="2">
        <f>IF(YEAR(Table134[[#This Row],[Last_Day]])=2021,5,IF(YEAR(Table134[[#This Row],[Last_Day]])=2022,7,IF(YEAR(Table134[[#This Row],[Last_Day]])=2023,10,"Không xác định")))</f>
        <v>7</v>
      </c>
      <c r="M1562" s="15">
        <f>Table134[[#This Row],[avg_number_of_purchases]]*Table1345[[#This Row],[avg_purchase_value]]*Table1345[[#This Row],[expected_lifespan]]</f>
        <v>68555.295454545456</v>
      </c>
      <c r="N1562" t="s">
        <v>12046</v>
      </c>
    </row>
    <row r="1563" spans="1:14" x14ac:dyDescent="0.3">
      <c r="A1563" s="2" t="s">
        <v>1561</v>
      </c>
      <c r="B1563" s="2" t="s">
        <v>12040</v>
      </c>
      <c r="C1563" s="2">
        <v>40</v>
      </c>
      <c r="D1563" s="2" t="s">
        <v>12041</v>
      </c>
      <c r="E1563" s="2">
        <f>COUNTIF(Table16[customer_id],Table13[[#This Row],[customer_id]])</f>
        <v>3</v>
      </c>
      <c r="F1563" s="13">
        <f>SUMIFS(Table16[Purchase_history],Table16[customer_id],Table13[[#This Row],[customer_id]])</f>
        <v>7842.32</v>
      </c>
      <c r="G1563" s="20">
        <v>44273</v>
      </c>
      <c r="H1563" s="21">
        <v>44693</v>
      </c>
      <c r="I1563" s="15">
        <f>(Table134[[#This Row],[Last_Day]]-Table134[[#This Row],[First_Day]]+1)/365</f>
        <v>1.1534246575342466</v>
      </c>
      <c r="J1563" s="59">
        <f>Table134[[#This Row],[number_of_purchases]]/Table134[[#This Row],[customer_total_years]]</f>
        <v>2.6009501187648456</v>
      </c>
      <c r="K1563" s="13">
        <f>Table134[[#This Row],[purchase_history]]/Table134[[#This Row],[number_of_purchases]]</f>
        <v>2614.1066666666666</v>
      </c>
      <c r="L1563" s="2">
        <f>IF(YEAR(Table134[[#This Row],[Last_Day]])=2021,5,IF(YEAR(Table134[[#This Row],[Last_Day]])=2022,7,IF(YEAR(Table134[[#This Row],[Last_Day]])=2023,10,"Không xác định")))</f>
        <v>7</v>
      </c>
      <c r="M1563" s="15">
        <f>Table134[[#This Row],[avg_number_of_purchases]]*Table1345[[#This Row],[avg_purchase_value]]*Table1345[[#This Row],[expected_lifespan]]</f>
        <v>47594.127315914491</v>
      </c>
      <c r="N1563" t="s">
        <v>12048</v>
      </c>
    </row>
    <row r="1564" spans="1:14" x14ac:dyDescent="0.3">
      <c r="A1564" s="2" t="s">
        <v>1562</v>
      </c>
      <c r="B1564" s="2" t="s">
        <v>12040</v>
      </c>
      <c r="C1564" s="2">
        <v>53</v>
      </c>
      <c r="D1564" s="2" t="s">
        <v>12043</v>
      </c>
      <c r="E1564" s="2">
        <f>COUNTIF(Table16[customer_id],Table13[[#This Row],[customer_id]])</f>
        <v>4</v>
      </c>
      <c r="F1564" s="13">
        <f>SUMIFS(Table16[Purchase_history],Table16[customer_id],Table13[[#This Row],[customer_id]])</f>
        <v>5715.4599999999991</v>
      </c>
      <c r="G1564" s="20">
        <v>44457</v>
      </c>
      <c r="H1564" s="21">
        <v>44831</v>
      </c>
      <c r="I1564" s="15">
        <f>(Table134[[#This Row],[Last_Day]]-Table134[[#This Row],[First_Day]]+1)/365</f>
        <v>1.0273972602739727</v>
      </c>
      <c r="J1564" s="59">
        <f>Table134[[#This Row],[number_of_purchases]]/Table134[[#This Row],[customer_total_years]]</f>
        <v>3.8933333333333331</v>
      </c>
      <c r="K1564" s="13">
        <f>Table134[[#This Row],[purchase_history]]/Table134[[#This Row],[number_of_purchases]]</f>
        <v>1428.8649999999998</v>
      </c>
      <c r="L1564" s="2">
        <f>IF(YEAR(Table134[[#This Row],[Last_Day]])=2021,5,IF(YEAR(Table134[[#This Row],[Last_Day]])=2022,7,IF(YEAR(Table134[[#This Row],[Last_Day]])=2023,10,"Không xác định")))</f>
        <v>7</v>
      </c>
      <c r="M1564" s="15">
        <f>Table134[[#This Row],[avg_number_of_purchases]]*Table1345[[#This Row],[avg_purchase_value]]*Table1345[[#This Row],[expected_lifespan]]</f>
        <v>38941.334133333323</v>
      </c>
      <c r="N1564" t="s">
        <v>12048</v>
      </c>
    </row>
    <row r="1565" spans="1:14" x14ac:dyDescent="0.3">
      <c r="A1565" s="2" t="s">
        <v>1563</v>
      </c>
      <c r="B1565" s="2" t="s">
        <v>12045</v>
      </c>
      <c r="C1565" s="2">
        <v>23</v>
      </c>
      <c r="D1565" s="2" t="s">
        <v>12049</v>
      </c>
      <c r="E1565" s="2">
        <f>COUNTIF(Table16[customer_id],Table13[[#This Row],[customer_id]])</f>
        <v>3</v>
      </c>
      <c r="F1565" s="13">
        <f>SUMIFS(Table16[Purchase_history],Table16[customer_id],Table13[[#This Row],[customer_id]])</f>
        <v>23156.809999999998</v>
      </c>
      <c r="G1565" s="20">
        <v>44471</v>
      </c>
      <c r="H1565" s="21">
        <v>44860</v>
      </c>
      <c r="I1565" s="15">
        <f>(Table134[[#This Row],[Last_Day]]-Table134[[#This Row],[First_Day]]+1)/365</f>
        <v>1.0684931506849316</v>
      </c>
      <c r="J1565" s="59">
        <f>Table134[[#This Row],[number_of_purchases]]/Table134[[#This Row],[customer_total_years]]</f>
        <v>2.8076923076923075</v>
      </c>
      <c r="K1565" s="13">
        <f>Table134[[#This Row],[purchase_history]]/Table134[[#This Row],[number_of_purchases]]</f>
        <v>7718.9366666666656</v>
      </c>
      <c r="L1565" s="2">
        <f>IF(YEAR(Table134[[#This Row],[Last_Day]])=2021,5,IF(YEAR(Table134[[#This Row],[Last_Day]])=2022,7,IF(YEAR(Table134[[#This Row],[Last_Day]])=2023,10,"Không xác định")))</f>
        <v>7</v>
      </c>
      <c r="M1565" s="15">
        <f>Table134[[#This Row],[avg_number_of_purchases]]*Table1345[[#This Row],[avg_purchase_value]]*Table1345[[#This Row],[expected_lifespan]]</f>
        <v>151706.79371794869</v>
      </c>
      <c r="N1565" t="s">
        <v>12047</v>
      </c>
    </row>
    <row r="1566" spans="1:14" x14ac:dyDescent="0.3">
      <c r="A1566" s="2" t="s">
        <v>1564</v>
      </c>
      <c r="B1566" s="2" t="s">
        <v>12040</v>
      </c>
      <c r="C1566" s="2">
        <v>22</v>
      </c>
      <c r="D1566" s="2" t="s">
        <v>12043</v>
      </c>
      <c r="E1566" s="2">
        <f>COUNTIF(Table16[customer_id],Table13[[#This Row],[customer_id]])</f>
        <v>4</v>
      </c>
      <c r="F1566" s="13">
        <f>SUMIFS(Table16[Purchase_history],Table16[customer_id],Table13[[#This Row],[customer_id]])</f>
        <v>3462.37</v>
      </c>
      <c r="G1566" s="20">
        <v>44234</v>
      </c>
      <c r="H1566" s="21">
        <v>44953</v>
      </c>
      <c r="I1566" s="15">
        <f>(Table134[[#This Row],[Last_Day]]-Table134[[#This Row],[First_Day]]+1)/365</f>
        <v>1.9726027397260273</v>
      </c>
      <c r="J1566" s="59">
        <f>Table134[[#This Row],[number_of_purchases]]/Table134[[#This Row],[customer_total_years]]</f>
        <v>2.0277777777777777</v>
      </c>
      <c r="K1566" s="13">
        <f>Table134[[#This Row],[purchase_history]]/Table134[[#This Row],[number_of_purchases]]</f>
        <v>865.59249999999997</v>
      </c>
      <c r="L1566" s="2">
        <f>IF(YEAR(Table134[[#This Row],[Last_Day]])=2021,5,IF(YEAR(Table134[[#This Row],[Last_Day]])=2022,7,IF(YEAR(Table134[[#This Row],[Last_Day]])=2023,10,"Không xác định")))</f>
        <v>10</v>
      </c>
      <c r="M1566" s="15">
        <f>Table134[[#This Row],[avg_number_of_purchases]]*Table1345[[#This Row],[avg_purchase_value]]*Table1345[[#This Row],[expected_lifespan]]</f>
        <v>17552.292361111111</v>
      </c>
      <c r="N1566" t="s">
        <v>12047</v>
      </c>
    </row>
    <row r="1567" spans="1:14" x14ac:dyDescent="0.3">
      <c r="A1567" s="2" t="s">
        <v>1565</v>
      </c>
      <c r="B1567" s="2" t="s">
        <v>12040</v>
      </c>
      <c r="C1567" s="2">
        <v>50</v>
      </c>
      <c r="D1567" s="2" t="s">
        <v>12041</v>
      </c>
      <c r="E1567" s="2">
        <f>COUNTIF(Table16[customer_id],Table13[[#This Row],[customer_id]])</f>
        <v>4</v>
      </c>
      <c r="F1567" s="13">
        <f>SUMIFS(Table16[Purchase_history],Table16[customer_id],Table13[[#This Row],[customer_id]])</f>
        <v>8449.32</v>
      </c>
      <c r="G1567" s="20">
        <v>44341</v>
      </c>
      <c r="H1567" s="21">
        <v>44910</v>
      </c>
      <c r="I1567" s="15">
        <f>(Table134[[#This Row],[Last_Day]]-Table134[[#This Row],[First_Day]]+1)/365</f>
        <v>1.5616438356164384</v>
      </c>
      <c r="J1567" s="59">
        <f>Table134[[#This Row],[number_of_purchases]]/Table134[[#This Row],[customer_total_years]]</f>
        <v>2.5614035087719298</v>
      </c>
      <c r="K1567" s="13">
        <f>Table134[[#This Row],[purchase_history]]/Table134[[#This Row],[number_of_purchases]]</f>
        <v>2112.33</v>
      </c>
      <c r="L1567" s="2">
        <f>IF(YEAR(Table134[[#This Row],[Last_Day]])=2021,5,IF(YEAR(Table134[[#This Row],[Last_Day]])=2022,7,IF(YEAR(Table134[[#This Row],[Last_Day]])=2023,10,"Không xác định")))</f>
        <v>7</v>
      </c>
      <c r="M1567" s="15">
        <f>Table134[[#This Row],[avg_number_of_purchases]]*Table1345[[#This Row],[avg_purchase_value]]*Table1345[[#This Row],[expected_lifespan]]</f>
        <v>37873.706315789474</v>
      </c>
      <c r="N1567" t="s">
        <v>12048</v>
      </c>
    </row>
    <row r="1568" spans="1:14" x14ac:dyDescent="0.3">
      <c r="A1568" s="2" t="s">
        <v>1566</v>
      </c>
      <c r="B1568" s="2" t="s">
        <v>12045</v>
      </c>
      <c r="C1568" s="2">
        <v>18</v>
      </c>
      <c r="D1568" s="2" t="s">
        <v>12041</v>
      </c>
      <c r="E1568" s="2">
        <f>COUNTIF(Table16[customer_id],Table13[[#This Row],[customer_id]])</f>
        <v>4</v>
      </c>
      <c r="F1568" s="13">
        <f>SUMIFS(Table16[Purchase_history],Table16[customer_id],Table13[[#This Row],[customer_id]])</f>
        <v>19901.729999999996</v>
      </c>
      <c r="G1568" s="20">
        <v>44219</v>
      </c>
      <c r="H1568" s="21">
        <v>44954</v>
      </c>
      <c r="I1568" s="15">
        <f>(Table134[[#This Row],[Last_Day]]-Table134[[#This Row],[First_Day]]+1)/365</f>
        <v>2.0164383561643837</v>
      </c>
      <c r="J1568" s="59">
        <f>Table134[[#This Row],[number_of_purchases]]/Table134[[#This Row],[customer_total_years]]</f>
        <v>1.9836956521739129</v>
      </c>
      <c r="K1568" s="13">
        <f>Table134[[#This Row],[purchase_history]]/Table134[[#This Row],[number_of_purchases]]</f>
        <v>4975.432499999999</v>
      </c>
      <c r="L1568" s="2">
        <f>IF(YEAR(Table134[[#This Row],[Last_Day]])=2021,5,IF(YEAR(Table134[[#This Row],[Last_Day]])=2022,7,IF(YEAR(Table134[[#This Row],[Last_Day]])=2023,10,"Không xác định")))</f>
        <v>10</v>
      </c>
      <c r="M1568" s="15">
        <f>Table134[[#This Row],[avg_number_of_purchases]]*Table1345[[#This Row],[avg_purchase_value]]*Table1345[[#This Row],[expected_lifespan]]</f>
        <v>98697.438179347795</v>
      </c>
      <c r="N1568" t="s">
        <v>12046</v>
      </c>
    </row>
    <row r="1569" spans="1:14" x14ac:dyDescent="0.3">
      <c r="A1569" s="2" t="s">
        <v>1567</v>
      </c>
      <c r="B1569" s="2" t="s">
        <v>12040</v>
      </c>
      <c r="C1569" s="2">
        <v>29</v>
      </c>
      <c r="D1569" s="2" t="s">
        <v>12049</v>
      </c>
      <c r="E1569" s="2">
        <f>COUNTIF(Table16[customer_id],Table13[[#This Row],[customer_id]])</f>
        <v>7</v>
      </c>
      <c r="F1569" s="13">
        <f>SUMIFS(Table16[Purchase_history],Table16[customer_id],Table13[[#This Row],[customer_id]])</f>
        <v>35441.65</v>
      </c>
      <c r="G1569" s="20">
        <v>44288</v>
      </c>
      <c r="H1569" s="21">
        <v>44959</v>
      </c>
      <c r="I1569" s="15">
        <f>(Table134[[#This Row],[Last_Day]]-Table134[[#This Row],[First_Day]]+1)/365</f>
        <v>1.8410958904109589</v>
      </c>
      <c r="J1569" s="59">
        <f>Table134[[#This Row],[number_of_purchases]]/Table134[[#This Row],[customer_total_years]]</f>
        <v>3.8020833333333335</v>
      </c>
      <c r="K1569" s="13">
        <f>Table134[[#This Row],[purchase_history]]/Table134[[#This Row],[number_of_purchases]]</f>
        <v>5063.0928571428576</v>
      </c>
      <c r="L1569" s="2">
        <f>IF(YEAR(Table134[[#This Row],[Last_Day]])=2021,5,IF(YEAR(Table134[[#This Row],[Last_Day]])=2022,7,IF(YEAR(Table134[[#This Row],[Last_Day]])=2023,10,"Không xác định")))</f>
        <v>10</v>
      </c>
      <c r="M1569" s="15">
        <f>Table134[[#This Row],[avg_number_of_purchases]]*Table1345[[#This Row],[avg_purchase_value]]*Table1345[[#This Row],[expected_lifespan]]</f>
        <v>192503.00967261908</v>
      </c>
      <c r="N1569" t="s">
        <v>12044</v>
      </c>
    </row>
    <row r="1570" spans="1:14" x14ac:dyDescent="0.3">
      <c r="A1570" s="2" t="s">
        <v>1568</v>
      </c>
      <c r="B1570" s="2" t="s">
        <v>12040</v>
      </c>
      <c r="C1570" s="2">
        <v>51</v>
      </c>
      <c r="D1570" s="2" t="s">
        <v>12043</v>
      </c>
      <c r="E1570" s="2">
        <f>COUNTIF(Table16[customer_id],Table13[[#This Row],[customer_id]])</f>
        <v>7</v>
      </c>
      <c r="F1570" s="13">
        <f>SUMIFS(Table16[Purchase_history],Table16[customer_id],Table13[[#This Row],[customer_id]])</f>
        <v>22523.129999999997</v>
      </c>
      <c r="G1570" s="20">
        <v>44209</v>
      </c>
      <c r="H1570" s="21">
        <v>44903</v>
      </c>
      <c r="I1570" s="15">
        <f>(Table134[[#This Row],[Last_Day]]-Table134[[#This Row],[First_Day]]+1)/365</f>
        <v>1.904109589041096</v>
      </c>
      <c r="J1570" s="59">
        <f>Table134[[#This Row],[number_of_purchases]]/Table134[[#This Row],[customer_total_years]]</f>
        <v>3.6762589928057552</v>
      </c>
      <c r="K1570" s="13">
        <f>Table134[[#This Row],[purchase_history]]/Table134[[#This Row],[number_of_purchases]]</f>
        <v>3217.5899999999997</v>
      </c>
      <c r="L1570" s="2">
        <f>IF(YEAR(Table134[[#This Row],[Last_Day]])=2021,5,IF(YEAR(Table134[[#This Row],[Last_Day]])=2022,7,IF(YEAR(Table134[[#This Row],[Last_Day]])=2023,10,"Không xác định")))</f>
        <v>7</v>
      </c>
      <c r="M1570" s="15">
        <f>Table134[[#This Row],[avg_number_of_purchases]]*Table1345[[#This Row],[avg_purchase_value]]*Table1345[[#This Row],[expected_lifespan]]</f>
        <v>82800.859208633075</v>
      </c>
      <c r="N1570" t="s">
        <v>12048</v>
      </c>
    </row>
    <row r="1571" spans="1:14" x14ac:dyDescent="0.3">
      <c r="A1571" s="2" t="s">
        <v>1569</v>
      </c>
      <c r="B1571" s="2" t="s">
        <v>12045</v>
      </c>
      <c r="C1571" s="2">
        <v>44</v>
      </c>
      <c r="D1571" s="2" t="s">
        <v>12049</v>
      </c>
      <c r="E1571" s="2">
        <f>COUNTIF(Table16[customer_id],Table13[[#This Row],[customer_id]])</f>
        <v>5</v>
      </c>
      <c r="F1571" s="13">
        <f>SUMIFS(Table16[Purchase_history],Table16[customer_id],Table13[[#This Row],[customer_id]])</f>
        <v>6793.1100000000006</v>
      </c>
      <c r="G1571" s="20">
        <v>44561</v>
      </c>
      <c r="H1571" s="21">
        <v>44799</v>
      </c>
      <c r="I1571" s="15">
        <f>(Table134[[#This Row],[Last_Day]]-Table134[[#This Row],[First_Day]]+1)/365</f>
        <v>0.65479452054794518</v>
      </c>
      <c r="J1571" s="59">
        <f>Table134[[#This Row],[number_of_purchases]]/Table134[[#This Row],[customer_total_years]]</f>
        <v>7.6359832635983267</v>
      </c>
      <c r="K1571" s="13">
        <f>Table134[[#This Row],[purchase_history]]/Table134[[#This Row],[number_of_purchases]]</f>
        <v>1358.6220000000001</v>
      </c>
      <c r="L1571" s="2">
        <f>IF(YEAR(Table134[[#This Row],[Last_Day]])=2021,5,IF(YEAR(Table134[[#This Row],[Last_Day]])=2022,7,IF(YEAR(Table134[[#This Row],[Last_Day]])=2023,10,"Không xác định")))</f>
        <v>7</v>
      </c>
      <c r="M1571" s="15">
        <f>Table134[[#This Row],[avg_number_of_purchases]]*Table1345[[#This Row],[avg_purchase_value]]*Table1345[[#This Row],[expected_lifespan]]</f>
        <v>72620.903974895395</v>
      </c>
      <c r="N1571" t="s">
        <v>12048</v>
      </c>
    </row>
    <row r="1572" spans="1:14" x14ac:dyDescent="0.3">
      <c r="A1572" s="2" t="s">
        <v>1570</v>
      </c>
      <c r="B1572" s="2" t="s">
        <v>12040</v>
      </c>
      <c r="C1572" s="2">
        <v>22</v>
      </c>
      <c r="D1572" s="2" t="s">
        <v>12041</v>
      </c>
      <c r="E1572" s="2">
        <f>COUNTIF(Table16[customer_id],Table13[[#This Row],[customer_id]])</f>
        <v>6</v>
      </c>
      <c r="F1572" s="13">
        <f>SUMIFS(Table16[Purchase_history],Table16[customer_id],Table13[[#This Row],[customer_id]])</f>
        <v>15497.550000000001</v>
      </c>
      <c r="G1572" s="20">
        <v>44210</v>
      </c>
      <c r="H1572" s="21">
        <v>44730</v>
      </c>
      <c r="I1572" s="15">
        <f>(Table134[[#This Row],[Last_Day]]-Table134[[#This Row],[First_Day]]+1)/365</f>
        <v>1.4273972602739726</v>
      </c>
      <c r="J1572" s="59">
        <f>Table134[[#This Row],[number_of_purchases]]/Table134[[#This Row],[customer_total_years]]</f>
        <v>4.2034548944337811</v>
      </c>
      <c r="K1572" s="13">
        <f>Table134[[#This Row],[purchase_history]]/Table134[[#This Row],[number_of_purchases]]</f>
        <v>2582.9250000000002</v>
      </c>
      <c r="L1572" s="2">
        <f>IF(YEAR(Table134[[#This Row],[Last_Day]])=2021,5,IF(YEAR(Table134[[#This Row],[Last_Day]])=2022,7,IF(YEAR(Table134[[#This Row],[Last_Day]])=2023,10,"Không xác định")))</f>
        <v>7</v>
      </c>
      <c r="M1572" s="15">
        <f>Table134[[#This Row],[avg_number_of_purchases]]*Table1345[[#This Row],[avg_purchase_value]]*Table1345[[#This Row],[expected_lifespan]]</f>
        <v>76000.461132437616</v>
      </c>
      <c r="N1572" t="s">
        <v>12042</v>
      </c>
    </row>
    <row r="1573" spans="1:14" x14ac:dyDescent="0.3">
      <c r="A1573" s="2" t="s">
        <v>1571</v>
      </c>
      <c r="B1573" s="2" t="s">
        <v>12040</v>
      </c>
      <c r="C1573" s="2">
        <v>37</v>
      </c>
      <c r="D1573" s="2" t="s">
        <v>12043</v>
      </c>
      <c r="E1573" s="2">
        <f>COUNTIF(Table16[customer_id],Table13[[#This Row],[customer_id]])</f>
        <v>4</v>
      </c>
      <c r="F1573" s="13">
        <f>SUMIFS(Table16[Purchase_history],Table16[customer_id],Table13[[#This Row],[customer_id]])</f>
        <v>1652.4999999999998</v>
      </c>
      <c r="G1573" s="20">
        <v>44383</v>
      </c>
      <c r="H1573" s="21">
        <v>44909</v>
      </c>
      <c r="I1573" s="15">
        <f>(Table134[[#This Row],[Last_Day]]-Table134[[#This Row],[First_Day]]+1)/365</f>
        <v>1.4438356164383561</v>
      </c>
      <c r="J1573" s="59">
        <f>Table134[[#This Row],[number_of_purchases]]/Table134[[#This Row],[customer_total_years]]</f>
        <v>2.7703984819734346</v>
      </c>
      <c r="K1573" s="13">
        <f>Table134[[#This Row],[purchase_history]]/Table134[[#This Row],[number_of_purchases]]</f>
        <v>413.12499999999994</v>
      </c>
      <c r="L1573" s="2">
        <f>IF(YEAR(Table134[[#This Row],[Last_Day]])=2021,5,IF(YEAR(Table134[[#This Row],[Last_Day]])=2022,7,IF(YEAR(Table134[[#This Row],[Last_Day]])=2023,10,"Không xác định")))</f>
        <v>7</v>
      </c>
      <c r="M1573" s="15">
        <f>Table134[[#This Row],[avg_number_of_purchases]]*Table1345[[#This Row],[avg_purchase_value]]*Table1345[[#This Row],[expected_lifespan]]</f>
        <v>8011.6461100569259</v>
      </c>
      <c r="N1573" t="s">
        <v>12048</v>
      </c>
    </row>
    <row r="1574" spans="1:14" x14ac:dyDescent="0.3">
      <c r="A1574" s="2" t="s">
        <v>1572</v>
      </c>
      <c r="B1574" s="2" t="s">
        <v>12045</v>
      </c>
      <c r="C1574" s="2">
        <v>61</v>
      </c>
      <c r="D1574" s="2" t="s">
        <v>12043</v>
      </c>
      <c r="E1574" s="2">
        <f>COUNTIF(Table16[customer_id],Table13[[#This Row],[customer_id]])</f>
        <v>4</v>
      </c>
      <c r="F1574" s="13">
        <f>SUMIFS(Table16[Purchase_history],Table16[customer_id],Table13[[#This Row],[customer_id]])</f>
        <v>1699.05</v>
      </c>
      <c r="G1574" s="20">
        <v>44280</v>
      </c>
      <c r="H1574" s="21">
        <v>44740</v>
      </c>
      <c r="I1574" s="15">
        <f>(Table134[[#This Row],[Last_Day]]-Table134[[#This Row],[First_Day]]+1)/365</f>
        <v>1.263013698630137</v>
      </c>
      <c r="J1574" s="59">
        <f>Table134[[#This Row],[number_of_purchases]]/Table134[[#This Row],[customer_total_years]]</f>
        <v>3.1670281995661607</v>
      </c>
      <c r="K1574" s="13">
        <f>Table134[[#This Row],[purchase_history]]/Table134[[#This Row],[number_of_purchases]]</f>
        <v>424.76249999999999</v>
      </c>
      <c r="L1574" s="2">
        <f>IF(YEAR(Table134[[#This Row],[Last_Day]])=2021,5,IF(YEAR(Table134[[#This Row],[Last_Day]])=2022,7,IF(YEAR(Table134[[#This Row],[Last_Day]])=2023,10,"Không xác định")))</f>
        <v>7</v>
      </c>
      <c r="M1574" s="15">
        <f>Table134[[#This Row],[avg_number_of_purchases]]*Table1345[[#This Row],[avg_purchase_value]]*Table1345[[#This Row],[expected_lifespan]]</f>
        <v>9416.643709327549</v>
      </c>
      <c r="N1574" t="s">
        <v>12044</v>
      </c>
    </row>
    <row r="1575" spans="1:14" x14ac:dyDescent="0.3">
      <c r="A1575" s="2" t="s">
        <v>1573</v>
      </c>
      <c r="B1575" s="2" t="s">
        <v>12045</v>
      </c>
      <c r="C1575" s="2">
        <v>27</v>
      </c>
      <c r="D1575" s="2" t="s">
        <v>12041</v>
      </c>
      <c r="E1575" s="2">
        <f>COUNTIF(Table16[customer_id],Table13[[#This Row],[customer_id]])</f>
        <v>4</v>
      </c>
      <c r="F1575" s="13">
        <f>SUMIFS(Table16[Purchase_history],Table16[customer_id],Table13[[#This Row],[customer_id]])</f>
        <v>3154.3900000000003</v>
      </c>
      <c r="G1575" s="20">
        <v>44222</v>
      </c>
      <c r="H1575" s="21">
        <v>44717</v>
      </c>
      <c r="I1575" s="15">
        <f>(Table134[[#This Row],[Last_Day]]-Table134[[#This Row],[First_Day]]+1)/365</f>
        <v>1.3589041095890411</v>
      </c>
      <c r="J1575" s="59">
        <f>Table134[[#This Row],[number_of_purchases]]/Table134[[#This Row],[customer_total_years]]</f>
        <v>2.9435483870967745</v>
      </c>
      <c r="K1575" s="13">
        <f>Table134[[#This Row],[purchase_history]]/Table134[[#This Row],[number_of_purchases]]</f>
        <v>788.59750000000008</v>
      </c>
      <c r="L1575" s="2">
        <f>IF(YEAR(Table134[[#This Row],[Last_Day]])=2021,5,IF(YEAR(Table134[[#This Row],[Last_Day]])=2022,7,IF(YEAR(Table134[[#This Row],[Last_Day]])=2023,10,"Không xác định")))</f>
        <v>7</v>
      </c>
      <c r="M1575" s="15">
        <f>Table134[[#This Row],[avg_number_of_purchases]]*Table1345[[#This Row],[avg_purchase_value]]*Table1345[[#This Row],[expected_lifespan]]</f>
        <v>16248.924294354842</v>
      </c>
      <c r="N1575" t="s">
        <v>12044</v>
      </c>
    </row>
    <row r="1576" spans="1:14" x14ac:dyDescent="0.3">
      <c r="A1576" s="2" t="s">
        <v>1574</v>
      </c>
      <c r="B1576" s="2" t="s">
        <v>12040</v>
      </c>
      <c r="C1576" s="2">
        <v>49</v>
      </c>
      <c r="D1576" s="2" t="s">
        <v>12043</v>
      </c>
      <c r="E1576" s="2">
        <f>COUNTIF(Table16[customer_id],Table13[[#This Row],[customer_id]])</f>
        <v>3</v>
      </c>
      <c r="F1576" s="13">
        <f>SUMIFS(Table16[Purchase_history],Table16[customer_id],Table13[[#This Row],[customer_id]])</f>
        <v>6042.26</v>
      </c>
      <c r="G1576" s="20">
        <v>44242</v>
      </c>
      <c r="H1576" s="21">
        <v>44785</v>
      </c>
      <c r="I1576" s="15">
        <f>(Table134[[#This Row],[Last_Day]]-Table134[[#This Row],[First_Day]]+1)/365</f>
        <v>1.4904109589041097</v>
      </c>
      <c r="J1576" s="59">
        <f>Table134[[#This Row],[number_of_purchases]]/Table134[[#This Row],[customer_total_years]]</f>
        <v>2.0128676470588234</v>
      </c>
      <c r="K1576" s="13">
        <f>Table134[[#This Row],[purchase_history]]/Table134[[#This Row],[number_of_purchases]]</f>
        <v>2014.0866666666668</v>
      </c>
      <c r="L1576" s="2">
        <f>IF(YEAR(Table134[[#This Row],[Last_Day]])=2021,5,IF(YEAR(Table134[[#This Row],[Last_Day]])=2022,7,IF(YEAR(Table134[[#This Row],[Last_Day]])=2023,10,"Không xác định")))</f>
        <v>7</v>
      </c>
      <c r="M1576" s="15">
        <f>Table134[[#This Row],[avg_number_of_purchases]]*Table1345[[#This Row],[avg_purchase_value]]*Table1345[[#This Row],[expected_lifespan]]</f>
        <v>28378.629227941175</v>
      </c>
      <c r="N1576" t="s">
        <v>12048</v>
      </c>
    </row>
    <row r="1577" spans="1:14" x14ac:dyDescent="0.3">
      <c r="A1577" s="2" t="s">
        <v>1575</v>
      </c>
      <c r="B1577" s="2" t="s">
        <v>12040</v>
      </c>
      <c r="C1577" s="2">
        <v>49</v>
      </c>
      <c r="D1577" s="2" t="s">
        <v>12043</v>
      </c>
      <c r="E1577" s="2">
        <f>COUNTIF(Table16[customer_id],Table13[[#This Row],[customer_id]])</f>
        <v>3</v>
      </c>
      <c r="F1577" s="13">
        <f>SUMIFS(Table16[Purchase_history],Table16[customer_id],Table13[[#This Row],[customer_id]])</f>
        <v>18162.96</v>
      </c>
      <c r="G1577" s="20">
        <v>44690</v>
      </c>
      <c r="H1577" s="21">
        <v>44841</v>
      </c>
      <c r="I1577" s="15">
        <f>(Table134[[#This Row],[Last_Day]]-Table134[[#This Row],[First_Day]]+1)/365</f>
        <v>0.41643835616438357</v>
      </c>
      <c r="J1577" s="59">
        <f>Table134[[#This Row],[number_of_purchases]]/Table134[[#This Row],[customer_total_years]]</f>
        <v>7.2039473684210522</v>
      </c>
      <c r="K1577" s="13">
        <f>Table134[[#This Row],[purchase_history]]/Table134[[#This Row],[number_of_purchases]]</f>
        <v>6054.32</v>
      </c>
      <c r="L1577" s="2">
        <f>IF(YEAR(Table134[[#This Row],[Last_Day]])=2021,5,IF(YEAR(Table134[[#This Row],[Last_Day]])=2022,7,IF(YEAR(Table134[[#This Row],[Last_Day]])=2023,10,"Không xác định")))</f>
        <v>7</v>
      </c>
      <c r="M1577" s="15">
        <f>Table134[[#This Row],[avg_number_of_purchases]]*Table1345[[#This Row],[avg_purchase_value]]*Table1345[[#This Row],[expected_lifespan]]</f>
        <v>305305.01842105261</v>
      </c>
      <c r="N1577" t="s">
        <v>12046</v>
      </c>
    </row>
    <row r="1578" spans="1:14" x14ac:dyDescent="0.3">
      <c r="A1578" s="2" t="s">
        <v>1576</v>
      </c>
      <c r="B1578" s="2" t="s">
        <v>12040</v>
      </c>
      <c r="C1578" s="2">
        <v>59</v>
      </c>
      <c r="D1578" s="2" t="s">
        <v>12043</v>
      </c>
      <c r="E1578" s="2">
        <f>COUNTIF(Table16[customer_id],Table13[[#This Row],[customer_id]])</f>
        <v>7</v>
      </c>
      <c r="F1578" s="13">
        <f>SUMIFS(Table16[Purchase_history],Table16[customer_id],Table13[[#This Row],[customer_id]])</f>
        <v>13484.07</v>
      </c>
      <c r="G1578" s="20">
        <v>44198</v>
      </c>
      <c r="H1578" s="21">
        <v>44632</v>
      </c>
      <c r="I1578" s="15">
        <f>(Table134[[#This Row],[Last_Day]]-Table134[[#This Row],[First_Day]]+1)/365</f>
        <v>1.1917808219178083</v>
      </c>
      <c r="J1578" s="59">
        <f>Table134[[#This Row],[number_of_purchases]]/Table134[[#This Row],[customer_total_years]]</f>
        <v>5.873563218390804</v>
      </c>
      <c r="K1578" s="13">
        <f>Table134[[#This Row],[purchase_history]]/Table134[[#This Row],[number_of_purchases]]</f>
        <v>1926.2957142857142</v>
      </c>
      <c r="L1578" s="2">
        <f>IF(YEAR(Table134[[#This Row],[Last_Day]])=2021,5,IF(YEAR(Table134[[#This Row],[Last_Day]])=2022,7,IF(YEAR(Table134[[#This Row],[Last_Day]])=2023,10,"Không xác định")))</f>
        <v>7</v>
      </c>
      <c r="M1578" s="15">
        <f>Table134[[#This Row],[avg_number_of_purchases]]*Table1345[[#This Row],[avg_purchase_value]]*Table1345[[#This Row],[expected_lifespan]]</f>
        <v>79199.53758620689</v>
      </c>
      <c r="N1578" t="s">
        <v>12044</v>
      </c>
    </row>
    <row r="1579" spans="1:14" x14ac:dyDescent="0.3">
      <c r="A1579" s="2" t="s">
        <v>1577</v>
      </c>
      <c r="B1579" s="2" t="s">
        <v>12045</v>
      </c>
      <c r="C1579" s="2">
        <v>53</v>
      </c>
      <c r="D1579" s="2" t="s">
        <v>12041</v>
      </c>
      <c r="E1579" s="2">
        <f>COUNTIF(Table16[customer_id],Table13[[#This Row],[customer_id]])</f>
        <v>4</v>
      </c>
      <c r="F1579" s="13">
        <f>SUMIFS(Table16[Purchase_history],Table16[customer_id],Table13[[#This Row],[customer_id]])</f>
        <v>13286.69</v>
      </c>
      <c r="G1579" s="20">
        <v>44541</v>
      </c>
      <c r="H1579" s="21">
        <v>44908</v>
      </c>
      <c r="I1579" s="15">
        <f>(Table134[[#This Row],[Last_Day]]-Table134[[#This Row],[First_Day]]+1)/365</f>
        <v>1.0082191780821919</v>
      </c>
      <c r="J1579" s="59">
        <f>Table134[[#This Row],[number_of_purchases]]/Table134[[#This Row],[customer_total_years]]</f>
        <v>3.9673913043478257</v>
      </c>
      <c r="K1579" s="13">
        <f>Table134[[#This Row],[purchase_history]]/Table134[[#This Row],[number_of_purchases]]</f>
        <v>3321.6725000000001</v>
      </c>
      <c r="L1579" s="2">
        <f>IF(YEAR(Table134[[#This Row],[Last_Day]])=2021,5,IF(YEAR(Table134[[#This Row],[Last_Day]])=2022,7,IF(YEAR(Table134[[#This Row],[Last_Day]])=2023,10,"Không xác định")))</f>
        <v>7</v>
      </c>
      <c r="M1579" s="15">
        <f>Table134[[#This Row],[avg_number_of_purchases]]*Table1345[[#This Row],[avg_purchase_value]]*Table1345[[#This Row],[expected_lifespan]]</f>
        <v>92248.622146739115</v>
      </c>
      <c r="N1579" t="s">
        <v>12044</v>
      </c>
    </row>
    <row r="1580" spans="1:14" x14ac:dyDescent="0.3">
      <c r="A1580" s="2" t="s">
        <v>1578</v>
      </c>
      <c r="B1580" s="2" t="s">
        <v>12040</v>
      </c>
      <c r="C1580" s="2">
        <v>42</v>
      </c>
      <c r="D1580" s="2" t="s">
        <v>12041</v>
      </c>
      <c r="E1580" s="2">
        <f>COUNTIF(Table16[customer_id],Table13[[#This Row],[customer_id]])</f>
        <v>4</v>
      </c>
      <c r="F1580" s="13">
        <f>SUMIFS(Table16[Purchase_history],Table16[customer_id],Table13[[#This Row],[customer_id]])</f>
        <v>13358.509999999998</v>
      </c>
      <c r="G1580" s="20">
        <v>44217</v>
      </c>
      <c r="H1580" s="21">
        <v>44788</v>
      </c>
      <c r="I1580" s="15">
        <f>(Table134[[#This Row],[Last_Day]]-Table134[[#This Row],[First_Day]]+1)/365</f>
        <v>1.5671232876712329</v>
      </c>
      <c r="J1580" s="59">
        <f>Table134[[#This Row],[number_of_purchases]]/Table134[[#This Row],[customer_total_years]]</f>
        <v>2.5524475524475525</v>
      </c>
      <c r="K1580" s="13">
        <f>Table134[[#This Row],[purchase_history]]/Table134[[#This Row],[number_of_purchases]]</f>
        <v>3339.6274999999996</v>
      </c>
      <c r="L1580" s="2">
        <f>IF(YEAR(Table134[[#This Row],[Last_Day]])=2021,5,IF(YEAR(Table134[[#This Row],[Last_Day]])=2022,7,IF(YEAR(Table134[[#This Row],[Last_Day]])=2023,10,"Không xác định")))</f>
        <v>7</v>
      </c>
      <c r="M1580" s="15">
        <f>Table134[[#This Row],[avg_number_of_purchases]]*Table1345[[#This Row],[avg_purchase_value]]*Table1345[[#This Row],[expected_lifespan]]</f>
        <v>59669.568269230767</v>
      </c>
      <c r="N1580" t="s">
        <v>12048</v>
      </c>
    </row>
    <row r="1581" spans="1:14" x14ac:dyDescent="0.3">
      <c r="A1581" s="2" t="s">
        <v>1579</v>
      </c>
      <c r="B1581" s="2" t="s">
        <v>12040</v>
      </c>
      <c r="C1581" s="2">
        <v>23</v>
      </c>
      <c r="D1581" s="2" t="s">
        <v>12043</v>
      </c>
      <c r="E1581" s="2">
        <f>COUNTIF(Table16[customer_id],Table13[[#This Row],[customer_id]])</f>
        <v>5</v>
      </c>
      <c r="F1581" s="13">
        <f>SUMIFS(Table16[Purchase_history],Table16[customer_id],Table13[[#This Row],[customer_id]])</f>
        <v>1747.26</v>
      </c>
      <c r="G1581" s="20">
        <v>44282</v>
      </c>
      <c r="H1581" s="21">
        <v>44556</v>
      </c>
      <c r="I1581" s="15">
        <f>(Table134[[#This Row],[Last_Day]]-Table134[[#This Row],[First_Day]]+1)/365</f>
        <v>0.75342465753424659</v>
      </c>
      <c r="J1581" s="59">
        <f>Table134[[#This Row],[number_of_purchases]]/Table134[[#This Row],[customer_total_years]]</f>
        <v>6.6363636363636367</v>
      </c>
      <c r="K1581" s="13">
        <f>Table134[[#This Row],[purchase_history]]/Table134[[#This Row],[number_of_purchases]]</f>
        <v>349.452</v>
      </c>
      <c r="L1581" s="2">
        <f>IF(YEAR(Table134[[#This Row],[Last_Day]])=2021,5,IF(YEAR(Table134[[#This Row],[Last_Day]])=2022,7,IF(YEAR(Table134[[#This Row],[Last_Day]])=2023,10,"Không xác định")))</f>
        <v>5</v>
      </c>
      <c r="M1581" s="15">
        <f>Table134[[#This Row],[avg_number_of_purchases]]*Table1345[[#This Row],[avg_purchase_value]]*Table1345[[#This Row],[expected_lifespan]]</f>
        <v>11595.452727272728</v>
      </c>
      <c r="N1581" t="s">
        <v>12042</v>
      </c>
    </row>
    <row r="1582" spans="1:14" x14ac:dyDescent="0.3">
      <c r="A1582" s="2" t="s">
        <v>1580</v>
      </c>
      <c r="B1582" s="2" t="s">
        <v>12040</v>
      </c>
      <c r="C1582" s="2">
        <v>53</v>
      </c>
      <c r="D1582" s="2" t="s">
        <v>12043</v>
      </c>
      <c r="E1582" s="2">
        <f>COUNTIF(Table16[customer_id],Table13[[#This Row],[customer_id]])</f>
        <v>5</v>
      </c>
      <c r="F1582" s="13">
        <f>SUMIFS(Table16[Purchase_history],Table16[customer_id],Table13[[#This Row],[customer_id]])</f>
        <v>4045.4400000000005</v>
      </c>
      <c r="G1582" s="20">
        <v>44230</v>
      </c>
      <c r="H1582" s="21">
        <v>44762</v>
      </c>
      <c r="I1582" s="15">
        <f>(Table134[[#This Row],[Last_Day]]-Table134[[#This Row],[First_Day]]+1)/365</f>
        <v>1.4602739726027398</v>
      </c>
      <c r="J1582" s="59">
        <f>Table134[[#This Row],[number_of_purchases]]/Table134[[#This Row],[customer_total_years]]</f>
        <v>3.424015009380863</v>
      </c>
      <c r="K1582" s="13">
        <f>Table134[[#This Row],[purchase_history]]/Table134[[#This Row],[number_of_purchases]]</f>
        <v>809.08800000000008</v>
      </c>
      <c r="L1582" s="2">
        <f>IF(YEAR(Table134[[#This Row],[Last_Day]])=2021,5,IF(YEAR(Table134[[#This Row],[Last_Day]])=2022,7,IF(YEAR(Table134[[#This Row],[Last_Day]])=2023,10,"Không xác định")))</f>
        <v>7</v>
      </c>
      <c r="M1582" s="15">
        <f>Table134[[#This Row],[avg_number_of_purchases]]*Table1345[[#This Row],[avg_purchase_value]]*Table1345[[#This Row],[expected_lifespan]]</f>
        <v>19392.306191369607</v>
      </c>
      <c r="N1582" t="s">
        <v>12048</v>
      </c>
    </row>
    <row r="1583" spans="1:14" x14ac:dyDescent="0.3">
      <c r="A1583" s="2" t="s">
        <v>1581</v>
      </c>
      <c r="B1583" s="2" t="s">
        <v>12040</v>
      </c>
      <c r="C1583" s="2">
        <v>66</v>
      </c>
      <c r="D1583" s="2" t="s">
        <v>12043</v>
      </c>
      <c r="E1583" s="2">
        <f>COUNTIF(Table16[customer_id],Table13[[#This Row],[customer_id]])</f>
        <v>6</v>
      </c>
      <c r="F1583" s="13">
        <f>SUMIFS(Table16[Purchase_history],Table16[customer_id],Table13[[#This Row],[customer_id]])</f>
        <v>34606.899999999994</v>
      </c>
      <c r="G1583" s="20">
        <v>44244</v>
      </c>
      <c r="H1583" s="21">
        <v>44966</v>
      </c>
      <c r="I1583" s="15">
        <f>(Table134[[#This Row],[Last_Day]]-Table134[[#This Row],[First_Day]]+1)/365</f>
        <v>1.9808219178082191</v>
      </c>
      <c r="J1583" s="59">
        <f>Table134[[#This Row],[number_of_purchases]]/Table134[[#This Row],[customer_total_years]]</f>
        <v>3.0290456431535269</v>
      </c>
      <c r="K1583" s="13">
        <f>Table134[[#This Row],[purchase_history]]/Table134[[#This Row],[number_of_purchases]]</f>
        <v>5767.8166666666657</v>
      </c>
      <c r="L1583" s="2">
        <f>IF(YEAR(Table134[[#This Row],[Last_Day]])=2021,5,IF(YEAR(Table134[[#This Row],[Last_Day]])=2022,7,IF(YEAR(Table134[[#This Row],[Last_Day]])=2023,10,"Không xác định")))</f>
        <v>10</v>
      </c>
      <c r="M1583" s="15">
        <f>Table134[[#This Row],[avg_number_of_purchases]]*Table1345[[#This Row],[avg_purchase_value]]*Table1345[[#This Row],[expected_lifespan]]</f>
        <v>174709.79944674962</v>
      </c>
      <c r="N1583" t="s">
        <v>12047</v>
      </c>
    </row>
    <row r="1584" spans="1:14" x14ac:dyDescent="0.3">
      <c r="A1584" s="2" t="s">
        <v>1582</v>
      </c>
      <c r="B1584" s="2" t="s">
        <v>12045</v>
      </c>
      <c r="C1584" s="2">
        <v>60</v>
      </c>
      <c r="D1584" s="2" t="s">
        <v>12043</v>
      </c>
      <c r="E1584" s="2">
        <f>COUNTIF(Table16[customer_id],Table13[[#This Row],[customer_id]])</f>
        <v>8</v>
      </c>
      <c r="F1584" s="13">
        <f>SUMIFS(Table16[Purchase_history],Table16[customer_id],Table13[[#This Row],[customer_id]])</f>
        <v>48141.760000000002</v>
      </c>
      <c r="G1584" s="20">
        <v>44202</v>
      </c>
      <c r="H1584" s="21">
        <v>44865</v>
      </c>
      <c r="I1584" s="15">
        <f>(Table134[[#This Row],[Last_Day]]-Table134[[#This Row],[First_Day]]+1)/365</f>
        <v>1.8191780821917809</v>
      </c>
      <c r="J1584" s="59">
        <f>Table134[[#This Row],[number_of_purchases]]/Table134[[#This Row],[customer_total_years]]</f>
        <v>4.3975903614457827</v>
      </c>
      <c r="K1584" s="13">
        <f>Table134[[#This Row],[purchase_history]]/Table134[[#This Row],[number_of_purchases]]</f>
        <v>6017.72</v>
      </c>
      <c r="L1584" s="2">
        <f>IF(YEAR(Table134[[#This Row],[Last_Day]])=2021,5,IF(YEAR(Table134[[#This Row],[Last_Day]])=2022,7,IF(YEAR(Table134[[#This Row],[Last_Day]])=2023,10,"Không xác định")))</f>
        <v>7</v>
      </c>
      <c r="M1584" s="15">
        <f>Table134[[#This Row],[avg_number_of_purchases]]*Table1345[[#This Row],[avg_purchase_value]]*Table1345[[#This Row],[expected_lifespan]]</f>
        <v>185244.27228915662</v>
      </c>
      <c r="N1584" t="s">
        <v>12047</v>
      </c>
    </row>
    <row r="1585" spans="1:14" x14ac:dyDescent="0.3">
      <c r="A1585" s="2" t="s">
        <v>1583</v>
      </c>
      <c r="B1585" s="2" t="s">
        <v>12045</v>
      </c>
      <c r="C1585" s="2">
        <v>59</v>
      </c>
      <c r="D1585" s="2" t="s">
        <v>12043</v>
      </c>
      <c r="E1585" s="2">
        <f>COUNTIF(Table16[customer_id],Table13[[#This Row],[customer_id]])</f>
        <v>5</v>
      </c>
      <c r="F1585" s="13">
        <f>SUMIFS(Table16[Purchase_history],Table16[customer_id],Table13[[#This Row],[customer_id]])</f>
        <v>38131.589999999997</v>
      </c>
      <c r="G1585" s="20">
        <v>44394</v>
      </c>
      <c r="H1585" s="21">
        <v>44776</v>
      </c>
      <c r="I1585" s="15">
        <f>(Table134[[#This Row],[Last_Day]]-Table134[[#This Row],[First_Day]]+1)/365</f>
        <v>1.0493150684931507</v>
      </c>
      <c r="J1585" s="59">
        <f>Table134[[#This Row],[number_of_purchases]]/Table134[[#This Row],[customer_total_years]]</f>
        <v>4.7650130548302867</v>
      </c>
      <c r="K1585" s="13">
        <f>Table134[[#This Row],[purchase_history]]/Table134[[#This Row],[number_of_purchases]]</f>
        <v>7626.3179999999993</v>
      </c>
      <c r="L1585" s="2">
        <f>IF(YEAR(Table134[[#This Row],[Last_Day]])=2021,5,IF(YEAR(Table134[[#This Row],[Last_Day]])=2022,7,IF(YEAR(Table134[[#This Row],[Last_Day]])=2023,10,"Không xác định")))</f>
        <v>7</v>
      </c>
      <c r="M1585" s="15">
        <f>Table134[[#This Row],[avg_number_of_purchases]]*Table1345[[#This Row],[avg_purchase_value]]*Table1345[[#This Row],[expected_lifespan]]</f>
        <v>254376.53381201043</v>
      </c>
      <c r="N1585" t="s">
        <v>12046</v>
      </c>
    </row>
    <row r="1586" spans="1:14" x14ac:dyDescent="0.3">
      <c r="A1586" s="2" t="s">
        <v>1584</v>
      </c>
      <c r="B1586" s="2" t="s">
        <v>12040</v>
      </c>
      <c r="C1586" s="2">
        <v>36</v>
      </c>
      <c r="D1586" s="2" t="s">
        <v>12043</v>
      </c>
      <c r="E1586" s="2">
        <f>COUNTIF(Table16[customer_id],Table13[[#This Row],[customer_id]])</f>
        <v>5</v>
      </c>
      <c r="F1586" s="13">
        <f>SUMIFS(Table16[Purchase_history],Table16[customer_id],Table13[[#This Row],[customer_id]])</f>
        <v>14103.769999999999</v>
      </c>
      <c r="G1586" s="20">
        <v>44565</v>
      </c>
      <c r="H1586" s="21">
        <v>44916</v>
      </c>
      <c r="I1586" s="15">
        <f>(Table134[[#This Row],[Last_Day]]-Table134[[#This Row],[First_Day]]+1)/365</f>
        <v>0.96438356164383565</v>
      </c>
      <c r="J1586" s="59">
        <f>Table134[[#This Row],[number_of_purchases]]/Table134[[#This Row],[customer_total_years]]</f>
        <v>5.1846590909090908</v>
      </c>
      <c r="K1586" s="13">
        <f>Table134[[#This Row],[purchase_history]]/Table134[[#This Row],[number_of_purchases]]</f>
        <v>2820.7539999999999</v>
      </c>
      <c r="L1586" s="2">
        <f>IF(YEAR(Table134[[#This Row],[Last_Day]])=2021,5,IF(YEAR(Table134[[#This Row],[Last_Day]])=2022,7,IF(YEAR(Table134[[#This Row],[Last_Day]])=2023,10,"Không xác định")))</f>
        <v>7</v>
      </c>
      <c r="M1586" s="15">
        <f>Table134[[#This Row],[avg_number_of_purchases]]*Table1345[[#This Row],[avg_purchase_value]]*Table1345[[#This Row],[expected_lifespan]]</f>
        <v>102372.53508522727</v>
      </c>
      <c r="N1586" t="s">
        <v>12044</v>
      </c>
    </row>
    <row r="1587" spans="1:14" x14ac:dyDescent="0.3">
      <c r="A1587" s="2" t="s">
        <v>1585</v>
      </c>
      <c r="B1587" s="2" t="s">
        <v>12045</v>
      </c>
      <c r="C1587" s="2">
        <v>39</v>
      </c>
      <c r="D1587" s="2" t="s">
        <v>12043</v>
      </c>
      <c r="E1587" s="2">
        <f>COUNTIF(Table16[customer_id],Table13[[#This Row],[customer_id]])</f>
        <v>8</v>
      </c>
      <c r="F1587" s="13">
        <f>SUMIFS(Table16[Purchase_history],Table16[customer_id],Table13[[#This Row],[customer_id]])</f>
        <v>39709.21</v>
      </c>
      <c r="G1587" s="20">
        <v>44261</v>
      </c>
      <c r="H1587" s="21">
        <v>44990</v>
      </c>
      <c r="I1587" s="15">
        <f>(Table134[[#This Row],[Last_Day]]-Table134[[#This Row],[First_Day]]+1)/365</f>
        <v>2</v>
      </c>
      <c r="J1587" s="59">
        <f>Table134[[#This Row],[number_of_purchases]]/Table134[[#This Row],[customer_total_years]]</f>
        <v>4</v>
      </c>
      <c r="K1587" s="13">
        <f>Table134[[#This Row],[purchase_history]]/Table134[[#This Row],[number_of_purchases]]</f>
        <v>4963.6512499999999</v>
      </c>
      <c r="L1587" s="2">
        <f>IF(YEAR(Table134[[#This Row],[Last_Day]])=2021,5,IF(YEAR(Table134[[#This Row],[Last_Day]])=2022,7,IF(YEAR(Table134[[#This Row],[Last_Day]])=2023,10,"Không xác định")))</f>
        <v>10</v>
      </c>
      <c r="M1587" s="15">
        <f>Table134[[#This Row],[avg_number_of_purchases]]*Table1345[[#This Row],[avg_purchase_value]]*Table1345[[#This Row],[expected_lifespan]]</f>
        <v>198546.05</v>
      </c>
      <c r="N1587" t="s">
        <v>12047</v>
      </c>
    </row>
    <row r="1588" spans="1:14" x14ac:dyDescent="0.3">
      <c r="A1588" s="2" t="s">
        <v>1586</v>
      </c>
      <c r="B1588" s="2" t="s">
        <v>12045</v>
      </c>
      <c r="C1588" s="2">
        <v>47</v>
      </c>
      <c r="D1588" s="2" t="s">
        <v>12043</v>
      </c>
      <c r="E1588" s="2">
        <f>COUNTIF(Table16[customer_id],Table13[[#This Row],[customer_id]])</f>
        <v>5</v>
      </c>
      <c r="F1588" s="13">
        <f>SUMIFS(Table16[Purchase_history],Table16[customer_id],Table13[[#This Row],[customer_id]])</f>
        <v>8205.92</v>
      </c>
      <c r="G1588" s="20">
        <v>44223</v>
      </c>
      <c r="H1588" s="21">
        <v>44845</v>
      </c>
      <c r="I1588" s="15">
        <f>(Table134[[#This Row],[Last_Day]]-Table134[[#This Row],[First_Day]]+1)/365</f>
        <v>1.7068493150684931</v>
      </c>
      <c r="J1588" s="59">
        <f>Table134[[#This Row],[number_of_purchases]]/Table134[[#This Row],[customer_total_years]]</f>
        <v>2.9293739967897272</v>
      </c>
      <c r="K1588" s="13">
        <f>Table134[[#This Row],[purchase_history]]/Table134[[#This Row],[number_of_purchases]]</f>
        <v>1641.184</v>
      </c>
      <c r="L1588" s="2">
        <f>IF(YEAR(Table134[[#This Row],[Last_Day]])=2021,5,IF(YEAR(Table134[[#This Row],[Last_Day]])=2022,7,IF(YEAR(Table134[[#This Row],[Last_Day]])=2023,10,"Không xác định")))</f>
        <v>7</v>
      </c>
      <c r="M1588" s="15">
        <f>Table134[[#This Row],[avg_number_of_purchases]]*Table1345[[#This Row],[avg_purchase_value]]*Table1345[[#This Row],[expected_lifespan]]</f>
        <v>33653.49213483146</v>
      </c>
      <c r="N1588" t="s">
        <v>12042</v>
      </c>
    </row>
    <row r="1589" spans="1:14" x14ac:dyDescent="0.3">
      <c r="A1589" s="2" t="s">
        <v>1587</v>
      </c>
      <c r="B1589" s="2" t="s">
        <v>12045</v>
      </c>
      <c r="C1589" s="2">
        <v>31</v>
      </c>
      <c r="D1589" s="2" t="s">
        <v>12041</v>
      </c>
      <c r="E1589" s="2">
        <f>COUNTIF(Table16[customer_id],Table13[[#This Row],[customer_id]])</f>
        <v>4</v>
      </c>
      <c r="F1589" s="13">
        <f>SUMIFS(Table16[Purchase_history],Table16[customer_id],Table13[[#This Row],[customer_id]])</f>
        <v>14070.929999999998</v>
      </c>
      <c r="G1589" s="20">
        <v>44254</v>
      </c>
      <c r="H1589" s="21">
        <v>44573</v>
      </c>
      <c r="I1589" s="15">
        <f>(Table134[[#This Row],[Last_Day]]-Table134[[#This Row],[First_Day]]+1)/365</f>
        <v>0.87671232876712324</v>
      </c>
      <c r="J1589" s="59">
        <f>Table134[[#This Row],[number_of_purchases]]/Table134[[#This Row],[customer_total_years]]</f>
        <v>4.5625</v>
      </c>
      <c r="K1589" s="13">
        <f>Table134[[#This Row],[purchase_history]]/Table134[[#This Row],[number_of_purchases]]</f>
        <v>3517.7324999999996</v>
      </c>
      <c r="L1589" s="2">
        <f>IF(YEAR(Table134[[#This Row],[Last_Day]])=2021,5,IF(YEAR(Table134[[#This Row],[Last_Day]])=2022,7,IF(YEAR(Table134[[#This Row],[Last_Day]])=2023,10,"Không xác định")))</f>
        <v>7</v>
      </c>
      <c r="M1589" s="15">
        <f>Table134[[#This Row],[avg_number_of_purchases]]*Table1345[[#This Row],[avg_purchase_value]]*Table1345[[#This Row],[expected_lifespan]]</f>
        <v>112347.58171874999</v>
      </c>
      <c r="N1589" t="s">
        <v>12047</v>
      </c>
    </row>
    <row r="1590" spans="1:14" x14ac:dyDescent="0.3">
      <c r="A1590" s="2" t="s">
        <v>1588</v>
      </c>
      <c r="B1590" s="2" t="s">
        <v>12045</v>
      </c>
      <c r="C1590" s="2">
        <v>43</v>
      </c>
      <c r="D1590" s="2" t="s">
        <v>12041</v>
      </c>
      <c r="E1590" s="2">
        <f>COUNTIF(Table16[customer_id],Table13[[#This Row],[customer_id]])</f>
        <v>8</v>
      </c>
      <c r="F1590" s="13">
        <f>SUMIFS(Table16[Purchase_history],Table16[customer_id],Table13[[#This Row],[customer_id]])</f>
        <v>44905.4</v>
      </c>
      <c r="G1590" s="20">
        <v>44476</v>
      </c>
      <c r="H1590" s="21">
        <v>44940</v>
      </c>
      <c r="I1590" s="15">
        <f>(Table134[[#This Row],[Last_Day]]-Table134[[#This Row],[First_Day]]+1)/365</f>
        <v>1.273972602739726</v>
      </c>
      <c r="J1590" s="59">
        <f>Table134[[#This Row],[number_of_purchases]]/Table134[[#This Row],[customer_total_years]]</f>
        <v>6.279569892473118</v>
      </c>
      <c r="K1590" s="13">
        <f>Table134[[#This Row],[purchase_history]]/Table134[[#This Row],[number_of_purchases]]</f>
        <v>5613.1750000000002</v>
      </c>
      <c r="L1590" s="2">
        <f>IF(YEAR(Table134[[#This Row],[Last_Day]])=2021,5,IF(YEAR(Table134[[#This Row],[Last_Day]])=2022,7,IF(YEAR(Table134[[#This Row],[Last_Day]])=2023,10,"Không xác định")))</f>
        <v>10</v>
      </c>
      <c r="M1590" s="15">
        <f>Table134[[#This Row],[avg_number_of_purchases]]*Table1345[[#This Row],[avg_purchase_value]]*Table1345[[#This Row],[expected_lifespan]]</f>
        <v>352483.24731182796</v>
      </c>
      <c r="N1590" t="s">
        <v>12046</v>
      </c>
    </row>
    <row r="1591" spans="1:14" x14ac:dyDescent="0.3">
      <c r="A1591" s="2" t="s">
        <v>1589</v>
      </c>
      <c r="B1591" s="2" t="s">
        <v>12040</v>
      </c>
      <c r="C1591" s="2">
        <v>26</v>
      </c>
      <c r="D1591" s="2" t="s">
        <v>12041</v>
      </c>
      <c r="E1591" s="2">
        <f>COUNTIF(Table16[customer_id],Table13[[#This Row],[customer_id]])</f>
        <v>8</v>
      </c>
      <c r="F1591" s="13">
        <f>SUMIFS(Table16[Purchase_history],Table16[customer_id],Table13[[#This Row],[customer_id]])</f>
        <v>26434.41</v>
      </c>
      <c r="G1591" s="20">
        <v>44315</v>
      </c>
      <c r="H1591" s="21">
        <v>44969</v>
      </c>
      <c r="I1591" s="15">
        <f>(Table134[[#This Row],[Last_Day]]-Table134[[#This Row],[First_Day]]+1)/365</f>
        <v>1.7945205479452055</v>
      </c>
      <c r="J1591" s="59">
        <f>Table134[[#This Row],[number_of_purchases]]/Table134[[#This Row],[customer_total_years]]</f>
        <v>4.4580152671755719</v>
      </c>
      <c r="K1591" s="13">
        <f>Table134[[#This Row],[purchase_history]]/Table134[[#This Row],[number_of_purchases]]</f>
        <v>3304.30125</v>
      </c>
      <c r="L1591" s="2">
        <f>IF(YEAR(Table134[[#This Row],[Last_Day]])=2021,5,IF(YEAR(Table134[[#This Row],[Last_Day]])=2022,7,IF(YEAR(Table134[[#This Row],[Last_Day]])=2023,10,"Không xác định")))</f>
        <v>10</v>
      </c>
      <c r="M1591" s="15">
        <f>Table134[[#This Row],[avg_number_of_purchases]]*Table1345[[#This Row],[avg_purchase_value]]*Table1345[[#This Row],[expected_lifespan]]</f>
        <v>147306.25419847327</v>
      </c>
      <c r="N1591" t="s">
        <v>12047</v>
      </c>
    </row>
    <row r="1592" spans="1:14" x14ac:dyDescent="0.3">
      <c r="A1592" s="2" t="s">
        <v>1590</v>
      </c>
      <c r="B1592" s="2" t="s">
        <v>12040</v>
      </c>
      <c r="C1592" s="2">
        <v>46</v>
      </c>
      <c r="D1592" s="2" t="s">
        <v>12043</v>
      </c>
      <c r="E1592" s="2">
        <f>COUNTIF(Table16[customer_id],Table13[[#This Row],[customer_id]])</f>
        <v>1</v>
      </c>
      <c r="F1592" s="13">
        <f>SUMIFS(Table16[Purchase_history],Table16[customer_id],Table13[[#This Row],[customer_id]])</f>
        <v>365.94</v>
      </c>
      <c r="G1592" s="20">
        <v>44505</v>
      </c>
      <c r="H1592" s="21">
        <v>44505</v>
      </c>
      <c r="I1592" s="15">
        <f>(Table134[[#This Row],[Last_Day]]-Table134[[#This Row],[First_Day]]+1)/365</f>
        <v>2.7397260273972603E-3</v>
      </c>
      <c r="J1592" s="59">
        <f>Table134[[#This Row],[number_of_purchases]]/Table134[[#This Row],[customer_total_years]]</f>
        <v>365</v>
      </c>
      <c r="K1592" s="13">
        <f>Table134[[#This Row],[purchase_history]]/Table134[[#This Row],[number_of_purchases]]</f>
        <v>365.94</v>
      </c>
      <c r="L1592" s="2">
        <f>IF(YEAR(Table134[[#This Row],[Last_Day]])=2021,5,IF(YEAR(Table134[[#This Row],[Last_Day]])=2022,7,IF(YEAR(Table134[[#This Row],[Last_Day]])=2023,10,"Không xác định")))</f>
        <v>5</v>
      </c>
      <c r="M1592" s="15">
        <f>Table134[[#This Row],[avg_number_of_purchases]]*Table1345[[#This Row],[avg_purchase_value]]*Table1345[[#This Row],[expected_lifespan]]</f>
        <v>667840.5</v>
      </c>
      <c r="N1592" t="s">
        <v>12047</v>
      </c>
    </row>
    <row r="1593" spans="1:14" x14ac:dyDescent="0.3">
      <c r="A1593" s="2" t="s">
        <v>1591</v>
      </c>
      <c r="B1593" s="2" t="s">
        <v>12040</v>
      </c>
      <c r="C1593" s="2">
        <v>39</v>
      </c>
      <c r="D1593" s="2" t="s">
        <v>12043</v>
      </c>
      <c r="E1593" s="2">
        <f>COUNTIF(Table16[customer_id],Table13[[#This Row],[customer_id]])</f>
        <v>5</v>
      </c>
      <c r="F1593" s="13">
        <f>SUMIFS(Table16[Purchase_history],Table16[customer_id],Table13[[#This Row],[customer_id]])</f>
        <v>6190.7799999999988</v>
      </c>
      <c r="G1593" s="20">
        <v>44268</v>
      </c>
      <c r="H1593" s="21">
        <v>44837</v>
      </c>
      <c r="I1593" s="15">
        <f>(Table134[[#This Row],[Last_Day]]-Table134[[#This Row],[First_Day]]+1)/365</f>
        <v>1.5616438356164384</v>
      </c>
      <c r="J1593" s="59">
        <f>Table134[[#This Row],[number_of_purchases]]/Table134[[#This Row],[customer_total_years]]</f>
        <v>3.2017543859649122</v>
      </c>
      <c r="K1593" s="13">
        <f>Table134[[#This Row],[purchase_history]]/Table134[[#This Row],[number_of_purchases]]</f>
        <v>1238.1559999999997</v>
      </c>
      <c r="L1593" s="2">
        <f>IF(YEAR(Table134[[#This Row],[Last_Day]])=2021,5,IF(YEAR(Table134[[#This Row],[Last_Day]])=2022,7,IF(YEAR(Table134[[#This Row],[Last_Day]])=2023,10,"Không xác định")))</f>
        <v>7</v>
      </c>
      <c r="M1593" s="15">
        <f>Table134[[#This Row],[avg_number_of_purchases]]*Table1345[[#This Row],[avg_purchase_value]]*Table1345[[#This Row],[expected_lifespan]]</f>
        <v>27749.899824561398</v>
      </c>
      <c r="N1593" t="s">
        <v>12047</v>
      </c>
    </row>
    <row r="1594" spans="1:14" x14ac:dyDescent="0.3">
      <c r="A1594" s="2" t="s">
        <v>1592</v>
      </c>
      <c r="B1594" s="2" t="s">
        <v>12045</v>
      </c>
      <c r="C1594" s="2">
        <v>26</v>
      </c>
      <c r="D1594" s="2" t="s">
        <v>12043</v>
      </c>
      <c r="E1594" s="2">
        <f>COUNTIF(Table16[customer_id],Table13[[#This Row],[customer_id]])</f>
        <v>5</v>
      </c>
      <c r="F1594" s="13">
        <f>SUMIFS(Table16[Purchase_history],Table16[customer_id],Table13[[#This Row],[customer_id]])</f>
        <v>6057.2699999999986</v>
      </c>
      <c r="G1594" s="20">
        <v>44309</v>
      </c>
      <c r="H1594" s="21">
        <v>44836</v>
      </c>
      <c r="I1594" s="15">
        <f>(Table134[[#This Row],[Last_Day]]-Table134[[#This Row],[First_Day]]+1)/365</f>
        <v>1.4465753424657535</v>
      </c>
      <c r="J1594" s="59">
        <f>Table134[[#This Row],[number_of_purchases]]/Table134[[#This Row],[customer_total_years]]</f>
        <v>3.456439393939394</v>
      </c>
      <c r="K1594" s="13">
        <f>Table134[[#This Row],[purchase_history]]/Table134[[#This Row],[number_of_purchases]]</f>
        <v>1211.4539999999997</v>
      </c>
      <c r="L1594" s="2">
        <f>IF(YEAR(Table134[[#This Row],[Last_Day]])=2021,5,IF(YEAR(Table134[[#This Row],[Last_Day]])=2022,7,IF(YEAR(Table134[[#This Row],[Last_Day]])=2023,10,"Không xác định")))</f>
        <v>7</v>
      </c>
      <c r="M1594" s="15">
        <f>Table134[[#This Row],[avg_number_of_purchases]]*Table1345[[#This Row],[avg_purchase_value]]*Table1345[[#This Row],[expected_lifespan]]</f>
        <v>29311.221306818174</v>
      </c>
      <c r="N1594" t="s">
        <v>12042</v>
      </c>
    </row>
    <row r="1595" spans="1:14" x14ac:dyDescent="0.3">
      <c r="A1595" s="2" t="s">
        <v>1593</v>
      </c>
      <c r="B1595" s="2" t="s">
        <v>12045</v>
      </c>
      <c r="C1595" s="2">
        <v>23</v>
      </c>
      <c r="D1595" s="2" t="s">
        <v>12049</v>
      </c>
      <c r="E1595" s="2">
        <f>COUNTIF(Table16[customer_id],Table13[[#This Row],[customer_id]])</f>
        <v>4</v>
      </c>
      <c r="F1595" s="13">
        <f>SUMIFS(Table16[Purchase_history],Table16[customer_id],Table13[[#This Row],[customer_id]])</f>
        <v>8838.25</v>
      </c>
      <c r="G1595" s="20">
        <v>44201</v>
      </c>
      <c r="H1595" s="21">
        <v>44778</v>
      </c>
      <c r="I1595" s="15">
        <f>(Table134[[#This Row],[Last_Day]]-Table134[[#This Row],[First_Day]]+1)/365</f>
        <v>1.5835616438356164</v>
      </c>
      <c r="J1595" s="59">
        <f>Table134[[#This Row],[number_of_purchases]]/Table134[[#This Row],[customer_total_years]]</f>
        <v>2.5259515570934257</v>
      </c>
      <c r="K1595" s="13">
        <f>Table134[[#This Row],[purchase_history]]/Table134[[#This Row],[number_of_purchases]]</f>
        <v>2209.5625</v>
      </c>
      <c r="L1595" s="2">
        <f>IF(YEAR(Table134[[#This Row],[Last_Day]])=2021,5,IF(YEAR(Table134[[#This Row],[Last_Day]])=2022,7,IF(YEAR(Table134[[#This Row],[Last_Day]])=2023,10,"Không xác định")))</f>
        <v>7</v>
      </c>
      <c r="M1595" s="15">
        <f>Table134[[#This Row],[avg_number_of_purchases]]*Table1345[[#This Row],[avg_purchase_value]]*Table1345[[#This Row],[expected_lifespan]]</f>
        <v>39068.7348615917</v>
      </c>
      <c r="N1595" t="s">
        <v>12047</v>
      </c>
    </row>
    <row r="1596" spans="1:14" x14ac:dyDescent="0.3">
      <c r="A1596" s="2" t="s">
        <v>1594</v>
      </c>
      <c r="B1596" s="2" t="s">
        <v>12045</v>
      </c>
      <c r="C1596" s="2">
        <v>55</v>
      </c>
      <c r="D1596" s="2" t="s">
        <v>12043</v>
      </c>
      <c r="E1596" s="2">
        <f>COUNTIF(Table16[customer_id],Table13[[#This Row],[customer_id]])</f>
        <v>7</v>
      </c>
      <c r="F1596" s="13">
        <f>SUMIFS(Table16[Purchase_history],Table16[customer_id],Table13[[#This Row],[customer_id]])</f>
        <v>15904.36</v>
      </c>
      <c r="G1596" s="20">
        <v>44238</v>
      </c>
      <c r="H1596" s="21">
        <v>44940</v>
      </c>
      <c r="I1596" s="15">
        <f>(Table134[[#This Row],[Last_Day]]-Table134[[#This Row],[First_Day]]+1)/365</f>
        <v>1.9260273972602739</v>
      </c>
      <c r="J1596" s="59">
        <f>Table134[[#This Row],[number_of_purchases]]/Table134[[#This Row],[customer_total_years]]</f>
        <v>3.6344238975817924</v>
      </c>
      <c r="K1596" s="13">
        <f>Table134[[#This Row],[purchase_history]]/Table134[[#This Row],[number_of_purchases]]</f>
        <v>2272.0514285714285</v>
      </c>
      <c r="L1596" s="2">
        <f>IF(YEAR(Table134[[#This Row],[Last_Day]])=2021,5,IF(YEAR(Table134[[#This Row],[Last_Day]])=2022,7,IF(YEAR(Table134[[#This Row],[Last_Day]])=2023,10,"Không xác định")))</f>
        <v>10</v>
      </c>
      <c r="M1596" s="15">
        <f>Table134[[#This Row],[avg_number_of_purchases]]*Table1345[[#This Row],[avg_purchase_value]]*Table1345[[#This Row],[expected_lifespan]]</f>
        <v>82575.980085348507</v>
      </c>
      <c r="N1596" t="s">
        <v>12044</v>
      </c>
    </row>
    <row r="1597" spans="1:14" x14ac:dyDescent="0.3">
      <c r="A1597" s="2" t="s">
        <v>1595</v>
      </c>
      <c r="B1597" s="2" t="s">
        <v>12040</v>
      </c>
      <c r="C1597" s="2">
        <v>63</v>
      </c>
      <c r="D1597" s="2" t="s">
        <v>12041</v>
      </c>
      <c r="E1597" s="2">
        <f>COUNTIF(Table16[customer_id],Table13[[#This Row],[customer_id]])</f>
        <v>5</v>
      </c>
      <c r="F1597" s="13">
        <f>SUMIFS(Table16[Purchase_history],Table16[customer_id],Table13[[#This Row],[customer_id]])</f>
        <v>6708.2799999999988</v>
      </c>
      <c r="G1597" s="20">
        <v>44333</v>
      </c>
      <c r="H1597" s="21">
        <v>44738</v>
      </c>
      <c r="I1597" s="15">
        <f>(Table134[[#This Row],[Last_Day]]-Table134[[#This Row],[First_Day]]+1)/365</f>
        <v>1.1123287671232878</v>
      </c>
      <c r="J1597" s="59">
        <f>Table134[[#This Row],[number_of_purchases]]/Table134[[#This Row],[customer_total_years]]</f>
        <v>4.4950738916256157</v>
      </c>
      <c r="K1597" s="13">
        <f>Table134[[#This Row],[purchase_history]]/Table134[[#This Row],[number_of_purchases]]</f>
        <v>1341.6559999999997</v>
      </c>
      <c r="L1597" s="2">
        <f>IF(YEAR(Table134[[#This Row],[Last_Day]])=2021,5,IF(YEAR(Table134[[#This Row],[Last_Day]])=2022,7,IF(YEAR(Table134[[#This Row],[Last_Day]])=2023,10,"Không xác định")))</f>
        <v>7</v>
      </c>
      <c r="M1597" s="15">
        <f>Table134[[#This Row],[avg_number_of_purchases]]*Table1345[[#This Row],[avg_purchase_value]]*Table1345[[#This Row],[expected_lifespan]]</f>
        <v>42215.899999999994</v>
      </c>
      <c r="N1597" t="s">
        <v>12048</v>
      </c>
    </row>
    <row r="1598" spans="1:14" x14ac:dyDescent="0.3">
      <c r="A1598" s="2" t="s">
        <v>1596</v>
      </c>
      <c r="B1598" s="2" t="s">
        <v>12045</v>
      </c>
      <c r="C1598" s="2">
        <v>50</v>
      </c>
      <c r="D1598" s="2" t="s">
        <v>12041</v>
      </c>
      <c r="E1598" s="2">
        <f>COUNTIF(Table16[customer_id],Table13[[#This Row],[customer_id]])</f>
        <v>3</v>
      </c>
      <c r="F1598" s="13">
        <f>SUMIFS(Table16[Purchase_history],Table16[customer_id],Table13[[#This Row],[customer_id]])</f>
        <v>24342.66</v>
      </c>
      <c r="G1598" s="20">
        <v>44703</v>
      </c>
      <c r="H1598" s="21">
        <v>44835</v>
      </c>
      <c r="I1598" s="15">
        <f>(Table134[[#This Row],[Last_Day]]-Table134[[#This Row],[First_Day]]+1)/365</f>
        <v>0.36438356164383562</v>
      </c>
      <c r="J1598" s="59">
        <f>Table134[[#This Row],[number_of_purchases]]/Table134[[#This Row],[customer_total_years]]</f>
        <v>8.2330827067669166</v>
      </c>
      <c r="K1598" s="13">
        <f>Table134[[#This Row],[purchase_history]]/Table134[[#This Row],[number_of_purchases]]</f>
        <v>8114.22</v>
      </c>
      <c r="L1598" s="2">
        <f>IF(YEAR(Table134[[#This Row],[Last_Day]])=2021,5,IF(YEAR(Table134[[#This Row],[Last_Day]])=2022,7,IF(YEAR(Table134[[#This Row],[Last_Day]])=2023,10,"Không xác định")))</f>
        <v>7</v>
      </c>
      <c r="M1598" s="15">
        <f>Table134[[#This Row],[avg_number_of_purchases]]*Table1345[[#This Row],[avg_purchase_value]]*Table1345[[#This Row],[expected_lifespan]]</f>
        <v>467635.3105263157</v>
      </c>
      <c r="N1598" t="s">
        <v>12042</v>
      </c>
    </row>
    <row r="1599" spans="1:14" x14ac:dyDescent="0.3">
      <c r="A1599" s="2" t="s">
        <v>1597</v>
      </c>
      <c r="B1599" s="2" t="s">
        <v>12040</v>
      </c>
      <c r="C1599" s="2">
        <v>28</v>
      </c>
      <c r="D1599" s="2" t="s">
        <v>12043</v>
      </c>
      <c r="E1599" s="2">
        <f>COUNTIF(Table16[customer_id],Table13[[#This Row],[customer_id]])</f>
        <v>7</v>
      </c>
      <c r="F1599" s="13">
        <f>SUMIFS(Table16[Purchase_history],Table16[customer_id],Table13[[#This Row],[customer_id]])</f>
        <v>17856.53</v>
      </c>
      <c r="G1599" s="20">
        <v>44296</v>
      </c>
      <c r="H1599" s="21">
        <v>44951</v>
      </c>
      <c r="I1599" s="15">
        <f>(Table134[[#This Row],[Last_Day]]-Table134[[#This Row],[First_Day]]+1)/365</f>
        <v>1.7972602739726027</v>
      </c>
      <c r="J1599" s="59">
        <f>Table134[[#This Row],[number_of_purchases]]/Table134[[#This Row],[customer_total_years]]</f>
        <v>3.8948170731707319</v>
      </c>
      <c r="K1599" s="13">
        <f>Table134[[#This Row],[purchase_history]]/Table134[[#This Row],[number_of_purchases]]</f>
        <v>2550.9328571428568</v>
      </c>
      <c r="L1599" s="2">
        <f>IF(YEAR(Table134[[#This Row],[Last_Day]])=2021,5,IF(YEAR(Table134[[#This Row],[Last_Day]])=2022,7,IF(YEAR(Table134[[#This Row],[Last_Day]])=2023,10,"Không xác định")))</f>
        <v>10</v>
      </c>
      <c r="M1599" s="15">
        <f>Table134[[#This Row],[avg_number_of_purchases]]*Table1345[[#This Row],[avg_purchase_value]]*Table1345[[#This Row],[expected_lifespan]]</f>
        <v>99354.168445121933</v>
      </c>
      <c r="N1599" t="s">
        <v>12042</v>
      </c>
    </row>
    <row r="1600" spans="1:14" x14ac:dyDescent="0.3">
      <c r="A1600" s="2" t="s">
        <v>1598</v>
      </c>
      <c r="B1600" s="2" t="s">
        <v>12045</v>
      </c>
      <c r="C1600" s="2">
        <v>46</v>
      </c>
      <c r="D1600" s="2" t="s">
        <v>12041</v>
      </c>
      <c r="E1600" s="2">
        <f>COUNTIF(Table16[customer_id],Table13[[#This Row],[customer_id]])</f>
        <v>3</v>
      </c>
      <c r="F1600" s="13">
        <f>SUMIFS(Table16[Purchase_history],Table16[customer_id],Table13[[#This Row],[customer_id]])</f>
        <v>1513.19</v>
      </c>
      <c r="G1600" s="20">
        <v>44657</v>
      </c>
      <c r="H1600" s="21">
        <v>44949</v>
      </c>
      <c r="I1600" s="15">
        <f>(Table134[[#This Row],[Last_Day]]-Table134[[#This Row],[First_Day]]+1)/365</f>
        <v>0.80273972602739729</v>
      </c>
      <c r="J1600" s="59">
        <f>Table134[[#This Row],[number_of_purchases]]/Table134[[#This Row],[customer_total_years]]</f>
        <v>3.7372013651877132</v>
      </c>
      <c r="K1600" s="13">
        <f>Table134[[#This Row],[purchase_history]]/Table134[[#This Row],[number_of_purchases]]</f>
        <v>504.3966666666667</v>
      </c>
      <c r="L1600" s="2">
        <f>IF(YEAR(Table134[[#This Row],[Last_Day]])=2021,5,IF(YEAR(Table134[[#This Row],[Last_Day]])=2022,7,IF(YEAR(Table134[[#This Row],[Last_Day]])=2023,10,"Không xác định")))</f>
        <v>10</v>
      </c>
      <c r="M1600" s="15">
        <f>Table134[[#This Row],[avg_number_of_purchases]]*Table1345[[#This Row],[avg_purchase_value]]*Table1345[[#This Row],[expected_lifespan]]</f>
        <v>18850.319112627989</v>
      </c>
      <c r="N1600" t="s">
        <v>12046</v>
      </c>
    </row>
    <row r="1601" spans="1:14" x14ac:dyDescent="0.3">
      <c r="A1601" s="2" t="s">
        <v>1599</v>
      </c>
      <c r="B1601" s="2" t="s">
        <v>12045</v>
      </c>
      <c r="C1601" s="2">
        <v>28</v>
      </c>
      <c r="D1601" s="2" t="s">
        <v>12049</v>
      </c>
      <c r="E1601" s="2">
        <f>COUNTIF(Table16[customer_id],Table13[[#This Row],[customer_id]])</f>
        <v>6</v>
      </c>
      <c r="F1601" s="13">
        <f>SUMIFS(Table16[Purchase_history],Table16[customer_id],Table13[[#This Row],[customer_id]])</f>
        <v>18605.059999999998</v>
      </c>
      <c r="G1601" s="20">
        <v>44408</v>
      </c>
      <c r="H1601" s="21">
        <v>44693</v>
      </c>
      <c r="I1601" s="15">
        <f>(Table134[[#This Row],[Last_Day]]-Table134[[#This Row],[First_Day]]+1)/365</f>
        <v>0.78356164383561644</v>
      </c>
      <c r="J1601" s="59">
        <f>Table134[[#This Row],[number_of_purchases]]/Table134[[#This Row],[customer_total_years]]</f>
        <v>7.6573426573426575</v>
      </c>
      <c r="K1601" s="13">
        <f>Table134[[#This Row],[purchase_history]]/Table134[[#This Row],[number_of_purchases]]</f>
        <v>3100.8433333333328</v>
      </c>
      <c r="L1601" s="2">
        <f>IF(YEAR(Table134[[#This Row],[Last_Day]])=2021,5,IF(YEAR(Table134[[#This Row],[Last_Day]])=2022,7,IF(YEAR(Table134[[#This Row],[Last_Day]])=2023,10,"Không xác định")))</f>
        <v>7</v>
      </c>
      <c r="M1601" s="15">
        <f>Table134[[#This Row],[avg_number_of_purchases]]*Table1345[[#This Row],[avg_purchase_value]]*Table1345[[#This Row],[expected_lifespan]]</f>
        <v>166209.53951048947</v>
      </c>
      <c r="N1601" t="s">
        <v>12042</v>
      </c>
    </row>
    <row r="1602" spans="1:14" x14ac:dyDescent="0.3">
      <c r="A1602" s="2" t="s">
        <v>1600</v>
      </c>
      <c r="B1602" s="2" t="s">
        <v>12040</v>
      </c>
      <c r="C1602" s="2">
        <v>22</v>
      </c>
      <c r="D1602" s="2" t="s">
        <v>12043</v>
      </c>
      <c r="E1602" s="2">
        <f>COUNTIF(Table16[customer_id],Table13[[#This Row],[customer_id]])</f>
        <v>2</v>
      </c>
      <c r="F1602" s="13">
        <f>SUMIFS(Table16[Purchase_history],Table16[customer_id],Table13[[#This Row],[customer_id]])</f>
        <v>6001.5999999999995</v>
      </c>
      <c r="G1602" s="20">
        <v>44440</v>
      </c>
      <c r="H1602" s="21">
        <v>44863</v>
      </c>
      <c r="I1602" s="15">
        <f>(Table134[[#This Row],[Last_Day]]-Table134[[#This Row],[First_Day]]+1)/365</f>
        <v>1.1616438356164382</v>
      </c>
      <c r="J1602" s="59">
        <f>Table134[[#This Row],[number_of_purchases]]/Table134[[#This Row],[customer_total_years]]</f>
        <v>1.7216981132075473</v>
      </c>
      <c r="K1602" s="13">
        <f>Table134[[#This Row],[purchase_history]]/Table134[[#This Row],[number_of_purchases]]</f>
        <v>3000.7999999999997</v>
      </c>
      <c r="L1602" s="2">
        <f>IF(YEAR(Table134[[#This Row],[Last_Day]])=2021,5,IF(YEAR(Table134[[#This Row],[Last_Day]])=2022,7,IF(YEAR(Table134[[#This Row],[Last_Day]])=2023,10,"Không xác định")))</f>
        <v>7</v>
      </c>
      <c r="M1602" s="15">
        <f>Table134[[#This Row],[avg_number_of_purchases]]*Table1345[[#This Row],[avg_purchase_value]]*Table1345[[#This Row],[expected_lifespan]]</f>
        <v>36165.301886792455</v>
      </c>
      <c r="N1602" t="s">
        <v>12044</v>
      </c>
    </row>
    <row r="1603" spans="1:14" x14ac:dyDescent="0.3">
      <c r="A1603" s="2" t="s">
        <v>1601</v>
      </c>
      <c r="B1603" s="2" t="s">
        <v>12040</v>
      </c>
      <c r="C1603" s="2">
        <v>33</v>
      </c>
      <c r="D1603" s="2" t="s">
        <v>12041</v>
      </c>
      <c r="E1603" s="2">
        <f>COUNTIF(Table16[customer_id],Table13[[#This Row],[customer_id]])</f>
        <v>4</v>
      </c>
      <c r="F1603" s="13">
        <f>SUMIFS(Table16[Purchase_history],Table16[customer_id],Table13[[#This Row],[customer_id]])</f>
        <v>20258.84</v>
      </c>
      <c r="G1603" s="20">
        <v>44232</v>
      </c>
      <c r="H1603" s="21">
        <v>44970</v>
      </c>
      <c r="I1603" s="15">
        <f>(Table134[[#This Row],[Last_Day]]-Table134[[#This Row],[First_Day]]+1)/365</f>
        <v>2.0246575342465754</v>
      </c>
      <c r="J1603" s="59">
        <f>Table134[[#This Row],[number_of_purchases]]/Table134[[#This Row],[customer_total_years]]</f>
        <v>1.9756427604871447</v>
      </c>
      <c r="K1603" s="13">
        <f>Table134[[#This Row],[purchase_history]]/Table134[[#This Row],[number_of_purchases]]</f>
        <v>5064.71</v>
      </c>
      <c r="L1603" s="2">
        <f>IF(YEAR(Table134[[#This Row],[Last_Day]])=2021,5,IF(YEAR(Table134[[#This Row],[Last_Day]])=2022,7,IF(YEAR(Table134[[#This Row],[Last_Day]])=2023,10,"Không xác định")))</f>
        <v>10</v>
      </c>
      <c r="M1603" s="15">
        <f>Table134[[#This Row],[avg_number_of_purchases]]*Table1345[[#This Row],[avg_purchase_value]]*Table1345[[#This Row],[expected_lifespan]]</f>
        <v>100060.57645466847</v>
      </c>
      <c r="N1603" t="s">
        <v>12044</v>
      </c>
    </row>
    <row r="1604" spans="1:14" x14ac:dyDescent="0.3">
      <c r="A1604" s="2" t="s">
        <v>1602</v>
      </c>
      <c r="B1604" s="2" t="s">
        <v>12040</v>
      </c>
      <c r="C1604" s="2">
        <v>18</v>
      </c>
      <c r="D1604" s="2" t="s">
        <v>12043</v>
      </c>
      <c r="E1604" s="2">
        <f>COUNTIF(Table16[customer_id],Table13[[#This Row],[customer_id]])</f>
        <v>6</v>
      </c>
      <c r="F1604" s="13">
        <f>SUMIFS(Table16[Purchase_history],Table16[customer_id],Table13[[#This Row],[customer_id]])</f>
        <v>23848.390000000003</v>
      </c>
      <c r="G1604" s="20">
        <v>44343</v>
      </c>
      <c r="H1604" s="21">
        <v>44986</v>
      </c>
      <c r="I1604" s="15">
        <f>(Table134[[#This Row],[Last_Day]]-Table134[[#This Row],[First_Day]]+1)/365</f>
        <v>1.7643835616438357</v>
      </c>
      <c r="J1604" s="59">
        <f>Table134[[#This Row],[number_of_purchases]]/Table134[[#This Row],[customer_total_years]]</f>
        <v>3.4006211180124222</v>
      </c>
      <c r="K1604" s="13">
        <f>Table134[[#This Row],[purchase_history]]/Table134[[#This Row],[number_of_purchases]]</f>
        <v>3974.731666666667</v>
      </c>
      <c r="L1604" s="2">
        <f>IF(YEAR(Table134[[#This Row],[Last_Day]])=2021,5,IF(YEAR(Table134[[#This Row],[Last_Day]])=2022,7,IF(YEAR(Table134[[#This Row],[Last_Day]])=2023,10,"Không xác định")))</f>
        <v>10</v>
      </c>
      <c r="M1604" s="15">
        <f>Table134[[#This Row],[avg_number_of_purchases]]*Table1345[[#This Row],[avg_purchase_value]]*Table1345[[#This Row],[expected_lifespan]]</f>
        <v>135165.5644409938</v>
      </c>
      <c r="N1604" t="s">
        <v>12042</v>
      </c>
    </row>
    <row r="1605" spans="1:14" x14ac:dyDescent="0.3">
      <c r="A1605" s="2" t="s">
        <v>1603</v>
      </c>
      <c r="B1605" s="2" t="s">
        <v>12040</v>
      </c>
      <c r="C1605" s="2">
        <v>30</v>
      </c>
      <c r="D1605" s="2" t="s">
        <v>12049</v>
      </c>
      <c r="E1605" s="2">
        <f>COUNTIF(Table16[customer_id],Table13[[#This Row],[customer_id]])</f>
        <v>5</v>
      </c>
      <c r="F1605" s="13">
        <f>SUMIFS(Table16[Purchase_history],Table16[customer_id],Table13[[#This Row],[customer_id]])</f>
        <v>25207.01</v>
      </c>
      <c r="G1605" s="20">
        <v>44377</v>
      </c>
      <c r="H1605" s="21">
        <v>44942</v>
      </c>
      <c r="I1605" s="15">
        <f>(Table134[[#This Row],[Last_Day]]-Table134[[#This Row],[First_Day]]+1)/365</f>
        <v>1.5506849315068494</v>
      </c>
      <c r="J1605" s="59">
        <f>Table134[[#This Row],[number_of_purchases]]/Table134[[#This Row],[customer_total_years]]</f>
        <v>3.2243816254416959</v>
      </c>
      <c r="K1605" s="13">
        <f>Table134[[#This Row],[purchase_history]]/Table134[[#This Row],[number_of_purchases]]</f>
        <v>5041.402</v>
      </c>
      <c r="L1605" s="2">
        <f>IF(YEAR(Table134[[#This Row],[Last_Day]])=2021,5,IF(YEAR(Table134[[#This Row],[Last_Day]])=2022,7,IF(YEAR(Table134[[#This Row],[Last_Day]])=2023,10,"Không xác định")))</f>
        <v>10</v>
      </c>
      <c r="M1605" s="15">
        <f>Table134[[#This Row],[avg_number_of_purchases]]*Table1345[[#This Row],[avg_purchase_value]]*Table1345[[#This Row],[expected_lifespan]]</f>
        <v>162554.03975265016</v>
      </c>
      <c r="N1605" t="s">
        <v>12047</v>
      </c>
    </row>
    <row r="1606" spans="1:14" x14ac:dyDescent="0.3">
      <c r="A1606" s="2" t="s">
        <v>1604</v>
      </c>
      <c r="B1606" s="2" t="s">
        <v>12045</v>
      </c>
      <c r="C1606" s="2">
        <v>44</v>
      </c>
      <c r="D1606" s="2" t="s">
        <v>12041</v>
      </c>
      <c r="E1606" s="2">
        <f>COUNTIF(Table16[customer_id],Table13[[#This Row],[customer_id]])</f>
        <v>2</v>
      </c>
      <c r="F1606" s="13">
        <f>SUMIFS(Table16[Purchase_history],Table16[customer_id],Table13[[#This Row],[customer_id]])</f>
        <v>7502</v>
      </c>
      <c r="G1606" s="20">
        <v>44326</v>
      </c>
      <c r="H1606" s="21">
        <v>44482</v>
      </c>
      <c r="I1606" s="15">
        <f>(Table134[[#This Row],[Last_Day]]-Table134[[#This Row],[First_Day]]+1)/365</f>
        <v>0.43013698630136987</v>
      </c>
      <c r="J1606" s="59">
        <f>Table134[[#This Row],[number_of_purchases]]/Table134[[#This Row],[customer_total_years]]</f>
        <v>4.6496815286624207</v>
      </c>
      <c r="K1606" s="13">
        <f>Table134[[#This Row],[purchase_history]]/Table134[[#This Row],[number_of_purchases]]</f>
        <v>3751</v>
      </c>
      <c r="L1606" s="2">
        <f>IF(YEAR(Table134[[#This Row],[Last_Day]])=2021,5,IF(YEAR(Table134[[#This Row],[Last_Day]])=2022,7,IF(YEAR(Table134[[#This Row],[Last_Day]])=2023,10,"Không xác định")))</f>
        <v>5</v>
      </c>
      <c r="M1606" s="15">
        <f>Table134[[#This Row],[avg_number_of_purchases]]*Table1345[[#This Row],[avg_purchase_value]]*Table1345[[#This Row],[expected_lifespan]]</f>
        <v>87204.777070063705</v>
      </c>
      <c r="N1606" t="s">
        <v>12046</v>
      </c>
    </row>
    <row r="1607" spans="1:14" x14ac:dyDescent="0.3">
      <c r="A1607" s="2" t="s">
        <v>1605</v>
      </c>
      <c r="B1607" s="2" t="s">
        <v>12040</v>
      </c>
      <c r="C1607" s="2">
        <v>65</v>
      </c>
      <c r="D1607" s="2" t="s">
        <v>12043</v>
      </c>
      <c r="E1607" s="2">
        <f>COUNTIF(Table16[customer_id],Table13[[#This Row],[customer_id]])</f>
        <v>4</v>
      </c>
      <c r="F1607" s="13">
        <f>SUMIFS(Table16[Purchase_history],Table16[customer_id],Table13[[#This Row],[customer_id]])</f>
        <v>10586.57</v>
      </c>
      <c r="G1607" s="20">
        <v>44206</v>
      </c>
      <c r="H1607" s="21">
        <v>44969</v>
      </c>
      <c r="I1607" s="15">
        <f>(Table134[[#This Row],[Last_Day]]-Table134[[#This Row],[First_Day]]+1)/365</f>
        <v>2.0931506849315067</v>
      </c>
      <c r="J1607" s="59">
        <f>Table134[[#This Row],[number_of_purchases]]/Table134[[#This Row],[customer_total_years]]</f>
        <v>1.9109947643979059</v>
      </c>
      <c r="K1607" s="13">
        <f>Table134[[#This Row],[purchase_history]]/Table134[[#This Row],[number_of_purchases]]</f>
        <v>2646.6424999999999</v>
      </c>
      <c r="L1607" s="2">
        <f>IF(YEAR(Table134[[#This Row],[Last_Day]])=2021,5,IF(YEAR(Table134[[#This Row],[Last_Day]])=2022,7,IF(YEAR(Table134[[#This Row],[Last_Day]])=2023,10,"Không xác định")))</f>
        <v>10</v>
      </c>
      <c r="M1607" s="15">
        <f>Table134[[#This Row],[avg_number_of_purchases]]*Table1345[[#This Row],[avg_purchase_value]]*Table1345[[#This Row],[expected_lifespan]]</f>
        <v>50577.199607329851</v>
      </c>
      <c r="N1607" t="s">
        <v>12046</v>
      </c>
    </row>
    <row r="1608" spans="1:14" x14ac:dyDescent="0.3">
      <c r="A1608" s="2" t="s">
        <v>1606</v>
      </c>
      <c r="B1608" s="2" t="s">
        <v>12040</v>
      </c>
      <c r="C1608" s="2">
        <v>67</v>
      </c>
      <c r="D1608" s="2" t="s">
        <v>12043</v>
      </c>
      <c r="E1608" s="2">
        <f>COUNTIF(Table16[customer_id],Table13[[#This Row],[customer_id]])</f>
        <v>3</v>
      </c>
      <c r="F1608" s="13">
        <f>SUMIFS(Table16[Purchase_history],Table16[customer_id],Table13[[#This Row],[customer_id]])</f>
        <v>1390.75</v>
      </c>
      <c r="G1608" s="20">
        <v>44443</v>
      </c>
      <c r="H1608" s="21">
        <v>44519</v>
      </c>
      <c r="I1608" s="15">
        <f>(Table134[[#This Row],[Last_Day]]-Table134[[#This Row],[First_Day]]+1)/365</f>
        <v>0.21095890410958903</v>
      </c>
      <c r="J1608" s="59">
        <f>Table134[[#This Row],[number_of_purchases]]/Table134[[#This Row],[customer_total_years]]</f>
        <v>14.220779220779221</v>
      </c>
      <c r="K1608" s="13">
        <f>Table134[[#This Row],[purchase_history]]/Table134[[#This Row],[number_of_purchases]]</f>
        <v>463.58333333333331</v>
      </c>
      <c r="L1608" s="2">
        <f>IF(YEAR(Table134[[#This Row],[Last_Day]])=2021,5,IF(YEAR(Table134[[#This Row],[Last_Day]])=2022,7,IF(YEAR(Table134[[#This Row],[Last_Day]])=2023,10,"Không xác định")))</f>
        <v>5</v>
      </c>
      <c r="M1608" s="15">
        <f>Table134[[#This Row],[avg_number_of_purchases]]*Table1345[[#This Row],[avg_purchase_value]]*Table1345[[#This Row],[expected_lifespan]]</f>
        <v>32962.581168831166</v>
      </c>
      <c r="N1608" t="s">
        <v>12046</v>
      </c>
    </row>
    <row r="1609" spans="1:14" x14ac:dyDescent="0.3">
      <c r="A1609" s="2" t="s">
        <v>1607</v>
      </c>
      <c r="B1609" s="2" t="s">
        <v>12040</v>
      </c>
      <c r="C1609" s="2">
        <v>59</v>
      </c>
      <c r="D1609" s="2" t="s">
        <v>12041</v>
      </c>
      <c r="E1609" s="2">
        <f>COUNTIF(Table16[customer_id],Table13[[#This Row],[customer_id]])</f>
        <v>5</v>
      </c>
      <c r="F1609" s="13">
        <f>SUMIFS(Table16[Purchase_history],Table16[customer_id],Table13[[#This Row],[customer_id]])</f>
        <v>13819.24</v>
      </c>
      <c r="G1609" s="20">
        <v>44250</v>
      </c>
      <c r="H1609" s="21">
        <v>44750</v>
      </c>
      <c r="I1609" s="15">
        <f>(Table134[[#This Row],[Last_Day]]-Table134[[#This Row],[First_Day]]+1)/365</f>
        <v>1.3726027397260274</v>
      </c>
      <c r="J1609" s="59">
        <f>Table134[[#This Row],[number_of_purchases]]/Table134[[#This Row],[customer_total_years]]</f>
        <v>3.6427145708582835</v>
      </c>
      <c r="K1609" s="13">
        <f>Table134[[#This Row],[purchase_history]]/Table134[[#This Row],[number_of_purchases]]</f>
        <v>2763.848</v>
      </c>
      <c r="L1609" s="2">
        <f>IF(YEAR(Table134[[#This Row],[Last_Day]])=2021,5,IF(YEAR(Table134[[#This Row],[Last_Day]])=2022,7,IF(YEAR(Table134[[#This Row],[Last_Day]])=2023,10,"Không xác định")))</f>
        <v>7</v>
      </c>
      <c r="M1609" s="15">
        <f>Table134[[#This Row],[avg_number_of_purchases]]*Table1345[[#This Row],[avg_purchase_value]]*Table1345[[#This Row],[expected_lifespan]]</f>
        <v>70475.365668662678</v>
      </c>
      <c r="N1609" t="s">
        <v>12044</v>
      </c>
    </row>
    <row r="1610" spans="1:14" x14ac:dyDescent="0.3">
      <c r="A1610" s="2" t="s">
        <v>1608</v>
      </c>
      <c r="B1610" s="2" t="s">
        <v>12045</v>
      </c>
      <c r="C1610" s="2">
        <v>24</v>
      </c>
      <c r="D1610" s="2" t="s">
        <v>12043</v>
      </c>
      <c r="E1610" s="2">
        <f>COUNTIF(Table16[customer_id],Table13[[#This Row],[customer_id]])</f>
        <v>3</v>
      </c>
      <c r="F1610" s="13">
        <f>SUMIFS(Table16[Purchase_history],Table16[customer_id],Table13[[#This Row],[customer_id]])</f>
        <v>828.65999999999985</v>
      </c>
      <c r="G1610" s="20">
        <v>44242</v>
      </c>
      <c r="H1610" s="21">
        <v>44914</v>
      </c>
      <c r="I1610" s="15">
        <f>(Table134[[#This Row],[Last_Day]]-Table134[[#This Row],[First_Day]]+1)/365</f>
        <v>1.8438356164383563</v>
      </c>
      <c r="J1610" s="59">
        <f>Table134[[#This Row],[number_of_purchases]]/Table134[[#This Row],[customer_total_years]]</f>
        <v>1.6270430906389302</v>
      </c>
      <c r="K1610" s="13">
        <f>Table134[[#This Row],[purchase_history]]/Table134[[#This Row],[number_of_purchases]]</f>
        <v>276.21999999999997</v>
      </c>
      <c r="L1610" s="2">
        <f>IF(YEAR(Table134[[#This Row],[Last_Day]])=2021,5,IF(YEAR(Table134[[#This Row],[Last_Day]])=2022,7,IF(YEAR(Table134[[#This Row],[Last_Day]])=2023,10,"Không xác định")))</f>
        <v>7</v>
      </c>
      <c r="M1610" s="15">
        <f>Table134[[#This Row],[avg_number_of_purchases]]*Table1345[[#This Row],[avg_purchase_value]]*Table1345[[#This Row],[expected_lifespan]]</f>
        <v>3145.9528974739969</v>
      </c>
      <c r="N1610" t="s">
        <v>12047</v>
      </c>
    </row>
    <row r="1611" spans="1:14" x14ac:dyDescent="0.3">
      <c r="A1611" s="2" t="s">
        <v>1609</v>
      </c>
      <c r="B1611" s="2" t="s">
        <v>12045</v>
      </c>
      <c r="C1611" s="2">
        <v>26</v>
      </c>
      <c r="D1611" s="2" t="s">
        <v>12049</v>
      </c>
      <c r="E1611" s="2">
        <f>COUNTIF(Table16[customer_id],Table13[[#This Row],[customer_id]])</f>
        <v>7</v>
      </c>
      <c r="F1611" s="13">
        <f>SUMIFS(Table16[Purchase_history],Table16[customer_id],Table13[[#This Row],[customer_id]])</f>
        <v>28717.079999999998</v>
      </c>
      <c r="G1611" s="20">
        <v>44287</v>
      </c>
      <c r="H1611" s="21">
        <v>44989</v>
      </c>
      <c r="I1611" s="15">
        <f>(Table134[[#This Row],[Last_Day]]-Table134[[#This Row],[First_Day]]+1)/365</f>
        <v>1.9260273972602739</v>
      </c>
      <c r="J1611" s="59">
        <f>Table134[[#This Row],[number_of_purchases]]/Table134[[#This Row],[customer_total_years]]</f>
        <v>3.6344238975817924</v>
      </c>
      <c r="K1611" s="13">
        <f>Table134[[#This Row],[purchase_history]]/Table134[[#This Row],[number_of_purchases]]</f>
        <v>4102.4399999999996</v>
      </c>
      <c r="L1611" s="2">
        <f>IF(YEAR(Table134[[#This Row],[Last_Day]])=2021,5,IF(YEAR(Table134[[#This Row],[Last_Day]])=2022,7,IF(YEAR(Table134[[#This Row],[Last_Day]])=2023,10,"Không xác định")))</f>
        <v>10</v>
      </c>
      <c r="M1611" s="15">
        <f>Table134[[#This Row],[avg_number_of_purchases]]*Table1345[[#This Row],[avg_purchase_value]]*Table1345[[#This Row],[expected_lifespan]]</f>
        <v>149100.05974395445</v>
      </c>
      <c r="N1611" t="s">
        <v>12042</v>
      </c>
    </row>
    <row r="1612" spans="1:14" x14ac:dyDescent="0.3">
      <c r="A1612" s="2" t="s">
        <v>1610</v>
      </c>
      <c r="B1612" s="2" t="s">
        <v>12045</v>
      </c>
      <c r="C1612" s="2">
        <v>21</v>
      </c>
      <c r="D1612" s="2" t="s">
        <v>12043</v>
      </c>
      <c r="E1612" s="2">
        <f>COUNTIF(Table16[customer_id],Table13[[#This Row],[customer_id]])</f>
        <v>5</v>
      </c>
      <c r="F1612" s="13">
        <f>SUMIFS(Table16[Purchase_history],Table16[customer_id],Table13[[#This Row],[customer_id]])</f>
        <v>22853</v>
      </c>
      <c r="G1612" s="20">
        <v>44396</v>
      </c>
      <c r="H1612" s="21">
        <v>44916</v>
      </c>
      <c r="I1612" s="15">
        <f>(Table134[[#This Row],[Last_Day]]-Table134[[#This Row],[First_Day]]+1)/365</f>
        <v>1.4273972602739726</v>
      </c>
      <c r="J1612" s="59">
        <f>Table134[[#This Row],[number_of_purchases]]/Table134[[#This Row],[customer_total_years]]</f>
        <v>3.5028790786948174</v>
      </c>
      <c r="K1612" s="13">
        <f>Table134[[#This Row],[purchase_history]]/Table134[[#This Row],[number_of_purchases]]</f>
        <v>4570.6000000000004</v>
      </c>
      <c r="L1612" s="2">
        <f>IF(YEAR(Table134[[#This Row],[Last_Day]])=2021,5,IF(YEAR(Table134[[#This Row],[Last_Day]])=2022,7,IF(YEAR(Table134[[#This Row],[Last_Day]])=2023,10,"Không xác định")))</f>
        <v>7</v>
      </c>
      <c r="M1612" s="15">
        <f>Table134[[#This Row],[avg_number_of_purchases]]*Table1345[[#This Row],[avg_purchase_value]]*Table1345[[#This Row],[expected_lifespan]]</f>
        <v>112071.81381957774</v>
      </c>
      <c r="N1612" t="s">
        <v>12048</v>
      </c>
    </row>
    <row r="1613" spans="1:14" x14ac:dyDescent="0.3">
      <c r="A1613" s="2" t="s">
        <v>1611</v>
      </c>
      <c r="B1613" s="2" t="s">
        <v>12040</v>
      </c>
      <c r="C1613" s="2">
        <v>40</v>
      </c>
      <c r="D1613" s="2" t="s">
        <v>12041</v>
      </c>
      <c r="E1613" s="2">
        <f>COUNTIF(Table16[customer_id],Table13[[#This Row],[customer_id]])</f>
        <v>5</v>
      </c>
      <c r="F1613" s="13">
        <f>SUMIFS(Table16[Purchase_history],Table16[customer_id],Table13[[#This Row],[customer_id]])</f>
        <v>6563.8499999999995</v>
      </c>
      <c r="G1613" s="20">
        <v>44215</v>
      </c>
      <c r="H1613" s="21">
        <v>44803</v>
      </c>
      <c r="I1613" s="15">
        <f>(Table134[[#This Row],[Last_Day]]-Table134[[#This Row],[First_Day]]+1)/365</f>
        <v>1.6136986301369862</v>
      </c>
      <c r="J1613" s="59">
        <f>Table134[[#This Row],[number_of_purchases]]/Table134[[#This Row],[customer_total_years]]</f>
        <v>3.0984719864176573</v>
      </c>
      <c r="K1613" s="13">
        <f>Table134[[#This Row],[purchase_history]]/Table134[[#This Row],[number_of_purchases]]</f>
        <v>1312.77</v>
      </c>
      <c r="L1613" s="2">
        <f>IF(YEAR(Table134[[#This Row],[Last_Day]])=2021,5,IF(YEAR(Table134[[#This Row],[Last_Day]])=2022,7,IF(YEAR(Table134[[#This Row],[Last_Day]])=2023,10,"Không xác định")))</f>
        <v>7</v>
      </c>
      <c r="M1613" s="15">
        <f>Table134[[#This Row],[avg_number_of_purchases]]*Table1345[[#This Row],[avg_purchase_value]]*Table1345[[#This Row],[expected_lifespan]]</f>
        <v>28473.067487266555</v>
      </c>
      <c r="N1613" t="s">
        <v>12046</v>
      </c>
    </row>
    <row r="1614" spans="1:14" x14ac:dyDescent="0.3">
      <c r="A1614" s="2" t="s">
        <v>1612</v>
      </c>
      <c r="B1614" s="2" t="s">
        <v>12040</v>
      </c>
      <c r="C1614" s="2">
        <v>64</v>
      </c>
      <c r="D1614" s="2" t="s">
        <v>12049</v>
      </c>
      <c r="E1614" s="2">
        <f>COUNTIF(Table16[customer_id],Table13[[#This Row],[customer_id]])</f>
        <v>7</v>
      </c>
      <c r="F1614" s="13">
        <f>SUMIFS(Table16[Purchase_history],Table16[customer_id],Table13[[#This Row],[customer_id]])</f>
        <v>12500.62</v>
      </c>
      <c r="G1614" s="20">
        <v>44231</v>
      </c>
      <c r="H1614" s="21">
        <v>44956</v>
      </c>
      <c r="I1614" s="15">
        <f>(Table134[[#This Row],[Last_Day]]-Table134[[#This Row],[First_Day]]+1)/365</f>
        <v>1.989041095890411</v>
      </c>
      <c r="J1614" s="59">
        <f>Table134[[#This Row],[number_of_purchases]]/Table134[[#This Row],[customer_total_years]]</f>
        <v>3.5192837465564737</v>
      </c>
      <c r="K1614" s="13">
        <f>Table134[[#This Row],[purchase_history]]/Table134[[#This Row],[number_of_purchases]]</f>
        <v>1785.8028571428572</v>
      </c>
      <c r="L1614" s="2">
        <f>IF(YEAR(Table134[[#This Row],[Last_Day]])=2021,5,IF(YEAR(Table134[[#This Row],[Last_Day]])=2022,7,IF(YEAR(Table134[[#This Row],[Last_Day]])=2023,10,"Không xác định")))</f>
        <v>10</v>
      </c>
      <c r="M1614" s="15">
        <f>Table134[[#This Row],[avg_number_of_purchases]]*Table1345[[#This Row],[avg_purchase_value]]*Table1345[[#This Row],[expected_lifespan]]</f>
        <v>62847.469696969696</v>
      </c>
      <c r="N1614" t="s">
        <v>12047</v>
      </c>
    </row>
    <row r="1615" spans="1:14" x14ac:dyDescent="0.3">
      <c r="A1615" s="2" t="s">
        <v>1613</v>
      </c>
      <c r="B1615" s="2" t="s">
        <v>12040</v>
      </c>
      <c r="C1615" s="2">
        <v>67</v>
      </c>
      <c r="D1615" s="2" t="s">
        <v>12043</v>
      </c>
      <c r="E1615" s="2">
        <f>COUNTIF(Table16[customer_id],Table13[[#This Row],[customer_id]])</f>
        <v>3</v>
      </c>
      <c r="F1615" s="13">
        <f>SUMIFS(Table16[Purchase_history],Table16[customer_id],Table13[[#This Row],[customer_id]])</f>
        <v>28950.760000000002</v>
      </c>
      <c r="G1615" s="20">
        <v>44564</v>
      </c>
      <c r="H1615" s="21">
        <v>44800</v>
      </c>
      <c r="I1615" s="15">
        <f>(Table134[[#This Row],[Last_Day]]-Table134[[#This Row],[First_Day]]+1)/365</f>
        <v>0.64931506849315068</v>
      </c>
      <c r="J1615" s="59">
        <f>Table134[[#This Row],[number_of_purchases]]/Table134[[#This Row],[customer_total_years]]</f>
        <v>4.6202531645569618</v>
      </c>
      <c r="K1615" s="13">
        <f>Table134[[#This Row],[purchase_history]]/Table134[[#This Row],[number_of_purchases]]</f>
        <v>9650.253333333334</v>
      </c>
      <c r="L1615" s="2">
        <f>IF(YEAR(Table134[[#This Row],[Last_Day]])=2021,5,IF(YEAR(Table134[[#This Row],[Last_Day]])=2022,7,IF(YEAR(Table134[[#This Row],[Last_Day]])=2023,10,"Không xác định")))</f>
        <v>7</v>
      </c>
      <c r="M1615" s="15">
        <f>Table134[[#This Row],[avg_number_of_purchases]]*Table1345[[#This Row],[avg_purchase_value]]*Table1345[[#This Row],[expected_lifespan]]</f>
        <v>312106.29451476794</v>
      </c>
      <c r="N1615" t="s">
        <v>12048</v>
      </c>
    </row>
    <row r="1616" spans="1:14" x14ac:dyDescent="0.3">
      <c r="A1616" s="2" t="s">
        <v>1614</v>
      </c>
      <c r="B1616" s="2" t="s">
        <v>12040</v>
      </c>
      <c r="C1616" s="2">
        <v>63</v>
      </c>
      <c r="D1616" s="2" t="s">
        <v>12041</v>
      </c>
      <c r="E1616" s="2">
        <f>COUNTIF(Table16[customer_id],Table13[[#This Row],[customer_id]])</f>
        <v>6</v>
      </c>
      <c r="F1616" s="13">
        <f>SUMIFS(Table16[Purchase_history],Table16[customer_id],Table13[[#This Row],[customer_id]])</f>
        <v>12212.77</v>
      </c>
      <c r="G1616" s="20">
        <v>44210</v>
      </c>
      <c r="H1616" s="21">
        <v>44970</v>
      </c>
      <c r="I1616" s="15">
        <f>(Table134[[#This Row],[Last_Day]]-Table134[[#This Row],[First_Day]]+1)/365</f>
        <v>2.0849315068493151</v>
      </c>
      <c r="J1616" s="59">
        <f>Table134[[#This Row],[number_of_purchases]]/Table134[[#This Row],[customer_total_years]]</f>
        <v>2.8777923784494086</v>
      </c>
      <c r="K1616" s="13">
        <f>Table134[[#This Row],[purchase_history]]/Table134[[#This Row],[number_of_purchases]]</f>
        <v>2035.4616666666668</v>
      </c>
      <c r="L1616" s="2">
        <f>IF(YEAR(Table134[[#This Row],[Last_Day]])=2021,5,IF(YEAR(Table134[[#This Row],[Last_Day]])=2022,7,IF(YEAR(Table134[[#This Row],[Last_Day]])=2023,10,"Không xác định")))</f>
        <v>10</v>
      </c>
      <c r="M1616" s="15">
        <f>Table134[[#This Row],[avg_number_of_purchases]]*Table1345[[#This Row],[avg_purchase_value]]*Table1345[[#This Row],[expected_lifespan]]</f>
        <v>58576.360709592642</v>
      </c>
      <c r="N1616" t="s">
        <v>12047</v>
      </c>
    </row>
    <row r="1617" spans="1:14" x14ac:dyDescent="0.3">
      <c r="A1617" s="2" t="s">
        <v>1615</v>
      </c>
      <c r="B1617" s="2" t="s">
        <v>12045</v>
      </c>
      <c r="C1617" s="2">
        <v>68</v>
      </c>
      <c r="D1617" s="2" t="s">
        <v>12043</v>
      </c>
      <c r="E1617" s="2">
        <f>COUNTIF(Table16[customer_id],Table13[[#This Row],[customer_id]])</f>
        <v>6</v>
      </c>
      <c r="F1617" s="13">
        <f>SUMIFS(Table16[Purchase_history],Table16[customer_id],Table13[[#This Row],[customer_id]])</f>
        <v>36153.370000000003</v>
      </c>
      <c r="G1617" s="20">
        <v>44336</v>
      </c>
      <c r="H1617" s="21">
        <v>44724</v>
      </c>
      <c r="I1617" s="15">
        <f>(Table134[[#This Row],[Last_Day]]-Table134[[#This Row],[First_Day]]+1)/365</f>
        <v>1.0657534246575342</v>
      </c>
      <c r="J1617" s="59">
        <f>Table134[[#This Row],[number_of_purchases]]/Table134[[#This Row],[customer_total_years]]</f>
        <v>5.6298200514138816</v>
      </c>
      <c r="K1617" s="13">
        <f>Table134[[#This Row],[purchase_history]]/Table134[[#This Row],[number_of_purchases]]</f>
        <v>6025.5616666666674</v>
      </c>
      <c r="L1617" s="2">
        <f>IF(YEAR(Table134[[#This Row],[Last_Day]])=2021,5,IF(YEAR(Table134[[#This Row],[Last_Day]])=2022,7,IF(YEAR(Table134[[#This Row],[Last_Day]])=2023,10,"Không xác định")))</f>
        <v>7</v>
      </c>
      <c r="M1617" s="15">
        <f>Table134[[#This Row],[avg_number_of_purchases]]*Table1345[[#This Row],[avg_purchase_value]]*Table1345[[#This Row],[expected_lifespan]]</f>
        <v>237459.79524421596</v>
      </c>
      <c r="N1617" t="s">
        <v>12046</v>
      </c>
    </row>
    <row r="1618" spans="1:14" x14ac:dyDescent="0.3">
      <c r="A1618" s="2" t="s">
        <v>1616</v>
      </c>
      <c r="B1618" s="2" t="s">
        <v>12040</v>
      </c>
      <c r="C1618" s="2">
        <v>46</v>
      </c>
      <c r="D1618" s="2" t="s">
        <v>12043</v>
      </c>
      <c r="E1618" s="2">
        <f>COUNTIF(Table16[customer_id],Table13[[#This Row],[customer_id]])</f>
        <v>5</v>
      </c>
      <c r="F1618" s="13">
        <f>SUMIFS(Table16[Purchase_history],Table16[customer_id],Table13[[#This Row],[customer_id]])</f>
        <v>15654.560000000001</v>
      </c>
      <c r="G1618" s="20">
        <v>44241</v>
      </c>
      <c r="H1618" s="21">
        <v>44764</v>
      </c>
      <c r="I1618" s="15">
        <f>(Table134[[#This Row],[Last_Day]]-Table134[[#This Row],[First_Day]]+1)/365</f>
        <v>1.4356164383561645</v>
      </c>
      <c r="J1618" s="59">
        <f>Table134[[#This Row],[number_of_purchases]]/Table134[[#This Row],[customer_total_years]]</f>
        <v>3.4828244274809159</v>
      </c>
      <c r="K1618" s="13">
        <f>Table134[[#This Row],[purchase_history]]/Table134[[#This Row],[number_of_purchases]]</f>
        <v>3130.9120000000003</v>
      </c>
      <c r="L1618" s="2">
        <f>IF(YEAR(Table134[[#This Row],[Last_Day]])=2021,5,IF(YEAR(Table134[[#This Row],[Last_Day]])=2022,7,IF(YEAR(Table134[[#This Row],[Last_Day]])=2023,10,"Không xác định")))</f>
        <v>7</v>
      </c>
      <c r="M1618" s="15">
        <f>Table134[[#This Row],[avg_number_of_purchases]]*Table1345[[#This Row],[avg_purchase_value]]*Table1345[[#This Row],[expected_lifespan]]</f>
        <v>76330.917557251902</v>
      </c>
      <c r="N1618" t="s">
        <v>12047</v>
      </c>
    </row>
    <row r="1619" spans="1:14" x14ac:dyDescent="0.3">
      <c r="A1619" s="2" t="s">
        <v>1617</v>
      </c>
      <c r="B1619" s="2" t="s">
        <v>12040</v>
      </c>
      <c r="C1619" s="2">
        <v>24</v>
      </c>
      <c r="D1619" s="2" t="s">
        <v>12043</v>
      </c>
      <c r="E1619" s="2">
        <f>COUNTIF(Table16[customer_id],Table13[[#This Row],[customer_id]])</f>
        <v>5</v>
      </c>
      <c r="F1619" s="13">
        <f>SUMIFS(Table16[Purchase_history],Table16[customer_id],Table13[[#This Row],[customer_id]])</f>
        <v>36997.65</v>
      </c>
      <c r="G1619" s="20">
        <v>44306</v>
      </c>
      <c r="H1619" s="21">
        <v>44471</v>
      </c>
      <c r="I1619" s="15">
        <f>(Table134[[#This Row],[Last_Day]]-Table134[[#This Row],[First_Day]]+1)/365</f>
        <v>0.45479452054794522</v>
      </c>
      <c r="J1619" s="59">
        <f>Table134[[#This Row],[number_of_purchases]]/Table134[[#This Row],[customer_total_years]]</f>
        <v>10.993975903614457</v>
      </c>
      <c r="K1619" s="13">
        <f>Table134[[#This Row],[purchase_history]]/Table134[[#This Row],[number_of_purchases]]</f>
        <v>7399.5300000000007</v>
      </c>
      <c r="L1619" s="2">
        <f>IF(YEAR(Table134[[#This Row],[Last_Day]])=2021,5,IF(YEAR(Table134[[#This Row],[Last_Day]])=2022,7,IF(YEAR(Table134[[#This Row],[Last_Day]])=2023,10,"Không xác định")))</f>
        <v>5</v>
      </c>
      <c r="M1619" s="15">
        <f>Table134[[#This Row],[avg_number_of_purchases]]*Table1345[[#This Row],[avg_purchase_value]]*Table1345[[#This Row],[expected_lifespan]]</f>
        <v>406751.27259036148</v>
      </c>
      <c r="N1619" t="s">
        <v>12044</v>
      </c>
    </row>
    <row r="1620" spans="1:14" x14ac:dyDescent="0.3">
      <c r="A1620" s="2" t="s">
        <v>1618</v>
      </c>
      <c r="B1620" s="2" t="s">
        <v>12040</v>
      </c>
      <c r="C1620" s="2">
        <v>51</v>
      </c>
      <c r="D1620" s="2" t="s">
        <v>12043</v>
      </c>
      <c r="E1620" s="2">
        <f>COUNTIF(Table16[customer_id],Table13[[#This Row],[customer_id]])</f>
        <v>4</v>
      </c>
      <c r="F1620" s="13">
        <f>SUMIFS(Table16[Purchase_history],Table16[customer_id],Table13[[#This Row],[customer_id]])</f>
        <v>5758.37</v>
      </c>
      <c r="G1620" s="20">
        <v>44282</v>
      </c>
      <c r="H1620" s="21">
        <v>44788</v>
      </c>
      <c r="I1620" s="15">
        <f>(Table134[[#This Row],[Last_Day]]-Table134[[#This Row],[First_Day]]+1)/365</f>
        <v>1.3890410958904109</v>
      </c>
      <c r="J1620" s="59">
        <f>Table134[[#This Row],[number_of_purchases]]/Table134[[#This Row],[customer_total_years]]</f>
        <v>2.8796844181459567</v>
      </c>
      <c r="K1620" s="13">
        <f>Table134[[#This Row],[purchase_history]]/Table134[[#This Row],[number_of_purchases]]</f>
        <v>1439.5925</v>
      </c>
      <c r="L1620" s="2">
        <f>IF(YEAR(Table134[[#This Row],[Last_Day]])=2021,5,IF(YEAR(Table134[[#This Row],[Last_Day]])=2022,7,IF(YEAR(Table134[[#This Row],[Last_Day]])=2023,10,"Không xác định")))</f>
        <v>7</v>
      </c>
      <c r="M1620" s="15">
        <f>Table134[[#This Row],[avg_number_of_purchases]]*Table1345[[#This Row],[avg_purchase_value]]*Table1345[[#This Row],[expected_lifespan]]</f>
        <v>29019.004635108478</v>
      </c>
      <c r="N1620" t="s">
        <v>12044</v>
      </c>
    </row>
    <row r="1621" spans="1:14" x14ac:dyDescent="0.3">
      <c r="A1621" s="2" t="s">
        <v>1619</v>
      </c>
      <c r="B1621" s="2" t="s">
        <v>12040</v>
      </c>
      <c r="C1621" s="2">
        <v>23</v>
      </c>
      <c r="D1621" s="2" t="s">
        <v>12043</v>
      </c>
      <c r="E1621" s="2">
        <f>COUNTIF(Table16[customer_id],Table13[[#This Row],[customer_id]])</f>
        <v>1</v>
      </c>
      <c r="F1621" s="13">
        <f>SUMIFS(Table16[Purchase_history],Table16[customer_id],Table13[[#This Row],[customer_id]])</f>
        <v>573.44000000000005</v>
      </c>
      <c r="G1621" s="20">
        <v>44642</v>
      </c>
      <c r="H1621" s="21">
        <v>44642</v>
      </c>
      <c r="I1621" s="15">
        <f>(Table134[[#This Row],[Last_Day]]-Table134[[#This Row],[First_Day]]+1)/365</f>
        <v>2.7397260273972603E-3</v>
      </c>
      <c r="J1621" s="59">
        <f>Table134[[#This Row],[number_of_purchases]]/Table134[[#This Row],[customer_total_years]]</f>
        <v>365</v>
      </c>
      <c r="K1621" s="13">
        <f>Table134[[#This Row],[purchase_history]]/Table134[[#This Row],[number_of_purchases]]</f>
        <v>573.44000000000005</v>
      </c>
      <c r="L1621" s="2">
        <f>IF(YEAR(Table134[[#This Row],[Last_Day]])=2021,5,IF(YEAR(Table134[[#This Row],[Last_Day]])=2022,7,IF(YEAR(Table134[[#This Row],[Last_Day]])=2023,10,"Không xác định")))</f>
        <v>7</v>
      </c>
      <c r="M1621" s="15">
        <f>Table134[[#This Row],[avg_number_of_purchases]]*Table1345[[#This Row],[avg_purchase_value]]*Table1345[[#This Row],[expected_lifespan]]</f>
        <v>1465139.2</v>
      </c>
      <c r="N1621" t="s">
        <v>12046</v>
      </c>
    </row>
    <row r="1622" spans="1:14" x14ac:dyDescent="0.3">
      <c r="A1622" s="2" t="s">
        <v>1620</v>
      </c>
      <c r="B1622" s="2" t="s">
        <v>12040</v>
      </c>
      <c r="C1622" s="2">
        <v>64</v>
      </c>
      <c r="D1622" s="2" t="s">
        <v>12049</v>
      </c>
      <c r="E1622" s="2">
        <f>COUNTIF(Table16[customer_id],Table13[[#This Row],[customer_id]])</f>
        <v>6</v>
      </c>
      <c r="F1622" s="13">
        <f>SUMIFS(Table16[Purchase_history],Table16[customer_id],Table13[[#This Row],[customer_id]])</f>
        <v>2469.3899999999994</v>
      </c>
      <c r="G1622" s="20">
        <v>44339</v>
      </c>
      <c r="H1622" s="21">
        <v>44952</v>
      </c>
      <c r="I1622" s="15">
        <f>(Table134[[#This Row],[Last_Day]]-Table134[[#This Row],[First_Day]]+1)/365</f>
        <v>1.6821917808219178</v>
      </c>
      <c r="J1622" s="59">
        <f>Table134[[#This Row],[number_of_purchases]]/Table134[[#This Row],[customer_total_years]]</f>
        <v>3.5667752442996745</v>
      </c>
      <c r="K1622" s="13">
        <f>Table134[[#This Row],[purchase_history]]/Table134[[#This Row],[number_of_purchases]]</f>
        <v>411.56499999999988</v>
      </c>
      <c r="L1622" s="2">
        <f>IF(YEAR(Table134[[#This Row],[Last_Day]])=2021,5,IF(YEAR(Table134[[#This Row],[Last_Day]])=2022,7,IF(YEAR(Table134[[#This Row],[Last_Day]])=2023,10,"Không xác định")))</f>
        <v>10</v>
      </c>
      <c r="M1622" s="15">
        <f>Table134[[#This Row],[avg_number_of_purchases]]*Table1345[[#This Row],[avg_purchase_value]]*Table1345[[#This Row],[expected_lifespan]]</f>
        <v>14679.59853420195</v>
      </c>
      <c r="N1622" t="s">
        <v>12047</v>
      </c>
    </row>
    <row r="1623" spans="1:14" x14ac:dyDescent="0.3">
      <c r="A1623" s="2" t="s">
        <v>1621</v>
      </c>
      <c r="B1623" s="2" t="s">
        <v>12045</v>
      </c>
      <c r="C1623" s="2">
        <v>68</v>
      </c>
      <c r="D1623" s="2" t="s">
        <v>12041</v>
      </c>
      <c r="E1623" s="2">
        <f>COUNTIF(Table16[customer_id],Table13[[#This Row],[customer_id]])</f>
        <v>3</v>
      </c>
      <c r="F1623" s="13">
        <f>SUMIFS(Table16[Purchase_history],Table16[customer_id],Table13[[#This Row],[customer_id]])</f>
        <v>2543.5699999999997</v>
      </c>
      <c r="G1623" s="20">
        <v>44663</v>
      </c>
      <c r="H1623" s="21">
        <v>44900</v>
      </c>
      <c r="I1623" s="15">
        <f>(Table134[[#This Row],[Last_Day]]-Table134[[#This Row],[First_Day]]+1)/365</f>
        <v>0.65205479452054793</v>
      </c>
      <c r="J1623" s="59">
        <f>Table134[[#This Row],[number_of_purchases]]/Table134[[#This Row],[customer_total_years]]</f>
        <v>4.6008403361344543</v>
      </c>
      <c r="K1623" s="13">
        <f>Table134[[#This Row],[purchase_history]]/Table134[[#This Row],[number_of_purchases]]</f>
        <v>847.85666666666657</v>
      </c>
      <c r="L1623" s="2">
        <f>IF(YEAR(Table134[[#This Row],[Last_Day]])=2021,5,IF(YEAR(Table134[[#This Row],[Last_Day]])=2022,7,IF(YEAR(Table134[[#This Row],[Last_Day]])=2023,10,"Không xác định")))</f>
        <v>7</v>
      </c>
      <c r="M1623" s="15">
        <f>Table134[[#This Row],[avg_number_of_purchases]]*Table1345[[#This Row],[avg_purchase_value]]*Table1345[[#This Row],[expected_lifespan]]</f>
        <v>27305.972058823529</v>
      </c>
      <c r="N1623" t="s">
        <v>12046</v>
      </c>
    </row>
    <row r="1624" spans="1:14" x14ac:dyDescent="0.3">
      <c r="A1624" s="2" t="s">
        <v>1622</v>
      </c>
      <c r="B1624" s="2" t="s">
        <v>12045</v>
      </c>
      <c r="C1624" s="2">
        <v>64</v>
      </c>
      <c r="D1624" s="2" t="s">
        <v>12041</v>
      </c>
      <c r="E1624" s="2">
        <f>COUNTIF(Table16[customer_id],Table13[[#This Row],[customer_id]])</f>
        <v>5</v>
      </c>
      <c r="F1624" s="13">
        <f>SUMIFS(Table16[Purchase_history],Table16[customer_id],Table13[[#This Row],[customer_id]])</f>
        <v>18692.34</v>
      </c>
      <c r="G1624" s="20">
        <v>44337</v>
      </c>
      <c r="H1624" s="21">
        <v>44930</v>
      </c>
      <c r="I1624" s="15">
        <f>(Table134[[#This Row],[Last_Day]]-Table134[[#This Row],[First_Day]]+1)/365</f>
        <v>1.6273972602739726</v>
      </c>
      <c r="J1624" s="59">
        <f>Table134[[#This Row],[number_of_purchases]]/Table134[[#This Row],[customer_total_years]]</f>
        <v>3.0723905723905722</v>
      </c>
      <c r="K1624" s="13">
        <f>Table134[[#This Row],[purchase_history]]/Table134[[#This Row],[number_of_purchases]]</f>
        <v>3738.4679999999998</v>
      </c>
      <c r="L1624" s="2">
        <f>IF(YEAR(Table134[[#This Row],[Last_Day]])=2021,5,IF(YEAR(Table134[[#This Row],[Last_Day]])=2022,7,IF(YEAR(Table134[[#This Row],[Last_Day]])=2023,10,"Không xác định")))</f>
        <v>10</v>
      </c>
      <c r="M1624" s="15">
        <f>Table134[[#This Row],[avg_number_of_purchases]]*Table1345[[#This Row],[avg_purchase_value]]*Table1345[[#This Row],[expected_lifespan]]</f>
        <v>114860.33838383837</v>
      </c>
      <c r="N1624" t="s">
        <v>12048</v>
      </c>
    </row>
    <row r="1625" spans="1:14" x14ac:dyDescent="0.3">
      <c r="A1625" s="2" t="s">
        <v>1623</v>
      </c>
      <c r="B1625" s="2" t="s">
        <v>12045</v>
      </c>
      <c r="C1625" s="2">
        <v>31</v>
      </c>
      <c r="D1625" s="2" t="s">
        <v>12043</v>
      </c>
      <c r="E1625" s="2">
        <f>COUNTIF(Table16[customer_id],Table13[[#This Row],[customer_id]])</f>
        <v>5</v>
      </c>
      <c r="F1625" s="13">
        <f>SUMIFS(Table16[Purchase_history],Table16[customer_id],Table13[[#This Row],[customer_id]])</f>
        <v>3843.04</v>
      </c>
      <c r="G1625" s="20">
        <v>44253</v>
      </c>
      <c r="H1625" s="21">
        <v>44830</v>
      </c>
      <c r="I1625" s="15">
        <f>(Table134[[#This Row],[Last_Day]]-Table134[[#This Row],[First_Day]]+1)/365</f>
        <v>1.5835616438356164</v>
      </c>
      <c r="J1625" s="59">
        <f>Table134[[#This Row],[number_of_purchases]]/Table134[[#This Row],[customer_total_years]]</f>
        <v>3.1574394463667823</v>
      </c>
      <c r="K1625" s="13">
        <f>Table134[[#This Row],[purchase_history]]/Table134[[#This Row],[number_of_purchases]]</f>
        <v>768.60799999999995</v>
      </c>
      <c r="L1625" s="2">
        <f>IF(YEAR(Table134[[#This Row],[Last_Day]])=2021,5,IF(YEAR(Table134[[#This Row],[Last_Day]])=2022,7,IF(YEAR(Table134[[#This Row],[Last_Day]])=2023,10,"Không xác định")))</f>
        <v>7</v>
      </c>
      <c r="M1625" s="15">
        <f>Table134[[#This Row],[avg_number_of_purchases]]*Table1345[[#This Row],[avg_purchase_value]]*Table1345[[#This Row],[expected_lifespan]]</f>
        <v>16987.832525951559</v>
      </c>
      <c r="N1625" t="s">
        <v>12044</v>
      </c>
    </row>
    <row r="1626" spans="1:14" x14ac:dyDescent="0.3">
      <c r="A1626" s="2" t="s">
        <v>1624</v>
      </c>
      <c r="B1626" s="2" t="s">
        <v>12040</v>
      </c>
      <c r="C1626" s="2">
        <v>44</v>
      </c>
      <c r="D1626" s="2" t="s">
        <v>12049</v>
      </c>
      <c r="E1626" s="2">
        <f>COUNTIF(Table16[customer_id],Table13[[#This Row],[customer_id]])</f>
        <v>4</v>
      </c>
      <c r="F1626" s="13">
        <f>SUMIFS(Table16[Purchase_history],Table16[customer_id],Table13[[#This Row],[customer_id]])</f>
        <v>2750.9599999999996</v>
      </c>
      <c r="G1626" s="20">
        <v>44507</v>
      </c>
      <c r="H1626" s="21">
        <v>44835</v>
      </c>
      <c r="I1626" s="15">
        <f>(Table134[[#This Row],[Last_Day]]-Table134[[#This Row],[First_Day]]+1)/365</f>
        <v>0.90136986301369859</v>
      </c>
      <c r="J1626" s="59">
        <f>Table134[[#This Row],[number_of_purchases]]/Table134[[#This Row],[customer_total_years]]</f>
        <v>4.4376899696048637</v>
      </c>
      <c r="K1626" s="13">
        <f>Table134[[#This Row],[purchase_history]]/Table134[[#This Row],[number_of_purchases]]</f>
        <v>687.7399999999999</v>
      </c>
      <c r="L1626" s="2">
        <f>IF(YEAR(Table134[[#This Row],[Last_Day]])=2021,5,IF(YEAR(Table134[[#This Row],[Last_Day]])=2022,7,IF(YEAR(Table134[[#This Row],[Last_Day]])=2023,10,"Không xác định")))</f>
        <v>7</v>
      </c>
      <c r="M1626" s="15">
        <f>Table134[[#This Row],[avg_number_of_purchases]]*Table1345[[#This Row],[avg_purchase_value]]*Table1345[[#This Row],[expected_lifespan]]</f>
        <v>21363.838297872338</v>
      </c>
      <c r="N1626" t="s">
        <v>12042</v>
      </c>
    </row>
    <row r="1627" spans="1:14" x14ac:dyDescent="0.3">
      <c r="A1627" s="2" t="s">
        <v>1625</v>
      </c>
      <c r="B1627" s="2" t="s">
        <v>12040</v>
      </c>
      <c r="C1627" s="2">
        <v>55</v>
      </c>
      <c r="D1627" s="2" t="s">
        <v>12041</v>
      </c>
      <c r="E1627" s="2">
        <f>COUNTIF(Table16[customer_id],Table13[[#This Row],[customer_id]])</f>
        <v>4</v>
      </c>
      <c r="F1627" s="13">
        <f>SUMIFS(Table16[Purchase_history],Table16[customer_id],Table13[[#This Row],[customer_id]])</f>
        <v>921.15999999999985</v>
      </c>
      <c r="G1627" s="20">
        <v>44364</v>
      </c>
      <c r="H1627" s="21">
        <v>44606</v>
      </c>
      <c r="I1627" s="15">
        <f>(Table134[[#This Row],[Last_Day]]-Table134[[#This Row],[First_Day]]+1)/365</f>
        <v>0.66575342465753429</v>
      </c>
      <c r="J1627" s="59">
        <f>Table134[[#This Row],[number_of_purchases]]/Table134[[#This Row],[customer_total_years]]</f>
        <v>6.0082304526748969</v>
      </c>
      <c r="K1627" s="13">
        <f>Table134[[#This Row],[purchase_history]]/Table134[[#This Row],[number_of_purchases]]</f>
        <v>230.28999999999996</v>
      </c>
      <c r="L1627" s="2">
        <f>IF(YEAR(Table134[[#This Row],[Last_Day]])=2021,5,IF(YEAR(Table134[[#This Row],[Last_Day]])=2022,7,IF(YEAR(Table134[[#This Row],[Last_Day]])=2023,10,"Không xác định")))</f>
        <v>7</v>
      </c>
      <c r="M1627" s="15">
        <f>Table134[[#This Row],[avg_number_of_purchases]]*Table1345[[#This Row],[avg_purchase_value]]*Table1345[[#This Row],[expected_lifespan]]</f>
        <v>9685.4477366255123</v>
      </c>
      <c r="N1627" t="s">
        <v>12046</v>
      </c>
    </row>
    <row r="1628" spans="1:14" x14ac:dyDescent="0.3">
      <c r="A1628" s="2" t="s">
        <v>1626</v>
      </c>
      <c r="B1628" s="2" t="s">
        <v>12040</v>
      </c>
      <c r="C1628" s="2">
        <v>23</v>
      </c>
      <c r="D1628" s="2" t="s">
        <v>12043</v>
      </c>
      <c r="E1628" s="2">
        <f>COUNTIF(Table16[customer_id],Table13[[#This Row],[customer_id]])</f>
        <v>8</v>
      </c>
      <c r="F1628" s="13">
        <f>SUMIFS(Table16[Purchase_history],Table16[customer_id],Table13[[#This Row],[customer_id]])</f>
        <v>22359.239999999998</v>
      </c>
      <c r="G1628" s="20">
        <v>44229</v>
      </c>
      <c r="H1628" s="21">
        <v>44929</v>
      </c>
      <c r="I1628" s="15">
        <f>(Table134[[#This Row],[Last_Day]]-Table134[[#This Row],[First_Day]]+1)/365</f>
        <v>1.9205479452054794</v>
      </c>
      <c r="J1628" s="59">
        <f>Table134[[#This Row],[number_of_purchases]]/Table134[[#This Row],[customer_total_years]]</f>
        <v>4.1654778887303854</v>
      </c>
      <c r="K1628" s="13">
        <f>Table134[[#This Row],[purchase_history]]/Table134[[#This Row],[number_of_purchases]]</f>
        <v>2794.9049999999997</v>
      </c>
      <c r="L1628" s="2">
        <f>IF(YEAR(Table134[[#This Row],[Last_Day]])=2021,5,IF(YEAR(Table134[[#This Row],[Last_Day]])=2022,7,IF(YEAR(Table134[[#This Row],[Last_Day]])=2023,10,"Không xác định")))</f>
        <v>10</v>
      </c>
      <c r="M1628" s="15">
        <f>Table134[[#This Row],[avg_number_of_purchases]]*Table1345[[#This Row],[avg_purchase_value]]*Table1345[[#This Row],[expected_lifespan]]</f>
        <v>116421.14978601996</v>
      </c>
      <c r="N1628" t="s">
        <v>12048</v>
      </c>
    </row>
    <row r="1629" spans="1:14" x14ac:dyDescent="0.3">
      <c r="A1629" s="2" t="s">
        <v>1627</v>
      </c>
      <c r="B1629" s="2" t="s">
        <v>12040</v>
      </c>
      <c r="C1629" s="2">
        <v>50</v>
      </c>
      <c r="D1629" s="2" t="s">
        <v>12043</v>
      </c>
      <c r="E1629" s="2">
        <f>COUNTIF(Table16[customer_id],Table13[[#This Row],[customer_id]])</f>
        <v>13</v>
      </c>
      <c r="F1629" s="13">
        <f>SUMIFS(Table16[Purchase_history],Table16[customer_id],Table13[[#This Row],[customer_id]])</f>
        <v>5726.17</v>
      </c>
      <c r="G1629" s="20">
        <v>44203</v>
      </c>
      <c r="H1629" s="21">
        <v>44895</v>
      </c>
      <c r="I1629" s="15">
        <f>(Table134[[#This Row],[Last_Day]]-Table134[[#This Row],[First_Day]]+1)/365</f>
        <v>1.8986301369863015</v>
      </c>
      <c r="J1629" s="59">
        <f>Table134[[#This Row],[number_of_purchases]]/Table134[[#This Row],[customer_total_years]]</f>
        <v>6.8470418470418464</v>
      </c>
      <c r="K1629" s="13">
        <f>Table134[[#This Row],[purchase_history]]/Table134[[#This Row],[number_of_purchases]]</f>
        <v>440.47461538461539</v>
      </c>
      <c r="L1629" s="2">
        <f>IF(YEAR(Table134[[#This Row],[Last_Day]])=2021,5,IF(YEAR(Table134[[#This Row],[Last_Day]])=2022,7,IF(YEAR(Table134[[#This Row],[Last_Day]])=2023,10,"Không xác định")))</f>
        <v>7</v>
      </c>
      <c r="M1629" s="15">
        <f>Table134[[#This Row],[avg_number_of_purchases]]*Table1345[[#This Row],[avg_purchase_value]]*Table1345[[#This Row],[expected_lifespan]]</f>
        <v>21111.636868686866</v>
      </c>
      <c r="N1629" t="s">
        <v>12042</v>
      </c>
    </row>
    <row r="1630" spans="1:14" x14ac:dyDescent="0.3">
      <c r="A1630" s="2" t="s">
        <v>1628</v>
      </c>
      <c r="B1630" s="2" t="s">
        <v>12040</v>
      </c>
      <c r="C1630" s="2">
        <v>19</v>
      </c>
      <c r="D1630" s="2" t="s">
        <v>12041</v>
      </c>
      <c r="E1630" s="2">
        <f>COUNTIF(Table16[customer_id],Table13[[#This Row],[customer_id]])</f>
        <v>4</v>
      </c>
      <c r="F1630" s="13">
        <f>SUMIFS(Table16[Purchase_history],Table16[customer_id],Table13[[#This Row],[customer_id]])</f>
        <v>22506.160000000003</v>
      </c>
      <c r="G1630" s="20">
        <v>44352</v>
      </c>
      <c r="H1630" s="21">
        <v>44664</v>
      </c>
      <c r="I1630" s="15">
        <f>(Table134[[#This Row],[Last_Day]]-Table134[[#This Row],[First_Day]]+1)/365</f>
        <v>0.8575342465753425</v>
      </c>
      <c r="J1630" s="59">
        <f>Table134[[#This Row],[number_of_purchases]]/Table134[[#This Row],[customer_total_years]]</f>
        <v>4.6645367412140573</v>
      </c>
      <c r="K1630" s="13">
        <f>Table134[[#This Row],[purchase_history]]/Table134[[#This Row],[number_of_purchases]]</f>
        <v>5626.5400000000009</v>
      </c>
      <c r="L1630" s="2">
        <f>IF(YEAR(Table134[[#This Row],[Last_Day]])=2021,5,IF(YEAR(Table134[[#This Row],[Last_Day]])=2022,7,IF(YEAR(Table134[[#This Row],[Last_Day]])=2023,10,"Không xác định")))</f>
        <v>7</v>
      </c>
      <c r="M1630" s="15">
        <f>Table134[[#This Row],[avg_number_of_purchases]]*Table1345[[#This Row],[avg_purchase_value]]*Table1345[[#This Row],[expected_lifespan]]</f>
        <v>183716.41789137383</v>
      </c>
      <c r="N1630" t="s">
        <v>12046</v>
      </c>
    </row>
    <row r="1631" spans="1:14" x14ac:dyDescent="0.3">
      <c r="A1631" s="2" t="s">
        <v>1629</v>
      </c>
      <c r="B1631" s="2" t="s">
        <v>12040</v>
      </c>
      <c r="C1631" s="2">
        <v>63</v>
      </c>
      <c r="D1631" s="2" t="s">
        <v>12049</v>
      </c>
      <c r="E1631" s="2">
        <f>COUNTIF(Table16[customer_id],Table13[[#This Row],[customer_id]])</f>
        <v>5</v>
      </c>
      <c r="F1631" s="13">
        <f>SUMIFS(Table16[Purchase_history],Table16[customer_id],Table13[[#This Row],[customer_id]])</f>
        <v>971.43000000000006</v>
      </c>
      <c r="G1631" s="20">
        <v>44238</v>
      </c>
      <c r="H1631" s="21">
        <v>44975</v>
      </c>
      <c r="I1631" s="15">
        <f>(Table134[[#This Row],[Last_Day]]-Table134[[#This Row],[First_Day]]+1)/365</f>
        <v>2.021917808219178</v>
      </c>
      <c r="J1631" s="59">
        <f>Table134[[#This Row],[number_of_purchases]]/Table134[[#This Row],[customer_total_years]]</f>
        <v>2.47289972899729</v>
      </c>
      <c r="K1631" s="13">
        <f>Table134[[#This Row],[purchase_history]]/Table134[[#This Row],[number_of_purchases]]</f>
        <v>194.286</v>
      </c>
      <c r="L1631" s="2">
        <f>IF(YEAR(Table134[[#This Row],[Last_Day]])=2021,5,IF(YEAR(Table134[[#This Row],[Last_Day]])=2022,7,IF(YEAR(Table134[[#This Row],[Last_Day]])=2023,10,"Không xác định")))</f>
        <v>10</v>
      </c>
      <c r="M1631" s="15">
        <f>Table134[[#This Row],[avg_number_of_purchases]]*Table1345[[#This Row],[avg_purchase_value]]*Table1345[[#This Row],[expected_lifespan]]</f>
        <v>4804.497967479675</v>
      </c>
      <c r="N1631" t="s">
        <v>12047</v>
      </c>
    </row>
    <row r="1632" spans="1:14" x14ac:dyDescent="0.3">
      <c r="A1632" s="2" t="s">
        <v>1630</v>
      </c>
      <c r="B1632" s="2" t="s">
        <v>12045</v>
      </c>
      <c r="C1632" s="2">
        <v>49</v>
      </c>
      <c r="D1632" s="2" t="s">
        <v>12043</v>
      </c>
      <c r="E1632" s="2">
        <f>COUNTIF(Table16[customer_id],Table13[[#This Row],[customer_id]])</f>
        <v>2</v>
      </c>
      <c r="F1632" s="13">
        <f>SUMIFS(Table16[Purchase_history],Table16[customer_id],Table13[[#This Row],[customer_id]])</f>
        <v>15004</v>
      </c>
      <c r="G1632" s="20">
        <v>44655</v>
      </c>
      <c r="H1632" s="21">
        <v>44990</v>
      </c>
      <c r="I1632" s="15">
        <f>(Table134[[#This Row],[Last_Day]]-Table134[[#This Row],[First_Day]]+1)/365</f>
        <v>0.92054794520547945</v>
      </c>
      <c r="J1632" s="59">
        <f>Table134[[#This Row],[number_of_purchases]]/Table134[[#This Row],[customer_total_years]]</f>
        <v>2.1726190476190474</v>
      </c>
      <c r="K1632" s="13">
        <f>Table134[[#This Row],[purchase_history]]/Table134[[#This Row],[number_of_purchases]]</f>
        <v>7502</v>
      </c>
      <c r="L1632" s="2">
        <f>IF(YEAR(Table134[[#This Row],[Last_Day]])=2021,5,IF(YEAR(Table134[[#This Row],[Last_Day]])=2022,7,IF(YEAR(Table134[[#This Row],[Last_Day]])=2023,10,"Không xác định")))</f>
        <v>10</v>
      </c>
      <c r="M1632" s="15">
        <f>Table134[[#This Row],[avg_number_of_purchases]]*Table1345[[#This Row],[avg_purchase_value]]*Table1345[[#This Row],[expected_lifespan]]</f>
        <v>162989.88095238095</v>
      </c>
      <c r="N1632" t="s">
        <v>12046</v>
      </c>
    </row>
    <row r="1633" spans="1:14" x14ac:dyDescent="0.3">
      <c r="A1633" s="2" t="s">
        <v>1631</v>
      </c>
      <c r="B1633" s="2" t="s">
        <v>12045</v>
      </c>
      <c r="C1633" s="2">
        <v>52</v>
      </c>
      <c r="D1633" s="2" t="s">
        <v>12043</v>
      </c>
      <c r="E1633" s="2">
        <f>COUNTIF(Table16[customer_id],Table13[[#This Row],[customer_id]])</f>
        <v>5</v>
      </c>
      <c r="F1633" s="13">
        <f>SUMIFS(Table16[Purchase_history],Table16[customer_id],Table13[[#This Row],[customer_id]])</f>
        <v>32247.57</v>
      </c>
      <c r="G1633" s="20">
        <v>44355</v>
      </c>
      <c r="H1633" s="21">
        <v>44719</v>
      </c>
      <c r="I1633" s="15">
        <f>(Table134[[#This Row],[Last_Day]]-Table134[[#This Row],[First_Day]]+1)/365</f>
        <v>1</v>
      </c>
      <c r="J1633" s="59">
        <f>Table134[[#This Row],[number_of_purchases]]/Table134[[#This Row],[customer_total_years]]</f>
        <v>5</v>
      </c>
      <c r="K1633" s="13">
        <f>Table134[[#This Row],[purchase_history]]/Table134[[#This Row],[number_of_purchases]]</f>
        <v>6449.5140000000001</v>
      </c>
      <c r="L1633" s="2">
        <f>IF(YEAR(Table134[[#This Row],[Last_Day]])=2021,5,IF(YEAR(Table134[[#This Row],[Last_Day]])=2022,7,IF(YEAR(Table134[[#This Row],[Last_Day]])=2023,10,"Không xác định")))</f>
        <v>7</v>
      </c>
      <c r="M1633" s="15">
        <f>Table134[[#This Row],[avg_number_of_purchases]]*Table1345[[#This Row],[avg_purchase_value]]*Table1345[[#This Row],[expected_lifespan]]</f>
        <v>225732.99</v>
      </c>
      <c r="N1633" t="s">
        <v>12048</v>
      </c>
    </row>
    <row r="1634" spans="1:14" x14ac:dyDescent="0.3">
      <c r="A1634" s="2" t="s">
        <v>1632</v>
      </c>
      <c r="B1634" s="2" t="s">
        <v>12045</v>
      </c>
      <c r="C1634" s="2">
        <v>66</v>
      </c>
      <c r="D1634" s="2" t="s">
        <v>12041</v>
      </c>
      <c r="E1634" s="2">
        <f>COUNTIF(Table16[customer_id],Table13[[#This Row],[customer_id]])</f>
        <v>5</v>
      </c>
      <c r="F1634" s="13">
        <f>SUMIFS(Table16[Purchase_history],Table16[customer_id],Table13[[#This Row],[customer_id]])</f>
        <v>2763.91</v>
      </c>
      <c r="G1634" s="20">
        <v>44480</v>
      </c>
      <c r="H1634" s="21">
        <v>44915</v>
      </c>
      <c r="I1634" s="15">
        <f>(Table134[[#This Row],[Last_Day]]-Table134[[#This Row],[First_Day]]+1)/365</f>
        <v>1.1945205479452055</v>
      </c>
      <c r="J1634" s="59">
        <f>Table134[[#This Row],[number_of_purchases]]/Table134[[#This Row],[customer_total_years]]</f>
        <v>4.1857798165137616</v>
      </c>
      <c r="K1634" s="13">
        <f>Table134[[#This Row],[purchase_history]]/Table134[[#This Row],[number_of_purchases]]</f>
        <v>552.78199999999993</v>
      </c>
      <c r="L1634" s="2">
        <f>IF(YEAR(Table134[[#This Row],[Last_Day]])=2021,5,IF(YEAR(Table134[[#This Row],[Last_Day]])=2022,7,IF(YEAR(Table134[[#This Row],[Last_Day]])=2023,10,"Không xác định")))</f>
        <v>7</v>
      </c>
      <c r="M1634" s="15">
        <f>Table134[[#This Row],[avg_number_of_purchases]]*Table1345[[#This Row],[avg_purchase_value]]*Table1345[[#This Row],[expected_lifespan]]</f>
        <v>16196.766169724769</v>
      </c>
      <c r="N1634" t="s">
        <v>12048</v>
      </c>
    </row>
    <row r="1635" spans="1:14" x14ac:dyDescent="0.3">
      <c r="A1635" s="2" t="s">
        <v>1633</v>
      </c>
      <c r="B1635" s="2" t="s">
        <v>12045</v>
      </c>
      <c r="C1635" s="2">
        <v>63</v>
      </c>
      <c r="D1635" s="2" t="s">
        <v>12041</v>
      </c>
      <c r="E1635" s="2">
        <f>COUNTIF(Table16[customer_id],Table13[[#This Row],[customer_id]])</f>
        <v>4</v>
      </c>
      <c r="F1635" s="13">
        <f>SUMIFS(Table16[Purchase_history],Table16[customer_id],Table13[[#This Row],[customer_id]])</f>
        <v>29408.09</v>
      </c>
      <c r="G1635" s="20">
        <v>44197</v>
      </c>
      <c r="H1635" s="21">
        <v>44982</v>
      </c>
      <c r="I1635" s="15">
        <f>(Table134[[#This Row],[Last_Day]]-Table134[[#This Row],[First_Day]]+1)/365</f>
        <v>2.1534246575342464</v>
      </c>
      <c r="J1635" s="59">
        <f>Table134[[#This Row],[number_of_purchases]]/Table134[[#This Row],[customer_total_years]]</f>
        <v>1.8575063613231553</v>
      </c>
      <c r="K1635" s="13">
        <f>Table134[[#This Row],[purchase_history]]/Table134[[#This Row],[number_of_purchases]]</f>
        <v>7352.0225</v>
      </c>
      <c r="L1635" s="2">
        <f>IF(YEAR(Table134[[#This Row],[Last_Day]])=2021,5,IF(YEAR(Table134[[#This Row],[Last_Day]])=2022,7,IF(YEAR(Table134[[#This Row],[Last_Day]])=2023,10,"Không xác định")))</f>
        <v>10</v>
      </c>
      <c r="M1635" s="15">
        <f>Table134[[#This Row],[avg_number_of_purchases]]*Table1345[[#This Row],[avg_purchase_value]]*Table1345[[#This Row],[expected_lifespan]]</f>
        <v>136564.28562340967</v>
      </c>
      <c r="N1635" t="s">
        <v>12042</v>
      </c>
    </row>
    <row r="1636" spans="1:14" x14ac:dyDescent="0.3">
      <c r="A1636" s="2" t="s">
        <v>1634</v>
      </c>
      <c r="B1636" s="2" t="s">
        <v>12045</v>
      </c>
      <c r="C1636" s="2">
        <v>56</v>
      </c>
      <c r="D1636" s="2" t="s">
        <v>12041</v>
      </c>
      <c r="E1636" s="2">
        <f>COUNTIF(Table16[customer_id],Table13[[#This Row],[customer_id]])</f>
        <v>8</v>
      </c>
      <c r="F1636" s="13">
        <f>SUMIFS(Table16[Purchase_history],Table16[customer_id],Table13[[#This Row],[customer_id]])</f>
        <v>9673.67</v>
      </c>
      <c r="G1636" s="20">
        <v>44298</v>
      </c>
      <c r="H1636" s="21">
        <v>44942</v>
      </c>
      <c r="I1636" s="15">
        <f>(Table134[[#This Row],[Last_Day]]-Table134[[#This Row],[First_Day]]+1)/365</f>
        <v>1.7671232876712328</v>
      </c>
      <c r="J1636" s="59">
        <f>Table134[[#This Row],[number_of_purchases]]/Table134[[#This Row],[customer_total_years]]</f>
        <v>4.5271317829457365</v>
      </c>
      <c r="K1636" s="13">
        <f>Table134[[#This Row],[purchase_history]]/Table134[[#This Row],[number_of_purchases]]</f>
        <v>1209.20875</v>
      </c>
      <c r="L1636" s="2">
        <f>IF(YEAR(Table134[[#This Row],[Last_Day]])=2021,5,IF(YEAR(Table134[[#This Row],[Last_Day]])=2022,7,IF(YEAR(Table134[[#This Row],[Last_Day]])=2023,10,"Không xác định")))</f>
        <v>10</v>
      </c>
      <c r="M1636" s="15">
        <f>Table134[[#This Row],[avg_number_of_purchases]]*Table1345[[#This Row],[avg_purchase_value]]*Table1345[[#This Row],[expected_lifespan]]</f>
        <v>54742.473643410856</v>
      </c>
      <c r="N1636" t="s">
        <v>12044</v>
      </c>
    </row>
    <row r="1637" spans="1:14" x14ac:dyDescent="0.3">
      <c r="A1637" s="2" t="s">
        <v>1635</v>
      </c>
      <c r="B1637" s="2" t="s">
        <v>12040</v>
      </c>
      <c r="C1637" s="2">
        <v>54</v>
      </c>
      <c r="D1637" s="2" t="s">
        <v>12043</v>
      </c>
      <c r="E1637" s="2">
        <f>COUNTIF(Table16[customer_id],Table13[[#This Row],[customer_id]])</f>
        <v>5</v>
      </c>
      <c r="F1637" s="13">
        <f>SUMIFS(Table16[Purchase_history],Table16[customer_id],Table13[[#This Row],[customer_id]])</f>
        <v>8406.2999999999993</v>
      </c>
      <c r="G1637" s="20">
        <v>44258</v>
      </c>
      <c r="H1637" s="21">
        <v>44694</v>
      </c>
      <c r="I1637" s="15">
        <f>(Table134[[#This Row],[Last_Day]]-Table134[[#This Row],[First_Day]]+1)/365</f>
        <v>1.1972602739726028</v>
      </c>
      <c r="J1637" s="59">
        <f>Table134[[#This Row],[number_of_purchases]]/Table134[[#This Row],[customer_total_years]]</f>
        <v>4.1762013729977117</v>
      </c>
      <c r="K1637" s="13">
        <f>Table134[[#This Row],[purchase_history]]/Table134[[#This Row],[number_of_purchases]]</f>
        <v>1681.2599999999998</v>
      </c>
      <c r="L1637" s="2">
        <f>IF(YEAR(Table134[[#This Row],[Last_Day]])=2021,5,IF(YEAR(Table134[[#This Row],[Last_Day]])=2022,7,IF(YEAR(Table134[[#This Row],[Last_Day]])=2023,10,"Không xác định")))</f>
        <v>7</v>
      </c>
      <c r="M1637" s="15">
        <f>Table134[[#This Row],[avg_number_of_purchases]]*Table1345[[#This Row],[avg_purchase_value]]*Table1345[[#This Row],[expected_lifespan]]</f>
        <v>49148.96224256292</v>
      </c>
      <c r="N1637" t="s">
        <v>12042</v>
      </c>
    </row>
    <row r="1638" spans="1:14" x14ac:dyDescent="0.3">
      <c r="A1638" s="2" t="s">
        <v>1636</v>
      </c>
      <c r="B1638" s="2" t="s">
        <v>12045</v>
      </c>
      <c r="C1638" s="2">
        <v>22</v>
      </c>
      <c r="D1638" s="2" t="s">
        <v>12041</v>
      </c>
      <c r="E1638" s="2">
        <f>COUNTIF(Table16[customer_id],Table13[[#This Row],[customer_id]])</f>
        <v>2</v>
      </c>
      <c r="F1638" s="13">
        <f>SUMIFS(Table16[Purchase_history],Table16[customer_id],Table13[[#This Row],[customer_id]])</f>
        <v>15040.09</v>
      </c>
      <c r="G1638" s="20">
        <v>44467</v>
      </c>
      <c r="H1638" s="21">
        <v>44815</v>
      </c>
      <c r="I1638" s="15">
        <f>(Table134[[#This Row],[Last_Day]]-Table134[[#This Row],[First_Day]]+1)/365</f>
        <v>0.95616438356164379</v>
      </c>
      <c r="J1638" s="59">
        <f>Table134[[#This Row],[number_of_purchases]]/Table134[[#This Row],[customer_total_years]]</f>
        <v>2.0916905444126077</v>
      </c>
      <c r="K1638" s="13">
        <f>Table134[[#This Row],[purchase_history]]/Table134[[#This Row],[number_of_purchases]]</f>
        <v>7520.0450000000001</v>
      </c>
      <c r="L1638" s="2">
        <f>IF(YEAR(Table134[[#This Row],[Last_Day]])=2021,5,IF(YEAR(Table134[[#This Row],[Last_Day]])=2022,7,IF(YEAR(Table134[[#This Row],[Last_Day]])=2023,10,"Không xác định")))</f>
        <v>7</v>
      </c>
      <c r="M1638" s="15">
        <f>Table134[[#This Row],[avg_number_of_purchases]]*Table1345[[#This Row],[avg_purchase_value]]*Table1345[[#This Row],[expected_lifespan]]</f>
        <v>110107.24914040117</v>
      </c>
      <c r="N1638" t="s">
        <v>12048</v>
      </c>
    </row>
    <row r="1639" spans="1:14" x14ac:dyDescent="0.3">
      <c r="A1639" s="2" t="s">
        <v>1637</v>
      </c>
      <c r="B1639" s="2" t="s">
        <v>12040</v>
      </c>
      <c r="C1639" s="2">
        <v>21</v>
      </c>
      <c r="D1639" s="2" t="s">
        <v>12043</v>
      </c>
      <c r="E1639" s="2">
        <f>COUNTIF(Table16[customer_id],Table13[[#This Row],[customer_id]])</f>
        <v>4</v>
      </c>
      <c r="F1639" s="13">
        <f>SUMIFS(Table16[Purchase_history],Table16[customer_id],Table13[[#This Row],[customer_id]])</f>
        <v>16228</v>
      </c>
      <c r="G1639" s="20">
        <v>44429</v>
      </c>
      <c r="H1639" s="21">
        <v>44983</v>
      </c>
      <c r="I1639" s="15">
        <f>(Table134[[#This Row],[Last_Day]]-Table134[[#This Row],[First_Day]]+1)/365</f>
        <v>1.5205479452054795</v>
      </c>
      <c r="J1639" s="59">
        <f>Table134[[#This Row],[number_of_purchases]]/Table134[[#This Row],[customer_total_years]]</f>
        <v>2.6306306306306304</v>
      </c>
      <c r="K1639" s="13">
        <f>Table134[[#This Row],[purchase_history]]/Table134[[#This Row],[number_of_purchases]]</f>
        <v>4057</v>
      </c>
      <c r="L1639" s="2">
        <f>IF(YEAR(Table134[[#This Row],[Last_Day]])=2021,5,IF(YEAR(Table134[[#This Row],[Last_Day]])=2022,7,IF(YEAR(Table134[[#This Row],[Last_Day]])=2023,10,"Không xác định")))</f>
        <v>10</v>
      </c>
      <c r="M1639" s="15">
        <f>Table134[[#This Row],[avg_number_of_purchases]]*Table1345[[#This Row],[avg_purchase_value]]*Table1345[[#This Row],[expected_lifespan]]</f>
        <v>106724.68468468467</v>
      </c>
      <c r="N1639" t="s">
        <v>12048</v>
      </c>
    </row>
    <row r="1640" spans="1:14" x14ac:dyDescent="0.3">
      <c r="A1640" s="2" t="s">
        <v>1638</v>
      </c>
      <c r="B1640" s="2" t="s">
        <v>12040</v>
      </c>
      <c r="C1640" s="2">
        <v>64</v>
      </c>
      <c r="D1640" s="2" t="s">
        <v>12043</v>
      </c>
      <c r="E1640" s="2">
        <f>COUNTIF(Table16[customer_id],Table13[[#This Row],[customer_id]])</f>
        <v>4</v>
      </c>
      <c r="F1640" s="13">
        <f>SUMIFS(Table16[Purchase_history],Table16[customer_id],Table13[[#This Row],[customer_id]])</f>
        <v>1857.9699999999998</v>
      </c>
      <c r="G1640" s="20">
        <v>44381</v>
      </c>
      <c r="H1640" s="21">
        <v>44955</v>
      </c>
      <c r="I1640" s="15">
        <f>(Table134[[#This Row],[Last_Day]]-Table134[[#This Row],[First_Day]]+1)/365</f>
        <v>1.5753424657534247</v>
      </c>
      <c r="J1640" s="59">
        <f>Table134[[#This Row],[number_of_purchases]]/Table134[[#This Row],[customer_total_years]]</f>
        <v>2.5391304347826087</v>
      </c>
      <c r="K1640" s="13">
        <f>Table134[[#This Row],[purchase_history]]/Table134[[#This Row],[number_of_purchases]]</f>
        <v>464.49249999999995</v>
      </c>
      <c r="L1640" s="2">
        <f>IF(YEAR(Table134[[#This Row],[Last_Day]])=2021,5,IF(YEAR(Table134[[#This Row],[Last_Day]])=2022,7,IF(YEAR(Table134[[#This Row],[Last_Day]])=2023,10,"Không xác định")))</f>
        <v>10</v>
      </c>
      <c r="M1640" s="15">
        <f>Table134[[#This Row],[avg_number_of_purchases]]*Table1345[[#This Row],[avg_purchase_value]]*Table1345[[#This Row],[expected_lifespan]]</f>
        <v>11794.070434782607</v>
      </c>
      <c r="N1640" t="s">
        <v>12044</v>
      </c>
    </row>
    <row r="1641" spans="1:14" x14ac:dyDescent="0.3">
      <c r="A1641" s="2" t="s">
        <v>1639</v>
      </c>
      <c r="B1641" s="2" t="s">
        <v>12040</v>
      </c>
      <c r="C1641" s="2">
        <v>48</v>
      </c>
      <c r="D1641" s="2" t="s">
        <v>12041</v>
      </c>
      <c r="E1641" s="2">
        <f>COUNTIF(Table16[customer_id],Table13[[#This Row],[customer_id]])</f>
        <v>3</v>
      </c>
      <c r="F1641" s="13">
        <f>SUMIFS(Table16[Purchase_history],Table16[customer_id],Table13[[#This Row],[customer_id]])</f>
        <v>5492.5</v>
      </c>
      <c r="G1641" s="20">
        <v>44615</v>
      </c>
      <c r="H1641" s="21">
        <v>44956</v>
      </c>
      <c r="I1641" s="15">
        <f>(Table134[[#This Row],[Last_Day]]-Table134[[#This Row],[First_Day]]+1)/365</f>
        <v>0.93698630136986305</v>
      </c>
      <c r="J1641" s="59">
        <f>Table134[[#This Row],[number_of_purchases]]/Table134[[#This Row],[customer_total_years]]</f>
        <v>3.2017543859649122</v>
      </c>
      <c r="K1641" s="13">
        <f>Table134[[#This Row],[purchase_history]]/Table134[[#This Row],[number_of_purchases]]</f>
        <v>1830.8333333333333</v>
      </c>
      <c r="L1641" s="2">
        <f>IF(YEAR(Table134[[#This Row],[Last_Day]])=2021,5,IF(YEAR(Table134[[#This Row],[Last_Day]])=2022,7,IF(YEAR(Table134[[#This Row],[Last_Day]])=2023,10,"Không xác định")))</f>
        <v>10</v>
      </c>
      <c r="M1641" s="15">
        <f>Table134[[#This Row],[avg_number_of_purchases]]*Table1345[[#This Row],[avg_purchase_value]]*Table1345[[#This Row],[expected_lifespan]]</f>
        <v>58618.786549707598</v>
      </c>
      <c r="N1641" t="s">
        <v>12047</v>
      </c>
    </row>
    <row r="1642" spans="1:14" x14ac:dyDescent="0.3">
      <c r="A1642" s="2" t="s">
        <v>1640</v>
      </c>
      <c r="B1642" s="2" t="s">
        <v>12045</v>
      </c>
      <c r="C1642" s="2">
        <v>19</v>
      </c>
      <c r="D1642" s="2" t="s">
        <v>12041</v>
      </c>
      <c r="E1642" s="2">
        <f>COUNTIF(Table16[customer_id],Table13[[#This Row],[customer_id]])</f>
        <v>3</v>
      </c>
      <c r="F1642" s="13">
        <f>SUMIFS(Table16[Purchase_history],Table16[customer_id],Table13[[#This Row],[customer_id]])</f>
        <v>5873.0399999999991</v>
      </c>
      <c r="G1642" s="20">
        <v>44385</v>
      </c>
      <c r="H1642" s="21">
        <v>44701</v>
      </c>
      <c r="I1642" s="15">
        <f>(Table134[[#This Row],[Last_Day]]-Table134[[#This Row],[First_Day]]+1)/365</f>
        <v>0.86849315068493149</v>
      </c>
      <c r="J1642" s="59">
        <f>Table134[[#This Row],[number_of_purchases]]/Table134[[#This Row],[customer_total_years]]</f>
        <v>3.4542586750788642</v>
      </c>
      <c r="K1642" s="13">
        <f>Table134[[#This Row],[purchase_history]]/Table134[[#This Row],[number_of_purchases]]</f>
        <v>1957.6799999999996</v>
      </c>
      <c r="L1642" s="2">
        <f>IF(YEAR(Table134[[#This Row],[Last_Day]])=2021,5,IF(YEAR(Table134[[#This Row],[Last_Day]])=2022,7,IF(YEAR(Table134[[#This Row],[Last_Day]])=2023,10,"Không xác định")))</f>
        <v>7</v>
      </c>
      <c r="M1642" s="15">
        <f>Table134[[#This Row],[avg_number_of_purchases]]*Table1345[[#This Row],[avg_purchase_value]]*Table1345[[#This Row],[expected_lifespan]]</f>
        <v>47336.331861198727</v>
      </c>
      <c r="N1642" t="s">
        <v>12046</v>
      </c>
    </row>
    <row r="1643" spans="1:14" x14ac:dyDescent="0.3">
      <c r="A1643" s="2" t="s">
        <v>1641</v>
      </c>
      <c r="B1643" s="2" t="s">
        <v>12040</v>
      </c>
      <c r="C1643" s="2">
        <v>47</v>
      </c>
      <c r="D1643" s="2" t="s">
        <v>12043</v>
      </c>
      <c r="E1643" s="2">
        <f>COUNTIF(Table16[customer_id],Table13[[#This Row],[customer_id]])</f>
        <v>3</v>
      </c>
      <c r="F1643" s="13">
        <f>SUMIFS(Table16[Purchase_history],Table16[customer_id],Table13[[#This Row],[customer_id]])</f>
        <v>6652.16</v>
      </c>
      <c r="G1643" s="20">
        <v>44358</v>
      </c>
      <c r="H1643" s="21">
        <v>44537</v>
      </c>
      <c r="I1643" s="15">
        <f>(Table134[[#This Row],[Last_Day]]-Table134[[#This Row],[First_Day]]+1)/365</f>
        <v>0.49315068493150682</v>
      </c>
      <c r="J1643" s="59">
        <f>Table134[[#This Row],[number_of_purchases]]/Table134[[#This Row],[customer_total_years]]</f>
        <v>6.0833333333333339</v>
      </c>
      <c r="K1643" s="13">
        <f>Table134[[#This Row],[purchase_history]]/Table134[[#This Row],[number_of_purchases]]</f>
        <v>2217.3866666666668</v>
      </c>
      <c r="L1643" s="2">
        <f>IF(YEAR(Table134[[#This Row],[Last_Day]])=2021,5,IF(YEAR(Table134[[#This Row],[Last_Day]])=2022,7,IF(YEAR(Table134[[#This Row],[Last_Day]])=2023,10,"Không xác định")))</f>
        <v>5</v>
      </c>
      <c r="M1643" s="15">
        <f>Table134[[#This Row],[avg_number_of_purchases]]*Table1345[[#This Row],[avg_purchase_value]]*Table1345[[#This Row],[expected_lifespan]]</f>
        <v>67445.511111111118</v>
      </c>
      <c r="N1643" t="s">
        <v>12048</v>
      </c>
    </row>
    <row r="1644" spans="1:14" x14ac:dyDescent="0.3">
      <c r="A1644" s="2" t="s">
        <v>1642</v>
      </c>
      <c r="B1644" s="2" t="s">
        <v>12040</v>
      </c>
      <c r="C1644" s="2">
        <v>34</v>
      </c>
      <c r="D1644" s="2" t="s">
        <v>12043</v>
      </c>
      <c r="E1644" s="2">
        <f>COUNTIF(Table16[customer_id],Table13[[#This Row],[customer_id]])</f>
        <v>4</v>
      </c>
      <c r="F1644" s="13">
        <f>SUMIFS(Table16[Purchase_history],Table16[customer_id],Table13[[#This Row],[customer_id]])</f>
        <v>15391.109999999999</v>
      </c>
      <c r="G1644" s="20">
        <v>44377</v>
      </c>
      <c r="H1644" s="21">
        <v>44958</v>
      </c>
      <c r="I1644" s="15">
        <f>(Table134[[#This Row],[Last_Day]]-Table134[[#This Row],[First_Day]]+1)/365</f>
        <v>1.5945205479452054</v>
      </c>
      <c r="J1644" s="59">
        <f>Table134[[#This Row],[number_of_purchases]]/Table134[[#This Row],[customer_total_years]]</f>
        <v>2.5085910652920962</v>
      </c>
      <c r="K1644" s="13">
        <f>Table134[[#This Row],[purchase_history]]/Table134[[#This Row],[number_of_purchases]]</f>
        <v>3847.7774999999997</v>
      </c>
      <c r="L1644" s="2">
        <f>IF(YEAR(Table134[[#This Row],[Last_Day]])=2021,5,IF(YEAR(Table134[[#This Row],[Last_Day]])=2022,7,IF(YEAR(Table134[[#This Row],[Last_Day]])=2023,10,"Không xác định")))</f>
        <v>10</v>
      </c>
      <c r="M1644" s="15">
        <f>Table134[[#This Row],[avg_number_of_purchases]]*Table1345[[#This Row],[avg_purchase_value]]*Table1345[[#This Row],[expected_lifespan]]</f>
        <v>96525.002577319567</v>
      </c>
      <c r="N1644" t="s">
        <v>12044</v>
      </c>
    </row>
    <row r="1645" spans="1:14" x14ac:dyDescent="0.3">
      <c r="A1645" s="2" t="s">
        <v>1643</v>
      </c>
      <c r="B1645" s="2" t="s">
        <v>12045</v>
      </c>
      <c r="C1645" s="2">
        <v>33</v>
      </c>
      <c r="D1645" s="2" t="s">
        <v>12043</v>
      </c>
      <c r="E1645" s="2">
        <f>COUNTIF(Table16[customer_id],Table13[[#This Row],[customer_id]])</f>
        <v>11</v>
      </c>
      <c r="F1645" s="13">
        <f>SUMIFS(Table16[Purchase_history],Table16[customer_id],Table13[[#This Row],[customer_id]])</f>
        <v>21884.27</v>
      </c>
      <c r="G1645" s="20">
        <v>44198</v>
      </c>
      <c r="H1645" s="21">
        <v>44978</v>
      </c>
      <c r="I1645" s="15">
        <f>(Table134[[#This Row],[Last_Day]]-Table134[[#This Row],[First_Day]]+1)/365</f>
        <v>2.1397260273972605</v>
      </c>
      <c r="J1645" s="59">
        <f>Table134[[#This Row],[number_of_purchases]]/Table134[[#This Row],[customer_total_years]]</f>
        <v>5.140845070422535</v>
      </c>
      <c r="K1645" s="13">
        <f>Table134[[#This Row],[purchase_history]]/Table134[[#This Row],[number_of_purchases]]</f>
        <v>1989.4790909090909</v>
      </c>
      <c r="L1645" s="2">
        <f>IF(YEAR(Table134[[#This Row],[Last_Day]])=2021,5,IF(YEAR(Table134[[#This Row],[Last_Day]])=2022,7,IF(YEAR(Table134[[#This Row],[Last_Day]])=2023,10,"Không xác định")))</f>
        <v>10</v>
      </c>
      <c r="M1645" s="15">
        <f>Table134[[#This Row],[avg_number_of_purchases]]*Table1345[[#This Row],[avg_purchase_value]]*Table1345[[#This Row],[expected_lifespan]]</f>
        <v>102276.03777208706</v>
      </c>
      <c r="N1645" t="s">
        <v>12048</v>
      </c>
    </row>
    <row r="1646" spans="1:14" x14ac:dyDescent="0.3">
      <c r="A1646" s="2" t="s">
        <v>1644</v>
      </c>
      <c r="B1646" s="2" t="s">
        <v>12040</v>
      </c>
      <c r="C1646" s="2">
        <v>42</v>
      </c>
      <c r="D1646" s="2" t="s">
        <v>12041</v>
      </c>
      <c r="E1646" s="2">
        <f>COUNTIF(Table16[customer_id],Table13[[#This Row],[customer_id]])</f>
        <v>8</v>
      </c>
      <c r="F1646" s="13">
        <f>SUMIFS(Table16[Purchase_history],Table16[customer_id],Table13[[#This Row],[customer_id]])</f>
        <v>28072.62</v>
      </c>
      <c r="G1646" s="20">
        <v>44250</v>
      </c>
      <c r="H1646" s="21">
        <v>44899</v>
      </c>
      <c r="I1646" s="15">
        <f>(Table134[[#This Row],[Last_Day]]-Table134[[#This Row],[First_Day]]+1)/365</f>
        <v>1.7808219178082192</v>
      </c>
      <c r="J1646" s="59">
        <f>Table134[[#This Row],[number_of_purchases]]/Table134[[#This Row],[customer_total_years]]</f>
        <v>4.4923076923076923</v>
      </c>
      <c r="K1646" s="13">
        <f>Table134[[#This Row],[purchase_history]]/Table134[[#This Row],[number_of_purchases]]</f>
        <v>3509.0774999999999</v>
      </c>
      <c r="L1646" s="2">
        <f>IF(YEAR(Table134[[#This Row],[Last_Day]])=2021,5,IF(YEAR(Table134[[#This Row],[Last_Day]])=2022,7,IF(YEAR(Table134[[#This Row],[Last_Day]])=2023,10,"Không xác định")))</f>
        <v>7</v>
      </c>
      <c r="M1646" s="15">
        <f>Table134[[#This Row],[avg_number_of_purchases]]*Table1345[[#This Row],[avg_purchase_value]]*Table1345[[#This Row],[expected_lifespan]]</f>
        <v>110346.99092307691</v>
      </c>
      <c r="N1646" t="s">
        <v>12048</v>
      </c>
    </row>
    <row r="1647" spans="1:14" x14ac:dyDescent="0.3">
      <c r="A1647" s="2" t="s">
        <v>1645</v>
      </c>
      <c r="B1647" s="2" t="s">
        <v>12040</v>
      </c>
      <c r="C1647" s="2">
        <v>50</v>
      </c>
      <c r="D1647" s="2" t="s">
        <v>12043</v>
      </c>
      <c r="E1647" s="2">
        <f>COUNTIF(Table16[customer_id],Table13[[#This Row],[customer_id]])</f>
        <v>2</v>
      </c>
      <c r="F1647" s="13">
        <f>SUMIFS(Table16[Purchase_history],Table16[customer_id],Table13[[#This Row],[customer_id]])</f>
        <v>704.19</v>
      </c>
      <c r="G1647" s="20">
        <v>44291</v>
      </c>
      <c r="H1647" s="21">
        <v>44441</v>
      </c>
      <c r="I1647" s="15">
        <f>(Table134[[#This Row],[Last_Day]]-Table134[[#This Row],[First_Day]]+1)/365</f>
        <v>0.41369863013698632</v>
      </c>
      <c r="J1647" s="59">
        <f>Table134[[#This Row],[number_of_purchases]]/Table134[[#This Row],[customer_total_years]]</f>
        <v>4.8344370860927146</v>
      </c>
      <c r="K1647" s="13">
        <f>Table134[[#This Row],[purchase_history]]/Table134[[#This Row],[number_of_purchases]]</f>
        <v>352.09500000000003</v>
      </c>
      <c r="L1647" s="2">
        <f>IF(YEAR(Table134[[#This Row],[Last_Day]])=2021,5,IF(YEAR(Table134[[#This Row],[Last_Day]])=2022,7,IF(YEAR(Table134[[#This Row],[Last_Day]])=2023,10,"Không xác định")))</f>
        <v>5</v>
      </c>
      <c r="M1647" s="15">
        <f>Table134[[#This Row],[avg_number_of_purchases]]*Table1345[[#This Row],[avg_purchase_value]]*Table1345[[#This Row],[expected_lifespan]]</f>
        <v>8510.9056291390716</v>
      </c>
      <c r="N1647" t="s">
        <v>12046</v>
      </c>
    </row>
    <row r="1648" spans="1:14" x14ac:dyDescent="0.3">
      <c r="A1648" s="2" t="s">
        <v>1646</v>
      </c>
      <c r="B1648" s="2" t="s">
        <v>12040</v>
      </c>
      <c r="C1648" s="2">
        <v>63</v>
      </c>
      <c r="D1648" s="2" t="s">
        <v>12043</v>
      </c>
      <c r="E1648" s="2">
        <f>COUNTIF(Table16[customer_id],Table13[[#This Row],[customer_id]])</f>
        <v>5</v>
      </c>
      <c r="F1648" s="13">
        <f>SUMIFS(Table16[Purchase_history],Table16[customer_id],Table13[[#This Row],[customer_id]])</f>
        <v>6770.2599999999993</v>
      </c>
      <c r="G1648" s="20">
        <v>44247</v>
      </c>
      <c r="H1648" s="21">
        <v>44943</v>
      </c>
      <c r="I1648" s="15">
        <f>(Table134[[#This Row],[Last_Day]]-Table134[[#This Row],[First_Day]]+1)/365</f>
        <v>1.9095890410958904</v>
      </c>
      <c r="J1648" s="59">
        <f>Table134[[#This Row],[number_of_purchases]]/Table134[[#This Row],[customer_total_years]]</f>
        <v>2.6183644189383068</v>
      </c>
      <c r="K1648" s="13">
        <f>Table134[[#This Row],[purchase_history]]/Table134[[#This Row],[number_of_purchases]]</f>
        <v>1354.0519999999999</v>
      </c>
      <c r="L1648" s="2">
        <f>IF(YEAR(Table134[[#This Row],[Last_Day]])=2021,5,IF(YEAR(Table134[[#This Row],[Last_Day]])=2022,7,IF(YEAR(Table134[[#This Row],[Last_Day]])=2023,10,"Không xác định")))</f>
        <v>10</v>
      </c>
      <c r="M1648" s="15">
        <f>Table134[[#This Row],[avg_number_of_purchases]]*Table1345[[#This Row],[avg_purchase_value]]*Table1345[[#This Row],[expected_lifespan]]</f>
        <v>35454.015781922521</v>
      </c>
      <c r="N1648" t="s">
        <v>12044</v>
      </c>
    </row>
    <row r="1649" spans="1:14" x14ac:dyDescent="0.3">
      <c r="A1649" s="2" t="s">
        <v>1647</v>
      </c>
      <c r="B1649" s="2" t="s">
        <v>12045</v>
      </c>
      <c r="C1649" s="2">
        <v>25</v>
      </c>
      <c r="D1649" s="2" t="s">
        <v>12043</v>
      </c>
      <c r="E1649" s="2">
        <f>COUNTIF(Table16[customer_id],Table13[[#This Row],[customer_id]])</f>
        <v>7</v>
      </c>
      <c r="F1649" s="13">
        <f>SUMIFS(Table16[Purchase_history],Table16[customer_id],Table13[[#This Row],[customer_id]])</f>
        <v>23205.07</v>
      </c>
      <c r="G1649" s="20">
        <v>44204</v>
      </c>
      <c r="H1649" s="21">
        <v>44806</v>
      </c>
      <c r="I1649" s="15">
        <f>(Table134[[#This Row],[Last_Day]]-Table134[[#This Row],[First_Day]]+1)/365</f>
        <v>1.6520547945205479</v>
      </c>
      <c r="J1649" s="59">
        <f>Table134[[#This Row],[number_of_purchases]]/Table134[[#This Row],[customer_total_years]]</f>
        <v>4.2371475953565509</v>
      </c>
      <c r="K1649" s="13">
        <f>Table134[[#This Row],[purchase_history]]/Table134[[#This Row],[number_of_purchases]]</f>
        <v>3315.0099999999998</v>
      </c>
      <c r="L1649" s="2">
        <f>IF(YEAR(Table134[[#This Row],[Last_Day]])=2021,5,IF(YEAR(Table134[[#This Row],[Last_Day]])=2022,7,IF(YEAR(Table134[[#This Row],[Last_Day]])=2023,10,"Không xác định")))</f>
        <v>7</v>
      </c>
      <c r="M1649" s="15">
        <f>Table134[[#This Row],[avg_number_of_purchases]]*Table1345[[#This Row],[avg_purchase_value]]*Table1345[[#This Row],[expected_lifespan]]</f>
        <v>98323.306550580426</v>
      </c>
      <c r="N1649" t="s">
        <v>12046</v>
      </c>
    </row>
    <row r="1650" spans="1:14" x14ac:dyDescent="0.3">
      <c r="A1650" s="2" t="s">
        <v>1648</v>
      </c>
      <c r="B1650" s="2" t="s">
        <v>12045</v>
      </c>
      <c r="C1650" s="2">
        <v>23</v>
      </c>
      <c r="D1650" s="2" t="s">
        <v>12041</v>
      </c>
      <c r="E1650" s="2">
        <f>COUNTIF(Table16[customer_id],Table13[[#This Row],[customer_id]])</f>
        <v>3</v>
      </c>
      <c r="F1650" s="13">
        <f>SUMIFS(Table16[Purchase_history],Table16[customer_id],Table13[[#This Row],[customer_id]])</f>
        <v>579.79</v>
      </c>
      <c r="G1650" s="20">
        <v>44417</v>
      </c>
      <c r="H1650" s="21">
        <v>44918</v>
      </c>
      <c r="I1650" s="15">
        <f>(Table134[[#This Row],[Last_Day]]-Table134[[#This Row],[First_Day]]+1)/365</f>
        <v>1.3753424657534246</v>
      </c>
      <c r="J1650" s="59">
        <f>Table134[[#This Row],[number_of_purchases]]/Table134[[#This Row],[customer_total_years]]</f>
        <v>2.1812749003984067</v>
      </c>
      <c r="K1650" s="13">
        <f>Table134[[#This Row],[purchase_history]]/Table134[[#This Row],[number_of_purchases]]</f>
        <v>193.26333333333332</v>
      </c>
      <c r="L1650" s="2">
        <f>IF(YEAR(Table134[[#This Row],[Last_Day]])=2021,5,IF(YEAR(Table134[[#This Row],[Last_Day]])=2022,7,IF(YEAR(Table134[[#This Row],[Last_Day]])=2023,10,"Không xác định")))</f>
        <v>7</v>
      </c>
      <c r="M1650" s="15">
        <f>Table134[[#This Row],[avg_number_of_purchases]]*Table1345[[#This Row],[avg_purchase_value]]*Table1345[[#This Row],[expected_lifespan]]</f>
        <v>2950.923207171315</v>
      </c>
      <c r="N1650" t="s">
        <v>12047</v>
      </c>
    </row>
    <row r="1651" spans="1:14" x14ac:dyDescent="0.3">
      <c r="A1651" s="2" t="s">
        <v>1649</v>
      </c>
      <c r="B1651" s="2" t="s">
        <v>12045</v>
      </c>
      <c r="C1651" s="2">
        <v>35</v>
      </c>
      <c r="D1651" s="2" t="s">
        <v>12041</v>
      </c>
      <c r="E1651" s="2">
        <f>COUNTIF(Table16[customer_id],Table13[[#This Row],[customer_id]])</f>
        <v>5</v>
      </c>
      <c r="F1651" s="13">
        <f>SUMIFS(Table16[Purchase_history],Table16[customer_id],Table13[[#This Row],[customer_id]])</f>
        <v>25806.97</v>
      </c>
      <c r="G1651" s="20">
        <v>44546</v>
      </c>
      <c r="H1651" s="21">
        <v>44934</v>
      </c>
      <c r="I1651" s="15">
        <f>(Table134[[#This Row],[Last_Day]]-Table134[[#This Row],[First_Day]]+1)/365</f>
        <v>1.0657534246575342</v>
      </c>
      <c r="J1651" s="59">
        <f>Table134[[#This Row],[number_of_purchases]]/Table134[[#This Row],[customer_total_years]]</f>
        <v>4.6915167095115686</v>
      </c>
      <c r="K1651" s="13">
        <f>Table134[[#This Row],[purchase_history]]/Table134[[#This Row],[number_of_purchases]]</f>
        <v>5161.3940000000002</v>
      </c>
      <c r="L1651" s="2">
        <f>IF(YEAR(Table134[[#This Row],[Last_Day]])=2021,5,IF(YEAR(Table134[[#This Row],[Last_Day]])=2022,7,IF(YEAR(Table134[[#This Row],[Last_Day]])=2023,10,"Không xác định")))</f>
        <v>10</v>
      </c>
      <c r="M1651" s="15">
        <f>Table134[[#This Row],[avg_number_of_purchases]]*Table1345[[#This Row],[avg_purchase_value]]*Table1345[[#This Row],[expected_lifespan]]</f>
        <v>242147.66195372754</v>
      </c>
      <c r="N1651" t="s">
        <v>12046</v>
      </c>
    </row>
    <row r="1652" spans="1:14" x14ac:dyDescent="0.3">
      <c r="A1652" s="2" t="s">
        <v>1650</v>
      </c>
      <c r="B1652" s="2" t="s">
        <v>12045</v>
      </c>
      <c r="C1652" s="2">
        <v>31</v>
      </c>
      <c r="D1652" s="2" t="s">
        <v>12043</v>
      </c>
      <c r="E1652" s="2">
        <f>COUNTIF(Table16[customer_id],Table13[[#This Row],[customer_id]])</f>
        <v>3</v>
      </c>
      <c r="F1652" s="13">
        <f>SUMIFS(Table16[Purchase_history],Table16[customer_id],Table13[[#This Row],[customer_id]])</f>
        <v>7964.8499999999995</v>
      </c>
      <c r="G1652" s="20">
        <v>44309</v>
      </c>
      <c r="H1652" s="21">
        <v>44915</v>
      </c>
      <c r="I1652" s="15">
        <f>(Table134[[#This Row],[Last_Day]]-Table134[[#This Row],[First_Day]]+1)/365</f>
        <v>1.6630136986301369</v>
      </c>
      <c r="J1652" s="59">
        <f>Table134[[#This Row],[number_of_purchases]]/Table134[[#This Row],[customer_total_years]]</f>
        <v>1.8039538714991763</v>
      </c>
      <c r="K1652" s="13">
        <f>Table134[[#This Row],[purchase_history]]/Table134[[#This Row],[number_of_purchases]]</f>
        <v>2654.95</v>
      </c>
      <c r="L1652" s="2">
        <f>IF(YEAR(Table134[[#This Row],[Last_Day]])=2021,5,IF(YEAR(Table134[[#This Row],[Last_Day]])=2022,7,IF(YEAR(Table134[[#This Row],[Last_Day]])=2023,10,"Không xác định")))</f>
        <v>7</v>
      </c>
      <c r="M1652" s="15">
        <f>Table134[[#This Row],[avg_number_of_purchases]]*Table1345[[#This Row],[avg_purchase_value]]*Table1345[[#This Row],[expected_lifespan]]</f>
        <v>33525.85131795716</v>
      </c>
      <c r="N1652" t="s">
        <v>12042</v>
      </c>
    </row>
    <row r="1653" spans="1:14" x14ac:dyDescent="0.3">
      <c r="A1653" s="2" t="s">
        <v>1651</v>
      </c>
      <c r="B1653" s="2" t="s">
        <v>12045</v>
      </c>
      <c r="C1653" s="2">
        <v>27</v>
      </c>
      <c r="D1653" s="2" t="s">
        <v>12043</v>
      </c>
      <c r="E1653" s="2">
        <f>COUNTIF(Table16[customer_id],Table13[[#This Row],[customer_id]])</f>
        <v>4</v>
      </c>
      <c r="F1653" s="13">
        <f>SUMIFS(Table16[Purchase_history],Table16[customer_id],Table13[[#This Row],[customer_id]])</f>
        <v>6498.29</v>
      </c>
      <c r="G1653" s="20">
        <v>44534</v>
      </c>
      <c r="H1653" s="21">
        <v>44988</v>
      </c>
      <c r="I1653" s="15">
        <f>(Table134[[#This Row],[Last_Day]]-Table134[[#This Row],[First_Day]]+1)/365</f>
        <v>1.2465753424657535</v>
      </c>
      <c r="J1653" s="59">
        <f>Table134[[#This Row],[number_of_purchases]]/Table134[[#This Row],[customer_total_years]]</f>
        <v>3.2087912087912085</v>
      </c>
      <c r="K1653" s="13">
        <f>Table134[[#This Row],[purchase_history]]/Table134[[#This Row],[number_of_purchases]]</f>
        <v>1624.5725</v>
      </c>
      <c r="L1653" s="2">
        <f>IF(YEAR(Table134[[#This Row],[Last_Day]])=2021,5,IF(YEAR(Table134[[#This Row],[Last_Day]])=2022,7,IF(YEAR(Table134[[#This Row],[Last_Day]])=2023,10,"Không xác định")))</f>
        <v>10</v>
      </c>
      <c r="M1653" s="15">
        <f>Table134[[#This Row],[avg_number_of_purchases]]*Table1345[[#This Row],[avg_purchase_value]]*Table1345[[#This Row],[expected_lifespan]]</f>
        <v>52129.139560439551</v>
      </c>
      <c r="N1653" t="s">
        <v>12044</v>
      </c>
    </row>
    <row r="1654" spans="1:14" x14ac:dyDescent="0.3">
      <c r="A1654" s="2" t="s">
        <v>1652</v>
      </c>
      <c r="B1654" s="2" t="s">
        <v>12040</v>
      </c>
      <c r="C1654" s="2">
        <v>41</v>
      </c>
      <c r="D1654" s="2" t="s">
        <v>12043</v>
      </c>
      <c r="E1654" s="2">
        <f>COUNTIF(Table16[customer_id],Table13[[#This Row],[customer_id]])</f>
        <v>5</v>
      </c>
      <c r="F1654" s="13">
        <f>SUMIFS(Table16[Purchase_history],Table16[customer_id],Table13[[#This Row],[customer_id]])</f>
        <v>24719.97</v>
      </c>
      <c r="G1654" s="20">
        <v>44259</v>
      </c>
      <c r="H1654" s="21">
        <v>44941</v>
      </c>
      <c r="I1654" s="15">
        <f>(Table134[[#This Row],[Last_Day]]-Table134[[#This Row],[First_Day]]+1)/365</f>
        <v>1.8712328767123287</v>
      </c>
      <c r="J1654" s="59">
        <f>Table134[[#This Row],[number_of_purchases]]/Table134[[#This Row],[customer_total_years]]</f>
        <v>2.6720351390922401</v>
      </c>
      <c r="K1654" s="13">
        <f>Table134[[#This Row],[purchase_history]]/Table134[[#This Row],[number_of_purchases]]</f>
        <v>4943.9940000000006</v>
      </c>
      <c r="L1654" s="2">
        <f>IF(YEAR(Table134[[#This Row],[Last_Day]])=2021,5,IF(YEAR(Table134[[#This Row],[Last_Day]])=2022,7,IF(YEAR(Table134[[#This Row],[Last_Day]])=2023,10,"Không xác định")))</f>
        <v>10</v>
      </c>
      <c r="M1654" s="15">
        <f>Table134[[#This Row],[avg_number_of_purchases]]*Table1345[[#This Row],[avg_purchase_value]]*Table1345[[#This Row],[expected_lifespan]]</f>
        <v>132105.25695461201</v>
      </c>
      <c r="N1654" t="s">
        <v>12048</v>
      </c>
    </row>
    <row r="1655" spans="1:14" x14ac:dyDescent="0.3">
      <c r="A1655" s="2" t="s">
        <v>1653</v>
      </c>
      <c r="B1655" s="2" t="s">
        <v>12045</v>
      </c>
      <c r="C1655" s="2">
        <v>23</v>
      </c>
      <c r="D1655" s="2" t="s">
        <v>12041</v>
      </c>
      <c r="E1655" s="2">
        <f>COUNTIF(Table16[customer_id],Table13[[#This Row],[customer_id]])</f>
        <v>6</v>
      </c>
      <c r="F1655" s="13">
        <f>SUMIFS(Table16[Purchase_history],Table16[customer_id],Table13[[#This Row],[customer_id]])</f>
        <v>30690.620000000003</v>
      </c>
      <c r="G1655" s="20">
        <v>44414</v>
      </c>
      <c r="H1655" s="21">
        <v>44926</v>
      </c>
      <c r="I1655" s="15">
        <f>(Table134[[#This Row],[Last_Day]]-Table134[[#This Row],[First_Day]]+1)/365</f>
        <v>1.4054794520547946</v>
      </c>
      <c r="J1655" s="59">
        <f>Table134[[#This Row],[number_of_purchases]]/Table134[[#This Row],[customer_total_years]]</f>
        <v>4.269005847953216</v>
      </c>
      <c r="K1655" s="13">
        <f>Table134[[#This Row],[purchase_history]]/Table134[[#This Row],[number_of_purchases]]</f>
        <v>5115.1033333333335</v>
      </c>
      <c r="L1655" s="2">
        <f>IF(YEAR(Table134[[#This Row],[Last_Day]])=2021,5,IF(YEAR(Table134[[#This Row],[Last_Day]])=2022,7,IF(YEAR(Table134[[#This Row],[Last_Day]])=2023,10,"Không xác định")))</f>
        <v>7</v>
      </c>
      <c r="M1655" s="15">
        <f>Table134[[#This Row],[avg_number_of_purchases]]*Table1345[[#This Row],[avg_purchase_value]]*Table1345[[#This Row],[expected_lifespan]]</f>
        <v>152854.84230019493</v>
      </c>
      <c r="N1655" t="s">
        <v>12047</v>
      </c>
    </row>
    <row r="1656" spans="1:14" x14ac:dyDescent="0.3">
      <c r="A1656" s="2" t="s">
        <v>1654</v>
      </c>
      <c r="B1656" s="2" t="s">
        <v>12040</v>
      </c>
      <c r="C1656" s="2">
        <v>27</v>
      </c>
      <c r="D1656" s="2" t="s">
        <v>12041</v>
      </c>
      <c r="E1656" s="2">
        <f>COUNTIF(Table16[customer_id],Table13[[#This Row],[customer_id]])</f>
        <v>6</v>
      </c>
      <c r="F1656" s="13">
        <f>SUMIFS(Table16[Purchase_history],Table16[customer_id],Table13[[#This Row],[customer_id]])</f>
        <v>15588.75</v>
      </c>
      <c r="G1656" s="20">
        <v>44209</v>
      </c>
      <c r="H1656" s="21">
        <v>44927</v>
      </c>
      <c r="I1656" s="15">
        <f>(Table134[[#This Row],[Last_Day]]-Table134[[#This Row],[First_Day]]+1)/365</f>
        <v>1.9698630136986301</v>
      </c>
      <c r="J1656" s="59">
        <f>Table134[[#This Row],[number_of_purchases]]/Table134[[#This Row],[customer_total_years]]</f>
        <v>3.0458970792767732</v>
      </c>
      <c r="K1656" s="13">
        <f>Table134[[#This Row],[purchase_history]]/Table134[[#This Row],[number_of_purchases]]</f>
        <v>2598.125</v>
      </c>
      <c r="L1656" s="2">
        <f>IF(YEAR(Table134[[#This Row],[Last_Day]])=2021,5,IF(YEAR(Table134[[#This Row],[Last_Day]])=2022,7,IF(YEAR(Table134[[#This Row],[Last_Day]])=2023,10,"Không xác định")))</f>
        <v>10</v>
      </c>
      <c r="M1656" s="15">
        <f>Table134[[#This Row],[avg_number_of_purchases]]*Table1345[[#This Row],[avg_purchase_value]]*Table1345[[#This Row],[expected_lifespan]]</f>
        <v>79136.213490959664</v>
      </c>
      <c r="N1656" t="s">
        <v>12048</v>
      </c>
    </row>
    <row r="1657" spans="1:14" x14ac:dyDescent="0.3">
      <c r="A1657" s="2" t="s">
        <v>1655</v>
      </c>
      <c r="B1657" s="2" t="s">
        <v>12040</v>
      </c>
      <c r="C1657" s="2">
        <v>19</v>
      </c>
      <c r="D1657" s="2" t="s">
        <v>12041</v>
      </c>
      <c r="E1657" s="2">
        <f>COUNTIF(Table16[customer_id],Table13[[#This Row],[customer_id]])</f>
        <v>4</v>
      </c>
      <c r="F1657" s="13">
        <f>SUMIFS(Table16[Purchase_history],Table16[customer_id],Table13[[#This Row],[customer_id]])</f>
        <v>17039.73</v>
      </c>
      <c r="G1657" s="20">
        <v>44482</v>
      </c>
      <c r="H1657" s="21">
        <v>44911</v>
      </c>
      <c r="I1657" s="15">
        <f>(Table134[[#This Row],[Last_Day]]-Table134[[#This Row],[First_Day]]+1)/365</f>
        <v>1.178082191780822</v>
      </c>
      <c r="J1657" s="59">
        <f>Table134[[#This Row],[number_of_purchases]]/Table134[[#This Row],[customer_total_years]]</f>
        <v>3.3953488372093021</v>
      </c>
      <c r="K1657" s="13">
        <f>Table134[[#This Row],[purchase_history]]/Table134[[#This Row],[number_of_purchases]]</f>
        <v>4259.9324999999999</v>
      </c>
      <c r="L1657" s="2">
        <f>IF(YEAR(Table134[[#This Row],[Last_Day]])=2021,5,IF(YEAR(Table134[[#This Row],[Last_Day]])=2022,7,IF(YEAR(Table134[[#This Row],[Last_Day]])=2023,10,"Không xác định")))</f>
        <v>7</v>
      </c>
      <c r="M1657" s="15">
        <f>Table134[[#This Row],[avg_number_of_purchases]]*Table1345[[#This Row],[avg_purchase_value]]*Table1345[[#This Row],[expected_lifespan]]</f>
        <v>101247.69802325581</v>
      </c>
      <c r="N1657" t="s">
        <v>12046</v>
      </c>
    </row>
    <row r="1658" spans="1:14" x14ac:dyDescent="0.3">
      <c r="A1658" s="2" t="s">
        <v>1656</v>
      </c>
      <c r="B1658" s="2" t="s">
        <v>12045</v>
      </c>
      <c r="C1658" s="2">
        <v>44</v>
      </c>
      <c r="D1658" s="2" t="s">
        <v>12043</v>
      </c>
      <c r="E1658" s="2">
        <f>COUNTIF(Table16[customer_id],Table13[[#This Row],[customer_id]])</f>
        <v>1</v>
      </c>
      <c r="F1658" s="13">
        <f>SUMIFS(Table16[Purchase_history],Table16[customer_id],Table13[[#This Row],[customer_id]])</f>
        <v>2700.7200000000003</v>
      </c>
      <c r="G1658" s="20">
        <v>44336</v>
      </c>
      <c r="H1658" s="21">
        <v>44336</v>
      </c>
      <c r="I1658" s="15">
        <f>(Table134[[#This Row],[Last_Day]]-Table134[[#This Row],[First_Day]]+1)/365</f>
        <v>2.7397260273972603E-3</v>
      </c>
      <c r="J1658" s="59">
        <f>Table134[[#This Row],[number_of_purchases]]/Table134[[#This Row],[customer_total_years]]</f>
        <v>365</v>
      </c>
      <c r="K1658" s="13">
        <f>Table134[[#This Row],[purchase_history]]/Table134[[#This Row],[number_of_purchases]]</f>
        <v>2700.7200000000003</v>
      </c>
      <c r="L1658" s="2">
        <f>IF(YEAR(Table134[[#This Row],[Last_Day]])=2021,5,IF(YEAR(Table134[[#This Row],[Last_Day]])=2022,7,IF(YEAR(Table134[[#This Row],[Last_Day]])=2023,10,"Không xác định")))</f>
        <v>5</v>
      </c>
      <c r="M1658" s="15">
        <f>Table134[[#This Row],[avg_number_of_purchases]]*Table1345[[#This Row],[avg_purchase_value]]*Table1345[[#This Row],[expected_lifespan]]</f>
        <v>4928814</v>
      </c>
      <c r="N1658" t="s">
        <v>12042</v>
      </c>
    </row>
    <row r="1659" spans="1:14" x14ac:dyDescent="0.3">
      <c r="A1659" s="2" t="s">
        <v>1657</v>
      </c>
      <c r="B1659" s="2" t="s">
        <v>12045</v>
      </c>
      <c r="C1659" s="2">
        <v>59</v>
      </c>
      <c r="D1659" s="2" t="s">
        <v>12041</v>
      </c>
      <c r="E1659" s="2">
        <f>COUNTIF(Table16[customer_id],Table13[[#This Row],[customer_id]])</f>
        <v>5</v>
      </c>
      <c r="F1659" s="13">
        <f>SUMIFS(Table16[Purchase_history],Table16[customer_id],Table13[[#This Row],[customer_id]])</f>
        <v>14117.2</v>
      </c>
      <c r="G1659" s="20">
        <v>44236</v>
      </c>
      <c r="H1659" s="21">
        <v>44772</v>
      </c>
      <c r="I1659" s="15">
        <f>(Table134[[#This Row],[Last_Day]]-Table134[[#This Row],[First_Day]]+1)/365</f>
        <v>1.4712328767123288</v>
      </c>
      <c r="J1659" s="59">
        <f>Table134[[#This Row],[number_of_purchases]]/Table134[[#This Row],[customer_total_years]]</f>
        <v>3.3985102420856608</v>
      </c>
      <c r="K1659" s="13">
        <f>Table134[[#This Row],[purchase_history]]/Table134[[#This Row],[number_of_purchases]]</f>
        <v>2823.44</v>
      </c>
      <c r="L1659" s="2">
        <f>IF(YEAR(Table134[[#This Row],[Last_Day]])=2021,5,IF(YEAR(Table134[[#This Row],[Last_Day]])=2022,7,IF(YEAR(Table134[[#This Row],[Last_Day]])=2023,10,"Không xác định")))</f>
        <v>7</v>
      </c>
      <c r="M1659" s="15">
        <f>Table134[[#This Row],[avg_number_of_purchases]]*Table1345[[#This Row],[avg_purchase_value]]*Table1345[[#This Row],[expected_lifespan]]</f>
        <v>67168.428305400361</v>
      </c>
      <c r="N1659" t="s">
        <v>12042</v>
      </c>
    </row>
    <row r="1660" spans="1:14" x14ac:dyDescent="0.3">
      <c r="A1660" s="2" t="s">
        <v>1658</v>
      </c>
      <c r="B1660" s="2" t="s">
        <v>12045</v>
      </c>
      <c r="C1660" s="2">
        <v>45</v>
      </c>
      <c r="D1660" s="2" t="s">
        <v>12043</v>
      </c>
      <c r="E1660" s="2">
        <f>COUNTIF(Table16[customer_id],Table13[[#This Row],[customer_id]])</f>
        <v>2</v>
      </c>
      <c r="F1660" s="13">
        <f>SUMIFS(Table16[Purchase_history],Table16[customer_id],Table13[[#This Row],[customer_id]])</f>
        <v>10202.81</v>
      </c>
      <c r="G1660" s="20">
        <v>44638</v>
      </c>
      <c r="H1660" s="21">
        <v>44690</v>
      </c>
      <c r="I1660" s="15">
        <f>(Table134[[#This Row],[Last_Day]]-Table134[[#This Row],[First_Day]]+1)/365</f>
        <v>0.14520547945205478</v>
      </c>
      <c r="J1660" s="59">
        <f>Table134[[#This Row],[number_of_purchases]]/Table134[[#This Row],[customer_total_years]]</f>
        <v>13.773584905660378</v>
      </c>
      <c r="K1660" s="13">
        <f>Table134[[#This Row],[purchase_history]]/Table134[[#This Row],[number_of_purchases]]</f>
        <v>5101.4049999999997</v>
      </c>
      <c r="L1660" s="2">
        <f>IF(YEAR(Table134[[#This Row],[Last_Day]])=2021,5,IF(YEAR(Table134[[#This Row],[Last_Day]])=2022,7,IF(YEAR(Table134[[#This Row],[Last_Day]])=2023,10,"Không xác định")))</f>
        <v>7</v>
      </c>
      <c r="M1660" s="15">
        <f>Table134[[#This Row],[avg_number_of_purchases]]*Table1345[[#This Row],[avg_purchase_value]]*Table1345[[#This Row],[expected_lifespan]]</f>
        <v>491852.44433962263</v>
      </c>
      <c r="N1660" t="s">
        <v>12048</v>
      </c>
    </row>
    <row r="1661" spans="1:14" x14ac:dyDescent="0.3">
      <c r="A1661" s="2" t="s">
        <v>1659</v>
      </c>
      <c r="B1661" s="2" t="s">
        <v>12040</v>
      </c>
      <c r="C1661" s="2">
        <v>56</v>
      </c>
      <c r="D1661" s="2" t="s">
        <v>12043</v>
      </c>
      <c r="E1661" s="2">
        <f>COUNTIF(Table16[customer_id],Table13[[#This Row],[customer_id]])</f>
        <v>7</v>
      </c>
      <c r="F1661" s="13">
        <f>SUMIFS(Table16[Purchase_history],Table16[customer_id],Table13[[#This Row],[customer_id]])</f>
        <v>691.40000000000009</v>
      </c>
      <c r="G1661" s="20">
        <v>44236</v>
      </c>
      <c r="H1661" s="21">
        <v>44941</v>
      </c>
      <c r="I1661" s="15">
        <f>(Table134[[#This Row],[Last_Day]]-Table134[[#This Row],[First_Day]]+1)/365</f>
        <v>1.9342465753424658</v>
      </c>
      <c r="J1661" s="59">
        <f>Table134[[#This Row],[number_of_purchases]]/Table134[[#This Row],[customer_total_years]]</f>
        <v>3.6189801699716715</v>
      </c>
      <c r="K1661" s="13">
        <f>Table134[[#This Row],[purchase_history]]/Table134[[#This Row],[number_of_purchases]]</f>
        <v>98.771428571428586</v>
      </c>
      <c r="L1661" s="2">
        <f>IF(YEAR(Table134[[#This Row],[Last_Day]])=2021,5,IF(YEAR(Table134[[#This Row],[Last_Day]])=2022,7,IF(YEAR(Table134[[#This Row],[Last_Day]])=2023,10,"Không xác định")))</f>
        <v>10</v>
      </c>
      <c r="M1661" s="15">
        <f>Table134[[#This Row],[avg_number_of_purchases]]*Table1345[[#This Row],[avg_purchase_value]]*Table1345[[#This Row],[expected_lifespan]]</f>
        <v>3574.5184135977343</v>
      </c>
      <c r="N1661" t="s">
        <v>12046</v>
      </c>
    </row>
    <row r="1662" spans="1:14" x14ac:dyDescent="0.3">
      <c r="A1662" s="2" t="s">
        <v>1660</v>
      </c>
      <c r="B1662" s="2" t="s">
        <v>12045</v>
      </c>
      <c r="C1662" s="2">
        <v>30</v>
      </c>
      <c r="D1662" s="2" t="s">
        <v>12043</v>
      </c>
      <c r="E1662" s="2">
        <f>COUNTIF(Table16[customer_id],Table13[[#This Row],[customer_id]])</f>
        <v>8</v>
      </c>
      <c r="F1662" s="13">
        <f>SUMIFS(Table16[Purchase_history],Table16[customer_id],Table13[[#This Row],[customer_id]])</f>
        <v>5500.6</v>
      </c>
      <c r="G1662" s="20">
        <v>44247</v>
      </c>
      <c r="H1662" s="21">
        <v>44882</v>
      </c>
      <c r="I1662" s="15">
        <f>(Table134[[#This Row],[Last_Day]]-Table134[[#This Row],[First_Day]]+1)/365</f>
        <v>1.7424657534246575</v>
      </c>
      <c r="J1662" s="59">
        <f>Table134[[#This Row],[number_of_purchases]]/Table134[[#This Row],[customer_total_years]]</f>
        <v>4.5911949685534594</v>
      </c>
      <c r="K1662" s="13">
        <f>Table134[[#This Row],[purchase_history]]/Table134[[#This Row],[number_of_purchases]]</f>
        <v>687.57500000000005</v>
      </c>
      <c r="L1662" s="2">
        <f>IF(YEAR(Table134[[#This Row],[Last_Day]])=2021,5,IF(YEAR(Table134[[#This Row],[Last_Day]])=2022,7,IF(YEAR(Table134[[#This Row],[Last_Day]])=2023,10,"Không xác định")))</f>
        <v>7</v>
      </c>
      <c r="M1662" s="15">
        <f>Table134[[#This Row],[avg_number_of_purchases]]*Table1345[[#This Row],[avg_purchase_value]]*Table1345[[#This Row],[expected_lifespan]]</f>
        <v>22097.536163522018</v>
      </c>
      <c r="N1662" t="s">
        <v>12042</v>
      </c>
    </row>
    <row r="1663" spans="1:14" x14ac:dyDescent="0.3">
      <c r="A1663" s="2" t="s">
        <v>1661</v>
      </c>
      <c r="B1663" s="2" t="s">
        <v>12040</v>
      </c>
      <c r="C1663" s="2">
        <v>69</v>
      </c>
      <c r="D1663" s="2" t="s">
        <v>12041</v>
      </c>
      <c r="E1663" s="2">
        <f>COUNTIF(Table16[customer_id],Table13[[#This Row],[customer_id]])</f>
        <v>3</v>
      </c>
      <c r="F1663" s="13">
        <f>SUMIFS(Table16[Purchase_history],Table16[customer_id],Table13[[#This Row],[customer_id]])</f>
        <v>9024.8799999999992</v>
      </c>
      <c r="G1663" s="20">
        <v>44565</v>
      </c>
      <c r="H1663" s="21">
        <v>44831</v>
      </c>
      <c r="I1663" s="15">
        <f>(Table134[[#This Row],[Last_Day]]-Table134[[#This Row],[First_Day]]+1)/365</f>
        <v>0.73150684931506849</v>
      </c>
      <c r="J1663" s="59">
        <f>Table134[[#This Row],[number_of_purchases]]/Table134[[#This Row],[customer_total_years]]</f>
        <v>4.1011235955056184</v>
      </c>
      <c r="K1663" s="13">
        <f>Table134[[#This Row],[purchase_history]]/Table134[[#This Row],[number_of_purchases]]</f>
        <v>3008.2933333333331</v>
      </c>
      <c r="L1663" s="2">
        <f>IF(YEAR(Table134[[#This Row],[Last_Day]])=2021,5,IF(YEAR(Table134[[#This Row],[Last_Day]])=2022,7,IF(YEAR(Table134[[#This Row],[Last_Day]])=2023,10,"Không xác định")))</f>
        <v>7</v>
      </c>
      <c r="M1663" s="15">
        <f>Table134[[#This Row],[avg_number_of_purchases]]*Table1345[[#This Row],[avg_purchase_value]]*Table1345[[#This Row],[expected_lifespan]]</f>
        <v>86361.679400749068</v>
      </c>
      <c r="N1663" t="s">
        <v>12047</v>
      </c>
    </row>
    <row r="1664" spans="1:14" x14ac:dyDescent="0.3">
      <c r="A1664" s="2" t="s">
        <v>1662</v>
      </c>
      <c r="B1664" s="2" t="s">
        <v>12045</v>
      </c>
      <c r="C1664" s="2">
        <v>66</v>
      </c>
      <c r="D1664" s="2" t="s">
        <v>12041</v>
      </c>
      <c r="E1664" s="2">
        <f>COUNTIF(Table16[customer_id],Table13[[#This Row],[customer_id]])</f>
        <v>8</v>
      </c>
      <c r="F1664" s="13">
        <f>SUMIFS(Table16[Purchase_history],Table16[customer_id],Table13[[#This Row],[customer_id]])</f>
        <v>23208.879999999997</v>
      </c>
      <c r="G1664" s="20">
        <v>44311</v>
      </c>
      <c r="H1664" s="21">
        <v>44981</v>
      </c>
      <c r="I1664" s="15">
        <f>(Table134[[#This Row],[Last_Day]]-Table134[[#This Row],[First_Day]]+1)/365</f>
        <v>1.8383561643835618</v>
      </c>
      <c r="J1664" s="59">
        <f>Table134[[#This Row],[number_of_purchases]]/Table134[[#This Row],[customer_total_years]]</f>
        <v>4.3517138599105811</v>
      </c>
      <c r="K1664" s="13">
        <f>Table134[[#This Row],[purchase_history]]/Table134[[#This Row],[number_of_purchases]]</f>
        <v>2901.1099999999997</v>
      </c>
      <c r="L1664" s="2">
        <f>IF(YEAR(Table134[[#This Row],[Last_Day]])=2021,5,IF(YEAR(Table134[[#This Row],[Last_Day]])=2022,7,IF(YEAR(Table134[[#This Row],[Last_Day]])=2023,10,"Không xác định")))</f>
        <v>10</v>
      </c>
      <c r="M1664" s="15">
        <f>Table134[[#This Row],[avg_number_of_purchases]]*Table1345[[#This Row],[avg_purchase_value]]*Table1345[[#This Row],[expected_lifespan]]</f>
        <v>126248.00596125184</v>
      </c>
      <c r="N1664" t="s">
        <v>12048</v>
      </c>
    </row>
    <row r="1665" spans="1:14" x14ac:dyDescent="0.3">
      <c r="A1665" s="2" t="s">
        <v>1663</v>
      </c>
      <c r="B1665" s="2" t="s">
        <v>12045</v>
      </c>
      <c r="C1665" s="2">
        <v>42</v>
      </c>
      <c r="D1665" s="2" t="s">
        <v>12043</v>
      </c>
      <c r="E1665" s="2">
        <f>COUNTIF(Table16[customer_id],Table13[[#This Row],[customer_id]])</f>
        <v>2</v>
      </c>
      <c r="F1665" s="13">
        <f>SUMIFS(Table16[Purchase_history],Table16[customer_id],Table13[[#This Row],[customer_id]])</f>
        <v>7802.08</v>
      </c>
      <c r="G1665" s="20">
        <v>44202</v>
      </c>
      <c r="H1665" s="21">
        <v>44798</v>
      </c>
      <c r="I1665" s="15">
        <f>(Table134[[#This Row],[Last_Day]]-Table134[[#This Row],[First_Day]]+1)/365</f>
        <v>1.6356164383561644</v>
      </c>
      <c r="J1665" s="59">
        <f>Table134[[#This Row],[number_of_purchases]]/Table134[[#This Row],[customer_total_years]]</f>
        <v>1.2227805695142377</v>
      </c>
      <c r="K1665" s="13">
        <f>Table134[[#This Row],[purchase_history]]/Table134[[#This Row],[number_of_purchases]]</f>
        <v>3901.04</v>
      </c>
      <c r="L1665" s="2">
        <f>IF(YEAR(Table134[[#This Row],[Last_Day]])=2021,5,IF(YEAR(Table134[[#This Row],[Last_Day]])=2022,7,IF(YEAR(Table134[[#This Row],[Last_Day]])=2023,10,"Không xác định")))</f>
        <v>7</v>
      </c>
      <c r="M1665" s="15">
        <f>Table134[[#This Row],[avg_number_of_purchases]]*Table1345[[#This Row],[avg_purchase_value]]*Table1345[[#This Row],[expected_lifespan]]</f>
        <v>33390.811390284754</v>
      </c>
      <c r="N1665" t="s">
        <v>12042</v>
      </c>
    </row>
    <row r="1666" spans="1:14" x14ac:dyDescent="0.3">
      <c r="A1666" s="2" t="s">
        <v>1664</v>
      </c>
      <c r="B1666" s="2" t="s">
        <v>12040</v>
      </c>
      <c r="C1666" s="2">
        <v>25</v>
      </c>
      <c r="D1666" s="2" t="s">
        <v>12043</v>
      </c>
      <c r="E1666" s="2">
        <f>COUNTIF(Table16[customer_id],Table13[[#This Row],[customer_id]])</f>
        <v>2</v>
      </c>
      <c r="F1666" s="13">
        <f>SUMIFS(Table16[Purchase_history],Table16[customer_id],Table13[[#This Row],[customer_id]])</f>
        <v>2447.75</v>
      </c>
      <c r="G1666" s="20">
        <v>44589</v>
      </c>
      <c r="H1666" s="21">
        <v>44636</v>
      </c>
      <c r="I1666" s="15">
        <f>(Table134[[#This Row],[Last_Day]]-Table134[[#This Row],[First_Day]]+1)/365</f>
        <v>0.13150684931506848</v>
      </c>
      <c r="J1666" s="59">
        <f>Table134[[#This Row],[number_of_purchases]]/Table134[[#This Row],[customer_total_years]]</f>
        <v>15.208333333333336</v>
      </c>
      <c r="K1666" s="13">
        <f>Table134[[#This Row],[purchase_history]]/Table134[[#This Row],[number_of_purchases]]</f>
        <v>1223.875</v>
      </c>
      <c r="L1666" s="2">
        <f>IF(YEAR(Table134[[#This Row],[Last_Day]])=2021,5,IF(YEAR(Table134[[#This Row],[Last_Day]])=2022,7,IF(YEAR(Table134[[#This Row],[Last_Day]])=2023,10,"Không xác định")))</f>
        <v>7</v>
      </c>
      <c r="M1666" s="15">
        <f>Table134[[#This Row],[avg_number_of_purchases]]*Table1345[[#This Row],[avg_purchase_value]]*Table1345[[#This Row],[expected_lifespan]]</f>
        <v>130291.69270833334</v>
      </c>
      <c r="N1666" t="s">
        <v>12047</v>
      </c>
    </row>
    <row r="1667" spans="1:14" x14ac:dyDescent="0.3">
      <c r="A1667" s="2" t="s">
        <v>1665</v>
      </c>
      <c r="B1667" s="2" t="s">
        <v>12040</v>
      </c>
      <c r="C1667" s="2">
        <v>47</v>
      </c>
      <c r="D1667" s="2" t="s">
        <v>12041</v>
      </c>
      <c r="E1667" s="2">
        <f>COUNTIF(Table16[customer_id],Table13[[#This Row],[customer_id]])</f>
        <v>3</v>
      </c>
      <c r="F1667" s="13">
        <f>SUMIFS(Table16[Purchase_history],Table16[customer_id],Table13[[#This Row],[customer_id]])</f>
        <v>31951.61</v>
      </c>
      <c r="G1667" s="20">
        <v>44324</v>
      </c>
      <c r="H1667" s="21">
        <v>44955</v>
      </c>
      <c r="I1667" s="15">
        <f>(Table134[[#This Row],[Last_Day]]-Table134[[#This Row],[First_Day]]+1)/365</f>
        <v>1.7315068493150685</v>
      </c>
      <c r="J1667" s="59">
        <f>Table134[[#This Row],[number_of_purchases]]/Table134[[#This Row],[customer_total_years]]</f>
        <v>1.7325949367088607</v>
      </c>
      <c r="K1667" s="13">
        <f>Table134[[#This Row],[purchase_history]]/Table134[[#This Row],[number_of_purchases]]</f>
        <v>10650.536666666667</v>
      </c>
      <c r="L1667" s="2">
        <f>IF(YEAR(Table134[[#This Row],[Last_Day]])=2021,5,IF(YEAR(Table134[[#This Row],[Last_Day]])=2022,7,IF(YEAR(Table134[[#This Row],[Last_Day]])=2023,10,"Không xác định")))</f>
        <v>10</v>
      </c>
      <c r="M1667" s="15">
        <f>Table134[[#This Row],[avg_number_of_purchases]]*Table1345[[#This Row],[avg_purchase_value]]*Table1345[[#This Row],[expected_lifespan]]</f>
        <v>184530.65901898735</v>
      </c>
      <c r="N1667" t="s">
        <v>12047</v>
      </c>
    </row>
    <row r="1668" spans="1:14" x14ac:dyDescent="0.3">
      <c r="A1668" s="2" t="s">
        <v>1666</v>
      </c>
      <c r="B1668" s="2" t="s">
        <v>12045</v>
      </c>
      <c r="C1668" s="2">
        <v>52</v>
      </c>
      <c r="D1668" s="2" t="s">
        <v>12041</v>
      </c>
      <c r="E1668" s="2">
        <f>COUNTIF(Table16[customer_id],Table13[[#This Row],[customer_id]])</f>
        <v>11</v>
      </c>
      <c r="F1668" s="13">
        <f>SUMIFS(Table16[Purchase_history],Table16[customer_id],Table13[[#This Row],[customer_id]])</f>
        <v>42363.74</v>
      </c>
      <c r="G1668" s="20">
        <v>44214</v>
      </c>
      <c r="H1668" s="21">
        <v>44948</v>
      </c>
      <c r="I1668" s="15">
        <f>(Table134[[#This Row],[Last_Day]]-Table134[[#This Row],[First_Day]]+1)/365</f>
        <v>2.0136986301369864</v>
      </c>
      <c r="J1668" s="59">
        <f>Table134[[#This Row],[number_of_purchases]]/Table134[[#This Row],[customer_total_years]]</f>
        <v>5.4625850340136051</v>
      </c>
      <c r="K1668" s="13">
        <f>Table134[[#This Row],[purchase_history]]/Table134[[#This Row],[number_of_purchases]]</f>
        <v>3851.2490909090907</v>
      </c>
      <c r="L1668" s="2">
        <f>IF(YEAR(Table134[[#This Row],[Last_Day]])=2021,5,IF(YEAR(Table134[[#This Row],[Last_Day]])=2022,7,IF(YEAR(Table134[[#This Row],[Last_Day]])=2023,10,"Không xác định")))</f>
        <v>10</v>
      </c>
      <c r="M1668" s="15">
        <f>Table134[[#This Row],[avg_number_of_purchases]]*Table1345[[#This Row],[avg_purchase_value]]*Table1345[[#This Row],[expected_lifespan]]</f>
        <v>210377.75646258501</v>
      </c>
      <c r="N1668" t="s">
        <v>12047</v>
      </c>
    </row>
    <row r="1669" spans="1:14" x14ac:dyDescent="0.3">
      <c r="A1669" s="2" t="s">
        <v>1667</v>
      </c>
      <c r="B1669" s="2" t="s">
        <v>12045</v>
      </c>
      <c r="C1669" s="2">
        <v>63</v>
      </c>
      <c r="D1669" s="2" t="s">
        <v>12043</v>
      </c>
      <c r="E1669" s="2">
        <f>COUNTIF(Table16[customer_id],Table13[[#This Row],[customer_id]])</f>
        <v>4</v>
      </c>
      <c r="F1669" s="13">
        <f>SUMIFS(Table16[Purchase_history],Table16[customer_id],Table13[[#This Row],[customer_id]])</f>
        <v>11098.810000000001</v>
      </c>
      <c r="G1669" s="20">
        <v>44254</v>
      </c>
      <c r="H1669" s="21">
        <v>44791</v>
      </c>
      <c r="I1669" s="15">
        <f>(Table134[[#This Row],[Last_Day]]-Table134[[#This Row],[First_Day]]+1)/365</f>
        <v>1.473972602739726</v>
      </c>
      <c r="J1669" s="59">
        <f>Table134[[#This Row],[number_of_purchases]]/Table134[[#This Row],[customer_total_years]]</f>
        <v>2.7137546468401488</v>
      </c>
      <c r="K1669" s="13">
        <f>Table134[[#This Row],[purchase_history]]/Table134[[#This Row],[number_of_purchases]]</f>
        <v>2774.7025000000003</v>
      </c>
      <c r="L1669" s="2">
        <f>IF(YEAR(Table134[[#This Row],[Last_Day]])=2021,5,IF(YEAR(Table134[[#This Row],[Last_Day]])=2022,7,IF(YEAR(Table134[[#This Row],[Last_Day]])=2023,10,"Không xác định")))</f>
        <v>7</v>
      </c>
      <c r="M1669" s="15">
        <f>Table134[[#This Row],[avg_number_of_purchases]]*Table1345[[#This Row],[avg_purchase_value]]*Table1345[[#This Row],[expected_lifespan]]</f>
        <v>52709.032620817852</v>
      </c>
      <c r="N1669" t="s">
        <v>12048</v>
      </c>
    </row>
    <row r="1670" spans="1:14" x14ac:dyDescent="0.3">
      <c r="A1670" s="2" t="s">
        <v>1668</v>
      </c>
      <c r="B1670" s="2" t="s">
        <v>12045</v>
      </c>
      <c r="C1670" s="2">
        <v>22</v>
      </c>
      <c r="D1670" s="2" t="s">
        <v>12043</v>
      </c>
      <c r="E1670" s="2">
        <f>COUNTIF(Table16[customer_id],Table13[[#This Row],[customer_id]])</f>
        <v>4</v>
      </c>
      <c r="F1670" s="13">
        <f>SUMIFS(Table16[Purchase_history],Table16[customer_id],Table13[[#This Row],[customer_id]])</f>
        <v>7643.2099999999991</v>
      </c>
      <c r="G1670" s="20">
        <v>44270</v>
      </c>
      <c r="H1670" s="21">
        <v>44743</v>
      </c>
      <c r="I1670" s="15">
        <f>(Table134[[#This Row],[Last_Day]]-Table134[[#This Row],[First_Day]]+1)/365</f>
        <v>1.2986301369863014</v>
      </c>
      <c r="J1670" s="59">
        <f>Table134[[#This Row],[number_of_purchases]]/Table134[[#This Row],[customer_total_years]]</f>
        <v>3.0801687763713081</v>
      </c>
      <c r="K1670" s="13">
        <f>Table134[[#This Row],[purchase_history]]/Table134[[#This Row],[number_of_purchases]]</f>
        <v>1910.8024999999998</v>
      </c>
      <c r="L1670" s="2">
        <f>IF(YEAR(Table134[[#This Row],[Last_Day]])=2021,5,IF(YEAR(Table134[[#This Row],[Last_Day]])=2022,7,IF(YEAR(Table134[[#This Row],[Last_Day]])=2023,10,"Không xác định")))</f>
        <v>7</v>
      </c>
      <c r="M1670" s="15">
        <f>Table134[[#This Row],[avg_number_of_purchases]]*Table1345[[#This Row],[avg_purchase_value]]*Table1345[[#This Row],[expected_lifespan]]</f>
        <v>41199.159388185653</v>
      </c>
      <c r="N1670" t="s">
        <v>12042</v>
      </c>
    </row>
    <row r="1671" spans="1:14" x14ac:dyDescent="0.3">
      <c r="A1671" s="2" t="s">
        <v>1669</v>
      </c>
      <c r="B1671" s="2" t="s">
        <v>12040</v>
      </c>
      <c r="C1671" s="2">
        <v>32</v>
      </c>
      <c r="D1671" s="2" t="s">
        <v>12043</v>
      </c>
      <c r="E1671" s="2">
        <f>COUNTIF(Table16[customer_id],Table13[[#This Row],[customer_id]])</f>
        <v>5</v>
      </c>
      <c r="F1671" s="13">
        <f>SUMIFS(Table16[Purchase_history],Table16[customer_id],Table13[[#This Row],[customer_id]])</f>
        <v>23139.7</v>
      </c>
      <c r="G1671" s="20">
        <v>44454</v>
      </c>
      <c r="H1671" s="21">
        <v>44948</v>
      </c>
      <c r="I1671" s="15">
        <f>(Table134[[#This Row],[Last_Day]]-Table134[[#This Row],[First_Day]]+1)/365</f>
        <v>1.3561643835616439</v>
      </c>
      <c r="J1671" s="59">
        <f>Table134[[#This Row],[number_of_purchases]]/Table134[[#This Row],[customer_total_years]]</f>
        <v>3.6868686868686864</v>
      </c>
      <c r="K1671" s="13">
        <f>Table134[[#This Row],[purchase_history]]/Table134[[#This Row],[number_of_purchases]]</f>
        <v>4627.9400000000005</v>
      </c>
      <c r="L1671" s="2">
        <f>IF(YEAR(Table134[[#This Row],[Last_Day]])=2021,5,IF(YEAR(Table134[[#This Row],[Last_Day]])=2022,7,IF(YEAR(Table134[[#This Row],[Last_Day]])=2023,10,"Không xác định")))</f>
        <v>10</v>
      </c>
      <c r="M1671" s="15">
        <f>Table134[[#This Row],[avg_number_of_purchases]]*Table1345[[#This Row],[avg_purchase_value]]*Table1345[[#This Row],[expected_lifespan]]</f>
        <v>170626.07070707073</v>
      </c>
      <c r="N1671" t="s">
        <v>12047</v>
      </c>
    </row>
    <row r="1672" spans="1:14" x14ac:dyDescent="0.3">
      <c r="A1672" s="2" t="s">
        <v>1670</v>
      </c>
      <c r="B1672" s="2" t="s">
        <v>12040</v>
      </c>
      <c r="C1672" s="2">
        <v>42</v>
      </c>
      <c r="D1672" s="2" t="s">
        <v>12043</v>
      </c>
      <c r="E1672" s="2">
        <f>COUNTIF(Table16[customer_id],Table13[[#This Row],[customer_id]])</f>
        <v>7</v>
      </c>
      <c r="F1672" s="13">
        <f>SUMIFS(Table16[Purchase_history],Table16[customer_id],Table13[[#This Row],[customer_id]])</f>
        <v>6441.2599999999984</v>
      </c>
      <c r="G1672" s="20">
        <v>44239</v>
      </c>
      <c r="H1672" s="21">
        <v>44851</v>
      </c>
      <c r="I1672" s="15">
        <f>(Table134[[#This Row],[Last_Day]]-Table134[[#This Row],[First_Day]]+1)/365</f>
        <v>1.6794520547945206</v>
      </c>
      <c r="J1672" s="59">
        <f>Table134[[#This Row],[number_of_purchases]]/Table134[[#This Row],[customer_total_years]]</f>
        <v>4.1680261011419244</v>
      </c>
      <c r="K1672" s="13">
        <f>Table134[[#This Row],[purchase_history]]/Table134[[#This Row],[number_of_purchases]]</f>
        <v>920.17999999999972</v>
      </c>
      <c r="L1672" s="2">
        <f>IF(YEAR(Table134[[#This Row],[Last_Day]])=2021,5,IF(YEAR(Table134[[#This Row],[Last_Day]])=2022,7,IF(YEAR(Table134[[#This Row],[Last_Day]])=2023,10,"Không xác định")))</f>
        <v>7</v>
      </c>
      <c r="M1672" s="15">
        <f>Table134[[#This Row],[avg_number_of_purchases]]*Table1345[[#This Row],[avg_purchase_value]]*Table1345[[#This Row],[expected_lifespan]]</f>
        <v>26847.339804241423</v>
      </c>
      <c r="N1672" t="s">
        <v>12046</v>
      </c>
    </row>
    <row r="1673" spans="1:14" x14ac:dyDescent="0.3">
      <c r="A1673" s="2" t="s">
        <v>1671</v>
      </c>
      <c r="B1673" s="2" t="s">
        <v>12040</v>
      </c>
      <c r="C1673" s="2">
        <v>53</v>
      </c>
      <c r="D1673" s="2" t="s">
        <v>12043</v>
      </c>
      <c r="E1673" s="2">
        <f>COUNTIF(Table16[customer_id],Table13[[#This Row],[customer_id]])</f>
        <v>7</v>
      </c>
      <c r="F1673" s="13">
        <f>SUMIFS(Table16[Purchase_history],Table16[customer_id],Table13[[#This Row],[customer_id]])</f>
        <v>39206.159999999996</v>
      </c>
      <c r="G1673" s="20">
        <v>44222</v>
      </c>
      <c r="H1673" s="21">
        <v>44960</v>
      </c>
      <c r="I1673" s="15">
        <f>(Table134[[#This Row],[Last_Day]]-Table134[[#This Row],[First_Day]]+1)/365</f>
        <v>2.0246575342465754</v>
      </c>
      <c r="J1673" s="59">
        <f>Table134[[#This Row],[number_of_purchases]]/Table134[[#This Row],[customer_total_years]]</f>
        <v>3.4573748308525034</v>
      </c>
      <c r="K1673" s="13">
        <f>Table134[[#This Row],[purchase_history]]/Table134[[#This Row],[number_of_purchases]]</f>
        <v>5600.8799999999992</v>
      </c>
      <c r="L1673" s="2">
        <f>IF(YEAR(Table134[[#This Row],[Last_Day]])=2021,5,IF(YEAR(Table134[[#This Row],[Last_Day]])=2022,7,IF(YEAR(Table134[[#This Row],[Last_Day]])=2023,10,"Không xác định")))</f>
        <v>10</v>
      </c>
      <c r="M1673" s="15">
        <f>Table134[[#This Row],[avg_number_of_purchases]]*Table1345[[#This Row],[avg_purchase_value]]*Table1345[[#This Row],[expected_lifespan]]</f>
        <v>193643.41542625165</v>
      </c>
      <c r="N1673" t="s">
        <v>12047</v>
      </c>
    </row>
    <row r="1674" spans="1:14" x14ac:dyDescent="0.3">
      <c r="A1674" s="2" t="s">
        <v>1672</v>
      </c>
      <c r="B1674" s="2" t="s">
        <v>12045</v>
      </c>
      <c r="C1674" s="2">
        <v>43</v>
      </c>
      <c r="D1674" s="2" t="s">
        <v>12049</v>
      </c>
      <c r="E1674" s="2">
        <f>COUNTIF(Table16[customer_id],Table13[[#This Row],[customer_id]])</f>
        <v>4</v>
      </c>
      <c r="F1674" s="13">
        <f>SUMIFS(Table16[Purchase_history],Table16[customer_id],Table13[[#This Row],[customer_id]])</f>
        <v>19815.950000000004</v>
      </c>
      <c r="G1674" s="20">
        <v>44235</v>
      </c>
      <c r="H1674" s="21">
        <v>44777</v>
      </c>
      <c r="I1674" s="15">
        <f>(Table134[[#This Row],[Last_Day]]-Table134[[#This Row],[First_Day]]+1)/365</f>
        <v>1.4876712328767123</v>
      </c>
      <c r="J1674" s="59">
        <f>Table134[[#This Row],[number_of_purchases]]/Table134[[#This Row],[customer_total_years]]</f>
        <v>2.6887661141804786</v>
      </c>
      <c r="K1674" s="13">
        <f>Table134[[#This Row],[purchase_history]]/Table134[[#This Row],[number_of_purchases]]</f>
        <v>4953.9875000000011</v>
      </c>
      <c r="L1674" s="2">
        <f>IF(YEAR(Table134[[#This Row],[Last_Day]])=2021,5,IF(YEAR(Table134[[#This Row],[Last_Day]])=2022,7,IF(YEAR(Table134[[#This Row],[Last_Day]])=2023,10,"Không xác định")))</f>
        <v>7</v>
      </c>
      <c r="M1674" s="15">
        <f>Table134[[#This Row],[avg_number_of_purchases]]*Table1345[[#This Row],[avg_purchase_value]]*Table1345[[#This Row],[expected_lifespan]]</f>
        <v>93240.796040515663</v>
      </c>
      <c r="N1674" t="s">
        <v>12044</v>
      </c>
    </row>
    <row r="1675" spans="1:14" x14ac:dyDescent="0.3">
      <c r="A1675" s="2" t="s">
        <v>1673</v>
      </c>
      <c r="B1675" s="2" t="s">
        <v>12045</v>
      </c>
      <c r="C1675" s="2">
        <v>21</v>
      </c>
      <c r="D1675" s="2" t="s">
        <v>12043</v>
      </c>
      <c r="E1675" s="2">
        <f>COUNTIF(Table16[customer_id],Table13[[#This Row],[customer_id]])</f>
        <v>4</v>
      </c>
      <c r="F1675" s="13">
        <f>SUMIFS(Table16[Purchase_history],Table16[customer_id],Table13[[#This Row],[customer_id]])</f>
        <v>28803.78</v>
      </c>
      <c r="G1675" s="20">
        <v>44459</v>
      </c>
      <c r="H1675" s="21">
        <v>44858</v>
      </c>
      <c r="I1675" s="15">
        <f>(Table134[[#This Row],[Last_Day]]-Table134[[#This Row],[First_Day]]+1)/365</f>
        <v>1.095890410958904</v>
      </c>
      <c r="J1675" s="59">
        <f>Table134[[#This Row],[number_of_purchases]]/Table134[[#This Row],[customer_total_years]]</f>
        <v>3.6500000000000004</v>
      </c>
      <c r="K1675" s="13">
        <f>Table134[[#This Row],[purchase_history]]/Table134[[#This Row],[number_of_purchases]]</f>
        <v>7200.9449999999997</v>
      </c>
      <c r="L1675" s="2">
        <f>IF(YEAR(Table134[[#This Row],[Last_Day]])=2021,5,IF(YEAR(Table134[[#This Row],[Last_Day]])=2022,7,IF(YEAR(Table134[[#This Row],[Last_Day]])=2023,10,"Không xác định")))</f>
        <v>7</v>
      </c>
      <c r="M1675" s="15">
        <f>Table134[[#This Row],[avg_number_of_purchases]]*Table1345[[#This Row],[avg_purchase_value]]*Table1345[[#This Row],[expected_lifespan]]</f>
        <v>183984.14475000001</v>
      </c>
      <c r="N1675" t="s">
        <v>12042</v>
      </c>
    </row>
    <row r="1676" spans="1:14" x14ac:dyDescent="0.3">
      <c r="A1676" s="2" t="s">
        <v>1674</v>
      </c>
      <c r="B1676" s="2" t="s">
        <v>12040</v>
      </c>
      <c r="C1676" s="2">
        <v>32</v>
      </c>
      <c r="D1676" s="2" t="s">
        <v>12041</v>
      </c>
      <c r="E1676" s="2">
        <f>COUNTIF(Table16[customer_id],Table13[[#This Row],[customer_id]])</f>
        <v>5</v>
      </c>
      <c r="F1676" s="13">
        <f>SUMIFS(Table16[Purchase_history],Table16[customer_id],Table13[[#This Row],[customer_id]])</f>
        <v>20343.280000000002</v>
      </c>
      <c r="G1676" s="20">
        <v>44231</v>
      </c>
      <c r="H1676" s="21">
        <v>44787</v>
      </c>
      <c r="I1676" s="15">
        <f>(Table134[[#This Row],[Last_Day]]-Table134[[#This Row],[First_Day]]+1)/365</f>
        <v>1.526027397260274</v>
      </c>
      <c r="J1676" s="59">
        <f>Table134[[#This Row],[number_of_purchases]]/Table134[[#This Row],[customer_total_years]]</f>
        <v>3.2764811490125672</v>
      </c>
      <c r="K1676" s="13">
        <f>Table134[[#This Row],[purchase_history]]/Table134[[#This Row],[number_of_purchases]]</f>
        <v>4068.6560000000004</v>
      </c>
      <c r="L1676" s="2">
        <f>IF(YEAR(Table134[[#This Row],[Last_Day]])=2021,5,IF(YEAR(Table134[[#This Row],[Last_Day]])=2022,7,IF(YEAR(Table134[[#This Row],[Last_Day]])=2023,10,"Không xác định")))</f>
        <v>7</v>
      </c>
      <c r="M1676" s="15">
        <f>Table134[[#This Row],[avg_number_of_purchases]]*Table1345[[#This Row],[avg_purchase_value]]*Table1345[[#This Row],[expected_lifespan]]</f>
        <v>93316.122800718134</v>
      </c>
      <c r="N1676" t="s">
        <v>12042</v>
      </c>
    </row>
    <row r="1677" spans="1:14" x14ac:dyDescent="0.3">
      <c r="A1677" s="2" t="s">
        <v>1675</v>
      </c>
      <c r="B1677" s="2" t="s">
        <v>12045</v>
      </c>
      <c r="C1677" s="2">
        <v>19</v>
      </c>
      <c r="D1677" s="2" t="s">
        <v>12049</v>
      </c>
      <c r="E1677" s="2">
        <f>COUNTIF(Table16[customer_id],Table13[[#This Row],[customer_id]])</f>
        <v>4</v>
      </c>
      <c r="F1677" s="13">
        <f>SUMIFS(Table16[Purchase_history],Table16[customer_id],Table13[[#This Row],[customer_id]])</f>
        <v>3750.51</v>
      </c>
      <c r="G1677" s="20">
        <v>44333</v>
      </c>
      <c r="H1677" s="21">
        <v>44982</v>
      </c>
      <c r="I1677" s="15">
        <f>(Table134[[#This Row],[Last_Day]]-Table134[[#This Row],[First_Day]]+1)/365</f>
        <v>1.7808219178082192</v>
      </c>
      <c r="J1677" s="59">
        <f>Table134[[#This Row],[number_of_purchases]]/Table134[[#This Row],[customer_total_years]]</f>
        <v>2.2461538461538462</v>
      </c>
      <c r="K1677" s="13">
        <f>Table134[[#This Row],[purchase_history]]/Table134[[#This Row],[number_of_purchases]]</f>
        <v>937.62750000000005</v>
      </c>
      <c r="L1677" s="2">
        <f>IF(YEAR(Table134[[#This Row],[Last_Day]])=2021,5,IF(YEAR(Table134[[#This Row],[Last_Day]])=2022,7,IF(YEAR(Table134[[#This Row],[Last_Day]])=2023,10,"Không xác định")))</f>
        <v>10</v>
      </c>
      <c r="M1677" s="15">
        <f>Table134[[#This Row],[avg_number_of_purchases]]*Table1345[[#This Row],[avg_purchase_value]]*Table1345[[#This Row],[expected_lifespan]]</f>
        <v>21060.556153846155</v>
      </c>
      <c r="N1677" t="s">
        <v>12042</v>
      </c>
    </row>
    <row r="1678" spans="1:14" x14ac:dyDescent="0.3">
      <c r="A1678" s="2" t="s">
        <v>1676</v>
      </c>
      <c r="B1678" s="2" t="s">
        <v>12040</v>
      </c>
      <c r="C1678" s="2">
        <v>33</v>
      </c>
      <c r="D1678" s="2" t="s">
        <v>12043</v>
      </c>
      <c r="E1678" s="2">
        <f>COUNTIF(Table16[customer_id],Table13[[#This Row],[customer_id]])</f>
        <v>7</v>
      </c>
      <c r="F1678" s="13">
        <f>SUMIFS(Table16[Purchase_history],Table16[customer_id],Table13[[#This Row],[customer_id]])</f>
        <v>42790.590000000004</v>
      </c>
      <c r="G1678" s="20">
        <v>44425</v>
      </c>
      <c r="H1678" s="21">
        <v>44690</v>
      </c>
      <c r="I1678" s="15">
        <f>(Table134[[#This Row],[Last_Day]]-Table134[[#This Row],[First_Day]]+1)/365</f>
        <v>0.72876712328767124</v>
      </c>
      <c r="J1678" s="59">
        <f>Table134[[#This Row],[number_of_purchases]]/Table134[[#This Row],[customer_total_years]]</f>
        <v>9.6052631578947363</v>
      </c>
      <c r="K1678" s="13">
        <f>Table134[[#This Row],[purchase_history]]/Table134[[#This Row],[number_of_purchases]]</f>
        <v>6112.9414285714292</v>
      </c>
      <c r="L1678" s="2">
        <f>IF(YEAR(Table134[[#This Row],[Last_Day]])=2021,5,IF(YEAR(Table134[[#This Row],[Last_Day]])=2022,7,IF(YEAR(Table134[[#This Row],[Last_Day]])=2023,10,"Không xác định")))</f>
        <v>7</v>
      </c>
      <c r="M1678" s="15">
        <f>Table134[[#This Row],[avg_number_of_purchases]]*Table1345[[#This Row],[avg_purchase_value]]*Table1345[[#This Row],[expected_lifespan]]</f>
        <v>411014.87763157894</v>
      </c>
      <c r="N1678" t="s">
        <v>12048</v>
      </c>
    </row>
    <row r="1679" spans="1:14" x14ac:dyDescent="0.3">
      <c r="A1679" s="2" t="s">
        <v>1677</v>
      </c>
      <c r="B1679" s="2" t="s">
        <v>12045</v>
      </c>
      <c r="C1679" s="2">
        <v>38</v>
      </c>
      <c r="D1679" s="2" t="s">
        <v>12043</v>
      </c>
      <c r="E1679" s="2">
        <f>COUNTIF(Table16[customer_id],Table13[[#This Row],[customer_id]])</f>
        <v>4</v>
      </c>
      <c r="F1679" s="13">
        <f>SUMIFS(Table16[Purchase_history],Table16[customer_id],Table13[[#This Row],[customer_id]])</f>
        <v>7973.5099999999993</v>
      </c>
      <c r="G1679" s="20">
        <v>44296</v>
      </c>
      <c r="H1679" s="21">
        <v>44915</v>
      </c>
      <c r="I1679" s="15">
        <f>(Table134[[#This Row],[Last_Day]]-Table134[[#This Row],[First_Day]]+1)/365</f>
        <v>1.6986301369863013</v>
      </c>
      <c r="J1679" s="59">
        <f>Table134[[#This Row],[number_of_purchases]]/Table134[[#This Row],[customer_total_years]]</f>
        <v>2.3548387096774195</v>
      </c>
      <c r="K1679" s="13">
        <f>Table134[[#This Row],[purchase_history]]/Table134[[#This Row],[number_of_purchases]]</f>
        <v>1993.3774999999998</v>
      </c>
      <c r="L1679" s="2">
        <f>IF(YEAR(Table134[[#This Row],[Last_Day]])=2021,5,IF(YEAR(Table134[[#This Row],[Last_Day]])=2022,7,IF(YEAR(Table134[[#This Row],[Last_Day]])=2023,10,"Không xác định")))</f>
        <v>7</v>
      </c>
      <c r="M1679" s="15">
        <f>Table134[[#This Row],[avg_number_of_purchases]]*Table1345[[#This Row],[avg_purchase_value]]*Table1345[[#This Row],[expected_lifespan]]</f>
        <v>32858.577499999999</v>
      </c>
      <c r="N1679" t="s">
        <v>12046</v>
      </c>
    </row>
    <row r="1680" spans="1:14" x14ac:dyDescent="0.3">
      <c r="A1680" s="2" t="s">
        <v>1678</v>
      </c>
      <c r="B1680" s="2" t="s">
        <v>12040</v>
      </c>
      <c r="C1680" s="2">
        <v>44</v>
      </c>
      <c r="D1680" s="2" t="s">
        <v>12041</v>
      </c>
      <c r="E1680" s="2">
        <f>COUNTIF(Table16[customer_id],Table13[[#This Row],[customer_id]])</f>
        <v>5</v>
      </c>
      <c r="F1680" s="13">
        <f>SUMIFS(Table16[Purchase_history],Table16[customer_id],Table13[[#This Row],[customer_id]])</f>
        <v>13934.470000000001</v>
      </c>
      <c r="G1680" s="20">
        <v>44561</v>
      </c>
      <c r="H1680" s="21">
        <v>44892</v>
      </c>
      <c r="I1680" s="15">
        <f>(Table134[[#This Row],[Last_Day]]-Table134[[#This Row],[First_Day]]+1)/365</f>
        <v>0.90958904109589045</v>
      </c>
      <c r="J1680" s="59">
        <f>Table134[[#This Row],[number_of_purchases]]/Table134[[#This Row],[customer_total_years]]</f>
        <v>5.4969879518072284</v>
      </c>
      <c r="K1680" s="13">
        <f>Table134[[#This Row],[purchase_history]]/Table134[[#This Row],[number_of_purchases]]</f>
        <v>2786.8940000000002</v>
      </c>
      <c r="L1680" s="2">
        <f>IF(YEAR(Table134[[#This Row],[Last_Day]])=2021,5,IF(YEAR(Table134[[#This Row],[Last_Day]])=2022,7,IF(YEAR(Table134[[#This Row],[Last_Day]])=2023,10,"Không xác định")))</f>
        <v>7</v>
      </c>
      <c r="M1680" s="15">
        <f>Table134[[#This Row],[avg_number_of_purchases]]*Table1345[[#This Row],[avg_purchase_value]]*Table1345[[#This Row],[expected_lifespan]]</f>
        <v>107236.65918674698</v>
      </c>
      <c r="N1680" t="s">
        <v>12044</v>
      </c>
    </row>
    <row r="1681" spans="1:14" x14ac:dyDescent="0.3">
      <c r="A1681" s="2" t="s">
        <v>1679</v>
      </c>
      <c r="B1681" s="2" t="s">
        <v>12045</v>
      </c>
      <c r="C1681" s="2">
        <v>60</v>
      </c>
      <c r="D1681" s="2" t="s">
        <v>12041</v>
      </c>
      <c r="E1681" s="2">
        <f>COUNTIF(Table16[customer_id],Table13[[#This Row],[customer_id]])</f>
        <v>5</v>
      </c>
      <c r="F1681" s="13">
        <f>SUMIFS(Table16[Purchase_history],Table16[customer_id],Table13[[#This Row],[customer_id]])</f>
        <v>9608.7999999999993</v>
      </c>
      <c r="G1681" s="20">
        <v>44327</v>
      </c>
      <c r="H1681" s="21">
        <v>44979</v>
      </c>
      <c r="I1681" s="15">
        <f>(Table134[[#This Row],[Last_Day]]-Table134[[#This Row],[First_Day]]+1)/365</f>
        <v>1.789041095890411</v>
      </c>
      <c r="J1681" s="59">
        <f>Table134[[#This Row],[number_of_purchases]]/Table134[[#This Row],[customer_total_years]]</f>
        <v>2.7947932618682998</v>
      </c>
      <c r="K1681" s="13">
        <f>Table134[[#This Row],[purchase_history]]/Table134[[#This Row],[number_of_purchases]]</f>
        <v>1921.7599999999998</v>
      </c>
      <c r="L1681" s="2">
        <f>IF(YEAR(Table134[[#This Row],[Last_Day]])=2021,5,IF(YEAR(Table134[[#This Row],[Last_Day]])=2022,7,IF(YEAR(Table134[[#This Row],[Last_Day]])=2023,10,"Không xác định")))</f>
        <v>10</v>
      </c>
      <c r="M1681" s="15">
        <f>Table134[[#This Row],[avg_number_of_purchases]]*Table1345[[#This Row],[avg_purchase_value]]*Table1345[[#This Row],[expected_lifespan]]</f>
        <v>53709.218989280234</v>
      </c>
      <c r="N1681" t="s">
        <v>12042</v>
      </c>
    </row>
    <row r="1682" spans="1:14" x14ac:dyDescent="0.3">
      <c r="A1682" s="2" t="s">
        <v>1680</v>
      </c>
      <c r="B1682" s="2" t="s">
        <v>12040</v>
      </c>
      <c r="C1682" s="2">
        <v>18</v>
      </c>
      <c r="D1682" s="2" t="s">
        <v>12049</v>
      </c>
      <c r="E1682" s="2">
        <f>COUNTIF(Table16[customer_id],Table13[[#This Row],[customer_id]])</f>
        <v>9</v>
      </c>
      <c r="F1682" s="13">
        <f>SUMIFS(Table16[Purchase_history],Table16[customer_id],Table13[[#This Row],[customer_id]])</f>
        <v>40405.299999999996</v>
      </c>
      <c r="G1682" s="20">
        <v>44463</v>
      </c>
      <c r="H1682" s="21">
        <v>44938</v>
      </c>
      <c r="I1682" s="15">
        <f>(Table134[[#This Row],[Last_Day]]-Table134[[#This Row],[First_Day]]+1)/365</f>
        <v>1.3041095890410959</v>
      </c>
      <c r="J1682" s="59">
        <f>Table134[[#This Row],[number_of_purchases]]/Table134[[#This Row],[customer_total_years]]</f>
        <v>6.901260504201681</v>
      </c>
      <c r="K1682" s="13">
        <f>Table134[[#This Row],[purchase_history]]/Table134[[#This Row],[number_of_purchases]]</f>
        <v>4489.4777777777772</v>
      </c>
      <c r="L1682" s="2">
        <f>IF(YEAR(Table134[[#This Row],[Last_Day]])=2021,5,IF(YEAR(Table134[[#This Row],[Last_Day]])=2022,7,IF(YEAR(Table134[[#This Row],[Last_Day]])=2023,10,"Không xác định")))</f>
        <v>10</v>
      </c>
      <c r="M1682" s="15">
        <f>Table134[[#This Row],[avg_number_of_purchases]]*Table1345[[#This Row],[avg_purchase_value]]*Table1345[[#This Row],[expected_lifespan]]</f>
        <v>309830.55672268901</v>
      </c>
      <c r="N1682" t="s">
        <v>12047</v>
      </c>
    </row>
    <row r="1683" spans="1:14" x14ac:dyDescent="0.3">
      <c r="A1683" s="2" t="s">
        <v>1681</v>
      </c>
      <c r="B1683" s="2" t="s">
        <v>12040</v>
      </c>
      <c r="C1683" s="2">
        <v>69</v>
      </c>
      <c r="D1683" s="2" t="s">
        <v>12043</v>
      </c>
      <c r="E1683" s="2">
        <f>COUNTIF(Table16[customer_id],Table13[[#This Row],[customer_id]])</f>
        <v>7</v>
      </c>
      <c r="F1683" s="13">
        <f>SUMIFS(Table16[Purchase_history],Table16[customer_id],Table13[[#This Row],[customer_id]])</f>
        <v>13698.15</v>
      </c>
      <c r="G1683" s="20">
        <v>44366</v>
      </c>
      <c r="H1683" s="21">
        <v>44920</v>
      </c>
      <c r="I1683" s="15">
        <f>(Table134[[#This Row],[Last_Day]]-Table134[[#This Row],[First_Day]]+1)/365</f>
        <v>1.5205479452054795</v>
      </c>
      <c r="J1683" s="59">
        <f>Table134[[#This Row],[number_of_purchases]]/Table134[[#This Row],[customer_total_years]]</f>
        <v>4.6036036036036032</v>
      </c>
      <c r="K1683" s="13">
        <f>Table134[[#This Row],[purchase_history]]/Table134[[#This Row],[number_of_purchases]]</f>
        <v>1956.8785714285714</v>
      </c>
      <c r="L1683" s="2">
        <f>IF(YEAR(Table134[[#This Row],[Last_Day]])=2021,5,IF(YEAR(Table134[[#This Row],[Last_Day]])=2022,7,IF(YEAR(Table134[[#This Row],[Last_Day]])=2023,10,"Không xác định")))</f>
        <v>7</v>
      </c>
      <c r="M1683" s="15">
        <f>Table134[[#This Row],[avg_number_of_purchases]]*Table1345[[#This Row],[avg_purchase_value]]*Table1345[[#This Row],[expected_lifespan]]</f>
        <v>63060.852702702694</v>
      </c>
      <c r="N1683" t="s">
        <v>12042</v>
      </c>
    </row>
    <row r="1684" spans="1:14" x14ac:dyDescent="0.3">
      <c r="A1684" s="2" t="s">
        <v>1682</v>
      </c>
      <c r="B1684" s="2" t="s">
        <v>12045</v>
      </c>
      <c r="C1684" s="2">
        <v>66</v>
      </c>
      <c r="D1684" s="2" t="s">
        <v>12041</v>
      </c>
      <c r="E1684" s="2">
        <f>COUNTIF(Table16[customer_id],Table13[[#This Row],[customer_id]])</f>
        <v>5</v>
      </c>
      <c r="F1684" s="13">
        <f>SUMIFS(Table16[Purchase_history],Table16[customer_id],Table13[[#This Row],[customer_id]])</f>
        <v>24122.92</v>
      </c>
      <c r="G1684" s="20">
        <v>44471</v>
      </c>
      <c r="H1684" s="21">
        <v>44938</v>
      </c>
      <c r="I1684" s="15">
        <f>(Table134[[#This Row],[Last_Day]]-Table134[[#This Row],[First_Day]]+1)/365</f>
        <v>1.2821917808219179</v>
      </c>
      <c r="J1684" s="59">
        <f>Table134[[#This Row],[number_of_purchases]]/Table134[[#This Row],[customer_total_years]]</f>
        <v>3.8995726495726495</v>
      </c>
      <c r="K1684" s="13">
        <f>Table134[[#This Row],[purchase_history]]/Table134[[#This Row],[number_of_purchases]]</f>
        <v>4824.5839999999998</v>
      </c>
      <c r="L1684" s="2">
        <f>IF(YEAR(Table134[[#This Row],[Last_Day]])=2021,5,IF(YEAR(Table134[[#This Row],[Last_Day]])=2022,7,IF(YEAR(Table134[[#This Row],[Last_Day]])=2023,10,"Không xác định")))</f>
        <v>10</v>
      </c>
      <c r="M1684" s="15">
        <f>Table134[[#This Row],[avg_number_of_purchases]]*Table1345[[#This Row],[avg_purchase_value]]*Table1345[[#This Row],[expected_lifespan]]</f>
        <v>188138.15811965812</v>
      </c>
      <c r="N1684" t="s">
        <v>12042</v>
      </c>
    </row>
    <row r="1685" spans="1:14" x14ac:dyDescent="0.3">
      <c r="A1685" s="2" t="s">
        <v>1683</v>
      </c>
      <c r="B1685" s="2" t="s">
        <v>12045</v>
      </c>
      <c r="C1685" s="2">
        <v>46</v>
      </c>
      <c r="D1685" s="2" t="s">
        <v>12043</v>
      </c>
      <c r="E1685" s="2">
        <f>COUNTIF(Table16[customer_id],Table13[[#This Row],[customer_id]])</f>
        <v>7</v>
      </c>
      <c r="F1685" s="13">
        <f>SUMIFS(Table16[Purchase_history],Table16[customer_id],Table13[[#This Row],[customer_id]])</f>
        <v>22999.550000000003</v>
      </c>
      <c r="G1685" s="20">
        <v>44259</v>
      </c>
      <c r="H1685" s="21">
        <v>44835</v>
      </c>
      <c r="I1685" s="15">
        <f>(Table134[[#This Row],[Last_Day]]-Table134[[#This Row],[First_Day]]+1)/365</f>
        <v>1.5808219178082192</v>
      </c>
      <c r="J1685" s="59">
        <f>Table134[[#This Row],[number_of_purchases]]/Table134[[#This Row],[customer_total_years]]</f>
        <v>4.4280762564991329</v>
      </c>
      <c r="K1685" s="13">
        <f>Table134[[#This Row],[purchase_history]]/Table134[[#This Row],[number_of_purchases]]</f>
        <v>3285.6500000000005</v>
      </c>
      <c r="L1685" s="2">
        <f>IF(YEAR(Table134[[#This Row],[Last_Day]])=2021,5,IF(YEAR(Table134[[#This Row],[Last_Day]])=2022,7,IF(YEAR(Table134[[#This Row],[Last_Day]])=2023,10,"Không xác định")))</f>
        <v>7</v>
      </c>
      <c r="M1685" s="15">
        <f>Table134[[#This Row],[avg_number_of_purchases]]*Table1345[[#This Row],[avg_purchase_value]]*Table1345[[#This Row],[expected_lifespan]]</f>
        <v>101843.76126516465</v>
      </c>
      <c r="N1685" t="s">
        <v>12046</v>
      </c>
    </row>
    <row r="1686" spans="1:14" x14ac:dyDescent="0.3">
      <c r="A1686" s="2" t="s">
        <v>1684</v>
      </c>
      <c r="B1686" s="2" t="s">
        <v>12040</v>
      </c>
      <c r="C1686" s="2">
        <v>35</v>
      </c>
      <c r="D1686" s="2" t="s">
        <v>12043</v>
      </c>
      <c r="E1686" s="2">
        <f>COUNTIF(Table16[customer_id],Table13[[#This Row],[customer_id]])</f>
        <v>4</v>
      </c>
      <c r="F1686" s="13">
        <f>SUMIFS(Table16[Purchase_history],Table16[customer_id],Table13[[#This Row],[customer_id]])</f>
        <v>23249.86</v>
      </c>
      <c r="G1686" s="20">
        <v>44415</v>
      </c>
      <c r="H1686" s="21">
        <v>44922</v>
      </c>
      <c r="I1686" s="15">
        <f>(Table134[[#This Row],[Last_Day]]-Table134[[#This Row],[First_Day]]+1)/365</f>
        <v>1.3917808219178083</v>
      </c>
      <c r="J1686" s="59">
        <f>Table134[[#This Row],[number_of_purchases]]/Table134[[#This Row],[customer_total_years]]</f>
        <v>2.8740157480314958</v>
      </c>
      <c r="K1686" s="13">
        <f>Table134[[#This Row],[purchase_history]]/Table134[[#This Row],[number_of_purchases]]</f>
        <v>5812.4650000000001</v>
      </c>
      <c r="L1686" s="2">
        <f>IF(YEAR(Table134[[#This Row],[Last_Day]])=2021,5,IF(YEAR(Table134[[#This Row],[Last_Day]])=2022,7,IF(YEAR(Table134[[#This Row],[Last_Day]])=2023,10,"Không xác định")))</f>
        <v>7</v>
      </c>
      <c r="M1686" s="15">
        <f>Table134[[#This Row],[avg_number_of_purchases]]*Table1345[[#This Row],[avg_purchase_value]]*Table1345[[#This Row],[expected_lifespan]]</f>
        <v>116935.8116141732</v>
      </c>
      <c r="N1686" t="s">
        <v>12042</v>
      </c>
    </row>
    <row r="1687" spans="1:14" x14ac:dyDescent="0.3">
      <c r="A1687" s="2" t="s">
        <v>1685</v>
      </c>
      <c r="B1687" s="2" t="s">
        <v>12045</v>
      </c>
      <c r="C1687" s="2">
        <v>47</v>
      </c>
      <c r="D1687" s="2" t="s">
        <v>12043</v>
      </c>
      <c r="E1687" s="2">
        <f>COUNTIF(Table16[customer_id],Table13[[#This Row],[customer_id]])</f>
        <v>7</v>
      </c>
      <c r="F1687" s="13">
        <f>SUMIFS(Table16[Purchase_history],Table16[customer_id],Table13[[#This Row],[customer_id]])</f>
        <v>10090.949999999997</v>
      </c>
      <c r="G1687" s="20">
        <v>44267</v>
      </c>
      <c r="H1687" s="21">
        <v>44815</v>
      </c>
      <c r="I1687" s="15">
        <f>(Table134[[#This Row],[Last_Day]]-Table134[[#This Row],[First_Day]]+1)/365</f>
        <v>1.5041095890410958</v>
      </c>
      <c r="J1687" s="59">
        <f>Table134[[#This Row],[number_of_purchases]]/Table134[[#This Row],[customer_total_years]]</f>
        <v>4.6539162112932608</v>
      </c>
      <c r="K1687" s="13">
        <f>Table134[[#This Row],[purchase_history]]/Table134[[#This Row],[number_of_purchases]]</f>
        <v>1441.5642857142852</v>
      </c>
      <c r="L1687" s="2">
        <f>IF(YEAR(Table134[[#This Row],[Last_Day]])=2021,5,IF(YEAR(Table134[[#This Row],[Last_Day]])=2022,7,IF(YEAR(Table134[[#This Row],[Last_Day]])=2023,10,"Không xác định")))</f>
        <v>7</v>
      </c>
      <c r="M1687" s="15">
        <f>Table134[[#This Row],[avg_number_of_purchases]]*Table1345[[#This Row],[avg_purchase_value]]*Table1345[[#This Row],[expected_lifespan]]</f>
        <v>46962.435792349715</v>
      </c>
      <c r="N1687" t="s">
        <v>12042</v>
      </c>
    </row>
    <row r="1688" spans="1:14" x14ac:dyDescent="0.3">
      <c r="A1688" s="2" t="s">
        <v>1686</v>
      </c>
      <c r="B1688" s="2" t="s">
        <v>12040</v>
      </c>
      <c r="C1688" s="2">
        <v>46</v>
      </c>
      <c r="D1688" s="2" t="s">
        <v>12043</v>
      </c>
      <c r="E1688" s="2">
        <f>COUNTIF(Table16[customer_id],Table13[[#This Row],[customer_id]])</f>
        <v>6</v>
      </c>
      <c r="F1688" s="13">
        <f>SUMIFS(Table16[Purchase_history],Table16[customer_id],Table13[[#This Row],[customer_id]])</f>
        <v>32566.48</v>
      </c>
      <c r="G1688" s="20">
        <v>44248</v>
      </c>
      <c r="H1688" s="21">
        <v>44820</v>
      </c>
      <c r="I1688" s="15">
        <f>(Table134[[#This Row],[Last_Day]]-Table134[[#This Row],[First_Day]]+1)/365</f>
        <v>1.5698630136986302</v>
      </c>
      <c r="J1688" s="59">
        <f>Table134[[#This Row],[number_of_purchases]]/Table134[[#This Row],[customer_total_years]]</f>
        <v>3.8219895287958114</v>
      </c>
      <c r="K1688" s="13">
        <f>Table134[[#This Row],[purchase_history]]/Table134[[#This Row],[number_of_purchases]]</f>
        <v>5427.7466666666669</v>
      </c>
      <c r="L1688" s="2">
        <f>IF(YEAR(Table134[[#This Row],[Last_Day]])=2021,5,IF(YEAR(Table134[[#This Row],[Last_Day]])=2022,7,IF(YEAR(Table134[[#This Row],[Last_Day]])=2023,10,"Không xác định")))</f>
        <v>7</v>
      </c>
      <c r="M1688" s="15">
        <f>Table134[[#This Row],[avg_number_of_purchases]]*Table1345[[#This Row],[avg_purchase_value]]*Table1345[[#This Row],[expected_lifespan]]</f>
        <v>145213.53647469459</v>
      </c>
      <c r="N1688" t="s">
        <v>12046</v>
      </c>
    </row>
    <row r="1689" spans="1:14" x14ac:dyDescent="0.3">
      <c r="A1689" s="2" t="s">
        <v>1687</v>
      </c>
      <c r="B1689" s="2" t="s">
        <v>12045</v>
      </c>
      <c r="C1689" s="2">
        <v>53</v>
      </c>
      <c r="D1689" s="2" t="s">
        <v>12043</v>
      </c>
      <c r="E1689" s="2">
        <f>COUNTIF(Table16[customer_id],Table13[[#This Row],[customer_id]])</f>
        <v>3</v>
      </c>
      <c r="F1689" s="13">
        <f>SUMIFS(Table16[Purchase_history],Table16[customer_id],Table13[[#This Row],[customer_id]])</f>
        <v>2462.2599999999998</v>
      </c>
      <c r="G1689" s="20">
        <v>44308</v>
      </c>
      <c r="H1689" s="21">
        <v>44724</v>
      </c>
      <c r="I1689" s="15">
        <f>(Table134[[#This Row],[Last_Day]]-Table134[[#This Row],[First_Day]]+1)/365</f>
        <v>1.1424657534246576</v>
      </c>
      <c r="J1689" s="59">
        <f>Table134[[#This Row],[number_of_purchases]]/Table134[[#This Row],[customer_total_years]]</f>
        <v>2.6258992805755392</v>
      </c>
      <c r="K1689" s="13">
        <f>Table134[[#This Row],[purchase_history]]/Table134[[#This Row],[number_of_purchases]]</f>
        <v>820.75333333333322</v>
      </c>
      <c r="L1689" s="2">
        <f>IF(YEAR(Table134[[#This Row],[Last_Day]])=2021,5,IF(YEAR(Table134[[#This Row],[Last_Day]])=2022,7,IF(YEAR(Table134[[#This Row],[Last_Day]])=2023,10,"Không xác định")))</f>
        <v>7</v>
      </c>
      <c r="M1689" s="15">
        <f>Table134[[#This Row],[avg_number_of_purchases]]*Table1345[[#This Row],[avg_purchase_value]]*Table1345[[#This Row],[expected_lifespan]]</f>
        <v>15086.509112709828</v>
      </c>
      <c r="N1689" t="s">
        <v>12046</v>
      </c>
    </row>
    <row r="1690" spans="1:14" x14ac:dyDescent="0.3">
      <c r="A1690" s="2" t="s">
        <v>1688</v>
      </c>
      <c r="B1690" s="2" t="s">
        <v>12045</v>
      </c>
      <c r="C1690" s="2">
        <v>51</v>
      </c>
      <c r="D1690" s="2" t="s">
        <v>12043</v>
      </c>
      <c r="E1690" s="2">
        <f>COUNTIF(Table16[customer_id],Table13[[#This Row],[customer_id]])</f>
        <v>5</v>
      </c>
      <c r="F1690" s="13">
        <f>SUMIFS(Table16[Purchase_history],Table16[customer_id],Table13[[#This Row],[customer_id]])</f>
        <v>13575.93</v>
      </c>
      <c r="G1690" s="20">
        <v>44378</v>
      </c>
      <c r="H1690" s="21">
        <v>44947</v>
      </c>
      <c r="I1690" s="15">
        <f>(Table134[[#This Row],[Last_Day]]-Table134[[#This Row],[First_Day]]+1)/365</f>
        <v>1.5616438356164384</v>
      </c>
      <c r="J1690" s="59">
        <f>Table134[[#This Row],[number_of_purchases]]/Table134[[#This Row],[customer_total_years]]</f>
        <v>3.2017543859649122</v>
      </c>
      <c r="K1690" s="13">
        <f>Table134[[#This Row],[purchase_history]]/Table134[[#This Row],[number_of_purchases]]</f>
        <v>2715.1860000000001</v>
      </c>
      <c r="L1690" s="2">
        <f>IF(YEAR(Table134[[#This Row],[Last_Day]])=2021,5,IF(YEAR(Table134[[#This Row],[Last_Day]])=2022,7,IF(YEAR(Table134[[#This Row],[Last_Day]])=2023,10,"Không xác định")))</f>
        <v>10</v>
      </c>
      <c r="M1690" s="15">
        <f>Table134[[#This Row],[avg_number_of_purchases]]*Table1345[[#This Row],[avg_purchase_value]]*Table1345[[#This Row],[expected_lifespan]]</f>
        <v>86933.586842105273</v>
      </c>
      <c r="N1690" t="s">
        <v>12046</v>
      </c>
    </row>
    <row r="1691" spans="1:14" x14ac:dyDescent="0.3">
      <c r="A1691" s="2" t="s">
        <v>1689</v>
      </c>
      <c r="B1691" s="2" t="s">
        <v>12045</v>
      </c>
      <c r="C1691" s="2">
        <v>27</v>
      </c>
      <c r="D1691" s="2" t="s">
        <v>12041</v>
      </c>
      <c r="E1691" s="2">
        <f>COUNTIF(Table16[customer_id],Table13[[#This Row],[customer_id]])</f>
        <v>4</v>
      </c>
      <c r="F1691" s="13">
        <f>SUMIFS(Table16[Purchase_history],Table16[customer_id],Table13[[#This Row],[customer_id]])</f>
        <v>13374.72</v>
      </c>
      <c r="G1691" s="20">
        <v>44201</v>
      </c>
      <c r="H1691" s="21">
        <v>44682</v>
      </c>
      <c r="I1691" s="15">
        <f>(Table134[[#This Row],[Last_Day]]-Table134[[#This Row],[First_Day]]+1)/365</f>
        <v>1.3205479452054794</v>
      </c>
      <c r="J1691" s="59">
        <f>Table134[[#This Row],[number_of_purchases]]/Table134[[#This Row],[customer_total_years]]</f>
        <v>3.0290456431535273</v>
      </c>
      <c r="K1691" s="13">
        <f>Table134[[#This Row],[purchase_history]]/Table134[[#This Row],[number_of_purchases]]</f>
        <v>3343.68</v>
      </c>
      <c r="L1691" s="2">
        <f>IF(YEAR(Table134[[#This Row],[Last_Day]])=2021,5,IF(YEAR(Table134[[#This Row],[Last_Day]])=2022,7,IF(YEAR(Table134[[#This Row],[Last_Day]])=2023,10,"Không xác định")))</f>
        <v>7</v>
      </c>
      <c r="M1691" s="15">
        <f>Table134[[#This Row],[avg_number_of_purchases]]*Table1345[[#This Row],[avg_purchase_value]]*Table1345[[#This Row],[expected_lifespan]]</f>
        <v>70897.115352697088</v>
      </c>
      <c r="N1691" t="s">
        <v>12046</v>
      </c>
    </row>
    <row r="1692" spans="1:14" x14ac:dyDescent="0.3">
      <c r="A1692" s="2" t="s">
        <v>1690</v>
      </c>
      <c r="B1692" s="2" t="s">
        <v>12040</v>
      </c>
      <c r="C1692" s="2">
        <v>67</v>
      </c>
      <c r="D1692" s="2" t="s">
        <v>12041</v>
      </c>
      <c r="E1692" s="2">
        <f>COUNTIF(Table16[customer_id],Table13[[#This Row],[customer_id]])</f>
        <v>4</v>
      </c>
      <c r="F1692" s="13">
        <f>SUMIFS(Table16[Purchase_history],Table16[customer_id],Table13[[#This Row],[customer_id]])</f>
        <v>2589.9699999999998</v>
      </c>
      <c r="G1692" s="20">
        <v>44311</v>
      </c>
      <c r="H1692" s="21">
        <v>44835</v>
      </c>
      <c r="I1692" s="15">
        <f>(Table134[[#This Row],[Last_Day]]-Table134[[#This Row],[First_Day]]+1)/365</f>
        <v>1.4383561643835616</v>
      </c>
      <c r="J1692" s="59">
        <f>Table134[[#This Row],[number_of_purchases]]/Table134[[#This Row],[customer_total_years]]</f>
        <v>2.7809523809523808</v>
      </c>
      <c r="K1692" s="13">
        <f>Table134[[#This Row],[purchase_history]]/Table134[[#This Row],[number_of_purchases]]</f>
        <v>647.49249999999995</v>
      </c>
      <c r="L1692" s="2">
        <f>IF(YEAR(Table134[[#This Row],[Last_Day]])=2021,5,IF(YEAR(Table134[[#This Row],[Last_Day]])=2022,7,IF(YEAR(Table134[[#This Row],[Last_Day]])=2023,10,"Không xác định")))</f>
        <v>7</v>
      </c>
      <c r="M1692" s="15">
        <f>Table134[[#This Row],[avg_number_of_purchases]]*Table1345[[#This Row],[avg_purchase_value]]*Table1345[[#This Row],[expected_lifespan]]</f>
        <v>12604.520666666665</v>
      </c>
      <c r="N1692" t="s">
        <v>12048</v>
      </c>
    </row>
    <row r="1693" spans="1:14" x14ac:dyDescent="0.3">
      <c r="A1693" s="2" t="s">
        <v>1691</v>
      </c>
      <c r="B1693" s="2" t="s">
        <v>12045</v>
      </c>
      <c r="C1693" s="2">
        <v>55</v>
      </c>
      <c r="D1693" s="2" t="s">
        <v>12049</v>
      </c>
      <c r="E1693" s="2">
        <f>COUNTIF(Table16[customer_id],Table13[[#This Row],[customer_id]])</f>
        <v>5</v>
      </c>
      <c r="F1693" s="13">
        <f>SUMIFS(Table16[Purchase_history],Table16[customer_id],Table13[[#This Row],[customer_id]])</f>
        <v>2848.59</v>
      </c>
      <c r="G1693" s="20">
        <v>44302</v>
      </c>
      <c r="H1693" s="21">
        <v>44819</v>
      </c>
      <c r="I1693" s="15">
        <f>(Table134[[#This Row],[Last_Day]]-Table134[[#This Row],[First_Day]]+1)/365</f>
        <v>1.4191780821917808</v>
      </c>
      <c r="J1693" s="59">
        <f>Table134[[#This Row],[number_of_purchases]]/Table134[[#This Row],[customer_total_years]]</f>
        <v>3.5231660231660231</v>
      </c>
      <c r="K1693" s="13">
        <f>Table134[[#This Row],[purchase_history]]/Table134[[#This Row],[number_of_purchases]]</f>
        <v>569.71800000000007</v>
      </c>
      <c r="L1693" s="2">
        <f>IF(YEAR(Table134[[#This Row],[Last_Day]])=2021,5,IF(YEAR(Table134[[#This Row],[Last_Day]])=2022,7,IF(YEAR(Table134[[#This Row],[Last_Day]])=2023,10,"Không xác định")))</f>
        <v>7</v>
      </c>
      <c r="M1693" s="15">
        <f>Table134[[#This Row],[avg_number_of_purchases]]*Table1345[[#This Row],[avg_purchase_value]]*Table1345[[#This Row],[expected_lifespan]]</f>
        <v>14050.477702702705</v>
      </c>
      <c r="N1693" t="s">
        <v>12046</v>
      </c>
    </row>
    <row r="1694" spans="1:14" x14ac:dyDescent="0.3">
      <c r="A1694" s="2" t="s">
        <v>1692</v>
      </c>
      <c r="B1694" s="2" t="s">
        <v>12040</v>
      </c>
      <c r="C1694" s="2">
        <v>51</v>
      </c>
      <c r="D1694" s="2" t="s">
        <v>12043</v>
      </c>
      <c r="E1694" s="2">
        <f>COUNTIF(Table16[customer_id],Table13[[#This Row],[customer_id]])</f>
        <v>6</v>
      </c>
      <c r="F1694" s="13">
        <f>SUMIFS(Table16[Purchase_history],Table16[customer_id],Table13[[#This Row],[customer_id]])</f>
        <v>8640.4</v>
      </c>
      <c r="G1694" s="20">
        <v>44430</v>
      </c>
      <c r="H1694" s="21">
        <v>44985</v>
      </c>
      <c r="I1694" s="15">
        <f>(Table134[[#This Row],[Last_Day]]-Table134[[#This Row],[First_Day]]+1)/365</f>
        <v>1.5232876712328767</v>
      </c>
      <c r="J1694" s="59">
        <f>Table134[[#This Row],[number_of_purchases]]/Table134[[#This Row],[customer_total_years]]</f>
        <v>3.9388489208633093</v>
      </c>
      <c r="K1694" s="13">
        <f>Table134[[#This Row],[purchase_history]]/Table134[[#This Row],[number_of_purchases]]</f>
        <v>1440.0666666666666</v>
      </c>
      <c r="L1694" s="2">
        <f>IF(YEAR(Table134[[#This Row],[Last_Day]])=2021,5,IF(YEAR(Table134[[#This Row],[Last_Day]])=2022,7,IF(YEAR(Table134[[#This Row],[Last_Day]])=2023,10,"Không xác định")))</f>
        <v>10</v>
      </c>
      <c r="M1694" s="15">
        <f>Table134[[#This Row],[avg_number_of_purchases]]*Table1345[[#This Row],[avg_purchase_value]]*Table1345[[#This Row],[expected_lifespan]]</f>
        <v>56722.05035971223</v>
      </c>
      <c r="N1694" t="s">
        <v>12048</v>
      </c>
    </row>
    <row r="1695" spans="1:14" x14ac:dyDescent="0.3">
      <c r="A1695" s="2" t="s">
        <v>1693</v>
      </c>
      <c r="B1695" s="2" t="s">
        <v>12045</v>
      </c>
      <c r="C1695" s="2">
        <v>25</v>
      </c>
      <c r="D1695" s="2" t="s">
        <v>12049</v>
      </c>
      <c r="E1695" s="2">
        <f>COUNTIF(Table16[customer_id],Table13[[#This Row],[customer_id]])</f>
        <v>6</v>
      </c>
      <c r="F1695" s="13">
        <f>SUMIFS(Table16[Purchase_history],Table16[customer_id],Table13[[#This Row],[customer_id]])</f>
        <v>8081.9699999999993</v>
      </c>
      <c r="G1695" s="20">
        <v>44291</v>
      </c>
      <c r="H1695" s="21">
        <v>44869</v>
      </c>
      <c r="I1695" s="15">
        <f>(Table134[[#This Row],[Last_Day]]-Table134[[#This Row],[First_Day]]+1)/365</f>
        <v>1.5863013698630137</v>
      </c>
      <c r="J1695" s="59">
        <f>Table134[[#This Row],[number_of_purchases]]/Table134[[#This Row],[customer_total_years]]</f>
        <v>3.7823834196891193</v>
      </c>
      <c r="K1695" s="13">
        <f>Table134[[#This Row],[purchase_history]]/Table134[[#This Row],[number_of_purchases]]</f>
        <v>1346.9949999999999</v>
      </c>
      <c r="L1695" s="2">
        <f>IF(YEAR(Table134[[#This Row],[Last_Day]])=2021,5,IF(YEAR(Table134[[#This Row],[Last_Day]])=2022,7,IF(YEAR(Table134[[#This Row],[Last_Day]])=2023,10,"Không xác định")))</f>
        <v>7</v>
      </c>
      <c r="M1695" s="15">
        <f>Table134[[#This Row],[avg_number_of_purchases]]*Table1345[[#This Row],[avg_purchase_value]]*Table1345[[#This Row],[expected_lifespan]]</f>
        <v>35663.960880829014</v>
      </c>
      <c r="N1695" t="s">
        <v>12042</v>
      </c>
    </row>
    <row r="1696" spans="1:14" x14ac:dyDescent="0.3">
      <c r="A1696" s="2" t="s">
        <v>1694</v>
      </c>
      <c r="B1696" s="2" t="s">
        <v>12040</v>
      </c>
      <c r="C1696" s="2">
        <v>56</v>
      </c>
      <c r="D1696" s="2" t="s">
        <v>12041</v>
      </c>
      <c r="E1696" s="2">
        <f>COUNTIF(Table16[customer_id],Table13[[#This Row],[customer_id]])</f>
        <v>13</v>
      </c>
      <c r="F1696" s="13">
        <f>SUMIFS(Table16[Purchase_history],Table16[customer_id],Table13[[#This Row],[customer_id]])</f>
        <v>27194.829999999998</v>
      </c>
      <c r="G1696" s="20">
        <v>44266</v>
      </c>
      <c r="H1696" s="21">
        <v>44980</v>
      </c>
      <c r="I1696" s="15">
        <f>(Table134[[#This Row],[Last_Day]]-Table134[[#This Row],[First_Day]]+1)/365</f>
        <v>1.9589041095890412</v>
      </c>
      <c r="J1696" s="59">
        <f>Table134[[#This Row],[number_of_purchases]]/Table134[[#This Row],[customer_total_years]]</f>
        <v>6.6363636363636358</v>
      </c>
      <c r="K1696" s="13">
        <f>Table134[[#This Row],[purchase_history]]/Table134[[#This Row],[number_of_purchases]]</f>
        <v>2091.91</v>
      </c>
      <c r="L1696" s="2">
        <f>IF(YEAR(Table134[[#This Row],[Last_Day]])=2021,5,IF(YEAR(Table134[[#This Row],[Last_Day]])=2022,7,IF(YEAR(Table134[[#This Row],[Last_Day]])=2023,10,"Không xác định")))</f>
        <v>10</v>
      </c>
      <c r="M1696" s="15">
        <f>Table134[[#This Row],[avg_number_of_purchases]]*Table1345[[#This Row],[avg_purchase_value]]*Table1345[[#This Row],[expected_lifespan]]</f>
        <v>138826.75454545452</v>
      </c>
      <c r="N1696" t="s">
        <v>12047</v>
      </c>
    </row>
    <row r="1697" spans="1:14" x14ac:dyDescent="0.3">
      <c r="A1697" s="2" t="s">
        <v>1695</v>
      </c>
      <c r="B1697" s="2" t="s">
        <v>12040</v>
      </c>
      <c r="C1697" s="2">
        <v>64</v>
      </c>
      <c r="D1697" s="2" t="s">
        <v>12043</v>
      </c>
      <c r="E1697" s="2">
        <f>COUNTIF(Table16[customer_id],Table13[[#This Row],[customer_id]])</f>
        <v>7</v>
      </c>
      <c r="F1697" s="13">
        <f>SUMIFS(Table16[Purchase_history],Table16[customer_id],Table13[[#This Row],[customer_id]])</f>
        <v>21167.35</v>
      </c>
      <c r="G1697" s="20">
        <v>44303</v>
      </c>
      <c r="H1697" s="21">
        <v>44992</v>
      </c>
      <c r="I1697" s="15">
        <f>(Table134[[#This Row],[Last_Day]]-Table134[[#This Row],[First_Day]]+1)/365</f>
        <v>1.8904109589041096</v>
      </c>
      <c r="J1697" s="59">
        <f>Table134[[#This Row],[number_of_purchases]]/Table134[[#This Row],[customer_total_years]]</f>
        <v>3.7028985507246377</v>
      </c>
      <c r="K1697" s="13">
        <f>Table134[[#This Row],[purchase_history]]/Table134[[#This Row],[number_of_purchases]]</f>
        <v>3023.9071428571428</v>
      </c>
      <c r="L1697" s="2">
        <f>IF(YEAR(Table134[[#This Row],[Last_Day]])=2021,5,IF(YEAR(Table134[[#This Row],[Last_Day]])=2022,7,IF(YEAR(Table134[[#This Row],[Last_Day]])=2023,10,"Không xác định")))</f>
        <v>10</v>
      </c>
      <c r="M1697" s="15">
        <f>Table134[[#This Row],[avg_number_of_purchases]]*Table1345[[#This Row],[avg_purchase_value]]*Table1345[[#This Row],[expected_lifespan]]</f>
        <v>111972.21376811594</v>
      </c>
      <c r="N1697" t="s">
        <v>12044</v>
      </c>
    </row>
    <row r="1698" spans="1:14" x14ac:dyDescent="0.3">
      <c r="A1698" s="2" t="s">
        <v>1696</v>
      </c>
      <c r="B1698" s="2" t="s">
        <v>12045</v>
      </c>
      <c r="C1698" s="2">
        <v>19</v>
      </c>
      <c r="D1698" s="2" t="s">
        <v>12049</v>
      </c>
      <c r="E1698" s="2">
        <f>COUNTIF(Table16[customer_id],Table13[[#This Row],[customer_id]])</f>
        <v>3</v>
      </c>
      <c r="F1698" s="13">
        <f>SUMIFS(Table16[Purchase_history],Table16[customer_id],Table13[[#This Row],[customer_id]])</f>
        <v>7542.66</v>
      </c>
      <c r="G1698" s="20">
        <v>44387</v>
      </c>
      <c r="H1698" s="21">
        <v>44903</v>
      </c>
      <c r="I1698" s="15">
        <f>(Table134[[#This Row],[Last_Day]]-Table134[[#This Row],[First_Day]]+1)/365</f>
        <v>1.4164383561643836</v>
      </c>
      <c r="J1698" s="59">
        <f>Table134[[#This Row],[number_of_purchases]]/Table134[[#This Row],[customer_total_years]]</f>
        <v>2.1179883945841391</v>
      </c>
      <c r="K1698" s="13">
        <f>Table134[[#This Row],[purchase_history]]/Table134[[#This Row],[number_of_purchases]]</f>
        <v>2514.2199999999998</v>
      </c>
      <c r="L1698" s="2">
        <f>IF(YEAR(Table134[[#This Row],[Last_Day]])=2021,5,IF(YEAR(Table134[[#This Row],[Last_Day]])=2022,7,IF(YEAR(Table134[[#This Row],[Last_Day]])=2023,10,"Không xác định")))</f>
        <v>7</v>
      </c>
      <c r="M1698" s="15">
        <f>Table134[[#This Row],[avg_number_of_purchases]]*Table1345[[#This Row],[avg_purchase_value]]*Table1345[[#This Row],[expected_lifespan]]</f>
        <v>37275.621470019338</v>
      </c>
      <c r="N1698" t="s">
        <v>12047</v>
      </c>
    </row>
    <row r="1699" spans="1:14" x14ac:dyDescent="0.3">
      <c r="A1699" s="2" t="s">
        <v>1697</v>
      </c>
      <c r="B1699" s="2" t="s">
        <v>12045</v>
      </c>
      <c r="C1699" s="2">
        <v>62</v>
      </c>
      <c r="D1699" s="2" t="s">
        <v>12049</v>
      </c>
      <c r="E1699" s="2">
        <f>COUNTIF(Table16[customer_id],Table13[[#This Row],[customer_id]])</f>
        <v>5</v>
      </c>
      <c r="F1699" s="13">
        <f>SUMIFS(Table16[Purchase_history],Table16[customer_id],Table13[[#This Row],[customer_id]])</f>
        <v>6488.25</v>
      </c>
      <c r="G1699" s="20">
        <v>44248</v>
      </c>
      <c r="H1699" s="21">
        <v>44943</v>
      </c>
      <c r="I1699" s="15">
        <f>(Table134[[#This Row],[Last_Day]]-Table134[[#This Row],[First_Day]]+1)/365</f>
        <v>1.9068493150684931</v>
      </c>
      <c r="J1699" s="59">
        <f>Table134[[#This Row],[number_of_purchases]]/Table134[[#This Row],[customer_total_years]]</f>
        <v>2.6221264367816093</v>
      </c>
      <c r="K1699" s="13">
        <f>Table134[[#This Row],[purchase_history]]/Table134[[#This Row],[number_of_purchases]]</f>
        <v>1297.6500000000001</v>
      </c>
      <c r="L1699" s="2">
        <f>IF(YEAR(Table134[[#This Row],[Last_Day]])=2021,5,IF(YEAR(Table134[[#This Row],[Last_Day]])=2022,7,IF(YEAR(Table134[[#This Row],[Last_Day]])=2023,10,"Không xác định")))</f>
        <v>10</v>
      </c>
      <c r="M1699" s="15">
        <f>Table134[[#This Row],[avg_number_of_purchases]]*Table1345[[#This Row],[avg_purchase_value]]*Table1345[[#This Row],[expected_lifespan]]</f>
        <v>34026.023706896551</v>
      </c>
      <c r="N1699" t="s">
        <v>12047</v>
      </c>
    </row>
    <row r="1700" spans="1:14" x14ac:dyDescent="0.3">
      <c r="A1700" s="2" t="s">
        <v>1698</v>
      </c>
      <c r="B1700" s="2" t="s">
        <v>12040</v>
      </c>
      <c r="C1700" s="2">
        <v>50</v>
      </c>
      <c r="D1700" s="2" t="s">
        <v>12043</v>
      </c>
      <c r="E1700" s="2">
        <f>COUNTIF(Table16[customer_id],Table13[[#This Row],[customer_id]])</f>
        <v>6</v>
      </c>
      <c r="F1700" s="13">
        <f>SUMIFS(Table16[Purchase_history],Table16[customer_id],Table13[[#This Row],[customer_id]])</f>
        <v>1812.1299999999999</v>
      </c>
      <c r="G1700" s="20">
        <v>44338</v>
      </c>
      <c r="H1700" s="21">
        <v>44966</v>
      </c>
      <c r="I1700" s="15">
        <f>(Table134[[#This Row],[Last_Day]]-Table134[[#This Row],[First_Day]]+1)/365</f>
        <v>1.7232876712328766</v>
      </c>
      <c r="J1700" s="59">
        <f>Table134[[#This Row],[number_of_purchases]]/Table134[[#This Row],[customer_total_years]]</f>
        <v>3.4817170111287759</v>
      </c>
      <c r="K1700" s="13">
        <f>Table134[[#This Row],[purchase_history]]/Table134[[#This Row],[number_of_purchases]]</f>
        <v>302.02166666666665</v>
      </c>
      <c r="L1700" s="2">
        <f>IF(YEAR(Table134[[#This Row],[Last_Day]])=2021,5,IF(YEAR(Table134[[#This Row],[Last_Day]])=2022,7,IF(YEAR(Table134[[#This Row],[Last_Day]])=2023,10,"Không xác định")))</f>
        <v>10</v>
      </c>
      <c r="M1700" s="15">
        <f>Table134[[#This Row],[avg_number_of_purchases]]*Table1345[[#This Row],[avg_purchase_value]]*Table1345[[#This Row],[expected_lifespan]]</f>
        <v>10515.539745627979</v>
      </c>
      <c r="N1700" t="s">
        <v>12047</v>
      </c>
    </row>
    <row r="1701" spans="1:14" x14ac:dyDescent="0.3">
      <c r="A1701" s="2" t="s">
        <v>1699</v>
      </c>
      <c r="B1701" s="2" t="s">
        <v>12045</v>
      </c>
      <c r="C1701" s="2">
        <v>39</v>
      </c>
      <c r="D1701" s="2" t="s">
        <v>12043</v>
      </c>
      <c r="E1701" s="2">
        <f>COUNTIF(Table16[customer_id],Table13[[#This Row],[customer_id]])</f>
        <v>5</v>
      </c>
      <c r="F1701" s="13">
        <f>SUMIFS(Table16[Purchase_history],Table16[customer_id],Table13[[#This Row],[customer_id]])</f>
        <v>44381.07</v>
      </c>
      <c r="G1701" s="20">
        <v>44479</v>
      </c>
      <c r="H1701" s="21">
        <v>44782</v>
      </c>
      <c r="I1701" s="15">
        <f>(Table134[[#This Row],[Last_Day]]-Table134[[#This Row],[First_Day]]+1)/365</f>
        <v>0.83287671232876714</v>
      </c>
      <c r="J1701" s="59">
        <f>Table134[[#This Row],[number_of_purchases]]/Table134[[#This Row],[customer_total_years]]</f>
        <v>6.0032894736842106</v>
      </c>
      <c r="K1701" s="13">
        <f>Table134[[#This Row],[purchase_history]]/Table134[[#This Row],[number_of_purchases]]</f>
        <v>8876.2139999999999</v>
      </c>
      <c r="L1701" s="2">
        <f>IF(YEAR(Table134[[#This Row],[Last_Day]])=2021,5,IF(YEAR(Table134[[#This Row],[Last_Day]])=2022,7,IF(YEAR(Table134[[#This Row],[Last_Day]])=2023,10,"Không xác định")))</f>
        <v>7</v>
      </c>
      <c r="M1701" s="15">
        <f>Table134[[#This Row],[avg_number_of_purchases]]*Table1345[[#This Row],[avg_purchase_value]]*Table1345[[#This Row],[expected_lifespan]]</f>
        <v>373005.37450657896</v>
      </c>
      <c r="N1701" t="s">
        <v>12044</v>
      </c>
    </row>
    <row r="1702" spans="1:14" x14ac:dyDescent="0.3">
      <c r="A1702" s="2" t="s">
        <v>1700</v>
      </c>
      <c r="B1702" s="2" t="s">
        <v>12040</v>
      </c>
      <c r="C1702" s="2">
        <v>38</v>
      </c>
      <c r="D1702" s="2" t="s">
        <v>12043</v>
      </c>
      <c r="E1702" s="2">
        <f>COUNTIF(Table16[customer_id],Table13[[#This Row],[customer_id]])</f>
        <v>5</v>
      </c>
      <c r="F1702" s="13">
        <f>SUMIFS(Table16[Purchase_history],Table16[customer_id],Table13[[#This Row],[customer_id]])</f>
        <v>10950.14</v>
      </c>
      <c r="G1702" s="20">
        <v>44493</v>
      </c>
      <c r="H1702" s="21">
        <v>44957</v>
      </c>
      <c r="I1702" s="15">
        <f>(Table134[[#This Row],[Last_Day]]-Table134[[#This Row],[First_Day]]+1)/365</f>
        <v>1.273972602739726</v>
      </c>
      <c r="J1702" s="59">
        <f>Table134[[#This Row],[number_of_purchases]]/Table134[[#This Row],[customer_total_years]]</f>
        <v>3.924731182795699</v>
      </c>
      <c r="K1702" s="13">
        <f>Table134[[#This Row],[purchase_history]]/Table134[[#This Row],[number_of_purchases]]</f>
        <v>2190.0279999999998</v>
      </c>
      <c r="L1702" s="2">
        <f>IF(YEAR(Table134[[#This Row],[Last_Day]])=2021,5,IF(YEAR(Table134[[#This Row],[Last_Day]])=2022,7,IF(YEAR(Table134[[#This Row],[Last_Day]])=2023,10,"Không xác định")))</f>
        <v>10</v>
      </c>
      <c r="M1702" s="15">
        <f>Table134[[#This Row],[avg_number_of_purchases]]*Table1345[[#This Row],[avg_purchase_value]]*Table1345[[#This Row],[expected_lifespan]]</f>
        <v>85952.711827956984</v>
      </c>
      <c r="N1702" t="s">
        <v>12046</v>
      </c>
    </row>
    <row r="1703" spans="1:14" x14ac:dyDescent="0.3">
      <c r="A1703" s="2" t="s">
        <v>1701</v>
      </c>
      <c r="B1703" s="2" t="s">
        <v>12040</v>
      </c>
      <c r="C1703" s="2">
        <v>53</v>
      </c>
      <c r="D1703" s="2" t="s">
        <v>12049</v>
      </c>
      <c r="E1703" s="2">
        <f>COUNTIF(Table16[customer_id],Table13[[#This Row],[customer_id]])</f>
        <v>4</v>
      </c>
      <c r="F1703" s="13">
        <f>SUMIFS(Table16[Purchase_history],Table16[customer_id],Table13[[#This Row],[customer_id]])</f>
        <v>20728.25</v>
      </c>
      <c r="G1703" s="20">
        <v>44235</v>
      </c>
      <c r="H1703" s="21">
        <v>44886</v>
      </c>
      <c r="I1703" s="15">
        <f>(Table134[[#This Row],[Last_Day]]-Table134[[#This Row],[First_Day]]+1)/365</f>
        <v>1.7863013698630137</v>
      </c>
      <c r="J1703" s="59">
        <f>Table134[[#This Row],[number_of_purchases]]/Table134[[#This Row],[customer_total_years]]</f>
        <v>2.2392638036809815</v>
      </c>
      <c r="K1703" s="13">
        <f>Table134[[#This Row],[purchase_history]]/Table134[[#This Row],[number_of_purchases]]</f>
        <v>5182.0625</v>
      </c>
      <c r="L1703" s="2">
        <f>IF(YEAR(Table134[[#This Row],[Last_Day]])=2021,5,IF(YEAR(Table134[[#This Row],[Last_Day]])=2022,7,IF(YEAR(Table134[[#This Row],[Last_Day]])=2023,10,"Không xác định")))</f>
        <v>7</v>
      </c>
      <c r="M1703" s="15">
        <f>Table134[[#This Row],[avg_number_of_purchases]]*Table1345[[#This Row],[avg_purchase_value]]*Table1345[[#This Row],[expected_lifespan]]</f>
        <v>81228.034892638039</v>
      </c>
      <c r="N1703" t="s">
        <v>12047</v>
      </c>
    </row>
    <row r="1704" spans="1:14" x14ac:dyDescent="0.3">
      <c r="A1704" s="2" t="s">
        <v>1702</v>
      </c>
      <c r="B1704" s="2" t="s">
        <v>12040</v>
      </c>
      <c r="C1704" s="2">
        <v>55</v>
      </c>
      <c r="D1704" s="2" t="s">
        <v>12041</v>
      </c>
      <c r="E1704" s="2">
        <f>COUNTIF(Table16[customer_id],Table13[[#This Row],[customer_id]])</f>
        <v>2</v>
      </c>
      <c r="F1704" s="13">
        <f>SUMIFS(Table16[Purchase_history],Table16[customer_id],Table13[[#This Row],[customer_id]])</f>
        <v>211.14</v>
      </c>
      <c r="G1704" s="20">
        <v>44238</v>
      </c>
      <c r="H1704" s="21">
        <v>44437</v>
      </c>
      <c r="I1704" s="15">
        <f>(Table134[[#This Row],[Last_Day]]-Table134[[#This Row],[First_Day]]+1)/365</f>
        <v>0.54794520547945202</v>
      </c>
      <c r="J1704" s="59">
        <f>Table134[[#This Row],[number_of_purchases]]/Table134[[#This Row],[customer_total_years]]</f>
        <v>3.6500000000000004</v>
      </c>
      <c r="K1704" s="13">
        <f>Table134[[#This Row],[purchase_history]]/Table134[[#This Row],[number_of_purchases]]</f>
        <v>105.57</v>
      </c>
      <c r="L1704" s="2">
        <f>IF(YEAR(Table134[[#This Row],[Last_Day]])=2021,5,IF(YEAR(Table134[[#This Row],[Last_Day]])=2022,7,IF(YEAR(Table134[[#This Row],[Last_Day]])=2023,10,"Không xác định")))</f>
        <v>5</v>
      </c>
      <c r="M1704" s="15">
        <f>Table134[[#This Row],[avg_number_of_purchases]]*Table1345[[#This Row],[avg_purchase_value]]*Table1345[[#This Row],[expected_lifespan]]</f>
        <v>1926.6525000000001</v>
      </c>
      <c r="N1704" t="s">
        <v>12047</v>
      </c>
    </row>
    <row r="1705" spans="1:14" x14ac:dyDescent="0.3">
      <c r="A1705" s="2" t="s">
        <v>1703</v>
      </c>
      <c r="B1705" s="2" t="s">
        <v>12045</v>
      </c>
      <c r="C1705" s="2">
        <v>54</v>
      </c>
      <c r="D1705" s="2" t="s">
        <v>12043</v>
      </c>
      <c r="E1705" s="2">
        <f>COUNTIF(Table16[customer_id],Table13[[#This Row],[customer_id]])</f>
        <v>5</v>
      </c>
      <c r="F1705" s="13">
        <f>SUMIFS(Table16[Purchase_history],Table16[customer_id],Table13[[#This Row],[customer_id]])</f>
        <v>11362.74</v>
      </c>
      <c r="G1705" s="20">
        <v>44431</v>
      </c>
      <c r="H1705" s="21">
        <v>44958</v>
      </c>
      <c r="I1705" s="15">
        <f>(Table134[[#This Row],[Last_Day]]-Table134[[#This Row],[First_Day]]+1)/365</f>
        <v>1.4465753424657535</v>
      </c>
      <c r="J1705" s="59">
        <f>Table134[[#This Row],[number_of_purchases]]/Table134[[#This Row],[customer_total_years]]</f>
        <v>3.456439393939394</v>
      </c>
      <c r="K1705" s="13">
        <f>Table134[[#This Row],[purchase_history]]/Table134[[#This Row],[number_of_purchases]]</f>
        <v>2272.5479999999998</v>
      </c>
      <c r="L1705" s="2">
        <f>IF(YEAR(Table134[[#This Row],[Last_Day]])=2021,5,IF(YEAR(Table134[[#This Row],[Last_Day]])=2022,7,IF(YEAR(Table134[[#This Row],[Last_Day]])=2023,10,"Không xác định")))</f>
        <v>10</v>
      </c>
      <c r="M1705" s="15">
        <f>Table134[[#This Row],[avg_number_of_purchases]]*Table1345[[#This Row],[avg_purchase_value]]*Table1345[[#This Row],[expected_lifespan]]</f>
        <v>78549.244318181809</v>
      </c>
      <c r="N1705" t="s">
        <v>12048</v>
      </c>
    </row>
    <row r="1706" spans="1:14" x14ac:dyDescent="0.3">
      <c r="A1706" s="2" t="s">
        <v>1704</v>
      </c>
      <c r="B1706" s="2" t="s">
        <v>12040</v>
      </c>
      <c r="C1706" s="2">
        <v>22</v>
      </c>
      <c r="D1706" s="2" t="s">
        <v>12043</v>
      </c>
      <c r="E1706" s="2">
        <f>COUNTIF(Table16[customer_id],Table13[[#This Row],[customer_id]])</f>
        <v>6</v>
      </c>
      <c r="F1706" s="13">
        <f>SUMIFS(Table16[Purchase_history],Table16[customer_id],Table13[[#This Row],[customer_id]])</f>
        <v>28257.960000000003</v>
      </c>
      <c r="G1706" s="20">
        <v>44423</v>
      </c>
      <c r="H1706" s="21">
        <v>44959</v>
      </c>
      <c r="I1706" s="15">
        <f>(Table134[[#This Row],[Last_Day]]-Table134[[#This Row],[First_Day]]+1)/365</f>
        <v>1.4712328767123288</v>
      </c>
      <c r="J1706" s="59">
        <f>Table134[[#This Row],[number_of_purchases]]/Table134[[#This Row],[customer_total_years]]</f>
        <v>4.0782122905027931</v>
      </c>
      <c r="K1706" s="13">
        <f>Table134[[#This Row],[purchase_history]]/Table134[[#This Row],[number_of_purchases]]</f>
        <v>4709.6600000000008</v>
      </c>
      <c r="L1706" s="2">
        <f>IF(YEAR(Table134[[#This Row],[Last_Day]])=2021,5,IF(YEAR(Table134[[#This Row],[Last_Day]])=2022,7,IF(YEAR(Table134[[#This Row],[Last_Day]])=2023,10,"Không xác định")))</f>
        <v>10</v>
      </c>
      <c r="M1706" s="15">
        <f>Table134[[#This Row],[avg_number_of_purchases]]*Table1345[[#This Row],[avg_purchase_value]]*Table1345[[#This Row],[expected_lifespan]]</f>
        <v>192069.9329608939</v>
      </c>
      <c r="N1706" t="s">
        <v>12048</v>
      </c>
    </row>
    <row r="1707" spans="1:14" x14ac:dyDescent="0.3">
      <c r="A1707" s="2" t="s">
        <v>1705</v>
      </c>
      <c r="B1707" s="2" t="s">
        <v>12045</v>
      </c>
      <c r="C1707" s="2">
        <v>47</v>
      </c>
      <c r="D1707" s="2" t="s">
        <v>12043</v>
      </c>
      <c r="E1707" s="2">
        <f>COUNTIF(Table16[customer_id],Table13[[#This Row],[customer_id]])</f>
        <v>1</v>
      </c>
      <c r="F1707" s="13">
        <f>SUMIFS(Table16[Purchase_history],Table16[customer_id],Table13[[#This Row],[customer_id]])</f>
        <v>136.35000000000002</v>
      </c>
      <c r="G1707" s="20">
        <v>44783</v>
      </c>
      <c r="H1707" s="21">
        <v>44783</v>
      </c>
      <c r="I1707" s="15">
        <f>(Table134[[#This Row],[Last_Day]]-Table134[[#This Row],[First_Day]]+1)/365</f>
        <v>2.7397260273972603E-3</v>
      </c>
      <c r="J1707" s="59">
        <f>Table134[[#This Row],[number_of_purchases]]/Table134[[#This Row],[customer_total_years]]</f>
        <v>365</v>
      </c>
      <c r="K1707" s="13">
        <f>Table134[[#This Row],[purchase_history]]/Table134[[#This Row],[number_of_purchases]]</f>
        <v>136.35000000000002</v>
      </c>
      <c r="L1707" s="2">
        <f>IF(YEAR(Table134[[#This Row],[Last_Day]])=2021,5,IF(YEAR(Table134[[#This Row],[Last_Day]])=2022,7,IF(YEAR(Table134[[#This Row],[Last_Day]])=2023,10,"Không xác định")))</f>
        <v>7</v>
      </c>
      <c r="M1707" s="15">
        <f>Table134[[#This Row],[avg_number_of_purchases]]*Table1345[[#This Row],[avg_purchase_value]]*Table1345[[#This Row],[expected_lifespan]]</f>
        <v>348374.25000000006</v>
      </c>
      <c r="N1707" t="s">
        <v>12048</v>
      </c>
    </row>
    <row r="1708" spans="1:14" x14ac:dyDescent="0.3">
      <c r="A1708" s="2" t="s">
        <v>1706</v>
      </c>
      <c r="B1708" s="2" t="s">
        <v>12045</v>
      </c>
      <c r="C1708" s="2">
        <v>46</v>
      </c>
      <c r="D1708" s="2" t="s">
        <v>12041</v>
      </c>
      <c r="E1708" s="2">
        <f>COUNTIF(Table16[customer_id],Table13[[#This Row],[customer_id]])</f>
        <v>5</v>
      </c>
      <c r="F1708" s="13">
        <f>SUMIFS(Table16[Purchase_history],Table16[customer_id],Table13[[#This Row],[customer_id]])</f>
        <v>17082.600000000002</v>
      </c>
      <c r="G1708" s="20">
        <v>44215</v>
      </c>
      <c r="H1708" s="21">
        <v>44671</v>
      </c>
      <c r="I1708" s="15">
        <f>(Table134[[#This Row],[Last_Day]]-Table134[[#This Row],[First_Day]]+1)/365</f>
        <v>1.252054794520548</v>
      </c>
      <c r="J1708" s="59">
        <f>Table134[[#This Row],[number_of_purchases]]/Table134[[#This Row],[customer_total_years]]</f>
        <v>3.9934354485776802</v>
      </c>
      <c r="K1708" s="13">
        <f>Table134[[#This Row],[purchase_history]]/Table134[[#This Row],[number_of_purchases]]</f>
        <v>3416.5200000000004</v>
      </c>
      <c r="L1708" s="2">
        <f>IF(YEAR(Table134[[#This Row],[Last_Day]])=2021,5,IF(YEAR(Table134[[#This Row],[Last_Day]])=2022,7,IF(YEAR(Table134[[#This Row],[Last_Day]])=2023,10,"Không xác định")))</f>
        <v>7</v>
      </c>
      <c r="M1708" s="15">
        <f>Table134[[#This Row],[avg_number_of_purchases]]*Table1345[[#This Row],[avg_purchase_value]]*Table1345[[#This Row],[expected_lifespan]]</f>
        <v>95505.564551422329</v>
      </c>
      <c r="N1708" t="s">
        <v>12044</v>
      </c>
    </row>
    <row r="1709" spans="1:14" x14ac:dyDescent="0.3">
      <c r="A1709" s="2" t="s">
        <v>1707</v>
      </c>
      <c r="B1709" s="2" t="s">
        <v>12045</v>
      </c>
      <c r="C1709" s="2">
        <v>46</v>
      </c>
      <c r="D1709" s="2" t="s">
        <v>12043</v>
      </c>
      <c r="E1709" s="2">
        <f>COUNTIF(Table16[customer_id],Table13[[#This Row],[customer_id]])</f>
        <v>3</v>
      </c>
      <c r="F1709" s="13">
        <f>SUMIFS(Table16[Purchase_history],Table16[customer_id],Table13[[#This Row],[customer_id]])</f>
        <v>6057.32</v>
      </c>
      <c r="G1709" s="20">
        <v>44849</v>
      </c>
      <c r="H1709" s="21">
        <v>44960</v>
      </c>
      <c r="I1709" s="15">
        <f>(Table134[[#This Row],[Last_Day]]-Table134[[#This Row],[First_Day]]+1)/365</f>
        <v>0.30684931506849317</v>
      </c>
      <c r="J1709" s="59">
        <f>Table134[[#This Row],[number_of_purchases]]/Table134[[#This Row],[customer_total_years]]</f>
        <v>9.7767857142857135</v>
      </c>
      <c r="K1709" s="13">
        <f>Table134[[#This Row],[purchase_history]]/Table134[[#This Row],[number_of_purchases]]</f>
        <v>2019.1066666666666</v>
      </c>
      <c r="L1709" s="2">
        <f>IF(YEAR(Table134[[#This Row],[Last_Day]])=2021,5,IF(YEAR(Table134[[#This Row],[Last_Day]])=2022,7,IF(YEAR(Table134[[#This Row],[Last_Day]])=2023,10,"Không xác định")))</f>
        <v>10</v>
      </c>
      <c r="M1709" s="15">
        <f>Table134[[#This Row],[avg_number_of_purchases]]*Table1345[[#This Row],[avg_purchase_value]]*Table1345[[#This Row],[expected_lifespan]]</f>
        <v>197403.7321428571</v>
      </c>
      <c r="N1709" t="s">
        <v>12042</v>
      </c>
    </row>
    <row r="1710" spans="1:14" x14ac:dyDescent="0.3">
      <c r="A1710" s="2" t="s">
        <v>1708</v>
      </c>
      <c r="B1710" s="2" t="s">
        <v>12040</v>
      </c>
      <c r="C1710" s="2">
        <v>49</v>
      </c>
      <c r="D1710" s="2" t="s">
        <v>12049</v>
      </c>
      <c r="E1710" s="2">
        <f>COUNTIF(Table16[customer_id],Table13[[#This Row],[customer_id]])</f>
        <v>3</v>
      </c>
      <c r="F1710" s="13">
        <f>SUMIFS(Table16[Purchase_history],Table16[customer_id],Table13[[#This Row],[customer_id]])</f>
        <v>33792.660000000003</v>
      </c>
      <c r="G1710" s="20">
        <v>44340</v>
      </c>
      <c r="H1710" s="21">
        <v>44851</v>
      </c>
      <c r="I1710" s="15">
        <f>(Table134[[#This Row],[Last_Day]]-Table134[[#This Row],[First_Day]]+1)/365</f>
        <v>1.4027397260273973</v>
      </c>
      <c r="J1710" s="59">
        <f>Table134[[#This Row],[number_of_purchases]]/Table134[[#This Row],[customer_total_years]]</f>
        <v>2.138671875</v>
      </c>
      <c r="K1710" s="13">
        <f>Table134[[#This Row],[purchase_history]]/Table134[[#This Row],[number_of_purchases]]</f>
        <v>11264.220000000001</v>
      </c>
      <c r="L1710" s="2">
        <f>IF(YEAR(Table134[[#This Row],[Last_Day]])=2021,5,IF(YEAR(Table134[[#This Row],[Last_Day]])=2022,7,IF(YEAR(Table134[[#This Row],[Last_Day]])=2023,10,"Không xác định")))</f>
        <v>7</v>
      </c>
      <c r="M1710" s="15">
        <f>Table134[[#This Row],[avg_number_of_purchases]]*Table1345[[#This Row],[avg_purchase_value]]*Table1345[[#This Row],[expected_lifespan]]</f>
        <v>168633.29355468749</v>
      </c>
      <c r="N1710" t="s">
        <v>12048</v>
      </c>
    </row>
    <row r="1711" spans="1:14" x14ac:dyDescent="0.3">
      <c r="A1711" s="2" t="s">
        <v>1709</v>
      </c>
      <c r="B1711" s="2" t="s">
        <v>12045</v>
      </c>
      <c r="C1711" s="2">
        <v>48</v>
      </c>
      <c r="D1711" s="2" t="s">
        <v>12043</v>
      </c>
      <c r="E1711" s="2">
        <f>COUNTIF(Table16[customer_id],Table13[[#This Row],[customer_id]])</f>
        <v>7</v>
      </c>
      <c r="F1711" s="13">
        <f>SUMIFS(Table16[Purchase_history],Table16[customer_id],Table13[[#This Row],[customer_id]])</f>
        <v>20918.650000000001</v>
      </c>
      <c r="G1711" s="20">
        <v>44258</v>
      </c>
      <c r="H1711" s="21">
        <v>44873</v>
      </c>
      <c r="I1711" s="15">
        <f>(Table134[[#This Row],[Last_Day]]-Table134[[#This Row],[First_Day]]+1)/365</f>
        <v>1.6876712328767123</v>
      </c>
      <c r="J1711" s="59">
        <f>Table134[[#This Row],[number_of_purchases]]/Table134[[#This Row],[customer_total_years]]</f>
        <v>4.1477272727272725</v>
      </c>
      <c r="K1711" s="13">
        <f>Table134[[#This Row],[purchase_history]]/Table134[[#This Row],[number_of_purchases]]</f>
        <v>2988.3785714285718</v>
      </c>
      <c r="L1711" s="2">
        <f>IF(YEAR(Table134[[#This Row],[Last_Day]])=2021,5,IF(YEAR(Table134[[#This Row],[Last_Day]])=2022,7,IF(YEAR(Table134[[#This Row],[Last_Day]])=2023,10,"Không xác định")))</f>
        <v>7</v>
      </c>
      <c r="M1711" s="15">
        <f>Table134[[#This Row],[avg_number_of_purchases]]*Table1345[[#This Row],[avg_purchase_value]]*Table1345[[#This Row],[expected_lifespan]]</f>
        <v>86764.855113636368</v>
      </c>
      <c r="N1711" t="s">
        <v>12044</v>
      </c>
    </row>
    <row r="1712" spans="1:14" x14ac:dyDescent="0.3">
      <c r="A1712" s="2" t="s">
        <v>1710</v>
      </c>
      <c r="B1712" s="2" t="s">
        <v>12045</v>
      </c>
      <c r="C1712" s="2">
        <v>53</v>
      </c>
      <c r="D1712" s="2" t="s">
        <v>12043</v>
      </c>
      <c r="E1712" s="2">
        <f>COUNTIF(Table16[customer_id],Table13[[#This Row],[customer_id]])</f>
        <v>5</v>
      </c>
      <c r="F1712" s="13">
        <f>SUMIFS(Table16[Purchase_history],Table16[customer_id],Table13[[#This Row],[customer_id]])</f>
        <v>11599.81</v>
      </c>
      <c r="G1712" s="20">
        <v>44269</v>
      </c>
      <c r="H1712" s="21">
        <v>44867</v>
      </c>
      <c r="I1712" s="15">
        <f>(Table134[[#This Row],[Last_Day]]-Table134[[#This Row],[First_Day]]+1)/365</f>
        <v>1.6410958904109589</v>
      </c>
      <c r="J1712" s="59">
        <f>Table134[[#This Row],[number_of_purchases]]/Table134[[#This Row],[customer_total_years]]</f>
        <v>3.046744574290484</v>
      </c>
      <c r="K1712" s="13">
        <f>Table134[[#This Row],[purchase_history]]/Table134[[#This Row],[number_of_purchases]]</f>
        <v>2319.962</v>
      </c>
      <c r="L1712" s="2">
        <f>IF(YEAR(Table134[[#This Row],[Last_Day]])=2021,5,IF(YEAR(Table134[[#This Row],[Last_Day]])=2022,7,IF(YEAR(Table134[[#This Row],[Last_Day]])=2023,10,"Không xác định")))</f>
        <v>7</v>
      </c>
      <c r="M1712" s="15">
        <f>Table134[[#This Row],[avg_number_of_purchases]]*Table1345[[#This Row],[avg_purchase_value]]*Table1345[[#This Row],[expected_lifespan]]</f>
        <v>49478.321452420692</v>
      </c>
      <c r="N1712" t="s">
        <v>12048</v>
      </c>
    </row>
    <row r="1713" spans="1:14" x14ac:dyDescent="0.3">
      <c r="A1713" s="2" t="s">
        <v>1711</v>
      </c>
      <c r="B1713" s="2" t="s">
        <v>12045</v>
      </c>
      <c r="C1713" s="2">
        <v>34</v>
      </c>
      <c r="D1713" s="2" t="s">
        <v>12041</v>
      </c>
      <c r="E1713" s="2">
        <f>COUNTIF(Table16[customer_id],Table13[[#This Row],[customer_id]])</f>
        <v>8</v>
      </c>
      <c r="F1713" s="13">
        <f>SUMIFS(Table16[Purchase_history],Table16[customer_id],Table13[[#This Row],[customer_id]])</f>
        <v>79580.639999999999</v>
      </c>
      <c r="G1713" s="20">
        <v>44350</v>
      </c>
      <c r="H1713" s="21">
        <v>44923</v>
      </c>
      <c r="I1713" s="15">
        <f>(Table134[[#This Row],[Last_Day]]-Table134[[#This Row],[First_Day]]+1)/365</f>
        <v>1.5726027397260274</v>
      </c>
      <c r="J1713" s="59">
        <f>Table134[[#This Row],[number_of_purchases]]/Table134[[#This Row],[customer_total_years]]</f>
        <v>5.0871080139372822</v>
      </c>
      <c r="K1713" s="13">
        <f>Table134[[#This Row],[purchase_history]]/Table134[[#This Row],[number_of_purchases]]</f>
        <v>9947.58</v>
      </c>
      <c r="L1713" s="2">
        <f>IF(YEAR(Table134[[#This Row],[Last_Day]])=2021,5,IF(YEAR(Table134[[#This Row],[Last_Day]])=2022,7,IF(YEAR(Table134[[#This Row],[Last_Day]])=2023,10,"Không xác định")))</f>
        <v>7</v>
      </c>
      <c r="M1713" s="15">
        <f>Table134[[#This Row],[avg_number_of_purchases]]*Table1345[[#This Row],[avg_purchase_value]]*Table1345[[#This Row],[expected_lifespan]]</f>
        <v>354230.89756097563</v>
      </c>
      <c r="N1713" t="s">
        <v>12042</v>
      </c>
    </row>
    <row r="1714" spans="1:14" x14ac:dyDescent="0.3">
      <c r="A1714" s="2" t="s">
        <v>1712</v>
      </c>
      <c r="B1714" s="2" t="s">
        <v>12040</v>
      </c>
      <c r="C1714" s="2">
        <v>31</v>
      </c>
      <c r="D1714" s="2" t="s">
        <v>12043</v>
      </c>
      <c r="E1714" s="2">
        <f>COUNTIF(Table16[customer_id],Table13[[#This Row],[customer_id]])</f>
        <v>3</v>
      </c>
      <c r="F1714" s="13">
        <f>SUMIFS(Table16[Purchase_history],Table16[customer_id],Table13[[#This Row],[customer_id]])</f>
        <v>1784.24</v>
      </c>
      <c r="G1714" s="20">
        <v>44384</v>
      </c>
      <c r="H1714" s="21">
        <v>44970</v>
      </c>
      <c r="I1714" s="15">
        <f>(Table134[[#This Row],[Last_Day]]-Table134[[#This Row],[First_Day]]+1)/365</f>
        <v>1.6082191780821917</v>
      </c>
      <c r="J1714" s="59">
        <f>Table134[[#This Row],[number_of_purchases]]/Table134[[#This Row],[customer_total_years]]</f>
        <v>1.8654173764906303</v>
      </c>
      <c r="K1714" s="13">
        <f>Table134[[#This Row],[purchase_history]]/Table134[[#This Row],[number_of_purchases]]</f>
        <v>594.74666666666667</v>
      </c>
      <c r="L1714" s="2">
        <f>IF(YEAR(Table134[[#This Row],[Last_Day]])=2021,5,IF(YEAR(Table134[[#This Row],[Last_Day]])=2022,7,IF(YEAR(Table134[[#This Row],[Last_Day]])=2023,10,"Không xác định")))</f>
        <v>10</v>
      </c>
      <c r="M1714" s="15">
        <f>Table134[[#This Row],[avg_number_of_purchases]]*Table1345[[#This Row],[avg_purchase_value]]*Table1345[[#This Row],[expected_lifespan]]</f>
        <v>11094.507666098807</v>
      </c>
      <c r="N1714" t="s">
        <v>12044</v>
      </c>
    </row>
    <row r="1715" spans="1:14" x14ac:dyDescent="0.3">
      <c r="A1715" s="2" t="s">
        <v>1713</v>
      </c>
      <c r="B1715" s="2" t="s">
        <v>12040</v>
      </c>
      <c r="C1715" s="2">
        <v>43</v>
      </c>
      <c r="D1715" s="2" t="s">
        <v>12043</v>
      </c>
      <c r="E1715" s="2">
        <f>COUNTIF(Table16[customer_id],Table13[[#This Row],[customer_id]])</f>
        <v>6</v>
      </c>
      <c r="F1715" s="13">
        <f>SUMIFS(Table16[Purchase_history],Table16[customer_id],Table13[[#This Row],[customer_id]])</f>
        <v>15337.169999999998</v>
      </c>
      <c r="G1715" s="20">
        <v>44390</v>
      </c>
      <c r="H1715" s="21">
        <v>44795</v>
      </c>
      <c r="I1715" s="15">
        <f>(Table134[[#This Row],[Last_Day]]-Table134[[#This Row],[First_Day]]+1)/365</f>
        <v>1.1123287671232878</v>
      </c>
      <c r="J1715" s="59">
        <f>Table134[[#This Row],[number_of_purchases]]/Table134[[#This Row],[customer_total_years]]</f>
        <v>5.3940886699507384</v>
      </c>
      <c r="K1715" s="13">
        <f>Table134[[#This Row],[purchase_history]]/Table134[[#This Row],[number_of_purchases]]</f>
        <v>2556.1949999999997</v>
      </c>
      <c r="L1715" s="2">
        <f>IF(YEAR(Table134[[#This Row],[Last_Day]])=2021,5,IF(YEAR(Table134[[#This Row],[Last_Day]])=2022,7,IF(YEAR(Table134[[#This Row],[Last_Day]])=2023,10,"Không xác định")))</f>
        <v>7</v>
      </c>
      <c r="M1715" s="15">
        <f>Table134[[#This Row],[avg_number_of_purchases]]*Table1345[[#This Row],[avg_purchase_value]]*Table1345[[#This Row],[expected_lifespan]]</f>
        <v>96518.397413793078</v>
      </c>
      <c r="N1715" t="s">
        <v>12042</v>
      </c>
    </row>
    <row r="1716" spans="1:14" x14ac:dyDescent="0.3">
      <c r="A1716" s="2" t="s">
        <v>1714</v>
      </c>
      <c r="B1716" s="2" t="s">
        <v>12045</v>
      </c>
      <c r="C1716" s="2">
        <v>33</v>
      </c>
      <c r="D1716" s="2" t="s">
        <v>12049</v>
      </c>
      <c r="E1716" s="2">
        <f>COUNTIF(Table16[customer_id],Table13[[#This Row],[customer_id]])</f>
        <v>4</v>
      </c>
      <c r="F1716" s="13">
        <f>SUMIFS(Table16[Purchase_history],Table16[customer_id],Table13[[#This Row],[customer_id]])</f>
        <v>11398.85</v>
      </c>
      <c r="G1716" s="20">
        <v>44494</v>
      </c>
      <c r="H1716" s="21">
        <v>44976</v>
      </c>
      <c r="I1716" s="15">
        <f>(Table134[[#This Row],[Last_Day]]-Table134[[#This Row],[First_Day]]+1)/365</f>
        <v>1.3232876712328767</v>
      </c>
      <c r="J1716" s="59">
        <f>Table134[[#This Row],[number_of_purchases]]/Table134[[#This Row],[customer_total_years]]</f>
        <v>3.022774327122153</v>
      </c>
      <c r="K1716" s="13">
        <f>Table134[[#This Row],[purchase_history]]/Table134[[#This Row],[number_of_purchases]]</f>
        <v>2849.7125000000001</v>
      </c>
      <c r="L1716" s="2">
        <f>IF(YEAR(Table134[[#This Row],[Last_Day]])=2021,5,IF(YEAR(Table134[[#This Row],[Last_Day]])=2022,7,IF(YEAR(Table134[[#This Row],[Last_Day]])=2023,10,"Không xác định")))</f>
        <v>10</v>
      </c>
      <c r="M1716" s="15">
        <f>Table134[[#This Row],[avg_number_of_purchases]]*Table1345[[#This Row],[avg_purchase_value]]*Table1345[[#This Row],[expected_lifespan]]</f>
        <v>86140.377846790885</v>
      </c>
      <c r="N1716" t="s">
        <v>12046</v>
      </c>
    </row>
    <row r="1717" spans="1:14" x14ac:dyDescent="0.3">
      <c r="A1717" s="2" t="s">
        <v>1715</v>
      </c>
      <c r="B1717" s="2" t="s">
        <v>12045</v>
      </c>
      <c r="C1717" s="2">
        <v>62</v>
      </c>
      <c r="D1717" s="2" t="s">
        <v>12043</v>
      </c>
      <c r="E1717" s="2">
        <f>COUNTIF(Table16[customer_id],Table13[[#This Row],[customer_id]])</f>
        <v>5</v>
      </c>
      <c r="F1717" s="13">
        <f>SUMIFS(Table16[Purchase_history],Table16[customer_id],Table13[[#This Row],[customer_id]])</f>
        <v>15267.82</v>
      </c>
      <c r="G1717" s="20">
        <v>44293</v>
      </c>
      <c r="H1717" s="21">
        <v>44731</v>
      </c>
      <c r="I1717" s="15">
        <f>(Table134[[#This Row],[Last_Day]]-Table134[[#This Row],[First_Day]]+1)/365</f>
        <v>1.2027397260273973</v>
      </c>
      <c r="J1717" s="59">
        <f>Table134[[#This Row],[number_of_purchases]]/Table134[[#This Row],[customer_total_years]]</f>
        <v>4.1571753986332576</v>
      </c>
      <c r="K1717" s="13">
        <f>Table134[[#This Row],[purchase_history]]/Table134[[#This Row],[number_of_purchases]]</f>
        <v>3053.5639999999999</v>
      </c>
      <c r="L1717" s="2">
        <f>IF(YEAR(Table134[[#This Row],[Last_Day]])=2021,5,IF(YEAR(Table134[[#This Row],[Last_Day]])=2022,7,IF(YEAR(Table134[[#This Row],[Last_Day]])=2023,10,"Không xác định")))</f>
        <v>7</v>
      </c>
      <c r="M1717" s="15">
        <f>Table134[[#This Row],[avg_number_of_purchases]]*Table1345[[#This Row],[avg_purchase_value]]*Table1345[[#This Row],[expected_lifespan]]</f>
        <v>88859.40797266514</v>
      </c>
      <c r="N1717" t="s">
        <v>12048</v>
      </c>
    </row>
    <row r="1718" spans="1:14" x14ac:dyDescent="0.3">
      <c r="A1718" s="2" t="s">
        <v>1716</v>
      </c>
      <c r="B1718" s="2" t="s">
        <v>12045</v>
      </c>
      <c r="C1718" s="2">
        <v>56</v>
      </c>
      <c r="D1718" s="2" t="s">
        <v>12043</v>
      </c>
      <c r="E1718" s="2">
        <f>COUNTIF(Table16[customer_id],Table13[[#This Row],[customer_id]])</f>
        <v>4</v>
      </c>
      <c r="F1718" s="13">
        <f>SUMIFS(Table16[Purchase_history],Table16[customer_id],Table13[[#This Row],[customer_id]])</f>
        <v>3882.5000000000005</v>
      </c>
      <c r="G1718" s="20">
        <v>44366</v>
      </c>
      <c r="H1718" s="21">
        <v>44921</v>
      </c>
      <c r="I1718" s="15">
        <f>(Table134[[#This Row],[Last_Day]]-Table134[[#This Row],[First_Day]]+1)/365</f>
        <v>1.5232876712328767</v>
      </c>
      <c r="J1718" s="59">
        <f>Table134[[#This Row],[number_of_purchases]]/Table134[[#This Row],[customer_total_years]]</f>
        <v>2.6258992805755397</v>
      </c>
      <c r="K1718" s="13">
        <f>Table134[[#This Row],[purchase_history]]/Table134[[#This Row],[number_of_purchases]]</f>
        <v>970.62500000000011</v>
      </c>
      <c r="L1718" s="2">
        <f>IF(YEAR(Table134[[#This Row],[Last_Day]])=2021,5,IF(YEAR(Table134[[#This Row],[Last_Day]])=2022,7,IF(YEAR(Table134[[#This Row],[Last_Day]])=2023,10,"Không xác định")))</f>
        <v>7</v>
      </c>
      <c r="M1718" s="15">
        <f>Table134[[#This Row],[avg_number_of_purchases]]*Table1345[[#This Row],[avg_purchase_value]]*Table1345[[#This Row],[expected_lifespan]]</f>
        <v>17841.344424460432</v>
      </c>
      <c r="N1718" t="s">
        <v>12042</v>
      </c>
    </row>
    <row r="1719" spans="1:14" x14ac:dyDescent="0.3">
      <c r="A1719" s="2" t="s">
        <v>1717</v>
      </c>
      <c r="B1719" s="2" t="s">
        <v>12045</v>
      </c>
      <c r="C1719" s="2">
        <v>30</v>
      </c>
      <c r="D1719" s="2" t="s">
        <v>12049</v>
      </c>
      <c r="E1719" s="2">
        <f>COUNTIF(Table16[customer_id],Table13[[#This Row],[customer_id]])</f>
        <v>6</v>
      </c>
      <c r="F1719" s="13">
        <f>SUMIFS(Table16[Purchase_history],Table16[customer_id],Table13[[#This Row],[customer_id]])</f>
        <v>11715.15</v>
      </c>
      <c r="G1719" s="20">
        <v>44313</v>
      </c>
      <c r="H1719" s="21">
        <v>44989</v>
      </c>
      <c r="I1719" s="15">
        <f>(Table134[[#This Row],[Last_Day]]-Table134[[#This Row],[First_Day]]+1)/365</f>
        <v>1.8547945205479452</v>
      </c>
      <c r="J1719" s="59">
        <f>Table134[[#This Row],[number_of_purchases]]/Table134[[#This Row],[customer_total_years]]</f>
        <v>3.2348596750369274</v>
      </c>
      <c r="K1719" s="13">
        <f>Table134[[#This Row],[purchase_history]]/Table134[[#This Row],[number_of_purchases]]</f>
        <v>1952.5249999999999</v>
      </c>
      <c r="L1719" s="2">
        <f>IF(YEAR(Table134[[#This Row],[Last_Day]])=2021,5,IF(YEAR(Table134[[#This Row],[Last_Day]])=2022,7,IF(YEAR(Table134[[#This Row],[Last_Day]])=2023,10,"Không xác định")))</f>
        <v>10</v>
      </c>
      <c r="M1719" s="15">
        <f>Table134[[#This Row],[avg_number_of_purchases]]*Table1345[[#This Row],[avg_purchase_value]]*Table1345[[#This Row],[expected_lifespan]]</f>
        <v>63161.443870014766</v>
      </c>
      <c r="N1719" t="s">
        <v>12046</v>
      </c>
    </row>
    <row r="1720" spans="1:14" x14ac:dyDescent="0.3">
      <c r="A1720" s="2" t="s">
        <v>1718</v>
      </c>
      <c r="B1720" s="2" t="s">
        <v>12040</v>
      </c>
      <c r="C1720" s="2">
        <v>36</v>
      </c>
      <c r="D1720" s="2" t="s">
        <v>12041</v>
      </c>
      <c r="E1720" s="2">
        <f>COUNTIF(Table16[customer_id],Table13[[#This Row],[customer_id]])</f>
        <v>4</v>
      </c>
      <c r="F1720" s="13">
        <f>SUMIFS(Table16[Purchase_history],Table16[customer_id],Table13[[#This Row],[customer_id]])</f>
        <v>710.96</v>
      </c>
      <c r="G1720" s="20">
        <v>44413</v>
      </c>
      <c r="H1720" s="21">
        <v>44854</v>
      </c>
      <c r="I1720" s="15">
        <f>(Table134[[#This Row],[Last_Day]]-Table134[[#This Row],[First_Day]]+1)/365</f>
        <v>1.210958904109589</v>
      </c>
      <c r="J1720" s="59">
        <f>Table134[[#This Row],[number_of_purchases]]/Table134[[#This Row],[customer_total_years]]</f>
        <v>3.3031674208144799</v>
      </c>
      <c r="K1720" s="13">
        <f>Table134[[#This Row],[purchase_history]]/Table134[[#This Row],[number_of_purchases]]</f>
        <v>177.74</v>
      </c>
      <c r="L1720" s="2">
        <f>IF(YEAR(Table134[[#This Row],[Last_Day]])=2021,5,IF(YEAR(Table134[[#This Row],[Last_Day]])=2022,7,IF(YEAR(Table134[[#This Row],[Last_Day]])=2023,10,"Không xác định")))</f>
        <v>7</v>
      </c>
      <c r="M1720" s="15">
        <f>Table134[[#This Row],[avg_number_of_purchases]]*Table1345[[#This Row],[avg_purchase_value]]*Table1345[[#This Row],[expected_lifespan]]</f>
        <v>4109.7348416289597</v>
      </c>
      <c r="N1720" t="s">
        <v>12046</v>
      </c>
    </row>
    <row r="1721" spans="1:14" x14ac:dyDescent="0.3">
      <c r="A1721" s="2" t="s">
        <v>1719</v>
      </c>
      <c r="B1721" s="2" t="s">
        <v>12040</v>
      </c>
      <c r="C1721" s="2">
        <v>25</v>
      </c>
      <c r="D1721" s="2" t="s">
        <v>12041</v>
      </c>
      <c r="E1721" s="2">
        <f>COUNTIF(Table16[customer_id],Table13[[#This Row],[customer_id]])</f>
        <v>4</v>
      </c>
      <c r="F1721" s="13">
        <f>SUMIFS(Table16[Purchase_history],Table16[customer_id],Table13[[#This Row],[customer_id]])</f>
        <v>7353.6299999999992</v>
      </c>
      <c r="G1721" s="20">
        <v>44229</v>
      </c>
      <c r="H1721" s="21">
        <v>44709</v>
      </c>
      <c r="I1721" s="15">
        <f>(Table134[[#This Row],[Last_Day]]-Table134[[#This Row],[First_Day]]+1)/365</f>
        <v>1.3178082191780822</v>
      </c>
      <c r="J1721" s="59">
        <f>Table134[[#This Row],[number_of_purchases]]/Table134[[#This Row],[customer_total_years]]</f>
        <v>3.0353430353430353</v>
      </c>
      <c r="K1721" s="13">
        <f>Table134[[#This Row],[purchase_history]]/Table134[[#This Row],[number_of_purchases]]</f>
        <v>1838.4074999999998</v>
      </c>
      <c r="L1721" s="2">
        <f>IF(YEAR(Table134[[#This Row],[Last_Day]])=2021,5,IF(YEAR(Table134[[#This Row],[Last_Day]])=2022,7,IF(YEAR(Table134[[#This Row],[Last_Day]])=2023,10,"Không xác định")))</f>
        <v>7</v>
      </c>
      <c r="M1721" s="15">
        <f>Table134[[#This Row],[avg_number_of_purchases]]*Table1345[[#This Row],[avg_purchase_value]]*Table1345[[#This Row],[expected_lifespan]]</f>
        <v>39061.3818087318</v>
      </c>
      <c r="N1721" t="s">
        <v>12044</v>
      </c>
    </row>
    <row r="1722" spans="1:14" x14ac:dyDescent="0.3">
      <c r="A1722" s="2" t="s">
        <v>1720</v>
      </c>
      <c r="B1722" s="2" t="s">
        <v>12040</v>
      </c>
      <c r="C1722" s="2">
        <v>33</v>
      </c>
      <c r="D1722" s="2" t="s">
        <v>12043</v>
      </c>
      <c r="E1722" s="2">
        <f>COUNTIF(Table16[customer_id],Table13[[#This Row],[customer_id]])</f>
        <v>2</v>
      </c>
      <c r="F1722" s="13">
        <f>SUMIFS(Table16[Purchase_history],Table16[customer_id],Table13[[#This Row],[customer_id]])</f>
        <v>3351.28</v>
      </c>
      <c r="G1722" s="20">
        <v>44628</v>
      </c>
      <c r="H1722" s="21">
        <v>44681</v>
      </c>
      <c r="I1722" s="15">
        <f>(Table134[[#This Row],[Last_Day]]-Table134[[#This Row],[First_Day]]+1)/365</f>
        <v>0.14794520547945206</v>
      </c>
      <c r="J1722" s="59">
        <f>Table134[[#This Row],[number_of_purchases]]/Table134[[#This Row],[customer_total_years]]</f>
        <v>13.518518518518519</v>
      </c>
      <c r="K1722" s="13">
        <f>Table134[[#This Row],[purchase_history]]/Table134[[#This Row],[number_of_purchases]]</f>
        <v>1675.64</v>
      </c>
      <c r="L1722" s="2">
        <f>IF(YEAR(Table134[[#This Row],[Last_Day]])=2021,5,IF(YEAR(Table134[[#This Row],[Last_Day]])=2022,7,IF(YEAR(Table134[[#This Row],[Last_Day]])=2023,10,"Không xác định")))</f>
        <v>7</v>
      </c>
      <c r="M1722" s="15">
        <f>Table134[[#This Row],[avg_number_of_purchases]]*Table1345[[#This Row],[avg_purchase_value]]*Table1345[[#This Row],[expected_lifespan]]</f>
        <v>158565.19259259259</v>
      </c>
      <c r="N1722" t="s">
        <v>12044</v>
      </c>
    </row>
    <row r="1723" spans="1:14" x14ac:dyDescent="0.3">
      <c r="A1723" s="2" t="s">
        <v>1721</v>
      </c>
      <c r="B1723" s="2" t="s">
        <v>12040</v>
      </c>
      <c r="C1723" s="2">
        <v>46</v>
      </c>
      <c r="D1723" s="2" t="s">
        <v>12041</v>
      </c>
      <c r="E1723" s="2">
        <f>COUNTIF(Table16[customer_id],Table13[[#This Row],[customer_id]])</f>
        <v>3</v>
      </c>
      <c r="F1723" s="13">
        <f>SUMIFS(Table16[Purchase_history],Table16[customer_id],Table13[[#This Row],[customer_id]])</f>
        <v>1279.76</v>
      </c>
      <c r="G1723" s="20">
        <v>44773</v>
      </c>
      <c r="H1723" s="21">
        <v>44922</v>
      </c>
      <c r="I1723" s="15">
        <f>(Table134[[#This Row],[Last_Day]]-Table134[[#This Row],[First_Day]]+1)/365</f>
        <v>0.41095890410958902</v>
      </c>
      <c r="J1723" s="59">
        <f>Table134[[#This Row],[number_of_purchases]]/Table134[[#This Row],[customer_total_years]]</f>
        <v>7.3000000000000007</v>
      </c>
      <c r="K1723" s="13">
        <f>Table134[[#This Row],[purchase_history]]/Table134[[#This Row],[number_of_purchases]]</f>
        <v>426.58666666666664</v>
      </c>
      <c r="L1723" s="2">
        <f>IF(YEAR(Table134[[#This Row],[Last_Day]])=2021,5,IF(YEAR(Table134[[#This Row],[Last_Day]])=2022,7,IF(YEAR(Table134[[#This Row],[Last_Day]])=2023,10,"Không xác định")))</f>
        <v>7</v>
      </c>
      <c r="M1723" s="15">
        <f>Table134[[#This Row],[avg_number_of_purchases]]*Table1345[[#This Row],[avg_purchase_value]]*Table1345[[#This Row],[expected_lifespan]]</f>
        <v>21798.578666666668</v>
      </c>
      <c r="N1723" t="s">
        <v>12047</v>
      </c>
    </row>
    <row r="1724" spans="1:14" x14ac:dyDescent="0.3">
      <c r="A1724" s="2" t="s">
        <v>1722</v>
      </c>
      <c r="B1724" s="2" t="s">
        <v>12040</v>
      </c>
      <c r="C1724" s="2">
        <v>47</v>
      </c>
      <c r="D1724" s="2" t="s">
        <v>12043</v>
      </c>
      <c r="E1724" s="2">
        <f>COUNTIF(Table16[customer_id],Table13[[#This Row],[customer_id]])</f>
        <v>4</v>
      </c>
      <c r="F1724" s="13">
        <f>SUMIFS(Table16[Purchase_history],Table16[customer_id],Table13[[#This Row],[customer_id]])</f>
        <v>1357.2199999999998</v>
      </c>
      <c r="G1724" s="20">
        <v>44236</v>
      </c>
      <c r="H1724" s="21">
        <v>44945</v>
      </c>
      <c r="I1724" s="15">
        <f>(Table134[[#This Row],[Last_Day]]-Table134[[#This Row],[First_Day]]+1)/365</f>
        <v>1.9452054794520548</v>
      </c>
      <c r="J1724" s="59">
        <f>Table134[[#This Row],[number_of_purchases]]/Table134[[#This Row],[customer_total_years]]</f>
        <v>2.056338028169014</v>
      </c>
      <c r="K1724" s="13">
        <f>Table134[[#This Row],[purchase_history]]/Table134[[#This Row],[number_of_purchases]]</f>
        <v>339.30499999999995</v>
      </c>
      <c r="L1724" s="2">
        <f>IF(YEAR(Table134[[#This Row],[Last_Day]])=2021,5,IF(YEAR(Table134[[#This Row],[Last_Day]])=2022,7,IF(YEAR(Table134[[#This Row],[Last_Day]])=2023,10,"Không xác định")))</f>
        <v>10</v>
      </c>
      <c r="M1724" s="15">
        <f>Table134[[#This Row],[avg_number_of_purchases]]*Table1345[[#This Row],[avg_purchase_value]]*Table1345[[#This Row],[expected_lifespan]]</f>
        <v>6977.2577464788719</v>
      </c>
      <c r="N1724" t="s">
        <v>12044</v>
      </c>
    </row>
    <row r="1725" spans="1:14" x14ac:dyDescent="0.3">
      <c r="A1725" s="2" t="s">
        <v>1723</v>
      </c>
      <c r="B1725" s="2" t="s">
        <v>12040</v>
      </c>
      <c r="C1725" s="2">
        <v>45</v>
      </c>
      <c r="D1725" s="2" t="s">
        <v>12043</v>
      </c>
      <c r="E1725" s="2">
        <f>COUNTIF(Table16[customer_id],Table13[[#This Row],[customer_id]])</f>
        <v>4</v>
      </c>
      <c r="F1725" s="13">
        <f>SUMIFS(Table16[Purchase_history],Table16[customer_id],Table13[[#This Row],[customer_id]])</f>
        <v>10243.790000000001</v>
      </c>
      <c r="G1725" s="20">
        <v>44596</v>
      </c>
      <c r="H1725" s="21">
        <v>44981</v>
      </c>
      <c r="I1725" s="15">
        <f>(Table134[[#This Row],[Last_Day]]-Table134[[#This Row],[First_Day]]+1)/365</f>
        <v>1.0575342465753426</v>
      </c>
      <c r="J1725" s="59">
        <f>Table134[[#This Row],[number_of_purchases]]/Table134[[#This Row],[customer_total_years]]</f>
        <v>3.7823834196891188</v>
      </c>
      <c r="K1725" s="13">
        <f>Table134[[#This Row],[purchase_history]]/Table134[[#This Row],[number_of_purchases]]</f>
        <v>2560.9475000000002</v>
      </c>
      <c r="L1725" s="2">
        <f>IF(YEAR(Table134[[#This Row],[Last_Day]])=2021,5,IF(YEAR(Table134[[#This Row],[Last_Day]])=2022,7,IF(YEAR(Table134[[#This Row],[Last_Day]])=2023,10,"Không xác định")))</f>
        <v>10</v>
      </c>
      <c r="M1725" s="15">
        <f>Table134[[#This Row],[avg_number_of_purchases]]*Table1345[[#This Row],[avg_purchase_value]]*Table1345[[#This Row],[expected_lifespan]]</f>
        <v>96864.853626943004</v>
      </c>
      <c r="N1725" t="s">
        <v>12046</v>
      </c>
    </row>
    <row r="1726" spans="1:14" x14ac:dyDescent="0.3">
      <c r="A1726" s="2" t="s">
        <v>1724</v>
      </c>
      <c r="B1726" s="2" t="s">
        <v>12045</v>
      </c>
      <c r="C1726" s="2">
        <v>66</v>
      </c>
      <c r="D1726" s="2" t="s">
        <v>12043</v>
      </c>
      <c r="E1726" s="2">
        <f>COUNTIF(Table16[customer_id],Table13[[#This Row],[customer_id]])</f>
        <v>5</v>
      </c>
      <c r="F1726" s="13">
        <f>SUMIFS(Table16[Purchase_history],Table16[customer_id],Table13[[#This Row],[customer_id]])</f>
        <v>1468.16</v>
      </c>
      <c r="G1726" s="20">
        <v>44229</v>
      </c>
      <c r="H1726" s="21">
        <v>44877</v>
      </c>
      <c r="I1726" s="15">
        <f>(Table134[[#This Row],[Last_Day]]-Table134[[#This Row],[First_Day]]+1)/365</f>
        <v>1.7780821917808218</v>
      </c>
      <c r="J1726" s="59">
        <f>Table134[[#This Row],[number_of_purchases]]/Table134[[#This Row],[customer_total_years]]</f>
        <v>2.8120184899845917</v>
      </c>
      <c r="K1726" s="13">
        <f>Table134[[#This Row],[purchase_history]]/Table134[[#This Row],[number_of_purchases]]</f>
        <v>293.63200000000001</v>
      </c>
      <c r="L1726" s="2">
        <f>IF(YEAR(Table134[[#This Row],[Last_Day]])=2021,5,IF(YEAR(Table134[[#This Row],[Last_Day]])=2022,7,IF(YEAR(Table134[[#This Row],[Last_Day]])=2023,10,"Không xác định")))</f>
        <v>7</v>
      </c>
      <c r="M1726" s="15">
        <f>Table134[[#This Row],[avg_number_of_purchases]]*Table1345[[#This Row],[avg_purchase_value]]*Table1345[[#This Row],[expected_lifespan]]</f>
        <v>5779.8902927580893</v>
      </c>
      <c r="N1726" t="s">
        <v>12048</v>
      </c>
    </row>
    <row r="1727" spans="1:14" x14ac:dyDescent="0.3">
      <c r="A1727" s="2" t="s">
        <v>1725</v>
      </c>
      <c r="B1727" s="2" t="s">
        <v>12040</v>
      </c>
      <c r="C1727" s="2">
        <v>40</v>
      </c>
      <c r="D1727" s="2" t="s">
        <v>12043</v>
      </c>
      <c r="E1727" s="2">
        <f>COUNTIF(Table16[customer_id],Table13[[#This Row],[customer_id]])</f>
        <v>5</v>
      </c>
      <c r="F1727" s="13">
        <f>SUMIFS(Table16[Purchase_history],Table16[customer_id],Table13[[#This Row],[customer_id]])</f>
        <v>36630.120000000003</v>
      </c>
      <c r="G1727" s="20">
        <v>44456</v>
      </c>
      <c r="H1727" s="21">
        <v>44976</v>
      </c>
      <c r="I1727" s="15">
        <f>(Table134[[#This Row],[Last_Day]]-Table134[[#This Row],[First_Day]]+1)/365</f>
        <v>1.4273972602739726</v>
      </c>
      <c r="J1727" s="59">
        <f>Table134[[#This Row],[number_of_purchases]]/Table134[[#This Row],[customer_total_years]]</f>
        <v>3.5028790786948174</v>
      </c>
      <c r="K1727" s="13">
        <f>Table134[[#This Row],[purchase_history]]/Table134[[#This Row],[number_of_purchases]]</f>
        <v>7326.0240000000003</v>
      </c>
      <c r="L1727" s="2">
        <f>IF(YEAR(Table134[[#This Row],[Last_Day]])=2021,5,IF(YEAR(Table134[[#This Row],[Last_Day]])=2022,7,IF(YEAR(Table134[[#This Row],[Last_Day]])=2023,10,"Không xác định")))</f>
        <v>10</v>
      </c>
      <c r="M1727" s="15">
        <f>Table134[[#This Row],[avg_number_of_purchases]]*Table1345[[#This Row],[avg_purchase_value]]*Table1345[[#This Row],[expected_lifespan]]</f>
        <v>256621.76199616122</v>
      </c>
      <c r="N1727" t="s">
        <v>12048</v>
      </c>
    </row>
    <row r="1728" spans="1:14" x14ac:dyDescent="0.3">
      <c r="A1728" s="2" t="s">
        <v>1726</v>
      </c>
      <c r="B1728" s="2" t="s">
        <v>12040</v>
      </c>
      <c r="C1728" s="2">
        <v>36</v>
      </c>
      <c r="D1728" s="2" t="s">
        <v>12041</v>
      </c>
      <c r="E1728" s="2">
        <f>COUNTIF(Table16[customer_id],Table13[[#This Row],[customer_id]])</f>
        <v>5</v>
      </c>
      <c r="F1728" s="13">
        <f>SUMIFS(Table16[Purchase_history],Table16[customer_id],Table13[[#This Row],[customer_id]])</f>
        <v>21177.26</v>
      </c>
      <c r="G1728" s="20">
        <v>44270</v>
      </c>
      <c r="H1728" s="21">
        <v>44714</v>
      </c>
      <c r="I1728" s="15">
        <f>(Table134[[#This Row],[Last_Day]]-Table134[[#This Row],[First_Day]]+1)/365</f>
        <v>1.2191780821917808</v>
      </c>
      <c r="J1728" s="59">
        <f>Table134[[#This Row],[number_of_purchases]]/Table134[[#This Row],[customer_total_years]]</f>
        <v>4.1011235955056184</v>
      </c>
      <c r="K1728" s="13">
        <f>Table134[[#This Row],[purchase_history]]/Table134[[#This Row],[number_of_purchases]]</f>
        <v>4235.4519999999993</v>
      </c>
      <c r="L1728" s="2">
        <f>IF(YEAR(Table134[[#This Row],[Last_Day]])=2021,5,IF(YEAR(Table134[[#This Row],[Last_Day]])=2022,7,IF(YEAR(Table134[[#This Row],[Last_Day]])=2023,10,"Không xác định")))</f>
        <v>7</v>
      </c>
      <c r="M1728" s="15">
        <f>Table134[[#This Row],[avg_number_of_purchases]]*Table1345[[#This Row],[avg_purchase_value]]*Table1345[[#This Row],[expected_lifespan]]</f>
        <v>121590.78494382021</v>
      </c>
      <c r="N1728" t="s">
        <v>12046</v>
      </c>
    </row>
    <row r="1729" spans="1:14" x14ac:dyDescent="0.3">
      <c r="A1729" s="2" t="s">
        <v>1727</v>
      </c>
      <c r="B1729" s="2" t="s">
        <v>12045</v>
      </c>
      <c r="C1729" s="2">
        <v>24</v>
      </c>
      <c r="D1729" s="2" t="s">
        <v>12043</v>
      </c>
      <c r="E1729" s="2">
        <f>COUNTIF(Table16[customer_id],Table13[[#This Row],[customer_id]])</f>
        <v>2</v>
      </c>
      <c r="F1729" s="13">
        <f>SUMIFS(Table16[Purchase_history],Table16[customer_id],Table13[[#This Row],[customer_id]])</f>
        <v>228.34</v>
      </c>
      <c r="G1729" s="20">
        <v>44795</v>
      </c>
      <c r="H1729" s="21">
        <v>44864</v>
      </c>
      <c r="I1729" s="15">
        <f>(Table134[[#This Row],[Last_Day]]-Table134[[#This Row],[First_Day]]+1)/365</f>
        <v>0.19178082191780821</v>
      </c>
      <c r="J1729" s="59">
        <f>Table134[[#This Row],[number_of_purchases]]/Table134[[#This Row],[customer_total_years]]</f>
        <v>10.428571428571429</v>
      </c>
      <c r="K1729" s="13">
        <f>Table134[[#This Row],[purchase_history]]/Table134[[#This Row],[number_of_purchases]]</f>
        <v>114.17</v>
      </c>
      <c r="L1729" s="2">
        <f>IF(YEAR(Table134[[#This Row],[Last_Day]])=2021,5,IF(YEAR(Table134[[#This Row],[Last_Day]])=2022,7,IF(YEAR(Table134[[#This Row],[Last_Day]])=2023,10,"Không xác định")))</f>
        <v>7</v>
      </c>
      <c r="M1729" s="15">
        <f>Table134[[#This Row],[avg_number_of_purchases]]*Table1345[[#This Row],[avg_purchase_value]]*Table1345[[#This Row],[expected_lifespan]]</f>
        <v>8334.41</v>
      </c>
      <c r="N1729" t="s">
        <v>12044</v>
      </c>
    </row>
    <row r="1730" spans="1:14" x14ac:dyDescent="0.3">
      <c r="A1730" s="2" t="s">
        <v>1728</v>
      </c>
      <c r="B1730" s="2" t="s">
        <v>12040</v>
      </c>
      <c r="C1730" s="2">
        <v>56</v>
      </c>
      <c r="D1730" s="2" t="s">
        <v>12041</v>
      </c>
      <c r="E1730" s="2">
        <f>COUNTIF(Table16[customer_id],Table13[[#This Row],[customer_id]])</f>
        <v>8</v>
      </c>
      <c r="F1730" s="13">
        <f>SUMIFS(Table16[Purchase_history],Table16[customer_id],Table13[[#This Row],[customer_id]])</f>
        <v>33597.51</v>
      </c>
      <c r="G1730" s="20">
        <v>44280</v>
      </c>
      <c r="H1730" s="21">
        <v>44881</v>
      </c>
      <c r="I1730" s="15">
        <f>(Table134[[#This Row],[Last_Day]]-Table134[[#This Row],[First_Day]]+1)/365</f>
        <v>1.6493150684931508</v>
      </c>
      <c r="J1730" s="59">
        <f>Table134[[#This Row],[number_of_purchases]]/Table134[[#This Row],[customer_total_years]]</f>
        <v>4.8504983388704312</v>
      </c>
      <c r="K1730" s="13">
        <f>Table134[[#This Row],[purchase_history]]/Table134[[#This Row],[number_of_purchases]]</f>
        <v>4199.6887500000003</v>
      </c>
      <c r="L1730" s="2">
        <f>IF(YEAR(Table134[[#This Row],[Last_Day]])=2021,5,IF(YEAR(Table134[[#This Row],[Last_Day]])=2022,7,IF(YEAR(Table134[[#This Row],[Last_Day]])=2023,10,"Không xác định")))</f>
        <v>7</v>
      </c>
      <c r="M1730" s="15">
        <f>Table134[[#This Row],[avg_number_of_purchases]]*Table1345[[#This Row],[avg_purchase_value]]*Table1345[[#This Row],[expected_lifespan]]</f>
        <v>142594.08313953489</v>
      </c>
      <c r="N1730" t="s">
        <v>12048</v>
      </c>
    </row>
    <row r="1731" spans="1:14" x14ac:dyDescent="0.3">
      <c r="A1731" s="2" t="s">
        <v>1729</v>
      </c>
      <c r="B1731" s="2" t="s">
        <v>12040</v>
      </c>
      <c r="C1731" s="2">
        <v>63</v>
      </c>
      <c r="D1731" s="2" t="s">
        <v>12049</v>
      </c>
      <c r="E1731" s="2">
        <f>COUNTIF(Table16[customer_id],Table13[[#This Row],[customer_id]])</f>
        <v>2</v>
      </c>
      <c r="F1731" s="13">
        <f>SUMIFS(Table16[Purchase_history],Table16[customer_id],Table13[[#This Row],[customer_id]])</f>
        <v>4932.03</v>
      </c>
      <c r="G1731" s="20">
        <v>44323</v>
      </c>
      <c r="H1731" s="21">
        <v>44902</v>
      </c>
      <c r="I1731" s="15">
        <f>(Table134[[#This Row],[Last_Day]]-Table134[[#This Row],[First_Day]]+1)/365</f>
        <v>1.5890410958904109</v>
      </c>
      <c r="J1731" s="59">
        <f>Table134[[#This Row],[number_of_purchases]]/Table134[[#This Row],[customer_total_years]]</f>
        <v>1.2586206896551724</v>
      </c>
      <c r="K1731" s="13">
        <f>Table134[[#This Row],[purchase_history]]/Table134[[#This Row],[number_of_purchases]]</f>
        <v>2466.0149999999999</v>
      </c>
      <c r="L1731" s="2">
        <f>IF(YEAR(Table134[[#This Row],[Last_Day]])=2021,5,IF(YEAR(Table134[[#This Row],[Last_Day]])=2022,7,IF(YEAR(Table134[[#This Row],[Last_Day]])=2023,10,"Không xác định")))</f>
        <v>7</v>
      </c>
      <c r="M1731" s="15">
        <f>Table134[[#This Row],[avg_number_of_purchases]]*Table1345[[#This Row],[avg_purchase_value]]*Table1345[[#This Row],[expected_lifespan]]</f>
        <v>21726.442499999997</v>
      </c>
      <c r="N1731" t="s">
        <v>12047</v>
      </c>
    </row>
    <row r="1732" spans="1:14" x14ac:dyDescent="0.3">
      <c r="A1732" s="2" t="s">
        <v>1730</v>
      </c>
      <c r="B1732" s="2" t="s">
        <v>12040</v>
      </c>
      <c r="C1732" s="2">
        <v>56</v>
      </c>
      <c r="D1732" s="2" t="s">
        <v>12043</v>
      </c>
      <c r="E1732" s="2">
        <f>COUNTIF(Table16[customer_id],Table13[[#This Row],[customer_id]])</f>
        <v>5</v>
      </c>
      <c r="F1732" s="13">
        <f>SUMIFS(Table16[Purchase_history],Table16[customer_id],Table13[[#This Row],[customer_id]])</f>
        <v>8338.66</v>
      </c>
      <c r="G1732" s="20">
        <v>44585</v>
      </c>
      <c r="H1732" s="21">
        <v>44944</v>
      </c>
      <c r="I1732" s="15">
        <f>(Table134[[#This Row],[Last_Day]]-Table134[[#This Row],[First_Day]]+1)/365</f>
        <v>0.98630136986301364</v>
      </c>
      <c r="J1732" s="59">
        <f>Table134[[#This Row],[number_of_purchases]]/Table134[[#This Row],[customer_total_years]]</f>
        <v>5.0694444444444446</v>
      </c>
      <c r="K1732" s="13">
        <f>Table134[[#This Row],[purchase_history]]/Table134[[#This Row],[number_of_purchases]]</f>
        <v>1667.732</v>
      </c>
      <c r="L1732" s="2">
        <f>IF(YEAR(Table134[[#This Row],[Last_Day]])=2021,5,IF(YEAR(Table134[[#This Row],[Last_Day]])=2022,7,IF(YEAR(Table134[[#This Row],[Last_Day]])=2023,10,"Không xác định")))</f>
        <v>10</v>
      </c>
      <c r="M1732" s="15">
        <f>Table134[[#This Row],[avg_number_of_purchases]]*Table1345[[#This Row],[avg_purchase_value]]*Table1345[[#This Row],[expected_lifespan]]</f>
        <v>84544.747222222228</v>
      </c>
      <c r="N1732" t="s">
        <v>12042</v>
      </c>
    </row>
    <row r="1733" spans="1:14" x14ac:dyDescent="0.3">
      <c r="A1733" s="2" t="s">
        <v>1731</v>
      </c>
      <c r="B1733" s="2" t="s">
        <v>12045</v>
      </c>
      <c r="C1733" s="2">
        <v>68</v>
      </c>
      <c r="D1733" s="2" t="s">
        <v>12043</v>
      </c>
      <c r="E1733" s="2">
        <f>COUNTIF(Table16[customer_id],Table13[[#This Row],[customer_id]])</f>
        <v>4</v>
      </c>
      <c r="F1733" s="13">
        <f>SUMIFS(Table16[Purchase_history],Table16[customer_id],Table13[[#This Row],[customer_id]])</f>
        <v>2483.36</v>
      </c>
      <c r="G1733" s="20">
        <v>44545</v>
      </c>
      <c r="H1733" s="21">
        <v>44985</v>
      </c>
      <c r="I1733" s="15">
        <f>(Table134[[#This Row],[Last_Day]]-Table134[[#This Row],[First_Day]]+1)/365</f>
        <v>1.2082191780821918</v>
      </c>
      <c r="J1733" s="59">
        <f>Table134[[#This Row],[number_of_purchases]]/Table134[[#This Row],[customer_total_years]]</f>
        <v>3.3106575963718821</v>
      </c>
      <c r="K1733" s="13">
        <f>Table134[[#This Row],[purchase_history]]/Table134[[#This Row],[number_of_purchases]]</f>
        <v>620.84</v>
      </c>
      <c r="L1733" s="2">
        <f>IF(YEAR(Table134[[#This Row],[Last_Day]])=2021,5,IF(YEAR(Table134[[#This Row],[Last_Day]])=2022,7,IF(YEAR(Table134[[#This Row],[Last_Day]])=2023,10,"Không xác định")))</f>
        <v>10</v>
      </c>
      <c r="M1733" s="15">
        <f>Table134[[#This Row],[avg_number_of_purchases]]*Table1345[[#This Row],[avg_purchase_value]]*Table1345[[#This Row],[expected_lifespan]]</f>
        <v>20553.886621315192</v>
      </c>
      <c r="N1733" t="s">
        <v>12047</v>
      </c>
    </row>
    <row r="1734" spans="1:14" x14ac:dyDescent="0.3">
      <c r="A1734" s="2" t="s">
        <v>1732</v>
      </c>
      <c r="B1734" s="2" t="s">
        <v>12040</v>
      </c>
      <c r="C1734" s="2">
        <v>52</v>
      </c>
      <c r="D1734" s="2" t="s">
        <v>12049</v>
      </c>
      <c r="E1734" s="2">
        <f>COUNTIF(Table16[customer_id],Table13[[#This Row],[customer_id]])</f>
        <v>2</v>
      </c>
      <c r="F1734" s="13">
        <f>SUMIFS(Table16[Purchase_history],Table16[customer_id],Table13[[#This Row],[customer_id]])</f>
        <v>9580.75</v>
      </c>
      <c r="G1734" s="20">
        <v>44262</v>
      </c>
      <c r="H1734" s="21">
        <v>44865</v>
      </c>
      <c r="I1734" s="15">
        <f>(Table134[[#This Row],[Last_Day]]-Table134[[#This Row],[First_Day]]+1)/365</f>
        <v>1.6547945205479453</v>
      </c>
      <c r="J1734" s="59">
        <f>Table134[[#This Row],[number_of_purchases]]/Table134[[#This Row],[customer_total_years]]</f>
        <v>1.2086092715231787</v>
      </c>
      <c r="K1734" s="13">
        <f>Table134[[#This Row],[purchase_history]]/Table134[[#This Row],[number_of_purchases]]</f>
        <v>4790.375</v>
      </c>
      <c r="L1734" s="2">
        <f>IF(YEAR(Table134[[#This Row],[Last_Day]])=2021,5,IF(YEAR(Table134[[#This Row],[Last_Day]])=2022,7,IF(YEAR(Table134[[#This Row],[Last_Day]])=2023,10,"Không xác định")))</f>
        <v>7</v>
      </c>
      <c r="M1734" s="15">
        <f>Table134[[#This Row],[avg_number_of_purchases]]*Table1345[[#This Row],[avg_purchase_value]]*Table1345[[#This Row],[expected_lifespan]]</f>
        <v>40527.841473509929</v>
      </c>
      <c r="N1734" t="s">
        <v>12046</v>
      </c>
    </row>
    <row r="1735" spans="1:14" x14ac:dyDescent="0.3">
      <c r="A1735" s="2" t="s">
        <v>1733</v>
      </c>
      <c r="B1735" s="2" t="s">
        <v>12045</v>
      </c>
      <c r="C1735" s="2">
        <v>42</v>
      </c>
      <c r="D1735" s="2" t="s">
        <v>12043</v>
      </c>
      <c r="E1735" s="2">
        <f>COUNTIF(Table16[customer_id],Table13[[#This Row],[customer_id]])</f>
        <v>5</v>
      </c>
      <c r="F1735" s="13">
        <f>SUMIFS(Table16[Purchase_history],Table16[customer_id],Table13[[#This Row],[customer_id]])</f>
        <v>19178.559999999998</v>
      </c>
      <c r="G1735" s="20">
        <v>44278</v>
      </c>
      <c r="H1735" s="21">
        <v>44816</v>
      </c>
      <c r="I1735" s="15">
        <f>(Table134[[#This Row],[Last_Day]]-Table134[[#This Row],[First_Day]]+1)/365</f>
        <v>1.4767123287671233</v>
      </c>
      <c r="J1735" s="59">
        <f>Table134[[#This Row],[number_of_purchases]]/Table134[[#This Row],[customer_total_years]]</f>
        <v>3.3858998144712431</v>
      </c>
      <c r="K1735" s="13">
        <f>Table134[[#This Row],[purchase_history]]/Table134[[#This Row],[number_of_purchases]]</f>
        <v>3835.7119999999995</v>
      </c>
      <c r="L1735" s="2">
        <f>IF(YEAR(Table134[[#This Row],[Last_Day]])=2021,5,IF(YEAR(Table134[[#This Row],[Last_Day]])=2022,7,IF(YEAR(Table134[[#This Row],[Last_Day]])=2023,10,"Không xác định")))</f>
        <v>7</v>
      </c>
      <c r="M1735" s="15">
        <f>Table134[[#This Row],[avg_number_of_purchases]]*Table1345[[#This Row],[avg_purchase_value]]*Table1345[[#This Row],[expected_lifespan]]</f>
        <v>90911.355844155827</v>
      </c>
      <c r="N1735" t="s">
        <v>12044</v>
      </c>
    </row>
    <row r="1736" spans="1:14" x14ac:dyDescent="0.3">
      <c r="A1736" s="2" t="s">
        <v>1734</v>
      </c>
      <c r="B1736" s="2" t="s">
        <v>12045</v>
      </c>
      <c r="C1736" s="2">
        <v>20</v>
      </c>
      <c r="D1736" s="2" t="s">
        <v>12041</v>
      </c>
      <c r="E1736" s="2">
        <f>COUNTIF(Table16[customer_id],Table13[[#This Row],[customer_id]])</f>
        <v>3</v>
      </c>
      <c r="F1736" s="13">
        <f>SUMIFS(Table16[Purchase_history],Table16[customer_id],Table13[[#This Row],[customer_id]])</f>
        <v>12953.84</v>
      </c>
      <c r="G1736" s="20">
        <v>44325</v>
      </c>
      <c r="H1736" s="21">
        <v>44767</v>
      </c>
      <c r="I1736" s="15">
        <f>(Table134[[#This Row],[Last_Day]]-Table134[[#This Row],[First_Day]]+1)/365</f>
        <v>1.2136986301369863</v>
      </c>
      <c r="J1736" s="59">
        <f>Table134[[#This Row],[number_of_purchases]]/Table134[[#This Row],[customer_total_years]]</f>
        <v>2.4717832957110608</v>
      </c>
      <c r="K1736" s="13">
        <f>Table134[[#This Row],[purchase_history]]/Table134[[#This Row],[number_of_purchases]]</f>
        <v>4317.9466666666667</v>
      </c>
      <c r="L1736" s="2">
        <f>IF(YEAR(Table134[[#This Row],[Last_Day]])=2021,5,IF(YEAR(Table134[[#This Row],[Last_Day]])=2022,7,IF(YEAR(Table134[[#This Row],[Last_Day]])=2023,10,"Không xác định")))</f>
        <v>7</v>
      </c>
      <c r="M1736" s="15">
        <f>Table134[[#This Row],[avg_number_of_purchases]]*Table1345[[#This Row],[avg_purchase_value]]*Table1345[[#This Row],[expected_lifespan]]</f>
        <v>74711.199097065459</v>
      </c>
      <c r="N1736" t="s">
        <v>12047</v>
      </c>
    </row>
    <row r="1737" spans="1:14" x14ac:dyDescent="0.3">
      <c r="A1737" s="2" t="s">
        <v>1735</v>
      </c>
      <c r="B1737" s="2" t="s">
        <v>12040</v>
      </c>
      <c r="C1737" s="2">
        <v>25</v>
      </c>
      <c r="D1737" s="2" t="s">
        <v>12049</v>
      </c>
      <c r="E1737" s="2">
        <f>COUNTIF(Table16[customer_id],Table13[[#This Row],[customer_id]])</f>
        <v>7</v>
      </c>
      <c r="F1737" s="13">
        <f>SUMIFS(Table16[Purchase_history],Table16[customer_id],Table13[[#This Row],[customer_id]])</f>
        <v>15217.830000000002</v>
      </c>
      <c r="G1737" s="20">
        <v>44363</v>
      </c>
      <c r="H1737" s="21">
        <v>44825</v>
      </c>
      <c r="I1737" s="15">
        <f>(Table134[[#This Row],[Last_Day]]-Table134[[#This Row],[First_Day]]+1)/365</f>
        <v>1.2684931506849315</v>
      </c>
      <c r="J1737" s="59">
        <f>Table134[[#This Row],[number_of_purchases]]/Table134[[#This Row],[customer_total_years]]</f>
        <v>5.518358531317495</v>
      </c>
      <c r="K1737" s="13">
        <f>Table134[[#This Row],[purchase_history]]/Table134[[#This Row],[number_of_purchases]]</f>
        <v>2173.9757142857147</v>
      </c>
      <c r="L1737" s="2">
        <f>IF(YEAR(Table134[[#This Row],[Last_Day]])=2021,5,IF(YEAR(Table134[[#This Row],[Last_Day]])=2022,7,IF(YEAR(Table134[[#This Row],[Last_Day]])=2023,10,"Không xác định")))</f>
        <v>7</v>
      </c>
      <c r="M1737" s="15">
        <f>Table134[[#This Row],[avg_number_of_purchases]]*Table1345[[#This Row],[avg_purchase_value]]*Table1345[[#This Row],[expected_lifespan]]</f>
        <v>83977.442008639337</v>
      </c>
      <c r="N1737" t="s">
        <v>12048</v>
      </c>
    </row>
    <row r="1738" spans="1:14" x14ac:dyDescent="0.3">
      <c r="A1738" s="2" t="s">
        <v>1736</v>
      </c>
      <c r="B1738" s="2" t="s">
        <v>12040</v>
      </c>
      <c r="C1738" s="2">
        <v>53</v>
      </c>
      <c r="D1738" s="2" t="s">
        <v>12041</v>
      </c>
      <c r="E1738" s="2">
        <f>COUNTIF(Table16[customer_id],Table13[[#This Row],[customer_id]])</f>
        <v>4</v>
      </c>
      <c r="F1738" s="13">
        <f>SUMIFS(Table16[Purchase_history],Table16[customer_id],Table13[[#This Row],[customer_id]])</f>
        <v>8518.5</v>
      </c>
      <c r="G1738" s="20">
        <v>44275</v>
      </c>
      <c r="H1738" s="21">
        <v>44763</v>
      </c>
      <c r="I1738" s="15">
        <f>(Table134[[#This Row],[Last_Day]]-Table134[[#This Row],[First_Day]]+1)/365</f>
        <v>1.3397260273972602</v>
      </c>
      <c r="J1738" s="59">
        <f>Table134[[#This Row],[number_of_purchases]]/Table134[[#This Row],[customer_total_years]]</f>
        <v>2.9856850715746424</v>
      </c>
      <c r="K1738" s="13">
        <f>Table134[[#This Row],[purchase_history]]/Table134[[#This Row],[number_of_purchases]]</f>
        <v>2129.625</v>
      </c>
      <c r="L1738" s="2">
        <f>IF(YEAR(Table134[[#This Row],[Last_Day]])=2021,5,IF(YEAR(Table134[[#This Row],[Last_Day]])=2022,7,IF(YEAR(Table134[[#This Row],[Last_Day]])=2023,10,"Không xác định")))</f>
        <v>7</v>
      </c>
      <c r="M1738" s="15">
        <f>Table134[[#This Row],[avg_number_of_purchases]]*Table1345[[#This Row],[avg_purchase_value]]*Table1345[[#This Row],[expected_lifespan]]</f>
        <v>44508.726993865035</v>
      </c>
      <c r="N1738" t="s">
        <v>12046</v>
      </c>
    </row>
    <row r="1739" spans="1:14" x14ac:dyDescent="0.3">
      <c r="A1739" s="2" t="s">
        <v>1737</v>
      </c>
      <c r="B1739" s="2" t="s">
        <v>12040</v>
      </c>
      <c r="C1739" s="2">
        <v>19</v>
      </c>
      <c r="D1739" s="2" t="s">
        <v>12041</v>
      </c>
      <c r="E1739" s="2">
        <f>COUNTIF(Table16[customer_id],Table13[[#This Row],[customer_id]])</f>
        <v>5</v>
      </c>
      <c r="F1739" s="13">
        <f>SUMIFS(Table16[Purchase_history],Table16[customer_id],Table13[[#This Row],[customer_id]])</f>
        <v>12788.74</v>
      </c>
      <c r="G1739" s="20">
        <v>44313</v>
      </c>
      <c r="H1739" s="21">
        <v>44751</v>
      </c>
      <c r="I1739" s="15">
        <f>(Table134[[#This Row],[Last_Day]]-Table134[[#This Row],[First_Day]]+1)/365</f>
        <v>1.2027397260273973</v>
      </c>
      <c r="J1739" s="59">
        <f>Table134[[#This Row],[number_of_purchases]]/Table134[[#This Row],[customer_total_years]]</f>
        <v>4.1571753986332576</v>
      </c>
      <c r="K1739" s="13">
        <f>Table134[[#This Row],[purchase_history]]/Table134[[#This Row],[number_of_purchases]]</f>
        <v>2557.748</v>
      </c>
      <c r="L1739" s="2">
        <f>IF(YEAR(Table134[[#This Row],[Last_Day]])=2021,5,IF(YEAR(Table134[[#This Row],[Last_Day]])=2022,7,IF(YEAR(Table134[[#This Row],[Last_Day]])=2023,10,"Không xác định")))</f>
        <v>7</v>
      </c>
      <c r="M1739" s="15">
        <f>Table134[[#This Row],[avg_number_of_purchases]]*Table1345[[#This Row],[avg_purchase_value]]*Table1345[[#This Row],[expected_lifespan]]</f>
        <v>74431.049430523926</v>
      </c>
      <c r="N1739" t="s">
        <v>12048</v>
      </c>
    </row>
    <row r="1740" spans="1:14" x14ac:dyDescent="0.3">
      <c r="A1740" s="2" t="s">
        <v>1738</v>
      </c>
      <c r="B1740" s="2" t="s">
        <v>12040</v>
      </c>
      <c r="C1740" s="2">
        <v>34</v>
      </c>
      <c r="D1740" s="2" t="s">
        <v>12041</v>
      </c>
      <c r="E1740" s="2">
        <f>COUNTIF(Table16[customer_id],Table13[[#This Row],[customer_id]])</f>
        <v>6</v>
      </c>
      <c r="F1740" s="13">
        <f>SUMIFS(Table16[Purchase_history],Table16[customer_id],Table13[[#This Row],[customer_id]])</f>
        <v>16231.050000000001</v>
      </c>
      <c r="G1740" s="20">
        <v>44295</v>
      </c>
      <c r="H1740" s="21">
        <v>44718</v>
      </c>
      <c r="I1740" s="15">
        <f>(Table134[[#This Row],[Last_Day]]-Table134[[#This Row],[First_Day]]+1)/365</f>
        <v>1.1616438356164382</v>
      </c>
      <c r="J1740" s="59">
        <f>Table134[[#This Row],[number_of_purchases]]/Table134[[#This Row],[customer_total_years]]</f>
        <v>5.1650943396226419</v>
      </c>
      <c r="K1740" s="13">
        <f>Table134[[#This Row],[purchase_history]]/Table134[[#This Row],[number_of_purchases]]</f>
        <v>2705.1750000000002</v>
      </c>
      <c r="L1740" s="2">
        <f>IF(YEAR(Table134[[#This Row],[Last_Day]])=2021,5,IF(YEAR(Table134[[#This Row],[Last_Day]])=2022,7,IF(YEAR(Table134[[#This Row],[Last_Day]])=2023,10,"Không xác định")))</f>
        <v>7</v>
      </c>
      <c r="M1740" s="15">
        <f>Table134[[#This Row],[avg_number_of_purchases]]*Table1345[[#This Row],[avg_purchase_value]]*Table1345[[#This Row],[expected_lifespan]]</f>
        <v>97807.388561320768</v>
      </c>
      <c r="N1740" t="s">
        <v>12048</v>
      </c>
    </row>
    <row r="1741" spans="1:14" x14ac:dyDescent="0.3">
      <c r="A1741" s="2" t="s">
        <v>1739</v>
      </c>
      <c r="B1741" s="2" t="s">
        <v>12040</v>
      </c>
      <c r="C1741" s="2">
        <v>54</v>
      </c>
      <c r="D1741" s="2" t="s">
        <v>12041</v>
      </c>
      <c r="E1741" s="2">
        <f>COUNTIF(Table16[customer_id],Table13[[#This Row],[customer_id]])</f>
        <v>4</v>
      </c>
      <c r="F1741" s="13">
        <f>SUMIFS(Table16[Purchase_history],Table16[customer_id],Table13[[#This Row],[customer_id]])</f>
        <v>9698.91</v>
      </c>
      <c r="G1741" s="20">
        <v>44251</v>
      </c>
      <c r="H1741" s="21">
        <v>44845</v>
      </c>
      <c r="I1741" s="15">
        <f>(Table134[[#This Row],[Last_Day]]-Table134[[#This Row],[First_Day]]+1)/365</f>
        <v>1.6301369863013699</v>
      </c>
      <c r="J1741" s="59">
        <f>Table134[[#This Row],[number_of_purchases]]/Table134[[#This Row],[customer_total_years]]</f>
        <v>2.4537815126050417</v>
      </c>
      <c r="K1741" s="13">
        <f>Table134[[#This Row],[purchase_history]]/Table134[[#This Row],[number_of_purchases]]</f>
        <v>2424.7275</v>
      </c>
      <c r="L1741" s="2">
        <f>IF(YEAR(Table134[[#This Row],[Last_Day]])=2021,5,IF(YEAR(Table134[[#This Row],[Last_Day]])=2022,7,IF(YEAR(Table134[[#This Row],[Last_Day]])=2023,10,"Không xác định")))</f>
        <v>7</v>
      </c>
      <c r="M1741" s="15">
        <f>Table134[[#This Row],[avg_number_of_purchases]]*Table1345[[#This Row],[avg_purchase_value]]*Table1345[[#This Row],[expected_lifespan]]</f>
        <v>41648.260588235287</v>
      </c>
      <c r="N1741" t="s">
        <v>12046</v>
      </c>
    </row>
    <row r="1742" spans="1:14" x14ac:dyDescent="0.3">
      <c r="A1742" s="2" t="s">
        <v>1740</v>
      </c>
      <c r="B1742" s="2" t="s">
        <v>12040</v>
      </c>
      <c r="C1742" s="2">
        <v>40</v>
      </c>
      <c r="D1742" s="2" t="s">
        <v>12041</v>
      </c>
      <c r="E1742" s="2">
        <f>COUNTIF(Table16[customer_id],Table13[[#This Row],[customer_id]])</f>
        <v>6</v>
      </c>
      <c r="F1742" s="13">
        <f>SUMIFS(Table16[Purchase_history],Table16[customer_id],Table13[[#This Row],[customer_id]])</f>
        <v>14400.48</v>
      </c>
      <c r="G1742" s="20">
        <v>44553</v>
      </c>
      <c r="H1742" s="21">
        <v>44821</v>
      </c>
      <c r="I1742" s="15">
        <f>(Table134[[#This Row],[Last_Day]]-Table134[[#This Row],[First_Day]]+1)/365</f>
        <v>0.73698630136986298</v>
      </c>
      <c r="J1742" s="59">
        <f>Table134[[#This Row],[number_of_purchases]]/Table134[[#This Row],[customer_total_years]]</f>
        <v>8.1412639405204459</v>
      </c>
      <c r="K1742" s="13">
        <f>Table134[[#This Row],[purchase_history]]/Table134[[#This Row],[number_of_purchases]]</f>
        <v>2400.08</v>
      </c>
      <c r="L1742" s="2">
        <f>IF(YEAR(Table134[[#This Row],[Last_Day]])=2021,5,IF(YEAR(Table134[[#This Row],[Last_Day]])=2022,7,IF(YEAR(Table134[[#This Row],[Last_Day]])=2023,10,"Không xác định")))</f>
        <v>7</v>
      </c>
      <c r="M1742" s="15">
        <f>Table134[[#This Row],[avg_number_of_purchases]]*Table1345[[#This Row],[avg_purchase_value]]*Table1345[[#This Row],[expected_lifespan]]</f>
        <v>136777.79330855017</v>
      </c>
      <c r="N1742" t="s">
        <v>12044</v>
      </c>
    </row>
    <row r="1743" spans="1:14" x14ac:dyDescent="0.3">
      <c r="A1743" s="2" t="s">
        <v>1741</v>
      </c>
      <c r="B1743" s="2" t="s">
        <v>12040</v>
      </c>
      <c r="C1743" s="2">
        <v>18</v>
      </c>
      <c r="D1743" s="2" t="s">
        <v>12041</v>
      </c>
      <c r="E1743" s="2">
        <f>COUNTIF(Table16[customer_id],Table13[[#This Row],[customer_id]])</f>
        <v>4</v>
      </c>
      <c r="F1743" s="13">
        <f>SUMIFS(Table16[Purchase_history],Table16[customer_id],Table13[[#This Row],[customer_id]])</f>
        <v>4006.6900000000005</v>
      </c>
      <c r="G1743" s="20">
        <v>44886</v>
      </c>
      <c r="H1743" s="21">
        <v>44982</v>
      </c>
      <c r="I1743" s="15">
        <f>(Table134[[#This Row],[Last_Day]]-Table134[[#This Row],[First_Day]]+1)/365</f>
        <v>0.26575342465753427</v>
      </c>
      <c r="J1743" s="59">
        <f>Table134[[#This Row],[number_of_purchases]]/Table134[[#This Row],[customer_total_years]]</f>
        <v>15.051546391752577</v>
      </c>
      <c r="K1743" s="13">
        <f>Table134[[#This Row],[purchase_history]]/Table134[[#This Row],[number_of_purchases]]</f>
        <v>1001.6725000000001</v>
      </c>
      <c r="L1743" s="2">
        <f>IF(YEAR(Table134[[#This Row],[Last_Day]])=2021,5,IF(YEAR(Table134[[#This Row],[Last_Day]])=2022,7,IF(YEAR(Table134[[#This Row],[Last_Day]])=2023,10,"Không xác định")))</f>
        <v>10</v>
      </c>
      <c r="M1743" s="15">
        <f>Table134[[#This Row],[avg_number_of_purchases]]*Table1345[[#This Row],[avg_purchase_value]]*Table1345[[#This Row],[expected_lifespan]]</f>
        <v>150767.20103092786</v>
      </c>
      <c r="N1743" t="s">
        <v>12042</v>
      </c>
    </row>
    <row r="1744" spans="1:14" x14ac:dyDescent="0.3">
      <c r="A1744" s="2" t="s">
        <v>1742</v>
      </c>
      <c r="B1744" s="2" t="s">
        <v>12040</v>
      </c>
      <c r="C1744" s="2">
        <v>43</v>
      </c>
      <c r="D1744" s="2" t="s">
        <v>12043</v>
      </c>
      <c r="E1744" s="2">
        <f>COUNTIF(Table16[customer_id],Table13[[#This Row],[customer_id]])</f>
        <v>10</v>
      </c>
      <c r="F1744" s="13">
        <f>SUMIFS(Table16[Purchase_history],Table16[customer_id],Table13[[#This Row],[customer_id]])</f>
        <v>53365.979999999996</v>
      </c>
      <c r="G1744" s="20">
        <v>44336</v>
      </c>
      <c r="H1744" s="21">
        <v>44983</v>
      </c>
      <c r="I1744" s="15">
        <f>(Table134[[#This Row],[Last_Day]]-Table134[[#This Row],[First_Day]]+1)/365</f>
        <v>1.7753424657534247</v>
      </c>
      <c r="J1744" s="59">
        <f>Table134[[#This Row],[number_of_purchases]]/Table134[[#This Row],[customer_total_years]]</f>
        <v>5.632716049382716</v>
      </c>
      <c r="K1744" s="13">
        <f>Table134[[#This Row],[purchase_history]]/Table134[[#This Row],[number_of_purchases]]</f>
        <v>5336.598</v>
      </c>
      <c r="L1744" s="2">
        <f>IF(YEAR(Table134[[#This Row],[Last_Day]])=2021,5,IF(YEAR(Table134[[#This Row],[Last_Day]])=2022,7,IF(YEAR(Table134[[#This Row],[Last_Day]])=2023,10,"Không xác định")))</f>
        <v>10</v>
      </c>
      <c r="M1744" s="15">
        <f>Table134[[#This Row],[avg_number_of_purchases]]*Table1345[[#This Row],[avg_purchase_value]]*Table1345[[#This Row],[expected_lifespan]]</f>
        <v>300595.41203703702</v>
      </c>
      <c r="N1744" t="s">
        <v>12044</v>
      </c>
    </row>
    <row r="1745" spans="1:14" x14ac:dyDescent="0.3">
      <c r="A1745" s="2" t="s">
        <v>1743</v>
      </c>
      <c r="B1745" s="2" t="s">
        <v>12040</v>
      </c>
      <c r="C1745" s="2">
        <v>27</v>
      </c>
      <c r="D1745" s="2" t="s">
        <v>12043</v>
      </c>
      <c r="E1745" s="2">
        <f>COUNTIF(Table16[customer_id],Table13[[#This Row],[customer_id]])</f>
        <v>3</v>
      </c>
      <c r="F1745" s="13">
        <f>SUMIFS(Table16[Purchase_history],Table16[customer_id],Table13[[#This Row],[customer_id]])</f>
        <v>6137.95</v>
      </c>
      <c r="G1745" s="20">
        <v>44365</v>
      </c>
      <c r="H1745" s="21">
        <v>44988</v>
      </c>
      <c r="I1745" s="15">
        <f>(Table134[[#This Row],[Last_Day]]-Table134[[#This Row],[First_Day]]+1)/365</f>
        <v>1.7095890410958905</v>
      </c>
      <c r="J1745" s="59">
        <f>Table134[[#This Row],[number_of_purchases]]/Table134[[#This Row],[customer_total_years]]</f>
        <v>1.7548076923076923</v>
      </c>
      <c r="K1745" s="13">
        <f>Table134[[#This Row],[purchase_history]]/Table134[[#This Row],[number_of_purchases]]</f>
        <v>2045.9833333333333</v>
      </c>
      <c r="L1745" s="2">
        <f>IF(YEAR(Table134[[#This Row],[Last_Day]])=2021,5,IF(YEAR(Table134[[#This Row],[Last_Day]])=2022,7,IF(YEAR(Table134[[#This Row],[Last_Day]])=2023,10,"Không xác định")))</f>
        <v>10</v>
      </c>
      <c r="M1745" s="15">
        <f>Table134[[#This Row],[avg_number_of_purchases]]*Table1345[[#This Row],[avg_purchase_value]]*Table1345[[#This Row],[expected_lifespan]]</f>
        <v>35903.072916666664</v>
      </c>
      <c r="N1745" t="s">
        <v>12047</v>
      </c>
    </row>
    <row r="1746" spans="1:14" x14ac:dyDescent="0.3">
      <c r="A1746" s="2" t="s">
        <v>1744</v>
      </c>
      <c r="B1746" s="2" t="s">
        <v>12040</v>
      </c>
      <c r="C1746" s="2">
        <v>59</v>
      </c>
      <c r="D1746" s="2" t="s">
        <v>12049</v>
      </c>
      <c r="E1746" s="2">
        <f>COUNTIF(Table16[customer_id],Table13[[#This Row],[customer_id]])</f>
        <v>8</v>
      </c>
      <c r="F1746" s="13">
        <f>SUMIFS(Table16[Purchase_history],Table16[customer_id],Table13[[#This Row],[customer_id]])</f>
        <v>32987.960000000006</v>
      </c>
      <c r="G1746" s="20">
        <v>44301</v>
      </c>
      <c r="H1746" s="21">
        <v>44894</v>
      </c>
      <c r="I1746" s="15">
        <f>(Table134[[#This Row],[Last_Day]]-Table134[[#This Row],[First_Day]]+1)/365</f>
        <v>1.6273972602739726</v>
      </c>
      <c r="J1746" s="59">
        <f>Table134[[#This Row],[number_of_purchases]]/Table134[[#This Row],[customer_total_years]]</f>
        <v>4.9158249158249161</v>
      </c>
      <c r="K1746" s="13">
        <f>Table134[[#This Row],[purchase_history]]/Table134[[#This Row],[number_of_purchases]]</f>
        <v>4123.4950000000008</v>
      </c>
      <c r="L1746" s="2">
        <f>IF(YEAR(Table134[[#This Row],[Last_Day]])=2021,5,IF(YEAR(Table134[[#This Row],[Last_Day]])=2022,7,IF(YEAR(Table134[[#This Row],[Last_Day]])=2023,10,"Không xác định")))</f>
        <v>7</v>
      </c>
      <c r="M1746" s="15">
        <f>Table134[[#This Row],[avg_number_of_purchases]]*Table1345[[#This Row],[avg_purchase_value]]*Table1345[[#This Row],[expected_lifespan]]</f>
        <v>141892.65622895627</v>
      </c>
      <c r="N1746" t="s">
        <v>12048</v>
      </c>
    </row>
    <row r="1747" spans="1:14" x14ac:dyDescent="0.3">
      <c r="A1747" s="2" t="s">
        <v>1745</v>
      </c>
      <c r="B1747" s="2" t="s">
        <v>12045</v>
      </c>
      <c r="C1747" s="2">
        <v>41</v>
      </c>
      <c r="D1747" s="2" t="s">
        <v>12041</v>
      </c>
      <c r="E1747" s="2">
        <f>COUNTIF(Table16[customer_id],Table13[[#This Row],[customer_id]])</f>
        <v>6</v>
      </c>
      <c r="F1747" s="13">
        <f>SUMIFS(Table16[Purchase_history],Table16[customer_id],Table13[[#This Row],[customer_id]])</f>
        <v>2878.39</v>
      </c>
      <c r="G1747" s="20">
        <v>44365</v>
      </c>
      <c r="H1747" s="21">
        <v>44819</v>
      </c>
      <c r="I1747" s="15">
        <f>(Table134[[#This Row],[Last_Day]]-Table134[[#This Row],[First_Day]]+1)/365</f>
        <v>1.2465753424657535</v>
      </c>
      <c r="J1747" s="59">
        <f>Table134[[#This Row],[number_of_purchases]]/Table134[[#This Row],[customer_total_years]]</f>
        <v>4.813186813186813</v>
      </c>
      <c r="K1747" s="13">
        <f>Table134[[#This Row],[purchase_history]]/Table134[[#This Row],[number_of_purchases]]</f>
        <v>479.73166666666663</v>
      </c>
      <c r="L1747" s="2">
        <f>IF(YEAR(Table134[[#This Row],[Last_Day]])=2021,5,IF(YEAR(Table134[[#This Row],[Last_Day]])=2022,7,IF(YEAR(Table134[[#This Row],[Last_Day]])=2023,10,"Không xác định")))</f>
        <v>7</v>
      </c>
      <c r="M1747" s="15">
        <f>Table134[[#This Row],[avg_number_of_purchases]]*Table1345[[#This Row],[avg_purchase_value]]*Table1345[[#This Row],[expected_lifespan]]</f>
        <v>16163.266923076921</v>
      </c>
      <c r="N1747" t="s">
        <v>12047</v>
      </c>
    </row>
    <row r="1748" spans="1:14" x14ac:dyDescent="0.3">
      <c r="A1748" s="2" t="s">
        <v>1746</v>
      </c>
      <c r="B1748" s="2" t="s">
        <v>12045</v>
      </c>
      <c r="C1748" s="2">
        <v>27</v>
      </c>
      <c r="D1748" s="2" t="s">
        <v>12043</v>
      </c>
      <c r="E1748" s="2">
        <f>COUNTIF(Table16[customer_id],Table13[[#This Row],[customer_id]])</f>
        <v>9</v>
      </c>
      <c r="F1748" s="13">
        <f>SUMIFS(Table16[Purchase_history],Table16[customer_id],Table13[[#This Row],[customer_id]])</f>
        <v>10511.63</v>
      </c>
      <c r="G1748" s="20">
        <v>44337</v>
      </c>
      <c r="H1748" s="21">
        <v>44804</v>
      </c>
      <c r="I1748" s="15">
        <f>(Table134[[#This Row],[Last_Day]]-Table134[[#This Row],[First_Day]]+1)/365</f>
        <v>1.2821917808219179</v>
      </c>
      <c r="J1748" s="59">
        <f>Table134[[#This Row],[number_of_purchases]]/Table134[[#This Row],[customer_total_years]]</f>
        <v>7.0192307692307692</v>
      </c>
      <c r="K1748" s="13">
        <f>Table134[[#This Row],[purchase_history]]/Table134[[#This Row],[number_of_purchases]]</f>
        <v>1167.9588888888889</v>
      </c>
      <c r="L1748" s="2">
        <f>IF(YEAR(Table134[[#This Row],[Last_Day]])=2021,5,IF(YEAR(Table134[[#This Row],[Last_Day]])=2022,7,IF(YEAR(Table134[[#This Row],[Last_Day]])=2023,10,"Không xác định")))</f>
        <v>7</v>
      </c>
      <c r="M1748" s="15">
        <f>Table134[[#This Row],[avg_number_of_purchases]]*Table1345[[#This Row],[avg_purchase_value]]*Table1345[[#This Row],[expected_lifespan]]</f>
        <v>57387.210790598292</v>
      </c>
      <c r="N1748" t="s">
        <v>12046</v>
      </c>
    </row>
    <row r="1749" spans="1:14" x14ac:dyDescent="0.3">
      <c r="A1749" s="2" t="s">
        <v>1747</v>
      </c>
      <c r="B1749" s="2" t="s">
        <v>12040</v>
      </c>
      <c r="C1749" s="2">
        <v>32</v>
      </c>
      <c r="D1749" s="2" t="s">
        <v>12043</v>
      </c>
      <c r="E1749" s="2">
        <f>COUNTIF(Table16[customer_id],Table13[[#This Row],[customer_id]])</f>
        <v>3</v>
      </c>
      <c r="F1749" s="13">
        <f>SUMIFS(Table16[Purchase_history],Table16[customer_id],Table13[[#This Row],[customer_id]])</f>
        <v>3188.48</v>
      </c>
      <c r="G1749" s="20">
        <v>44481</v>
      </c>
      <c r="H1749" s="21">
        <v>44654</v>
      </c>
      <c r="I1749" s="15">
        <f>(Table134[[#This Row],[Last_Day]]-Table134[[#This Row],[First_Day]]+1)/365</f>
        <v>0.47671232876712327</v>
      </c>
      <c r="J1749" s="59">
        <f>Table134[[#This Row],[number_of_purchases]]/Table134[[#This Row],[customer_total_years]]</f>
        <v>6.2931034482758621</v>
      </c>
      <c r="K1749" s="13">
        <f>Table134[[#This Row],[purchase_history]]/Table134[[#This Row],[number_of_purchases]]</f>
        <v>1062.8266666666666</v>
      </c>
      <c r="L1749" s="2">
        <f>IF(YEAR(Table134[[#This Row],[Last_Day]])=2021,5,IF(YEAR(Table134[[#This Row],[Last_Day]])=2022,7,IF(YEAR(Table134[[#This Row],[Last_Day]])=2023,10,"Không xác định")))</f>
        <v>7</v>
      </c>
      <c r="M1749" s="15">
        <f>Table134[[#This Row],[avg_number_of_purchases]]*Table1345[[#This Row],[avg_purchase_value]]*Table1345[[#This Row],[expected_lifespan]]</f>
        <v>46819.347126436776</v>
      </c>
      <c r="N1749" t="s">
        <v>12048</v>
      </c>
    </row>
    <row r="1750" spans="1:14" x14ac:dyDescent="0.3">
      <c r="A1750" s="2" t="s">
        <v>1748</v>
      </c>
      <c r="B1750" s="2" t="s">
        <v>12040</v>
      </c>
      <c r="C1750" s="2">
        <v>68</v>
      </c>
      <c r="D1750" s="2" t="s">
        <v>12041</v>
      </c>
      <c r="E1750" s="2">
        <f>COUNTIF(Table16[customer_id],Table13[[#This Row],[customer_id]])</f>
        <v>4</v>
      </c>
      <c r="F1750" s="13">
        <f>SUMIFS(Table16[Purchase_history],Table16[customer_id],Table13[[#This Row],[customer_id]])</f>
        <v>830.51</v>
      </c>
      <c r="G1750" s="20">
        <v>44642</v>
      </c>
      <c r="H1750" s="21">
        <v>44875</v>
      </c>
      <c r="I1750" s="15">
        <f>(Table134[[#This Row],[Last_Day]]-Table134[[#This Row],[First_Day]]+1)/365</f>
        <v>0.64109589041095894</v>
      </c>
      <c r="J1750" s="59">
        <f>Table134[[#This Row],[number_of_purchases]]/Table134[[#This Row],[customer_total_years]]</f>
        <v>6.2393162393162394</v>
      </c>
      <c r="K1750" s="13">
        <f>Table134[[#This Row],[purchase_history]]/Table134[[#This Row],[number_of_purchases]]</f>
        <v>207.6275</v>
      </c>
      <c r="L1750" s="2">
        <f>IF(YEAR(Table134[[#This Row],[Last_Day]])=2021,5,IF(YEAR(Table134[[#This Row],[Last_Day]])=2022,7,IF(YEAR(Table134[[#This Row],[Last_Day]])=2023,10,"Không xác định")))</f>
        <v>7</v>
      </c>
      <c r="M1750" s="15">
        <f>Table134[[#This Row],[avg_number_of_purchases]]*Table1345[[#This Row],[avg_purchase_value]]*Table1345[[#This Row],[expected_lifespan]]</f>
        <v>9068.1754273504266</v>
      </c>
      <c r="N1750" t="s">
        <v>12048</v>
      </c>
    </row>
    <row r="1751" spans="1:14" x14ac:dyDescent="0.3">
      <c r="A1751" s="2" t="s">
        <v>1749</v>
      </c>
      <c r="B1751" s="2" t="s">
        <v>12040</v>
      </c>
      <c r="C1751" s="2">
        <v>43</v>
      </c>
      <c r="D1751" s="2" t="s">
        <v>12041</v>
      </c>
      <c r="E1751" s="2">
        <f>COUNTIF(Table16[customer_id],Table13[[#This Row],[customer_id]])</f>
        <v>4</v>
      </c>
      <c r="F1751" s="13">
        <f>SUMIFS(Table16[Purchase_history],Table16[customer_id],Table13[[#This Row],[customer_id]])</f>
        <v>3883.8799999999997</v>
      </c>
      <c r="G1751" s="20">
        <v>44376</v>
      </c>
      <c r="H1751" s="21">
        <v>44764</v>
      </c>
      <c r="I1751" s="15">
        <f>(Table134[[#This Row],[Last_Day]]-Table134[[#This Row],[First_Day]]+1)/365</f>
        <v>1.0657534246575342</v>
      </c>
      <c r="J1751" s="59">
        <f>Table134[[#This Row],[number_of_purchases]]/Table134[[#This Row],[customer_total_years]]</f>
        <v>3.7532133676092547</v>
      </c>
      <c r="K1751" s="13">
        <f>Table134[[#This Row],[purchase_history]]/Table134[[#This Row],[number_of_purchases]]</f>
        <v>970.96999999999991</v>
      </c>
      <c r="L1751" s="2">
        <f>IF(YEAR(Table134[[#This Row],[Last_Day]])=2021,5,IF(YEAR(Table134[[#This Row],[Last_Day]])=2022,7,IF(YEAR(Table134[[#This Row],[Last_Day]])=2023,10,"Không xác định")))</f>
        <v>7</v>
      </c>
      <c r="M1751" s="15">
        <f>Table134[[#This Row],[avg_number_of_purchases]]*Table1345[[#This Row],[avg_purchase_value]]*Table1345[[#This Row],[expected_lifespan]]</f>
        <v>25509.803084832904</v>
      </c>
      <c r="N1751" t="s">
        <v>12046</v>
      </c>
    </row>
    <row r="1752" spans="1:14" x14ac:dyDescent="0.3">
      <c r="A1752" s="2" t="s">
        <v>1750</v>
      </c>
      <c r="B1752" s="2" t="s">
        <v>12040</v>
      </c>
      <c r="C1752" s="2">
        <v>41</v>
      </c>
      <c r="D1752" s="2" t="s">
        <v>12049</v>
      </c>
      <c r="E1752" s="2">
        <f>COUNTIF(Table16[customer_id],Table13[[#This Row],[customer_id]])</f>
        <v>5</v>
      </c>
      <c r="F1752" s="13">
        <f>SUMIFS(Table16[Purchase_history],Table16[customer_id],Table13[[#This Row],[customer_id]])</f>
        <v>10396.02</v>
      </c>
      <c r="G1752" s="20">
        <v>44287</v>
      </c>
      <c r="H1752" s="21">
        <v>44608</v>
      </c>
      <c r="I1752" s="15">
        <f>(Table134[[#This Row],[Last_Day]]-Table134[[#This Row],[First_Day]]+1)/365</f>
        <v>0.88219178082191785</v>
      </c>
      <c r="J1752" s="59">
        <f>Table134[[#This Row],[number_of_purchases]]/Table134[[#This Row],[customer_total_years]]</f>
        <v>5.6677018633540373</v>
      </c>
      <c r="K1752" s="13">
        <f>Table134[[#This Row],[purchase_history]]/Table134[[#This Row],[number_of_purchases]]</f>
        <v>2079.2040000000002</v>
      </c>
      <c r="L1752" s="2">
        <f>IF(YEAR(Table134[[#This Row],[Last_Day]])=2021,5,IF(YEAR(Table134[[#This Row],[Last_Day]])=2022,7,IF(YEAR(Table134[[#This Row],[Last_Day]])=2023,10,"Không xác định")))</f>
        <v>7</v>
      </c>
      <c r="M1752" s="15">
        <f>Table134[[#This Row],[avg_number_of_purchases]]*Table1345[[#This Row],[avg_purchase_value]]*Table1345[[#This Row],[expected_lifespan]]</f>
        <v>82490.158695652179</v>
      </c>
      <c r="N1752" t="s">
        <v>12046</v>
      </c>
    </row>
    <row r="1753" spans="1:14" x14ac:dyDescent="0.3">
      <c r="A1753" s="2" t="s">
        <v>1751</v>
      </c>
      <c r="B1753" s="2" t="s">
        <v>12040</v>
      </c>
      <c r="C1753" s="2">
        <v>61</v>
      </c>
      <c r="D1753" s="2" t="s">
        <v>12043</v>
      </c>
      <c r="E1753" s="2">
        <f>COUNTIF(Table16[customer_id],Table13[[#This Row],[customer_id]])</f>
        <v>3</v>
      </c>
      <c r="F1753" s="13">
        <f>SUMIFS(Table16[Purchase_history],Table16[customer_id],Table13[[#This Row],[customer_id]])</f>
        <v>589.66000000000008</v>
      </c>
      <c r="G1753" s="20">
        <v>44264</v>
      </c>
      <c r="H1753" s="21">
        <v>44912</v>
      </c>
      <c r="I1753" s="15">
        <f>(Table134[[#This Row],[Last_Day]]-Table134[[#This Row],[First_Day]]+1)/365</f>
        <v>1.7780821917808218</v>
      </c>
      <c r="J1753" s="59">
        <f>Table134[[#This Row],[number_of_purchases]]/Table134[[#This Row],[customer_total_years]]</f>
        <v>1.6872110939907552</v>
      </c>
      <c r="K1753" s="13">
        <f>Table134[[#This Row],[purchase_history]]/Table134[[#This Row],[number_of_purchases]]</f>
        <v>196.55333333333337</v>
      </c>
      <c r="L1753" s="2">
        <f>IF(YEAR(Table134[[#This Row],[Last_Day]])=2021,5,IF(YEAR(Table134[[#This Row],[Last_Day]])=2022,7,IF(YEAR(Table134[[#This Row],[Last_Day]])=2023,10,"Không xác định")))</f>
        <v>7</v>
      </c>
      <c r="M1753" s="15">
        <f>Table134[[#This Row],[avg_number_of_purchases]]*Table1345[[#This Row],[avg_purchase_value]]*Table1345[[#This Row],[expected_lifespan]]</f>
        <v>2321.3887519260406</v>
      </c>
      <c r="N1753" t="s">
        <v>12047</v>
      </c>
    </row>
    <row r="1754" spans="1:14" x14ac:dyDescent="0.3">
      <c r="A1754" s="2" t="s">
        <v>1752</v>
      </c>
      <c r="B1754" s="2" t="s">
        <v>12040</v>
      </c>
      <c r="C1754" s="2">
        <v>54</v>
      </c>
      <c r="D1754" s="2" t="s">
        <v>12043</v>
      </c>
      <c r="E1754" s="2">
        <f>COUNTIF(Table16[customer_id],Table13[[#This Row],[customer_id]])</f>
        <v>5</v>
      </c>
      <c r="F1754" s="13">
        <f>SUMIFS(Table16[Purchase_history],Table16[customer_id],Table13[[#This Row],[customer_id]])</f>
        <v>2684.7699999999995</v>
      </c>
      <c r="G1754" s="20">
        <v>44316</v>
      </c>
      <c r="H1754" s="21">
        <v>44864</v>
      </c>
      <c r="I1754" s="15">
        <f>(Table134[[#This Row],[Last_Day]]-Table134[[#This Row],[First_Day]]+1)/365</f>
        <v>1.5041095890410958</v>
      </c>
      <c r="J1754" s="59">
        <f>Table134[[#This Row],[number_of_purchases]]/Table134[[#This Row],[customer_total_years]]</f>
        <v>3.3242258652094718</v>
      </c>
      <c r="K1754" s="13">
        <f>Table134[[#This Row],[purchase_history]]/Table134[[#This Row],[number_of_purchases]]</f>
        <v>536.95399999999995</v>
      </c>
      <c r="L1754" s="2">
        <f>IF(YEAR(Table134[[#This Row],[Last_Day]])=2021,5,IF(YEAR(Table134[[#This Row],[Last_Day]])=2022,7,IF(YEAR(Table134[[#This Row],[Last_Day]])=2023,10,"Không xác định")))</f>
        <v>7</v>
      </c>
      <c r="M1754" s="15">
        <f>Table134[[#This Row],[avg_number_of_purchases]]*Table1345[[#This Row],[avg_purchase_value]]*Table1345[[#This Row],[expected_lifespan]]</f>
        <v>12494.694626593806</v>
      </c>
      <c r="N1754" t="s">
        <v>12046</v>
      </c>
    </row>
    <row r="1755" spans="1:14" x14ac:dyDescent="0.3">
      <c r="A1755" s="2" t="s">
        <v>1753</v>
      </c>
      <c r="B1755" s="2" t="s">
        <v>12040</v>
      </c>
      <c r="C1755" s="2">
        <v>59</v>
      </c>
      <c r="D1755" s="2" t="s">
        <v>12043</v>
      </c>
      <c r="E1755" s="2">
        <f>COUNTIF(Table16[customer_id],Table13[[#This Row],[customer_id]])</f>
        <v>7</v>
      </c>
      <c r="F1755" s="13">
        <f>SUMIFS(Table16[Purchase_history],Table16[customer_id],Table13[[#This Row],[customer_id]])</f>
        <v>6131.49</v>
      </c>
      <c r="G1755" s="20">
        <v>44294</v>
      </c>
      <c r="H1755" s="21">
        <v>44971</v>
      </c>
      <c r="I1755" s="15">
        <f>(Table134[[#This Row],[Last_Day]]-Table134[[#This Row],[First_Day]]+1)/365</f>
        <v>1.8575342465753424</v>
      </c>
      <c r="J1755" s="59">
        <f>Table134[[#This Row],[number_of_purchases]]/Table134[[#This Row],[customer_total_years]]</f>
        <v>3.7684365781710918</v>
      </c>
      <c r="K1755" s="13">
        <f>Table134[[#This Row],[purchase_history]]/Table134[[#This Row],[number_of_purchases]]</f>
        <v>875.92714285714283</v>
      </c>
      <c r="L1755" s="2">
        <f>IF(YEAR(Table134[[#This Row],[Last_Day]])=2021,5,IF(YEAR(Table134[[#This Row],[Last_Day]])=2022,7,IF(YEAR(Table134[[#This Row],[Last_Day]])=2023,10,"Không xác định")))</f>
        <v>10</v>
      </c>
      <c r="M1755" s="15">
        <f>Table134[[#This Row],[avg_number_of_purchases]]*Table1345[[#This Row],[avg_purchase_value]]*Table1345[[#This Row],[expected_lifespan]]</f>
        <v>33008.758849557526</v>
      </c>
      <c r="N1755" t="s">
        <v>12042</v>
      </c>
    </row>
    <row r="1756" spans="1:14" x14ac:dyDescent="0.3">
      <c r="A1756" s="2" t="s">
        <v>1754</v>
      </c>
      <c r="B1756" s="2" t="s">
        <v>12045</v>
      </c>
      <c r="C1756" s="2">
        <v>64</v>
      </c>
      <c r="D1756" s="2" t="s">
        <v>12043</v>
      </c>
      <c r="E1756" s="2">
        <f>COUNTIF(Table16[customer_id],Table13[[#This Row],[customer_id]])</f>
        <v>8</v>
      </c>
      <c r="F1756" s="13">
        <f>SUMIFS(Table16[Purchase_history],Table16[customer_id],Table13[[#This Row],[customer_id]])</f>
        <v>23219.69</v>
      </c>
      <c r="G1756" s="20">
        <v>44396</v>
      </c>
      <c r="H1756" s="21">
        <v>44939</v>
      </c>
      <c r="I1756" s="15">
        <f>(Table134[[#This Row],[Last_Day]]-Table134[[#This Row],[First_Day]]+1)/365</f>
        <v>1.4904109589041097</v>
      </c>
      <c r="J1756" s="59">
        <f>Table134[[#This Row],[number_of_purchases]]/Table134[[#This Row],[customer_total_years]]</f>
        <v>5.367647058823529</v>
      </c>
      <c r="K1756" s="13">
        <f>Table134[[#This Row],[purchase_history]]/Table134[[#This Row],[number_of_purchases]]</f>
        <v>2902.4612499999998</v>
      </c>
      <c r="L1756" s="2">
        <f>IF(YEAR(Table134[[#This Row],[Last_Day]])=2021,5,IF(YEAR(Table134[[#This Row],[Last_Day]])=2022,7,IF(YEAR(Table134[[#This Row],[Last_Day]])=2023,10,"Không xác định")))</f>
        <v>10</v>
      </c>
      <c r="M1756" s="15">
        <f>Table134[[#This Row],[avg_number_of_purchases]]*Table1345[[#This Row],[avg_purchase_value]]*Table1345[[#This Row],[expected_lifespan]]</f>
        <v>155793.87591911762</v>
      </c>
      <c r="N1756" t="s">
        <v>12042</v>
      </c>
    </row>
    <row r="1757" spans="1:14" x14ac:dyDescent="0.3">
      <c r="A1757" s="2" t="s">
        <v>1755</v>
      </c>
      <c r="B1757" s="2" t="s">
        <v>12045</v>
      </c>
      <c r="C1757" s="2">
        <v>40</v>
      </c>
      <c r="D1757" s="2" t="s">
        <v>12043</v>
      </c>
      <c r="E1757" s="2">
        <f>COUNTIF(Table16[customer_id],Table13[[#This Row],[customer_id]])</f>
        <v>5</v>
      </c>
      <c r="F1757" s="13">
        <f>SUMIFS(Table16[Purchase_history],Table16[customer_id],Table13[[#This Row],[customer_id]])</f>
        <v>33007.159999999996</v>
      </c>
      <c r="G1757" s="20">
        <v>44265</v>
      </c>
      <c r="H1757" s="21">
        <v>44971</v>
      </c>
      <c r="I1757" s="15">
        <f>(Table134[[#This Row],[Last_Day]]-Table134[[#This Row],[First_Day]]+1)/365</f>
        <v>1.9369863013698629</v>
      </c>
      <c r="J1757" s="59">
        <f>Table134[[#This Row],[number_of_purchases]]/Table134[[#This Row],[customer_total_years]]</f>
        <v>2.5813295615275815</v>
      </c>
      <c r="K1757" s="13">
        <f>Table134[[#This Row],[purchase_history]]/Table134[[#This Row],[number_of_purchases]]</f>
        <v>6601.4319999999989</v>
      </c>
      <c r="L1757" s="2">
        <f>IF(YEAR(Table134[[#This Row],[Last_Day]])=2021,5,IF(YEAR(Table134[[#This Row],[Last_Day]])=2022,7,IF(YEAR(Table134[[#This Row],[Last_Day]])=2023,10,"Không xác định")))</f>
        <v>10</v>
      </c>
      <c r="M1757" s="15">
        <f>Table134[[#This Row],[avg_number_of_purchases]]*Table1345[[#This Row],[avg_purchase_value]]*Table1345[[#This Row],[expected_lifespan]]</f>
        <v>170404.71570014142</v>
      </c>
      <c r="N1757" t="s">
        <v>12047</v>
      </c>
    </row>
    <row r="1758" spans="1:14" x14ac:dyDescent="0.3">
      <c r="A1758" s="2" t="s">
        <v>1756</v>
      </c>
      <c r="B1758" s="2" t="s">
        <v>12045</v>
      </c>
      <c r="C1758" s="2">
        <v>65</v>
      </c>
      <c r="D1758" s="2" t="s">
        <v>12043</v>
      </c>
      <c r="E1758" s="2">
        <f>COUNTIF(Table16[customer_id],Table13[[#This Row],[customer_id]])</f>
        <v>4</v>
      </c>
      <c r="F1758" s="13">
        <f>SUMIFS(Table16[Purchase_history],Table16[customer_id],Table13[[#This Row],[customer_id]])</f>
        <v>14873.92</v>
      </c>
      <c r="G1758" s="20">
        <v>44381</v>
      </c>
      <c r="H1758" s="21">
        <v>44461</v>
      </c>
      <c r="I1758" s="15">
        <f>(Table134[[#This Row],[Last_Day]]-Table134[[#This Row],[First_Day]]+1)/365</f>
        <v>0.22191780821917809</v>
      </c>
      <c r="J1758" s="59">
        <f>Table134[[#This Row],[number_of_purchases]]/Table134[[#This Row],[customer_total_years]]</f>
        <v>18.02469135802469</v>
      </c>
      <c r="K1758" s="13">
        <f>Table134[[#This Row],[purchase_history]]/Table134[[#This Row],[number_of_purchases]]</f>
        <v>3718.48</v>
      </c>
      <c r="L1758" s="2">
        <f>IF(YEAR(Table134[[#This Row],[Last_Day]])=2021,5,IF(YEAR(Table134[[#This Row],[Last_Day]])=2022,7,IF(YEAR(Table134[[#This Row],[Last_Day]])=2023,10,"Không xác định")))</f>
        <v>5</v>
      </c>
      <c r="M1758" s="15">
        <f>Table134[[#This Row],[avg_number_of_purchases]]*Table1345[[#This Row],[avg_purchase_value]]*Table1345[[#This Row],[expected_lifespan]]</f>
        <v>335122.2716049382</v>
      </c>
      <c r="N1758" t="s">
        <v>12044</v>
      </c>
    </row>
    <row r="1759" spans="1:14" x14ac:dyDescent="0.3">
      <c r="A1759" s="2" t="s">
        <v>1757</v>
      </c>
      <c r="B1759" s="2" t="s">
        <v>12040</v>
      </c>
      <c r="C1759" s="2">
        <v>22</v>
      </c>
      <c r="D1759" s="2" t="s">
        <v>12049</v>
      </c>
      <c r="E1759" s="2">
        <f>COUNTIF(Table16[customer_id],Table13[[#This Row],[customer_id]])</f>
        <v>3</v>
      </c>
      <c r="F1759" s="13">
        <f>SUMIFS(Table16[Purchase_history],Table16[customer_id],Table13[[#This Row],[customer_id]])</f>
        <v>5180.1099999999997</v>
      </c>
      <c r="G1759" s="20">
        <v>44202</v>
      </c>
      <c r="H1759" s="21">
        <v>44360</v>
      </c>
      <c r="I1759" s="15">
        <f>(Table134[[#This Row],[Last_Day]]-Table134[[#This Row],[First_Day]]+1)/365</f>
        <v>0.43561643835616437</v>
      </c>
      <c r="J1759" s="59">
        <f>Table134[[#This Row],[number_of_purchases]]/Table134[[#This Row],[customer_total_years]]</f>
        <v>6.8867924528301891</v>
      </c>
      <c r="K1759" s="13">
        <f>Table134[[#This Row],[purchase_history]]/Table134[[#This Row],[number_of_purchases]]</f>
        <v>1726.7033333333331</v>
      </c>
      <c r="L1759" s="2">
        <f>IF(YEAR(Table134[[#This Row],[Last_Day]])=2021,5,IF(YEAR(Table134[[#This Row],[Last_Day]])=2022,7,IF(YEAR(Table134[[#This Row],[Last_Day]])=2023,10,"Không xác định")))</f>
        <v>5</v>
      </c>
      <c r="M1759" s="15">
        <f>Table134[[#This Row],[avg_number_of_purchases]]*Table1345[[#This Row],[avg_purchase_value]]*Table1345[[#This Row],[expected_lifespan]]</f>
        <v>59457.237421383645</v>
      </c>
      <c r="N1759" t="s">
        <v>12047</v>
      </c>
    </row>
    <row r="1760" spans="1:14" x14ac:dyDescent="0.3">
      <c r="A1760" s="2" t="s">
        <v>1758</v>
      </c>
      <c r="B1760" s="2" t="s">
        <v>12040</v>
      </c>
      <c r="C1760" s="2">
        <v>19</v>
      </c>
      <c r="D1760" s="2" t="s">
        <v>12041</v>
      </c>
      <c r="E1760" s="2">
        <f>COUNTIF(Table16[customer_id],Table13[[#This Row],[customer_id]])</f>
        <v>8</v>
      </c>
      <c r="F1760" s="13">
        <f>SUMIFS(Table16[Purchase_history],Table16[customer_id],Table13[[#This Row],[customer_id]])</f>
        <v>5698.0700000000006</v>
      </c>
      <c r="G1760" s="20">
        <v>44263</v>
      </c>
      <c r="H1760" s="21">
        <v>44968</v>
      </c>
      <c r="I1760" s="15">
        <f>(Table134[[#This Row],[Last_Day]]-Table134[[#This Row],[First_Day]]+1)/365</f>
        <v>1.9342465753424658</v>
      </c>
      <c r="J1760" s="59">
        <f>Table134[[#This Row],[number_of_purchases]]/Table134[[#This Row],[customer_total_years]]</f>
        <v>4.1359773371104813</v>
      </c>
      <c r="K1760" s="13">
        <f>Table134[[#This Row],[purchase_history]]/Table134[[#This Row],[number_of_purchases]]</f>
        <v>712.25875000000008</v>
      </c>
      <c r="L1760" s="2">
        <f>IF(YEAR(Table134[[#This Row],[Last_Day]])=2021,5,IF(YEAR(Table134[[#This Row],[Last_Day]])=2022,7,IF(YEAR(Table134[[#This Row],[Last_Day]])=2023,10,"Không xác định")))</f>
        <v>10</v>
      </c>
      <c r="M1760" s="15">
        <f>Table134[[#This Row],[avg_number_of_purchases]]*Table1345[[#This Row],[avg_purchase_value]]*Table1345[[#This Row],[expected_lifespan]]</f>
        <v>29458.860481586402</v>
      </c>
      <c r="N1760" t="s">
        <v>12047</v>
      </c>
    </row>
    <row r="1761" spans="1:14" x14ac:dyDescent="0.3">
      <c r="A1761" s="2" t="s">
        <v>1759</v>
      </c>
      <c r="B1761" s="2" t="s">
        <v>12040</v>
      </c>
      <c r="C1761" s="2">
        <v>28</v>
      </c>
      <c r="D1761" s="2" t="s">
        <v>12041</v>
      </c>
      <c r="E1761" s="2">
        <f>COUNTIF(Table16[customer_id],Table13[[#This Row],[customer_id]])</f>
        <v>9</v>
      </c>
      <c r="F1761" s="13">
        <f>SUMIFS(Table16[Purchase_history],Table16[customer_id],Table13[[#This Row],[customer_id]])</f>
        <v>56040.480000000003</v>
      </c>
      <c r="G1761" s="20">
        <v>44315</v>
      </c>
      <c r="H1761" s="21">
        <v>44940</v>
      </c>
      <c r="I1761" s="15">
        <f>(Table134[[#This Row],[Last_Day]]-Table134[[#This Row],[First_Day]]+1)/365</f>
        <v>1.715068493150685</v>
      </c>
      <c r="J1761" s="59">
        <f>Table134[[#This Row],[number_of_purchases]]/Table134[[#This Row],[customer_total_years]]</f>
        <v>5.2476038338658144</v>
      </c>
      <c r="K1761" s="13">
        <f>Table134[[#This Row],[purchase_history]]/Table134[[#This Row],[number_of_purchases]]</f>
        <v>6226.72</v>
      </c>
      <c r="L1761" s="2">
        <f>IF(YEAR(Table134[[#This Row],[Last_Day]])=2021,5,IF(YEAR(Table134[[#This Row],[Last_Day]])=2022,7,IF(YEAR(Table134[[#This Row],[Last_Day]])=2023,10,"Không xác định")))</f>
        <v>10</v>
      </c>
      <c r="M1761" s="15">
        <f>Table134[[#This Row],[avg_number_of_purchases]]*Table1345[[#This Row],[avg_purchase_value]]*Table1345[[#This Row],[expected_lifespan]]</f>
        <v>326753.59744408948</v>
      </c>
      <c r="N1761" t="s">
        <v>12044</v>
      </c>
    </row>
    <row r="1762" spans="1:14" x14ac:dyDescent="0.3">
      <c r="A1762" s="2" t="s">
        <v>1760</v>
      </c>
      <c r="B1762" s="2" t="s">
        <v>12040</v>
      </c>
      <c r="C1762" s="2">
        <v>29</v>
      </c>
      <c r="D1762" s="2" t="s">
        <v>12043</v>
      </c>
      <c r="E1762" s="2">
        <f>COUNTIF(Table16[customer_id],Table13[[#This Row],[customer_id]])</f>
        <v>6</v>
      </c>
      <c r="F1762" s="13">
        <f>SUMIFS(Table16[Purchase_history],Table16[customer_id],Table13[[#This Row],[customer_id]])</f>
        <v>17240.919999999998</v>
      </c>
      <c r="G1762" s="20">
        <v>44217</v>
      </c>
      <c r="H1762" s="21">
        <v>44956</v>
      </c>
      <c r="I1762" s="15">
        <f>(Table134[[#This Row],[Last_Day]]-Table134[[#This Row],[First_Day]]+1)/365</f>
        <v>2.0273972602739727</v>
      </c>
      <c r="J1762" s="59">
        <f>Table134[[#This Row],[number_of_purchases]]/Table134[[#This Row],[customer_total_years]]</f>
        <v>2.9594594594594592</v>
      </c>
      <c r="K1762" s="13">
        <f>Table134[[#This Row],[purchase_history]]/Table134[[#This Row],[number_of_purchases]]</f>
        <v>2873.4866666666662</v>
      </c>
      <c r="L1762" s="2">
        <f>IF(YEAR(Table134[[#This Row],[Last_Day]])=2021,5,IF(YEAR(Table134[[#This Row],[Last_Day]])=2022,7,IF(YEAR(Table134[[#This Row],[Last_Day]])=2023,10,"Không xác định")))</f>
        <v>10</v>
      </c>
      <c r="M1762" s="15">
        <f>Table134[[#This Row],[avg_number_of_purchases]]*Table1345[[#This Row],[avg_purchase_value]]*Table1345[[#This Row],[expected_lifespan]]</f>
        <v>85039.672972972941</v>
      </c>
      <c r="N1762" t="s">
        <v>12048</v>
      </c>
    </row>
    <row r="1763" spans="1:14" x14ac:dyDescent="0.3">
      <c r="A1763" s="2" t="s">
        <v>1761</v>
      </c>
      <c r="B1763" s="2" t="s">
        <v>12045</v>
      </c>
      <c r="C1763" s="2">
        <v>66</v>
      </c>
      <c r="D1763" s="2" t="s">
        <v>12041</v>
      </c>
      <c r="E1763" s="2">
        <f>COUNTIF(Table16[customer_id],Table13[[#This Row],[customer_id]])</f>
        <v>4</v>
      </c>
      <c r="F1763" s="13">
        <f>SUMIFS(Table16[Purchase_history],Table16[customer_id],Table13[[#This Row],[customer_id]])</f>
        <v>8773.65</v>
      </c>
      <c r="G1763" s="20">
        <v>44287</v>
      </c>
      <c r="H1763" s="21">
        <v>44684</v>
      </c>
      <c r="I1763" s="15">
        <f>(Table134[[#This Row],[Last_Day]]-Table134[[#This Row],[First_Day]]+1)/365</f>
        <v>1.0904109589041096</v>
      </c>
      <c r="J1763" s="59">
        <f>Table134[[#This Row],[number_of_purchases]]/Table134[[#This Row],[customer_total_years]]</f>
        <v>3.6683417085427137</v>
      </c>
      <c r="K1763" s="13">
        <f>Table134[[#This Row],[purchase_history]]/Table134[[#This Row],[number_of_purchases]]</f>
        <v>2193.4124999999999</v>
      </c>
      <c r="L1763" s="2">
        <f>IF(YEAR(Table134[[#This Row],[Last_Day]])=2021,5,IF(YEAR(Table134[[#This Row],[Last_Day]])=2022,7,IF(YEAR(Table134[[#This Row],[Last_Day]])=2023,10,"Không xác định")))</f>
        <v>7</v>
      </c>
      <c r="M1763" s="15">
        <f>Table134[[#This Row],[avg_number_of_purchases]]*Table1345[[#This Row],[avg_purchase_value]]*Table1345[[#This Row],[expected_lifespan]]</f>
        <v>56323.305904522611</v>
      </c>
      <c r="N1763" t="s">
        <v>12046</v>
      </c>
    </row>
    <row r="1764" spans="1:14" x14ac:dyDescent="0.3">
      <c r="A1764" s="2" t="s">
        <v>1762</v>
      </c>
      <c r="B1764" s="2" t="s">
        <v>12040</v>
      </c>
      <c r="C1764" s="2">
        <v>53</v>
      </c>
      <c r="D1764" s="2" t="s">
        <v>12043</v>
      </c>
      <c r="E1764" s="2">
        <f>COUNTIF(Table16[customer_id],Table13[[#This Row],[customer_id]])</f>
        <v>5</v>
      </c>
      <c r="F1764" s="13">
        <f>SUMIFS(Table16[Purchase_history],Table16[customer_id],Table13[[#This Row],[customer_id]])</f>
        <v>32292.35</v>
      </c>
      <c r="G1764" s="20">
        <v>44223</v>
      </c>
      <c r="H1764" s="21">
        <v>44950</v>
      </c>
      <c r="I1764" s="15">
        <f>(Table134[[#This Row],[Last_Day]]-Table134[[#This Row],[First_Day]]+1)/365</f>
        <v>1.9945205479452055</v>
      </c>
      <c r="J1764" s="59">
        <f>Table134[[#This Row],[number_of_purchases]]/Table134[[#This Row],[customer_total_years]]</f>
        <v>2.5068681318681318</v>
      </c>
      <c r="K1764" s="13">
        <f>Table134[[#This Row],[purchase_history]]/Table134[[#This Row],[number_of_purchases]]</f>
        <v>6458.4699999999993</v>
      </c>
      <c r="L1764" s="2">
        <f>IF(YEAR(Table134[[#This Row],[Last_Day]])=2021,5,IF(YEAR(Table134[[#This Row],[Last_Day]])=2022,7,IF(YEAR(Table134[[#This Row],[Last_Day]])=2023,10,"Không xác định")))</f>
        <v>10</v>
      </c>
      <c r="M1764" s="15">
        <f>Table134[[#This Row],[avg_number_of_purchases]]*Table1345[[#This Row],[avg_purchase_value]]*Table1345[[#This Row],[expected_lifespan]]</f>
        <v>161905.32623626373</v>
      </c>
      <c r="N1764" t="s">
        <v>12046</v>
      </c>
    </row>
    <row r="1765" spans="1:14" x14ac:dyDescent="0.3">
      <c r="A1765" s="2" t="s">
        <v>1763</v>
      </c>
      <c r="B1765" s="2" t="s">
        <v>12040</v>
      </c>
      <c r="C1765" s="2">
        <v>20</v>
      </c>
      <c r="D1765" s="2" t="s">
        <v>12043</v>
      </c>
      <c r="E1765" s="2">
        <f>COUNTIF(Table16[customer_id],Table13[[#This Row],[customer_id]])</f>
        <v>7</v>
      </c>
      <c r="F1765" s="13">
        <f>SUMIFS(Table16[Purchase_history],Table16[customer_id],Table13[[#This Row],[customer_id]])</f>
        <v>7779.329999999999</v>
      </c>
      <c r="G1765" s="20">
        <v>44197</v>
      </c>
      <c r="H1765" s="21">
        <v>44868</v>
      </c>
      <c r="I1765" s="15">
        <f>(Table134[[#This Row],[Last_Day]]-Table134[[#This Row],[First_Day]]+1)/365</f>
        <v>1.8410958904109589</v>
      </c>
      <c r="J1765" s="59">
        <f>Table134[[#This Row],[number_of_purchases]]/Table134[[#This Row],[customer_total_years]]</f>
        <v>3.8020833333333335</v>
      </c>
      <c r="K1765" s="13">
        <f>Table134[[#This Row],[purchase_history]]/Table134[[#This Row],[number_of_purchases]]</f>
        <v>1111.3328571428569</v>
      </c>
      <c r="L1765" s="2">
        <f>IF(YEAR(Table134[[#This Row],[Last_Day]])=2021,5,IF(YEAR(Table134[[#This Row],[Last_Day]])=2022,7,IF(YEAR(Table134[[#This Row],[Last_Day]])=2023,10,"Không xác định")))</f>
        <v>7</v>
      </c>
      <c r="M1765" s="15">
        <f>Table134[[#This Row],[avg_number_of_purchases]]*Table1345[[#This Row],[avg_purchase_value]]*Table1345[[#This Row],[expected_lifespan]]</f>
        <v>29577.660937499997</v>
      </c>
      <c r="N1765" t="s">
        <v>12044</v>
      </c>
    </row>
    <row r="1766" spans="1:14" x14ac:dyDescent="0.3">
      <c r="A1766" s="2" t="s">
        <v>1764</v>
      </c>
      <c r="B1766" s="2" t="s">
        <v>12040</v>
      </c>
      <c r="C1766" s="2">
        <v>59</v>
      </c>
      <c r="D1766" s="2" t="s">
        <v>12041</v>
      </c>
      <c r="E1766" s="2">
        <f>COUNTIF(Table16[customer_id],Table13[[#This Row],[customer_id]])</f>
        <v>6</v>
      </c>
      <c r="F1766" s="13">
        <f>SUMIFS(Table16[Purchase_history],Table16[customer_id],Table13[[#This Row],[customer_id]])</f>
        <v>14696.96</v>
      </c>
      <c r="G1766" s="20">
        <v>44464</v>
      </c>
      <c r="H1766" s="21">
        <v>44796</v>
      </c>
      <c r="I1766" s="15">
        <f>(Table134[[#This Row],[Last_Day]]-Table134[[#This Row],[First_Day]]+1)/365</f>
        <v>0.9123287671232877</v>
      </c>
      <c r="J1766" s="59">
        <f>Table134[[#This Row],[number_of_purchases]]/Table134[[#This Row],[customer_total_years]]</f>
        <v>6.576576576576576</v>
      </c>
      <c r="K1766" s="13">
        <f>Table134[[#This Row],[purchase_history]]/Table134[[#This Row],[number_of_purchases]]</f>
        <v>2449.4933333333333</v>
      </c>
      <c r="L1766" s="2">
        <f>IF(YEAR(Table134[[#This Row],[Last_Day]])=2021,5,IF(YEAR(Table134[[#This Row],[Last_Day]])=2022,7,IF(YEAR(Table134[[#This Row],[Last_Day]])=2023,10,"Không xác định")))</f>
        <v>7</v>
      </c>
      <c r="M1766" s="15">
        <f>Table134[[#This Row],[avg_number_of_purchases]]*Table1345[[#This Row],[avg_purchase_value]]*Table1345[[#This Row],[expected_lifespan]]</f>
        <v>112764.96336336336</v>
      </c>
      <c r="N1766" t="s">
        <v>12048</v>
      </c>
    </row>
    <row r="1767" spans="1:14" x14ac:dyDescent="0.3">
      <c r="A1767" s="2" t="s">
        <v>1765</v>
      </c>
      <c r="B1767" s="2" t="s">
        <v>12040</v>
      </c>
      <c r="C1767" s="2">
        <v>45</v>
      </c>
      <c r="D1767" s="2" t="s">
        <v>12043</v>
      </c>
      <c r="E1767" s="2">
        <f>COUNTIF(Table16[customer_id],Table13[[#This Row],[customer_id]])</f>
        <v>6</v>
      </c>
      <c r="F1767" s="13">
        <f>SUMIFS(Table16[Purchase_history],Table16[customer_id],Table13[[#This Row],[customer_id]])</f>
        <v>9101.6899999999987</v>
      </c>
      <c r="G1767" s="20">
        <v>44326</v>
      </c>
      <c r="H1767" s="21">
        <v>44771</v>
      </c>
      <c r="I1767" s="15">
        <f>(Table134[[#This Row],[Last_Day]]-Table134[[#This Row],[First_Day]]+1)/365</f>
        <v>1.2219178082191782</v>
      </c>
      <c r="J1767" s="59">
        <f>Table134[[#This Row],[number_of_purchases]]/Table134[[#This Row],[customer_total_years]]</f>
        <v>4.9103139013452912</v>
      </c>
      <c r="K1767" s="13">
        <f>Table134[[#This Row],[purchase_history]]/Table134[[#This Row],[number_of_purchases]]</f>
        <v>1516.948333333333</v>
      </c>
      <c r="L1767" s="2">
        <f>IF(YEAR(Table134[[#This Row],[Last_Day]])=2021,5,IF(YEAR(Table134[[#This Row],[Last_Day]])=2022,7,IF(YEAR(Table134[[#This Row],[Last_Day]])=2023,10,"Không xác định")))</f>
        <v>7</v>
      </c>
      <c r="M1767" s="15">
        <f>Table134[[#This Row],[avg_number_of_purchases]]*Table1345[[#This Row],[avg_purchase_value]]*Table1345[[#This Row],[expected_lifespan]]</f>
        <v>52140.847421524646</v>
      </c>
      <c r="N1767" t="s">
        <v>12048</v>
      </c>
    </row>
    <row r="1768" spans="1:14" x14ac:dyDescent="0.3">
      <c r="A1768" s="2" t="s">
        <v>1766</v>
      </c>
      <c r="B1768" s="2" t="s">
        <v>12040</v>
      </c>
      <c r="C1768" s="2">
        <v>25</v>
      </c>
      <c r="D1768" s="2" t="s">
        <v>12043</v>
      </c>
      <c r="E1768" s="2">
        <f>COUNTIF(Table16[customer_id],Table13[[#This Row],[customer_id]])</f>
        <v>4</v>
      </c>
      <c r="F1768" s="13">
        <f>SUMIFS(Table16[Purchase_history],Table16[customer_id],Table13[[#This Row],[customer_id]])</f>
        <v>17888.66</v>
      </c>
      <c r="G1768" s="20">
        <v>44313</v>
      </c>
      <c r="H1768" s="21">
        <v>44975</v>
      </c>
      <c r="I1768" s="15">
        <f>(Table134[[#This Row],[Last_Day]]-Table134[[#This Row],[First_Day]]+1)/365</f>
        <v>1.8164383561643835</v>
      </c>
      <c r="J1768" s="59">
        <f>Table134[[#This Row],[number_of_purchases]]/Table134[[#This Row],[customer_total_years]]</f>
        <v>2.2021116138763199</v>
      </c>
      <c r="K1768" s="13">
        <f>Table134[[#This Row],[purchase_history]]/Table134[[#This Row],[number_of_purchases]]</f>
        <v>4472.165</v>
      </c>
      <c r="L1768" s="2">
        <f>IF(YEAR(Table134[[#This Row],[Last_Day]])=2021,5,IF(YEAR(Table134[[#This Row],[Last_Day]])=2022,7,IF(YEAR(Table134[[#This Row],[Last_Day]])=2023,10,"Không xác định")))</f>
        <v>10</v>
      </c>
      <c r="M1768" s="15">
        <f>Table134[[#This Row],[avg_number_of_purchases]]*Table1345[[#This Row],[avg_purchase_value]]*Table1345[[#This Row],[expected_lifespan]]</f>
        <v>98482.064856711921</v>
      </c>
      <c r="N1768" t="s">
        <v>12048</v>
      </c>
    </row>
    <row r="1769" spans="1:14" x14ac:dyDescent="0.3">
      <c r="A1769" s="2" t="s">
        <v>1767</v>
      </c>
      <c r="B1769" s="2" t="s">
        <v>12045</v>
      </c>
      <c r="C1769" s="2">
        <v>39</v>
      </c>
      <c r="D1769" s="2" t="s">
        <v>12043</v>
      </c>
      <c r="E1769" s="2">
        <f>COUNTIF(Table16[customer_id],Table13[[#This Row],[customer_id]])</f>
        <v>4</v>
      </c>
      <c r="F1769" s="13">
        <f>SUMIFS(Table16[Purchase_history],Table16[customer_id],Table13[[#This Row],[customer_id]])</f>
        <v>6511.0999999999995</v>
      </c>
      <c r="G1769" s="20">
        <v>44301</v>
      </c>
      <c r="H1769" s="21">
        <v>44946</v>
      </c>
      <c r="I1769" s="15">
        <f>(Table134[[#This Row],[Last_Day]]-Table134[[#This Row],[First_Day]]+1)/365</f>
        <v>1.7698630136986302</v>
      </c>
      <c r="J1769" s="59">
        <f>Table134[[#This Row],[number_of_purchases]]/Table134[[#This Row],[customer_total_years]]</f>
        <v>2.2600619195046439</v>
      </c>
      <c r="K1769" s="13">
        <f>Table134[[#This Row],[purchase_history]]/Table134[[#This Row],[number_of_purchases]]</f>
        <v>1627.7749999999999</v>
      </c>
      <c r="L1769" s="2">
        <f>IF(YEAR(Table134[[#This Row],[Last_Day]])=2021,5,IF(YEAR(Table134[[#This Row],[Last_Day]])=2022,7,IF(YEAR(Table134[[#This Row],[Last_Day]])=2023,10,"Không xác định")))</f>
        <v>10</v>
      </c>
      <c r="M1769" s="15">
        <f>Table134[[#This Row],[avg_number_of_purchases]]*Table1345[[#This Row],[avg_purchase_value]]*Table1345[[#This Row],[expected_lifespan]]</f>
        <v>36788.722910216718</v>
      </c>
      <c r="N1769" t="s">
        <v>12047</v>
      </c>
    </row>
    <row r="1770" spans="1:14" x14ac:dyDescent="0.3">
      <c r="A1770" s="2" t="s">
        <v>1768</v>
      </c>
      <c r="B1770" s="2" t="s">
        <v>12040</v>
      </c>
      <c r="C1770" s="2">
        <v>52</v>
      </c>
      <c r="D1770" s="2" t="s">
        <v>12041</v>
      </c>
      <c r="E1770" s="2">
        <f>COUNTIF(Table16[customer_id],Table13[[#This Row],[customer_id]])</f>
        <v>5</v>
      </c>
      <c r="F1770" s="13">
        <f>SUMIFS(Table16[Purchase_history],Table16[customer_id],Table13[[#This Row],[customer_id]])</f>
        <v>24748.18</v>
      </c>
      <c r="G1770" s="20">
        <v>44457</v>
      </c>
      <c r="H1770" s="21">
        <v>44978</v>
      </c>
      <c r="I1770" s="15">
        <f>(Table134[[#This Row],[Last_Day]]-Table134[[#This Row],[First_Day]]+1)/365</f>
        <v>1.4301369863013698</v>
      </c>
      <c r="J1770" s="59">
        <f>Table134[[#This Row],[number_of_purchases]]/Table134[[#This Row],[customer_total_years]]</f>
        <v>3.4961685823754793</v>
      </c>
      <c r="K1770" s="13">
        <f>Table134[[#This Row],[purchase_history]]/Table134[[#This Row],[number_of_purchases]]</f>
        <v>4949.6360000000004</v>
      </c>
      <c r="L1770" s="2">
        <f>IF(YEAR(Table134[[#This Row],[Last_Day]])=2021,5,IF(YEAR(Table134[[#This Row],[Last_Day]])=2022,7,IF(YEAR(Table134[[#This Row],[Last_Day]])=2023,10,"Không xác định")))</f>
        <v>10</v>
      </c>
      <c r="M1770" s="15">
        <f>Table134[[#This Row],[avg_number_of_purchases]]*Table1345[[#This Row],[avg_purchase_value]]*Table1345[[#This Row],[expected_lifespan]]</f>
        <v>173047.61877394636</v>
      </c>
      <c r="N1770" t="s">
        <v>12047</v>
      </c>
    </row>
    <row r="1771" spans="1:14" x14ac:dyDescent="0.3">
      <c r="A1771" s="2" t="s">
        <v>1769</v>
      </c>
      <c r="B1771" s="2" t="s">
        <v>12040</v>
      </c>
      <c r="C1771" s="2">
        <v>66</v>
      </c>
      <c r="D1771" s="2" t="s">
        <v>12043</v>
      </c>
      <c r="E1771" s="2">
        <f>COUNTIF(Table16[customer_id],Table13[[#This Row],[customer_id]])</f>
        <v>4</v>
      </c>
      <c r="F1771" s="13">
        <f>SUMIFS(Table16[Purchase_history],Table16[customer_id],Table13[[#This Row],[customer_id]])</f>
        <v>5543.02</v>
      </c>
      <c r="G1771" s="20">
        <v>44598</v>
      </c>
      <c r="H1771" s="21">
        <v>44844</v>
      </c>
      <c r="I1771" s="15">
        <f>(Table134[[#This Row],[Last_Day]]-Table134[[#This Row],[First_Day]]+1)/365</f>
        <v>0.67671232876712328</v>
      </c>
      <c r="J1771" s="59">
        <f>Table134[[#This Row],[number_of_purchases]]/Table134[[#This Row],[customer_total_years]]</f>
        <v>5.9109311740890691</v>
      </c>
      <c r="K1771" s="13">
        <f>Table134[[#This Row],[purchase_history]]/Table134[[#This Row],[number_of_purchases]]</f>
        <v>1385.7550000000001</v>
      </c>
      <c r="L1771" s="2">
        <f>IF(YEAR(Table134[[#This Row],[Last_Day]])=2021,5,IF(YEAR(Table134[[#This Row],[Last_Day]])=2022,7,IF(YEAR(Table134[[#This Row],[Last_Day]])=2023,10,"Không xác định")))</f>
        <v>7</v>
      </c>
      <c r="M1771" s="15">
        <f>Table134[[#This Row],[avg_number_of_purchases]]*Table1345[[#This Row],[avg_purchase_value]]*Table1345[[#This Row],[expected_lifespan]]</f>
        <v>57337.717004048594</v>
      </c>
      <c r="N1771" t="s">
        <v>12042</v>
      </c>
    </row>
    <row r="1772" spans="1:14" x14ac:dyDescent="0.3">
      <c r="A1772" s="2" t="s">
        <v>1770</v>
      </c>
      <c r="B1772" s="2" t="s">
        <v>12045</v>
      </c>
      <c r="C1772" s="2">
        <v>32</v>
      </c>
      <c r="D1772" s="2" t="s">
        <v>12041</v>
      </c>
      <c r="E1772" s="2">
        <f>COUNTIF(Table16[customer_id],Table13[[#This Row],[customer_id]])</f>
        <v>4</v>
      </c>
      <c r="F1772" s="13">
        <f>SUMIFS(Table16[Purchase_history],Table16[customer_id],Table13[[#This Row],[customer_id]])</f>
        <v>13353.279999999999</v>
      </c>
      <c r="G1772" s="20">
        <v>44269</v>
      </c>
      <c r="H1772" s="21">
        <v>44696</v>
      </c>
      <c r="I1772" s="15">
        <f>(Table134[[#This Row],[Last_Day]]-Table134[[#This Row],[First_Day]]+1)/365</f>
        <v>1.1726027397260275</v>
      </c>
      <c r="J1772" s="59">
        <f>Table134[[#This Row],[number_of_purchases]]/Table134[[#This Row],[customer_total_years]]</f>
        <v>3.4112149532710276</v>
      </c>
      <c r="K1772" s="13">
        <f>Table134[[#This Row],[purchase_history]]/Table134[[#This Row],[number_of_purchases]]</f>
        <v>3338.3199999999997</v>
      </c>
      <c r="L1772" s="2">
        <f>IF(YEAR(Table134[[#This Row],[Last_Day]])=2021,5,IF(YEAR(Table134[[#This Row],[Last_Day]])=2022,7,IF(YEAR(Table134[[#This Row],[Last_Day]])=2023,10,"Không xác định")))</f>
        <v>7</v>
      </c>
      <c r="M1772" s="15">
        <f>Table134[[#This Row],[avg_number_of_purchases]]*Table1345[[#This Row],[avg_purchase_value]]*Table1345[[#This Row],[expected_lifespan]]</f>
        <v>79714.08971962615</v>
      </c>
      <c r="N1772" t="s">
        <v>12046</v>
      </c>
    </row>
    <row r="1773" spans="1:14" x14ac:dyDescent="0.3">
      <c r="A1773" s="2" t="s">
        <v>1771</v>
      </c>
      <c r="B1773" s="2" t="s">
        <v>12040</v>
      </c>
      <c r="C1773" s="2">
        <v>26</v>
      </c>
      <c r="D1773" s="2" t="s">
        <v>12041</v>
      </c>
      <c r="E1773" s="2">
        <f>COUNTIF(Table16[customer_id],Table13[[#This Row],[customer_id]])</f>
        <v>5</v>
      </c>
      <c r="F1773" s="13">
        <f>SUMIFS(Table16[Purchase_history],Table16[customer_id],Table13[[#This Row],[customer_id]])</f>
        <v>10402.719999999999</v>
      </c>
      <c r="G1773" s="20">
        <v>44216</v>
      </c>
      <c r="H1773" s="21">
        <v>44857</v>
      </c>
      <c r="I1773" s="15">
        <f>(Table134[[#This Row],[Last_Day]]-Table134[[#This Row],[First_Day]]+1)/365</f>
        <v>1.7589041095890412</v>
      </c>
      <c r="J1773" s="59">
        <f>Table134[[#This Row],[number_of_purchases]]/Table134[[#This Row],[customer_total_years]]</f>
        <v>2.8426791277258565</v>
      </c>
      <c r="K1773" s="13">
        <f>Table134[[#This Row],[purchase_history]]/Table134[[#This Row],[number_of_purchases]]</f>
        <v>2080.5439999999999</v>
      </c>
      <c r="L1773" s="2">
        <f>IF(YEAR(Table134[[#This Row],[Last_Day]])=2021,5,IF(YEAR(Table134[[#This Row],[Last_Day]])=2022,7,IF(YEAR(Table134[[#This Row],[Last_Day]])=2023,10,"Không xác định")))</f>
        <v>7</v>
      </c>
      <c r="M1773" s="15">
        <f>Table134[[#This Row],[avg_number_of_purchases]]*Table1345[[#This Row],[avg_purchase_value]]*Table1345[[#This Row],[expected_lifespan]]</f>
        <v>41400.233021806853</v>
      </c>
      <c r="N1773" t="s">
        <v>12046</v>
      </c>
    </row>
    <row r="1774" spans="1:14" x14ac:dyDescent="0.3">
      <c r="A1774" s="2" t="s">
        <v>1772</v>
      </c>
      <c r="B1774" s="2" t="s">
        <v>12040</v>
      </c>
      <c r="C1774" s="2">
        <v>57</v>
      </c>
      <c r="D1774" s="2" t="s">
        <v>12043</v>
      </c>
      <c r="E1774" s="2">
        <f>COUNTIF(Table16[customer_id],Table13[[#This Row],[customer_id]])</f>
        <v>4</v>
      </c>
      <c r="F1774" s="13">
        <f>SUMIFS(Table16[Purchase_history],Table16[customer_id],Table13[[#This Row],[customer_id]])</f>
        <v>1389.06</v>
      </c>
      <c r="G1774" s="20">
        <v>44360</v>
      </c>
      <c r="H1774" s="21">
        <v>44604</v>
      </c>
      <c r="I1774" s="15">
        <f>(Table134[[#This Row],[Last_Day]]-Table134[[#This Row],[First_Day]]+1)/365</f>
        <v>0.67123287671232879</v>
      </c>
      <c r="J1774" s="59">
        <f>Table134[[#This Row],[number_of_purchases]]/Table134[[#This Row],[customer_total_years]]</f>
        <v>5.9591836734693873</v>
      </c>
      <c r="K1774" s="13">
        <f>Table134[[#This Row],[purchase_history]]/Table134[[#This Row],[number_of_purchases]]</f>
        <v>347.26499999999999</v>
      </c>
      <c r="L1774" s="2">
        <f>IF(YEAR(Table134[[#This Row],[Last_Day]])=2021,5,IF(YEAR(Table134[[#This Row],[Last_Day]])=2022,7,IF(YEAR(Table134[[#This Row],[Last_Day]])=2023,10,"Không xác định")))</f>
        <v>7</v>
      </c>
      <c r="M1774" s="15">
        <f>Table134[[#This Row],[avg_number_of_purchases]]*Table1345[[#This Row],[avg_purchase_value]]*Table1345[[#This Row],[expected_lifespan]]</f>
        <v>14485.911428571428</v>
      </c>
      <c r="N1774" t="s">
        <v>12042</v>
      </c>
    </row>
    <row r="1775" spans="1:14" x14ac:dyDescent="0.3">
      <c r="A1775" s="2" t="s">
        <v>1773</v>
      </c>
      <c r="B1775" s="2" t="s">
        <v>12040</v>
      </c>
      <c r="C1775" s="2">
        <v>53</v>
      </c>
      <c r="D1775" s="2" t="s">
        <v>12043</v>
      </c>
      <c r="E1775" s="2">
        <f>COUNTIF(Table16[customer_id],Table13[[#This Row],[customer_id]])</f>
        <v>6</v>
      </c>
      <c r="F1775" s="13">
        <f>SUMIFS(Table16[Purchase_history],Table16[customer_id],Table13[[#This Row],[customer_id]])</f>
        <v>9867.41</v>
      </c>
      <c r="G1775" s="20">
        <v>44308</v>
      </c>
      <c r="H1775" s="21">
        <v>44866</v>
      </c>
      <c r="I1775" s="15">
        <f>(Table134[[#This Row],[Last_Day]]-Table134[[#This Row],[First_Day]]+1)/365</f>
        <v>1.5315068493150685</v>
      </c>
      <c r="J1775" s="59">
        <f>Table134[[#This Row],[number_of_purchases]]/Table134[[#This Row],[customer_total_years]]</f>
        <v>3.9177101967799643</v>
      </c>
      <c r="K1775" s="13">
        <f>Table134[[#This Row],[purchase_history]]/Table134[[#This Row],[number_of_purchases]]</f>
        <v>1644.5683333333334</v>
      </c>
      <c r="L1775" s="2">
        <f>IF(YEAR(Table134[[#This Row],[Last_Day]])=2021,5,IF(YEAR(Table134[[#This Row],[Last_Day]])=2022,7,IF(YEAR(Table134[[#This Row],[Last_Day]])=2023,10,"Không xác định")))</f>
        <v>7</v>
      </c>
      <c r="M1775" s="15">
        <f>Table134[[#This Row],[avg_number_of_purchases]]*Table1345[[#This Row],[avg_purchase_value]]*Table1345[[#This Row],[expected_lifespan]]</f>
        <v>45100.59490161002</v>
      </c>
      <c r="N1775" t="s">
        <v>12044</v>
      </c>
    </row>
    <row r="1776" spans="1:14" x14ac:dyDescent="0.3">
      <c r="A1776" s="2" t="s">
        <v>1774</v>
      </c>
      <c r="B1776" s="2" t="s">
        <v>12040</v>
      </c>
      <c r="C1776" s="2">
        <v>56</v>
      </c>
      <c r="D1776" s="2" t="s">
        <v>12041</v>
      </c>
      <c r="E1776" s="2">
        <f>COUNTIF(Table16[customer_id],Table13[[#This Row],[customer_id]])</f>
        <v>4</v>
      </c>
      <c r="F1776" s="13">
        <f>SUMIFS(Table16[Purchase_history],Table16[customer_id],Table13[[#This Row],[customer_id]])</f>
        <v>2480.0799999999995</v>
      </c>
      <c r="G1776" s="20">
        <v>44263</v>
      </c>
      <c r="H1776" s="21">
        <v>44817</v>
      </c>
      <c r="I1776" s="15">
        <f>(Table134[[#This Row],[Last_Day]]-Table134[[#This Row],[First_Day]]+1)/365</f>
        <v>1.5205479452054795</v>
      </c>
      <c r="J1776" s="59">
        <f>Table134[[#This Row],[number_of_purchases]]/Table134[[#This Row],[customer_total_years]]</f>
        <v>2.6306306306306304</v>
      </c>
      <c r="K1776" s="13">
        <f>Table134[[#This Row],[purchase_history]]/Table134[[#This Row],[number_of_purchases]]</f>
        <v>620.01999999999987</v>
      </c>
      <c r="L1776" s="2">
        <f>IF(YEAR(Table134[[#This Row],[Last_Day]])=2021,5,IF(YEAR(Table134[[#This Row],[Last_Day]])=2022,7,IF(YEAR(Table134[[#This Row],[Last_Day]])=2023,10,"Không xác định")))</f>
        <v>7</v>
      </c>
      <c r="M1776" s="15">
        <f>Table134[[#This Row],[avg_number_of_purchases]]*Table1345[[#This Row],[avg_purchase_value]]*Table1345[[#This Row],[expected_lifespan]]</f>
        <v>11417.305225225222</v>
      </c>
      <c r="N1776" t="s">
        <v>12047</v>
      </c>
    </row>
    <row r="1777" spans="1:14" x14ac:dyDescent="0.3">
      <c r="A1777" s="2" t="s">
        <v>1775</v>
      </c>
      <c r="B1777" s="2" t="s">
        <v>12040</v>
      </c>
      <c r="C1777" s="2">
        <v>55</v>
      </c>
      <c r="D1777" s="2" t="s">
        <v>12043</v>
      </c>
      <c r="E1777" s="2">
        <f>COUNTIF(Table16[customer_id],Table13[[#This Row],[customer_id]])</f>
        <v>5</v>
      </c>
      <c r="F1777" s="13">
        <f>SUMIFS(Table16[Purchase_history],Table16[customer_id],Table13[[#This Row],[customer_id]])</f>
        <v>39777.279999999999</v>
      </c>
      <c r="G1777" s="20">
        <v>44259</v>
      </c>
      <c r="H1777" s="21">
        <v>44907</v>
      </c>
      <c r="I1777" s="15">
        <f>(Table134[[#This Row],[Last_Day]]-Table134[[#This Row],[First_Day]]+1)/365</f>
        <v>1.7780821917808218</v>
      </c>
      <c r="J1777" s="59">
        <f>Table134[[#This Row],[number_of_purchases]]/Table134[[#This Row],[customer_total_years]]</f>
        <v>2.8120184899845917</v>
      </c>
      <c r="K1777" s="13">
        <f>Table134[[#This Row],[purchase_history]]/Table134[[#This Row],[number_of_purchases]]</f>
        <v>7955.4560000000001</v>
      </c>
      <c r="L1777" s="2">
        <f>IF(YEAR(Table134[[#This Row],[Last_Day]])=2021,5,IF(YEAR(Table134[[#This Row],[Last_Day]])=2022,7,IF(YEAR(Table134[[#This Row],[Last_Day]])=2023,10,"Không xác định")))</f>
        <v>7</v>
      </c>
      <c r="M1777" s="15">
        <f>Table134[[#This Row],[avg_number_of_purchases]]*Table1345[[#This Row],[avg_purchase_value]]*Table1345[[#This Row],[expected_lifespan]]</f>
        <v>156596.22557781203</v>
      </c>
      <c r="N1777" t="s">
        <v>12048</v>
      </c>
    </row>
    <row r="1778" spans="1:14" x14ac:dyDescent="0.3">
      <c r="A1778" s="2" t="s">
        <v>1776</v>
      </c>
      <c r="B1778" s="2" t="s">
        <v>12045</v>
      </c>
      <c r="C1778" s="2">
        <v>69</v>
      </c>
      <c r="D1778" s="2" t="s">
        <v>12041</v>
      </c>
      <c r="E1778" s="2">
        <f>COUNTIF(Table16[customer_id],Table13[[#This Row],[customer_id]])</f>
        <v>5</v>
      </c>
      <c r="F1778" s="13">
        <f>SUMIFS(Table16[Purchase_history],Table16[customer_id],Table13[[#This Row],[customer_id]])</f>
        <v>24627.64</v>
      </c>
      <c r="G1778" s="20">
        <v>44282</v>
      </c>
      <c r="H1778" s="21">
        <v>44868</v>
      </c>
      <c r="I1778" s="15">
        <f>(Table134[[#This Row],[Last_Day]]-Table134[[#This Row],[First_Day]]+1)/365</f>
        <v>1.6082191780821917</v>
      </c>
      <c r="J1778" s="59">
        <f>Table134[[#This Row],[number_of_purchases]]/Table134[[#This Row],[customer_total_years]]</f>
        <v>3.1090289608177173</v>
      </c>
      <c r="K1778" s="13">
        <f>Table134[[#This Row],[purchase_history]]/Table134[[#This Row],[number_of_purchases]]</f>
        <v>4925.5280000000002</v>
      </c>
      <c r="L1778" s="2">
        <f>IF(YEAR(Table134[[#This Row],[Last_Day]])=2021,5,IF(YEAR(Table134[[#This Row],[Last_Day]])=2022,7,IF(YEAR(Table134[[#This Row],[Last_Day]])=2023,10,"Không xác định")))</f>
        <v>7</v>
      </c>
      <c r="M1778" s="15">
        <f>Table134[[#This Row],[avg_number_of_purchases]]*Table1345[[#This Row],[avg_purchase_value]]*Table1345[[#This Row],[expected_lifespan]]</f>
        <v>107195.26439523</v>
      </c>
      <c r="N1778" t="s">
        <v>12042</v>
      </c>
    </row>
    <row r="1779" spans="1:14" x14ac:dyDescent="0.3">
      <c r="A1779" s="2" t="s">
        <v>1777</v>
      </c>
      <c r="B1779" s="2" t="s">
        <v>12045</v>
      </c>
      <c r="C1779" s="2">
        <v>40</v>
      </c>
      <c r="D1779" s="2" t="s">
        <v>12043</v>
      </c>
      <c r="E1779" s="2">
        <f>COUNTIF(Table16[customer_id],Table13[[#This Row],[customer_id]])</f>
        <v>5</v>
      </c>
      <c r="F1779" s="13">
        <f>SUMIFS(Table16[Purchase_history],Table16[customer_id],Table13[[#This Row],[customer_id]])</f>
        <v>3180.2300000000005</v>
      </c>
      <c r="G1779" s="20">
        <v>44618</v>
      </c>
      <c r="H1779" s="21">
        <v>44914</v>
      </c>
      <c r="I1779" s="15">
        <f>(Table134[[#This Row],[Last_Day]]-Table134[[#This Row],[First_Day]]+1)/365</f>
        <v>0.81369863013698629</v>
      </c>
      <c r="J1779" s="59">
        <f>Table134[[#This Row],[number_of_purchases]]/Table134[[#This Row],[customer_total_years]]</f>
        <v>6.1447811447811445</v>
      </c>
      <c r="K1779" s="13">
        <f>Table134[[#This Row],[purchase_history]]/Table134[[#This Row],[number_of_purchases]]</f>
        <v>636.04600000000005</v>
      </c>
      <c r="L1779" s="2">
        <f>IF(YEAR(Table134[[#This Row],[Last_Day]])=2021,5,IF(YEAR(Table134[[#This Row],[Last_Day]])=2022,7,IF(YEAR(Table134[[#This Row],[Last_Day]])=2023,10,"Không xác định")))</f>
        <v>7</v>
      </c>
      <c r="M1779" s="15">
        <f>Table134[[#This Row],[avg_number_of_purchases]]*Table1345[[#This Row],[avg_purchase_value]]*Table1345[[#This Row],[expected_lifespan]]</f>
        <v>27358.544276094279</v>
      </c>
      <c r="N1779" t="s">
        <v>12048</v>
      </c>
    </row>
    <row r="1780" spans="1:14" x14ac:dyDescent="0.3">
      <c r="A1780" s="2" t="s">
        <v>1778</v>
      </c>
      <c r="B1780" s="2" t="s">
        <v>12040</v>
      </c>
      <c r="C1780" s="2">
        <v>26</v>
      </c>
      <c r="D1780" s="2" t="s">
        <v>12043</v>
      </c>
      <c r="E1780" s="2">
        <f>COUNTIF(Table16[customer_id],Table13[[#This Row],[customer_id]])</f>
        <v>8</v>
      </c>
      <c r="F1780" s="13">
        <f>SUMIFS(Table16[Purchase_history],Table16[customer_id],Table13[[#This Row],[customer_id]])</f>
        <v>34826.47</v>
      </c>
      <c r="G1780" s="20">
        <v>44378</v>
      </c>
      <c r="H1780" s="21">
        <v>44836</v>
      </c>
      <c r="I1780" s="15">
        <f>(Table134[[#This Row],[Last_Day]]-Table134[[#This Row],[First_Day]]+1)/365</f>
        <v>1.2575342465753425</v>
      </c>
      <c r="J1780" s="59">
        <f>Table134[[#This Row],[number_of_purchases]]/Table134[[#This Row],[customer_total_years]]</f>
        <v>6.3616557734204786</v>
      </c>
      <c r="K1780" s="13">
        <f>Table134[[#This Row],[purchase_history]]/Table134[[#This Row],[number_of_purchases]]</f>
        <v>4353.3087500000001</v>
      </c>
      <c r="L1780" s="2">
        <f>IF(YEAR(Table134[[#This Row],[Last_Day]])=2021,5,IF(YEAR(Table134[[#This Row],[Last_Day]])=2022,7,IF(YEAR(Table134[[#This Row],[Last_Day]])=2023,10,"Không xác định")))</f>
        <v>7</v>
      </c>
      <c r="M1780" s="15">
        <f>Table134[[#This Row],[avg_number_of_purchases]]*Table1345[[#This Row],[avg_purchase_value]]*Table1345[[#This Row],[expected_lifespan]]</f>
        <v>193859.76220043571</v>
      </c>
      <c r="N1780" t="s">
        <v>12044</v>
      </c>
    </row>
    <row r="1781" spans="1:14" x14ac:dyDescent="0.3">
      <c r="A1781" s="2" t="s">
        <v>1779</v>
      </c>
      <c r="B1781" s="2" t="s">
        <v>12040</v>
      </c>
      <c r="C1781" s="2">
        <v>68</v>
      </c>
      <c r="D1781" s="2" t="s">
        <v>12043</v>
      </c>
      <c r="E1781" s="2">
        <f>COUNTIF(Table16[customer_id],Table13[[#This Row],[customer_id]])</f>
        <v>7</v>
      </c>
      <c r="F1781" s="13">
        <f>SUMIFS(Table16[Purchase_history],Table16[customer_id],Table13[[#This Row],[customer_id]])</f>
        <v>18089.28</v>
      </c>
      <c r="G1781" s="20">
        <v>44222</v>
      </c>
      <c r="H1781" s="21">
        <v>44836</v>
      </c>
      <c r="I1781" s="15">
        <f>(Table134[[#This Row],[Last_Day]]-Table134[[#This Row],[First_Day]]+1)/365</f>
        <v>1.6849315068493151</v>
      </c>
      <c r="J1781" s="59">
        <f>Table134[[#This Row],[number_of_purchases]]/Table134[[#This Row],[customer_total_years]]</f>
        <v>4.154471544715447</v>
      </c>
      <c r="K1781" s="13">
        <f>Table134[[#This Row],[purchase_history]]/Table134[[#This Row],[number_of_purchases]]</f>
        <v>2584.1828571428568</v>
      </c>
      <c r="L1781" s="2">
        <f>IF(YEAR(Table134[[#This Row],[Last_Day]])=2021,5,IF(YEAR(Table134[[#This Row],[Last_Day]])=2022,7,IF(YEAR(Table134[[#This Row],[Last_Day]])=2023,10,"Không xác định")))</f>
        <v>7</v>
      </c>
      <c r="M1781" s="15">
        <f>Table134[[#This Row],[avg_number_of_purchases]]*Table1345[[#This Row],[avg_purchase_value]]*Table1345[[#This Row],[expected_lifespan]]</f>
        <v>75151.399024390237</v>
      </c>
      <c r="N1781" t="s">
        <v>12046</v>
      </c>
    </row>
    <row r="1782" spans="1:14" x14ac:dyDescent="0.3">
      <c r="A1782" s="2" t="s">
        <v>1780</v>
      </c>
      <c r="B1782" s="2" t="s">
        <v>12040</v>
      </c>
      <c r="C1782" s="2">
        <v>41</v>
      </c>
      <c r="D1782" s="2" t="s">
        <v>12043</v>
      </c>
      <c r="E1782" s="2">
        <f>COUNTIF(Table16[customer_id],Table13[[#This Row],[customer_id]])</f>
        <v>4</v>
      </c>
      <c r="F1782" s="13">
        <f>SUMIFS(Table16[Purchase_history],Table16[customer_id],Table13[[#This Row],[customer_id]])</f>
        <v>15372.32</v>
      </c>
      <c r="G1782" s="20">
        <v>44353</v>
      </c>
      <c r="H1782" s="21">
        <v>44862</v>
      </c>
      <c r="I1782" s="15">
        <f>(Table134[[#This Row],[Last_Day]]-Table134[[#This Row],[First_Day]]+1)/365</f>
        <v>1.3972602739726028</v>
      </c>
      <c r="J1782" s="59">
        <f>Table134[[#This Row],[number_of_purchases]]/Table134[[#This Row],[customer_total_years]]</f>
        <v>2.8627450980392157</v>
      </c>
      <c r="K1782" s="13">
        <f>Table134[[#This Row],[purchase_history]]/Table134[[#This Row],[number_of_purchases]]</f>
        <v>3843.08</v>
      </c>
      <c r="L1782" s="2">
        <f>IF(YEAR(Table134[[#This Row],[Last_Day]])=2021,5,IF(YEAR(Table134[[#This Row],[Last_Day]])=2022,7,IF(YEAR(Table134[[#This Row],[Last_Day]])=2023,10,"Không xác định")))</f>
        <v>7</v>
      </c>
      <c r="M1782" s="15">
        <f>Table134[[#This Row],[avg_number_of_purchases]]*Table1345[[#This Row],[avg_purchase_value]]*Table1345[[#This Row],[expected_lifespan]]</f>
        <v>77012.309019607841</v>
      </c>
      <c r="N1782" t="s">
        <v>12048</v>
      </c>
    </row>
    <row r="1783" spans="1:14" x14ac:dyDescent="0.3">
      <c r="A1783" s="2" t="s">
        <v>1781</v>
      </c>
      <c r="B1783" s="2" t="s">
        <v>12045</v>
      </c>
      <c r="C1783" s="2">
        <v>54</v>
      </c>
      <c r="D1783" s="2" t="s">
        <v>12049</v>
      </c>
      <c r="E1783" s="2">
        <f>COUNTIF(Table16[customer_id],Table13[[#This Row],[customer_id]])</f>
        <v>6</v>
      </c>
      <c r="F1783" s="13">
        <f>SUMIFS(Table16[Purchase_history],Table16[customer_id],Table13[[#This Row],[customer_id]])</f>
        <v>37993.83</v>
      </c>
      <c r="G1783" s="20">
        <v>44449</v>
      </c>
      <c r="H1783" s="21">
        <v>44955</v>
      </c>
      <c r="I1783" s="15">
        <f>(Table134[[#This Row],[Last_Day]]-Table134[[#This Row],[First_Day]]+1)/365</f>
        <v>1.3890410958904109</v>
      </c>
      <c r="J1783" s="59">
        <f>Table134[[#This Row],[number_of_purchases]]/Table134[[#This Row],[customer_total_years]]</f>
        <v>4.3195266272189352</v>
      </c>
      <c r="K1783" s="13">
        <f>Table134[[#This Row],[purchase_history]]/Table134[[#This Row],[number_of_purchases]]</f>
        <v>6332.3050000000003</v>
      </c>
      <c r="L1783" s="2">
        <f>IF(YEAR(Table134[[#This Row],[Last_Day]])=2021,5,IF(YEAR(Table134[[#This Row],[Last_Day]])=2022,7,IF(YEAR(Table134[[#This Row],[Last_Day]])=2023,10,"Không xác định")))</f>
        <v>10</v>
      </c>
      <c r="M1783" s="15">
        <f>Table134[[#This Row],[avg_number_of_purchases]]*Table1345[[#This Row],[avg_purchase_value]]*Table1345[[#This Row],[expected_lifespan]]</f>
        <v>273525.60059171601</v>
      </c>
      <c r="N1783" t="s">
        <v>12048</v>
      </c>
    </row>
    <row r="1784" spans="1:14" x14ac:dyDescent="0.3">
      <c r="A1784" s="2" t="s">
        <v>1782</v>
      </c>
      <c r="B1784" s="2" t="s">
        <v>12040</v>
      </c>
      <c r="C1784" s="2">
        <v>42</v>
      </c>
      <c r="D1784" s="2" t="s">
        <v>12043</v>
      </c>
      <c r="E1784" s="2">
        <f>COUNTIF(Table16[customer_id],Table13[[#This Row],[customer_id]])</f>
        <v>5</v>
      </c>
      <c r="F1784" s="13">
        <f>SUMIFS(Table16[Purchase_history],Table16[customer_id],Table13[[#This Row],[customer_id]])</f>
        <v>32191.839999999997</v>
      </c>
      <c r="G1784" s="20">
        <v>44510</v>
      </c>
      <c r="H1784" s="21">
        <v>44993</v>
      </c>
      <c r="I1784" s="15">
        <f>(Table134[[#This Row],[Last_Day]]-Table134[[#This Row],[First_Day]]+1)/365</f>
        <v>1.3260273972602741</v>
      </c>
      <c r="J1784" s="59">
        <f>Table134[[#This Row],[number_of_purchases]]/Table134[[#This Row],[customer_total_years]]</f>
        <v>3.7706611570247932</v>
      </c>
      <c r="K1784" s="13">
        <f>Table134[[#This Row],[purchase_history]]/Table134[[#This Row],[number_of_purchases]]</f>
        <v>6438.3679999999995</v>
      </c>
      <c r="L1784" s="2">
        <f>IF(YEAR(Table134[[#This Row],[Last_Day]])=2021,5,IF(YEAR(Table134[[#This Row],[Last_Day]])=2022,7,IF(YEAR(Table134[[#This Row],[Last_Day]])=2023,10,"Không xác định")))</f>
        <v>10</v>
      </c>
      <c r="M1784" s="15">
        <f>Table134[[#This Row],[avg_number_of_purchases]]*Table1345[[#This Row],[avg_purchase_value]]*Table1345[[#This Row],[expected_lifespan]]</f>
        <v>242769.04132231401</v>
      </c>
      <c r="N1784" t="s">
        <v>12047</v>
      </c>
    </row>
    <row r="1785" spans="1:14" x14ac:dyDescent="0.3">
      <c r="A1785" s="2" t="s">
        <v>1783</v>
      </c>
      <c r="B1785" s="2" t="s">
        <v>12040</v>
      </c>
      <c r="C1785" s="2">
        <v>66</v>
      </c>
      <c r="D1785" s="2" t="s">
        <v>12041</v>
      </c>
      <c r="E1785" s="2">
        <f>COUNTIF(Table16[customer_id],Table13[[#This Row],[customer_id]])</f>
        <v>7</v>
      </c>
      <c r="F1785" s="13">
        <f>SUMIFS(Table16[Purchase_history],Table16[customer_id],Table13[[#This Row],[customer_id]])</f>
        <v>50159.53</v>
      </c>
      <c r="G1785" s="20">
        <v>44373</v>
      </c>
      <c r="H1785" s="21">
        <v>44897</v>
      </c>
      <c r="I1785" s="15">
        <f>(Table134[[#This Row],[Last_Day]]-Table134[[#This Row],[First_Day]]+1)/365</f>
        <v>1.4383561643835616</v>
      </c>
      <c r="J1785" s="59">
        <f>Table134[[#This Row],[number_of_purchases]]/Table134[[#This Row],[customer_total_years]]</f>
        <v>4.8666666666666671</v>
      </c>
      <c r="K1785" s="13">
        <f>Table134[[#This Row],[purchase_history]]/Table134[[#This Row],[number_of_purchases]]</f>
        <v>7165.6471428571431</v>
      </c>
      <c r="L1785" s="2">
        <f>IF(YEAR(Table134[[#This Row],[Last_Day]])=2021,5,IF(YEAR(Table134[[#This Row],[Last_Day]])=2022,7,IF(YEAR(Table134[[#This Row],[Last_Day]])=2023,10,"Không xác định")))</f>
        <v>7</v>
      </c>
      <c r="M1785" s="15">
        <f>Table134[[#This Row],[avg_number_of_purchases]]*Table1345[[#This Row],[avg_purchase_value]]*Table1345[[#This Row],[expected_lifespan]]</f>
        <v>244109.71266666672</v>
      </c>
      <c r="N1785" t="s">
        <v>12046</v>
      </c>
    </row>
    <row r="1786" spans="1:14" x14ac:dyDescent="0.3">
      <c r="A1786" s="2" t="s">
        <v>1784</v>
      </c>
      <c r="B1786" s="2" t="s">
        <v>12040</v>
      </c>
      <c r="C1786" s="2">
        <v>31</v>
      </c>
      <c r="D1786" s="2" t="s">
        <v>12043</v>
      </c>
      <c r="E1786" s="2">
        <f>COUNTIF(Table16[customer_id],Table13[[#This Row],[customer_id]])</f>
        <v>4</v>
      </c>
      <c r="F1786" s="13">
        <f>SUMIFS(Table16[Purchase_history],Table16[customer_id],Table13[[#This Row],[customer_id]])</f>
        <v>18905.23</v>
      </c>
      <c r="G1786" s="20">
        <v>44311</v>
      </c>
      <c r="H1786" s="21">
        <v>44926</v>
      </c>
      <c r="I1786" s="15">
        <f>(Table134[[#This Row],[Last_Day]]-Table134[[#This Row],[First_Day]]+1)/365</f>
        <v>1.6876712328767123</v>
      </c>
      <c r="J1786" s="59">
        <f>Table134[[#This Row],[number_of_purchases]]/Table134[[#This Row],[customer_total_years]]</f>
        <v>2.3701298701298703</v>
      </c>
      <c r="K1786" s="13">
        <f>Table134[[#This Row],[purchase_history]]/Table134[[#This Row],[number_of_purchases]]</f>
        <v>4726.3074999999999</v>
      </c>
      <c r="L1786" s="2">
        <f>IF(YEAR(Table134[[#This Row],[Last_Day]])=2021,5,IF(YEAR(Table134[[#This Row],[Last_Day]])=2022,7,IF(YEAR(Table134[[#This Row],[Last_Day]])=2023,10,"Không xác định")))</f>
        <v>7</v>
      </c>
      <c r="M1786" s="15">
        <f>Table134[[#This Row],[avg_number_of_purchases]]*Table1345[[#This Row],[avg_purchase_value]]*Table1345[[#This Row],[expected_lifespan]]</f>
        <v>78413.738068181818</v>
      </c>
      <c r="N1786" t="s">
        <v>12047</v>
      </c>
    </row>
    <row r="1787" spans="1:14" x14ac:dyDescent="0.3">
      <c r="A1787" s="2" t="s">
        <v>1785</v>
      </c>
      <c r="B1787" s="2" t="s">
        <v>12040</v>
      </c>
      <c r="C1787" s="2">
        <v>32</v>
      </c>
      <c r="D1787" s="2" t="s">
        <v>12041</v>
      </c>
      <c r="E1787" s="2">
        <f>COUNTIF(Table16[customer_id],Table13[[#This Row],[customer_id]])</f>
        <v>4</v>
      </c>
      <c r="F1787" s="13">
        <f>SUMIFS(Table16[Purchase_history],Table16[customer_id],Table13[[#This Row],[customer_id]])</f>
        <v>5254</v>
      </c>
      <c r="G1787" s="20">
        <v>44235</v>
      </c>
      <c r="H1787" s="21">
        <v>44697</v>
      </c>
      <c r="I1787" s="15">
        <f>(Table134[[#This Row],[Last_Day]]-Table134[[#This Row],[First_Day]]+1)/365</f>
        <v>1.2684931506849315</v>
      </c>
      <c r="J1787" s="59">
        <f>Table134[[#This Row],[number_of_purchases]]/Table134[[#This Row],[customer_total_years]]</f>
        <v>3.1533477321814254</v>
      </c>
      <c r="K1787" s="13">
        <f>Table134[[#This Row],[purchase_history]]/Table134[[#This Row],[number_of_purchases]]</f>
        <v>1313.5</v>
      </c>
      <c r="L1787" s="2">
        <f>IF(YEAR(Table134[[#This Row],[Last_Day]])=2021,5,IF(YEAR(Table134[[#This Row],[Last_Day]])=2022,7,IF(YEAR(Table134[[#This Row],[Last_Day]])=2023,10,"Không xác định")))</f>
        <v>7</v>
      </c>
      <c r="M1787" s="15">
        <f>Table134[[#This Row],[avg_number_of_purchases]]*Table1345[[#This Row],[avg_purchase_value]]*Table1345[[#This Row],[expected_lifespan]]</f>
        <v>28993.455723542116</v>
      </c>
      <c r="N1787" t="s">
        <v>12048</v>
      </c>
    </row>
    <row r="1788" spans="1:14" x14ac:dyDescent="0.3">
      <c r="A1788" s="2" t="s">
        <v>1786</v>
      </c>
      <c r="B1788" s="2" t="s">
        <v>12040</v>
      </c>
      <c r="C1788" s="2">
        <v>35</v>
      </c>
      <c r="D1788" s="2" t="s">
        <v>12041</v>
      </c>
      <c r="E1788" s="2">
        <f>COUNTIF(Table16[customer_id],Table13[[#This Row],[customer_id]])</f>
        <v>8</v>
      </c>
      <c r="F1788" s="13">
        <f>SUMIFS(Table16[Purchase_history],Table16[customer_id],Table13[[#This Row],[customer_id]])</f>
        <v>19751.009999999998</v>
      </c>
      <c r="G1788" s="20">
        <v>44295</v>
      </c>
      <c r="H1788" s="21">
        <v>44988</v>
      </c>
      <c r="I1788" s="15">
        <f>(Table134[[#This Row],[Last_Day]]-Table134[[#This Row],[First_Day]]+1)/365</f>
        <v>1.9013698630136986</v>
      </c>
      <c r="J1788" s="59">
        <f>Table134[[#This Row],[number_of_purchases]]/Table134[[#This Row],[customer_total_years]]</f>
        <v>4.2074927953890491</v>
      </c>
      <c r="K1788" s="13">
        <f>Table134[[#This Row],[purchase_history]]/Table134[[#This Row],[number_of_purchases]]</f>
        <v>2468.8762499999998</v>
      </c>
      <c r="L1788" s="2">
        <f>IF(YEAR(Table134[[#This Row],[Last_Day]])=2021,5,IF(YEAR(Table134[[#This Row],[Last_Day]])=2022,7,IF(YEAR(Table134[[#This Row],[Last_Day]])=2023,10,"Không xác định")))</f>
        <v>10</v>
      </c>
      <c r="M1788" s="15">
        <f>Table134[[#This Row],[avg_number_of_purchases]]*Table1345[[#This Row],[avg_purchase_value]]*Table1345[[#This Row],[expected_lifespan]]</f>
        <v>103877.79034582133</v>
      </c>
      <c r="N1788" t="s">
        <v>12044</v>
      </c>
    </row>
    <row r="1789" spans="1:14" x14ac:dyDescent="0.3">
      <c r="A1789" s="2" t="s">
        <v>1787</v>
      </c>
      <c r="B1789" s="2" t="s">
        <v>12040</v>
      </c>
      <c r="C1789" s="2">
        <v>43</v>
      </c>
      <c r="D1789" s="2" t="s">
        <v>12041</v>
      </c>
      <c r="E1789" s="2">
        <f>COUNTIF(Table16[customer_id],Table13[[#This Row],[customer_id]])</f>
        <v>5</v>
      </c>
      <c r="F1789" s="13">
        <f>SUMIFS(Table16[Purchase_history],Table16[customer_id],Table13[[#This Row],[customer_id]])</f>
        <v>9701.0300000000007</v>
      </c>
      <c r="G1789" s="20">
        <v>44220</v>
      </c>
      <c r="H1789" s="21">
        <v>44947</v>
      </c>
      <c r="I1789" s="15">
        <f>(Table134[[#This Row],[Last_Day]]-Table134[[#This Row],[First_Day]]+1)/365</f>
        <v>1.9945205479452055</v>
      </c>
      <c r="J1789" s="59">
        <f>Table134[[#This Row],[number_of_purchases]]/Table134[[#This Row],[customer_total_years]]</f>
        <v>2.5068681318681318</v>
      </c>
      <c r="K1789" s="13">
        <f>Table134[[#This Row],[purchase_history]]/Table134[[#This Row],[number_of_purchases]]</f>
        <v>1940.2060000000001</v>
      </c>
      <c r="L1789" s="2">
        <f>IF(YEAR(Table134[[#This Row],[Last_Day]])=2021,5,IF(YEAR(Table134[[#This Row],[Last_Day]])=2022,7,IF(YEAR(Table134[[#This Row],[Last_Day]])=2023,10,"Không xác định")))</f>
        <v>10</v>
      </c>
      <c r="M1789" s="15">
        <f>Table134[[#This Row],[avg_number_of_purchases]]*Table1345[[#This Row],[avg_purchase_value]]*Table1345[[#This Row],[expected_lifespan]]</f>
        <v>48638.405906593405</v>
      </c>
      <c r="N1789" t="s">
        <v>12048</v>
      </c>
    </row>
    <row r="1790" spans="1:14" x14ac:dyDescent="0.3">
      <c r="A1790" s="2" t="s">
        <v>1788</v>
      </c>
      <c r="B1790" s="2" t="s">
        <v>12040</v>
      </c>
      <c r="C1790" s="2">
        <v>67</v>
      </c>
      <c r="D1790" s="2" t="s">
        <v>12043</v>
      </c>
      <c r="E1790" s="2">
        <f>COUNTIF(Table16[customer_id],Table13[[#This Row],[customer_id]])</f>
        <v>5</v>
      </c>
      <c r="F1790" s="13">
        <f>SUMIFS(Table16[Purchase_history],Table16[customer_id],Table13[[#This Row],[customer_id]])</f>
        <v>15450.74</v>
      </c>
      <c r="G1790" s="20">
        <v>44250</v>
      </c>
      <c r="H1790" s="21">
        <v>44684</v>
      </c>
      <c r="I1790" s="15">
        <f>(Table134[[#This Row],[Last_Day]]-Table134[[#This Row],[First_Day]]+1)/365</f>
        <v>1.1917808219178083</v>
      </c>
      <c r="J1790" s="59">
        <f>Table134[[#This Row],[number_of_purchases]]/Table134[[#This Row],[customer_total_years]]</f>
        <v>4.1954022988505741</v>
      </c>
      <c r="K1790" s="13">
        <f>Table134[[#This Row],[purchase_history]]/Table134[[#This Row],[number_of_purchases]]</f>
        <v>3090.1480000000001</v>
      </c>
      <c r="L1790" s="2">
        <f>IF(YEAR(Table134[[#This Row],[Last_Day]])=2021,5,IF(YEAR(Table134[[#This Row],[Last_Day]])=2022,7,IF(YEAR(Table134[[#This Row],[Last_Day]])=2023,10,"Không xác định")))</f>
        <v>7</v>
      </c>
      <c r="M1790" s="15">
        <f>Table134[[#This Row],[avg_number_of_purchases]]*Table1345[[#This Row],[avg_purchase_value]]*Table1345[[#This Row],[expected_lifespan]]</f>
        <v>90750.898160919533</v>
      </c>
      <c r="N1790" t="s">
        <v>12047</v>
      </c>
    </row>
    <row r="1791" spans="1:14" x14ac:dyDescent="0.3">
      <c r="A1791" s="2" t="s">
        <v>1789</v>
      </c>
      <c r="B1791" s="2" t="s">
        <v>12045</v>
      </c>
      <c r="C1791" s="2">
        <v>33</v>
      </c>
      <c r="D1791" s="2" t="s">
        <v>12043</v>
      </c>
      <c r="E1791" s="2">
        <f>COUNTIF(Table16[customer_id],Table13[[#This Row],[customer_id]])</f>
        <v>3</v>
      </c>
      <c r="F1791" s="13">
        <f>SUMIFS(Table16[Purchase_history],Table16[customer_id],Table13[[#This Row],[customer_id]])</f>
        <v>16335.32</v>
      </c>
      <c r="G1791" s="20">
        <v>44461</v>
      </c>
      <c r="H1791" s="21">
        <v>44879</v>
      </c>
      <c r="I1791" s="15">
        <f>(Table134[[#This Row],[Last_Day]]-Table134[[#This Row],[First_Day]]+1)/365</f>
        <v>1.1479452054794521</v>
      </c>
      <c r="J1791" s="59">
        <f>Table134[[#This Row],[number_of_purchases]]/Table134[[#This Row],[customer_total_years]]</f>
        <v>2.6133651551312647</v>
      </c>
      <c r="K1791" s="13">
        <f>Table134[[#This Row],[purchase_history]]/Table134[[#This Row],[number_of_purchases]]</f>
        <v>5445.1066666666666</v>
      </c>
      <c r="L1791" s="2">
        <f>IF(YEAR(Table134[[#This Row],[Last_Day]])=2021,5,IF(YEAR(Table134[[#This Row],[Last_Day]])=2022,7,IF(YEAR(Table134[[#This Row],[Last_Day]])=2023,10,"Không xác định")))</f>
        <v>7</v>
      </c>
      <c r="M1791" s="15">
        <f>Table134[[#This Row],[avg_number_of_purchases]]*Table1345[[#This Row],[avg_purchase_value]]*Table1345[[#This Row],[expected_lifespan]]</f>
        <v>99610.364200477314</v>
      </c>
      <c r="N1791" t="s">
        <v>12048</v>
      </c>
    </row>
    <row r="1792" spans="1:14" x14ac:dyDescent="0.3">
      <c r="A1792" s="2" t="s">
        <v>1790</v>
      </c>
      <c r="B1792" s="2" t="s">
        <v>12045</v>
      </c>
      <c r="C1792" s="2">
        <v>39</v>
      </c>
      <c r="D1792" s="2" t="s">
        <v>12043</v>
      </c>
      <c r="E1792" s="2">
        <f>COUNTIF(Table16[customer_id],Table13[[#This Row],[customer_id]])</f>
        <v>6</v>
      </c>
      <c r="F1792" s="13">
        <f>SUMIFS(Table16[Purchase_history],Table16[customer_id],Table13[[#This Row],[customer_id]])</f>
        <v>8300.8900000000012</v>
      </c>
      <c r="G1792" s="20">
        <v>44438</v>
      </c>
      <c r="H1792" s="21">
        <v>44842</v>
      </c>
      <c r="I1792" s="15">
        <f>(Table134[[#This Row],[Last_Day]]-Table134[[#This Row],[First_Day]]+1)/365</f>
        <v>1.1095890410958904</v>
      </c>
      <c r="J1792" s="59">
        <f>Table134[[#This Row],[number_of_purchases]]/Table134[[#This Row],[customer_total_years]]</f>
        <v>5.4074074074074074</v>
      </c>
      <c r="K1792" s="13">
        <f>Table134[[#This Row],[purchase_history]]/Table134[[#This Row],[number_of_purchases]]</f>
        <v>1383.4816666666668</v>
      </c>
      <c r="L1792" s="2">
        <f>IF(YEAR(Table134[[#This Row],[Last_Day]])=2021,5,IF(YEAR(Table134[[#This Row],[Last_Day]])=2022,7,IF(YEAR(Table134[[#This Row],[Last_Day]])=2023,10,"Không xác định")))</f>
        <v>7</v>
      </c>
      <c r="M1792" s="15">
        <f>Table134[[#This Row],[avg_number_of_purchases]]*Table1345[[#This Row],[avg_purchase_value]]*Table1345[[#This Row],[expected_lifespan]]</f>
        <v>52367.343086419758</v>
      </c>
      <c r="N1792" t="s">
        <v>12048</v>
      </c>
    </row>
    <row r="1793" spans="1:14" x14ac:dyDescent="0.3">
      <c r="A1793" s="2" t="s">
        <v>1791</v>
      </c>
      <c r="B1793" s="2" t="s">
        <v>12040</v>
      </c>
      <c r="C1793" s="2">
        <v>50</v>
      </c>
      <c r="D1793" s="2" t="s">
        <v>12043</v>
      </c>
      <c r="E1793" s="2">
        <f>COUNTIF(Table16[customer_id],Table13[[#This Row],[customer_id]])</f>
        <v>7</v>
      </c>
      <c r="F1793" s="13">
        <f>SUMIFS(Table16[Purchase_history],Table16[customer_id],Table13[[#This Row],[customer_id]])</f>
        <v>3407.95</v>
      </c>
      <c r="G1793" s="20">
        <v>44279</v>
      </c>
      <c r="H1793" s="21">
        <v>44802</v>
      </c>
      <c r="I1793" s="15">
        <f>(Table134[[#This Row],[Last_Day]]-Table134[[#This Row],[First_Day]]+1)/365</f>
        <v>1.4356164383561645</v>
      </c>
      <c r="J1793" s="59">
        <f>Table134[[#This Row],[number_of_purchases]]/Table134[[#This Row],[customer_total_years]]</f>
        <v>4.8759541984732824</v>
      </c>
      <c r="K1793" s="13">
        <f>Table134[[#This Row],[purchase_history]]/Table134[[#This Row],[number_of_purchases]]</f>
        <v>486.84999999999997</v>
      </c>
      <c r="L1793" s="2">
        <f>IF(YEAR(Table134[[#This Row],[Last_Day]])=2021,5,IF(YEAR(Table134[[#This Row],[Last_Day]])=2022,7,IF(YEAR(Table134[[#This Row],[Last_Day]])=2023,10,"Không xác định")))</f>
        <v>7</v>
      </c>
      <c r="M1793" s="15">
        <f>Table134[[#This Row],[avg_number_of_purchases]]*Table1345[[#This Row],[avg_purchase_value]]*Table1345[[#This Row],[expected_lifespan]]</f>
        <v>16617.00811068702</v>
      </c>
      <c r="N1793" t="s">
        <v>12042</v>
      </c>
    </row>
    <row r="1794" spans="1:14" x14ac:dyDescent="0.3">
      <c r="A1794" s="2" t="s">
        <v>1792</v>
      </c>
      <c r="B1794" s="2" t="s">
        <v>12040</v>
      </c>
      <c r="C1794" s="2">
        <v>68</v>
      </c>
      <c r="D1794" s="2" t="s">
        <v>12049</v>
      </c>
      <c r="E1794" s="2">
        <f>COUNTIF(Table16[customer_id],Table13[[#This Row],[customer_id]])</f>
        <v>4</v>
      </c>
      <c r="F1794" s="13">
        <f>SUMIFS(Table16[Purchase_history],Table16[customer_id],Table13[[#This Row],[customer_id]])</f>
        <v>18030.93</v>
      </c>
      <c r="G1794" s="20">
        <v>44430</v>
      </c>
      <c r="H1794" s="21">
        <v>44969</v>
      </c>
      <c r="I1794" s="15">
        <f>(Table134[[#This Row],[Last_Day]]-Table134[[#This Row],[First_Day]]+1)/365</f>
        <v>1.4794520547945205</v>
      </c>
      <c r="J1794" s="59">
        <f>Table134[[#This Row],[number_of_purchases]]/Table134[[#This Row],[customer_total_years]]</f>
        <v>2.7037037037037037</v>
      </c>
      <c r="K1794" s="13">
        <f>Table134[[#This Row],[purchase_history]]/Table134[[#This Row],[number_of_purchases]]</f>
        <v>4507.7325000000001</v>
      </c>
      <c r="L1794" s="2">
        <f>IF(YEAR(Table134[[#This Row],[Last_Day]])=2021,5,IF(YEAR(Table134[[#This Row],[Last_Day]])=2022,7,IF(YEAR(Table134[[#This Row],[Last_Day]])=2023,10,"Không xác định")))</f>
        <v>10</v>
      </c>
      <c r="M1794" s="15">
        <f>Table134[[#This Row],[avg_number_of_purchases]]*Table1345[[#This Row],[avg_purchase_value]]*Table1345[[#This Row],[expected_lifespan]]</f>
        <v>121875.73055555556</v>
      </c>
      <c r="N1794" t="s">
        <v>12047</v>
      </c>
    </row>
    <row r="1795" spans="1:14" x14ac:dyDescent="0.3">
      <c r="A1795" s="2" t="s">
        <v>1793</v>
      </c>
      <c r="B1795" s="2" t="s">
        <v>12045</v>
      </c>
      <c r="C1795" s="2">
        <v>60</v>
      </c>
      <c r="D1795" s="2" t="s">
        <v>12043</v>
      </c>
      <c r="E1795" s="2">
        <f>COUNTIF(Table16[customer_id],Table13[[#This Row],[customer_id]])</f>
        <v>2</v>
      </c>
      <c r="F1795" s="13">
        <f>SUMIFS(Table16[Purchase_history],Table16[customer_id],Table13[[#This Row],[customer_id]])</f>
        <v>3717.2200000000003</v>
      </c>
      <c r="G1795" s="20">
        <v>44373</v>
      </c>
      <c r="H1795" s="21">
        <v>44910</v>
      </c>
      <c r="I1795" s="15">
        <f>(Table134[[#This Row],[Last_Day]]-Table134[[#This Row],[First_Day]]+1)/365</f>
        <v>1.473972602739726</v>
      </c>
      <c r="J1795" s="59">
        <f>Table134[[#This Row],[number_of_purchases]]/Table134[[#This Row],[customer_total_years]]</f>
        <v>1.3568773234200744</v>
      </c>
      <c r="K1795" s="13">
        <f>Table134[[#This Row],[purchase_history]]/Table134[[#This Row],[number_of_purchases]]</f>
        <v>1858.6100000000001</v>
      </c>
      <c r="L1795" s="2">
        <f>IF(YEAR(Table134[[#This Row],[Last_Day]])=2021,5,IF(YEAR(Table134[[#This Row],[Last_Day]])=2022,7,IF(YEAR(Table134[[#This Row],[Last_Day]])=2023,10,"Không xác định")))</f>
        <v>7</v>
      </c>
      <c r="M1795" s="15">
        <f>Table134[[#This Row],[avg_number_of_purchases]]*Table1345[[#This Row],[avg_purchase_value]]*Table1345[[#This Row],[expected_lifespan]]</f>
        <v>17653.340334572495</v>
      </c>
      <c r="N1795" t="s">
        <v>12046</v>
      </c>
    </row>
    <row r="1796" spans="1:14" x14ac:dyDescent="0.3">
      <c r="A1796" s="2" t="s">
        <v>1794</v>
      </c>
      <c r="B1796" s="2" t="s">
        <v>12045</v>
      </c>
      <c r="C1796" s="2">
        <v>39</v>
      </c>
      <c r="D1796" s="2" t="s">
        <v>12041</v>
      </c>
      <c r="E1796" s="2">
        <f>COUNTIF(Table16[customer_id],Table13[[#This Row],[customer_id]])</f>
        <v>3</v>
      </c>
      <c r="F1796" s="13">
        <f>SUMIFS(Table16[Purchase_history],Table16[customer_id],Table13[[#This Row],[customer_id]])</f>
        <v>3740.0800000000004</v>
      </c>
      <c r="G1796" s="20">
        <v>44316</v>
      </c>
      <c r="H1796" s="21">
        <v>44648</v>
      </c>
      <c r="I1796" s="15">
        <f>(Table134[[#This Row],[Last_Day]]-Table134[[#This Row],[First_Day]]+1)/365</f>
        <v>0.9123287671232877</v>
      </c>
      <c r="J1796" s="59">
        <f>Table134[[#This Row],[number_of_purchases]]/Table134[[#This Row],[customer_total_years]]</f>
        <v>3.288288288288288</v>
      </c>
      <c r="K1796" s="13">
        <f>Table134[[#This Row],[purchase_history]]/Table134[[#This Row],[number_of_purchases]]</f>
        <v>1246.6933333333334</v>
      </c>
      <c r="L1796" s="2">
        <f>IF(YEAR(Table134[[#This Row],[Last_Day]])=2021,5,IF(YEAR(Table134[[#This Row],[Last_Day]])=2022,7,IF(YEAR(Table134[[#This Row],[Last_Day]])=2023,10,"Không xác định")))</f>
        <v>7</v>
      </c>
      <c r="M1796" s="15">
        <f>Table134[[#This Row],[avg_number_of_purchases]]*Table1345[[#This Row],[avg_purchase_value]]*Table1345[[#This Row],[expected_lifespan]]</f>
        <v>28696.409609609611</v>
      </c>
      <c r="N1796" t="s">
        <v>12042</v>
      </c>
    </row>
    <row r="1797" spans="1:14" x14ac:dyDescent="0.3">
      <c r="A1797" s="2" t="s">
        <v>1795</v>
      </c>
      <c r="B1797" s="2" t="s">
        <v>12040</v>
      </c>
      <c r="C1797" s="2">
        <v>34</v>
      </c>
      <c r="D1797" s="2" t="s">
        <v>12041</v>
      </c>
      <c r="E1797" s="2">
        <f>COUNTIF(Table16[customer_id],Table13[[#This Row],[customer_id]])</f>
        <v>7</v>
      </c>
      <c r="F1797" s="13">
        <f>SUMIFS(Table16[Purchase_history],Table16[customer_id],Table13[[#This Row],[customer_id]])</f>
        <v>28033.279999999999</v>
      </c>
      <c r="G1797" s="20">
        <v>44366</v>
      </c>
      <c r="H1797" s="21">
        <v>44806</v>
      </c>
      <c r="I1797" s="15">
        <f>(Table134[[#This Row],[Last_Day]]-Table134[[#This Row],[First_Day]]+1)/365</f>
        <v>1.2082191780821918</v>
      </c>
      <c r="J1797" s="59">
        <f>Table134[[#This Row],[number_of_purchases]]/Table134[[#This Row],[customer_total_years]]</f>
        <v>5.7936507936507935</v>
      </c>
      <c r="K1797" s="13">
        <f>Table134[[#This Row],[purchase_history]]/Table134[[#This Row],[number_of_purchases]]</f>
        <v>4004.7542857142857</v>
      </c>
      <c r="L1797" s="2">
        <f>IF(YEAR(Table134[[#This Row],[Last_Day]])=2021,5,IF(YEAR(Table134[[#This Row],[Last_Day]])=2022,7,IF(YEAR(Table134[[#This Row],[Last_Day]])=2023,10,"Không xác định")))</f>
        <v>7</v>
      </c>
      <c r="M1797" s="15">
        <f>Table134[[#This Row],[avg_number_of_purchases]]*Table1345[[#This Row],[avg_purchase_value]]*Table1345[[#This Row],[expected_lifespan]]</f>
        <v>162415.03492063493</v>
      </c>
      <c r="N1797" t="s">
        <v>12044</v>
      </c>
    </row>
    <row r="1798" spans="1:14" x14ac:dyDescent="0.3">
      <c r="A1798" s="2" t="s">
        <v>1796</v>
      </c>
      <c r="B1798" s="2" t="s">
        <v>12040</v>
      </c>
      <c r="C1798" s="2">
        <v>33</v>
      </c>
      <c r="D1798" s="2" t="s">
        <v>12049</v>
      </c>
      <c r="E1798" s="2">
        <f>COUNTIF(Table16[customer_id],Table13[[#This Row],[customer_id]])</f>
        <v>8</v>
      </c>
      <c r="F1798" s="13">
        <f>SUMIFS(Table16[Purchase_history],Table16[customer_id],Table13[[#This Row],[customer_id]])</f>
        <v>11125.699999999999</v>
      </c>
      <c r="G1798" s="20">
        <v>44404</v>
      </c>
      <c r="H1798" s="21">
        <v>44959</v>
      </c>
      <c r="I1798" s="15">
        <f>(Table134[[#This Row],[Last_Day]]-Table134[[#This Row],[First_Day]]+1)/365</f>
        <v>1.5232876712328767</v>
      </c>
      <c r="J1798" s="59">
        <f>Table134[[#This Row],[number_of_purchases]]/Table134[[#This Row],[customer_total_years]]</f>
        <v>5.2517985611510793</v>
      </c>
      <c r="K1798" s="13">
        <f>Table134[[#This Row],[purchase_history]]/Table134[[#This Row],[number_of_purchases]]</f>
        <v>1390.7124999999999</v>
      </c>
      <c r="L1798" s="2">
        <f>IF(YEAR(Table134[[#This Row],[Last_Day]])=2021,5,IF(YEAR(Table134[[#This Row],[Last_Day]])=2022,7,IF(YEAR(Table134[[#This Row],[Last_Day]])=2023,10,"Không xác định")))</f>
        <v>10</v>
      </c>
      <c r="M1798" s="15">
        <f>Table134[[#This Row],[avg_number_of_purchases]]*Table1345[[#This Row],[avg_purchase_value]]*Table1345[[#This Row],[expected_lifespan]]</f>
        <v>73037.419064748203</v>
      </c>
      <c r="N1798" t="s">
        <v>12042</v>
      </c>
    </row>
    <row r="1799" spans="1:14" x14ac:dyDescent="0.3">
      <c r="A1799" s="2" t="s">
        <v>1797</v>
      </c>
      <c r="B1799" s="2" t="s">
        <v>12045</v>
      </c>
      <c r="C1799" s="2">
        <v>49</v>
      </c>
      <c r="D1799" s="2" t="s">
        <v>12043</v>
      </c>
      <c r="E1799" s="2">
        <f>COUNTIF(Table16[customer_id],Table13[[#This Row],[customer_id]])</f>
        <v>6</v>
      </c>
      <c r="F1799" s="13">
        <f>SUMIFS(Table16[Purchase_history],Table16[customer_id],Table13[[#This Row],[customer_id]])</f>
        <v>21309.95</v>
      </c>
      <c r="G1799" s="20">
        <v>44347</v>
      </c>
      <c r="H1799" s="21">
        <v>44953</v>
      </c>
      <c r="I1799" s="15">
        <f>(Table134[[#This Row],[Last_Day]]-Table134[[#This Row],[First_Day]]+1)/365</f>
        <v>1.6630136986301369</v>
      </c>
      <c r="J1799" s="59">
        <f>Table134[[#This Row],[number_of_purchases]]/Table134[[#This Row],[customer_total_years]]</f>
        <v>3.6079077429983526</v>
      </c>
      <c r="K1799" s="13">
        <f>Table134[[#This Row],[purchase_history]]/Table134[[#This Row],[number_of_purchases]]</f>
        <v>3551.6583333333333</v>
      </c>
      <c r="L1799" s="2">
        <f>IF(YEAR(Table134[[#This Row],[Last_Day]])=2021,5,IF(YEAR(Table134[[#This Row],[Last_Day]])=2022,7,IF(YEAR(Table134[[#This Row],[Last_Day]])=2023,10,"Không xác định")))</f>
        <v>10</v>
      </c>
      <c r="M1799" s="15">
        <f>Table134[[#This Row],[avg_number_of_purchases]]*Table1345[[#This Row],[avg_purchase_value]]*Table1345[[#This Row],[expected_lifespan]]</f>
        <v>128140.55601317958</v>
      </c>
      <c r="N1799" t="s">
        <v>12048</v>
      </c>
    </row>
    <row r="1800" spans="1:14" x14ac:dyDescent="0.3">
      <c r="A1800" s="2" t="s">
        <v>1798</v>
      </c>
      <c r="B1800" s="2" t="s">
        <v>12045</v>
      </c>
      <c r="C1800" s="2">
        <v>29</v>
      </c>
      <c r="D1800" s="2" t="s">
        <v>12049</v>
      </c>
      <c r="E1800" s="2">
        <f>COUNTIF(Table16[customer_id],Table13[[#This Row],[customer_id]])</f>
        <v>1</v>
      </c>
      <c r="F1800" s="13">
        <f>SUMIFS(Table16[Purchase_history],Table16[customer_id],Table13[[#This Row],[customer_id]])</f>
        <v>650.55999999999995</v>
      </c>
      <c r="G1800" s="20">
        <v>44491</v>
      </c>
      <c r="H1800" s="21">
        <v>44491</v>
      </c>
      <c r="I1800" s="15">
        <f>(Table134[[#This Row],[Last_Day]]-Table134[[#This Row],[First_Day]]+1)/365</f>
        <v>2.7397260273972603E-3</v>
      </c>
      <c r="J1800" s="59">
        <f>Table134[[#This Row],[number_of_purchases]]/Table134[[#This Row],[customer_total_years]]</f>
        <v>365</v>
      </c>
      <c r="K1800" s="13">
        <f>Table134[[#This Row],[purchase_history]]/Table134[[#This Row],[number_of_purchases]]</f>
        <v>650.55999999999995</v>
      </c>
      <c r="L1800" s="2">
        <f>IF(YEAR(Table134[[#This Row],[Last_Day]])=2021,5,IF(YEAR(Table134[[#This Row],[Last_Day]])=2022,7,IF(YEAR(Table134[[#This Row],[Last_Day]])=2023,10,"Không xác định")))</f>
        <v>5</v>
      </c>
      <c r="M1800" s="15">
        <f>Table134[[#This Row],[avg_number_of_purchases]]*Table1345[[#This Row],[avg_purchase_value]]*Table1345[[#This Row],[expected_lifespan]]</f>
        <v>1187272</v>
      </c>
      <c r="N1800" t="s">
        <v>12042</v>
      </c>
    </row>
    <row r="1801" spans="1:14" x14ac:dyDescent="0.3">
      <c r="A1801" s="2" t="s">
        <v>1799</v>
      </c>
      <c r="B1801" s="2" t="s">
        <v>12040</v>
      </c>
      <c r="C1801" s="2">
        <v>49</v>
      </c>
      <c r="D1801" s="2" t="s">
        <v>12043</v>
      </c>
      <c r="E1801" s="2">
        <f>COUNTIF(Table16[customer_id],Table13[[#This Row],[customer_id]])</f>
        <v>7</v>
      </c>
      <c r="F1801" s="13">
        <f>SUMIFS(Table16[Purchase_history],Table16[customer_id],Table13[[#This Row],[customer_id]])</f>
        <v>29607.890000000003</v>
      </c>
      <c r="G1801" s="20">
        <v>44332</v>
      </c>
      <c r="H1801" s="21">
        <v>44629</v>
      </c>
      <c r="I1801" s="15">
        <f>(Table134[[#This Row],[Last_Day]]-Table134[[#This Row],[First_Day]]+1)/365</f>
        <v>0.81643835616438354</v>
      </c>
      <c r="J1801" s="59">
        <f>Table134[[#This Row],[number_of_purchases]]/Table134[[#This Row],[customer_total_years]]</f>
        <v>8.5738255033557049</v>
      </c>
      <c r="K1801" s="13">
        <f>Table134[[#This Row],[purchase_history]]/Table134[[#This Row],[number_of_purchases]]</f>
        <v>4229.698571428572</v>
      </c>
      <c r="L1801" s="2">
        <f>IF(YEAR(Table134[[#This Row],[Last_Day]])=2021,5,IF(YEAR(Table134[[#This Row],[Last_Day]])=2022,7,IF(YEAR(Table134[[#This Row],[Last_Day]])=2023,10,"Không xác định")))</f>
        <v>7</v>
      </c>
      <c r="M1801" s="15">
        <f>Table134[[#This Row],[avg_number_of_purchases]]*Table1345[[#This Row],[avg_purchase_value]]*Table1345[[#This Row],[expected_lifespan]]</f>
        <v>253852.88238255039</v>
      </c>
      <c r="N1801" t="s">
        <v>12046</v>
      </c>
    </row>
    <row r="1802" spans="1:14" x14ac:dyDescent="0.3">
      <c r="A1802" s="2" t="s">
        <v>1800</v>
      </c>
      <c r="B1802" s="2" t="s">
        <v>12040</v>
      </c>
      <c r="C1802" s="2">
        <v>53</v>
      </c>
      <c r="D1802" s="2" t="s">
        <v>12043</v>
      </c>
      <c r="E1802" s="2">
        <f>COUNTIF(Table16[customer_id],Table13[[#This Row],[customer_id]])</f>
        <v>9</v>
      </c>
      <c r="F1802" s="13">
        <f>SUMIFS(Table16[Purchase_history],Table16[customer_id],Table13[[#This Row],[customer_id]])</f>
        <v>20790.91</v>
      </c>
      <c r="G1802" s="20">
        <v>44241</v>
      </c>
      <c r="H1802" s="21">
        <v>44858</v>
      </c>
      <c r="I1802" s="15">
        <f>(Table134[[#This Row],[Last_Day]]-Table134[[#This Row],[First_Day]]+1)/365</f>
        <v>1.6931506849315068</v>
      </c>
      <c r="J1802" s="59">
        <f>Table134[[#This Row],[number_of_purchases]]/Table134[[#This Row],[customer_total_years]]</f>
        <v>5.3155339805825248</v>
      </c>
      <c r="K1802" s="13">
        <f>Table134[[#This Row],[purchase_history]]/Table134[[#This Row],[number_of_purchases]]</f>
        <v>2310.1011111111111</v>
      </c>
      <c r="L1802" s="2">
        <f>IF(YEAR(Table134[[#This Row],[Last_Day]])=2021,5,IF(YEAR(Table134[[#This Row],[Last_Day]])=2022,7,IF(YEAR(Table134[[#This Row],[Last_Day]])=2023,10,"Không xác định")))</f>
        <v>7</v>
      </c>
      <c r="M1802" s="15">
        <f>Table134[[#This Row],[avg_number_of_purchases]]*Table1345[[#This Row],[avg_purchase_value]]*Table1345[[#This Row],[expected_lifespan]]</f>
        <v>85955.946682847905</v>
      </c>
      <c r="N1802" t="s">
        <v>12046</v>
      </c>
    </row>
    <row r="1803" spans="1:14" x14ac:dyDescent="0.3">
      <c r="A1803" s="2" t="s">
        <v>1801</v>
      </c>
      <c r="B1803" s="2" t="s">
        <v>12040</v>
      </c>
      <c r="C1803" s="2">
        <v>64</v>
      </c>
      <c r="D1803" s="2" t="s">
        <v>12043</v>
      </c>
      <c r="E1803" s="2">
        <f>COUNTIF(Table16[customer_id],Table13[[#This Row],[customer_id]])</f>
        <v>6</v>
      </c>
      <c r="F1803" s="13">
        <f>SUMIFS(Table16[Purchase_history],Table16[customer_id],Table13[[#This Row],[customer_id]])</f>
        <v>23217.94</v>
      </c>
      <c r="G1803" s="20">
        <v>44423</v>
      </c>
      <c r="H1803" s="21">
        <v>44891</v>
      </c>
      <c r="I1803" s="15">
        <f>(Table134[[#This Row],[Last_Day]]-Table134[[#This Row],[First_Day]]+1)/365</f>
        <v>1.284931506849315</v>
      </c>
      <c r="J1803" s="59">
        <f>Table134[[#This Row],[number_of_purchases]]/Table134[[#This Row],[customer_total_years]]</f>
        <v>4.6695095948827294</v>
      </c>
      <c r="K1803" s="13">
        <f>Table134[[#This Row],[purchase_history]]/Table134[[#This Row],[number_of_purchases]]</f>
        <v>3869.6566666666663</v>
      </c>
      <c r="L1803" s="2">
        <f>IF(YEAR(Table134[[#This Row],[Last_Day]])=2021,5,IF(YEAR(Table134[[#This Row],[Last_Day]])=2022,7,IF(YEAR(Table134[[#This Row],[Last_Day]])=2023,10,"Không xác định")))</f>
        <v>7</v>
      </c>
      <c r="M1803" s="15">
        <f>Table134[[#This Row],[avg_number_of_purchases]]*Table1345[[#This Row],[avg_purchase_value]]*Table1345[[#This Row],[expected_lifespan]]</f>
        <v>126485.79253731342</v>
      </c>
      <c r="N1803" t="s">
        <v>12047</v>
      </c>
    </row>
    <row r="1804" spans="1:14" x14ac:dyDescent="0.3">
      <c r="A1804" s="2" t="s">
        <v>1802</v>
      </c>
      <c r="B1804" s="2" t="s">
        <v>12040</v>
      </c>
      <c r="C1804" s="2">
        <v>65</v>
      </c>
      <c r="D1804" s="2" t="s">
        <v>12049</v>
      </c>
      <c r="E1804" s="2">
        <f>COUNTIF(Table16[customer_id],Table13[[#This Row],[customer_id]])</f>
        <v>3</v>
      </c>
      <c r="F1804" s="13">
        <f>SUMIFS(Table16[Purchase_history],Table16[customer_id],Table13[[#This Row],[customer_id]])</f>
        <v>4006.61</v>
      </c>
      <c r="G1804" s="20">
        <v>44258</v>
      </c>
      <c r="H1804" s="21">
        <v>44494</v>
      </c>
      <c r="I1804" s="15">
        <f>(Table134[[#This Row],[Last_Day]]-Table134[[#This Row],[First_Day]]+1)/365</f>
        <v>0.64931506849315068</v>
      </c>
      <c r="J1804" s="59">
        <f>Table134[[#This Row],[number_of_purchases]]/Table134[[#This Row],[customer_total_years]]</f>
        <v>4.6202531645569618</v>
      </c>
      <c r="K1804" s="13">
        <f>Table134[[#This Row],[purchase_history]]/Table134[[#This Row],[number_of_purchases]]</f>
        <v>1335.5366666666666</v>
      </c>
      <c r="L1804" s="2">
        <f>IF(YEAR(Table134[[#This Row],[Last_Day]])=2021,5,IF(YEAR(Table134[[#This Row],[Last_Day]])=2022,7,IF(YEAR(Table134[[#This Row],[Last_Day]])=2023,10,"Không xác định")))</f>
        <v>5</v>
      </c>
      <c r="M1804" s="15">
        <f>Table134[[#This Row],[avg_number_of_purchases]]*Table1345[[#This Row],[avg_purchase_value]]*Table1345[[#This Row],[expected_lifespan]]</f>
        <v>30852.587552742611</v>
      </c>
      <c r="N1804" t="s">
        <v>12048</v>
      </c>
    </row>
    <row r="1805" spans="1:14" x14ac:dyDescent="0.3">
      <c r="A1805" s="2" t="s">
        <v>1803</v>
      </c>
      <c r="B1805" s="2" t="s">
        <v>12040</v>
      </c>
      <c r="C1805" s="2">
        <v>41</v>
      </c>
      <c r="D1805" s="2" t="s">
        <v>12043</v>
      </c>
      <c r="E1805" s="2">
        <f>COUNTIF(Table16[customer_id],Table13[[#This Row],[customer_id]])</f>
        <v>4</v>
      </c>
      <c r="F1805" s="13">
        <f>SUMIFS(Table16[Purchase_history],Table16[customer_id],Table13[[#This Row],[customer_id]])</f>
        <v>10804.029999999999</v>
      </c>
      <c r="G1805" s="20">
        <v>44541</v>
      </c>
      <c r="H1805" s="21">
        <v>44926</v>
      </c>
      <c r="I1805" s="15">
        <f>(Table134[[#This Row],[Last_Day]]-Table134[[#This Row],[First_Day]]+1)/365</f>
        <v>1.0575342465753426</v>
      </c>
      <c r="J1805" s="59">
        <f>Table134[[#This Row],[number_of_purchases]]/Table134[[#This Row],[customer_total_years]]</f>
        <v>3.7823834196891188</v>
      </c>
      <c r="K1805" s="13">
        <f>Table134[[#This Row],[purchase_history]]/Table134[[#This Row],[number_of_purchases]]</f>
        <v>2701.0074999999997</v>
      </c>
      <c r="L1805" s="2">
        <f>IF(YEAR(Table134[[#This Row],[Last_Day]])=2021,5,IF(YEAR(Table134[[#This Row],[Last_Day]])=2022,7,IF(YEAR(Table134[[#This Row],[Last_Day]])=2023,10,"Không xác định")))</f>
        <v>7</v>
      </c>
      <c r="M1805" s="15">
        <f>Table134[[#This Row],[avg_number_of_purchases]]*Table1345[[#This Row],[avg_purchase_value]]*Table1345[[#This Row],[expected_lifespan]]</f>
        <v>71513.721891191701</v>
      </c>
      <c r="N1805" t="s">
        <v>12047</v>
      </c>
    </row>
    <row r="1806" spans="1:14" x14ac:dyDescent="0.3">
      <c r="A1806" s="2" t="s">
        <v>1804</v>
      </c>
      <c r="B1806" s="2" t="s">
        <v>12040</v>
      </c>
      <c r="C1806" s="2">
        <v>27</v>
      </c>
      <c r="D1806" s="2" t="s">
        <v>12043</v>
      </c>
      <c r="E1806" s="2">
        <f>COUNTIF(Table16[customer_id],Table13[[#This Row],[customer_id]])</f>
        <v>3</v>
      </c>
      <c r="F1806" s="13">
        <f>SUMIFS(Table16[Purchase_history],Table16[customer_id],Table13[[#This Row],[customer_id]])</f>
        <v>3906.27</v>
      </c>
      <c r="G1806" s="20">
        <v>44359</v>
      </c>
      <c r="H1806" s="21">
        <v>44881</v>
      </c>
      <c r="I1806" s="15">
        <f>(Table134[[#This Row],[Last_Day]]-Table134[[#This Row],[First_Day]]+1)/365</f>
        <v>1.4328767123287671</v>
      </c>
      <c r="J1806" s="59">
        <f>Table134[[#This Row],[number_of_purchases]]/Table134[[#This Row],[customer_total_years]]</f>
        <v>2.0936902485659656</v>
      </c>
      <c r="K1806" s="13">
        <f>Table134[[#This Row],[purchase_history]]/Table134[[#This Row],[number_of_purchases]]</f>
        <v>1302.0899999999999</v>
      </c>
      <c r="L1806" s="2">
        <f>IF(YEAR(Table134[[#This Row],[Last_Day]])=2021,5,IF(YEAR(Table134[[#This Row],[Last_Day]])=2022,7,IF(YEAR(Table134[[#This Row],[Last_Day]])=2023,10,"Không xác định")))</f>
        <v>7</v>
      </c>
      <c r="M1806" s="15">
        <f>Table134[[#This Row],[avg_number_of_purchases]]*Table1345[[#This Row],[avg_purchase_value]]*Table1345[[#This Row],[expected_lifespan]]</f>
        <v>19083.211950286808</v>
      </c>
      <c r="N1806" t="s">
        <v>12044</v>
      </c>
    </row>
    <row r="1807" spans="1:14" x14ac:dyDescent="0.3">
      <c r="A1807" s="2" t="s">
        <v>1805</v>
      </c>
      <c r="B1807" s="2" t="s">
        <v>12040</v>
      </c>
      <c r="C1807" s="2">
        <v>67</v>
      </c>
      <c r="D1807" s="2" t="s">
        <v>12043</v>
      </c>
      <c r="E1807" s="2">
        <f>COUNTIF(Table16[customer_id],Table13[[#This Row],[customer_id]])</f>
        <v>5</v>
      </c>
      <c r="F1807" s="13">
        <f>SUMIFS(Table16[Purchase_history],Table16[customer_id],Table13[[#This Row],[customer_id]])</f>
        <v>12429.79</v>
      </c>
      <c r="G1807" s="20">
        <v>44387</v>
      </c>
      <c r="H1807" s="21">
        <v>44863</v>
      </c>
      <c r="I1807" s="15">
        <f>(Table134[[#This Row],[Last_Day]]-Table134[[#This Row],[First_Day]]+1)/365</f>
        <v>1.3068493150684932</v>
      </c>
      <c r="J1807" s="59">
        <f>Table134[[#This Row],[number_of_purchases]]/Table134[[#This Row],[customer_total_years]]</f>
        <v>3.8259958071278826</v>
      </c>
      <c r="K1807" s="13">
        <f>Table134[[#This Row],[purchase_history]]/Table134[[#This Row],[number_of_purchases]]</f>
        <v>2485.9580000000001</v>
      </c>
      <c r="L1807" s="2">
        <f>IF(YEAR(Table134[[#This Row],[Last_Day]])=2021,5,IF(YEAR(Table134[[#This Row],[Last_Day]])=2022,7,IF(YEAR(Table134[[#This Row],[Last_Day]])=2023,10,"Không xác định")))</f>
        <v>7</v>
      </c>
      <c r="M1807" s="15">
        <f>Table134[[#This Row],[avg_number_of_purchases]]*Table1345[[#This Row],[avg_purchase_value]]*Table1345[[#This Row],[expected_lifespan]]</f>
        <v>66578.85419287211</v>
      </c>
      <c r="N1807" t="s">
        <v>12042</v>
      </c>
    </row>
    <row r="1808" spans="1:14" x14ac:dyDescent="0.3">
      <c r="A1808" s="2" t="s">
        <v>1806</v>
      </c>
      <c r="B1808" s="2" t="s">
        <v>12045</v>
      </c>
      <c r="C1808" s="2">
        <v>65</v>
      </c>
      <c r="D1808" s="2" t="s">
        <v>12043</v>
      </c>
      <c r="E1808" s="2">
        <f>COUNTIF(Table16[customer_id],Table13[[#This Row],[customer_id]])</f>
        <v>5</v>
      </c>
      <c r="F1808" s="13">
        <f>SUMIFS(Table16[Purchase_history],Table16[customer_id],Table13[[#This Row],[customer_id]])</f>
        <v>11503.84</v>
      </c>
      <c r="G1808" s="20">
        <v>44519</v>
      </c>
      <c r="H1808" s="21">
        <v>44935</v>
      </c>
      <c r="I1808" s="15">
        <f>(Table134[[#This Row],[Last_Day]]-Table134[[#This Row],[First_Day]]+1)/365</f>
        <v>1.1424657534246576</v>
      </c>
      <c r="J1808" s="59">
        <f>Table134[[#This Row],[number_of_purchases]]/Table134[[#This Row],[customer_total_years]]</f>
        <v>4.376498800959232</v>
      </c>
      <c r="K1808" s="13">
        <f>Table134[[#This Row],[purchase_history]]/Table134[[#This Row],[number_of_purchases]]</f>
        <v>2300.768</v>
      </c>
      <c r="L1808" s="2">
        <f>IF(YEAR(Table134[[#This Row],[Last_Day]])=2021,5,IF(YEAR(Table134[[#This Row],[Last_Day]])=2022,7,IF(YEAR(Table134[[#This Row],[Last_Day]])=2023,10,"Không xác định")))</f>
        <v>10</v>
      </c>
      <c r="M1808" s="15">
        <f>Table134[[#This Row],[avg_number_of_purchases]]*Table1345[[#This Row],[avg_purchase_value]]*Table1345[[#This Row],[expected_lifespan]]</f>
        <v>100693.0839328537</v>
      </c>
      <c r="N1808" t="s">
        <v>12047</v>
      </c>
    </row>
    <row r="1809" spans="1:14" x14ac:dyDescent="0.3">
      <c r="A1809" s="2" t="s">
        <v>1807</v>
      </c>
      <c r="B1809" s="2" t="s">
        <v>12040</v>
      </c>
      <c r="C1809" s="2">
        <v>35</v>
      </c>
      <c r="D1809" s="2" t="s">
        <v>12043</v>
      </c>
      <c r="E1809" s="2">
        <f>COUNTIF(Table16[customer_id],Table13[[#This Row],[customer_id]])</f>
        <v>6</v>
      </c>
      <c r="F1809" s="13">
        <f>SUMIFS(Table16[Purchase_history],Table16[customer_id],Table13[[#This Row],[customer_id]])</f>
        <v>7097.5899999999983</v>
      </c>
      <c r="G1809" s="20">
        <v>44211</v>
      </c>
      <c r="H1809" s="21">
        <v>44780</v>
      </c>
      <c r="I1809" s="15">
        <f>(Table134[[#This Row],[Last_Day]]-Table134[[#This Row],[First_Day]]+1)/365</f>
        <v>1.5616438356164384</v>
      </c>
      <c r="J1809" s="59">
        <f>Table134[[#This Row],[number_of_purchases]]/Table134[[#This Row],[customer_total_years]]</f>
        <v>3.8421052631578947</v>
      </c>
      <c r="K1809" s="13">
        <f>Table134[[#This Row],[purchase_history]]/Table134[[#This Row],[number_of_purchases]]</f>
        <v>1182.9316666666664</v>
      </c>
      <c r="L1809" s="2">
        <f>IF(YEAR(Table134[[#This Row],[Last_Day]])=2021,5,IF(YEAR(Table134[[#This Row],[Last_Day]])=2022,7,IF(YEAR(Table134[[#This Row],[Last_Day]])=2023,10,"Không xác định")))</f>
        <v>7</v>
      </c>
      <c r="M1809" s="15">
        <f>Table134[[#This Row],[avg_number_of_purchases]]*Table1345[[#This Row],[avg_purchase_value]]*Table1345[[#This Row],[expected_lifespan]]</f>
        <v>31814.635877192977</v>
      </c>
      <c r="N1809" t="s">
        <v>12044</v>
      </c>
    </row>
    <row r="1810" spans="1:14" x14ac:dyDescent="0.3">
      <c r="A1810" s="2" t="s">
        <v>1808</v>
      </c>
      <c r="B1810" s="2" t="s">
        <v>12040</v>
      </c>
      <c r="C1810" s="2">
        <v>50</v>
      </c>
      <c r="D1810" s="2" t="s">
        <v>12049</v>
      </c>
      <c r="E1810" s="2">
        <f>COUNTIF(Table16[customer_id],Table13[[#This Row],[customer_id]])</f>
        <v>5</v>
      </c>
      <c r="F1810" s="13">
        <f>SUMIFS(Table16[Purchase_history],Table16[customer_id],Table13[[#This Row],[customer_id]])</f>
        <v>32214.54</v>
      </c>
      <c r="G1810" s="20">
        <v>44264</v>
      </c>
      <c r="H1810" s="21">
        <v>44923</v>
      </c>
      <c r="I1810" s="15">
        <f>(Table134[[#This Row],[Last_Day]]-Table134[[#This Row],[First_Day]]+1)/365</f>
        <v>1.8082191780821917</v>
      </c>
      <c r="J1810" s="59">
        <f>Table134[[#This Row],[number_of_purchases]]/Table134[[#This Row],[customer_total_years]]</f>
        <v>2.7651515151515151</v>
      </c>
      <c r="K1810" s="13">
        <f>Table134[[#This Row],[purchase_history]]/Table134[[#This Row],[number_of_purchases]]</f>
        <v>6442.9080000000004</v>
      </c>
      <c r="L1810" s="2">
        <f>IF(YEAR(Table134[[#This Row],[Last_Day]])=2021,5,IF(YEAR(Table134[[#This Row],[Last_Day]])=2022,7,IF(YEAR(Table134[[#This Row],[Last_Day]])=2023,10,"Không xác định")))</f>
        <v>7</v>
      </c>
      <c r="M1810" s="15">
        <f>Table134[[#This Row],[avg_number_of_purchases]]*Table1345[[#This Row],[avg_purchase_value]]*Table1345[[#This Row],[expected_lifespan]]</f>
        <v>124709.31772727272</v>
      </c>
      <c r="N1810" t="s">
        <v>12046</v>
      </c>
    </row>
    <row r="1811" spans="1:14" x14ac:dyDescent="0.3">
      <c r="A1811" s="2" t="s">
        <v>1809</v>
      </c>
      <c r="B1811" s="2" t="s">
        <v>12040</v>
      </c>
      <c r="C1811" s="2">
        <v>56</v>
      </c>
      <c r="D1811" s="2" t="s">
        <v>12043</v>
      </c>
      <c r="E1811" s="2">
        <f>COUNTIF(Table16[customer_id],Table13[[#This Row],[customer_id]])</f>
        <v>6</v>
      </c>
      <c r="F1811" s="13">
        <f>SUMIFS(Table16[Purchase_history],Table16[customer_id],Table13[[#This Row],[customer_id]])</f>
        <v>6121.7199999999993</v>
      </c>
      <c r="G1811" s="20">
        <v>44212</v>
      </c>
      <c r="H1811" s="21">
        <v>44922</v>
      </c>
      <c r="I1811" s="15">
        <f>(Table134[[#This Row],[Last_Day]]-Table134[[#This Row],[First_Day]]+1)/365</f>
        <v>1.9479452054794522</v>
      </c>
      <c r="J1811" s="59">
        <f>Table134[[#This Row],[number_of_purchases]]/Table134[[#This Row],[customer_total_years]]</f>
        <v>3.0801687763713077</v>
      </c>
      <c r="K1811" s="13">
        <f>Table134[[#This Row],[purchase_history]]/Table134[[#This Row],[number_of_purchases]]</f>
        <v>1020.2866666666665</v>
      </c>
      <c r="L1811" s="2">
        <f>IF(YEAR(Table134[[#This Row],[Last_Day]])=2021,5,IF(YEAR(Table134[[#This Row],[Last_Day]])=2022,7,IF(YEAR(Table134[[#This Row],[Last_Day]])=2023,10,"Không xác định")))</f>
        <v>7</v>
      </c>
      <c r="M1811" s="15">
        <f>Table134[[#This Row],[avg_number_of_purchases]]*Table1345[[#This Row],[avg_purchase_value]]*Table1345[[#This Row],[expected_lifespan]]</f>
        <v>21998.585935302388</v>
      </c>
      <c r="N1811" t="s">
        <v>12042</v>
      </c>
    </row>
    <row r="1812" spans="1:14" x14ac:dyDescent="0.3">
      <c r="A1812" s="2" t="s">
        <v>1810</v>
      </c>
      <c r="B1812" s="2" t="s">
        <v>12040</v>
      </c>
      <c r="C1812" s="2">
        <v>38</v>
      </c>
      <c r="D1812" s="2" t="s">
        <v>12041</v>
      </c>
      <c r="E1812" s="2">
        <f>COUNTIF(Table16[customer_id],Table13[[#This Row],[customer_id]])</f>
        <v>4</v>
      </c>
      <c r="F1812" s="13">
        <f>SUMIFS(Table16[Purchase_history],Table16[customer_id],Table13[[#This Row],[customer_id]])</f>
        <v>7979.87</v>
      </c>
      <c r="G1812" s="20">
        <v>44219</v>
      </c>
      <c r="H1812" s="21">
        <v>44784</v>
      </c>
      <c r="I1812" s="15">
        <f>(Table134[[#This Row],[Last_Day]]-Table134[[#This Row],[First_Day]]+1)/365</f>
        <v>1.5506849315068494</v>
      </c>
      <c r="J1812" s="59">
        <f>Table134[[#This Row],[number_of_purchases]]/Table134[[#This Row],[customer_total_years]]</f>
        <v>2.5795053003533566</v>
      </c>
      <c r="K1812" s="13">
        <f>Table134[[#This Row],[purchase_history]]/Table134[[#This Row],[number_of_purchases]]</f>
        <v>1994.9675</v>
      </c>
      <c r="L1812" s="2">
        <f>IF(YEAR(Table134[[#This Row],[Last_Day]])=2021,5,IF(YEAR(Table134[[#This Row],[Last_Day]])=2022,7,IF(YEAR(Table134[[#This Row],[Last_Day]])=2023,10,"Không xác định")))</f>
        <v>7</v>
      </c>
      <c r="M1812" s="15">
        <f>Table134[[#This Row],[avg_number_of_purchases]]*Table1345[[#This Row],[avg_purchase_value]]*Table1345[[#This Row],[expected_lifespan]]</f>
        <v>36022.204681978794</v>
      </c>
      <c r="N1812" t="s">
        <v>12048</v>
      </c>
    </row>
    <row r="1813" spans="1:14" x14ac:dyDescent="0.3">
      <c r="A1813" s="2" t="s">
        <v>1811</v>
      </c>
      <c r="B1813" s="2" t="s">
        <v>12040</v>
      </c>
      <c r="C1813" s="2">
        <v>32</v>
      </c>
      <c r="D1813" s="2" t="s">
        <v>12041</v>
      </c>
      <c r="E1813" s="2">
        <f>COUNTIF(Table16[customer_id],Table13[[#This Row],[customer_id]])</f>
        <v>5</v>
      </c>
      <c r="F1813" s="13">
        <f>SUMIFS(Table16[Purchase_history],Table16[customer_id],Table13[[#This Row],[customer_id]])</f>
        <v>3290.3900000000003</v>
      </c>
      <c r="G1813" s="20">
        <v>44211</v>
      </c>
      <c r="H1813" s="21">
        <v>44785</v>
      </c>
      <c r="I1813" s="15">
        <f>(Table134[[#This Row],[Last_Day]]-Table134[[#This Row],[First_Day]]+1)/365</f>
        <v>1.5753424657534247</v>
      </c>
      <c r="J1813" s="59">
        <f>Table134[[#This Row],[number_of_purchases]]/Table134[[#This Row],[customer_total_years]]</f>
        <v>3.1739130434782608</v>
      </c>
      <c r="K1813" s="13">
        <f>Table134[[#This Row],[purchase_history]]/Table134[[#This Row],[number_of_purchases]]</f>
        <v>658.07800000000009</v>
      </c>
      <c r="L1813" s="2">
        <f>IF(YEAR(Table134[[#This Row],[Last_Day]])=2021,5,IF(YEAR(Table134[[#This Row],[Last_Day]])=2022,7,IF(YEAR(Table134[[#This Row],[Last_Day]])=2023,10,"Không xác định")))</f>
        <v>7</v>
      </c>
      <c r="M1813" s="15">
        <f>Table134[[#This Row],[avg_number_of_purchases]]*Table1345[[#This Row],[avg_purchase_value]]*Table1345[[#This Row],[expected_lifespan]]</f>
        <v>14620.776434782611</v>
      </c>
      <c r="N1813" t="s">
        <v>12044</v>
      </c>
    </row>
    <row r="1814" spans="1:14" x14ac:dyDescent="0.3">
      <c r="A1814" s="2" t="s">
        <v>1812</v>
      </c>
      <c r="B1814" s="2" t="s">
        <v>12040</v>
      </c>
      <c r="C1814" s="2">
        <v>63</v>
      </c>
      <c r="D1814" s="2" t="s">
        <v>12041</v>
      </c>
      <c r="E1814" s="2">
        <f>COUNTIF(Table16[customer_id],Table13[[#This Row],[customer_id]])</f>
        <v>5</v>
      </c>
      <c r="F1814" s="13">
        <f>SUMIFS(Table16[Purchase_history],Table16[customer_id],Table13[[#This Row],[customer_id]])</f>
        <v>11855.38</v>
      </c>
      <c r="G1814" s="20">
        <v>44372</v>
      </c>
      <c r="H1814" s="21">
        <v>44978</v>
      </c>
      <c r="I1814" s="15">
        <f>(Table134[[#This Row],[Last_Day]]-Table134[[#This Row],[First_Day]]+1)/365</f>
        <v>1.6630136986301369</v>
      </c>
      <c r="J1814" s="59">
        <f>Table134[[#This Row],[number_of_purchases]]/Table134[[#This Row],[customer_total_years]]</f>
        <v>3.0065897858319603</v>
      </c>
      <c r="K1814" s="13">
        <f>Table134[[#This Row],[purchase_history]]/Table134[[#This Row],[number_of_purchases]]</f>
        <v>2371.076</v>
      </c>
      <c r="L1814" s="2">
        <f>IF(YEAR(Table134[[#This Row],[Last_Day]])=2021,5,IF(YEAR(Table134[[#This Row],[Last_Day]])=2022,7,IF(YEAR(Table134[[#This Row],[Last_Day]])=2023,10,"Không xác định")))</f>
        <v>10</v>
      </c>
      <c r="M1814" s="15">
        <f>Table134[[#This Row],[avg_number_of_purchases]]*Table1345[[#This Row],[avg_purchase_value]]*Table1345[[#This Row],[expected_lifespan]]</f>
        <v>71288.528830313022</v>
      </c>
      <c r="N1814" t="s">
        <v>12044</v>
      </c>
    </row>
    <row r="1815" spans="1:14" x14ac:dyDescent="0.3">
      <c r="A1815" s="2" t="s">
        <v>1813</v>
      </c>
      <c r="B1815" s="2" t="s">
        <v>12045</v>
      </c>
      <c r="C1815" s="2">
        <v>61</v>
      </c>
      <c r="D1815" s="2" t="s">
        <v>12043</v>
      </c>
      <c r="E1815" s="2">
        <f>COUNTIF(Table16[customer_id],Table13[[#This Row],[customer_id]])</f>
        <v>4</v>
      </c>
      <c r="F1815" s="13">
        <f>SUMIFS(Table16[Purchase_history],Table16[customer_id],Table13[[#This Row],[customer_id]])</f>
        <v>646.66000000000008</v>
      </c>
      <c r="G1815" s="20">
        <v>44397</v>
      </c>
      <c r="H1815" s="21">
        <v>44538</v>
      </c>
      <c r="I1815" s="15">
        <f>(Table134[[#This Row],[Last_Day]]-Table134[[#This Row],[First_Day]]+1)/365</f>
        <v>0.38904109589041097</v>
      </c>
      <c r="J1815" s="59">
        <f>Table134[[#This Row],[number_of_purchases]]/Table134[[#This Row],[customer_total_years]]</f>
        <v>10.28169014084507</v>
      </c>
      <c r="K1815" s="13">
        <f>Table134[[#This Row],[purchase_history]]/Table134[[#This Row],[number_of_purchases]]</f>
        <v>161.66500000000002</v>
      </c>
      <c r="L1815" s="2">
        <f>IF(YEAR(Table134[[#This Row],[Last_Day]])=2021,5,IF(YEAR(Table134[[#This Row],[Last_Day]])=2022,7,IF(YEAR(Table134[[#This Row],[Last_Day]])=2023,10,"Không xác định")))</f>
        <v>5</v>
      </c>
      <c r="M1815" s="15">
        <f>Table134[[#This Row],[avg_number_of_purchases]]*Table1345[[#This Row],[avg_purchase_value]]*Table1345[[#This Row],[expected_lifespan]]</f>
        <v>8310.9471830985931</v>
      </c>
      <c r="N1815" t="s">
        <v>12048</v>
      </c>
    </row>
    <row r="1816" spans="1:14" x14ac:dyDescent="0.3">
      <c r="A1816" s="2" t="s">
        <v>1814</v>
      </c>
      <c r="B1816" s="2" t="s">
        <v>12040</v>
      </c>
      <c r="C1816" s="2">
        <v>29</v>
      </c>
      <c r="D1816" s="2" t="s">
        <v>12043</v>
      </c>
      <c r="E1816" s="2">
        <f>COUNTIF(Table16[customer_id],Table13[[#This Row],[customer_id]])</f>
        <v>5</v>
      </c>
      <c r="F1816" s="13">
        <f>SUMIFS(Table16[Purchase_history],Table16[customer_id],Table13[[#This Row],[customer_id]])</f>
        <v>6461.7099999999991</v>
      </c>
      <c r="G1816" s="20">
        <v>44282</v>
      </c>
      <c r="H1816" s="21">
        <v>44834</v>
      </c>
      <c r="I1816" s="15">
        <f>(Table134[[#This Row],[Last_Day]]-Table134[[#This Row],[First_Day]]+1)/365</f>
        <v>1.515068493150685</v>
      </c>
      <c r="J1816" s="59">
        <f>Table134[[#This Row],[number_of_purchases]]/Table134[[#This Row],[customer_total_years]]</f>
        <v>3.3001808318264012</v>
      </c>
      <c r="K1816" s="13">
        <f>Table134[[#This Row],[purchase_history]]/Table134[[#This Row],[number_of_purchases]]</f>
        <v>1292.3419999999999</v>
      </c>
      <c r="L1816" s="2">
        <f>IF(YEAR(Table134[[#This Row],[Last_Day]])=2021,5,IF(YEAR(Table134[[#This Row],[Last_Day]])=2022,7,IF(YEAR(Table134[[#This Row],[Last_Day]])=2023,10,"Không xác định")))</f>
        <v>7</v>
      </c>
      <c r="M1816" s="15">
        <f>Table134[[#This Row],[avg_number_of_purchases]]*Table1345[[#This Row],[avg_purchase_value]]*Table1345[[#This Row],[expected_lifespan]]</f>
        <v>29854.736075949364</v>
      </c>
      <c r="N1816" t="s">
        <v>12047</v>
      </c>
    </row>
    <row r="1817" spans="1:14" x14ac:dyDescent="0.3">
      <c r="A1817" s="2" t="s">
        <v>1815</v>
      </c>
      <c r="B1817" s="2" t="s">
        <v>12040</v>
      </c>
      <c r="C1817" s="2">
        <v>28</v>
      </c>
      <c r="D1817" s="2" t="s">
        <v>12041</v>
      </c>
      <c r="E1817" s="2">
        <f>COUNTIF(Table16[customer_id],Table13[[#This Row],[customer_id]])</f>
        <v>5</v>
      </c>
      <c r="F1817" s="13">
        <f>SUMIFS(Table16[Purchase_history],Table16[customer_id],Table13[[#This Row],[customer_id]])</f>
        <v>18333.349999999999</v>
      </c>
      <c r="G1817" s="20">
        <v>44706</v>
      </c>
      <c r="H1817" s="21">
        <v>44955</v>
      </c>
      <c r="I1817" s="15">
        <f>(Table134[[#This Row],[Last_Day]]-Table134[[#This Row],[First_Day]]+1)/365</f>
        <v>0.68493150684931503</v>
      </c>
      <c r="J1817" s="59">
        <f>Table134[[#This Row],[number_of_purchases]]/Table134[[#This Row],[customer_total_years]]</f>
        <v>7.3000000000000007</v>
      </c>
      <c r="K1817" s="13">
        <f>Table134[[#This Row],[purchase_history]]/Table134[[#This Row],[number_of_purchases]]</f>
        <v>3666.6699999999996</v>
      </c>
      <c r="L1817" s="2">
        <f>IF(YEAR(Table134[[#This Row],[Last_Day]])=2021,5,IF(YEAR(Table134[[#This Row],[Last_Day]])=2022,7,IF(YEAR(Table134[[#This Row],[Last_Day]])=2023,10,"Không xác định")))</f>
        <v>10</v>
      </c>
      <c r="M1817" s="15">
        <f>Table134[[#This Row],[avg_number_of_purchases]]*Table1345[[#This Row],[avg_purchase_value]]*Table1345[[#This Row],[expected_lifespan]]</f>
        <v>267666.90999999997</v>
      </c>
      <c r="N1817" t="s">
        <v>12046</v>
      </c>
    </row>
    <row r="1818" spans="1:14" x14ac:dyDescent="0.3">
      <c r="A1818" s="2" t="s">
        <v>1816</v>
      </c>
      <c r="B1818" s="2" t="s">
        <v>12045</v>
      </c>
      <c r="C1818" s="2">
        <v>24</v>
      </c>
      <c r="D1818" s="2" t="s">
        <v>12049</v>
      </c>
      <c r="E1818" s="2">
        <f>COUNTIF(Table16[customer_id],Table13[[#This Row],[customer_id]])</f>
        <v>4</v>
      </c>
      <c r="F1818" s="13">
        <f>SUMIFS(Table16[Purchase_history],Table16[customer_id],Table13[[#This Row],[customer_id]])</f>
        <v>23379.77</v>
      </c>
      <c r="G1818" s="20">
        <v>44229</v>
      </c>
      <c r="H1818" s="21">
        <v>44977</v>
      </c>
      <c r="I1818" s="15">
        <f>(Table134[[#This Row],[Last_Day]]-Table134[[#This Row],[First_Day]]+1)/365</f>
        <v>2.0520547945205481</v>
      </c>
      <c r="J1818" s="59">
        <f>Table134[[#This Row],[number_of_purchases]]/Table134[[#This Row],[customer_total_years]]</f>
        <v>1.9492656875834444</v>
      </c>
      <c r="K1818" s="13">
        <f>Table134[[#This Row],[purchase_history]]/Table134[[#This Row],[number_of_purchases]]</f>
        <v>5844.9425000000001</v>
      </c>
      <c r="L1818" s="2">
        <f>IF(YEAR(Table134[[#This Row],[Last_Day]])=2021,5,IF(YEAR(Table134[[#This Row],[Last_Day]])=2022,7,IF(YEAR(Table134[[#This Row],[Last_Day]])=2023,10,"Không xác định")))</f>
        <v>10</v>
      </c>
      <c r="M1818" s="15">
        <f>Table134[[#This Row],[avg_number_of_purchases]]*Table1345[[#This Row],[avg_purchase_value]]*Table1345[[#This Row],[expected_lifespan]]</f>
        <v>113933.45861148197</v>
      </c>
      <c r="N1818" t="s">
        <v>12048</v>
      </c>
    </row>
    <row r="1819" spans="1:14" x14ac:dyDescent="0.3">
      <c r="A1819" s="2" t="s">
        <v>1817</v>
      </c>
      <c r="B1819" s="2" t="s">
        <v>12040</v>
      </c>
      <c r="C1819" s="2">
        <v>46</v>
      </c>
      <c r="D1819" s="2" t="s">
        <v>12043</v>
      </c>
      <c r="E1819" s="2">
        <f>COUNTIF(Table16[customer_id],Table13[[#This Row],[customer_id]])</f>
        <v>7</v>
      </c>
      <c r="F1819" s="13">
        <f>SUMIFS(Table16[Purchase_history],Table16[customer_id],Table13[[#This Row],[customer_id]])</f>
        <v>23172.77</v>
      </c>
      <c r="G1819" s="20">
        <v>44446</v>
      </c>
      <c r="H1819" s="21">
        <v>44983</v>
      </c>
      <c r="I1819" s="15">
        <f>(Table134[[#This Row],[Last_Day]]-Table134[[#This Row],[First_Day]]+1)/365</f>
        <v>1.473972602739726</v>
      </c>
      <c r="J1819" s="59">
        <f>Table134[[#This Row],[number_of_purchases]]/Table134[[#This Row],[customer_total_years]]</f>
        <v>4.7490706319702607</v>
      </c>
      <c r="K1819" s="13">
        <f>Table134[[#This Row],[purchase_history]]/Table134[[#This Row],[number_of_purchases]]</f>
        <v>3310.3957142857143</v>
      </c>
      <c r="L1819" s="2">
        <f>IF(YEAR(Table134[[#This Row],[Last_Day]])=2021,5,IF(YEAR(Table134[[#This Row],[Last_Day]])=2022,7,IF(YEAR(Table134[[#This Row],[Last_Day]])=2023,10,"Không xác định")))</f>
        <v>10</v>
      </c>
      <c r="M1819" s="15">
        <f>Table134[[#This Row],[avg_number_of_purchases]]*Table1345[[#This Row],[avg_purchase_value]]*Table1345[[#This Row],[expected_lifespan]]</f>
        <v>157213.030669145</v>
      </c>
      <c r="N1819" t="s">
        <v>12042</v>
      </c>
    </row>
    <row r="1820" spans="1:14" x14ac:dyDescent="0.3">
      <c r="A1820" s="2" t="s">
        <v>1818</v>
      </c>
      <c r="B1820" s="2" t="s">
        <v>12045</v>
      </c>
      <c r="C1820" s="2">
        <v>31</v>
      </c>
      <c r="D1820" s="2" t="s">
        <v>12043</v>
      </c>
      <c r="E1820" s="2">
        <f>COUNTIF(Table16[customer_id],Table13[[#This Row],[customer_id]])</f>
        <v>7</v>
      </c>
      <c r="F1820" s="13">
        <f>SUMIFS(Table16[Purchase_history],Table16[customer_id],Table13[[#This Row],[customer_id]])</f>
        <v>28318.519999999997</v>
      </c>
      <c r="G1820" s="20">
        <v>44308</v>
      </c>
      <c r="H1820" s="21">
        <v>44799</v>
      </c>
      <c r="I1820" s="15">
        <f>(Table134[[#This Row],[Last_Day]]-Table134[[#This Row],[First_Day]]+1)/365</f>
        <v>1.3479452054794521</v>
      </c>
      <c r="J1820" s="59">
        <f>Table134[[#This Row],[number_of_purchases]]/Table134[[#This Row],[customer_total_years]]</f>
        <v>5.1930894308943092</v>
      </c>
      <c r="K1820" s="13">
        <f>Table134[[#This Row],[purchase_history]]/Table134[[#This Row],[number_of_purchases]]</f>
        <v>4045.5028571428566</v>
      </c>
      <c r="L1820" s="2">
        <f>IF(YEAR(Table134[[#This Row],[Last_Day]])=2021,5,IF(YEAR(Table134[[#This Row],[Last_Day]])=2022,7,IF(YEAR(Table134[[#This Row],[Last_Day]])=2023,10,"Không xác định")))</f>
        <v>7</v>
      </c>
      <c r="M1820" s="15">
        <f>Table134[[#This Row],[avg_number_of_purchases]]*Table1345[[#This Row],[avg_purchase_value]]*Table1345[[#This Row],[expected_lifespan]]</f>
        <v>147060.60691056907</v>
      </c>
      <c r="N1820" t="s">
        <v>12048</v>
      </c>
    </row>
    <row r="1821" spans="1:14" x14ac:dyDescent="0.3">
      <c r="A1821" s="2" t="s">
        <v>1819</v>
      </c>
      <c r="B1821" s="2" t="s">
        <v>12045</v>
      </c>
      <c r="C1821" s="2">
        <v>28</v>
      </c>
      <c r="D1821" s="2" t="s">
        <v>12049</v>
      </c>
      <c r="E1821" s="2">
        <f>COUNTIF(Table16[customer_id],Table13[[#This Row],[customer_id]])</f>
        <v>7</v>
      </c>
      <c r="F1821" s="13">
        <f>SUMIFS(Table16[Purchase_history],Table16[customer_id],Table13[[#This Row],[customer_id]])</f>
        <v>16870.07</v>
      </c>
      <c r="G1821" s="20">
        <v>44461</v>
      </c>
      <c r="H1821" s="21">
        <v>44907</v>
      </c>
      <c r="I1821" s="15">
        <f>(Table134[[#This Row],[Last_Day]]-Table134[[#This Row],[First_Day]]+1)/365</f>
        <v>1.2246575342465753</v>
      </c>
      <c r="J1821" s="59">
        <f>Table134[[#This Row],[number_of_purchases]]/Table134[[#This Row],[customer_total_years]]</f>
        <v>5.7158836689038033</v>
      </c>
      <c r="K1821" s="13">
        <f>Table134[[#This Row],[purchase_history]]/Table134[[#This Row],[number_of_purchases]]</f>
        <v>2410.0099999999998</v>
      </c>
      <c r="L1821" s="2">
        <f>IF(YEAR(Table134[[#This Row],[Last_Day]])=2021,5,IF(YEAR(Table134[[#This Row],[Last_Day]])=2022,7,IF(YEAR(Table134[[#This Row],[Last_Day]])=2023,10,"Không xác định")))</f>
        <v>7</v>
      </c>
      <c r="M1821" s="15">
        <f>Table134[[#This Row],[avg_number_of_purchases]]*Table1345[[#This Row],[avg_purchase_value]]*Table1345[[#This Row],[expected_lifespan]]</f>
        <v>96427.357606263977</v>
      </c>
      <c r="N1821" t="s">
        <v>12047</v>
      </c>
    </row>
    <row r="1822" spans="1:14" x14ac:dyDescent="0.3">
      <c r="A1822" s="2" t="s">
        <v>1820</v>
      </c>
      <c r="B1822" s="2" t="s">
        <v>12045</v>
      </c>
      <c r="C1822" s="2">
        <v>25</v>
      </c>
      <c r="D1822" s="2" t="s">
        <v>12043</v>
      </c>
      <c r="E1822" s="2">
        <f>COUNTIF(Table16[customer_id],Table13[[#This Row],[customer_id]])</f>
        <v>5</v>
      </c>
      <c r="F1822" s="13">
        <f>SUMIFS(Table16[Purchase_history],Table16[customer_id],Table13[[#This Row],[customer_id]])</f>
        <v>11664.54</v>
      </c>
      <c r="G1822" s="20">
        <v>44319</v>
      </c>
      <c r="H1822" s="21">
        <v>44605</v>
      </c>
      <c r="I1822" s="15">
        <f>(Table134[[#This Row],[Last_Day]]-Table134[[#This Row],[First_Day]]+1)/365</f>
        <v>0.78630136986301369</v>
      </c>
      <c r="J1822" s="59">
        <f>Table134[[#This Row],[number_of_purchases]]/Table134[[#This Row],[customer_total_years]]</f>
        <v>6.3588850174216027</v>
      </c>
      <c r="K1822" s="13">
        <f>Table134[[#This Row],[purchase_history]]/Table134[[#This Row],[number_of_purchases]]</f>
        <v>2332.9080000000004</v>
      </c>
      <c r="L1822" s="2">
        <f>IF(YEAR(Table134[[#This Row],[Last_Day]])=2021,5,IF(YEAR(Table134[[#This Row],[Last_Day]])=2022,7,IF(YEAR(Table134[[#This Row],[Last_Day]])=2023,10,"Không xác định")))</f>
        <v>7</v>
      </c>
      <c r="M1822" s="15">
        <f>Table134[[#This Row],[avg_number_of_purchases]]*Table1345[[#This Row],[avg_purchase_value]]*Table1345[[#This Row],[expected_lifespan]]</f>
        <v>103842.85609756099</v>
      </c>
      <c r="N1822" t="s">
        <v>12042</v>
      </c>
    </row>
    <row r="1823" spans="1:14" x14ac:dyDescent="0.3">
      <c r="A1823" s="2" t="s">
        <v>1821</v>
      </c>
      <c r="B1823" s="2" t="s">
        <v>12040</v>
      </c>
      <c r="C1823" s="2">
        <v>39</v>
      </c>
      <c r="D1823" s="2" t="s">
        <v>12049</v>
      </c>
      <c r="E1823" s="2">
        <f>COUNTIF(Table16[customer_id],Table13[[#This Row],[customer_id]])</f>
        <v>3</v>
      </c>
      <c r="F1823" s="13">
        <f>SUMIFS(Table16[Purchase_history],Table16[customer_id],Table13[[#This Row],[customer_id]])</f>
        <v>547.71</v>
      </c>
      <c r="G1823" s="20">
        <v>44397</v>
      </c>
      <c r="H1823" s="21">
        <v>44713</v>
      </c>
      <c r="I1823" s="15">
        <f>(Table134[[#This Row],[Last_Day]]-Table134[[#This Row],[First_Day]]+1)/365</f>
        <v>0.86849315068493149</v>
      </c>
      <c r="J1823" s="59">
        <f>Table134[[#This Row],[number_of_purchases]]/Table134[[#This Row],[customer_total_years]]</f>
        <v>3.4542586750788642</v>
      </c>
      <c r="K1823" s="13">
        <f>Table134[[#This Row],[purchase_history]]/Table134[[#This Row],[number_of_purchases]]</f>
        <v>182.57000000000002</v>
      </c>
      <c r="L1823" s="2">
        <f>IF(YEAR(Table134[[#This Row],[Last_Day]])=2021,5,IF(YEAR(Table134[[#This Row],[Last_Day]])=2022,7,IF(YEAR(Table134[[#This Row],[Last_Day]])=2023,10,"Không xác định")))</f>
        <v>7</v>
      </c>
      <c r="M1823" s="15">
        <f>Table134[[#This Row],[avg_number_of_purchases]]*Table1345[[#This Row],[avg_purchase_value]]*Table1345[[#This Row],[expected_lifespan]]</f>
        <v>4414.5080441640375</v>
      </c>
      <c r="N1823" t="s">
        <v>12048</v>
      </c>
    </row>
    <row r="1824" spans="1:14" x14ac:dyDescent="0.3">
      <c r="A1824" s="2" t="s">
        <v>1822</v>
      </c>
      <c r="B1824" s="2" t="s">
        <v>12045</v>
      </c>
      <c r="C1824" s="2">
        <v>36</v>
      </c>
      <c r="D1824" s="2" t="s">
        <v>12043</v>
      </c>
      <c r="E1824" s="2">
        <f>COUNTIF(Table16[customer_id],Table13[[#This Row],[customer_id]])</f>
        <v>4</v>
      </c>
      <c r="F1824" s="13">
        <f>SUMIFS(Table16[Purchase_history],Table16[customer_id],Table13[[#This Row],[customer_id]])</f>
        <v>9917.7899999999991</v>
      </c>
      <c r="G1824" s="20">
        <v>44296</v>
      </c>
      <c r="H1824" s="21">
        <v>44667</v>
      </c>
      <c r="I1824" s="15">
        <f>(Table134[[#This Row],[Last_Day]]-Table134[[#This Row],[First_Day]]+1)/365</f>
        <v>1.0191780821917809</v>
      </c>
      <c r="J1824" s="59">
        <f>Table134[[#This Row],[number_of_purchases]]/Table134[[#This Row],[customer_total_years]]</f>
        <v>3.924731182795699</v>
      </c>
      <c r="K1824" s="13">
        <f>Table134[[#This Row],[purchase_history]]/Table134[[#This Row],[number_of_purchases]]</f>
        <v>2479.4474999999998</v>
      </c>
      <c r="L1824" s="2">
        <f>IF(YEAR(Table134[[#This Row],[Last_Day]])=2021,5,IF(YEAR(Table134[[#This Row],[Last_Day]])=2022,7,IF(YEAR(Table134[[#This Row],[Last_Day]])=2023,10,"Không xác định")))</f>
        <v>7</v>
      </c>
      <c r="M1824" s="15">
        <f>Table134[[#This Row],[avg_number_of_purchases]]*Table1345[[#This Row],[avg_purchase_value]]*Table1345[[#This Row],[expected_lifespan]]</f>
        <v>68118.15443548387</v>
      </c>
      <c r="N1824" t="s">
        <v>12042</v>
      </c>
    </row>
    <row r="1825" spans="1:14" x14ac:dyDescent="0.3">
      <c r="A1825" s="2" t="s">
        <v>1823</v>
      </c>
      <c r="B1825" s="2" t="s">
        <v>12045</v>
      </c>
      <c r="C1825" s="2">
        <v>69</v>
      </c>
      <c r="D1825" s="2" t="s">
        <v>12041</v>
      </c>
      <c r="E1825" s="2">
        <f>COUNTIF(Table16[customer_id],Table13[[#This Row],[customer_id]])</f>
        <v>8</v>
      </c>
      <c r="F1825" s="13">
        <f>SUMIFS(Table16[Purchase_history],Table16[customer_id],Table13[[#This Row],[customer_id]])</f>
        <v>25083.510000000002</v>
      </c>
      <c r="G1825" s="20">
        <v>44235</v>
      </c>
      <c r="H1825" s="21">
        <v>44887</v>
      </c>
      <c r="I1825" s="15">
        <f>(Table134[[#This Row],[Last_Day]]-Table134[[#This Row],[First_Day]]+1)/365</f>
        <v>1.789041095890411</v>
      </c>
      <c r="J1825" s="59">
        <f>Table134[[#This Row],[number_of_purchases]]/Table134[[#This Row],[customer_total_years]]</f>
        <v>4.4716692189892804</v>
      </c>
      <c r="K1825" s="13">
        <f>Table134[[#This Row],[purchase_history]]/Table134[[#This Row],[number_of_purchases]]</f>
        <v>3135.4387500000003</v>
      </c>
      <c r="L1825" s="2">
        <f>IF(YEAR(Table134[[#This Row],[Last_Day]])=2021,5,IF(YEAR(Table134[[#This Row],[Last_Day]])=2022,7,IF(YEAR(Table134[[#This Row],[Last_Day]])=2023,10,"Không xác định")))</f>
        <v>7</v>
      </c>
      <c r="M1825" s="15">
        <f>Table134[[#This Row],[avg_number_of_purchases]]*Table1345[[#This Row],[avg_purchase_value]]*Table1345[[#This Row],[expected_lifespan]]</f>
        <v>98144.514624808595</v>
      </c>
      <c r="N1825" t="s">
        <v>12042</v>
      </c>
    </row>
    <row r="1826" spans="1:14" x14ac:dyDescent="0.3">
      <c r="A1826" s="2" t="s">
        <v>1824</v>
      </c>
      <c r="B1826" s="2" t="s">
        <v>12040</v>
      </c>
      <c r="C1826" s="2">
        <v>44</v>
      </c>
      <c r="D1826" s="2" t="s">
        <v>12041</v>
      </c>
      <c r="E1826" s="2">
        <f>COUNTIF(Table16[customer_id],Table13[[#This Row],[customer_id]])</f>
        <v>3</v>
      </c>
      <c r="F1826" s="13">
        <f>SUMIFS(Table16[Purchase_history],Table16[customer_id],Table13[[#This Row],[customer_id]])</f>
        <v>15451.599999999999</v>
      </c>
      <c r="G1826" s="20">
        <v>44319</v>
      </c>
      <c r="H1826" s="21">
        <v>44775</v>
      </c>
      <c r="I1826" s="15">
        <f>(Table134[[#This Row],[Last_Day]]-Table134[[#This Row],[First_Day]]+1)/365</f>
        <v>1.252054794520548</v>
      </c>
      <c r="J1826" s="59">
        <f>Table134[[#This Row],[number_of_purchases]]/Table134[[#This Row],[customer_total_years]]</f>
        <v>2.3960612691466081</v>
      </c>
      <c r="K1826" s="13">
        <f>Table134[[#This Row],[purchase_history]]/Table134[[#This Row],[number_of_purchases]]</f>
        <v>5150.5333333333328</v>
      </c>
      <c r="L1826" s="2">
        <f>IF(YEAR(Table134[[#This Row],[Last_Day]])=2021,5,IF(YEAR(Table134[[#This Row],[Last_Day]])=2022,7,IF(YEAR(Table134[[#This Row],[Last_Day]])=2023,10,"Không xác định")))</f>
        <v>7</v>
      </c>
      <c r="M1826" s="15">
        <f>Table134[[#This Row],[avg_number_of_purchases]]*Table1345[[#This Row],[avg_purchase_value]]*Table1345[[#This Row],[expected_lifespan]]</f>
        <v>86386.954048140033</v>
      </c>
      <c r="N1826" t="s">
        <v>12048</v>
      </c>
    </row>
    <row r="1827" spans="1:14" x14ac:dyDescent="0.3">
      <c r="A1827" s="2" t="s">
        <v>1825</v>
      </c>
      <c r="B1827" s="2" t="s">
        <v>12040</v>
      </c>
      <c r="C1827" s="2">
        <v>60</v>
      </c>
      <c r="D1827" s="2" t="s">
        <v>12041</v>
      </c>
      <c r="E1827" s="2">
        <f>COUNTIF(Table16[customer_id],Table13[[#This Row],[customer_id]])</f>
        <v>8</v>
      </c>
      <c r="F1827" s="13">
        <f>SUMIFS(Table16[Purchase_history],Table16[customer_id],Table13[[#This Row],[customer_id]])</f>
        <v>17276.489999999998</v>
      </c>
      <c r="G1827" s="20">
        <v>44385</v>
      </c>
      <c r="H1827" s="21">
        <v>44910</v>
      </c>
      <c r="I1827" s="15">
        <f>(Table134[[#This Row],[Last_Day]]-Table134[[#This Row],[First_Day]]+1)/365</f>
        <v>1.441095890410959</v>
      </c>
      <c r="J1827" s="59">
        <f>Table134[[#This Row],[number_of_purchases]]/Table134[[#This Row],[customer_total_years]]</f>
        <v>5.5513307984790874</v>
      </c>
      <c r="K1827" s="13">
        <f>Table134[[#This Row],[purchase_history]]/Table134[[#This Row],[number_of_purchases]]</f>
        <v>2159.5612499999997</v>
      </c>
      <c r="L1827" s="2">
        <f>IF(YEAR(Table134[[#This Row],[Last_Day]])=2021,5,IF(YEAR(Table134[[#This Row],[Last_Day]])=2022,7,IF(YEAR(Table134[[#This Row],[Last_Day]])=2023,10,"Không xác định")))</f>
        <v>7</v>
      </c>
      <c r="M1827" s="15">
        <f>Table134[[#This Row],[avg_number_of_purchases]]*Table1345[[#This Row],[avg_purchase_value]]*Table1345[[#This Row],[expected_lifespan]]</f>
        <v>83919.072148288964</v>
      </c>
      <c r="N1827" t="s">
        <v>12047</v>
      </c>
    </row>
    <row r="1828" spans="1:14" x14ac:dyDescent="0.3">
      <c r="A1828" s="2" t="s">
        <v>1826</v>
      </c>
      <c r="B1828" s="2" t="s">
        <v>12040</v>
      </c>
      <c r="C1828" s="2">
        <v>40</v>
      </c>
      <c r="D1828" s="2" t="s">
        <v>12041</v>
      </c>
      <c r="E1828" s="2">
        <f>COUNTIF(Table16[customer_id],Table13[[#This Row],[customer_id]])</f>
        <v>8</v>
      </c>
      <c r="F1828" s="13">
        <f>SUMIFS(Table16[Purchase_history],Table16[customer_id],Table13[[#This Row],[customer_id]])</f>
        <v>52243.360000000001</v>
      </c>
      <c r="G1828" s="20">
        <v>44301</v>
      </c>
      <c r="H1828" s="21">
        <v>44972</v>
      </c>
      <c r="I1828" s="15">
        <f>(Table134[[#This Row],[Last_Day]]-Table134[[#This Row],[First_Day]]+1)/365</f>
        <v>1.8410958904109589</v>
      </c>
      <c r="J1828" s="59">
        <f>Table134[[#This Row],[number_of_purchases]]/Table134[[#This Row],[customer_total_years]]</f>
        <v>4.3452380952380949</v>
      </c>
      <c r="K1828" s="13">
        <f>Table134[[#This Row],[purchase_history]]/Table134[[#This Row],[number_of_purchases]]</f>
        <v>6530.42</v>
      </c>
      <c r="L1828" s="2">
        <f>IF(YEAR(Table134[[#This Row],[Last_Day]])=2021,5,IF(YEAR(Table134[[#This Row],[Last_Day]])=2022,7,IF(YEAR(Table134[[#This Row],[Last_Day]])=2023,10,"Không xác định")))</f>
        <v>10</v>
      </c>
      <c r="M1828" s="15">
        <f>Table134[[#This Row],[avg_number_of_purchases]]*Table1345[[#This Row],[avg_purchase_value]]*Table1345[[#This Row],[expected_lifespan]]</f>
        <v>283762.29761904757</v>
      </c>
      <c r="N1828" t="s">
        <v>12044</v>
      </c>
    </row>
    <row r="1829" spans="1:14" x14ac:dyDescent="0.3">
      <c r="A1829" s="2" t="s">
        <v>1827</v>
      </c>
      <c r="B1829" s="2" t="s">
        <v>12040</v>
      </c>
      <c r="C1829" s="2">
        <v>56</v>
      </c>
      <c r="D1829" s="2" t="s">
        <v>12043</v>
      </c>
      <c r="E1829" s="2">
        <f>COUNTIF(Table16[customer_id],Table13[[#This Row],[customer_id]])</f>
        <v>4</v>
      </c>
      <c r="F1829" s="13">
        <f>SUMIFS(Table16[Purchase_history],Table16[customer_id],Table13[[#This Row],[customer_id]])</f>
        <v>3469.48</v>
      </c>
      <c r="G1829" s="20">
        <v>44264</v>
      </c>
      <c r="H1829" s="21">
        <v>44748</v>
      </c>
      <c r="I1829" s="15">
        <f>(Table134[[#This Row],[Last_Day]]-Table134[[#This Row],[First_Day]]+1)/365</f>
        <v>1.3287671232876712</v>
      </c>
      <c r="J1829" s="59">
        <f>Table134[[#This Row],[number_of_purchases]]/Table134[[#This Row],[customer_total_years]]</f>
        <v>3.0103092783505154</v>
      </c>
      <c r="K1829" s="13">
        <f>Table134[[#This Row],[purchase_history]]/Table134[[#This Row],[number_of_purchases]]</f>
        <v>867.37</v>
      </c>
      <c r="L1829" s="2">
        <f>IF(YEAR(Table134[[#This Row],[Last_Day]])=2021,5,IF(YEAR(Table134[[#This Row],[Last_Day]])=2022,7,IF(YEAR(Table134[[#This Row],[Last_Day]])=2023,10,"Không xác định")))</f>
        <v>7</v>
      </c>
      <c r="M1829" s="15">
        <f>Table134[[#This Row],[avg_number_of_purchases]]*Table1345[[#This Row],[avg_purchase_value]]*Table1345[[#This Row],[expected_lifespan]]</f>
        <v>18277.363711340204</v>
      </c>
      <c r="N1829" t="s">
        <v>12042</v>
      </c>
    </row>
    <row r="1830" spans="1:14" x14ac:dyDescent="0.3">
      <c r="A1830" s="2" t="s">
        <v>1828</v>
      </c>
      <c r="B1830" s="2" t="s">
        <v>12045</v>
      </c>
      <c r="C1830" s="2">
        <v>31</v>
      </c>
      <c r="D1830" s="2" t="s">
        <v>12043</v>
      </c>
      <c r="E1830" s="2">
        <f>COUNTIF(Table16[customer_id],Table13[[#This Row],[customer_id]])</f>
        <v>5</v>
      </c>
      <c r="F1830" s="13">
        <f>SUMIFS(Table16[Purchase_history],Table16[customer_id],Table13[[#This Row],[customer_id]])</f>
        <v>10144.030000000001</v>
      </c>
      <c r="G1830" s="20">
        <v>44300</v>
      </c>
      <c r="H1830" s="21">
        <v>44833</v>
      </c>
      <c r="I1830" s="15">
        <f>(Table134[[#This Row],[Last_Day]]-Table134[[#This Row],[First_Day]]+1)/365</f>
        <v>1.463013698630137</v>
      </c>
      <c r="J1830" s="59">
        <f>Table134[[#This Row],[number_of_purchases]]/Table134[[#This Row],[customer_total_years]]</f>
        <v>3.4176029962546819</v>
      </c>
      <c r="K1830" s="13">
        <f>Table134[[#This Row],[purchase_history]]/Table134[[#This Row],[number_of_purchases]]</f>
        <v>2028.806</v>
      </c>
      <c r="L1830" s="2">
        <f>IF(YEAR(Table134[[#This Row],[Last_Day]])=2021,5,IF(YEAR(Table134[[#This Row],[Last_Day]])=2022,7,IF(YEAR(Table134[[#This Row],[Last_Day]])=2023,10,"Không xác định")))</f>
        <v>7</v>
      </c>
      <c r="M1830" s="15">
        <f>Table134[[#This Row],[avg_number_of_purchases]]*Table1345[[#This Row],[avg_purchase_value]]*Table1345[[#This Row],[expected_lifespan]]</f>
        <v>48535.574250936334</v>
      </c>
      <c r="N1830" t="s">
        <v>12048</v>
      </c>
    </row>
    <row r="1831" spans="1:14" x14ac:dyDescent="0.3">
      <c r="A1831" s="2" t="s">
        <v>1829</v>
      </c>
      <c r="B1831" s="2" t="s">
        <v>12045</v>
      </c>
      <c r="C1831" s="2">
        <v>34</v>
      </c>
      <c r="D1831" s="2" t="s">
        <v>12043</v>
      </c>
      <c r="E1831" s="2">
        <f>COUNTIF(Table16[customer_id],Table13[[#This Row],[customer_id]])</f>
        <v>3</v>
      </c>
      <c r="F1831" s="13">
        <f>SUMIFS(Table16[Purchase_history],Table16[customer_id],Table13[[#This Row],[customer_id]])</f>
        <v>6622.7699999999995</v>
      </c>
      <c r="G1831" s="20">
        <v>44601</v>
      </c>
      <c r="H1831" s="21">
        <v>44967</v>
      </c>
      <c r="I1831" s="15">
        <f>(Table134[[#This Row],[Last_Day]]-Table134[[#This Row],[First_Day]]+1)/365</f>
        <v>1.0054794520547945</v>
      </c>
      <c r="J1831" s="59">
        <f>Table134[[#This Row],[number_of_purchases]]/Table134[[#This Row],[customer_total_years]]</f>
        <v>2.9836512261580381</v>
      </c>
      <c r="K1831" s="13">
        <f>Table134[[#This Row],[purchase_history]]/Table134[[#This Row],[number_of_purchases]]</f>
        <v>2207.5899999999997</v>
      </c>
      <c r="L1831" s="2">
        <f>IF(YEAR(Table134[[#This Row],[Last_Day]])=2021,5,IF(YEAR(Table134[[#This Row],[Last_Day]])=2022,7,IF(YEAR(Table134[[#This Row],[Last_Day]])=2023,10,"Không xác định")))</f>
        <v>10</v>
      </c>
      <c r="M1831" s="15">
        <f>Table134[[#This Row],[avg_number_of_purchases]]*Table1345[[#This Row],[avg_purchase_value]]*Table1345[[#This Row],[expected_lifespan]]</f>
        <v>65866.786103542225</v>
      </c>
      <c r="N1831" t="s">
        <v>12044</v>
      </c>
    </row>
    <row r="1832" spans="1:14" x14ac:dyDescent="0.3">
      <c r="A1832" s="2" t="s">
        <v>1830</v>
      </c>
      <c r="B1832" s="2" t="s">
        <v>12045</v>
      </c>
      <c r="C1832" s="2">
        <v>28</v>
      </c>
      <c r="D1832" s="2" t="s">
        <v>12043</v>
      </c>
      <c r="E1832" s="2">
        <f>COUNTIF(Table16[customer_id],Table13[[#This Row],[customer_id]])</f>
        <v>3</v>
      </c>
      <c r="F1832" s="13">
        <f>SUMIFS(Table16[Purchase_history],Table16[customer_id],Table13[[#This Row],[customer_id]])</f>
        <v>4170.16</v>
      </c>
      <c r="G1832" s="20">
        <v>44279</v>
      </c>
      <c r="H1832" s="21">
        <v>44885</v>
      </c>
      <c r="I1832" s="15">
        <f>(Table134[[#This Row],[Last_Day]]-Table134[[#This Row],[First_Day]]+1)/365</f>
        <v>1.6630136986301369</v>
      </c>
      <c r="J1832" s="59">
        <f>Table134[[#This Row],[number_of_purchases]]/Table134[[#This Row],[customer_total_years]]</f>
        <v>1.8039538714991763</v>
      </c>
      <c r="K1832" s="13">
        <f>Table134[[#This Row],[purchase_history]]/Table134[[#This Row],[number_of_purchases]]</f>
        <v>1390.0533333333333</v>
      </c>
      <c r="L1832" s="2">
        <f>IF(YEAR(Table134[[#This Row],[Last_Day]])=2021,5,IF(YEAR(Table134[[#This Row],[Last_Day]])=2022,7,IF(YEAR(Table134[[#This Row],[Last_Day]])=2023,10,"Không xác định")))</f>
        <v>7</v>
      </c>
      <c r="M1832" s="15">
        <f>Table134[[#This Row],[avg_number_of_purchases]]*Table1345[[#This Row],[avg_purchase_value]]*Table1345[[#This Row],[expected_lifespan]]</f>
        <v>17553.144645799013</v>
      </c>
      <c r="N1832" t="s">
        <v>12046</v>
      </c>
    </row>
    <row r="1833" spans="1:14" x14ac:dyDescent="0.3">
      <c r="A1833" s="2" t="s">
        <v>1831</v>
      </c>
      <c r="B1833" s="2" t="s">
        <v>12040</v>
      </c>
      <c r="C1833" s="2">
        <v>69</v>
      </c>
      <c r="D1833" s="2" t="s">
        <v>12041</v>
      </c>
      <c r="E1833" s="2">
        <f>COUNTIF(Table16[customer_id],Table13[[#This Row],[customer_id]])</f>
        <v>3</v>
      </c>
      <c r="F1833" s="13">
        <f>SUMIFS(Table16[Purchase_history],Table16[customer_id],Table13[[#This Row],[customer_id]])</f>
        <v>3600.96</v>
      </c>
      <c r="G1833" s="20">
        <v>44394</v>
      </c>
      <c r="H1833" s="21">
        <v>44880</v>
      </c>
      <c r="I1833" s="15">
        <f>(Table134[[#This Row],[Last_Day]]-Table134[[#This Row],[First_Day]]+1)/365</f>
        <v>1.3342465753424657</v>
      </c>
      <c r="J1833" s="59">
        <f>Table134[[#This Row],[number_of_purchases]]/Table134[[#This Row],[customer_total_years]]</f>
        <v>2.248459958932238</v>
      </c>
      <c r="K1833" s="13">
        <f>Table134[[#This Row],[purchase_history]]/Table134[[#This Row],[number_of_purchases]]</f>
        <v>1200.32</v>
      </c>
      <c r="L1833" s="2">
        <f>IF(YEAR(Table134[[#This Row],[Last_Day]])=2021,5,IF(YEAR(Table134[[#This Row],[Last_Day]])=2022,7,IF(YEAR(Table134[[#This Row],[Last_Day]])=2023,10,"Không xác định")))</f>
        <v>7</v>
      </c>
      <c r="M1833" s="15">
        <f>Table134[[#This Row],[avg_number_of_purchases]]*Table1345[[#This Row],[avg_purchase_value]]*Table1345[[#This Row],[expected_lifespan]]</f>
        <v>18892.100205338807</v>
      </c>
      <c r="N1833" t="s">
        <v>12047</v>
      </c>
    </row>
    <row r="1834" spans="1:14" x14ac:dyDescent="0.3">
      <c r="A1834" s="2" t="s">
        <v>1832</v>
      </c>
      <c r="B1834" s="2" t="s">
        <v>12040</v>
      </c>
      <c r="C1834" s="2">
        <v>39</v>
      </c>
      <c r="D1834" s="2" t="s">
        <v>12049</v>
      </c>
      <c r="E1834" s="2">
        <f>COUNTIF(Table16[customer_id],Table13[[#This Row],[customer_id]])</f>
        <v>4</v>
      </c>
      <c r="F1834" s="13">
        <f>SUMIFS(Table16[Purchase_history],Table16[customer_id],Table13[[#This Row],[customer_id]])</f>
        <v>3350.6600000000003</v>
      </c>
      <c r="G1834" s="20">
        <v>44387</v>
      </c>
      <c r="H1834" s="21">
        <v>44970</v>
      </c>
      <c r="I1834" s="15">
        <f>(Table134[[#This Row],[Last_Day]]-Table134[[#This Row],[First_Day]]+1)/365</f>
        <v>1.6</v>
      </c>
      <c r="J1834" s="59">
        <f>Table134[[#This Row],[number_of_purchases]]/Table134[[#This Row],[customer_total_years]]</f>
        <v>2.5</v>
      </c>
      <c r="K1834" s="13">
        <f>Table134[[#This Row],[purchase_history]]/Table134[[#This Row],[number_of_purchases]]</f>
        <v>837.66500000000008</v>
      </c>
      <c r="L1834" s="2">
        <f>IF(YEAR(Table134[[#This Row],[Last_Day]])=2021,5,IF(YEAR(Table134[[#This Row],[Last_Day]])=2022,7,IF(YEAR(Table134[[#This Row],[Last_Day]])=2023,10,"Không xác định")))</f>
        <v>10</v>
      </c>
      <c r="M1834" s="15">
        <f>Table134[[#This Row],[avg_number_of_purchases]]*Table1345[[#This Row],[avg_purchase_value]]*Table1345[[#This Row],[expected_lifespan]]</f>
        <v>20941.625000000004</v>
      </c>
      <c r="N1834" t="s">
        <v>12047</v>
      </c>
    </row>
    <row r="1835" spans="1:14" x14ac:dyDescent="0.3">
      <c r="A1835" s="2" t="s">
        <v>1833</v>
      </c>
      <c r="B1835" s="2" t="s">
        <v>12040</v>
      </c>
      <c r="C1835" s="2">
        <v>30</v>
      </c>
      <c r="D1835" s="2" t="s">
        <v>12049</v>
      </c>
      <c r="E1835" s="2">
        <f>COUNTIF(Table16[customer_id],Table13[[#This Row],[customer_id]])</f>
        <v>3</v>
      </c>
      <c r="F1835" s="13">
        <f>SUMIFS(Table16[Purchase_history],Table16[customer_id],Table13[[#This Row],[customer_id]])</f>
        <v>4194.29</v>
      </c>
      <c r="G1835" s="20">
        <v>44255</v>
      </c>
      <c r="H1835" s="21">
        <v>44860</v>
      </c>
      <c r="I1835" s="15">
        <f>(Table134[[#This Row],[Last_Day]]-Table134[[#This Row],[First_Day]]+1)/365</f>
        <v>1.6602739726027398</v>
      </c>
      <c r="J1835" s="59">
        <f>Table134[[#This Row],[number_of_purchases]]/Table134[[#This Row],[customer_total_years]]</f>
        <v>1.8069306930693068</v>
      </c>
      <c r="K1835" s="13">
        <f>Table134[[#This Row],[purchase_history]]/Table134[[#This Row],[number_of_purchases]]</f>
        <v>1398.0966666666666</v>
      </c>
      <c r="L1835" s="2">
        <f>IF(YEAR(Table134[[#This Row],[Last_Day]])=2021,5,IF(YEAR(Table134[[#This Row],[Last_Day]])=2022,7,IF(YEAR(Table134[[#This Row],[Last_Day]])=2023,10,"Không xác định")))</f>
        <v>7</v>
      </c>
      <c r="M1835" s="15">
        <f>Table134[[#This Row],[avg_number_of_purchases]]*Table1345[[#This Row],[avg_purchase_value]]*Table1345[[#This Row],[expected_lifespan]]</f>
        <v>17683.846452145212</v>
      </c>
      <c r="N1835" t="s">
        <v>12044</v>
      </c>
    </row>
    <row r="1836" spans="1:14" x14ac:dyDescent="0.3">
      <c r="A1836" s="2" t="s">
        <v>1834</v>
      </c>
      <c r="B1836" s="2" t="s">
        <v>12040</v>
      </c>
      <c r="C1836" s="2">
        <v>20</v>
      </c>
      <c r="D1836" s="2" t="s">
        <v>12043</v>
      </c>
      <c r="E1836" s="2">
        <f>COUNTIF(Table16[customer_id],Table13[[#This Row],[customer_id]])</f>
        <v>3</v>
      </c>
      <c r="F1836" s="13">
        <f>SUMIFS(Table16[Purchase_history],Table16[customer_id],Table13[[#This Row],[customer_id]])</f>
        <v>2424.3199999999997</v>
      </c>
      <c r="G1836" s="20">
        <v>44265</v>
      </c>
      <c r="H1836" s="21">
        <v>44631</v>
      </c>
      <c r="I1836" s="15">
        <f>(Table134[[#This Row],[Last_Day]]-Table134[[#This Row],[First_Day]]+1)/365</f>
        <v>1.0054794520547945</v>
      </c>
      <c r="J1836" s="59">
        <f>Table134[[#This Row],[number_of_purchases]]/Table134[[#This Row],[customer_total_years]]</f>
        <v>2.9836512261580381</v>
      </c>
      <c r="K1836" s="13">
        <f>Table134[[#This Row],[purchase_history]]/Table134[[#This Row],[number_of_purchases]]</f>
        <v>808.10666666666657</v>
      </c>
      <c r="L1836" s="2">
        <f>IF(YEAR(Table134[[#This Row],[Last_Day]])=2021,5,IF(YEAR(Table134[[#This Row],[Last_Day]])=2022,7,IF(YEAR(Table134[[#This Row],[Last_Day]])=2023,10,"Không xác định")))</f>
        <v>7</v>
      </c>
      <c r="M1836" s="15">
        <f>Table134[[#This Row],[avg_number_of_purchases]]*Table1345[[#This Row],[avg_purchase_value]]*Table1345[[#This Row],[expected_lifespan]]</f>
        <v>16877.759128065394</v>
      </c>
      <c r="N1836" t="s">
        <v>12047</v>
      </c>
    </row>
    <row r="1837" spans="1:14" x14ac:dyDescent="0.3">
      <c r="A1837" s="2" t="s">
        <v>1835</v>
      </c>
      <c r="B1837" s="2" t="s">
        <v>12040</v>
      </c>
      <c r="C1837" s="2">
        <v>57</v>
      </c>
      <c r="D1837" s="2" t="s">
        <v>12043</v>
      </c>
      <c r="E1837" s="2">
        <f>COUNTIF(Table16[customer_id],Table13[[#This Row],[customer_id]])</f>
        <v>3</v>
      </c>
      <c r="F1837" s="13">
        <f>SUMIFS(Table16[Purchase_history],Table16[customer_id],Table13[[#This Row],[customer_id]])</f>
        <v>1175.0100000000002</v>
      </c>
      <c r="G1837" s="20">
        <v>44431</v>
      </c>
      <c r="H1837" s="21">
        <v>44962</v>
      </c>
      <c r="I1837" s="15">
        <f>(Table134[[#This Row],[Last_Day]]-Table134[[#This Row],[First_Day]]+1)/365</f>
        <v>1.4575342465753425</v>
      </c>
      <c r="J1837" s="59">
        <f>Table134[[#This Row],[number_of_purchases]]/Table134[[#This Row],[customer_total_years]]</f>
        <v>2.0582706766917291</v>
      </c>
      <c r="K1837" s="13">
        <f>Table134[[#This Row],[purchase_history]]/Table134[[#This Row],[number_of_purchases]]</f>
        <v>391.67000000000007</v>
      </c>
      <c r="L1837" s="2">
        <f>IF(YEAR(Table134[[#This Row],[Last_Day]])=2021,5,IF(YEAR(Table134[[#This Row],[Last_Day]])=2022,7,IF(YEAR(Table134[[#This Row],[Last_Day]])=2023,10,"Không xác định")))</f>
        <v>10</v>
      </c>
      <c r="M1837" s="15">
        <f>Table134[[#This Row],[avg_number_of_purchases]]*Table1345[[#This Row],[avg_purchase_value]]*Table1345[[#This Row],[expected_lifespan]]</f>
        <v>8061.628759398498</v>
      </c>
      <c r="N1837" t="s">
        <v>12048</v>
      </c>
    </row>
    <row r="1838" spans="1:14" x14ac:dyDescent="0.3">
      <c r="A1838" s="2" t="s">
        <v>1836</v>
      </c>
      <c r="B1838" s="2" t="s">
        <v>12040</v>
      </c>
      <c r="C1838" s="2">
        <v>68</v>
      </c>
      <c r="D1838" s="2" t="s">
        <v>12041</v>
      </c>
      <c r="E1838" s="2">
        <f>COUNTIF(Table16[customer_id],Table13[[#This Row],[customer_id]])</f>
        <v>8</v>
      </c>
      <c r="F1838" s="13">
        <f>SUMIFS(Table16[Purchase_history],Table16[customer_id],Table13[[#This Row],[customer_id]])</f>
        <v>16797.66</v>
      </c>
      <c r="G1838" s="20">
        <v>44284</v>
      </c>
      <c r="H1838" s="21">
        <v>44884</v>
      </c>
      <c r="I1838" s="15">
        <f>(Table134[[#This Row],[Last_Day]]-Table134[[#This Row],[First_Day]]+1)/365</f>
        <v>1.6465753424657534</v>
      </c>
      <c r="J1838" s="59">
        <f>Table134[[#This Row],[number_of_purchases]]/Table134[[#This Row],[customer_total_years]]</f>
        <v>4.858569051580699</v>
      </c>
      <c r="K1838" s="13">
        <f>Table134[[#This Row],[purchase_history]]/Table134[[#This Row],[number_of_purchases]]</f>
        <v>2099.7075</v>
      </c>
      <c r="L1838" s="2">
        <f>IF(YEAR(Table134[[#This Row],[Last_Day]])=2021,5,IF(YEAR(Table134[[#This Row],[Last_Day]])=2022,7,IF(YEAR(Table134[[#This Row],[Last_Day]])=2023,10,"Không xác định")))</f>
        <v>7</v>
      </c>
      <c r="M1838" s="15">
        <f>Table134[[#This Row],[avg_number_of_purchases]]*Table1345[[#This Row],[avg_purchase_value]]*Table1345[[#This Row],[expected_lifespan]]</f>
        <v>71411.017138103169</v>
      </c>
      <c r="N1838" t="s">
        <v>12044</v>
      </c>
    </row>
    <row r="1839" spans="1:14" x14ac:dyDescent="0.3">
      <c r="A1839" s="2" t="s">
        <v>1837</v>
      </c>
      <c r="B1839" s="2" t="s">
        <v>12040</v>
      </c>
      <c r="C1839" s="2">
        <v>63</v>
      </c>
      <c r="D1839" s="2" t="s">
        <v>12041</v>
      </c>
      <c r="E1839" s="2">
        <f>COUNTIF(Table16[customer_id],Table13[[#This Row],[customer_id]])</f>
        <v>6</v>
      </c>
      <c r="F1839" s="13">
        <f>SUMIFS(Table16[Purchase_history],Table16[customer_id],Table13[[#This Row],[customer_id]])</f>
        <v>21453.360000000001</v>
      </c>
      <c r="G1839" s="20">
        <v>44258</v>
      </c>
      <c r="H1839" s="21">
        <v>44911</v>
      </c>
      <c r="I1839" s="15">
        <f>(Table134[[#This Row],[Last_Day]]-Table134[[#This Row],[First_Day]]+1)/365</f>
        <v>1.7917808219178082</v>
      </c>
      <c r="J1839" s="59">
        <f>Table134[[#This Row],[number_of_purchases]]/Table134[[#This Row],[customer_total_years]]</f>
        <v>3.3486238532110093</v>
      </c>
      <c r="K1839" s="13">
        <f>Table134[[#This Row],[purchase_history]]/Table134[[#This Row],[number_of_purchases]]</f>
        <v>3575.56</v>
      </c>
      <c r="L1839" s="2">
        <f>IF(YEAR(Table134[[#This Row],[Last_Day]])=2021,5,IF(YEAR(Table134[[#This Row],[Last_Day]])=2022,7,IF(YEAR(Table134[[#This Row],[Last_Day]])=2023,10,"Không xác định")))</f>
        <v>7</v>
      </c>
      <c r="M1839" s="15">
        <f>Table134[[#This Row],[avg_number_of_purchases]]*Table1345[[#This Row],[avg_purchase_value]]*Table1345[[#This Row],[expected_lifespan]]</f>
        <v>83812.4385321101</v>
      </c>
      <c r="N1839" t="s">
        <v>12048</v>
      </c>
    </row>
    <row r="1840" spans="1:14" x14ac:dyDescent="0.3">
      <c r="A1840" s="2" t="s">
        <v>1838</v>
      </c>
      <c r="B1840" s="2" t="s">
        <v>12045</v>
      </c>
      <c r="C1840" s="2">
        <v>64</v>
      </c>
      <c r="D1840" s="2" t="s">
        <v>12049</v>
      </c>
      <c r="E1840" s="2">
        <f>COUNTIF(Table16[customer_id],Table13[[#This Row],[customer_id]])</f>
        <v>3</v>
      </c>
      <c r="F1840" s="13">
        <f>SUMIFS(Table16[Purchase_history],Table16[customer_id],Table13[[#This Row],[customer_id]])</f>
        <v>17858.64</v>
      </c>
      <c r="G1840" s="20">
        <v>44217</v>
      </c>
      <c r="H1840" s="21">
        <v>44613</v>
      </c>
      <c r="I1840" s="15">
        <f>(Table134[[#This Row],[Last_Day]]-Table134[[#This Row],[First_Day]]+1)/365</f>
        <v>1.0876712328767124</v>
      </c>
      <c r="J1840" s="59">
        <f>Table134[[#This Row],[number_of_purchases]]/Table134[[#This Row],[customer_total_years]]</f>
        <v>2.7581863979848866</v>
      </c>
      <c r="K1840" s="13">
        <f>Table134[[#This Row],[purchase_history]]/Table134[[#This Row],[number_of_purchases]]</f>
        <v>5952.88</v>
      </c>
      <c r="L1840" s="2">
        <f>IF(YEAR(Table134[[#This Row],[Last_Day]])=2021,5,IF(YEAR(Table134[[#This Row],[Last_Day]])=2022,7,IF(YEAR(Table134[[#This Row],[Last_Day]])=2023,10,"Không xác định")))</f>
        <v>7</v>
      </c>
      <c r="M1840" s="15">
        <f>Table134[[#This Row],[avg_number_of_purchases]]*Table1345[[#This Row],[avg_purchase_value]]*Table1345[[#This Row],[expected_lifespan]]</f>
        <v>114934.0685138539</v>
      </c>
      <c r="N1840" t="s">
        <v>12046</v>
      </c>
    </row>
    <row r="1841" spans="1:14" x14ac:dyDescent="0.3">
      <c r="A1841" s="2" t="s">
        <v>1839</v>
      </c>
      <c r="B1841" s="2" t="s">
        <v>12045</v>
      </c>
      <c r="C1841" s="2">
        <v>67</v>
      </c>
      <c r="D1841" s="2" t="s">
        <v>12043</v>
      </c>
      <c r="E1841" s="2">
        <f>COUNTIF(Table16[customer_id],Table13[[#This Row],[customer_id]])</f>
        <v>6</v>
      </c>
      <c r="F1841" s="13">
        <f>SUMIFS(Table16[Purchase_history],Table16[customer_id],Table13[[#This Row],[customer_id]])</f>
        <v>30018.080000000002</v>
      </c>
      <c r="G1841" s="20">
        <v>44259</v>
      </c>
      <c r="H1841" s="21">
        <v>44938</v>
      </c>
      <c r="I1841" s="15">
        <f>(Table134[[#This Row],[Last_Day]]-Table134[[#This Row],[First_Day]]+1)/365</f>
        <v>1.8630136986301369</v>
      </c>
      <c r="J1841" s="59">
        <f>Table134[[#This Row],[number_of_purchases]]/Table134[[#This Row],[customer_total_years]]</f>
        <v>3.2205882352941178</v>
      </c>
      <c r="K1841" s="13">
        <f>Table134[[#This Row],[purchase_history]]/Table134[[#This Row],[number_of_purchases]]</f>
        <v>5003.0133333333333</v>
      </c>
      <c r="L1841" s="2">
        <f>IF(YEAR(Table134[[#This Row],[Last_Day]])=2021,5,IF(YEAR(Table134[[#This Row],[Last_Day]])=2022,7,IF(YEAR(Table134[[#This Row],[Last_Day]])=2023,10,"Không xác định")))</f>
        <v>10</v>
      </c>
      <c r="M1841" s="15">
        <f>Table134[[#This Row],[avg_number_of_purchases]]*Table1345[[#This Row],[avg_purchase_value]]*Table1345[[#This Row],[expected_lifespan]]</f>
        <v>161126.45882352942</v>
      </c>
      <c r="N1841" t="s">
        <v>12042</v>
      </c>
    </row>
    <row r="1842" spans="1:14" x14ac:dyDescent="0.3">
      <c r="A1842" s="2" t="s">
        <v>1840</v>
      </c>
      <c r="B1842" s="2" t="s">
        <v>12040</v>
      </c>
      <c r="C1842" s="2">
        <v>48</v>
      </c>
      <c r="D1842" s="2" t="s">
        <v>12049</v>
      </c>
      <c r="E1842" s="2">
        <f>COUNTIF(Table16[customer_id],Table13[[#This Row],[customer_id]])</f>
        <v>6</v>
      </c>
      <c r="F1842" s="13">
        <f>SUMIFS(Table16[Purchase_history],Table16[customer_id],Table13[[#This Row],[customer_id]])</f>
        <v>8211.0399999999991</v>
      </c>
      <c r="G1842" s="20">
        <v>44294</v>
      </c>
      <c r="H1842" s="21">
        <v>44930</v>
      </c>
      <c r="I1842" s="15">
        <f>(Table134[[#This Row],[Last_Day]]-Table134[[#This Row],[First_Day]]+1)/365</f>
        <v>1.7452054794520548</v>
      </c>
      <c r="J1842" s="59">
        <f>Table134[[#This Row],[number_of_purchases]]/Table134[[#This Row],[customer_total_years]]</f>
        <v>3.4379905808477238</v>
      </c>
      <c r="K1842" s="13">
        <f>Table134[[#This Row],[purchase_history]]/Table134[[#This Row],[number_of_purchases]]</f>
        <v>1368.5066666666664</v>
      </c>
      <c r="L1842" s="2">
        <f>IF(YEAR(Table134[[#This Row],[Last_Day]])=2021,5,IF(YEAR(Table134[[#This Row],[Last_Day]])=2022,7,IF(YEAR(Table134[[#This Row],[Last_Day]])=2023,10,"Không xác định")))</f>
        <v>10</v>
      </c>
      <c r="M1842" s="15">
        <f>Table134[[#This Row],[avg_number_of_purchases]]*Table1345[[#This Row],[avg_purchase_value]]*Table1345[[#This Row],[expected_lifespan]]</f>
        <v>47049.13029827315</v>
      </c>
      <c r="N1842" t="s">
        <v>12044</v>
      </c>
    </row>
    <row r="1843" spans="1:14" x14ac:dyDescent="0.3">
      <c r="A1843" s="2" t="s">
        <v>1841</v>
      </c>
      <c r="B1843" s="2" t="s">
        <v>12040</v>
      </c>
      <c r="C1843" s="2">
        <v>48</v>
      </c>
      <c r="D1843" s="2" t="s">
        <v>12041</v>
      </c>
      <c r="E1843" s="2">
        <f>COUNTIF(Table16[customer_id],Table13[[#This Row],[customer_id]])</f>
        <v>2</v>
      </c>
      <c r="F1843" s="13">
        <f>SUMIFS(Table16[Purchase_history],Table16[customer_id],Table13[[#This Row],[customer_id]])</f>
        <v>4850.5599999999995</v>
      </c>
      <c r="G1843" s="20">
        <v>44453</v>
      </c>
      <c r="H1843" s="21">
        <v>44526</v>
      </c>
      <c r="I1843" s="15">
        <f>(Table134[[#This Row],[Last_Day]]-Table134[[#This Row],[First_Day]]+1)/365</f>
        <v>0.20273972602739726</v>
      </c>
      <c r="J1843" s="59">
        <f>Table134[[#This Row],[number_of_purchases]]/Table134[[#This Row],[customer_total_years]]</f>
        <v>9.8648648648648649</v>
      </c>
      <c r="K1843" s="13">
        <f>Table134[[#This Row],[purchase_history]]/Table134[[#This Row],[number_of_purchases]]</f>
        <v>2425.2799999999997</v>
      </c>
      <c r="L1843" s="2">
        <f>IF(YEAR(Table134[[#This Row],[Last_Day]])=2021,5,IF(YEAR(Table134[[#This Row],[Last_Day]])=2022,7,IF(YEAR(Table134[[#This Row],[Last_Day]])=2023,10,"Không xác định")))</f>
        <v>5</v>
      </c>
      <c r="M1843" s="15">
        <f>Table134[[#This Row],[avg_number_of_purchases]]*Table1345[[#This Row],[avg_purchase_value]]*Table1345[[#This Row],[expected_lifespan]]</f>
        <v>119625.29729729729</v>
      </c>
      <c r="N1843" t="s">
        <v>12042</v>
      </c>
    </row>
    <row r="1844" spans="1:14" x14ac:dyDescent="0.3">
      <c r="A1844" s="2" t="s">
        <v>1842</v>
      </c>
      <c r="B1844" s="2" t="s">
        <v>12040</v>
      </c>
      <c r="C1844" s="2">
        <v>26</v>
      </c>
      <c r="D1844" s="2" t="s">
        <v>12043</v>
      </c>
      <c r="E1844" s="2">
        <f>COUNTIF(Table16[customer_id],Table13[[#This Row],[customer_id]])</f>
        <v>5</v>
      </c>
      <c r="F1844" s="13">
        <f>SUMIFS(Table16[Purchase_history],Table16[customer_id],Table13[[#This Row],[customer_id]])</f>
        <v>9563.27</v>
      </c>
      <c r="G1844" s="20">
        <v>44422</v>
      </c>
      <c r="H1844" s="21">
        <v>44956</v>
      </c>
      <c r="I1844" s="15">
        <f>(Table134[[#This Row],[Last_Day]]-Table134[[#This Row],[First_Day]]+1)/365</f>
        <v>1.4657534246575343</v>
      </c>
      <c r="J1844" s="59">
        <f>Table134[[#This Row],[number_of_purchases]]/Table134[[#This Row],[customer_total_years]]</f>
        <v>3.4112149532710276</v>
      </c>
      <c r="K1844" s="13">
        <f>Table134[[#This Row],[purchase_history]]/Table134[[#This Row],[number_of_purchases]]</f>
        <v>1912.654</v>
      </c>
      <c r="L1844" s="2">
        <f>IF(YEAR(Table134[[#This Row],[Last_Day]])=2021,5,IF(YEAR(Table134[[#This Row],[Last_Day]])=2022,7,IF(YEAR(Table134[[#This Row],[Last_Day]])=2023,10,"Không xác định")))</f>
        <v>10</v>
      </c>
      <c r="M1844" s="15">
        <f>Table134[[#This Row],[avg_number_of_purchases]]*Table1345[[#This Row],[avg_purchase_value]]*Table1345[[#This Row],[expected_lifespan]]</f>
        <v>65244.73925233644</v>
      </c>
      <c r="N1844" t="s">
        <v>12044</v>
      </c>
    </row>
    <row r="1845" spans="1:14" x14ac:dyDescent="0.3">
      <c r="A1845" s="2" t="s">
        <v>1843</v>
      </c>
      <c r="B1845" s="2" t="s">
        <v>12040</v>
      </c>
      <c r="C1845" s="2">
        <v>18</v>
      </c>
      <c r="D1845" s="2" t="s">
        <v>12049</v>
      </c>
      <c r="E1845" s="2">
        <f>COUNTIF(Table16[customer_id],Table13[[#This Row],[customer_id]])</f>
        <v>4</v>
      </c>
      <c r="F1845" s="13">
        <f>SUMIFS(Table16[Purchase_history],Table16[customer_id],Table13[[#This Row],[customer_id]])</f>
        <v>8680.84</v>
      </c>
      <c r="G1845" s="20">
        <v>44322</v>
      </c>
      <c r="H1845" s="21">
        <v>44727</v>
      </c>
      <c r="I1845" s="15">
        <f>(Table134[[#This Row],[Last_Day]]-Table134[[#This Row],[First_Day]]+1)/365</f>
        <v>1.1123287671232878</v>
      </c>
      <c r="J1845" s="59">
        <f>Table134[[#This Row],[number_of_purchases]]/Table134[[#This Row],[customer_total_years]]</f>
        <v>3.5960591133004924</v>
      </c>
      <c r="K1845" s="13">
        <f>Table134[[#This Row],[purchase_history]]/Table134[[#This Row],[number_of_purchases]]</f>
        <v>2170.21</v>
      </c>
      <c r="L1845" s="2">
        <f>IF(YEAR(Table134[[#This Row],[Last_Day]])=2021,5,IF(YEAR(Table134[[#This Row],[Last_Day]])=2022,7,IF(YEAR(Table134[[#This Row],[Last_Day]])=2023,10,"Không xác định")))</f>
        <v>7</v>
      </c>
      <c r="M1845" s="15">
        <f>Table134[[#This Row],[avg_number_of_purchases]]*Table1345[[#This Row],[avg_purchase_value]]*Table1345[[#This Row],[expected_lifespan]]</f>
        <v>54629.424137931033</v>
      </c>
      <c r="N1845" t="s">
        <v>12047</v>
      </c>
    </row>
    <row r="1846" spans="1:14" x14ac:dyDescent="0.3">
      <c r="A1846" s="2" t="s">
        <v>1844</v>
      </c>
      <c r="B1846" s="2" t="s">
        <v>12040</v>
      </c>
      <c r="C1846" s="2">
        <v>21</v>
      </c>
      <c r="D1846" s="2" t="s">
        <v>12049</v>
      </c>
      <c r="E1846" s="2">
        <f>COUNTIF(Table16[customer_id],Table13[[#This Row],[customer_id]])</f>
        <v>5</v>
      </c>
      <c r="F1846" s="13">
        <f>SUMIFS(Table16[Purchase_history],Table16[customer_id],Table13[[#This Row],[customer_id]])</f>
        <v>13640.03</v>
      </c>
      <c r="G1846" s="20">
        <v>44419</v>
      </c>
      <c r="H1846" s="21">
        <v>44772</v>
      </c>
      <c r="I1846" s="15">
        <f>(Table134[[#This Row],[Last_Day]]-Table134[[#This Row],[First_Day]]+1)/365</f>
        <v>0.96986301369863015</v>
      </c>
      <c r="J1846" s="59">
        <f>Table134[[#This Row],[number_of_purchases]]/Table134[[#This Row],[customer_total_years]]</f>
        <v>5.1553672316384178</v>
      </c>
      <c r="K1846" s="13">
        <f>Table134[[#This Row],[purchase_history]]/Table134[[#This Row],[number_of_purchases]]</f>
        <v>2728.0060000000003</v>
      </c>
      <c r="L1846" s="2">
        <f>IF(YEAR(Table134[[#This Row],[Last_Day]])=2021,5,IF(YEAR(Table134[[#This Row],[Last_Day]])=2022,7,IF(YEAR(Table134[[#This Row],[Last_Day]])=2023,10,"Không xác định")))</f>
        <v>7</v>
      </c>
      <c r="M1846" s="15">
        <f>Table134[[#This Row],[avg_number_of_purchases]]*Table1345[[#This Row],[avg_purchase_value]]*Table1345[[#This Row],[expected_lifespan]]</f>
        <v>98447.109180790954</v>
      </c>
      <c r="N1846" t="s">
        <v>12042</v>
      </c>
    </row>
    <row r="1847" spans="1:14" x14ac:dyDescent="0.3">
      <c r="A1847" s="2" t="s">
        <v>1845</v>
      </c>
      <c r="B1847" s="2" t="s">
        <v>12040</v>
      </c>
      <c r="C1847" s="2">
        <v>39</v>
      </c>
      <c r="D1847" s="2" t="s">
        <v>12041</v>
      </c>
      <c r="E1847" s="2">
        <f>COUNTIF(Table16[customer_id],Table13[[#This Row],[customer_id]])</f>
        <v>4</v>
      </c>
      <c r="F1847" s="13">
        <f>SUMIFS(Table16[Purchase_history],Table16[customer_id],Table13[[#This Row],[customer_id]])</f>
        <v>7084.2800000000007</v>
      </c>
      <c r="G1847" s="20">
        <v>44458</v>
      </c>
      <c r="H1847" s="21">
        <v>44867</v>
      </c>
      <c r="I1847" s="15">
        <f>(Table134[[#This Row],[Last_Day]]-Table134[[#This Row],[First_Day]]+1)/365</f>
        <v>1.1232876712328768</v>
      </c>
      <c r="J1847" s="59">
        <f>Table134[[#This Row],[number_of_purchases]]/Table134[[#This Row],[customer_total_years]]</f>
        <v>3.5609756097560976</v>
      </c>
      <c r="K1847" s="13">
        <f>Table134[[#This Row],[purchase_history]]/Table134[[#This Row],[number_of_purchases]]</f>
        <v>1771.0700000000002</v>
      </c>
      <c r="L1847" s="2">
        <f>IF(YEAR(Table134[[#This Row],[Last_Day]])=2021,5,IF(YEAR(Table134[[#This Row],[Last_Day]])=2022,7,IF(YEAR(Table134[[#This Row],[Last_Day]])=2023,10,"Không xác định")))</f>
        <v>7</v>
      </c>
      <c r="M1847" s="15">
        <f>Table134[[#This Row],[avg_number_of_purchases]]*Table1345[[#This Row],[avg_purchase_value]]*Table1345[[#This Row],[expected_lifespan]]</f>
        <v>44147.159512195125</v>
      </c>
      <c r="N1847" t="s">
        <v>12048</v>
      </c>
    </row>
    <row r="1848" spans="1:14" x14ac:dyDescent="0.3">
      <c r="A1848" s="2" t="s">
        <v>1846</v>
      </c>
      <c r="B1848" s="2" t="s">
        <v>12040</v>
      </c>
      <c r="C1848" s="2">
        <v>26</v>
      </c>
      <c r="D1848" s="2" t="s">
        <v>12043</v>
      </c>
      <c r="E1848" s="2">
        <f>COUNTIF(Table16[customer_id],Table13[[#This Row],[customer_id]])</f>
        <v>4</v>
      </c>
      <c r="F1848" s="13">
        <f>SUMIFS(Table16[Purchase_history],Table16[customer_id],Table13[[#This Row],[customer_id]])</f>
        <v>3104.8</v>
      </c>
      <c r="G1848" s="20">
        <v>44490</v>
      </c>
      <c r="H1848" s="21">
        <v>44867</v>
      </c>
      <c r="I1848" s="15">
        <f>(Table134[[#This Row],[Last_Day]]-Table134[[#This Row],[First_Day]]+1)/365</f>
        <v>1.0356164383561643</v>
      </c>
      <c r="J1848" s="59">
        <f>Table134[[#This Row],[number_of_purchases]]/Table134[[#This Row],[customer_total_years]]</f>
        <v>3.8624338624338628</v>
      </c>
      <c r="K1848" s="13">
        <f>Table134[[#This Row],[purchase_history]]/Table134[[#This Row],[number_of_purchases]]</f>
        <v>776.2</v>
      </c>
      <c r="L1848" s="2">
        <f>IF(YEAR(Table134[[#This Row],[Last_Day]])=2021,5,IF(YEAR(Table134[[#This Row],[Last_Day]])=2022,7,IF(YEAR(Table134[[#This Row],[Last_Day]])=2023,10,"Không xác định")))</f>
        <v>7</v>
      </c>
      <c r="M1848" s="15">
        <f>Table134[[#This Row],[avg_number_of_purchases]]*Table1345[[#This Row],[avg_purchase_value]]*Table1345[[#This Row],[expected_lifespan]]</f>
        <v>20986.148148148153</v>
      </c>
      <c r="N1848" t="s">
        <v>12047</v>
      </c>
    </row>
    <row r="1849" spans="1:14" x14ac:dyDescent="0.3">
      <c r="A1849" s="2" t="s">
        <v>1847</v>
      </c>
      <c r="B1849" s="2" t="s">
        <v>12045</v>
      </c>
      <c r="C1849" s="2">
        <v>42</v>
      </c>
      <c r="D1849" s="2" t="s">
        <v>12043</v>
      </c>
      <c r="E1849" s="2">
        <f>COUNTIF(Table16[customer_id],Table13[[#This Row],[customer_id]])</f>
        <v>4</v>
      </c>
      <c r="F1849" s="13">
        <f>SUMIFS(Table16[Purchase_history],Table16[customer_id],Table13[[#This Row],[customer_id]])</f>
        <v>9275.86</v>
      </c>
      <c r="G1849" s="20">
        <v>44217</v>
      </c>
      <c r="H1849" s="21">
        <v>44779</v>
      </c>
      <c r="I1849" s="15">
        <f>(Table134[[#This Row],[Last_Day]]-Table134[[#This Row],[First_Day]]+1)/365</f>
        <v>1.5424657534246575</v>
      </c>
      <c r="J1849" s="59">
        <f>Table134[[#This Row],[number_of_purchases]]/Table134[[#This Row],[customer_total_years]]</f>
        <v>2.5932504440497337</v>
      </c>
      <c r="K1849" s="13">
        <f>Table134[[#This Row],[purchase_history]]/Table134[[#This Row],[number_of_purchases]]</f>
        <v>2318.9650000000001</v>
      </c>
      <c r="L1849" s="2">
        <f>IF(YEAR(Table134[[#This Row],[Last_Day]])=2021,5,IF(YEAR(Table134[[#This Row],[Last_Day]])=2022,7,IF(YEAR(Table134[[#This Row],[Last_Day]])=2023,10,"Không xác định")))</f>
        <v>7</v>
      </c>
      <c r="M1849" s="15">
        <f>Table134[[#This Row],[avg_number_of_purchases]]*Table1345[[#This Row],[avg_purchase_value]]*Table1345[[#This Row],[expected_lifespan]]</f>
        <v>42095.599111900534</v>
      </c>
      <c r="N1849" t="s">
        <v>12048</v>
      </c>
    </row>
    <row r="1850" spans="1:14" x14ac:dyDescent="0.3">
      <c r="A1850" s="2" t="s">
        <v>1848</v>
      </c>
      <c r="B1850" s="2" t="s">
        <v>12040</v>
      </c>
      <c r="C1850" s="2">
        <v>53</v>
      </c>
      <c r="D1850" s="2" t="s">
        <v>12043</v>
      </c>
      <c r="E1850" s="2">
        <f>COUNTIF(Table16[customer_id],Table13[[#This Row],[customer_id]])</f>
        <v>8</v>
      </c>
      <c r="F1850" s="13">
        <f>SUMIFS(Table16[Purchase_history],Table16[customer_id],Table13[[#This Row],[customer_id]])</f>
        <v>19307.080000000002</v>
      </c>
      <c r="G1850" s="20">
        <v>44243</v>
      </c>
      <c r="H1850" s="21">
        <v>44938</v>
      </c>
      <c r="I1850" s="15">
        <f>(Table134[[#This Row],[Last_Day]]-Table134[[#This Row],[First_Day]]+1)/365</f>
        <v>1.9068493150684931</v>
      </c>
      <c r="J1850" s="59">
        <f>Table134[[#This Row],[number_of_purchases]]/Table134[[#This Row],[customer_total_years]]</f>
        <v>4.195402298850575</v>
      </c>
      <c r="K1850" s="13">
        <f>Table134[[#This Row],[purchase_history]]/Table134[[#This Row],[number_of_purchases]]</f>
        <v>2413.3850000000002</v>
      </c>
      <c r="L1850" s="2">
        <f>IF(YEAR(Table134[[#This Row],[Last_Day]])=2021,5,IF(YEAR(Table134[[#This Row],[Last_Day]])=2022,7,IF(YEAR(Table134[[#This Row],[Last_Day]])=2023,10,"Không xác định")))</f>
        <v>10</v>
      </c>
      <c r="M1850" s="15">
        <f>Table134[[#This Row],[avg_number_of_purchases]]*Table1345[[#This Row],[avg_purchase_value]]*Table1345[[#This Row],[expected_lifespan]]</f>
        <v>101251.20977011496</v>
      </c>
      <c r="N1850" t="s">
        <v>12044</v>
      </c>
    </row>
    <row r="1851" spans="1:14" x14ac:dyDescent="0.3">
      <c r="A1851" s="2" t="s">
        <v>1849</v>
      </c>
      <c r="B1851" s="2" t="s">
        <v>12040</v>
      </c>
      <c r="C1851" s="2">
        <v>40</v>
      </c>
      <c r="D1851" s="2" t="s">
        <v>12041</v>
      </c>
      <c r="E1851" s="2">
        <f>COUNTIF(Table16[customer_id],Table13[[#This Row],[customer_id]])</f>
        <v>4</v>
      </c>
      <c r="F1851" s="13">
        <f>SUMIFS(Table16[Purchase_history],Table16[customer_id],Table13[[#This Row],[customer_id]])</f>
        <v>976.75</v>
      </c>
      <c r="G1851" s="20">
        <v>44368</v>
      </c>
      <c r="H1851" s="21">
        <v>44744</v>
      </c>
      <c r="I1851" s="15">
        <f>(Table134[[#This Row],[Last_Day]]-Table134[[#This Row],[First_Day]]+1)/365</f>
        <v>1.0328767123287672</v>
      </c>
      <c r="J1851" s="59">
        <f>Table134[[#This Row],[number_of_purchases]]/Table134[[#This Row],[customer_total_years]]</f>
        <v>3.8726790450928377</v>
      </c>
      <c r="K1851" s="13">
        <f>Table134[[#This Row],[purchase_history]]/Table134[[#This Row],[number_of_purchases]]</f>
        <v>244.1875</v>
      </c>
      <c r="L1851" s="2">
        <f>IF(YEAR(Table134[[#This Row],[Last_Day]])=2021,5,IF(YEAR(Table134[[#This Row],[Last_Day]])=2022,7,IF(YEAR(Table134[[#This Row],[Last_Day]])=2023,10,"Không xác định")))</f>
        <v>7</v>
      </c>
      <c r="M1851" s="15">
        <f>Table134[[#This Row],[avg_number_of_purchases]]*Table1345[[#This Row],[avg_purchase_value]]*Table1345[[#This Row],[expected_lifespan]]</f>
        <v>6619.6187002652514</v>
      </c>
      <c r="N1851" t="s">
        <v>12048</v>
      </c>
    </row>
    <row r="1852" spans="1:14" x14ac:dyDescent="0.3">
      <c r="A1852" s="2" t="s">
        <v>1850</v>
      </c>
      <c r="B1852" s="2" t="s">
        <v>12045</v>
      </c>
      <c r="C1852" s="2">
        <v>19</v>
      </c>
      <c r="D1852" s="2" t="s">
        <v>12041</v>
      </c>
      <c r="E1852" s="2">
        <f>COUNTIF(Table16[customer_id],Table13[[#This Row],[customer_id]])</f>
        <v>6</v>
      </c>
      <c r="F1852" s="13">
        <f>SUMIFS(Table16[Purchase_history],Table16[customer_id],Table13[[#This Row],[customer_id]])</f>
        <v>13413.32</v>
      </c>
      <c r="G1852" s="20">
        <v>44245</v>
      </c>
      <c r="H1852" s="21">
        <v>44877</v>
      </c>
      <c r="I1852" s="15">
        <f>(Table134[[#This Row],[Last_Day]]-Table134[[#This Row],[First_Day]]+1)/365</f>
        <v>1.7342465753424658</v>
      </c>
      <c r="J1852" s="59">
        <f>Table134[[#This Row],[number_of_purchases]]/Table134[[#This Row],[customer_total_years]]</f>
        <v>3.4597156398104265</v>
      </c>
      <c r="K1852" s="13">
        <f>Table134[[#This Row],[purchase_history]]/Table134[[#This Row],[number_of_purchases]]</f>
        <v>2235.5533333333333</v>
      </c>
      <c r="L1852" s="2">
        <f>IF(YEAR(Table134[[#This Row],[Last_Day]])=2021,5,IF(YEAR(Table134[[#This Row],[Last_Day]])=2022,7,IF(YEAR(Table134[[#This Row],[Last_Day]])=2023,10,"Không xác định")))</f>
        <v>7</v>
      </c>
      <c r="M1852" s="15">
        <f>Table134[[#This Row],[avg_number_of_purchases]]*Table1345[[#This Row],[avg_purchase_value]]*Table1345[[#This Row],[expected_lifespan]]</f>
        <v>54140.651816745652</v>
      </c>
      <c r="N1852" t="s">
        <v>12047</v>
      </c>
    </row>
    <row r="1853" spans="1:14" x14ac:dyDescent="0.3">
      <c r="A1853" s="2" t="s">
        <v>1851</v>
      </c>
      <c r="B1853" s="2" t="s">
        <v>12045</v>
      </c>
      <c r="C1853" s="2">
        <v>43</v>
      </c>
      <c r="D1853" s="2" t="s">
        <v>12049</v>
      </c>
      <c r="E1853" s="2">
        <f>COUNTIF(Table16[customer_id],Table13[[#This Row],[customer_id]])</f>
        <v>6</v>
      </c>
      <c r="F1853" s="13">
        <f>SUMIFS(Table16[Purchase_history],Table16[customer_id],Table13[[#This Row],[customer_id]])</f>
        <v>9941.83</v>
      </c>
      <c r="G1853" s="20">
        <v>44380</v>
      </c>
      <c r="H1853" s="21">
        <v>44896</v>
      </c>
      <c r="I1853" s="15">
        <f>(Table134[[#This Row],[Last_Day]]-Table134[[#This Row],[First_Day]]+1)/365</f>
        <v>1.4164383561643836</v>
      </c>
      <c r="J1853" s="59">
        <f>Table134[[#This Row],[number_of_purchases]]/Table134[[#This Row],[customer_total_years]]</f>
        <v>4.2359767891682782</v>
      </c>
      <c r="K1853" s="13">
        <f>Table134[[#This Row],[purchase_history]]/Table134[[#This Row],[number_of_purchases]]</f>
        <v>1656.9716666666666</v>
      </c>
      <c r="L1853" s="2">
        <f>IF(YEAR(Table134[[#This Row],[Last_Day]])=2021,5,IF(YEAR(Table134[[#This Row],[Last_Day]])=2022,7,IF(YEAR(Table134[[#This Row],[Last_Day]])=2023,10,"Không xác định")))</f>
        <v>7</v>
      </c>
      <c r="M1853" s="15">
        <f>Table134[[#This Row],[avg_number_of_purchases]]*Table1345[[#This Row],[avg_purchase_value]]*Table1345[[#This Row],[expected_lifespan]]</f>
        <v>49132.254642166343</v>
      </c>
      <c r="N1853" t="s">
        <v>12042</v>
      </c>
    </row>
    <row r="1854" spans="1:14" x14ac:dyDescent="0.3">
      <c r="A1854" s="2" t="s">
        <v>1852</v>
      </c>
      <c r="B1854" s="2" t="s">
        <v>12040</v>
      </c>
      <c r="C1854" s="2">
        <v>67</v>
      </c>
      <c r="D1854" s="2" t="s">
        <v>12043</v>
      </c>
      <c r="E1854" s="2">
        <f>COUNTIF(Table16[customer_id],Table13[[#This Row],[customer_id]])</f>
        <v>1</v>
      </c>
      <c r="F1854" s="13">
        <f>SUMIFS(Table16[Purchase_history],Table16[customer_id],Table13[[#This Row],[customer_id]])</f>
        <v>7502</v>
      </c>
      <c r="G1854" s="20">
        <v>44352</v>
      </c>
      <c r="H1854" s="21">
        <v>44352</v>
      </c>
      <c r="I1854" s="15">
        <f>(Table134[[#This Row],[Last_Day]]-Table134[[#This Row],[First_Day]]+1)/365</f>
        <v>2.7397260273972603E-3</v>
      </c>
      <c r="J1854" s="59">
        <f>Table134[[#This Row],[number_of_purchases]]/Table134[[#This Row],[customer_total_years]]</f>
        <v>365</v>
      </c>
      <c r="K1854" s="13">
        <f>Table134[[#This Row],[purchase_history]]/Table134[[#This Row],[number_of_purchases]]</f>
        <v>7502</v>
      </c>
      <c r="L1854" s="2">
        <f>IF(YEAR(Table134[[#This Row],[Last_Day]])=2021,5,IF(YEAR(Table134[[#This Row],[Last_Day]])=2022,7,IF(YEAR(Table134[[#This Row],[Last_Day]])=2023,10,"Không xác định")))</f>
        <v>5</v>
      </c>
      <c r="M1854" s="15">
        <f>Table134[[#This Row],[avg_number_of_purchases]]*Table1345[[#This Row],[avg_purchase_value]]*Table1345[[#This Row],[expected_lifespan]]</f>
        <v>13691150</v>
      </c>
      <c r="N1854" t="s">
        <v>12044</v>
      </c>
    </row>
    <row r="1855" spans="1:14" x14ac:dyDescent="0.3">
      <c r="A1855" s="2" t="s">
        <v>1853</v>
      </c>
      <c r="B1855" s="2" t="s">
        <v>12040</v>
      </c>
      <c r="C1855" s="2">
        <v>58</v>
      </c>
      <c r="D1855" s="2" t="s">
        <v>12043</v>
      </c>
      <c r="E1855" s="2">
        <f>COUNTIF(Table16[customer_id],Table13[[#This Row],[customer_id]])</f>
        <v>5</v>
      </c>
      <c r="F1855" s="13">
        <f>SUMIFS(Table16[Purchase_history],Table16[customer_id],Table13[[#This Row],[customer_id]])</f>
        <v>16888.63</v>
      </c>
      <c r="G1855" s="20">
        <v>44245</v>
      </c>
      <c r="H1855" s="21">
        <v>44833</v>
      </c>
      <c r="I1855" s="15">
        <f>(Table134[[#This Row],[Last_Day]]-Table134[[#This Row],[First_Day]]+1)/365</f>
        <v>1.6136986301369862</v>
      </c>
      <c r="J1855" s="59">
        <f>Table134[[#This Row],[number_of_purchases]]/Table134[[#This Row],[customer_total_years]]</f>
        <v>3.0984719864176573</v>
      </c>
      <c r="K1855" s="13">
        <f>Table134[[#This Row],[purchase_history]]/Table134[[#This Row],[number_of_purchases]]</f>
        <v>3377.7260000000001</v>
      </c>
      <c r="L1855" s="2">
        <f>IF(YEAR(Table134[[#This Row],[Last_Day]])=2021,5,IF(YEAR(Table134[[#This Row],[Last_Day]])=2022,7,IF(YEAR(Table134[[#This Row],[Last_Day]])=2023,10,"Không xác định")))</f>
        <v>7</v>
      </c>
      <c r="M1855" s="15">
        <f>Table134[[#This Row],[avg_number_of_purchases]]*Table1345[[#This Row],[avg_purchase_value]]*Table1345[[#This Row],[expected_lifespan]]</f>
        <v>73260.525721561979</v>
      </c>
      <c r="N1855" t="s">
        <v>12042</v>
      </c>
    </row>
    <row r="1856" spans="1:14" x14ac:dyDescent="0.3">
      <c r="A1856" s="2" t="s">
        <v>1854</v>
      </c>
      <c r="B1856" s="2" t="s">
        <v>12045</v>
      </c>
      <c r="C1856" s="2">
        <v>64</v>
      </c>
      <c r="D1856" s="2" t="s">
        <v>12041</v>
      </c>
      <c r="E1856" s="2">
        <f>COUNTIF(Table16[customer_id],Table13[[#This Row],[customer_id]])</f>
        <v>4</v>
      </c>
      <c r="F1856" s="13">
        <f>SUMIFS(Table16[Purchase_history],Table16[customer_id],Table13[[#This Row],[customer_id]])</f>
        <v>23706.57</v>
      </c>
      <c r="G1856" s="20">
        <v>44603</v>
      </c>
      <c r="H1856" s="21">
        <v>44873</v>
      </c>
      <c r="I1856" s="15">
        <f>(Table134[[#This Row],[Last_Day]]-Table134[[#This Row],[First_Day]]+1)/365</f>
        <v>0.74246575342465748</v>
      </c>
      <c r="J1856" s="59">
        <f>Table134[[#This Row],[number_of_purchases]]/Table134[[#This Row],[customer_total_years]]</f>
        <v>5.3874538745387461</v>
      </c>
      <c r="K1856" s="13">
        <f>Table134[[#This Row],[purchase_history]]/Table134[[#This Row],[number_of_purchases]]</f>
        <v>5926.6424999999999</v>
      </c>
      <c r="L1856" s="2">
        <f>IF(YEAR(Table134[[#This Row],[Last_Day]])=2021,5,IF(YEAR(Table134[[#This Row],[Last_Day]])=2022,7,IF(YEAR(Table134[[#This Row],[Last_Day]])=2023,10,"Không xác định")))</f>
        <v>7</v>
      </c>
      <c r="M1856" s="15">
        <f>Table134[[#This Row],[avg_number_of_purchases]]*Table1345[[#This Row],[avg_purchase_value]]*Table1345[[#This Row],[expected_lifespan]]</f>
        <v>223506.591697417</v>
      </c>
      <c r="N1856" t="s">
        <v>12047</v>
      </c>
    </row>
    <row r="1857" spans="1:14" x14ac:dyDescent="0.3">
      <c r="A1857" s="2" t="s">
        <v>1855</v>
      </c>
      <c r="B1857" s="2" t="s">
        <v>12045</v>
      </c>
      <c r="C1857" s="2">
        <v>61</v>
      </c>
      <c r="D1857" s="2" t="s">
        <v>12041</v>
      </c>
      <c r="E1857" s="2">
        <f>COUNTIF(Table16[customer_id],Table13[[#This Row],[customer_id]])</f>
        <v>5</v>
      </c>
      <c r="F1857" s="13">
        <f>SUMIFS(Table16[Purchase_history],Table16[customer_id],Table13[[#This Row],[customer_id]])</f>
        <v>23407.48</v>
      </c>
      <c r="G1857" s="20">
        <v>44274</v>
      </c>
      <c r="H1857" s="21">
        <v>44801</v>
      </c>
      <c r="I1857" s="15">
        <f>(Table134[[#This Row],[Last_Day]]-Table134[[#This Row],[First_Day]]+1)/365</f>
        <v>1.4465753424657535</v>
      </c>
      <c r="J1857" s="59">
        <f>Table134[[#This Row],[number_of_purchases]]/Table134[[#This Row],[customer_total_years]]</f>
        <v>3.456439393939394</v>
      </c>
      <c r="K1857" s="13">
        <f>Table134[[#This Row],[purchase_history]]/Table134[[#This Row],[number_of_purchases]]</f>
        <v>4681.4960000000001</v>
      </c>
      <c r="L1857" s="2">
        <f>IF(YEAR(Table134[[#This Row],[Last_Day]])=2021,5,IF(YEAR(Table134[[#This Row],[Last_Day]])=2022,7,IF(YEAR(Table134[[#This Row],[Last_Day]])=2023,10,"Không xác định")))</f>
        <v>7</v>
      </c>
      <c r="M1857" s="15">
        <f>Table134[[#This Row],[avg_number_of_purchases]]*Table1345[[#This Row],[avg_purchase_value]]*Table1345[[#This Row],[expected_lifespan]]</f>
        <v>113269.15037878789</v>
      </c>
      <c r="N1857" t="s">
        <v>12048</v>
      </c>
    </row>
    <row r="1858" spans="1:14" x14ac:dyDescent="0.3">
      <c r="A1858" s="2" t="s">
        <v>1856</v>
      </c>
      <c r="B1858" s="2" t="s">
        <v>12045</v>
      </c>
      <c r="C1858" s="2">
        <v>28</v>
      </c>
      <c r="D1858" s="2" t="s">
        <v>12043</v>
      </c>
      <c r="E1858" s="2">
        <f>COUNTIF(Table16[customer_id],Table13[[#This Row],[customer_id]])</f>
        <v>6</v>
      </c>
      <c r="F1858" s="13">
        <f>SUMIFS(Table16[Purchase_history],Table16[customer_id],Table13[[#This Row],[customer_id]])</f>
        <v>1749.1799999999998</v>
      </c>
      <c r="G1858" s="20">
        <v>44445</v>
      </c>
      <c r="H1858" s="21">
        <v>44864</v>
      </c>
      <c r="I1858" s="15">
        <f>(Table134[[#This Row],[Last_Day]]-Table134[[#This Row],[First_Day]]+1)/365</f>
        <v>1.1506849315068493</v>
      </c>
      <c r="J1858" s="59">
        <f>Table134[[#This Row],[number_of_purchases]]/Table134[[#This Row],[customer_total_years]]</f>
        <v>5.2142857142857144</v>
      </c>
      <c r="K1858" s="13">
        <f>Table134[[#This Row],[purchase_history]]/Table134[[#This Row],[number_of_purchases]]</f>
        <v>291.52999999999997</v>
      </c>
      <c r="L1858" s="2">
        <f>IF(YEAR(Table134[[#This Row],[Last_Day]])=2021,5,IF(YEAR(Table134[[#This Row],[Last_Day]])=2022,7,IF(YEAR(Table134[[#This Row],[Last_Day]])=2023,10,"Không xác định")))</f>
        <v>7</v>
      </c>
      <c r="M1858" s="15">
        <f>Table134[[#This Row],[avg_number_of_purchases]]*Table1345[[#This Row],[avg_purchase_value]]*Table1345[[#This Row],[expected_lifespan]]</f>
        <v>10640.844999999999</v>
      </c>
      <c r="N1858" t="s">
        <v>12044</v>
      </c>
    </row>
    <row r="1859" spans="1:14" x14ac:dyDescent="0.3">
      <c r="A1859" s="2" t="s">
        <v>1857</v>
      </c>
      <c r="B1859" s="2" t="s">
        <v>12040</v>
      </c>
      <c r="C1859" s="2">
        <v>37</v>
      </c>
      <c r="D1859" s="2" t="s">
        <v>12043</v>
      </c>
      <c r="E1859" s="2">
        <f>COUNTIF(Table16[customer_id],Table13[[#This Row],[customer_id]])</f>
        <v>1</v>
      </c>
      <c r="F1859" s="13">
        <f>SUMIFS(Table16[Purchase_history],Table16[customer_id],Table13[[#This Row],[customer_id]])</f>
        <v>7502</v>
      </c>
      <c r="G1859" s="20">
        <v>44466</v>
      </c>
      <c r="H1859" s="21">
        <v>44466</v>
      </c>
      <c r="I1859" s="15">
        <f>(Table134[[#This Row],[Last_Day]]-Table134[[#This Row],[First_Day]]+1)/365</f>
        <v>2.7397260273972603E-3</v>
      </c>
      <c r="J1859" s="59">
        <f>Table134[[#This Row],[number_of_purchases]]/Table134[[#This Row],[customer_total_years]]</f>
        <v>365</v>
      </c>
      <c r="K1859" s="13">
        <f>Table134[[#This Row],[purchase_history]]/Table134[[#This Row],[number_of_purchases]]</f>
        <v>7502</v>
      </c>
      <c r="L1859" s="2">
        <f>IF(YEAR(Table134[[#This Row],[Last_Day]])=2021,5,IF(YEAR(Table134[[#This Row],[Last_Day]])=2022,7,IF(YEAR(Table134[[#This Row],[Last_Day]])=2023,10,"Không xác định")))</f>
        <v>5</v>
      </c>
      <c r="M1859" s="15">
        <f>Table134[[#This Row],[avg_number_of_purchases]]*Table1345[[#This Row],[avg_purchase_value]]*Table1345[[#This Row],[expected_lifespan]]</f>
        <v>13691150</v>
      </c>
      <c r="N1859" t="s">
        <v>12048</v>
      </c>
    </row>
    <row r="1860" spans="1:14" x14ac:dyDescent="0.3">
      <c r="A1860" s="2" t="s">
        <v>1858</v>
      </c>
      <c r="B1860" s="2" t="s">
        <v>12045</v>
      </c>
      <c r="C1860" s="2">
        <v>38</v>
      </c>
      <c r="D1860" s="2" t="s">
        <v>12041</v>
      </c>
      <c r="E1860" s="2">
        <f>COUNTIF(Table16[customer_id],Table13[[#This Row],[customer_id]])</f>
        <v>3</v>
      </c>
      <c r="F1860" s="13">
        <f>SUMIFS(Table16[Purchase_history],Table16[customer_id],Table13[[#This Row],[customer_id]])</f>
        <v>7878.93</v>
      </c>
      <c r="G1860" s="20">
        <v>44319</v>
      </c>
      <c r="H1860" s="21">
        <v>44846</v>
      </c>
      <c r="I1860" s="15">
        <f>(Table134[[#This Row],[Last_Day]]-Table134[[#This Row],[First_Day]]+1)/365</f>
        <v>1.4465753424657535</v>
      </c>
      <c r="J1860" s="59">
        <f>Table134[[#This Row],[number_of_purchases]]/Table134[[#This Row],[customer_total_years]]</f>
        <v>2.0738636363636362</v>
      </c>
      <c r="K1860" s="13">
        <f>Table134[[#This Row],[purchase_history]]/Table134[[#This Row],[number_of_purchases]]</f>
        <v>2626.31</v>
      </c>
      <c r="L1860" s="2">
        <f>IF(YEAR(Table134[[#This Row],[Last_Day]])=2021,5,IF(YEAR(Table134[[#This Row],[Last_Day]])=2022,7,IF(YEAR(Table134[[#This Row],[Last_Day]])=2023,10,"Không xác định")))</f>
        <v>7</v>
      </c>
      <c r="M1860" s="15">
        <f>Table134[[#This Row],[avg_number_of_purchases]]*Table1345[[#This Row],[avg_purchase_value]]*Table1345[[#This Row],[expected_lifespan]]</f>
        <v>38126.261647727268</v>
      </c>
      <c r="N1860" t="s">
        <v>12044</v>
      </c>
    </row>
    <row r="1861" spans="1:14" x14ac:dyDescent="0.3">
      <c r="A1861" s="2" t="s">
        <v>1859</v>
      </c>
      <c r="B1861" s="2" t="s">
        <v>12040</v>
      </c>
      <c r="C1861" s="2">
        <v>18</v>
      </c>
      <c r="D1861" s="2" t="s">
        <v>12041</v>
      </c>
      <c r="E1861" s="2">
        <f>COUNTIF(Table16[customer_id],Table13[[#This Row],[customer_id]])</f>
        <v>3</v>
      </c>
      <c r="F1861" s="13">
        <f>SUMIFS(Table16[Purchase_history],Table16[customer_id],Table13[[#This Row],[customer_id]])</f>
        <v>1478.56</v>
      </c>
      <c r="G1861" s="20">
        <v>44215</v>
      </c>
      <c r="H1861" s="21">
        <v>44970</v>
      </c>
      <c r="I1861" s="15">
        <f>(Table134[[#This Row],[Last_Day]]-Table134[[#This Row],[First_Day]]+1)/365</f>
        <v>2.0712328767123287</v>
      </c>
      <c r="J1861" s="59">
        <f>Table134[[#This Row],[number_of_purchases]]/Table134[[#This Row],[customer_total_years]]</f>
        <v>1.4484126984126984</v>
      </c>
      <c r="K1861" s="13">
        <f>Table134[[#This Row],[purchase_history]]/Table134[[#This Row],[number_of_purchases]]</f>
        <v>492.8533333333333</v>
      </c>
      <c r="L1861" s="2">
        <f>IF(YEAR(Table134[[#This Row],[Last_Day]])=2021,5,IF(YEAR(Table134[[#This Row],[Last_Day]])=2022,7,IF(YEAR(Table134[[#This Row],[Last_Day]])=2023,10,"Không xác định")))</f>
        <v>10</v>
      </c>
      <c r="M1861" s="15">
        <f>Table134[[#This Row],[avg_number_of_purchases]]*Table1345[[#This Row],[avg_purchase_value]]*Table1345[[#This Row],[expected_lifespan]]</f>
        <v>7138.5502645502638</v>
      </c>
      <c r="N1861" t="s">
        <v>12047</v>
      </c>
    </row>
    <row r="1862" spans="1:14" x14ac:dyDescent="0.3">
      <c r="A1862" s="2" t="s">
        <v>1860</v>
      </c>
      <c r="B1862" s="2" t="s">
        <v>12045</v>
      </c>
      <c r="C1862" s="2">
        <v>38</v>
      </c>
      <c r="D1862" s="2" t="s">
        <v>12043</v>
      </c>
      <c r="E1862" s="2">
        <f>COUNTIF(Table16[customer_id],Table13[[#This Row],[customer_id]])</f>
        <v>4</v>
      </c>
      <c r="F1862" s="13">
        <f>SUMIFS(Table16[Purchase_history],Table16[customer_id],Table13[[#This Row],[customer_id]])</f>
        <v>1103.25</v>
      </c>
      <c r="G1862" s="20">
        <v>44326</v>
      </c>
      <c r="H1862" s="21">
        <v>44887</v>
      </c>
      <c r="I1862" s="15">
        <f>(Table134[[#This Row],[Last_Day]]-Table134[[#This Row],[First_Day]]+1)/365</f>
        <v>1.5397260273972602</v>
      </c>
      <c r="J1862" s="59">
        <f>Table134[[#This Row],[number_of_purchases]]/Table134[[#This Row],[customer_total_years]]</f>
        <v>2.5978647686832743</v>
      </c>
      <c r="K1862" s="13">
        <f>Table134[[#This Row],[purchase_history]]/Table134[[#This Row],[number_of_purchases]]</f>
        <v>275.8125</v>
      </c>
      <c r="L1862" s="2">
        <f>IF(YEAR(Table134[[#This Row],[Last_Day]])=2021,5,IF(YEAR(Table134[[#This Row],[Last_Day]])=2022,7,IF(YEAR(Table134[[#This Row],[Last_Day]])=2023,10,"Không xác định")))</f>
        <v>7</v>
      </c>
      <c r="M1862" s="15">
        <f>Table134[[#This Row],[avg_number_of_purchases]]*Table1345[[#This Row],[avg_purchase_value]]*Table1345[[#This Row],[expected_lifespan]]</f>
        <v>5015.6650355871898</v>
      </c>
      <c r="N1862" t="s">
        <v>12048</v>
      </c>
    </row>
    <row r="1863" spans="1:14" x14ac:dyDescent="0.3">
      <c r="A1863" s="2" t="s">
        <v>1861</v>
      </c>
      <c r="B1863" s="2" t="s">
        <v>12045</v>
      </c>
      <c r="C1863" s="2">
        <v>50</v>
      </c>
      <c r="D1863" s="2" t="s">
        <v>12049</v>
      </c>
      <c r="E1863" s="2">
        <f>COUNTIF(Table16[customer_id],Table13[[#This Row],[customer_id]])</f>
        <v>8</v>
      </c>
      <c r="F1863" s="13">
        <f>SUMIFS(Table16[Purchase_history],Table16[customer_id],Table13[[#This Row],[customer_id]])</f>
        <v>20634.830000000002</v>
      </c>
      <c r="G1863" s="20">
        <v>44296</v>
      </c>
      <c r="H1863" s="21">
        <v>44762</v>
      </c>
      <c r="I1863" s="15">
        <f>(Table134[[#This Row],[Last_Day]]-Table134[[#This Row],[First_Day]]+1)/365</f>
        <v>1.2794520547945205</v>
      </c>
      <c r="J1863" s="59">
        <f>Table134[[#This Row],[number_of_purchases]]/Table134[[#This Row],[customer_total_years]]</f>
        <v>6.2526766595289081</v>
      </c>
      <c r="K1863" s="13">
        <f>Table134[[#This Row],[purchase_history]]/Table134[[#This Row],[number_of_purchases]]</f>
        <v>2579.3537500000002</v>
      </c>
      <c r="L1863" s="2">
        <f>IF(YEAR(Table134[[#This Row],[Last_Day]])=2021,5,IF(YEAR(Table134[[#This Row],[Last_Day]])=2022,7,IF(YEAR(Table134[[#This Row],[Last_Day]])=2023,10,"Không xác định")))</f>
        <v>7</v>
      </c>
      <c r="M1863" s="15">
        <f>Table134[[#This Row],[avg_number_of_purchases]]*Table1345[[#This Row],[avg_purchase_value]]*Table1345[[#This Row],[expected_lifespan]]</f>
        <v>112895.05492505356</v>
      </c>
      <c r="N1863" t="s">
        <v>12042</v>
      </c>
    </row>
    <row r="1864" spans="1:14" x14ac:dyDescent="0.3">
      <c r="A1864" s="2" t="s">
        <v>1862</v>
      </c>
      <c r="B1864" s="2" t="s">
        <v>12040</v>
      </c>
      <c r="C1864" s="2">
        <v>55</v>
      </c>
      <c r="D1864" s="2" t="s">
        <v>12041</v>
      </c>
      <c r="E1864" s="2">
        <f>COUNTIF(Table16[customer_id],Table13[[#This Row],[customer_id]])</f>
        <v>7</v>
      </c>
      <c r="F1864" s="13">
        <f>SUMIFS(Table16[Purchase_history],Table16[customer_id],Table13[[#This Row],[customer_id]])</f>
        <v>21542.160000000003</v>
      </c>
      <c r="G1864" s="20">
        <v>44426</v>
      </c>
      <c r="H1864" s="21">
        <v>44910</v>
      </c>
      <c r="I1864" s="15">
        <f>(Table134[[#This Row],[Last_Day]]-Table134[[#This Row],[First_Day]]+1)/365</f>
        <v>1.3287671232876712</v>
      </c>
      <c r="J1864" s="59">
        <f>Table134[[#This Row],[number_of_purchases]]/Table134[[#This Row],[customer_total_years]]</f>
        <v>5.268041237113402</v>
      </c>
      <c r="K1864" s="13">
        <f>Table134[[#This Row],[purchase_history]]/Table134[[#This Row],[number_of_purchases]]</f>
        <v>3077.451428571429</v>
      </c>
      <c r="L1864" s="2">
        <f>IF(YEAR(Table134[[#This Row],[Last_Day]])=2021,5,IF(YEAR(Table134[[#This Row],[Last_Day]])=2022,7,IF(YEAR(Table134[[#This Row],[Last_Day]])=2023,10,"Không xác định")))</f>
        <v>7</v>
      </c>
      <c r="M1864" s="15">
        <f>Table134[[#This Row],[avg_number_of_purchases]]*Table1345[[#This Row],[avg_purchase_value]]*Table1345[[#This Row],[expected_lifespan]]</f>
        <v>113484.98721649486</v>
      </c>
      <c r="N1864" t="s">
        <v>12048</v>
      </c>
    </row>
    <row r="1865" spans="1:14" x14ac:dyDescent="0.3">
      <c r="A1865" s="2" t="s">
        <v>1863</v>
      </c>
      <c r="B1865" s="2" t="s">
        <v>12045</v>
      </c>
      <c r="C1865" s="2">
        <v>54</v>
      </c>
      <c r="D1865" s="2" t="s">
        <v>12043</v>
      </c>
      <c r="E1865" s="2">
        <f>COUNTIF(Table16[customer_id],Table13[[#This Row],[customer_id]])</f>
        <v>6</v>
      </c>
      <c r="F1865" s="13">
        <f>SUMIFS(Table16[Purchase_history],Table16[customer_id],Table13[[#This Row],[customer_id]])</f>
        <v>8270.5400000000009</v>
      </c>
      <c r="G1865" s="20">
        <v>44221</v>
      </c>
      <c r="H1865" s="21">
        <v>44802</v>
      </c>
      <c r="I1865" s="15">
        <f>(Table134[[#This Row],[Last_Day]]-Table134[[#This Row],[First_Day]]+1)/365</f>
        <v>1.5945205479452054</v>
      </c>
      <c r="J1865" s="59">
        <f>Table134[[#This Row],[number_of_purchases]]/Table134[[#This Row],[customer_total_years]]</f>
        <v>3.7628865979381447</v>
      </c>
      <c r="K1865" s="13">
        <f>Table134[[#This Row],[purchase_history]]/Table134[[#This Row],[number_of_purchases]]</f>
        <v>1378.4233333333334</v>
      </c>
      <c r="L1865" s="2">
        <f>IF(YEAR(Table134[[#This Row],[Last_Day]])=2021,5,IF(YEAR(Table134[[#This Row],[Last_Day]])=2022,7,IF(YEAR(Table134[[#This Row],[Last_Day]])=2023,10,"Không xác định")))</f>
        <v>7</v>
      </c>
      <c r="M1865" s="15">
        <f>Table134[[#This Row],[avg_number_of_purchases]]*Table1345[[#This Row],[avg_purchase_value]]*Table1345[[#This Row],[expected_lifespan]]</f>
        <v>36307.954810996569</v>
      </c>
      <c r="N1865" t="s">
        <v>12048</v>
      </c>
    </row>
    <row r="1866" spans="1:14" x14ac:dyDescent="0.3">
      <c r="A1866" s="2" t="s">
        <v>1864</v>
      </c>
      <c r="B1866" s="2" t="s">
        <v>12045</v>
      </c>
      <c r="C1866" s="2">
        <v>22</v>
      </c>
      <c r="D1866" s="2" t="s">
        <v>12041</v>
      </c>
      <c r="E1866" s="2">
        <f>COUNTIF(Table16[customer_id],Table13[[#This Row],[customer_id]])</f>
        <v>5</v>
      </c>
      <c r="F1866" s="13">
        <f>SUMIFS(Table16[Purchase_history],Table16[customer_id],Table13[[#This Row],[customer_id]])</f>
        <v>8027.8600000000006</v>
      </c>
      <c r="G1866" s="20">
        <v>44218</v>
      </c>
      <c r="H1866" s="21">
        <v>44937</v>
      </c>
      <c r="I1866" s="15">
        <f>(Table134[[#This Row],[Last_Day]]-Table134[[#This Row],[First_Day]]+1)/365</f>
        <v>1.9726027397260273</v>
      </c>
      <c r="J1866" s="59">
        <f>Table134[[#This Row],[number_of_purchases]]/Table134[[#This Row],[customer_total_years]]</f>
        <v>2.5347222222222223</v>
      </c>
      <c r="K1866" s="13">
        <f>Table134[[#This Row],[purchase_history]]/Table134[[#This Row],[number_of_purchases]]</f>
        <v>1605.5720000000001</v>
      </c>
      <c r="L1866" s="2">
        <f>IF(YEAR(Table134[[#This Row],[Last_Day]])=2021,5,IF(YEAR(Table134[[#This Row],[Last_Day]])=2022,7,IF(YEAR(Table134[[#This Row],[Last_Day]])=2023,10,"Không xác định")))</f>
        <v>10</v>
      </c>
      <c r="M1866" s="15">
        <f>Table134[[#This Row],[avg_number_of_purchases]]*Table1345[[#This Row],[avg_purchase_value]]*Table1345[[#This Row],[expected_lifespan]]</f>
        <v>40696.790277777778</v>
      </c>
      <c r="N1866" t="s">
        <v>12048</v>
      </c>
    </row>
    <row r="1867" spans="1:14" x14ac:dyDescent="0.3">
      <c r="A1867" s="2" t="s">
        <v>1865</v>
      </c>
      <c r="B1867" s="2" t="s">
        <v>12040</v>
      </c>
      <c r="C1867" s="2">
        <v>60</v>
      </c>
      <c r="D1867" s="2" t="s">
        <v>12041</v>
      </c>
      <c r="E1867" s="2">
        <f>COUNTIF(Table16[customer_id],Table13[[#This Row],[customer_id]])</f>
        <v>1</v>
      </c>
      <c r="F1867" s="13">
        <f>SUMIFS(Table16[Purchase_history],Table16[customer_id],Table13[[#This Row],[customer_id]])</f>
        <v>600.16999999999996</v>
      </c>
      <c r="G1867" s="20">
        <v>44552</v>
      </c>
      <c r="H1867" s="21">
        <v>44552</v>
      </c>
      <c r="I1867" s="15">
        <f>(Table134[[#This Row],[Last_Day]]-Table134[[#This Row],[First_Day]]+1)/365</f>
        <v>2.7397260273972603E-3</v>
      </c>
      <c r="J1867" s="59">
        <f>Table134[[#This Row],[number_of_purchases]]/Table134[[#This Row],[customer_total_years]]</f>
        <v>365</v>
      </c>
      <c r="K1867" s="13">
        <f>Table134[[#This Row],[purchase_history]]/Table134[[#This Row],[number_of_purchases]]</f>
        <v>600.16999999999996</v>
      </c>
      <c r="L1867" s="2">
        <f>IF(YEAR(Table134[[#This Row],[Last_Day]])=2021,5,IF(YEAR(Table134[[#This Row],[Last_Day]])=2022,7,IF(YEAR(Table134[[#This Row],[Last_Day]])=2023,10,"Không xác định")))</f>
        <v>5</v>
      </c>
      <c r="M1867" s="15">
        <f>Table134[[#This Row],[avg_number_of_purchases]]*Table1345[[#This Row],[avg_purchase_value]]*Table1345[[#This Row],[expected_lifespan]]</f>
        <v>1095310.25</v>
      </c>
      <c r="N1867" t="s">
        <v>12044</v>
      </c>
    </row>
    <row r="1868" spans="1:14" x14ac:dyDescent="0.3">
      <c r="A1868" s="2" t="s">
        <v>1866</v>
      </c>
      <c r="B1868" s="2" t="s">
        <v>12040</v>
      </c>
      <c r="C1868" s="2">
        <v>45</v>
      </c>
      <c r="D1868" s="2" t="s">
        <v>12041</v>
      </c>
      <c r="E1868" s="2">
        <f>COUNTIF(Table16[customer_id],Table13[[#This Row],[customer_id]])</f>
        <v>4</v>
      </c>
      <c r="F1868" s="13">
        <f>SUMIFS(Table16[Purchase_history],Table16[customer_id],Table13[[#This Row],[customer_id]])</f>
        <v>6606.99</v>
      </c>
      <c r="G1868" s="20">
        <v>44282</v>
      </c>
      <c r="H1868" s="21">
        <v>44970</v>
      </c>
      <c r="I1868" s="15">
        <f>(Table134[[#This Row],[Last_Day]]-Table134[[#This Row],[First_Day]]+1)/365</f>
        <v>1.8876712328767122</v>
      </c>
      <c r="J1868" s="59">
        <f>Table134[[#This Row],[number_of_purchases]]/Table134[[#This Row],[customer_total_years]]</f>
        <v>2.1190130624092891</v>
      </c>
      <c r="K1868" s="13">
        <f>Table134[[#This Row],[purchase_history]]/Table134[[#This Row],[number_of_purchases]]</f>
        <v>1651.7474999999999</v>
      </c>
      <c r="L1868" s="2">
        <f>IF(YEAR(Table134[[#This Row],[Last_Day]])=2021,5,IF(YEAR(Table134[[#This Row],[Last_Day]])=2022,7,IF(YEAR(Table134[[#This Row],[Last_Day]])=2023,10,"Không xác định")))</f>
        <v>10</v>
      </c>
      <c r="M1868" s="15">
        <f>Table134[[#This Row],[avg_number_of_purchases]]*Table1345[[#This Row],[avg_purchase_value]]*Table1345[[#This Row],[expected_lifespan]]</f>
        <v>35000.74528301887</v>
      </c>
      <c r="N1868" t="s">
        <v>12042</v>
      </c>
    </row>
    <row r="1869" spans="1:14" x14ac:dyDescent="0.3">
      <c r="A1869" s="2" t="s">
        <v>1867</v>
      </c>
      <c r="B1869" s="2" t="s">
        <v>12040</v>
      </c>
      <c r="C1869" s="2"/>
      <c r="D1869" s="2" t="s">
        <v>12049</v>
      </c>
      <c r="E1869" s="2">
        <f>COUNTIF(Table16[customer_id],Table13[[#This Row],[customer_id]])</f>
        <v>3</v>
      </c>
      <c r="F1869" s="13">
        <f>SUMIFS(Table16[Purchase_history],Table16[customer_id],Table13[[#This Row],[customer_id]])</f>
        <v>3106.96</v>
      </c>
      <c r="G1869" s="20">
        <v>44350</v>
      </c>
      <c r="H1869" s="21">
        <v>44815</v>
      </c>
      <c r="I1869" s="15">
        <f>(Table134[[#This Row],[Last_Day]]-Table134[[#This Row],[First_Day]]+1)/365</f>
        <v>1.2767123287671234</v>
      </c>
      <c r="J1869" s="59">
        <f>Table134[[#This Row],[number_of_purchases]]/Table134[[#This Row],[customer_total_years]]</f>
        <v>2.3497854077253217</v>
      </c>
      <c r="K1869" s="13">
        <f>Table134[[#This Row],[purchase_history]]/Table134[[#This Row],[number_of_purchases]]</f>
        <v>1035.6533333333334</v>
      </c>
      <c r="L1869" s="2">
        <f>IF(YEAR(Table134[[#This Row],[Last_Day]])=2021,5,IF(YEAR(Table134[[#This Row],[Last_Day]])=2022,7,IF(YEAR(Table134[[#This Row],[Last_Day]])=2023,10,"Không xác định")))</f>
        <v>7</v>
      </c>
      <c r="M1869" s="15">
        <f>Table134[[#This Row],[avg_number_of_purchases]]*Table1345[[#This Row],[avg_purchase_value]]*Table1345[[#This Row],[expected_lifespan]]</f>
        <v>17034.941630901289</v>
      </c>
      <c r="N1869" t="s">
        <v>12046</v>
      </c>
    </row>
    <row r="1870" spans="1:14" x14ac:dyDescent="0.3">
      <c r="A1870" s="2" t="s">
        <v>1868</v>
      </c>
      <c r="B1870" s="2" t="s">
        <v>12045</v>
      </c>
      <c r="C1870" s="2">
        <v>48</v>
      </c>
      <c r="D1870" s="2" t="s">
        <v>12043</v>
      </c>
      <c r="E1870" s="2">
        <f>COUNTIF(Table16[customer_id],Table13[[#This Row],[customer_id]])</f>
        <v>7</v>
      </c>
      <c r="F1870" s="13">
        <f>SUMIFS(Table16[Purchase_history],Table16[customer_id],Table13[[#This Row],[customer_id]])</f>
        <v>13490.16</v>
      </c>
      <c r="G1870" s="20">
        <v>44284</v>
      </c>
      <c r="H1870" s="21">
        <v>44874</v>
      </c>
      <c r="I1870" s="15">
        <f>(Table134[[#This Row],[Last_Day]]-Table134[[#This Row],[First_Day]]+1)/365</f>
        <v>1.6191780821917807</v>
      </c>
      <c r="J1870" s="59">
        <f>Table134[[#This Row],[number_of_purchases]]/Table134[[#This Row],[customer_total_years]]</f>
        <v>4.3231810490693743</v>
      </c>
      <c r="K1870" s="13">
        <f>Table134[[#This Row],[purchase_history]]/Table134[[#This Row],[number_of_purchases]]</f>
        <v>1927.1657142857143</v>
      </c>
      <c r="L1870" s="2">
        <f>IF(YEAR(Table134[[#This Row],[Last_Day]])=2021,5,IF(YEAR(Table134[[#This Row],[Last_Day]])=2022,7,IF(YEAR(Table134[[#This Row],[Last_Day]])=2023,10,"Không xác định")))</f>
        <v>7</v>
      </c>
      <c r="M1870" s="15">
        <f>Table134[[#This Row],[avg_number_of_purchases]]*Table1345[[#This Row],[avg_purchase_value]]*Table1345[[#This Row],[expected_lifespan]]</f>
        <v>58320.404060913716</v>
      </c>
      <c r="N1870" t="s">
        <v>12046</v>
      </c>
    </row>
    <row r="1871" spans="1:14" x14ac:dyDescent="0.3">
      <c r="A1871" s="2" t="s">
        <v>1869</v>
      </c>
      <c r="B1871" s="2" t="s">
        <v>12040</v>
      </c>
      <c r="C1871" s="2">
        <v>30</v>
      </c>
      <c r="D1871" s="2" t="s">
        <v>12049</v>
      </c>
      <c r="E1871" s="2">
        <f>COUNTIF(Table16[customer_id],Table13[[#This Row],[customer_id]])</f>
        <v>4</v>
      </c>
      <c r="F1871" s="13">
        <f>SUMIFS(Table16[Purchase_history],Table16[customer_id],Table13[[#This Row],[customer_id]])</f>
        <v>5272.7699999999995</v>
      </c>
      <c r="G1871" s="20">
        <v>44395</v>
      </c>
      <c r="H1871" s="21">
        <v>44903</v>
      </c>
      <c r="I1871" s="15">
        <f>(Table134[[#This Row],[Last_Day]]-Table134[[#This Row],[First_Day]]+1)/365</f>
        <v>1.3945205479452054</v>
      </c>
      <c r="J1871" s="59">
        <f>Table134[[#This Row],[number_of_purchases]]/Table134[[#This Row],[customer_total_years]]</f>
        <v>2.8683693516699411</v>
      </c>
      <c r="K1871" s="13">
        <f>Table134[[#This Row],[purchase_history]]/Table134[[#This Row],[number_of_purchases]]</f>
        <v>1318.1924999999999</v>
      </c>
      <c r="L1871" s="2">
        <f>IF(YEAR(Table134[[#This Row],[Last_Day]])=2021,5,IF(YEAR(Table134[[#This Row],[Last_Day]])=2022,7,IF(YEAR(Table134[[#This Row],[Last_Day]])=2023,10,"Không xác định")))</f>
        <v>7</v>
      </c>
      <c r="M1871" s="15">
        <f>Table134[[#This Row],[avg_number_of_purchases]]*Table1345[[#This Row],[avg_purchase_value]]*Table1345[[#This Row],[expected_lifespan]]</f>
        <v>26467.440766208252</v>
      </c>
      <c r="N1871" t="s">
        <v>12042</v>
      </c>
    </row>
    <row r="1872" spans="1:14" x14ac:dyDescent="0.3">
      <c r="A1872" s="2" t="s">
        <v>1870</v>
      </c>
      <c r="B1872" s="2" t="s">
        <v>12040</v>
      </c>
      <c r="C1872" s="2">
        <v>68</v>
      </c>
      <c r="D1872" s="2" t="s">
        <v>12041</v>
      </c>
      <c r="E1872" s="2">
        <f>COUNTIF(Table16[customer_id],Table13[[#This Row],[customer_id]])</f>
        <v>6</v>
      </c>
      <c r="F1872" s="13">
        <f>SUMIFS(Table16[Purchase_history],Table16[customer_id],Table13[[#This Row],[customer_id]])</f>
        <v>10670.77</v>
      </c>
      <c r="G1872" s="20">
        <v>44231</v>
      </c>
      <c r="H1872" s="21">
        <v>44785</v>
      </c>
      <c r="I1872" s="15">
        <f>(Table134[[#This Row],[Last_Day]]-Table134[[#This Row],[First_Day]]+1)/365</f>
        <v>1.5205479452054795</v>
      </c>
      <c r="J1872" s="59">
        <f>Table134[[#This Row],[number_of_purchases]]/Table134[[#This Row],[customer_total_years]]</f>
        <v>3.9459459459459456</v>
      </c>
      <c r="K1872" s="13">
        <f>Table134[[#This Row],[purchase_history]]/Table134[[#This Row],[number_of_purchases]]</f>
        <v>1778.4616666666668</v>
      </c>
      <c r="L1872" s="2">
        <f>IF(YEAR(Table134[[#This Row],[Last_Day]])=2021,5,IF(YEAR(Table134[[#This Row],[Last_Day]])=2022,7,IF(YEAR(Table134[[#This Row],[Last_Day]])=2023,10,"Không xác định")))</f>
        <v>7</v>
      </c>
      <c r="M1872" s="15">
        <f>Table134[[#This Row],[avg_number_of_purchases]]*Table1345[[#This Row],[avg_purchase_value]]*Table1345[[#This Row],[expected_lifespan]]</f>
        <v>49123.995225225226</v>
      </c>
      <c r="N1872" t="s">
        <v>12047</v>
      </c>
    </row>
    <row r="1873" spans="1:14" x14ac:dyDescent="0.3">
      <c r="A1873" s="2" t="s">
        <v>1871</v>
      </c>
      <c r="B1873" s="2" t="s">
        <v>12045</v>
      </c>
      <c r="C1873" s="2">
        <v>65</v>
      </c>
      <c r="D1873" s="2" t="s">
        <v>12043</v>
      </c>
      <c r="E1873" s="2">
        <f>COUNTIF(Table16[customer_id],Table13[[#This Row],[customer_id]])</f>
        <v>7</v>
      </c>
      <c r="F1873" s="13">
        <f>SUMIFS(Table16[Purchase_history],Table16[customer_id],Table13[[#This Row],[customer_id]])</f>
        <v>14315.52</v>
      </c>
      <c r="G1873" s="20">
        <v>44313</v>
      </c>
      <c r="H1873" s="21">
        <v>44920</v>
      </c>
      <c r="I1873" s="15">
        <f>(Table134[[#This Row],[Last_Day]]-Table134[[#This Row],[First_Day]]+1)/365</f>
        <v>1.6657534246575343</v>
      </c>
      <c r="J1873" s="59">
        <f>Table134[[#This Row],[number_of_purchases]]/Table134[[#This Row],[customer_total_years]]</f>
        <v>4.2023026315789469</v>
      </c>
      <c r="K1873" s="13">
        <f>Table134[[#This Row],[purchase_history]]/Table134[[#This Row],[number_of_purchases]]</f>
        <v>2045.0742857142857</v>
      </c>
      <c r="L1873" s="2">
        <f>IF(YEAR(Table134[[#This Row],[Last_Day]])=2021,5,IF(YEAR(Table134[[#This Row],[Last_Day]])=2022,7,IF(YEAR(Table134[[#This Row],[Last_Day]])=2023,10,"Không xác định")))</f>
        <v>7</v>
      </c>
      <c r="M1873" s="15">
        <f>Table134[[#This Row],[avg_number_of_purchases]]*Table1345[[#This Row],[avg_purchase_value]]*Table1345[[#This Row],[expected_lifespan]]</f>
        <v>60158.14736842105</v>
      </c>
      <c r="N1873" t="s">
        <v>12044</v>
      </c>
    </row>
    <row r="1874" spans="1:14" x14ac:dyDescent="0.3">
      <c r="A1874" s="2" t="s">
        <v>1872</v>
      </c>
      <c r="B1874" s="2" t="s">
        <v>12040</v>
      </c>
      <c r="C1874" s="2">
        <v>68</v>
      </c>
      <c r="D1874" s="2" t="s">
        <v>12041</v>
      </c>
      <c r="E1874" s="2">
        <f>COUNTIF(Table16[customer_id],Table13[[#This Row],[customer_id]])</f>
        <v>5</v>
      </c>
      <c r="F1874" s="13">
        <f>SUMIFS(Table16[Purchase_history],Table16[customer_id],Table13[[#This Row],[customer_id]])</f>
        <v>6601.51</v>
      </c>
      <c r="G1874" s="20">
        <v>44198</v>
      </c>
      <c r="H1874" s="21">
        <v>44843</v>
      </c>
      <c r="I1874" s="15">
        <f>(Table134[[#This Row],[Last_Day]]-Table134[[#This Row],[First_Day]]+1)/365</f>
        <v>1.7698630136986302</v>
      </c>
      <c r="J1874" s="59">
        <f>Table134[[#This Row],[number_of_purchases]]/Table134[[#This Row],[customer_total_years]]</f>
        <v>2.8250773993808047</v>
      </c>
      <c r="K1874" s="13">
        <f>Table134[[#This Row],[purchase_history]]/Table134[[#This Row],[number_of_purchases]]</f>
        <v>1320.3020000000001</v>
      </c>
      <c r="L1874" s="2">
        <f>IF(YEAR(Table134[[#This Row],[Last_Day]])=2021,5,IF(YEAR(Table134[[#This Row],[Last_Day]])=2022,7,IF(YEAR(Table134[[#This Row],[Last_Day]])=2023,10,"Không xác định")))</f>
        <v>7</v>
      </c>
      <c r="M1874" s="15">
        <f>Table134[[#This Row],[avg_number_of_purchases]]*Table1345[[#This Row],[avg_purchase_value]]*Table1345[[#This Row],[expected_lifespan]]</f>
        <v>26109.687383900928</v>
      </c>
      <c r="N1874" t="s">
        <v>12044</v>
      </c>
    </row>
    <row r="1875" spans="1:14" x14ac:dyDescent="0.3">
      <c r="A1875" s="2" t="s">
        <v>1873</v>
      </c>
      <c r="B1875" s="2" t="s">
        <v>12045</v>
      </c>
      <c r="C1875" s="2">
        <v>56</v>
      </c>
      <c r="D1875" s="2" t="s">
        <v>12041</v>
      </c>
      <c r="E1875" s="2">
        <f>COUNTIF(Table16[customer_id],Table13[[#This Row],[customer_id]])</f>
        <v>3</v>
      </c>
      <c r="F1875" s="13">
        <f>SUMIFS(Table16[Purchase_history],Table16[customer_id],Table13[[#This Row],[customer_id]])</f>
        <v>8592.66</v>
      </c>
      <c r="G1875" s="20">
        <v>44221</v>
      </c>
      <c r="H1875" s="21">
        <v>44808</v>
      </c>
      <c r="I1875" s="15">
        <f>(Table134[[#This Row],[Last_Day]]-Table134[[#This Row],[First_Day]]+1)/365</f>
        <v>1.6109589041095891</v>
      </c>
      <c r="J1875" s="59">
        <f>Table134[[#This Row],[number_of_purchases]]/Table134[[#This Row],[customer_total_years]]</f>
        <v>1.8622448979591837</v>
      </c>
      <c r="K1875" s="13">
        <f>Table134[[#This Row],[purchase_history]]/Table134[[#This Row],[number_of_purchases]]</f>
        <v>2864.22</v>
      </c>
      <c r="L1875" s="2">
        <f>IF(YEAR(Table134[[#This Row],[Last_Day]])=2021,5,IF(YEAR(Table134[[#This Row],[Last_Day]])=2022,7,IF(YEAR(Table134[[#This Row],[Last_Day]])=2023,10,"Không xác định")))</f>
        <v>7</v>
      </c>
      <c r="M1875" s="15">
        <f>Table134[[#This Row],[avg_number_of_purchases]]*Table1345[[#This Row],[avg_purchase_value]]*Table1345[[#This Row],[expected_lifespan]]</f>
        <v>37337.153571428571</v>
      </c>
      <c r="N1875" t="s">
        <v>12047</v>
      </c>
    </row>
    <row r="1876" spans="1:14" x14ac:dyDescent="0.3">
      <c r="A1876" s="2" t="s">
        <v>1874</v>
      </c>
      <c r="B1876" s="2" t="s">
        <v>12040</v>
      </c>
      <c r="C1876" s="2">
        <v>25</v>
      </c>
      <c r="D1876" s="2" t="s">
        <v>12041</v>
      </c>
      <c r="E1876" s="2">
        <f>COUNTIF(Table16[customer_id],Table13[[#This Row],[customer_id]])</f>
        <v>3</v>
      </c>
      <c r="F1876" s="13">
        <f>SUMIFS(Table16[Purchase_history],Table16[customer_id],Table13[[#This Row],[customer_id]])</f>
        <v>5220.6899999999996</v>
      </c>
      <c r="G1876" s="20">
        <v>44521</v>
      </c>
      <c r="H1876" s="21">
        <v>44952</v>
      </c>
      <c r="I1876" s="15">
        <f>(Table134[[#This Row],[Last_Day]]-Table134[[#This Row],[First_Day]]+1)/365</f>
        <v>1.1835616438356165</v>
      </c>
      <c r="J1876" s="59">
        <f>Table134[[#This Row],[number_of_purchases]]/Table134[[#This Row],[customer_total_years]]</f>
        <v>2.5347222222222223</v>
      </c>
      <c r="K1876" s="13">
        <f>Table134[[#This Row],[purchase_history]]/Table134[[#This Row],[number_of_purchases]]</f>
        <v>1740.2299999999998</v>
      </c>
      <c r="L1876" s="2">
        <f>IF(YEAR(Table134[[#This Row],[Last_Day]])=2021,5,IF(YEAR(Table134[[#This Row],[Last_Day]])=2022,7,IF(YEAR(Table134[[#This Row],[Last_Day]])=2023,10,"Không xác định")))</f>
        <v>10</v>
      </c>
      <c r="M1876" s="15">
        <f>Table134[[#This Row],[avg_number_of_purchases]]*Table1345[[#This Row],[avg_purchase_value]]*Table1345[[#This Row],[expected_lifespan]]</f>
        <v>44109.996527777774</v>
      </c>
      <c r="N1876" t="s">
        <v>12048</v>
      </c>
    </row>
    <row r="1877" spans="1:14" x14ac:dyDescent="0.3">
      <c r="A1877" s="2" t="s">
        <v>1875</v>
      </c>
      <c r="B1877" s="2" t="s">
        <v>12045</v>
      </c>
      <c r="C1877" s="2">
        <v>26</v>
      </c>
      <c r="D1877" s="2" t="s">
        <v>12049</v>
      </c>
      <c r="E1877" s="2">
        <f>COUNTIF(Table16[customer_id],Table13[[#This Row],[customer_id]])</f>
        <v>4</v>
      </c>
      <c r="F1877" s="13">
        <f>SUMIFS(Table16[Purchase_history],Table16[customer_id],Table13[[#This Row],[customer_id]])</f>
        <v>8790.0499999999993</v>
      </c>
      <c r="G1877" s="20">
        <v>44520</v>
      </c>
      <c r="H1877" s="21">
        <v>44843</v>
      </c>
      <c r="I1877" s="15">
        <f>(Table134[[#This Row],[Last_Day]]-Table134[[#This Row],[First_Day]]+1)/365</f>
        <v>0.88767123287671235</v>
      </c>
      <c r="J1877" s="59">
        <f>Table134[[#This Row],[number_of_purchases]]/Table134[[#This Row],[customer_total_years]]</f>
        <v>4.5061728395061724</v>
      </c>
      <c r="K1877" s="13">
        <f>Table134[[#This Row],[purchase_history]]/Table134[[#This Row],[number_of_purchases]]</f>
        <v>2197.5124999999998</v>
      </c>
      <c r="L1877" s="2">
        <f>IF(YEAR(Table134[[#This Row],[Last_Day]])=2021,5,IF(YEAR(Table134[[#This Row],[Last_Day]])=2022,7,IF(YEAR(Table134[[#This Row],[Last_Day]])=2023,10,"Không xác định")))</f>
        <v>7</v>
      </c>
      <c r="M1877" s="15">
        <f>Table134[[#This Row],[avg_number_of_purchases]]*Table1345[[#This Row],[avg_purchase_value]]*Table1345[[#This Row],[expected_lifespan]]</f>
        <v>69316.597993827148</v>
      </c>
      <c r="N1877" t="s">
        <v>12046</v>
      </c>
    </row>
    <row r="1878" spans="1:14" x14ac:dyDescent="0.3">
      <c r="A1878" s="2" t="s">
        <v>1876</v>
      </c>
      <c r="B1878" s="2" t="s">
        <v>12040</v>
      </c>
      <c r="C1878" s="2">
        <v>37</v>
      </c>
      <c r="D1878" s="2" t="s">
        <v>12041</v>
      </c>
      <c r="E1878" s="2">
        <f>COUNTIF(Table16[customer_id],Table13[[#This Row],[customer_id]])</f>
        <v>4</v>
      </c>
      <c r="F1878" s="13">
        <f>SUMIFS(Table16[Purchase_history],Table16[customer_id],Table13[[#This Row],[customer_id]])</f>
        <v>17998.36</v>
      </c>
      <c r="G1878" s="20">
        <v>44711</v>
      </c>
      <c r="H1878" s="21">
        <v>44977</v>
      </c>
      <c r="I1878" s="15">
        <f>(Table134[[#This Row],[Last_Day]]-Table134[[#This Row],[First_Day]]+1)/365</f>
        <v>0.73150684931506849</v>
      </c>
      <c r="J1878" s="59">
        <f>Table134[[#This Row],[number_of_purchases]]/Table134[[#This Row],[customer_total_years]]</f>
        <v>5.4681647940074907</v>
      </c>
      <c r="K1878" s="13">
        <f>Table134[[#This Row],[purchase_history]]/Table134[[#This Row],[number_of_purchases]]</f>
        <v>4499.59</v>
      </c>
      <c r="L1878" s="2">
        <f>IF(YEAR(Table134[[#This Row],[Last_Day]])=2021,5,IF(YEAR(Table134[[#This Row],[Last_Day]])=2022,7,IF(YEAR(Table134[[#This Row],[Last_Day]])=2023,10,"Không xác định")))</f>
        <v>10</v>
      </c>
      <c r="M1878" s="15">
        <f>Table134[[#This Row],[avg_number_of_purchases]]*Table1345[[#This Row],[avg_purchase_value]]*Table1345[[#This Row],[expected_lifespan]]</f>
        <v>246044.99625468164</v>
      </c>
      <c r="N1878" t="s">
        <v>12048</v>
      </c>
    </row>
    <row r="1879" spans="1:14" x14ac:dyDescent="0.3">
      <c r="A1879" s="2" t="s">
        <v>1877</v>
      </c>
      <c r="B1879" s="2" t="s">
        <v>12040</v>
      </c>
      <c r="C1879" s="2">
        <v>53</v>
      </c>
      <c r="D1879" s="2" t="s">
        <v>12043</v>
      </c>
      <c r="E1879" s="2">
        <f>COUNTIF(Table16[customer_id],Table13[[#This Row],[customer_id]])</f>
        <v>6</v>
      </c>
      <c r="F1879" s="13">
        <f>SUMIFS(Table16[Purchase_history],Table16[customer_id],Table13[[#This Row],[customer_id]])</f>
        <v>11594.59</v>
      </c>
      <c r="G1879" s="20">
        <v>44310</v>
      </c>
      <c r="H1879" s="21">
        <v>44898</v>
      </c>
      <c r="I1879" s="15">
        <f>(Table134[[#This Row],[Last_Day]]-Table134[[#This Row],[First_Day]]+1)/365</f>
        <v>1.6136986301369862</v>
      </c>
      <c r="J1879" s="59">
        <f>Table134[[#This Row],[number_of_purchases]]/Table134[[#This Row],[customer_total_years]]</f>
        <v>3.7181663837011887</v>
      </c>
      <c r="K1879" s="13">
        <f>Table134[[#This Row],[purchase_history]]/Table134[[#This Row],[number_of_purchases]]</f>
        <v>1932.4316666666666</v>
      </c>
      <c r="L1879" s="2">
        <f>IF(YEAR(Table134[[#This Row],[Last_Day]])=2021,5,IF(YEAR(Table134[[#This Row],[Last_Day]])=2022,7,IF(YEAR(Table134[[#This Row],[Last_Day]])=2023,10,"Không xác định")))</f>
        <v>7</v>
      </c>
      <c r="M1879" s="15">
        <f>Table134[[#This Row],[avg_number_of_purchases]]*Table1345[[#This Row],[avg_purchase_value]]*Table1345[[#This Row],[expected_lifespan]]</f>
        <v>50295.717232597628</v>
      </c>
      <c r="N1879" t="s">
        <v>12046</v>
      </c>
    </row>
    <row r="1880" spans="1:14" x14ac:dyDescent="0.3">
      <c r="A1880" s="2" t="s">
        <v>1878</v>
      </c>
      <c r="B1880" s="2" t="s">
        <v>12040</v>
      </c>
      <c r="C1880" s="2">
        <v>53</v>
      </c>
      <c r="D1880" s="2" t="s">
        <v>12043</v>
      </c>
      <c r="E1880" s="2">
        <f>COUNTIF(Table16[customer_id],Table13[[#This Row],[customer_id]])</f>
        <v>6</v>
      </c>
      <c r="F1880" s="13">
        <f>SUMIFS(Table16[Purchase_history],Table16[customer_id],Table13[[#This Row],[customer_id]])</f>
        <v>47851.72</v>
      </c>
      <c r="G1880" s="20">
        <v>44372</v>
      </c>
      <c r="H1880" s="21">
        <v>44936</v>
      </c>
      <c r="I1880" s="15">
        <f>(Table134[[#This Row],[Last_Day]]-Table134[[#This Row],[First_Day]]+1)/365</f>
        <v>1.547945205479452</v>
      </c>
      <c r="J1880" s="59">
        <f>Table134[[#This Row],[number_of_purchases]]/Table134[[#This Row],[customer_total_years]]</f>
        <v>3.8761061946902657</v>
      </c>
      <c r="K1880" s="13">
        <f>Table134[[#This Row],[purchase_history]]/Table134[[#This Row],[number_of_purchases]]</f>
        <v>7975.2866666666669</v>
      </c>
      <c r="L1880" s="2">
        <f>IF(YEAR(Table134[[#This Row],[Last_Day]])=2021,5,IF(YEAR(Table134[[#This Row],[Last_Day]])=2022,7,IF(YEAR(Table134[[#This Row],[Last_Day]])=2023,10,"Không xác định")))</f>
        <v>10</v>
      </c>
      <c r="M1880" s="15">
        <f>Table134[[#This Row],[avg_number_of_purchases]]*Table1345[[#This Row],[avg_purchase_value]]*Table1345[[#This Row],[expected_lifespan]]</f>
        <v>309130.5805309735</v>
      </c>
      <c r="N1880" t="s">
        <v>12042</v>
      </c>
    </row>
    <row r="1881" spans="1:14" x14ac:dyDescent="0.3">
      <c r="A1881" s="2" t="s">
        <v>1879</v>
      </c>
      <c r="B1881" s="2" t="s">
        <v>12040</v>
      </c>
      <c r="C1881" s="2">
        <v>51</v>
      </c>
      <c r="D1881" s="2" t="s">
        <v>12041</v>
      </c>
      <c r="E1881" s="2">
        <f>COUNTIF(Table16[customer_id],Table13[[#This Row],[customer_id]])</f>
        <v>8</v>
      </c>
      <c r="F1881" s="13">
        <f>SUMIFS(Table16[Purchase_history],Table16[customer_id],Table13[[#This Row],[customer_id]])</f>
        <v>29156.82</v>
      </c>
      <c r="G1881" s="20">
        <v>44309</v>
      </c>
      <c r="H1881" s="21">
        <v>44829</v>
      </c>
      <c r="I1881" s="15">
        <f>(Table134[[#This Row],[Last_Day]]-Table134[[#This Row],[First_Day]]+1)/365</f>
        <v>1.4273972602739726</v>
      </c>
      <c r="J1881" s="59">
        <f>Table134[[#This Row],[number_of_purchases]]/Table134[[#This Row],[customer_total_years]]</f>
        <v>5.6046065259117084</v>
      </c>
      <c r="K1881" s="13">
        <f>Table134[[#This Row],[purchase_history]]/Table134[[#This Row],[number_of_purchases]]</f>
        <v>3644.6025</v>
      </c>
      <c r="L1881" s="2">
        <f>IF(YEAR(Table134[[#This Row],[Last_Day]])=2021,5,IF(YEAR(Table134[[#This Row],[Last_Day]])=2022,7,IF(YEAR(Table134[[#This Row],[Last_Day]])=2023,10,"Không xác định")))</f>
        <v>7</v>
      </c>
      <c r="M1881" s="15">
        <f>Table134[[#This Row],[avg_number_of_purchases]]*Table1345[[#This Row],[avg_purchase_value]]*Table1345[[#This Row],[expected_lifespan]]</f>
        <v>142985.9406909789</v>
      </c>
      <c r="N1881" t="s">
        <v>12044</v>
      </c>
    </row>
    <row r="1882" spans="1:14" x14ac:dyDescent="0.3">
      <c r="A1882" s="2" t="s">
        <v>1880</v>
      </c>
      <c r="B1882" s="2" t="s">
        <v>12045</v>
      </c>
      <c r="C1882" s="2">
        <v>27</v>
      </c>
      <c r="D1882" s="2" t="s">
        <v>12043</v>
      </c>
      <c r="E1882" s="2">
        <f>COUNTIF(Table16[customer_id],Table13[[#This Row],[customer_id]])</f>
        <v>3</v>
      </c>
      <c r="F1882" s="13">
        <f>SUMIFS(Table16[Purchase_history],Table16[customer_id],Table13[[#This Row],[customer_id]])</f>
        <v>10197.08</v>
      </c>
      <c r="G1882" s="20">
        <v>44280</v>
      </c>
      <c r="H1882" s="21">
        <v>44401</v>
      </c>
      <c r="I1882" s="15">
        <f>(Table134[[#This Row],[Last_Day]]-Table134[[#This Row],[First_Day]]+1)/365</f>
        <v>0.33424657534246577</v>
      </c>
      <c r="J1882" s="59">
        <f>Table134[[#This Row],[number_of_purchases]]/Table134[[#This Row],[customer_total_years]]</f>
        <v>8.9754098360655732</v>
      </c>
      <c r="K1882" s="13">
        <f>Table134[[#This Row],[purchase_history]]/Table134[[#This Row],[number_of_purchases]]</f>
        <v>3399.0266666666666</v>
      </c>
      <c r="L1882" s="2">
        <f>IF(YEAR(Table134[[#This Row],[Last_Day]])=2021,5,IF(YEAR(Table134[[#This Row],[Last_Day]])=2022,7,IF(YEAR(Table134[[#This Row],[Last_Day]])=2023,10,"Không xác định")))</f>
        <v>5</v>
      </c>
      <c r="M1882" s="15">
        <f>Table134[[#This Row],[avg_number_of_purchases]]*Table1345[[#This Row],[avg_purchase_value]]*Table1345[[#This Row],[expected_lifespan]]</f>
        <v>152538.28688524588</v>
      </c>
      <c r="N1882" t="s">
        <v>12044</v>
      </c>
    </row>
    <row r="1883" spans="1:14" x14ac:dyDescent="0.3">
      <c r="A1883" s="2" t="s">
        <v>1881</v>
      </c>
      <c r="B1883" s="2" t="s">
        <v>12040</v>
      </c>
      <c r="C1883" s="2">
        <v>27</v>
      </c>
      <c r="D1883" s="2" t="s">
        <v>12049</v>
      </c>
      <c r="E1883" s="2">
        <f>COUNTIF(Table16[customer_id],Table13[[#This Row],[customer_id]])</f>
        <v>1</v>
      </c>
      <c r="F1883" s="13">
        <f>SUMIFS(Table16[Purchase_history],Table16[customer_id],Table13[[#This Row],[customer_id]])</f>
        <v>2400.6799999999998</v>
      </c>
      <c r="G1883" s="20">
        <v>44665</v>
      </c>
      <c r="H1883" s="21">
        <v>44665</v>
      </c>
      <c r="I1883" s="15">
        <f>(Table134[[#This Row],[Last_Day]]-Table134[[#This Row],[First_Day]]+1)/365</f>
        <v>2.7397260273972603E-3</v>
      </c>
      <c r="J1883" s="59">
        <f>Table134[[#This Row],[number_of_purchases]]/Table134[[#This Row],[customer_total_years]]</f>
        <v>365</v>
      </c>
      <c r="K1883" s="13">
        <f>Table134[[#This Row],[purchase_history]]/Table134[[#This Row],[number_of_purchases]]</f>
        <v>2400.6799999999998</v>
      </c>
      <c r="L1883" s="2">
        <f>IF(YEAR(Table134[[#This Row],[Last_Day]])=2021,5,IF(YEAR(Table134[[#This Row],[Last_Day]])=2022,7,IF(YEAR(Table134[[#This Row],[Last_Day]])=2023,10,"Không xác định")))</f>
        <v>7</v>
      </c>
      <c r="M1883" s="15">
        <f>Table134[[#This Row],[avg_number_of_purchases]]*Table1345[[#This Row],[avg_purchase_value]]*Table1345[[#This Row],[expected_lifespan]]</f>
        <v>6133737.3999999994</v>
      </c>
      <c r="N1883" t="s">
        <v>12046</v>
      </c>
    </row>
    <row r="1884" spans="1:14" x14ac:dyDescent="0.3">
      <c r="A1884" s="2" t="s">
        <v>1882</v>
      </c>
      <c r="B1884" s="2" t="s">
        <v>12045</v>
      </c>
      <c r="C1884" s="2">
        <v>67</v>
      </c>
      <c r="D1884" s="2" t="s">
        <v>12049</v>
      </c>
      <c r="E1884" s="2">
        <f>COUNTIF(Table16[customer_id],Table13[[#This Row],[customer_id]])</f>
        <v>2</v>
      </c>
      <c r="F1884" s="13">
        <f>SUMIFS(Table16[Purchase_history],Table16[customer_id],Table13[[#This Row],[customer_id]])</f>
        <v>1250.73</v>
      </c>
      <c r="G1884" s="20">
        <v>44317</v>
      </c>
      <c r="H1884" s="21">
        <v>44404</v>
      </c>
      <c r="I1884" s="15">
        <f>(Table134[[#This Row],[Last_Day]]-Table134[[#This Row],[First_Day]]+1)/365</f>
        <v>0.24109589041095891</v>
      </c>
      <c r="J1884" s="59">
        <f>Table134[[#This Row],[number_of_purchases]]/Table134[[#This Row],[customer_total_years]]</f>
        <v>8.295454545454545</v>
      </c>
      <c r="K1884" s="13">
        <f>Table134[[#This Row],[purchase_history]]/Table134[[#This Row],[number_of_purchases]]</f>
        <v>625.36500000000001</v>
      </c>
      <c r="L1884" s="2">
        <f>IF(YEAR(Table134[[#This Row],[Last_Day]])=2021,5,IF(YEAR(Table134[[#This Row],[Last_Day]])=2022,7,IF(YEAR(Table134[[#This Row],[Last_Day]])=2023,10,"Không xác định")))</f>
        <v>5</v>
      </c>
      <c r="M1884" s="15">
        <f>Table134[[#This Row],[avg_number_of_purchases]]*Table1345[[#This Row],[avg_purchase_value]]*Table1345[[#This Row],[expected_lifespan]]</f>
        <v>25938.434659090908</v>
      </c>
      <c r="N1884" t="s">
        <v>12046</v>
      </c>
    </row>
    <row r="1885" spans="1:14" x14ac:dyDescent="0.3">
      <c r="A1885" s="2" t="s">
        <v>1883</v>
      </c>
      <c r="B1885" s="2" t="s">
        <v>12040</v>
      </c>
      <c r="C1885" s="2">
        <v>22</v>
      </c>
      <c r="D1885" s="2" t="s">
        <v>12043</v>
      </c>
      <c r="E1885" s="2">
        <f>COUNTIF(Table16[customer_id],Table13[[#This Row],[customer_id]])</f>
        <v>5</v>
      </c>
      <c r="F1885" s="13">
        <f>SUMIFS(Table16[Purchase_history],Table16[customer_id],Table13[[#This Row],[customer_id]])</f>
        <v>18497.11</v>
      </c>
      <c r="G1885" s="20">
        <v>44485</v>
      </c>
      <c r="H1885" s="21">
        <v>44776</v>
      </c>
      <c r="I1885" s="15">
        <f>(Table134[[#This Row],[Last_Day]]-Table134[[#This Row],[First_Day]]+1)/365</f>
        <v>0.8</v>
      </c>
      <c r="J1885" s="59">
        <f>Table134[[#This Row],[number_of_purchases]]/Table134[[#This Row],[customer_total_years]]</f>
        <v>6.25</v>
      </c>
      <c r="K1885" s="13">
        <f>Table134[[#This Row],[purchase_history]]/Table134[[#This Row],[number_of_purchases]]</f>
        <v>3699.422</v>
      </c>
      <c r="L1885" s="2">
        <f>IF(YEAR(Table134[[#This Row],[Last_Day]])=2021,5,IF(YEAR(Table134[[#This Row],[Last_Day]])=2022,7,IF(YEAR(Table134[[#This Row],[Last_Day]])=2023,10,"Không xác định")))</f>
        <v>7</v>
      </c>
      <c r="M1885" s="15">
        <f>Table134[[#This Row],[avg_number_of_purchases]]*Table1345[[#This Row],[avg_purchase_value]]*Table1345[[#This Row],[expected_lifespan]]</f>
        <v>161849.71249999999</v>
      </c>
      <c r="N1885" t="s">
        <v>12048</v>
      </c>
    </row>
    <row r="1886" spans="1:14" x14ac:dyDescent="0.3">
      <c r="A1886" s="2" t="s">
        <v>1884</v>
      </c>
      <c r="B1886" s="2" t="s">
        <v>12040</v>
      </c>
      <c r="C1886" s="2">
        <v>59</v>
      </c>
      <c r="D1886" s="2" t="s">
        <v>12041</v>
      </c>
      <c r="E1886" s="2">
        <f>COUNTIF(Table16[customer_id],Table13[[#This Row],[customer_id]])</f>
        <v>4</v>
      </c>
      <c r="F1886" s="13">
        <f>SUMIFS(Table16[Purchase_history],Table16[customer_id],Table13[[#This Row],[customer_id]])</f>
        <v>3942.88</v>
      </c>
      <c r="G1886" s="20">
        <v>44608</v>
      </c>
      <c r="H1886" s="21">
        <v>44852</v>
      </c>
      <c r="I1886" s="15">
        <f>(Table134[[#This Row],[Last_Day]]-Table134[[#This Row],[First_Day]]+1)/365</f>
        <v>0.67123287671232879</v>
      </c>
      <c r="J1886" s="59">
        <f>Table134[[#This Row],[number_of_purchases]]/Table134[[#This Row],[customer_total_years]]</f>
        <v>5.9591836734693873</v>
      </c>
      <c r="K1886" s="13">
        <f>Table134[[#This Row],[purchase_history]]/Table134[[#This Row],[number_of_purchases]]</f>
        <v>985.72</v>
      </c>
      <c r="L1886" s="2">
        <f>IF(YEAR(Table134[[#This Row],[Last_Day]])=2021,5,IF(YEAR(Table134[[#This Row],[Last_Day]])=2022,7,IF(YEAR(Table134[[#This Row],[Last_Day]])=2023,10,"Không xác định")))</f>
        <v>7</v>
      </c>
      <c r="M1886" s="15">
        <f>Table134[[#This Row],[avg_number_of_purchases]]*Table1345[[#This Row],[avg_purchase_value]]*Table1345[[#This Row],[expected_lifespan]]</f>
        <v>41118.60571428571</v>
      </c>
      <c r="N1886" t="s">
        <v>12047</v>
      </c>
    </row>
    <row r="1887" spans="1:14" x14ac:dyDescent="0.3">
      <c r="A1887" s="2" t="s">
        <v>1885</v>
      </c>
      <c r="B1887" s="2" t="s">
        <v>12040</v>
      </c>
      <c r="C1887" s="2">
        <v>69</v>
      </c>
      <c r="D1887" s="2" t="s">
        <v>12043</v>
      </c>
      <c r="E1887" s="2">
        <f>COUNTIF(Table16[customer_id],Table13[[#This Row],[customer_id]])</f>
        <v>4</v>
      </c>
      <c r="F1887" s="13">
        <f>SUMIFS(Table16[Purchase_history],Table16[customer_id],Table13[[#This Row],[customer_id]])</f>
        <v>3912.81</v>
      </c>
      <c r="G1887" s="20">
        <v>44426</v>
      </c>
      <c r="H1887" s="21">
        <v>44991</v>
      </c>
      <c r="I1887" s="15">
        <f>(Table134[[#This Row],[Last_Day]]-Table134[[#This Row],[First_Day]]+1)/365</f>
        <v>1.5506849315068494</v>
      </c>
      <c r="J1887" s="59">
        <f>Table134[[#This Row],[number_of_purchases]]/Table134[[#This Row],[customer_total_years]]</f>
        <v>2.5795053003533566</v>
      </c>
      <c r="K1887" s="13">
        <f>Table134[[#This Row],[purchase_history]]/Table134[[#This Row],[number_of_purchases]]</f>
        <v>978.20249999999999</v>
      </c>
      <c r="L1887" s="2">
        <f>IF(YEAR(Table134[[#This Row],[Last_Day]])=2021,5,IF(YEAR(Table134[[#This Row],[Last_Day]])=2022,7,IF(YEAR(Table134[[#This Row],[Last_Day]])=2023,10,"Không xác định")))</f>
        <v>10</v>
      </c>
      <c r="M1887" s="15">
        <f>Table134[[#This Row],[avg_number_of_purchases]]*Table1345[[#This Row],[avg_purchase_value]]*Table1345[[#This Row],[expected_lifespan]]</f>
        <v>25232.785335689041</v>
      </c>
      <c r="N1887" t="s">
        <v>12046</v>
      </c>
    </row>
    <row r="1888" spans="1:14" x14ac:dyDescent="0.3">
      <c r="A1888" s="2" t="s">
        <v>1886</v>
      </c>
      <c r="B1888" s="2" t="s">
        <v>12045</v>
      </c>
      <c r="C1888" s="2">
        <v>60</v>
      </c>
      <c r="D1888" s="2" t="s">
        <v>12041</v>
      </c>
      <c r="E1888" s="2">
        <f>COUNTIF(Table16[customer_id],Table13[[#This Row],[customer_id]])</f>
        <v>7</v>
      </c>
      <c r="F1888" s="13">
        <f>SUMIFS(Table16[Purchase_history],Table16[customer_id],Table13[[#This Row],[customer_id]])</f>
        <v>8508.0499999999993</v>
      </c>
      <c r="G1888" s="20">
        <v>44298</v>
      </c>
      <c r="H1888" s="21">
        <v>44957</v>
      </c>
      <c r="I1888" s="15">
        <f>(Table134[[#This Row],[Last_Day]]-Table134[[#This Row],[First_Day]]+1)/365</f>
        <v>1.8082191780821917</v>
      </c>
      <c r="J1888" s="59">
        <f>Table134[[#This Row],[number_of_purchases]]/Table134[[#This Row],[customer_total_years]]</f>
        <v>3.8712121212121215</v>
      </c>
      <c r="K1888" s="13">
        <f>Table134[[#This Row],[purchase_history]]/Table134[[#This Row],[number_of_purchases]]</f>
        <v>1215.4357142857141</v>
      </c>
      <c r="L1888" s="2">
        <f>IF(YEAR(Table134[[#This Row],[Last_Day]])=2021,5,IF(YEAR(Table134[[#This Row],[Last_Day]])=2022,7,IF(YEAR(Table134[[#This Row],[Last_Day]])=2023,10,"Không xác định")))</f>
        <v>10</v>
      </c>
      <c r="M1888" s="15">
        <f>Table134[[#This Row],[avg_number_of_purchases]]*Table1345[[#This Row],[avg_purchase_value]]*Table1345[[#This Row],[expected_lifespan]]</f>
        <v>47052.094696969689</v>
      </c>
      <c r="N1888" t="s">
        <v>12046</v>
      </c>
    </row>
    <row r="1889" spans="1:14" x14ac:dyDescent="0.3">
      <c r="A1889" s="2" t="s">
        <v>1887</v>
      </c>
      <c r="B1889" s="2" t="s">
        <v>12040</v>
      </c>
      <c r="C1889" s="2">
        <v>42</v>
      </c>
      <c r="D1889" s="2" t="s">
        <v>12049</v>
      </c>
      <c r="E1889" s="2">
        <f>COUNTIF(Table16[customer_id],Table13[[#This Row],[customer_id]])</f>
        <v>7</v>
      </c>
      <c r="F1889" s="13">
        <f>SUMIFS(Table16[Purchase_history],Table16[customer_id],Table13[[#This Row],[customer_id]])</f>
        <v>12718.06</v>
      </c>
      <c r="G1889" s="20">
        <v>44207</v>
      </c>
      <c r="H1889" s="21">
        <v>44986</v>
      </c>
      <c r="I1889" s="15">
        <f>(Table134[[#This Row],[Last_Day]]-Table134[[#This Row],[First_Day]]+1)/365</f>
        <v>2.1369863013698631</v>
      </c>
      <c r="J1889" s="59">
        <f>Table134[[#This Row],[number_of_purchases]]/Table134[[#This Row],[customer_total_years]]</f>
        <v>3.2756410256410255</v>
      </c>
      <c r="K1889" s="13">
        <f>Table134[[#This Row],[purchase_history]]/Table134[[#This Row],[number_of_purchases]]</f>
        <v>1816.8657142857141</v>
      </c>
      <c r="L1889" s="2">
        <f>IF(YEAR(Table134[[#This Row],[Last_Day]])=2021,5,IF(YEAR(Table134[[#This Row],[Last_Day]])=2022,7,IF(YEAR(Table134[[#This Row],[Last_Day]])=2023,10,"Không xác định")))</f>
        <v>10</v>
      </c>
      <c r="M1889" s="15">
        <f>Table134[[#This Row],[avg_number_of_purchases]]*Table1345[[#This Row],[avg_purchase_value]]*Table1345[[#This Row],[expected_lifespan]]</f>
        <v>59513.998717948714</v>
      </c>
      <c r="N1889" t="s">
        <v>12048</v>
      </c>
    </row>
    <row r="1890" spans="1:14" x14ac:dyDescent="0.3">
      <c r="A1890" s="2" t="s">
        <v>1888</v>
      </c>
      <c r="B1890" s="2" t="s">
        <v>12040</v>
      </c>
      <c r="C1890" s="2">
        <v>19</v>
      </c>
      <c r="D1890" s="2" t="s">
        <v>12043</v>
      </c>
      <c r="E1890" s="2">
        <f>COUNTIF(Table16[customer_id],Table13[[#This Row],[customer_id]])</f>
        <v>7</v>
      </c>
      <c r="F1890" s="13">
        <f>SUMIFS(Table16[Purchase_history],Table16[customer_id],Table13[[#This Row],[customer_id]])</f>
        <v>7271.91</v>
      </c>
      <c r="G1890" s="20">
        <v>44275</v>
      </c>
      <c r="H1890" s="21">
        <v>44979</v>
      </c>
      <c r="I1890" s="15">
        <f>(Table134[[#This Row],[Last_Day]]-Table134[[#This Row],[First_Day]]+1)/365</f>
        <v>1.9315068493150684</v>
      </c>
      <c r="J1890" s="59">
        <f>Table134[[#This Row],[number_of_purchases]]/Table134[[#This Row],[customer_total_years]]</f>
        <v>3.624113475177305</v>
      </c>
      <c r="K1890" s="13">
        <f>Table134[[#This Row],[purchase_history]]/Table134[[#This Row],[number_of_purchases]]</f>
        <v>1038.8442857142857</v>
      </c>
      <c r="L1890" s="2">
        <f>IF(YEAR(Table134[[#This Row],[Last_Day]])=2021,5,IF(YEAR(Table134[[#This Row],[Last_Day]])=2022,7,IF(YEAR(Table134[[#This Row],[Last_Day]])=2023,10,"Không xác định")))</f>
        <v>10</v>
      </c>
      <c r="M1890" s="15">
        <f>Table134[[#This Row],[avg_number_of_purchases]]*Table1345[[#This Row],[avg_purchase_value]]*Table1345[[#This Row],[expected_lifespan]]</f>
        <v>37648.895744680849</v>
      </c>
      <c r="N1890" t="s">
        <v>12047</v>
      </c>
    </row>
    <row r="1891" spans="1:14" x14ac:dyDescent="0.3">
      <c r="A1891" s="2" t="s">
        <v>1889</v>
      </c>
      <c r="B1891" s="2" t="s">
        <v>12040</v>
      </c>
      <c r="C1891" s="2">
        <v>44</v>
      </c>
      <c r="D1891" s="2" t="s">
        <v>12041</v>
      </c>
      <c r="E1891" s="2">
        <f>COUNTIF(Table16[customer_id],Table13[[#This Row],[customer_id]])</f>
        <v>7</v>
      </c>
      <c r="F1891" s="13">
        <f>SUMIFS(Table16[Purchase_history],Table16[customer_id],Table13[[#This Row],[customer_id]])</f>
        <v>9919.27</v>
      </c>
      <c r="G1891" s="20">
        <v>44294</v>
      </c>
      <c r="H1891" s="21">
        <v>44938</v>
      </c>
      <c r="I1891" s="15">
        <f>(Table134[[#This Row],[Last_Day]]-Table134[[#This Row],[First_Day]]+1)/365</f>
        <v>1.7671232876712328</v>
      </c>
      <c r="J1891" s="59">
        <f>Table134[[#This Row],[number_of_purchases]]/Table134[[#This Row],[customer_total_years]]</f>
        <v>3.9612403100775193</v>
      </c>
      <c r="K1891" s="13">
        <f>Table134[[#This Row],[purchase_history]]/Table134[[#This Row],[number_of_purchases]]</f>
        <v>1417.0385714285715</v>
      </c>
      <c r="L1891" s="2">
        <f>IF(YEAR(Table134[[#This Row],[Last_Day]])=2021,5,IF(YEAR(Table134[[#This Row],[Last_Day]])=2022,7,IF(YEAR(Table134[[#This Row],[Last_Day]])=2023,10,"Không xác định")))</f>
        <v>10</v>
      </c>
      <c r="M1891" s="15">
        <f>Table134[[#This Row],[avg_number_of_purchases]]*Table1345[[#This Row],[avg_purchase_value]]*Table1345[[#This Row],[expected_lifespan]]</f>
        <v>56132.3031007752</v>
      </c>
      <c r="N1891" t="s">
        <v>12044</v>
      </c>
    </row>
    <row r="1892" spans="1:14" x14ac:dyDescent="0.3">
      <c r="A1892" s="2" t="s">
        <v>1890</v>
      </c>
      <c r="B1892" s="2" t="s">
        <v>12045</v>
      </c>
      <c r="C1892" s="2">
        <v>64</v>
      </c>
      <c r="D1892" s="2" t="s">
        <v>12043</v>
      </c>
      <c r="E1892" s="2">
        <f>COUNTIF(Table16[customer_id],Table13[[#This Row],[customer_id]])</f>
        <v>7</v>
      </c>
      <c r="F1892" s="13">
        <f>SUMIFS(Table16[Purchase_history],Table16[customer_id],Table13[[#This Row],[customer_id]])</f>
        <v>18631.600000000002</v>
      </c>
      <c r="G1892" s="20">
        <v>44263</v>
      </c>
      <c r="H1892" s="21">
        <v>44991</v>
      </c>
      <c r="I1892" s="15">
        <f>(Table134[[#This Row],[Last_Day]]-Table134[[#This Row],[First_Day]]+1)/365</f>
        <v>1.9972602739726026</v>
      </c>
      <c r="J1892" s="59">
        <f>Table134[[#This Row],[number_of_purchases]]/Table134[[#This Row],[customer_total_years]]</f>
        <v>3.5048010973936901</v>
      </c>
      <c r="K1892" s="13">
        <f>Table134[[#This Row],[purchase_history]]/Table134[[#This Row],[number_of_purchases]]</f>
        <v>2661.6571428571433</v>
      </c>
      <c r="L1892" s="2">
        <f>IF(YEAR(Table134[[#This Row],[Last_Day]])=2021,5,IF(YEAR(Table134[[#This Row],[Last_Day]])=2022,7,IF(YEAR(Table134[[#This Row],[Last_Day]])=2023,10,"Không xác định")))</f>
        <v>10</v>
      </c>
      <c r="M1892" s="15">
        <f>Table134[[#This Row],[avg_number_of_purchases]]*Table1345[[#This Row],[avg_purchase_value]]*Table1345[[#This Row],[expected_lifespan]]</f>
        <v>93285.788751714703</v>
      </c>
      <c r="N1892" t="s">
        <v>12046</v>
      </c>
    </row>
    <row r="1893" spans="1:14" x14ac:dyDescent="0.3">
      <c r="A1893" s="2" t="s">
        <v>1891</v>
      </c>
      <c r="B1893" s="2" t="s">
        <v>12045</v>
      </c>
      <c r="C1893" s="2">
        <v>37</v>
      </c>
      <c r="D1893" s="2" t="s">
        <v>12041</v>
      </c>
      <c r="E1893" s="2">
        <f>COUNTIF(Table16[customer_id],Table13[[#This Row],[customer_id]])</f>
        <v>5</v>
      </c>
      <c r="F1893" s="13">
        <f>SUMIFS(Table16[Purchase_history],Table16[customer_id],Table13[[#This Row],[customer_id]])</f>
        <v>12655.749999999998</v>
      </c>
      <c r="G1893" s="20">
        <v>44316</v>
      </c>
      <c r="H1893" s="21">
        <v>44881</v>
      </c>
      <c r="I1893" s="15">
        <f>(Table134[[#This Row],[Last_Day]]-Table134[[#This Row],[First_Day]]+1)/365</f>
        <v>1.5506849315068494</v>
      </c>
      <c r="J1893" s="59">
        <f>Table134[[#This Row],[number_of_purchases]]/Table134[[#This Row],[customer_total_years]]</f>
        <v>3.2243816254416959</v>
      </c>
      <c r="K1893" s="13">
        <f>Table134[[#This Row],[purchase_history]]/Table134[[#This Row],[number_of_purchases]]</f>
        <v>2531.1499999999996</v>
      </c>
      <c r="L1893" s="2">
        <f>IF(YEAR(Table134[[#This Row],[Last_Day]])=2021,5,IF(YEAR(Table134[[#This Row],[Last_Day]])=2022,7,IF(YEAR(Table134[[#This Row],[Last_Day]])=2023,10,"Không xác định")))</f>
        <v>7</v>
      </c>
      <c r="M1893" s="15">
        <f>Table134[[#This Row],[avg_number_of_purchases]]*Table1345[[#This Row],[avg_purchase_value]]*Table1345[[#This Row],[expected_lifespan]]</f>
        <v>57129.75485865723</v>
      </c>
      <c r="N1893" t="s">
        <v>12047</v>
      </c>
    </row>
    <row r="1894" spans="1:14" x14ac:dyDescent="0.3">
      <c r="A1894" s="2" t="s">
        <v>1892</v>
      </c>
      <c r="B1894" s="2" t="s">
        <v>12040</v>
      </c>
      <c r="C1894" s="2">
        <v>25</v>
      </c>
      <c r="D1894" s="2" t="s">
        <v>12043</v>
      </c>
      <c r="E1894" s="2">
        <f>COUNTIF(Table16[customer_id],Table13[[#This Row],[customer_id]])</f>
        <v>8</v>
      </c>
      <c r="F1894" s="13">
        <f>SUMIFS(Table16[Purchase_history],Table16[customer_id],Table13[[#This Row],[customer_id]])</f>
        <v>23632.28</v>
      </c>
      <c r="G1894" s="20">
        <v>44370</v>
      </c>
      <c r="H1894" s="21">
        <v>44920</v>
      </c>
      <c r="I1894" s="15">
        <f>(Table134[[#This Row],[Last_Day]]-Table134[[#This Row],[First_Day]]+1)/365</f>
        <v>1.5095890410958903</v>
      </c>
      <c r="J1894" s="59">
        <f>Table134[[#This Row],[number_of_purchases]]/Table134[[#This Row],[customer_total_years]]</f>
        <v>5.2994555353901998</v>
      </c>
      <c r="K1894" s="13">
        <f>Table134[[#This Row],[purchase_history]]/Table134[[#This Row],[number_of_purchases]]</f>
        <v>2954.0349999999999</v>
      </c>
      <c r="L1894" s="2">
        <f>IF(YEAR(Table134[[#This Row],[Last_Day]])=2021,5,IF(YEAR(Table134[[#This Row],[Last_Day]])=2022,7,IF(YEAR(Table134[[#This Row],[Last_Day]])=2023,10,"Không xác định")))</f>
        <v>7</v>
      </c>
      <c r="M1894" s="15">
        <f>Table134[[#This Row],[avg_number_of_purchases]]*Table1345[[#This Row],[avg_purchase_value]]*Table1345[[#This Row],[expected_lifespan]]</f>
        <v>109583.43992740472</v>
      </c>
      <c r="N1894" t="s">
        <v>12048</v>
      </c>
    </row>
    <row r="1895" spans="1:14" x14ac:dyDescent="0.3">
      <c r="A1895" s="2" t="s">
        <v>1893</v>
      </c>
      <c r="B1895" s="2" t="s">
        <v>12040</v>
      </c>
      <c r="C1895" s="2"/>
      <c r="D1895" s="2" t="s">
        <v>12049</v>
      </c>
      <c r="E1895" s="2">
        <f>COUNTIF(Table16[customer_id],Table13[[#This Row],[customer_id]])</f>
        <v>4</v>
      </c>
      <c r="F1895" s="13">
        <f>SUMIFS(Table16[Purchase_history],Table16[customer_id],Table13[[#This Row],[customer_id]])</f>
        <v>8981.2199999999993</v>
      </c>
      <c r="G1895" s="20">
        <v>44199</v>
      </c>
      <c r="H1895" s="21">
        <v>44911</v>
      </c>
      <c r="I1895" s="15">
        <f>(Table134[[#This Row],[Last_Day]]-Table134[[#This Row],[First_Day]]+1)/365</f>
        <v>1.9534246575342467</v>
      </c>
      <c r="J1895" s="59">
        <f>Table134[[#This Row],[number_of_purchases]]/Table134[[#This Row],[customer_total_years]]</f>
        <v>2.0476858345021038</v>
      </c>
      <c r="K1895" s="13">
        <f>Table134[[#This Row],[purchase_history]]/Table134[[#This Row],[number_of_purchases]]</f>
        <v>2245.3049999999998</v>
      </c>
      <c r="L1895" s="2">
        <f>IF(YEAR(Table134[[#This Row],[Last_Day]])=2021,5,IF(YEAR(Table134[[#This Row],[Last_Day]])=2022,7,IF(YEAR(Table134[[#This Row],[Last_Day]])=2023,10,"Không xác định")))</f>
        <v>7</v>
      </c>
      <c r="M1895" s="15">
        <f>Table134[[#This Row],[avg_number_of_purchases]]*Table1345[[#This Row],[avg_purchase_value]]*Table1345[[#This Row],[expected_lifespan]]</f>
        <v>32183.754698457218</v>
      </c>
      <c r="N1895" t="s">
        <v>12042</v>
      </c>
    </row>
    <row r="1896" spans="1:14" x14ac:dyDescent="0.3">
      <c r="A1896" s="2" t="s">
        <v>1894</v>
      </c>
      <c r="B1896" s="2" t="s">
        <v>12040</v>
      </c>
      <c r="C1896" s="2">
        <v>25</v>
      </c>
      <c r="D1896" s="2" t="s">
        <v>12041</v>
      </c>
      <c r="E1896" s="2">
        <f>COUNTIF(Table16[customer_id],Table13[[#This Row],[customer_id]])</f>
        <v>7</v>
      </c>
      <c r="F1896" s="13">
        <f>SUMIFS(Table16[Purchase_history],Table16[customer_id],Table13[[#This Row],[customer_id]])</f>
        <v>11657.539999999999</v>
      </c>
      <c r="G1896" s="20">
        <v>44233</v>
      </c>
      <c r="H1896" s="21">
        <v>44820</v>
      </c>
      <c r="I1896" s="15">
        <f>(Table134[[#This Row],[Last_Day]]-Table134[[#This Row],[First_Day]]+1)/365</f>
        <v>1.6109589041095891</v>
      </c>
      <c r="J1896" s="59">
        <f>Table134[[#This Row],[number_of_purchases]]/Table134[[#This Row],[customer_total_years]]</f>
        <v>4.3452380952380949</v>
      </c>
      <c r="K1896" s="13">
        <f>Table134[[#This Row],[purchase_history]]/Table134[[#This Row],[number_of_purchases]]</f>
        <v>1665.3628571428569</v>
      </c>
      <c r="L1896" s="2">
        <f>IF(YEAR(Table134[[#This Row],[Last_Day]])=2021,5,IF(YEAR(Table134[[#This Row],[Last_Day]])=2022,7,IF(YEAR(Table134[[#This Row],[Last_Day]])=2023,10,"Không xác định")))</f>
        <v>7</v>
      </c>
      <c r="M1896" s="15">
        <f>Table134[[#This Row],[avg_number_of_purchases]]*Table1345[[#This Row],[avg_purchase_value]]*Table1345[[#This Row],[expected_lifespan]]</f>
        <v>50654.786904761895</v>
      </c>
      <c r="N1896" t="s">
        <v>12046</v>
      </c>
    </row>
    <row r="1897" spans="1:14" x14ac:dyDescent="0.3">
      <c r="A1897" s="2" t="s">
        <v>1895</v>
      </c>
      <c r="B1897" s="2" t="s">
        <v>12045</v>
      </c>
      <c r="C1897" s="2">
        <v>23</v>
      </c>
      <c r="D1897" s="2" t="s">
        <v>12041</v>
      </c>
      <c r="E1897" s="2">
        <f>COUNTIF(Table16[customer_id],Table13[[#This Row],[customer_id]])</f>
        <v>3</v>
      </c>
      <c r="F1897" s="13">
        <f>SUMIFS(Table16[Purchase_history],Table16[customer_id],Table13[[#This Row],[customer_id]])</f>
        <v>12603.519999999999</v>
      </c>
      <c r="G1897" s="20">
        <v>44239</v>
      </c>
      <c r="H1897" s="21">
        <v>44622</v>
      </c>
      <c r="I1897" s="15">
        <f>(Table134[[#This Row],[Last_Day]]-Table134[[#This Row],[First_Day]]+1)/365</f>
        <v>1.0520547945205478</v>
      </c>
      <c r="J1897" s="59">
        <f>Table134[[#This Row],[number_of_purchases]]/Table134[[#This Row],[customer_total_years]]</f>
        <v>2.8515625000000004</v>
      </c>
      <c r="K1897" s="13">
        <f>Table134[[#This Row],[purchase_history]]/Table134[[#This Row],[number_of_purchases]]</f>
        <v>4201.1733333333332</v>
      </c>
      <c r="L1897" s="2">
        <f>IF(YEAR(Table134[[#This Row],[Last_Day]])=2021,5,IF(YEAR(Table134[[#This Row],[Last_Day]])=2022,7,IF(YEAR(Table134[[#This Row],[Last_Day]])=2023,10,"Không xác định")))</f>
        <v>7</v>
      </c>
      <c r="M1897" s="15">
        <f>Table134[[#This Row],[avg_number_of_purchases]]*Table1345[[#This Row],[avg_purchase_value]]*Table1345[[#This Row],[expected_lifespan]]</f>
        <v>83859.358333333337</v>
      </c>
      <c r="N1897" t="s">
        <v>12047</v>
      </c>
    </row>
    <row r="1898" spans="1:14" x14ac:dyDescent="0.3">
      <c r="A1898" s="2" t="s">
        <v>1896</v>
      </c>
      <c r="B1898" s="2" t="s">
        <v>12040</v>
      </c>
      <c r="C1898" s="2">
        <v>59</v>
      </c>
      <c r="D1898" s="2" t="s">
        <v>12049</v>
      </c>
      <c r="E1898" s="2">
        <f>COUNTIF(Table16[customer_id],Table13[[#This Row],[customer_id]])</f>
        <v>3</v>
      </c>
      <c r="F1898" s="13">
        <f>SUMIFS(Table16[Purchase_history],Table16[customer_id],Table13[[#This Row],[customer_id]])</f>
        <v>1543.8</v>
      </c>
      <c r="G1898" s="20">
        <v>44245</v>
      </c>
      <c r="H1898" s="21">
        <v>44974</v>
      </c>
      <c r="I1898" s="15">
        <f>(Table134[[#This Row],[Last_Day]]-Table134[[#This Row],[First_Day]]+1)/365</f>
        <v>2</v>
      </c>
      <c r="J1898" s="59">
        <f>Table134[[#This Row],[number_of_purchases]]/Table134[[#This Row],[customer_total_years]]</f>
        <v>1.5</v>
      </c>
      <c r="K1898" s="13">
        <f>Table134[[#This Row],[purchase_history]]/Table134[[#This Row],[number_of_purchases]]</f>
        <v>514.6</v>
      </c>
      <c r="L1898" s="2">
        <f>IF(YEAR(Table134[[#This Row],[Last_Day]])=2021,5,IF(YEAR(Table134[[#This Row],[Last_Day]])=2022,7,IF(YEAR(Table134[[#This Row],[Last_Day]])=2023,10,"Không xác định")))</f>
        <v>10</v>
      </c>
      <c r="M1898" s="15">
        <f>Table134[[#This Row],[avg_number_of_purchases]]*Table1345[[#This Row],[avg_purchase_value]]*Table1345[[#This Row],[expected_lifespan]]</f>
        <v>7719.0000000000009</v>
      </c>
      <c r="N1898" t="s">
        <v>12046</v>
      </c>
    </row>
    <row r="1899" spans="1:14" x14ac:dyDescent="0.3">
      <c r="A1899" s="2" t="s">
        <v>1897</v>
      </c>
      <c r="B1899" s="2" t="s">
        <v>12040</v>
      </c>
      <c r="C1899" s="2">
        <v>54</v>
      </c>
      <c r="D1899" s="2" t="s">
        <v>12041</v>
      </c>
      <c r="E1899" s="2">
        <f>COUNTIF(Table16[customer_id],Table13[[#This Row],[customer_id]])</f>
        <v>5</v>
      </c>
      <c r="F1899" s="13">
        <f>SUMIFS(Table16[Purchase_history],Table16[customer_id],Table13[[#This Row],[customer_id]])</f>
        <v>27958.000000000004</v>
      </c>
      <c r="G1899" s="20">
        <v>44467</v>
      </c>
      <c r="H1899" s="21">
        <v>44973</v>
      </c>
      <c r="I1899" s="15">
        <f>(Table134[[#This Row],[Last_Day]]-Table134[[#This Row],[First_Day]]+1)/365</f>
        <v>1.3890410958904109</v>
      </c>
      <c r="J1899" s="59">
        <f>Table134[[#This Row],[number_of_purchases]]/Table134[[#This Row],[customer_total_years]]</f>
        <v>3.5996055226824457</v>
      </c>
      <c r="K1899" s="13">
        <f>Table134[[#This Row],[purchase_history]]/Table134[[#This Row],[number_of_purchases]]</f>
        <v>5591.6</v>
      </c>
      <c r="L1899" s="2">
        <f>IF(YEAR(Table134[[#This Row],[Last_Day]])=2021,5,IF(YEAR(Table134[[#This Row],[Last_Day]])=2022,7,IF(YEAR(Table134[[#This Row],[Last_Day]])=2023,10,"Không xác định")))</f>
        <v>10</v>
      </c>
      <c r="M1899" s="15">
        <f>Table134[[#This Row],[avg_number_of_purchases]]*Table1345[[#This Row],[avg_purchase_value]]*Table1345[[#This Row],[expected_lifespan]]</f>
        <v>201275.54240631167</v>
      </c>
      <c r="N1899" t="s">
        <v>12047</v>
      </c>
    </row>
    <row r="1900" spans="1:14" x14ac:dyDescent="0.3">
      <c r="A1900" s="2" t="s">
        <v>1898</v>
      </c>
      <c r="B1900" s="2" t="s">
        <v>12045</v>
      </c>
      <c r="C1900" s="2">
        <v>58</v>
      </c>
      <c r="D1900" s="2" t="s">
        <v>12043</v>
      </c>
      <c r="E1900" s="2">
        <f>COUNTIF(Table16[customer_id],Table13[[#This Row],[customer_id]])</f>
        <v>5</v>
      </c>
      <c r="F1900" s="13">
        <f>SUMIFS(Table16[Purchase_history],Table16[customer_id],Table13[[#This Row],[customer_id]])</f>
        <v>12772.72</v>
      </c>
      <c r="G1900" s="20">
        <v>44505</v>
      </c>
      <c r="H1900" s="21">
        <v>44845</v>
      </c>
      <c r="I1900" s="15">
        <f>(Table134[[#This Row],[Last_Day]]-Table134[[#This Row],[First_Day]]+1)/365</f>
        <v>0.9342465753424658</v>
      </c>
      <c r="J1900" s="59">
        <f>Table134[[#This Row],[number_of_purchases]]/Table134[[#This Row],[customer_total_years]]</f>
        <v>5.3519061583577709</v>
      </c>
      <c r="K1900" s="13">
        <f>Table134[[#This Row],[purchase_history]]/Table134[[#This Row],[number_of_purchases]]</f>
        <v>2554.5439999999999</v>
      </c>
      <c r="L1900" s="2">
        <f>IF(YEAR(Table134[[#This Row],[Last_Day]])=2021,5,IF(YEAR(Table134[[#This Row],[Last_Day]])=2022,7,IF(YEAR(Table134[[#This Row],[Last_Day]])=2023,10,"Không xác định")))</f>
        <v>7</v>
      </c>
      <c r="M1900" s="15">
        <f>Table134[[#This Row],[avg_number_of_purchases]]*Table1345[[#This Row],[avg_purchase_value]]*Table1345[[#This Row],[expected_lifespan]]</f>
        <v>95701.75835777125</v>
      </c>
      <c r="N1900" t="s">
        <v>12048</v>
      </c>
    </row>
    <row r="1901" spans="1:14" x14ac:dyDescent="0.3">
      <c r="A1901" s="2" t="s">
        <v>1899</v>
      </c>
      <c r="B1901" s="2" t="s">
        <v>12040</v>
      </c>
      <c r="C1901" s="2">
        <v>39</v>
      </c>
      <c r="D1901" s="2" t="s">
        <v>12041</v>
      </c>
      <c r="E1901" s="2">
        <f>COUNTIF(Table16[customer_id],Table13[[#This Row],[customer_id]])</f>
        <v>8</v>
      </c>
      <c r="F1901" s="13">
        <f>SUMIFS(Table16[Purchase_history],Table16[customer_id],Table13[[#This Row],[customer_id]])</f>
        <v>9985.8199999999979</v>
      </c>
      <c r="G1901" s="20">
        <v>44226</v>
      </c>
      <c r="H1901" s="21">
        <v>44972</v>
      </c>
      <c r="I1901" s="15">
        <f>(Table134[[#This Row],[Last_Day]]-Table134[[#This Row],[First_Day]]+1)/365</f>
        <v>2.0465753424657533</v>
      </c>
      <c r="J1901" s="59">
        <f>Table134[[#This Row],[number_of_purchases]]/Table134[[#This Row],[customer_total_years]]</f>
        <v>3.9089692101740297</v>
      </c>
      <c r="K1901" s="13">
        <f>Table134[[#This Row],[purchase_history]]/Table134[[#This Row],[number_of_purchases]]</f>
        <v>1248.2274999999997</v>
      </c>
      <c r="L1901" s="2">
        <f>IF(YEAR(Table134[[#This Row],[Last_Day]])=2021,5,IF(YEAR(Table134[[#This Row],[Last_Day]])=2022,7,IF(YEAR(Table134[[#This Row],[Last_Day]])=2023,10,"Không xác định")))</f>
        <v>10</v>
      </c>
      <c r="M1901" s="15">
        <f>Table134[[#This Row],[avg_number_of_purchases]]*Table1345[[#This Row],[avg_purchase_value]]*Table1345[[#This Row],[expected_lifespan]]</f>
        <v>48792.828647925024</v>
      </c>
      <c r="N1901" t="s">
        <v>12047</v>
      </c>
    </row>
    <row r="1902" spans="1:14" x14ac:dyDescent="0.3">
      <c r="A1902" s="2" t="s">
        <v>1900</v>
      </c>
      <c r="B1902" s="2" t="s">
        <v>12040</v>
      </c>
      <c r="C1902" s="2">
        <v>31</v>
      </c>
      <c r="D1902" s="2" t="s">
        <v>12043</v>
      </c>
      <c r="E1902" s="2">
        <f>COUNTIF(Table16[customer_id],Table13[[#This Row],[customer_id]])</f>
        <v>8</v>
      </c>
      <c r="F1902" s="13">
        <f>SUMIFS(Table16[Purchase_history],Table16[customer_id],Table13[[#This Row],[customer_id]])</f>
        <v>12326.07</v>
      </c>
      <c r="G1902" s="20">
        <v>44362</v>
      </c>
      <c r="H1902" s="21">
        <v>44741</v>
      </c>
      <c r="I1902" s="15">
        <f>(Table134[[#This Row],[Last_Day]]-Table134[[#This Row],[First_Day]]+1)/365</f>
        <v>1.0410958904109588</v>
      </c>
      <c r="J1902" s="59">
        <f>Table134[[#This Row],[number_of_purchases]]/Table134[[#This Row],[customer_total_years]]</f>
        <v>7.6842105263157903</v>
      </c>
      <c r="K1902" s="13">
        <f>Table134[[#This Row],[purchase_history]]/Table134[[#This Row],[number_of_purchases]]</f>
        <v>1540.75875</v>
      </c>
      <c r="L1902" s="2">
        <f>IF(YEAR(Table134[[#This Row],[Last_Day]])=2021,5,IF(YEAR(Table134[[#This Row],[Last_Day]])=2022,7,IF(YEAR(Table134[[#This Row],[Last_Day]])=2023,10,"Không xác định")))</f>
        <v>7</v>
      </c>
      <c r="M1902" s="15">
        <f>Table134[[#This Row],[avg_number_of_purchases]]*Table1345[[#This Row],[avg_purchase_value]]*Table1345[[#This Row],[expected_lifespan]]</f>
        <v>82876.602236842111</v>
      </c>
      <c r="N1902" t="s">
        <v>12046</v>
      </c>
    </row>
    <row r="1903" spans="1:14" x14ac:dyDescent="0.3">
      <c r="A1903" s="2" t="s">
        <v>1901</v>
      </c>
      <c r="B1903" s="2" t="s">
        <v>12040</v>
      </c>
      <c r="C1903" s="2">
        <v>59</v>
      </c>
      <c r="D1903" s="2" t="s">
        <v>12043</v>
      </c>
      <c r="E1903" s="2">
        <f>COUNTIF(Table16[customer_id],Table13[[#This Row],[customer_id]])</f>
        <v>2</v>
      </c>
      <c r="F1903" s="13">
        <f>SUMIFS(Table16[Purchase_history],Table16[customer_id],Table13[[#This Row],[customer_id]])</f>
        <v>1388</v>
      </c>
      <c r="G1903" s="20">
        <v>44374</v>
      </c>
      <c r="H1903" s="21">
        <v>44889</v>
      </c>
      <c r="I1903" s="15">
        <f>(Table134[[#This Row],[Last_Day]]-Table134[[#This Row],[First_Day]]+1)/365</f>
        <v>1.4136986301369863</v>
      </c>
      <c r="J1903" s="59">
        <f>Table134[[#This Row],[number_of_purchases]]/Table134[[#This Row],[customer_total_years]]</f>
        <v>1.4147286821705427</v>
      </c>
      <c r="K1903" s="13">
        <f>Table134[[#This Row],[purchase_history]]/Table134[[#This Row],[number_of_purchases]]</f>
        <v>694</v>
      </c>
      <c r="L1903" s="2">
        <f>IF(YEAR(Table134[[#This Row],[Last_Day]])=2021,5,IF(YEAR(Table134[[#This Row],[Last_Day]])=2022,7,IF(YEAR(Table134[[#This Row],[Last_Day]])=2023,10,"Không xác định")))</f>
        <v>7</v>
      </c>
      <c r="M1903" s="15">
        <f>Table134[[#This Row],[avg_number_of_purchases]]*Table1345[[#This Row],[avg_purchase_value]]*Table1345[[#This Row],[expected_lifespan]]</f>
        <v>6872.7519379844962</v>
      </c>
      <c r="N1903" t="s">
        <v>12048</v>
      </c>
    </row>
    <row r="1904" spans="1:14" x14ac:dyDescent="0.3">
      <c r="A1904" s="2" t="s">
        <v>1902</v>
      </c>
      <c r="B1904" s="2" t="s">
        <v>12040</v>
      </c>
      <c r="C1904" s="2">
        <v>66</v>
      </c>
      <c r="D1904" s="2" t="s">
        <v>12041</v>
      </c>
      <c r="E1904" s="2">
        <f>COUNTIF(Table16[customer_id],Table13[[#This Row],[customer_id]])</f>
        <v>3</v>
      </c>
      <c r="F1904" s="13">
        <f>SUMIFS(Table16[Purchase_history],Table16[customer_id],Table13[[#This Row],[customer_id]])</f>
        <v>12750.89</v>
      </c>
      <c r="G1904" s="20">
        <v>44270</v>
      </c>
      <c r="H1904" s="21">
        <v>44372</v>
      </c>
      <c r="I1904" s="15">
        <f>(Table134[[#This Row],[Last_Day]]-Table134[[#This Row],[First_Day]]+1)/365</f>
        <v>0.28219178082191781</v>
      </c>
      <c r="J1904" s="59">
        <f>Table134[[#This Row],[number_of_purchases]]/Table134[[#This Row],[customer_total_years]]</f>
        <v>10.631067961165048</v>
      </c>
      <c r="K1904" s="13">
        <f>Table134[[#This Row],[purchase_history]]/Table134[[#This Row],[number_of_purchases]]</f>
        <v>4250.2966666666662</v>
      </c>
      <c r="L1904" s="2">
        <f>IF(YEAR(Table134[[#This Row],[Last_Day]])=2021,5,IF(YEAR(Table134[[#This Row],[Last_Day]])=2022,7,IF(YEAR(Table134[[#This Row],[Last_Day]])=2023,10,"Không xác định")))</f>
        <v>5</v>
      </c>
      <c r="M1904" s="15">
        <f>Table134[[#This Row],[avg_number_of_purchases]]*Table1345[[#This Row],[avg_purchase_value]]*Table1345[[#This Row],[expected_lifespan]]</f>
        <v>225925.96359223299</v>
      </c>
      <c r="N1904" t="s">
        <v>12048</v>
      </c>
    </row>
    <row r="1905" spans="1:14" x14ac:dyDescent="0.3">
      <c r="A1905" s="2" t="s">
        <v>1903</v>
      </c>
      <c r="B1905" s="2" t="s">
        <v>12045</v>
      </c>
      <c r="C1905" s="2">
        <v>63</v>
      </c>
      <c r="D1905" s="2" t="s">
        <v>12049</v>
      </c>
      <c r="E1905" s="2">
        <f>COUNTIF(Table16[customer_id],Table13[[#This Row],[customer_id]])</f>
        <v>2</v>
      </c>
      <c r="F1905" s="13">
        <f>SUMIFS(Table16[Purchase_history],Table16[customer_id],Table13[[#This Row],[customer_id]])</f>
        <v>2563.3199999999997</v>
      </c>
      <c r="G1905" s="20">
        <v>44787</v>
      </c>
      <c r="H1905" s="21">
        <v>44923</v>
      </c>
      <c r="I1905" s="15">
        <f>(Table134[[#This Row],[Last_Day]]-Table134[[#This Row],[First_Day]]+1)/365</f>
        <v>0.37534246575342467</v>
      </c>
      <c r="J1905" s="59">
        <f>Table134[[#This Row],[number_of_purchases]]/Table134[[#This Row],[customer_total_years]]</f>
        <v>5.328467153284671</v>
      </c>
      <c r="K1905" s="13">
        <f>Table134[[#This Row],[purchase_history]]/Table134[[#This Row],[number_of_purchases]]</f>
        <v>1281.6599999999999</v>
      </c>
      <c r="L1905" s="2">
        <f>IF(YEAR(Table134[[#This Row],[Last_Day]])=2021,5,IF(YEAR(Table134[[#This Row],[Last_Day]])=2022,7,IF(YEAR(Table134[[#This Row],[Last_Day]])=2023,10,"Không xác định")))</f>
        <v>7</v>
      </c>
      <c r="M1905" s="15">
        <f>Table134[[#This Row],[avg_number_of_purchases]]*Table1345[[#This Row],[avg_purchase_value]]*Table1345[[#This Row],[expected_lifespan]]</f>
        <v>47804.982481751809</v>
      </c>
      <c r="N1905" t="s">
        <v>12042</v>
      </c>
    </row>
    <row r="1906" spans="1:14" x14ac:dyDescent="0.3">
      <c r="A1906" s="2" t="s">
        <v>1904</v>
      </c>
      <c r="B1906" s="2" t="s">
        <v>12040</v>
      </c>
      <c r="C1906" s="2">
        <v>63</v>
      </c>
      <c r="D1906" s="2" t="s">
        <v>12041</v>
      </c>
      <c r="E1906" s="2">
        <f>COUNTIF(Table16[customer_id],Table13[[#This Row],[customer_id]])</f>
        <v>8</v>
      </c>
      <c r="F1906" s="13">
        <f>SUMIFS(Table16[Purchase_history],Table16[customer_id],Table13[[#This Row],[customer_id]])</f>
        <v>25637.55</v>
      </c>
      <c r="G1906" s="20">
        <v>44208</v>
      </c>
      <c r="H1906" s="21">
        <v>44876</v>
      </c>
      <c r="I1906" s="15">
        <f>(Table134[[#This Row],[Last_Day]]-Table134[[#This Row],[First_Day]]+1)/365</f>
        <v>1.832876712328767</v>
      </c>
      <c r="J1906" s="59">
        <f>Table134[[#This Row],[number_of_purchases]]/Table134[[#This Row],[customer_total_years]]</f>
        <v>4.3647234678624818</v>
      </c>
      <c r="K1906" s="13">
        <f>Table134[[#This Row],[purchase_history]]/Table134[[#This Row],[number_of_purchases]]</f>
        <v>3204.6937499999999</v>
      </c>
      <c r="L1906" s="2">
        <f>IF(YEAR(Table134[[#This Row],[Last_Day]])=2021,5,IF(YEAR(Table134[[#This Row],[Last_Day]])=2022,7,IF(YEAR(Table134[[#This Row],[Last_Day]])=2023,10,"Không xác định")))</f>
        <v>7</v>
      </c>
      <c r="M1906" s="15">
        <f>Table134[[#This Row],[avg_number_of_purchases]]*Table1345[[#This Row],[avg_purchase_value]]*Table1345[[#This Row],[expected_lifespan]]</f>
        <v>97913.214125560538</v>
      </c>
      <c r="N1906" t="s">
        <v>12042</v>
      </c>
    </row>
    <row r="1907" spans="1:14" x14ac:dyDescent="0.3">
      <c r="A1907" s="2" t="s">
        <v>1905</v>
      </c>
      <c r="B1907" s="2" t="s">
        <v>12045</v>
      </c>
      <c r="C1907" s="2">
        <v>55</v>
      </c>
      <c r="D1907" s="2" t="s">
        <v>12049</v>
      </c>
      <c r="E1907" s="2">
        <f>COUNTIF(Table16[customer_id],Table13[[#This Row],[customer_id]])</f>
        <v>5</v>
      </c>
      <c r="F1907" s="13">
        <f>SUMIFS(Table16[Purchase_history],Table16[customer_id],Table13[[#This Row],[customer_id]])</f>
        <v>13372.08</v>
      </c>
      <c r="G1907" s="20">
        <v>44279</v>
      </c>
      <c r="H1907" s="21">
        <v>44947</v>
      </c>
      <c r="I1907" s="15">
        <f>(Table134[[#This Row],[Last_Day]]-Table134[[#This Row],[First_Day]]+1)/365</f>
        <v>1.832876712328767</v>
      </c>
      <c r="J1907" s="59">
        <f>Table134[[#This Row],[number_of_purchases]]/Table134[[#This Row],[customer_total_years]]</f>
        <v>2.7279521674140508</v>
      </c>
      <c r="K1907" s="13">
        <f>Table134[[#This Row],[purchase_history]]/Table134[[#This Row],[number_of_purchases]]</f>
        <v>2674.4160000000002</v>
      </c>
      <c r="L1907" s="2">
        <f>IF(YEAR(Table134[[#This Row],[Last_Day]])=2021,5,IF(YEAR(Table134[[#This Row],[Last_Day]])=2022,7,IF(YEAR(Table134[[#This Row],[Last_Day]])=2023,10,"Không xác định")))</f>
        <v>10</v>
      </c>
      <c r="M1907" s="15">
        <f>Table134[[#This Row],[avg_number_of_purchases]]*Table1345[[#This Row],[avg_purchase_value]]*Table1345[[#This Row],[expected_lifespan]]</f>
        <v>72956.789237668156</v>
      </c>
      <c r="N1907" t="s">
        <v>12048</v>
      </c>
    </row>
    <row r="1908" spans="1:14" x14ac:dyDescent="0.3">
      <c r="A1908" s="2" t="s">
        <v>1906</v>
      </c>
      <c r="B1908" s="2" t="s">
        <v>12040</v>
      </c>
      <c r="C1908" s="2">
        <v>26</v>
      </c>
      <c r="D1908" s="2" t="s">
        <v>12041</v>
      </c>
      <c r="E1908" s="2">
        <f>COUNTIF(Table16[customer_id],Table13[[#This Row],[customer_id]])</f>
        <v>8</v>
      </c>
      <c r="F1908" s="13">
        <f>SUMIFS(Table16[Purchase_history],Table16[customer_id],Table13[[#This Row],[customer_id]])</f>
        <v>29858.28</v>
      </c>
      <c r="G1908" s="20">
        <v>44298</v>
      </c>
      <c r="H1908" s="21">
        <v>44989</v>
      </c>
      <c r="I1908" s="15">
        <f>(Table134[[#This Row],[Last_Day]]-Table134[[#This Row],[First_Day]]+1)/365</f>
        <v>1.8958904109589041</v>
      </c>
      <c r="J1908" s="59">
        <f>Table134[[#This Row],[number_of_purchases]]/Table134[[#This Row],[customer_total_years]]</f>
        <v>4.2196531791907512</v>
      </c>
      <c r="K1908" s="13">
        <f>Table134[[#This Row],[purchase_history]]/Table134[[#This Row],[number_of_purchases]]</f>
        <v>3732.2849999999999</v>
      </c>
      <c r="L1908" s="2">
        <f>IF(YEAR(Table134[[#This Row],[Last_Day]])=2021,5,IF(YEAR(Table134[[#This Row],[Last_Day]])=2022,7,IF(YEAR(Table134[[#This Row],[Last_Day]])=2023,10,"Không xác định")))</f>
        <v>10</v>
      </c>
      <c r="M1908" s="15">
        <f>Table134[[#This Row],[avg_number_of_purchases]]*Table1345[[#This Row],[avg_purchase_value]]*Table1345[[#This Row],[expected_lifespan]]</f>
        <v>157489.48265895952</v>
      </c>
      <c r="N1908" t="s">
        <v>12042</v>
      </c>
    </row>
    <row r="1909" spans="1:14" x14ac:dyDescent="0.3">
      <c r="A1909" s="2" t="s">
        <v>1907</v>
      </c>
      <c r="B1909" s="2" t="s">
        <v>12040</v>
      </c>
      <c r="C1909" s="2">
        <v>29</v>
      </c>
      <c r="D1909" s="2" t="s">
        <v>12043</v>
      </c>
      <c r="E1909" s="2">
        <f>COUNTIF(Table16[customer_id],Table13[[#This Row],[customer_id]])</f>
        <v>5</v>
      </c>
      <c r="F1909" s="13">
        <f>SUMIFS(Table16[Purchase_history],Table16[customer_id],Table13[[#This Row],[customer_id]])</f>
        <v>5825.8600000000006</v>
      </c>
      <c r="G1909" s="20">
        <v>44450</v>
      </c>
      <c r="H1909" s="21">
        <v>44905</v>
      </c>
      <c r="I1909" s="15">
        <f>(Table134[[#This Row],[Last_Day]]-Table134[[#This Row],[First_Day]]+1)/365</f>
        <v>1.2493150684931507</v>
      </c>
      <c r="J1909" s="59">
        <f>Table134[[#This Row],[number_of_purchases]]/Table134[[#This Row],[customer_total_years]]</f>
        <v>4.0021929824561404</v>
      </c>
      <c r="K1909" s="13">
        <f>Table134[[#This Row],[purchase_history]]/Table134[[#This Row],[number_of_purchases]]</f>
        <v>1165.172</v>
      </c>
      <c r="L1909" s="2">
        <f>IF(YEAR(Table134[[#This Row],[Last_Day]])=2021,5,IF(YEAR(Table134[[#This Row],[Last_Day]])=2022,7,IF(YEAR(Table134[[#This Row],[Last_Day]])=2023,10,"Không xác định")))</f>
        <v>7</v>
      </c>
      <c r="M1909" s="15">
        <f>Table134[[#This Row],[avg_number_of_purchases]]*Table1345[[#This Row],[avg_purchase_value]]*Table1345[[#This Row],[expected_lifespan]]</f>
        <v>32642.702412280702</v>
      </c>
      <c r="N1909" t="s">
        <v>12048</v>
      </c>
    </row>
    <row r="1910" spans="1:14" x14ac:dyDescent="0.3">
      <c r="A1910" s="2" t="s">
        <v>1908</v>
      </c>
      <c r="B1910" s="2" t="s">
        <v>12045</v>
      </c>
      <c r="C1910" s="2">
        <v>55</v>
      </c>
      <c r="D1910" s="2" t="s">
        <v>12043</v>
      </c>
      <c r="E1910" s="2">
        <f>COUNTIF(Table16[customer_id],Table13[[#This Row],[customer_id]])</f>
        <v>2</v>
      </c>
      <c r="F1910" s="13">
        <f>SUMIFS(Table16[Purchase_history],Table16[customer_id],Table13[[#This Row],[customer_id]])</f>
        <v>922.73</v>
      </c>
      <c r="G1910" s="20">
        <v>44412</v>
      </c>
      <c r="H1910" s="21">
        <v>44895</v>
      </c>
      <c r="I1910" s="15">
        <f>(Table134[[#This Row],[Last_Day]]-Table134[[#This Row],[First_Day]]+1)/365</f>
        <v>1.3260273972602741</v>
      </c>
      <c r="J1910" s="59">
        <f>Table134[[#This Row],[number_of_purchases]]/Table134[[#This Row],[customer_total_years]]</f>
        <v>1.5082644628099173</v>
      </c>
      <c r="K1910" s="13">
        <f>Table134[[#This Row],[purchase_history]]/Table134[[#This Row],[number_of_purchases]]</f>
        <v>461.36500000000001</v>
      </c>
      <c r="L1910" s="2">
        <f>IF(YEAR(Table134[[#This Row],[Last_Day]])=2021,5,IF(YEAR(Table134[[#This Row],[Last_Day]])=2022,7,IF(YEAR(Table134[[#This Row],[Last_Day]])=2023,10,"Không xác định")))</f>
        <v>7</v>
      </c>
      <c r="M1910" s="15">
        <f>Table134[[#This Row],[avg_number_of_purchases]]*Table1345[[#This Row],[avg_purchase_value]]*Table1345[[#This Row],[expected_lifespan]]</f>
        <v>4871.0230371900825</v>
      </c>
      <c r="N1910" t="s">
        <v>12044</v>
      </c>
    </row>
    <row r="1911" spans="1:14" x14ac:dyDescent="0.3">
      <c r="A1911" s="2" t="s">
        <v>1909</v>
      </c>
      <c r="B1911" s="2" t="s">
        <v>12040</v>
      </c>
      <c r="C1911" s="2">
        <v>34</v>
      </c>
      <c r="D1911" s="2" t="s">
        <v>12041</v>
      </c>
      <c r="E1911" s="2">
        <f>COUNTIF(Table16[customer_id],Table13[[#This Row],[customer_id]])</f>
        <v>5</v>
      </c>
      <c r="F1911" s="13">
        <f>SUMIFS(Table16[Purchase_history],Table16[customer_id],Table13[[#This Row],[customer_id]])</f>
        <v>8025.0300000000007</v>
      </c>
      <c r="G1911" s="20">
        <v>44230</v>
      </c>
      <c r="H1911" s="21">
        <v>44956</v>
      </c>
      <c r="I1911" s="15">
        <f>(Table134[[#This Row],[Last_Day]]-Table134[[#This Row],[First_Day]]+1)/365</f>
        <v>1.9917808219178081</v>
      </c>
      <c r="J1911" s="59">
        <f>Table134[[#This Row],[number_of_purchases]]/Table134[[#This Row],[customer_total_years]]</f>
        <v>2.5103163686382395</v>
      </c>
      <c r="K1911" s="13">
        <f>Table134[[#This Row],[purchase_history]]/Table134[[#This Row],[number_of_purchases]]</f>
        <v>1605.0060000000001</v>
      </c>
      <c r="L1911" s="2">
        <f>IF(YEAR(Table134[[#This Row],[Last_Day]])=2021,5,IF(YEAR(Table134[[#This Row],[Last_Day]])=2022,7,IF(YEAR(Table134[[#This Row],[Last_Day]])=2023,10,"Không xác định")))</f>
        <v>10</v>
      </c>
      <c r="M1911" s="15">
        <f>Table134[[#This Row],[avg_number_of_purchases]]*Table1345[[#This Row],[avg_purchase_value]]*Table1345[[#This Row],[expected_lifespan]]</f>
        <v>40290.728335625863</v>
      </c>
      <c r="N1911" t="s">
        <v>12044</v>
      </c>
    </row>
    <row r="1912" spans="1:14" x14ac:dyDescent="0.3">
      <c r="A1912" s="2" t="s">
        <v>1910</v>
      </c>
      <c r="B1912" s="2" t="s">
        <v>12045</v>
      </c>
      <c r="C1912" s="2">
        <v>36</v>
      </c>
      <c r="D1912" s="2" t="s">
        <v>12049</v>
      </c>
      <c r="E1912" s="2">
        <f>COUNTIF(Table16[customer_id],Table13[[#This Row],[customer_id]])</f>
        <v>1</v>
      </c>
      <c r="F1912" s="13">
        <f>SUMIFS(Table16[Purchase_history],Table16[customer_id],Table13[[#This Row],[customer_id]])</f>
        <v>322.56</v>
      </c>
      <c r="G1912" s="20">
        <v>44556</v>
      </c>
      <c r="H1912" s="21">
        <v>44556</v>
      </c>
      <c r="I1912" s="15">
        <f>(Table134[[#This Row],[Last_Day]]-Table134[[#This Row],[First_Day]]+1)/365</f>
        <v>2.7397260273972603E-3</v>
      </c>
      <c r="J1912" s="59">
        <f>Table134[[#This Row],[number_of_purchases]]/Table134[[#This Row],[customer_total_years]]</f>
        <v>365</v>
      </c>
      <c r="K1912" s="13">
        <f>Table134[[#This Row],[purchase_history]]/Table134[[#This Row],[number_of_purchases]]</f>
        <v>322.56</v>
      </c>
      <c r="L1912" s="2">
        <f>IF(YEAR(Table134[[#This Row],[Last_Day]])=2021,5,IF(YEAR(Table134[[#This Row],[Last_Day]])=2022,7,IF(YEAR(Table134[[#This Row],[Last_Day]])=2023,10,"Không xác định")))</f>
        <v>5</v>
      </c>
      <c r="M1912" s="15">
        <f>Table134[[#This Row],[avg_number_of_purchases]]*Table1345[[#This Row],[avg_purchase_value]]*Table1345[[#This Row],[expected_lifespan]]</f>
        <v>588672</v>
      </c>
      <c r="N1912" t="s">
        <v>12048</v>
      </c>
    </row>
    <row r="1913" spans="1:14" x14ac:dyDescent="0.3">
      <c r="A1913" s="2" t="s">
        <v>1911</v>
      </c>
      <c r="B1913" s="2" t="s">
        <v>12040</v>
      </c>
      <c r="C1913" s="2">
        <v>42</v>
      </c>
      <c r="D1913" s="2" t="s">
        <v>12043</v>
      </c>
      <c r="E1913" s="2">
        <f>COUNTIF(Table16[customer_id],Table13[[#This Row],[customer_id]])</f>
        <v>7</v>
      </c>
      <c r="F1913" s="13">
        <f>SUMIFS(Table16[Purchase_history],Table16[customer_id],Table13[[#This Row],[customer_id]])</f>
        <v>13224.27</v>
      </c>
      <c r="G1913" s="20">
        <v>44423</v>
      </c>
      <c r="H1913" s="21">
        <v>44983</v>
      </c>
      <c r="I1913" s="15">
        <f>(Table134[[#This Row],[Last_Day]]-Table134[[#This Row],[First_Day]]+1)/365</f>
        <v>1.536986301369863</v>
      </c>
      <c r="J1913" s="59">
        <f>Table134[[#This Row],[number_of_purchases]]/Table134[[#This Row],[customer_total_years]]</f>
        <v>4.5543672014260252</v>
      </c>
      <c r="K1913" s="13">
        <f>Table134[[#This Row],[purchase_history]]/Table134[[#This Row],[number_of_purchases]]</f>
        <v>1889.1814285714286</v>
      </c>
      <c r="L1913" s="2">
        <f>IF(YEAR(Table134[[#This Row],[Last_Day]])=2021,5,IF(YEAR(Table134[[#This Row],[Last_Day]])=2022,7,IF(YEAR(Table134[[#This Row],[Last_Day]])=2023,10,"Không xác định")))</f>
        <v>10</v>
      </c>
      <c r="M1913" s="15">
        <f>Table134[[#This Row],[avg_number_of_purchases]]*Table1345[[#This Row],[avg_purchase_value]]*Table1345[[#This Row],[expected_lifespan]]</f>
        <v>86040.259358288764</v>
      </c>
      <c r="N1913" t="s">
        <v>12047</v>
      </c>
    </row>
    <row r="1914" spans="1:14" x14ac:dyDescent="0.3">
      <c r="A1914" s="2" t="s">
        <v>1912</v>
      </c>
      <c r="B1914" s="2" t="s">
        <v>12045</v>
      </c>
      <c r="C1914" s="2">
        <v>22</v>
      </c>
      <c r="D1914" s="2" t="s">
        <v>12049</v>
      </c>
      <c r="E1914" s="2">
        <f>COUNTIF(Table16[customer_id],Table13[[#This Row],[customer_id]])</f>
        <v>1</v>
      </c>
      <c r="F1914" s="13">
        <f>SUMIFS(Table16[Purchase_history],Table16[customer_id],Table13[[#This Row],[customer_id]])</f>
        <v>300.08</v>
      </c>
      <c r="G1914" s="20">
        <v>44803</v>
      </c>
      <c r="H1914" s="21">
        <v>44803</v>
      </c>
      <c r="I1914" s="15">
        <f>(Table134[[#This Row],[Last_Day]]-Table134[[#This Row],[First_Day]]+1)/365</f>
        <v>2.7397260273972603E-3</v>
      </c>
      <c r="J1914" s="59">
        <f>Table134[[#This Row],[number_of_purchases]]/Table134[[#This Row],[customer_total_years]]</f>
        <v>365</v>
      </c>
      <c r="K1914" s="13">
        <f>Table134[[#This Row],[purchase_history]]/Table134[[#This Row],[number_of_purchases]]</f>
        <v>300.08</v>
      </c>
      <c r="L1914" s="2">
        <f>IF(YEAR(Table134[[#This Row],[Last_Day]])=2021,5,IF(YEAR(Table134[[#This Row],[Last_Day]])=2022,7,IF(YEAR(Table134[[#This Row],[Last_Day]])=2023,10,"Không xác định")))</f>
        <v>7</v>
      </c>
      <c r="M1914" s="15">
        <f>Table134[[#This Row],[avg_number_of_purchases]]*Table1345[[#This Row],[avg_purchase_value]]*Table1345[[#This Row],[expected_lifespan]]</f>
        <v>766704.4</v>
      </c>
      <c r="N1914" t="s">
        <v>12046</v>
      </c>
    </row>
    <row r="1915" spans="1:14" x14ac:dyDescent="0.3">
      <c r="A1915" s="2" t="s">
        <v>1913</v>
      </c>
      <c r="B1915" s="2" t="s">
        <v>12045</v>
      </c>
      <c r="C1915" s="2">
        <v>69</v>
      </c>
      <c r="D1915" s="2" t="s">
        <v>12043</v>
      </c>
      <c r="E1915" s="2">
        <f>COUNTIF(Table16[customer_id],Table13[[#This Row],[customer_id]])</f>
        <v>4</v>
      </c>
      <c r="F1915" s="13">
        <f>SUMIFS(Table16[Purchase_history],Table16[customer_id],Table13[[#This Row],[customer_id]])</f>
        <v>16305.119999999999</v>
      </c>
      <c r="G1915" s="20">
        <v>44314</v>
      </c>
      <c r="H1915" s="21">
        <v>44933</v>
      </c>
      <c r="I1915" s="15">
        <f>(Table134[[#This Row],[Last_Day]]-Table134[[#This Row],[First_Day]]+1)/365</f>
        <v>1.6986301369863013</v>
      </c>
      <c r="J1915" s="59">
        <f>Table134[[#This Row],[number_of_purchases]]/Table134[[#This Row],[customer_total_years]]</f>
        <v>2.3548387096774195</v>
      </c>
      <c r="K1915" s="13">
        <f>Table134[[#This Row],[purchase_history]]/Table134[[#This Row],[number_of_purchases]]</f>
        <v>4076.2799999999997</v>
      </c>
      <c r="L1915" s="2">
        <f>IF(YEAR(Table134[[#This Row],[Last_Day]])=2021,5,IF(YEAR(Table134[[#This Row],[Last_Day]])=2022,7,IF(YEAR(Table134[[#This Row],[Last_Day]])=2023,10,"Không xác định")))</f>
        <v>10</v>
      </c>
      <c r="M1915" s="15">
        <f>Table134[[#This Row],[avg_number_of_purchases]]*Table1345[[#This Row],[avg_purchase_value]]*Table1345[[#This Row],[expected_lifespan]]</f>
        <v>95989.819354838706</v>
      </c>
      <c r="N1915" t="s">
        <v>12046</v>
      </c>
    </row>
    <row r="1916" spans="1:14" x14ac:dyDescent="0.3">
      <c r="A1916" s="2" t="s">
        <v>1914</v>
      </c>
      <c r="B1916" s="2" t="s">
        <v>12040</v>
      </c>
      <c r="C1916" s="2">
        <v>31</v>
      </c>
      <c r="D1916" s="2" t="s">
        <v>12041</v>
      </c>
      <c r="E1916" s="2">
        <f>COUNTIF(Table16[customer_id],Table13[[#This Row],[customer_id]])</f>
        <v>2</v>
      </c>
      <c r="F1916" s="13">
        <f>SUMIFS(Table16[Purchase_history],Table16[customer_id],Table13[[#This Row],[customer_id]])</f>
        <v>8702.32</v>
      </c>
      <c r="G1916" s="20">
        <v>44469</v>
      </c>
      <c r="H1916" s="21">
        <v>44984</v>
      </c>
      <c r="I1916" s="15">
        <f>(Table134[[#This Row],[Last_Day]]-Table134[[#This Row],[First_Day]]+1)/365</f>
        <v>1.4136986301369863</v>
      </c>
      <c r="J1916" s="59">
        <f>Table134[[#This Row],[number_of_purchases]]/Table134[[#This Row],[customer_total_years]]</f>
        <v>1.4147286821705427</v>
      </c>
      <c r="K1916" s="13">
        <f>Table134[[#This Row],[purchase_history]]/Table134[[#This Row],[number_of_purchases]]</f>
        <v>4351.16</v>
      </c>
      <c r="L1916" s="2">
        <f>IF(YEAR(Table134[[#This Row],[Last_Day]])=2021,5,IF(YEAR(Table134[[#This Row],[Last_Day]])=2022,7,IF(YEAR(Table134[[#This Row],[Last_Day]])=2023,10,"Không xác định")))</f>
        <v>10</v>
      </c>
      <c r="M1916" s="15">
        <f>Table134[[#This Row],[avg_number_of_purchases]]*Table1345[[#This Row],[avg_purchase_value]]*Table1345[[#This Row],[expected_lifespan]]</f>
        <v>61557.108527131786</v>
      </c>
      <c r="N1916" t="s">
        <v>12044</v>
      </c>
    </row>
    <row r="1917" spans="1:14" x14ac:dyDescent="0.3">
      <c r="A1917" s="2" t="s">
        <v>1915</v>
      </c>
      <c r="B1917" s="2" t="s">
        <v>12045</v>
      </c>
      <c r="C1917" s="2">
        <v>44</v>
      </c>
      <c r="D1917" s="2" t="s">
        <v>12049</v>
      </c>
      <c r="E1917" s="2">
        <f>COUNTIF(Table16[customer_id],Table13[[#This Row],[customer_id]])</f>
        <v>3</v>
      </c>
      <c r="F1917" s="13">
        <f>SUMIFS(Table16[Purchase_history],Table16[customer_id],Table13[[#This Row],[customer_id]])</f>
        <v>669.71</v>
      </c>
      <c r="G1917" s="20">
        <v>44658</v>
      </c>
      <c r="H1917" s="21">
        <v>44889</v>
      </c>
      <c r="I1917" s="15">
        <f>(Table134[[#This Row],[Last_Day]]-Table134[[#This Row],[First_Day]]+1)/365</f>
        <v>0.63561643835616444</v>
      </c>
      <c r="J1917" s="59">
        <f>Table134[[#This Row],[number_of_purchases]]/Table134[[#This Row],[customer_total_years]]</f>
        <v>4.7198275862068959</v>
      </c>
      <c r="K1917" s="13">
        <f>Table134[[#This Row],[purchase_history]]/Table134[[#This Row],[number_of_purchases]]</f>
        <v>223.23666666666668</v>
      </c>
      <c r="L1917" s="2">
        <f>IF(YEAR(Table134[[#This Row],[Last_Day]])=2021,5,IF(YEAR(Table134[[#This Row],[Last_Day]])=2022,7,IF(YEAR(Table134[[#This Row],[Last_Day]])=2023,10,"Không xác định")))</f>
        <v>7</v>
      </c>
      <c r="M1917" s="15">
        <f>Table134[[#This Row],[avg_number_of_purchases]]*Table1345[[#This Row],[avg_purchase_value]]*Table1345[[#This Row],[expected_lifespan]]</f>
        <v>7375.4700431034471</v>
      </c>
      <c r="N1917" t="s">
        <v>12047</v>
      </c>
    </row>
    <row r="1918" spans="1:14" x14ac:dyDescent="0.3">
      <c r="A1918" s="2" t="s">
        <v>1916</v>
      </c>
      <c r="B1918" s="2" t="s">
        <v>12040</v>
      </c>
      <c r="C1918" s="2">
        <v>44</v>
      </c>
      <c r="D1918" s="2" t="s">
        <v>12043</v>
      </c>
      <c r="E1918" s="2">
        <f>COUNTIF(Table16[customer_id],Table13[[#This Row],[customer_id]])</f>
        <v>4</v>
      </c>
      <c r="F1918" s="13">
        <f>SUMIFS(Table16[Purchase_history],Table16[customer_id],Table13[[#This Row],[customer_id]])</f>
        <v>5200.34</v>
      </c>
      <c r="G1918" s="20">
        <v>44433</v>
      </c>
      <c r="H1918" s="21">
        <v>44884</v>
      </c>
      <c r="I1918" s="15">
        <f>(Table134[[#This Row],[Last_Day]]-Table134[[#This Row],[First_Day]]+1)/365</f>
        <v>1.2383561643835617</v>
      </c>
      <c r="J1918" s="59">
        <f>Table134[[#This Row],[number_of_purchases]]/Table134[[#This Row],[customer_total_years]]</f>
        <v>3.2300884955752212</v>
      </c>
      <c r="K1918" s="13">
        <f>Table134[[#This Row],[purchase_history]]/Table134[[#This Row],[number_of_purchases]]</f>
        <v>1300.085</v>
      </c>
      <c r="L1918" s="2">
        <f>IF(YEAR(Table134[[#This Row],[Last_Day]])=2021,5,IF(YEAR(Table134[[#This Row],[Last_Day]])=2022,7,IF(YEAR(Table134[[#This Row],[Last_Day]])=2023,10,"Không xác định")))</f>
        <v>7</v>
      </c>
      <c r="M1918" s="15">
        <f>Table134[[#This Row],[avg_number_of_purchases]]*Table1345[[#This Row],[avg_purchase_value]]*Table1345[[#This Row],[expected_lifespan]]</f>
        <v>29395.727212389382</v>
      </c>
      <c r="N1918" t="s">
        <v>12044</v>
      </c>
    </row>
    <row r="1919" spans="1:14" x14ac:dyDescent="0.3">
      <c r="A1919" s="2" t="s">
        <v>1917</v>
      </c>
      <c r="B1919" s="2" t="s">
        <v>12045</v>
      </c>
      <c r="C1919" s="2">
        <v>50</v>
      </c>
      <c r="D1919" s="2" t="s">
        <v>12043</v>
      </c>
      <c r="E1919" s="2">
        <f>COUNTIF(Table16[customer_id],Table13[[#This Row],[customer_id]])</f>
        <v>4</v>
      </c>
      <c r="F1919" s="13">
        <f>SUMIFS(Table16[Purchase_history],Table16[customer_id],Table13[[#This Row],[customer_id]])</f>
        <v>9977.5799999999981</v>
      </c>
      <c r="G1919" s="20">
        <v>44616</v>
      </c>
      <c r="H1919" s="21">
        <v>44842</v>
      </c>
      <c r="I1919" s="15">
        <f>(Table134[[#This Row],[Last_Day]]-Table134[[#This Row],[First_Day]]+1)/365</f>
        <v>0.62191780821917808</v>
      </c>
      <c r="J1919" s="59">
        <f>Table134[[#This Row],[number_of_purchases]]/Table134[[#This Row],[customer_total_years]]</f>
        <v>6.4317180616740091</v>
      </c>
      <c r="K1919" s="13">
        <f>Table134[[#This Row],[purchase_history]]/Table134[[#This Row],[number_of_purchases]]</f>
        <v>2494.3949999999995</v>
      </c>
      <c r="L1919" s="2">
        <f>IF(YEAR(Table134[[#This Row],[Last_Day]])=2021,5,IF(YEAR(Table134[[#This Row],[Last_Day]])=2022,7,IF(YEAR(Table134[[#This Row],[Last_Day]])=2023,10,"Không xác định")))</f>
        <v>7</v>
      </c>
      <c r="M1919" s="15">
        <f>Table134[[#This Row],[avg_number_of_purchases]]*Table1345[[#This Row],[avg_purchase_value]]*Table1345[[#This Row],[expected_lifespan]]</f>
        <v>112302.71762114535</v>
      </c>
      <c r="N1919" t="s">
        <v>12047</v>
      </c>
    </row>
    <row r="1920" spans="1:14" x14ac:dyDescent="0.3">
      <c r="A1920" s="2" t="s">
        <v>1918</v>
      </c>
      <c r="B1920" s="2" t="s">
        <v>12040</v>
      </c>
      <c r="C1920" s="2">
        <v>35</v>
      </c>
      <c r="D1920" s="2" t="s">
        <v>12041</v>
      </c>
      <c r="E1920" s="2">
        <f>COUNTIF(Table16[customer_id],Table13[[#This Row],[customer_id]])</f>
        <v>7</v>
      </c>
      <c r="F1920" s="13">
        <f>SUMIFS(Table16[Purchase_history],Table16[customer_id],Table13[[#This Row],[customer_id]])</f>
        <v>16733.8</v>
      </c>
      <c r="G1920" s="20">
        <v>44307</v>
      </c>
      <c r="H1920" s="21">
        <v>44727</v>
      </c>
      <c r="I1920" s="15">
        <f>(Table134[[#This Row],[Last_Day]]-Table134[[#This Row],[First_Day]]+1)/365</f>
        <v>1.1534246575342466</v>
      </c>
      <c r="J1920" s="59">
        <f>Table134[[#This Row],[number_of_purchases]]/Table134[[#This Row],[customer_total_years]]</f>
        <v>6.068883610451306</v>
      </c>
      <c r="K1920" s="13">
        <f>Table134[[#This Row],[purchase_history]]/Table134[[#This Row],[number_of_purchases]]</f>
        <v>2390.542857142857</v>
      </c>
      <c r="L1920" s="2">
        <f>IF(YEAR(Table134[[#This Row],[Last_Day]])=2021,5,IF(YEAR(Table134[[#This Row],[Last_Day]])=2022,7,IF(YEAR(Table134[[#This Row],[Last_Day]])=2023,10,"Không xác định")))</f>
        <v>7</v>
      </c>
      <c r="M1920" s="15">
        <f>Table134[[#This Row],[avg_number_of_purchases]]*Table1345[[#This Row],[avg_purchase_value]]*Table1345[[#This Row],[expected_lifespan]]</f>
        <v>101555.48456057005</v>
      </c>
      <c r="N1920" t="s">
        <v>12044</v>
      </c>
    </row>
    <row r="1921" spans="1:14" x14ac:dyDescent="0.3">
      <c r="A1921" s="2" t="s">
        <v>1919</v>
      </c>
      <c r="B1921" s="2" t="s">
        <v>12040</v>
      </c>
      <c r="C1921" s="2">
        <v>47</v>
      </c>
      <c r="D1921" s="2" t="s">
        <v>12049</v>
      </c>
      <c r="E1921" s="2">
        <f>COUNTIF(Table16[customer_id],Table13[[#This Row],[customer_id]])</f>
        <v>7</v>
      </c>
      <c r="F1921" s="13">
        <f>SUMIFS(Table16[Purchase_history],Table16[customer_id],Table13[[#This Row],[customer_id]])</f>
        <v>12908.199999999999</v>
      </c>
      <c r="G1921" s="20">
        <v>44219</v>
      </c>
      <c r="H1921" s="21">
        <v>44889</v>
      </c>
      <c r="I1921" s="15">
        <f>(Table134[[#This Row],[Last_Day]]-Table134[[#This Row],[First_Day]]+1)/365</f>
        <v>1.8383561643835618</v>
      </c>
      <c r="J1921" s="59">
        <f>Table134[[#This Row],[number_of_purchases]]/Table134[[#This Row],[customer_total_years]]</f>
        <v>3.8077496274217584</v>
      </c>
      <c r="K1921" s="13">
        <f>Table134[[#This Row],[purchase_history]]/Table134[[#This Row],[number_of_purchases]]</f>
        <v>1844.0285714285712</v>
      </c>
      <c r="L1921" s="2">
        <f>IF(YEAR(Table134[[#This Row],[Last_Day]])=2021,5,IF(YEAR(Table134[[#This Row],[Last_Day]])=2022,7,IF(YEAR(Table134[[#This Row],[Last_Day]])=2023,10,"Không xác định")))</f>
        <v>7</v>
      </c>
      <c r="M1921" s="15">
        <f>Table134[[#This Row],[avg_number_of_purchases]]*Table1345[[#This Row],[avg_purchase_value]]*Table1345[[#This Row],[expected_lifespan]]</f>
        <v>49151.193740685543</v>
      </c>
      <c r="N1921" t="s">
        <v>12047</v>
      </c>
    </row>
    <row r="1922" spans="1:14" x14ac:dyDescent="0.3">
      <c r="A1922" s="2" t="s">
        <v>1920</v>
      </c>
      <c r="B1922" s="2" t="s">
        <v>12045</v>
      </c>
      <c r="C1922" s="2">
        <v>33</v>
      </c>
      <c r="D1922" s="2" t="s">
        <v>12043</v>
      </c>
      <c r="E1922" s="2">
        <f>COUNTIF(Table16[customer_id],Table13[[#This Row],[customer_id]])</f>
        <v>6</v>
      </c>
      <c r="F1922" s="13">
        <f>SUMIFS(Table16[Purchase_history],Table16[customer_id],Table13[[#This Row],[customer_id]])</f>
        <v>20016.080000000002</v>
      </c>
      <c r="G1922" s="20">
        <v>44581</v>
      </c>
      <c r="H1922" s="21">
        <v>44851</v>
      </c>
      <c r="I1922" s="15">
        <f>(Table134[[#This Row],[Last_Day]]-Table134[[#This Row],[First_Day]]+1)/365</f>
        <v>0.74246575342465748</v>
      </c>
      <c r="J1922" s="59">
        <f>Table134[[#This Row],[number_of_purchases]]/Table134[[#This Row],[customer_total_years]]</f>
        <v>8.0811808118081192</v>
      </c>
      <c r="K1922" s="13">
        <f>Table134[[#This Row],[purchase_history]]/Table134[[#This Row],[number_of_purchases]]</f>
        <v>3336.0133333333338</v>
      </c>
      <c r="L1922" s="2">
        <f>IF(YEAR(Table134[[#This Row],[Last_Day]])=2021,5,IF(YEAR(Table134[[#This Row],[Last_Day]])=2022,7,IF(YEAR(Table134[[#This Row],[Last_Day]])=2023,10,"Không xác định")))</f>
        <v>7</v>
      </c>
      <c r="M1922" s="15">
        <f>Table134[[#This Row],[avg_number_of_purchases]]*Table1345[[#This Row],[avg_purchase_value]]*Table1345[[#This Row],[expected_lifespan]]</f>
        <v>188712.48856088566</v>
      </c>
      <c r="N1922" t="s">
        <v>12047</v>
      </c>
    </row>
    <row r="1923" spans="1:14" x14ac:dyDescent="0.3">
      <c r="A1923" s="2" t="s">
        <v>1921</v>
      </c>
      <c r="B1923" s="2" t="s">
        <v>12040</v>
      </c>
      <c r="C1923" s="2">
        <v>65</v>
      </c>
      <c r="D1923" s="2" t="s">
        <v>12041</v>
      </c>
      <c r="E1923" s="2">
        <f>COUNTIF(Table16[customer_id],Table13[[#This Row],[customer_id]])</f>
        <v>9</v>
      </c>
      <c r="F1923" s="13">
        <f>SUMIFS(Table16[Purchase_history],Table16[customer_id],Table13[[#This Row],[customer_id]])</f>
        <v>16995.52</v>
      </c>
      <c r="G1923" s="20">
        <v>44324</v>
      </c>
      <c r="H1923" s="21">
        <v>44967</v>
      </c>
      <c r="I1923" s="15">
        <f>(Table134[[#This Row],[Last_Day]]-Table134[[#This Row],[First_Day]]+1)/365</f>
        <v>1.7643835616438357</v>
      </c>
      <c r="J1923" s="59">
        <f>Table134[[#This Row],[number_of_purchases]]/Table134[[#This Row],[customer_total_years]]</f>
        <v>5.1009316770186333</v>
      </c>
      <c r="K1923" s="13">
        <f>Table134[[#This Row],[purchase_history]]/Table134[[#This Row],[number_of_purchases]]</f>
        <v>1888.3911111111111</v>
      </c>
      <c r="L1923" s="2">
        <f>IF(YEAR(Table134[[#This Row],[Last_Day]])=2021,5,IF(YEAR(Table134[[#This Row],[Last_Day]])=2022,7,IF(YEAR(Table134[[#This Row],[Last_Day]])=2023,10,"Không xác định")))</f>
        <v>10</v>
      </c>
      <c r="M1923" s="15">
        <f>Table134[[#This Row],[avg_number_of_purchases]]*Table1345[[#This Row],[avg_purchase_value]]*Table1345[[#This Row],[expected_lifespan]]</f>
        <v>96325.540372670803</v>
      </c>
      <c r="N1923" t="s">
        <v>12042</v>
      </c>
    </row>
    <row r="1924" spans="1:14" x14ac:dyDescent="0.3">
      <c r="A1924" s="2" t="s">
        <v>1922</v>
      </c>
      <c r="B1924" s="2" t="s">
        <v>12045</v>
      </c>
      <c r="C1924" s="2">
        <v>57</v>
      </c>
      <c r="D1924" s="2" t="s">
        <v>12043</v>
      </c>
      <c r="E1924" s="2">
        <f>COUNTIF(Table16[customer_id],Table13[[#This Row],[customer_id]])</f>
        <v>5</v>
      </c>
      <c r="F1924" s="13">
        <f>SUMIFS(Table16[Purchase_history],Table16[customer_id],Table13[[#This Row],[customer_id]])</f>
        <v>25432.6</v>
      </c>
      <c r="G1924" s="20">
        <v>44200</v>
      </c>
      <c r="H1924" s="21">
        <v>44923</v>
      </c>
      <c r="I1924" s="15">
        <f>(Table134[[#This Row],[Last_Day]]-Table134[[#This Row],[First_Day]]+1)/365</f>
        <v>1.9835616438356165</v>
      </c>
      <c r="J1924" s="59">
        <f>Table134[[#This Row],[number_of_purchases]]/Table134[[#This Row],[customer_total_years]]</f>
        <v>2.520718232044199</v>
      </c>
      <c r="K1924" s="13">
        <f>Table134[[#This Row],[purchase_history]]/Table134[[#This Row],[number_of_purchases]]</f>
        <v>5086.5199999999995</v>
      </c>
      <c r="L1924" s="2">
        <f>IF(YEAR(Table134[[#This Row],[Last_Day]])=2021,5,IF(YEAR(Table134[[#This Row],[Last_Day]])=2022,7,IF(YEAR(Table134[[#This Row],[Last_Day]])=2023,10,"Không xác định")))</f>
        <v>7</v>
      </c>
      <c r="M1924" s="15">
        <f>Table134[[#This Row],[avg_number_of_purchases]]*Table1345[[#This Row],[avg_purchase_value]]*Table1345[[#This Row],[expected_lifespan]]</f>
        <v>89751.785911602201</v>
      </c>
      <c r="N1924" t="s">
        <v>12048</v>
      </c>
    </row>
    <row r="1925" spans="1:14" x14ac:dyDescent="0.3">
      <c r="A1925" s="2" t="s">
        <v>1923</v>
      </c>
      <c r="B1925" s="2" t="s">
        <v>12045</v>
      </c>
      <c r="C1925" s="2">
        <v>24</v>
      </c>
      <c r="D1925" s="2" t="s">
        <v>12049</v>
      </c>
      <c r="E1925" s="2">
        <f>COUNTIF(Table16[customer_id],Table13[[#This Row],[customer_id]])</f>
        <v>4</v>
      </c>
      <c r="F1925" s="13">
        <f>SUMIFS(Table16[Purchase_history],Table16[customer_id],Table13[[#This Row],[customer_id]])</f>
        <v>11259.880000000001</v>
      </c>
      <c r="G1925" s="20">
        <v>44308</v>
      </c>
      <c r="H1925" s="21">
        <v>44756</v>
      </c>
      <c r="I1925" s="15">
        <f>(Table134[[#This Row],[Last_Day]]-Table134[[#This Row],[First_Day]]+1)/365</f>
        <v>1.2301369863013698</v>
      </c>
      <c r="J1925" s="59">
        <f>Table134[[#This Row],[number_of_purchases]]/Table134[[#This Row],[customer_total_years]]</f>
        <v>3.2516703786191536</v>
      </c>
      <c r="K1925" s="13">
        <f>Table134[[#This Row],[purchase_history]]/Table134[[#This Row],[number_of_purchases]]</f>
        <v>2814.9700000000003</v>
      </c>
      <c r="L1925" s="2">
        <f>IF(YEAR(Table134[[#This Row],[Last_Day]])=2021,5,IF(YEAR(Table134[[#This Row],[Last_Day]])=2022,7,IF(YEAR(Table134[[#This Row],[Last_Day]])=2023,10,"Không xác định")))</f>
        <v>7</v>
      </c>
      <c r="M1925" s="15">
        <f>Table134[[#This Row],[avg_number_of_purchases]]*Table1345[[#This Row],[avg_purchase_value]]*Table1345[[#This Row],[expected_lifespan]]</f>
        <v>64073.481959910918</v>
      </c>
      <c r="N1925" t="s">
        <v>12044</v>
      </c>
    </row>
    <row r="1926" spans="1:14" x14ac:dyDescent="0.3">
      <c r="A1926" s="2" t="s">
        <v>1924</v>
      </c>
      <c r="B1926" s="2" t="s">
        <v>12045</v>
      </c>
      <c r="C1926" s="2">
        <v>39</v>
      </c>
      <c r="D1926" s="2" t="s">
        <v>12041</v>
      </c>
      <c r="E1926" s="2">
        <f>COUNTIF(Table16[customer_id],Table13[[#This Row],[customer_id]])</f>
        <v>7</v>
      </c>
      <c r="F1926" s="13">
        <f>SUMIFS(Table16[Purchase_history],Table16[customer_id],Table13[[#This Row],[customer_id]])</f>
        <v>7791.15</v>
      </c>
      <c r="G1926" s="20">
        <v>44393</v>
      </c>
      <c r="H1926" s="21">
        <v>44927</v>
      </c>
      <c r="I1926" s="15">
        <f>(Table134[[#This Row],[Last_Day]]-Table134[[#This Row],[First_Day]]+1)/365</f>
        <v>1.4657534246575343</v>
      </c>
      <c r="J1926" s="59">
        <f>Table134[[#This Row],[number_of_purchases]]/Table134[[#This Row],[customer_total_years]]</f>
        <v>4.7757009345794392</v>
      </c>
      <c r="K1926" s="13">
        <f>Table134[[#This Row],[purchase_history]]/Table134[[#This Row],[number_of_purchases]]</f>
        <v>1113.0214285714285</v>
      </c>
      <c r="L1926" s="2">
        <f>IF(YEAR(Table134[[#This Row],[Last_Day]])=2021,5,IF(YEAR(Table134[[#This Row],[Last_Day]])=2022,7,IF(YEAR(Table134[[#This Row],[Last_Day]])=2023,10,"Không xác định")))</f>
        <v>10</v>
      </c>
      <c r="M1926" s="15">
        <f>Table134[[#This Row],[avg_number_of_purchases]]*Table1345[[#This Row],[avg_purchase_value]]*Table1345[[#This Row],[expected_lifespan]]</f>
        <v>53154.574766355137</v>
      </c>
      <c r="N1926" t="s">
        <v>12042</v>
      </c>
    </row>
    <row r="1927" spans="1:14" x14ac:dyDescent="0.3">
      <c r="A1927" s="2" t="s">
        <v>1925</v>
      </c>
      <c r="B1927" s="2" t="s">
        <v>12045</v>
      </c>
      <c r="C1927" s="2">
        <v>22</v>
      </c>
      <c r="D1927" s="2" t="s">
        <v>12041</v>
      </c>
      <c r="E1927" s="2">
        <f>COUNTIF(Table16[customer_id],Table13[[#This Row],[customer_id]])</f>
        <v>5</v>
      </c>
      <c r="F1927" s="13">
        <f>SUMIFS(Table16[Purchase_history],Table16[customer_id],Table13[[#This Row],[customer_id]])</f>
        <v>5858.3600000000006</v>
      </c>
      <c r="G1927" s="20">
        <v>44312</v>
      </c>
      <c r="H1927" s="21">
        <v>44916</v>
      </c>
      <c r="I1927" s="15">
        <f>(Table134[[#This Row],[Last_Day]]-Table134[[#This Row],[First_Day]]+1)/365</f>
        <v>1.6575342465753424</v>
      </c>
      <c r="J1927" s="59">
        <f>Table134[[#This Row],[number_of_purchases]]/Table134[[#This Row],[customer_total_years]]</f>
        <v>3.0165289256198347</v>
      </c>
      <c r="K1927" s="13">
        <f>Table134[[#This Row],[purchase_history]]/Table134[[#This Row],[number_of_purchases]]</f>
        <v>1171.672</v>
      </c>
      <c r="L1927" s="2">
        <f>IF(YEAR(Table134[[#This Row],[Last_Day]])=2021,5,IF(YEAR(Table134[[#This Row],[Last_Day]])=2022,7,IF(YEAR(Table134[[#This Row],[Last_Day]])=2023,10,"Không xác định")))</f>
        <v>7</v>
      </c>
      <c r="M1927" s="15">
        <f>Table134[[#This Row],[avg_number_of_purchases]]*Table1345[[#This Row],[avg_purchase_value]]*Table1345[[#This Row],[expected_lifespan]]</f>
        <v>24740.677355371903</v>
      </c>
      <c r="N1927" t="s">
        <v>12046</v>
      </c>
    </row>
    <row r="1928" spans="1:14" x14ac:dyDescent="0.3">
      <c r="A1928" s="2" t="s">
        <v>1926</v>
      </c>
      <c r="B1928" s="2" t="s">
        <v>12040</v>
      </c>
      <c r="C1928" s="2">
        <v>24</v>
      </c>
      <c r="D1928" s="2" t="s">
        <v>12049</v>
      </c>
      <c r="E1928" s="2">
        <f>COUNTIF(Table16[customer_id],Table13[[#This Row],[customer_id]])</f>
        <v>4</v>
      </c>
      <c r="F1928" s="13">
        <f>SUMIFS(Table16[Purchase_history],Table16[customer_id],Table13[[#This Row],[customer_id]])</f>
        <v>1513.68</v>
      </c>
      <c r="G1928" s="20">
        <v>44290</v>
      </c>
      <c r="H1928" s="21">
        <v>44981</v>
      </c>
      <c r="I1928" s="15">
        <f>(Table134[[#This Row],[Last_Day]]-Table134[[#This Row],[First_Day]]+1)/365</f>
        <v>1.8958904109589041</v>
      </c>
      <c r="J1928" s="59">
        <f>Table134[[#This Row],[number_of_purchases]]/Table134[[#This Row],[customer_total_years]]</f>
        <v>2.1098265895953756</v>
      </c>
      <c r="K1928" s="13">
        <f>Table134[[#This Row],[purchase_history]]/Table134[[#This Row],[number_of_purchases]]</f>
        <v>378.42</v>
      </c>
      <c r="L1928" s="2">
        <f>IF(YEAR(Table134[[#This Row],[Last_Day]])=2021,5,IF(YEAR(Table134[[#This Row],[Last_Day]])=2022,7,IF(YEAR(Table134[[#This Row],[Last_Day]])=2023,10,"Không xác định")))</f>
        <v>10</v>
      </c>
      <c r="M1928" s="15">
        <f>Table134[[#This Row],[avg_number_of_purchases]]*Table1345[[#This Row],[avg_purchase_value]]*Table1345[[#This Row],[expected_lifespan]]</f>
        <v>7984.0057803468208</v>
      </c>
      <c r="N1928" t="s">
        <v>12044</v>
      </c>
    </row>
    <row r="1929" spans="1:14" x14ac:dyDescent="0.3">
      <c r="A1929" s="2" t="s">
        <v>1927</v>
      </c>
      <c r="B1929" s="2" t="s">
        <v>12040</v>
      </c>
      <c r="C1929" s="2">
        <v>27</v>
      </c>
      <c r="D1929" s="2" t="s">
        <v>12043</v>
      </c>
      <c r="E1929" s="2">
        <f>COUNTIF(Table16[customer_id],Table13[[#This Row],[customer_id]])</f>
        <v>5</v>
      </c>
      <c r="F1929" s="13">
        <f>SUMIFS(Table16[Purchase_history],Table16[customer_id],Table13[[#This Row],[customer_id]])</f>
        <v>5394.79</v>
      </c>
      <c r="G1929" s="20">
        <v>44425</v>
      </c>
      <c r="H1929" s="21">
        <v>44782</v>
      </c>
      <c r="I1929" s="15">
        <f>(Table134[[#This Row],[Last_Day]]-Table134[[#This Row],[First_Day]]+1)/365</f>
        <v>0.98082191780821915</v>
      </c>
      <c r="J1929" s="59">
        <f>Table134[[#This Row],[number_of_purchases]]/Table134[[#This Row],[customer_total_years]]</f>
        <v>5.0977653631284916</v>
      </c>
      <c r="K1929" s="13">
        <f>Table134[[#This Row],[purchase_history]]/Table134[[#This Row],[number_of_purchases]]</f>
        <v>1078.9580000000001</v>
      </c>
      <c r="L1929" s="2">
        <f>IF(YEAR(Table134[[#This Row],[Last_Day]])=2021,5,IF(YEAR(Table134[[#This Row],[Last_Day]])=2022,7,IF(YEAR(Table134[[#This Row],[Last_Day]])=2023,10,"Không xác định")))</f>
        <v>7</v>
      </c>
      <c r="M1929" s="15">
        <f>Table134[[#This Row],[avg_number_of_purchases]]*Table1345[[#This Row],[avg_purchase_value]]*Table1345[[#This Row],[expected_lifespan]]</f>
        <v>38501.923044692739</v>
      </c>
      <c r="N1929" t="s">
        <v>12047</v>
      </c>
    </row>
    <row r="1930" spans="1:14" x14ac:dyDescent="0.3">
      <c r="A1930" s="2" t="s">
        <v>1928</v>
      </c>
      <c r="B1930" s="2" t="s">
        <v>12040</v>
      </c>
      <c r="C1930" s="2">
        <v>23</v>
      </c>
      <c r="D1930" s="2" t="s">
        <v>12041</v>
      </c>
      <c r="E1930" s="2">
        <f>COUNTIF(Table16[customer_id],Table13[[#This Row],[customer_id]])</f>
        <v>6</v>
      </c>
      <c r="F1930" s="13">
        <f>SUMIFS(Table16[Purchase_history],Table16[customer_id],Table13[[#This Row],[customer_id]])</f>
        <v>4924.8499999999995</v>
      </c>
      <c r="G1930" s="20">
        <v>44408</v>
      </c>
      <c r="H1930" s="21">
        <v>44969</v>
      </c>
      <c r="I1930" s="15">
        <f>(Table134[[#This Row],[Last_Day]]-Table134[[#This Row],[First_Day]]+1)/365</f>
        <v>1.5397260273972602</v>
      </c>
      <c r="J1930" s="59">
        <f>Table134[[#This Row],[number_of_purchases]]/Table134[[#This Row],[customer_total_years]]</f>
        <v>3.8967971530249113</v>
      </c>
      <c r="K1930" s="13">
        <f>Table134[[#This Row],[purchase_history]]/Table134[[#This Row],[number_of_purchases]]</f>
        <v>820.80833333333328</v>
      </c>
      <c r="L1930" s="2">
        <f>IF(YEAR(Table134[[#This Row],[Last_Day]])=2021,5,IF(YEAR(Table134[[#This Row],[Last_Day]])=2022,7,IF(YEAR(Table134[[#This Row],[Last_Day]])=2023,10,"Không xác định")))</f>
        <v>10</v>
      </c>
      <c r="M1930" s="15">
        <f>Table134[[#This Row],[avg_number_of_purchases]]*Table1345[[#This Row],[avg_purchase_value]]*Table1345[[#This Row],[expected_lifespan]]</f>
        <v>31985.235765124555</v>
      </c>
      <c r="N1930" t="s">
        <v>12042</v>
      </c>
    </row>
    <row r="1931" spans="1:14" x14ac:dyDescent="0.3">
      <c r="A1931" s="2" t="s">
        <v>1929</v>
      </c>
      <c r="B1931" s="2" t="s">
        <v>12045</v>
      </c>
      <c r="C1931" s="2">
        <v>49</v>
      </c>
      <c r="D1931" s="2" t="s">
        <v>12041</v>
      </c>
      <c r="E1931" s="2">
        <f>COUNTIF(Table16[customer_id],Table13[[#This Row],[customer_id]])</f>
        <v>4</v>
      </c>
      <c r="F1931" s="13">
        <f>SUMIFS(Table16[Purchase_history],Table16[customer_id],Table13[[#This Row],[customer_id]])</f>
        <v>874.77999999999986</v>
      </c>
      <c r="G1931" s="20">
        <v>44280</v>
      </c>
      <c r="H1931" s="21">
        <v>44481</v>
      </c>
      <c r="I1931" s="15">
        <f>(Table134[[#This Row],[Last_Day]]-Table134[[#This Row],[First_Day]]+1)/365</f>
        <v>0.55342465753424652</v>
      </c>
      <c r="J1931" s="59">
        <f>Table134[[#This Row],[number_of_purchases]]/Table134[[#This Row],[customer_total_years]]</f>
        <v>7.2277227722772288</v>
      </c>
      <c r="K1931" s="13">
        <f>Table134[[#This Row],[purchase_history]]/Table134[[#This Row],[number_of_purchases]]</f>
        <v>218.69499999999996</v>
      </c>
      <c r="L1931" s="2">
        <f>IF(YEAR(Table134[[#This Row],[Last_Day]])=2021,5,IF(YEAR(Table134[[#This Row],[Last_Day]])=2022,7,IF(YEAR(Table134[[#This Row],[Last_Day]])=2023,10,"Không xác định")))</f>
        <v>5</v>
      </c>
      <c r="M1931" s="15">
        <f>Table134[[#This Row],[avg_number_of_purchases]]*Table1345[[#This Row],[avg_purchase_value]]*Table1345[[#This Row],[expected_lifespan]]</f>
        <v>7903.3341584158416</v>
      </c>
      <c r="N1931" t="s">
        <v>12044</v>
      </c>
    </row>
    <row r="1932" spans="1:14" x14ac:dyDescent="0.3">
      <c r="A1932" s="2" t="s">
        <v>1930</v>
      </c>
      <c r="B1932" s="2" t="s">
        <v>12040</v>
      </c>
      <c r="C1932" s="2">
        <v>48</v>
      </c>
      <c r="D1932" s="2" t="s">
        <v>12041</v>
      </c>
      <c r="E1932" s="2">
        <f>COUNTIF(Table16[customer_id],Table13[[#This Row],[customer_id]])</f>
        <v>8</v>
      </c>
      <c r="F1932" s="13">
        <f>SUMIFS(Table16[Purchase_history],Table16[customer_id],Table13[[#This Row],[customer_id]])</f>
        <v>20118.810000000001</v>
      </c>
      <c r="G1932" s="20">
        <v>44305</v>
      </c>
      <c r="H1932" s="21">
        <v>44969</v>
      </c>
      <c r="I1932" s="15">
        <f>(Table134[[#This Row],[Last_Day]]-Table134[[#This Row],[First_Day]]+1)/365</f>
        <v>1.821917808219178</v>
      </c>
      <c r="J1932" s="59">
        <f>Table134[[#This Row],[number_of_purchases]]/Table134[[#This Row],[customer_total_years]]</f>
        <v>4.3909774436090228</v>
      </c>
      <c r="K1932" s="13">
        <f>Table134[[#This Row],[purchase_history]]/Table134[[#This Row],[number_of_purchases]]</f>
        <v>2514.8512500000002</v>
      </c>
      <c r="L1932" s="2">
        <f>IF(YEAR(Table134[[#This Row],[Last_Day]])=2021,5,IF(YEAR(Table134[[#This Row],[Last_Day]])=2022,7,IF(YEAR(Table134[[#This Row],[Last_Day]])=2023,10,"Không xác định")))</f>
        <v>10</v>
      </c>
      <c r="M1932" s="15">
        <f>Table134[[#This Row],[avg_number_of_purchases]]*Table1345[[#This Row],[avg_purchase_value]]*Table1345[[#This Row],[expected_lifespan]]</f>
        <v>110426.55112781956</v>
      </c>
      <c r="N1932" t="s">
        <v>12042</v>
      </c>
    </row>
    <row r="1933" spans="1:14" x14ac:dyDescent="0.3">
      <c r="A1933" s="2" t="s">
        <v>1931</v>
      </c>
      <c r="B1933" s="2" t="s">
        <v>12040</v>
      </c>
      <c r="C1933" s="2">
        <v>29</v>
      </c>
      <c r="D1933" s="2" t="s">
        <v>12049</v>
      </c>
      <c r="E1933" s="2">
        <f>COUNTIF(Table16[customer_id],Table13[[#This Row],[customer_id]])</f>
        <v>5</v>
      </c>
      <c r="F1933" s="13">
        <f>SUMIFS(Table16[Purchase_history],Table16[customer_id],Table13[[#This Row],[customer_id]])</f>
        <v>11541.78</v>
      </c>
      <c r="G1933" s="20">
        <v>44227</v>
      </c>
      <c r="H1933" s="21">
        <v>44951</v>
      </c>
      <c r="I1933" s="15">
        <f>(Table134[[#This Row],[Last_Day]]-Table134[[#This Row],[First_Day]]+1)/365</f>
        <v>1.9863013698630136</v>
      </c>
      <c r="J1933" s="59">
        <f>Table134[[#This Row],[number_of_purchases]]/Table134[[#This Row],[customer_total_years]]</f>
        <v>2.5172413793103448</v>
      </c>
      <c r="K1933" s="13">
        <f>Table134[[#This Row],[purchase_history]]/Table134[[#This Row],[number_of_purchases]]</f>
        <v>2308.3560000000002</v>
      </c>
      <c r="L1933" s="2">
        <f>IF(YEAR(Table134[[#This Row],[Last_Day]])=2021,5,IF(YEAR(Table134[[#This Row],[Last_Day]])=2022,7,IF(YEAR(Table134[[#This Row],[Last_Day]])=2023,10,"Không xác định")))</f>
        <v>10</v>
      </c>
      <c r="M1933" s="15">
        <f>Table134[[#This Row],[avg_number_of_purchases]]*Table1345[[#This Row],[avg_purchase_value]]*Table1345[[#This Row],[expected_lifespan]]</f>
        <v>58106.89241379311</v>
      </c>
      <c r="N1933" t="s">
        <v>12044</v>
      </c>
    </row>
    <row r="1934" spans="1:14" x14ac:dyDescent="0.3">
      <c r="A1934" s="2" t="s">
        <v>1932</v>
      </c>
      <c r="B1934" s="2" t="s">
        <v>12045</v>
      </c>
      <c r="C1934" s="2">
        <v>51</v>
      </c>
      <c r="D1934" s="2" t="s">
        <v>12041</v>
      </c>
      <c r="E1934" s="2">
        <f>COUNTIF(Table16[customer_id],Table13[[#This Row],[customer_id]])</f>
        <v>7</v>
      </c>
      <c r="F1934" s="13">
        <f>SUMIFS(Table16[Purchase_history],Table16[customer_id],Table13[[#This Row],[customer_id]])</f>
        <v>9113.2000000000007</v>
      </c>
      <c r="G1934" s="20">
        <v>44330</v>
      </c>
      <c r="H1934" s="21">
        <v>44973</v>
      </c>
      <c r="I1934" s="15">
        <f>(Table134[[#This Row],[Last_Day]]-Table134[[#This Row],[First_Day]]+1)/365</f>
        <v>1.7643835616438357</v>
      </c>
      <c r="J1934" s="59">
        <f>Table134[[#This Row],[number_of_purchases]]/Table134[[#This Row],[customer_total_years]]</f>
        <v>3.9673913043478257</v>
      </c>
      <c r="K1934" s="13">
        <f>Table134[[#This Row],[purchase_history]]/Table134[[#This Row],[number_of_purchases]]</f>
        <v>1301.8857142857144</v>
      </c>
      <c r="L1934" s="2">
        <f>IF(YEAR(Table134[[#This Row],[Last_Day]])=2021,5,IF(YEAR(Table134[[#This Row],[Last_Day]])=2022,7,IF(YEAR(Table134[[#This Row],[Last_Day]])=2023,10,"Không xác định")))</f>
        <v>10</v>
      </c>
      <c r="M1934" s="15">
        <f>Table134[[#This Row],[avg_number_of_purchases]]*Table1345[[#This Row],[avg_purchase_value]]*Table1345[[#This Row],[expected_lifespan]]</f>
        <v>51650.900621118009</v>
      </c>
      <c r="N1934" t="s">
        <v>12044</v>
      </c>
    </row>
    <row r="1935" spans="1:14" x14ac:dyDescent="0.3">
      <c r="A1935" s="2" t="s">
        <v>1933</v>
      </c>
      <c r="B1935" s="2" t="s">
        <v>12045</v>
      </c>
      <c r="C1935" s="2">
        <v>63</v>
      </c>
      <c r="D1935" s="2" t="s">
        <v>12049</v>
      </c>
      <c r="E1935" s="2">
        <f>COUNTIF(Table16[customer_id],Table13[[#This Row],[customer_id]])</f>
        <v>5</v>
      </c>
      <c r="F1935" s="13">
        <f>SUMIFS(Table16[Purchase_history],Table16[customer_id],Table13[[#This Row],[customer_id]])</f>
        <v>12598.310000000001</v>
      </c>
      <c r="G1935" s="20">
        <v>44485</v>
      </c>
      <c r="H1935" s="21">
        <v>44904</v>
      </c>
      <c r="I1935" s="15">
        <f>(Table134[[#This Row],[Last_Day]]-Table134[[#This Row],[First_Day]]+1)/365</f>
        <v>1.1506849315068493</v>
      </c>
      <c r="J1935" s="59">
        <f>Table134[[#This Row],[number_of_purchases]]/Table134[[#This Row],[customer_total_years]]</f>
        <v>4.3452380952380958</v>
      </c>
      <c r="K1935" s="13">
        <f>Table134[[#This Row],[purchase_history]]/Table134[[#This Row],[number_of_purchases]]</f>
        <v>2519.6620000000003</v>
      </c>
      <c r="L1935" s="2">
        <f>IF(YEAR(Table134[[#This Row],[Last_Day]])=2021,5,IF(YEAR(Table134[[#This Row],[Last_Day]])=2022,7,IF(YEAR(Table134[[#This Row],[Last_Day]])=2023,10,"Không xác định")))</f>
        <v>7</v>
      </c>
      <c r="M1935" s="15">
        <f>Table134[[#This Row],[avg_number_of_purchases]]*Table1345[[#This Row],[avg_purchase_value]]*Table1345[[#This Row],[expected_lifespan]]</f>
        <v>76639.719166666691</v>
      </c>
      <c r="N1935" t="s">
        <v>12046</v>
      </c>
    </row>
    <row r="1936" spans="1:14" x14ac:dyDescent="0.3">
      <c r="A1936" s="2" t="s">
        <v>1934</v>
      </c>
      <c r="B1936" s="2" t="s">
        <v>12045</v>
      </c>
      <c r="C1936" s="2">
        <v>60</v>
      </c>
      <c r="D1936" s="2" t="s">
        <v>12041</v>
      </c>
      <c r="E1936" s="2">
        <f>COUNTIF(Table16[customer_id],Table13[[#This Row],[customer_id]])</f>
        <v>4</v>
      </c>
      <c r="F1936" s="13">
        <f>SUMIFS(Table16[Purchase_history],Table16[customer_id],Table13[[#This Row],[customer_id]])</f>
        <v>655.73</v>
      </c>
      <c r="G1936" s="20">
        <v>44259</v>
      </c>
      <c r="H1936" s="21">
        <v>44943</v>
      </c>
      <c r="I1936" s="15">
        <f>(Table134[[#This Row],[Last_Day]]-Table134[[#This Row],[First_Day]]+1)/365</f>
        <v>1.8767123287671232</v>
      </c>
      <c r="J1936" s="59">
        <f>Table134[[#This Row],[number_of_purchases]]/Table134[[#This Row],[customer_total_years]]</f>
        <v>2.1313868613138687</v>
      </c>
      <c r="K1936" s="13">
        <f>Table134[[#This Row],[purchase_history]]/Table134[[#This Row],[number_of_purchases]]</f>
        <v>163.9325</v>
      </c>
      <c r="L1936" s="2">
        <f>IF(YEAR(Table134[[#This Row],[Last_Day]])=2021,5,IF(YEAR(Table134[[#This Row],[Last_Day]])=2022,7,IF(YEAR(Table134[[#This Row],[Last_Day]])=2023,10,"Không xác định")))</f>
        <v>10</v>
      </c>
      <c r="M1936" s="15">
        <f>Table134[[#This Row],[avg_number_of_purchases]]*Table1345[[#This Row],[avg_purchase_value]]*Table1345[[#This Row],[expected_lifespan]]</f>
        <v>3494.0357664233579</v>
      </c>
      <c r="N1936" t="s">
        <v>12046</v>
      </c>
    </row>
    <row r="1937" spans="1:14" x14ac:dyDescent="0.3">
      <c r="A1937" s="2" t="s">
        <v>1935</v>
      </c>
      <c r="B1937" s="2" t="s">
        <v>12040</v>
      </c>
      <c r="C1937" s="2">
        <v>60</v>
      </c>
      <c r="D1937" s="2" t="s">
        <v>12049</v>
      </c>
      <c r="E1937" s="2">
        <f>COUNTIF(Table16[customer_id],Table13[[#This Row],[customer_id]])</f>
        <v>4</v>
      </c>
      <c r="F1937" s="13">
        <f>SUMIFS(Table16[Purchase_history],Table16[customer_id],Table13[[#This Row],[customer_id]])</f>
        <v>1088.9100000000001</v>
      </c>
      <c r="G1937" s="20">
        <v>44354</v>
      </c>
      <c r="H1937" s="21">
        <v>44907</v>
      </c>
      <c r="I1937" s="15">
        <f>(Table134[[#This Row],[Last_Day]]-Table134[[#This Row],[First_Day]]+1)/365</f>
        <v>1.5178082191780822</v>
      </c>
      <c r="J1937" s="59">
        <f>Table134[[#This Row],[number_of_purchases]]/Table134[[#This Row],[customer_total_years]]</f>
        <v>2.6353790613718413</v>
      </c>
      <c r="K1937" s="13">
        <f>Table134[[#This Row],[purchase_history]]/Table134[[#This Row],[number_of_purchases]]</f>
        <v>272.22750000000002</v>
      </c>
      <c r="L1937" s="2">
        <f>IF(YEAR(Table134[[#This Row],[Last_Day]])=2021,5,IF(YEAR(Table134[[#This Row],[Last_Day]])=2022,7,IF(YEAR(Table134[[#This Row],[Last_Day]])=2023,10,"Không xác định")))</f>
        <v>7</v>
      </c>
      <c r="M1937" s="15">
        <f>Table134[[#This Row],[avg_number_of_purchases]]*Table1345[[#This Row],[avg_purchase_value]]*Table1345[[#This Row],[expected_lifespan]]</f>
        <v>5021.9585740072207</v>
      </c>
      <c r="N1937" t="s">
        <v>12042</v>
      </c>
    </row>
    <row r="1938" spans="1:14" x14ac:dyDescent="0.3">
      <c r="A1938" s="2" t="s">
        <v>1936</v>
      </c>
      <c r="B1938" s="2" t="s">
        <v>12045</v>
      </c>
      <c r="C1938" s="2">
        <v>25</v>
      </c>
      <c r="D1938" s="2" t="s">
        <v>12041</v>
      </c>
      <c r="E1938" s="2">
        <f>COUNTIF(Table16[customer_id],Table13[[#This Row],[customer_id]])</f>
        <v>4</v>
      </c>
      <c r="F1938" s="13">
        <f>SUMIFS(Table16[Purchase_history],Table16[customer_id],Table13[[#This Row],[customer_id]])</f>
        <v>2141.23</v>
      </c>
      <c r="G1938" s="20">
        <v>44522</v>
      </c>
      <c r="H1938" s="21">
        <v>44951</v>
      </c>
      <c r="I1938" s="15">
        <f>(Table134[[#This Row],[Last_Day]]-Table134[[#This Row],[First_Day]]+1)/365</f>
        <v>1.178082191780822</v>
      </c>
      <c r="J1938" s="59">
        <f>Table134[[#This Row],[number_of_purchases]]/Table134[[#This Row],[customer_total_years]]</f>
        <v>3.3953488372093021</v>
      </c>
      <c r="K1938" s="13">
        <f>Table134[[#This Row],[purchase_history]]/Table134[[#This Row],[number_of_purchases]]</f>
        <v>535.3075</v>
      </c>
      <c r="L1938" s="2">
        <f>IF(YEAR(Table134[[#This Row],[Last_Day]])=2021,5,IF(YEAR(Table134[[#This Row],[Last_Day]])=2022,7,IF(YEAR(Table134[[#This Row],[Last_Day]])=2023,10,"Không xác định")))</f>
        <v>10</v>
      </c>
      <c r="M1938" s="15">
        <f>Table134[[#This Row],[avg_number_of_purchases]]*Table1345[[#This Row],[avg_purchase_value]]*Table1345[[#This Row],[expected_lifespan]]</f>
        <v>18175.556976744185</v>
      </c>
      <c r="N1938" t="s">
        <v>12047</v>
      </c>
    </row>
    <row r="1939" spans="1:14" x14ac:dyDescent="0.3">
      <c r="A1939" s="2" t="s">
        <v>1937</v>
      </c>
      <c r="B1939" s="2" t="s">
        <v>12040</v>
      </c>
      <c r="C1939" s="2">
        <v>32</v>
      </c>
      <c r="D1939" s="2" t="s">
        <v>12041</v>
      </c>
      <c r="E1939" s="2">
        <f>COUNTIF(Table16[customer_id],Table13[[#This Row],[customer_id]])</f>
        <v>6</v>
      </c>
      <c r="F1939" s="13">
        <f>SUMIFS(Table16[Purchase_history],Table16[customer_id],Table13[[#This Row],[customer_id]])</f>
        <v>21447.399999999998</v>
      </c>
      <c r="G1939" s="20">
        <v>44350</v>
      </c>
      <c r="H1939" s="21">
        <v>44963</v>
      </c>
      <c r="I1939" s="15">
        <f>(Table134[[#This Row],[Last_Day]]-Table134[[#This Row],[First_Day]]+1)/365</f>
        <v>1.6821917808219178</v>
      </c>
      <c r="J1939" s="59">
        <f>Table134[[#This Row],[number_of_purchases]]/Table134[[#This Row],[customer_total_years]]</f>
        <v>3.5667752442996745</v>
      </c>
      <c r="K1939" s="13">
        <f>Table134[[#This Row],[purchase_history]]/Table134[[#This Row],[number_of_purchases]]</f>
        <v>3574.5666666666662</v>
      </c>
      <c r="L1939" s="2">
        <f>IF(YEAR(Table134[[#This Row],[Last_Day]])=2021,5,IF(YEAR(Table134[[#This Row],[Last_Day]])=2022,7,IF(YEAR(Table134[[#This Row],[Last_Day]])=2023,10,"Không xác định")))</f>
        <v>10</v>
      </c>
      <c r="M1939" s="15">
        <f>Table134[[#This Row],[avg_number_of_purchases]]*Table1345[[#This Row],[avg_purchase_value]]*Table1345[[#This Row],[expected_lifespan]]</f>
        <v>127496.7589576547</v>
      </c>
      <c r="N1939" t="s">
        <v>12048</v>
      </c>
    </row>
    <row r="1940" spans="1:14" x14ac:dyDescent="0.3">
      <c r="A1940" s="2" t="s">
        <v>1938</v>
      </c>
      <c r="B1940" s="2" t="s">
        <v>12040</v>
      </c>
      <c r="C1940" s="2">
        <v>41</v>
      </c>
      <c r="D1940" s="2" t="s">
        <v>12049</v>
      </c>
      <c r="E1940" s="2">
        <f>COUNTIF(Table16[customer_id],Table13[[#This Row],[customer_id]])</f>
        <v>7</v>
      </c>
      <c r="F1940" s="13">
        <f>SUMIFS(Table16[Purchase_history],Table16[customer_id],Table13[[#This Row],[customer_id]])</f>
        <v>20475.099999999999</v>
      </c>
      <c r="G1940" s="20">
        <v>44406</v>
      </c>
      <c r="H1940" s="21">
        <v>44852</v>
      </c>
      <c r="I1940" s="15">
        <f>(Table134[[#This Row],[Last_Day]]-Table134[[#This Row],[First_Day]]+1)/365</f>
        <v>1.2246575342465753</v>
      </c>
      <c r="J1940" s="59">
        <f>Table134[[#This Row],[number_of_purchases]]/Table134[[#This Row],[customer_total_years]]</f>
        <v>5.7158836689038033</v>
      </c>
      <c r="K1940" s="13">
        <f>Table134[[#This Row],[purchase_history]]/Table134[[#This Row],[number_of_purchases]]</f>
        <v>2925.0142857142855</v>
      </c>
      <c r="L1940" s="2">
        <f>IF(YEAR(Table134[[#This Row],[Last_Day]])=2021,5,IF(YEAR(Table134[[#This Row],[Last_Day]])=2022,7,IF(YEAR(Table134[[#This Row],[Last_Day]])=2023,10,"Không xác định")))</f>
        <v>7</v>
      </c>
      <c r="M1940" s="15">
        <f>Table134[[#This Row],[avg_number_of_purchases]]*Table1345[[#This Row],[avg_purchase_value]]*Table1345[[#This Row],[expected_lifespan]]</f>
        <v>117033.28970917226</v>
      </c>
      <c r="N1940" t="s">
        <v>12047</v>
      </c>
    </row>
    <row r="1941" spans="1:14" x14ac:dyDescent="0.3">
      <c r="A1941" s="2" t="s">
        <v>1939</v>
      </c>
      <c r="B1941" s="2" t="s">
        <v>12045</v>
      </c>
      <c r="C1941" s="2">
        <v>24</v>
      </c>
      <c r="D1941" s="2" t="s">
        <v>12043</v>
      </c>
      <c r="E1941" s="2">
        <f>COUNTIF(Table16[customer_id],Table13[[#This Row],[customer_id]])</f>
        <v>6</v>
      </c>
      <c r="F1941" s="13">
        <f>SUMIFS(Table16[Purchase_history],Table16[customer_id],Table13[[#This Row],[customer_id]])</f>
        <v>8734.77</v>
      </c>
      <c r="G1941" s="20">
        <v>44278</v>
      </c>
      <c r="H1941" s="21">
        <v>44989</v>
      </c>
      <c r="I1941" s="15">
        <f>(Table134[[#This Row],[Last_Day]]-Table134[[#This Row],[First_Day]]+1)/365</f>
        <v>1.9506849315068493</v>
      </c>
      <c r="J1941" s="59">
        <f>Table134[[#This Row],[number_of_purchases]]/Table134[[#This Row],[customer_total_years]]</f>
        <v>3.0758426966292136</v>
      </c>
      <c r="K1941" s="13">
        <f>Table134[[#This Row],[purchase_history]]/Table134[[#This Row],[number_of_purchases]]</f>
        <v>1455.7950000000001</v>
      </c>
      <c r="L1941" s="2">
        <f>IF(YEAR(Table134[[#This Row],[Last_Day]])=2021,5,IF(YEAR(Table134[[#This Row],[Last_Day]])=2022,7,IF(YEAR(Table134[[#This Row],[Last_Day]])=2023,10,"Không xác định")))</f>
        <v>10</v>
      </c>
      <c r="M1941" s="15">
        <f>Table134[[#This Row],[avg_number_of_purchases]]*Table1345[[#This Row],[avg_purchase_value]]*Table1345[[#This Row],[expected_lifespan]]</f>
        <v>44777.96418539327</v>
      </c>
      <c r="N1941" t="s">
        <v>12044</v>
      </c>
    </row>
    <row r="1942" spans="1:14" x14ac:dyDescent="0.3">
      <c r="A1942" s="2" t="s">
        <v>1940</v>
      </c>
      <c r="B1942" s="2" t="s">
        <v>12045</v>
      </c>
      <c r="C1942" s="2">
        <v>55</v>
      </c>
      <c r="D1942" s="2" t="s">
        <v>12043</v>
      </c>
      <c r="E1942" s="2">
        <f>COUNTIF(Table16[customer_id],Table13[[#This Row],[customer_id]])</f>
        <v>4</v>
      </c>
      <c r="F1942" s="13">
        <f>SUMIFS(Table16[Purchase_history],Table16[customer_id],Table13[[#This Row],[customer_id]])</f>
        <v>678.46</v>
      </c>
      <c r="G1942" s="20">
        <v>44284</v>
      </c>
      <c r="H1942" s="21">
        <v>44888</v>
      </c>
      <c r="I1942" s="15">
        <f>(Table134[[#This Row],[Last_Day]]-Table134[[#This Row],[First_Day]]+1)/365</f>
        <v>1.6575342465753424</v>
      </c>
      <c r="J1942" s="59">
        <f>Table134[[#This Row],[number_of_purchases]]/Table134[[#This Row],[customer_total_years]]</f>
        <v>2.4132231404958677</v>
      </c>
      <c r="K1942" s="13">
        <f>Table134[[#This Row],[purchase_history]]/Table134[[#This Row],[number_of_purchases]]</f>
        <v>169.61500000000001</v>
      </c>
      <c r="L1942" s="2">
        <f>IF(YEAR(Table134[[#This Row],[Last_Day]])=2021,5,IF(YEAR(Table134[[#This Row],[Last_Day]])=2022,7,IF(YEAR(Table134[[#This Row],[Last_Day]])=2023,10,"Không xác định")))</f>
        <v>7</v>
      </c>
      <c r="M1942" s="15">
        <f>Table134[[#This Row],[avg_number_of_purchases]]*Table1345[[#This Row],[avg_purchase_value]]*Table1345[[#This Row],[expected_lifespan]]</f>
        <v>2865.2319008264462</v>
      </c>
      <c r="N1942" t="s">
        <v>12047</v>
      </c>
    </row>
    <row r="1943" spans="1:14" x14ac:dyDescent="0.3">
      <c r="A1943" s="2" t="s">
        <v>1941</v>
      </c>
      <c r="B1943" s="2" t="s">
        <v>12040</v>
      </c>
      <c r="C1943" s="2">
        <v>69</v>
      </c>
      <c r="D1943" s="2" t="s">
        <v>12049</v>
      </c>
      <c r="E1943" s="2">
        <f>COUNTIF(Table16[customer_id],Table13[[#This Row],[customer_id]])</f>
        <v>6</v>
      </c>
      <c r="F1943" s="13">
        <f>SUMIFS(Table16[Purchase_history],Table16[customer_id],Table13[[#This Row],[customer_id]])</f>
        <v>10442.89</v>
      </c>
      <c r="G1943" s="20">
        <v>44249</v>
      </c>
      <c r="H1943" s="21">
        <v>44945</v>
      </c>
      <c r="I1943" s="15">
        <f>(Table134[[#This Row],[Last_Day]]-Table134[[#This Row],[First_Day]]+1)/365</f>
        <v>1.9095890410958904</v>
      </c>
      <c r="J1943" s="59">
        <f>Table134[[#This Row],[number_of_purchases]]/Table134[[#This Row],[customer_total_years]]</f>
        <v>3.1420373027259685</v>
      </c>
      <c r="K1943" s="13">
        <f>Table134[[#This Row],[purchase_history]]/Table134[[#This Row],[number_of_purchases]]</f>
        <v>1740.4816666666666</v>
      </c>
      <c r="L1943" s="2">
        <f>IF(YEAR(Table134[[#This Row],[Last_Day]])=2021,5,IF(YEAR(Table134[[#This Row],[Last_Day]])=2022,7,IF(YEAR(Table134[[#This Row],[Last_Day]])=2023,10,"Không xác định")))</f>
        <v>10</v>
      </c>
      <c r="M1943" s="15">
        <f>Table134[[#This Row],[avg_number_of_purchases]]*Table1345[[#This Row],[avg_purchase_value]]*Table1345[[#This Row],[expected_lifespan]]</f>
        <v>54686.583213773309</v>
      </c>
      <c r="N1943" t="s">
        <v>12042</v>
      </c>
    </row>
    <row r="1944" spans="1:14" x14ac:dyDescent="0.3">
      <c r="A1944" s="2" t="s">
        <v>1942</v>
      </c>
      <c r="B1944" s="2" t="s">
        <v>12045</v>
      </c>
      <c r="C1944" s="2">
        <v>38</v>
      </c>
      <c r="D1944" s="2" t="s">
        <v>12043</v>
      </c>
      <c r="E1944" s="2">
        <f>COUNTIF(Table16[customer_id],Table13[[#This Row],[customer_id]])</f>
        <v>6</v>
      </c>
      <c r="F1944" s="13">
        <f>SUMIFS(Table16[Purchase_history],Table16[customer_id],Table13[[#This Row],[customer_id]])</f>
        <v>31201.78</v>
      </c>
      <c r="G1944" s="20">
        <v>44472</v>
      </c>
      <c r="H1944" s="21">
        <v>44877</v>
      </c>
      <c r="I1944" s="15">
        <f>(Table134[[#This Row],[Last_Day]]-Table134[[#This Row],[First_Day]]+1)/365</f>
        <v>1.1123287671232878</v>
      </c>
      <c r="J1944" s="59">
        <f>Table134[[#This Row],[number_of_purchases]]/Table134[[#This Row],[customer_total_years]]</f>
        <v>5.3940886699507384</v>
      </c>
      <c r="K1944" s="13">
        <f>Table134[[#This Row],[purchase_history]]/Table134[[#This Row],[number_of_purchases]]</f>
        <v>5200.2966666666662</v>
      </c>
      <c r="L1944" s="2">
        <f>IF(YEAR(Table134[[#This Row],[Last_Day]])=2021,5,IF(YEAR(Table134[[#This Row],[Last_Day]])=2022,7,IF(YEAR(Table134[[#This Row],[Last_Day]])=2023,10,"Không xác định")))</f>
        <v>7</v>
      </c>
      <c r="M1944" s="15">
        <f>Table134[[#This Row],[avg_number_of_purchases]]*Table1345[[#This Row],[avg_purchase_value]]*Table1345[[#This Row],[expected_lifespan]]</f>
        <v>196356.02931034478</v>
      </c>
      <c r="N1944" t="s">
        <v>12046</v>
      </c>
    </row>
    <row r="1945" spans="1:14" x14ac:dyDescent="0.3">
      <c r="A1945" s="2" t="s">
        <v>1943</v>
      </c>
      <c r="B1945" s="2" t="s">
        <v>12040</v>
      </c>
      <c r="C1945" s="2">
        <v>21</v>
      </c>
      <c r="D1945" s="2" t="s">
        <v>12049</v>
      </c>
      <c r="E1945" s="2">
        <f>COUNTIF(Table16[customer_id],Table13[[#This Row],[customer_id]])</f>
        <v>2</v>
      </c>
      <c r="F1945" s="13">
        <f>SUMIFS(Table16[Purchase_history],Table16[customer_id],Table13[[#This Row],[customer_id]])</f>
        <v>8102.25</v>
      </c>
      <c r="G1945" s="20">
        <v>44504</v>
      </c>
      <c r="H1945" s="21">
        <v>44803</v>
      </c>
      <c r="I1945" s="15">
        <f>(Table134[[#This Row],[Last_Day]]-Table134[[#This Row],[First_Day]]+1)/365</f>
        <v>0.82191780821917804</v>
      </c>
      <c r="J1945" s="59">
        <f>Table134[[#This Row],[number_of_purchases]]/Table134[[#This Row],[customer_total_years]]</f>
        <v>2.4333333333333336</v>
      </c>
      <c r="K1945" s="13">
        <f>Table134[[#This Row],[purchase_history]]/Table134[[#This Row],[number_of_purchases]]</f>
        <v>4051.125</v>
      </c>
      <c r="L1945" s="2">
        <f>IF(YEAR(Table134[[#This Row],[Last_Day]])=2021,5,IF(YEAR(Table134[[#This Row],[Last_Day]])=2022,7,IF(YEAR(Table134[[#This Row],[Last_Day]])=2023,10,"Không xác định")))</f>
        <v>7</v>
      </c>
      <c r="M1945" s="15">
        <f>Table134[[#This Row],[avg_number_of_purchases]]*Table1345[[#This Row],[avg_purchase_value]]*Table1345[[#This Row],[expected_lifespan]]</f>
        <v>69004.162500000006</v>
      </c>
      <c r="N1945" t="s">
        <v>12042</v>
      </c>
    </row>
    <row r="1946" spans="1:14" x14ac:dyDescent="0.3">
      <c r="A1946" s="2" t="s">
        <v>1944</v>
      </c>
      <c r="B1946" s="2" t="s">
        <v>12045</v>
      </c>
      <c r="C1946" s="2">
        <v>63</v>
      </c>
      <c r="D1946" s="2" t="s">
        <v>12041</v>
      </c>
      <c r="E1946" s="2">
        <f>COUNTIF(Table16[customer_id],Table13[[#This Row],[customer_id]])</f>
        <v>4</v>
      </c>
      <c r="F1946" s="13">
        <f>SUMIFS(Table16[Purchase_history],Table16[customer_id],Table13[[#This Row],[customer_id]])</f>
        <v>3471.11</v>
      </c>
      <c r="G1946" s="20">
        <v>44444</v>
      </c>
      <c r="H1946" s="21">
        <v>44635</v>
      </c>
      <c r="I1946" s="15">
        <f>(Table134[[#This Row],[Last_Day]]-Table134[[#This Row],[First_Day]]+1)/365</f>
        <v>0.52602739726027392</v>
      </c>
      <c r="J1946" s="59">
        <f>Table134[[#This Row],[number_of_purchases]]/Table134[[#This Row],[customer_total_years]]</f>
        <v>7.6041666666666679</v>
      </c>
      <c r="K1946" s="13">
        <f>Table134[[#This Row],[purchase_history]]/Table134[[#This Row],[number_of_purchases]]</f>
        <v>867.77750000000003</v>
      </c>
      <c r="L1946" s="2">
        <f>IF(YEAR(Table134[[#This Row],[Last_Day]])=2021,5,IF(YEAR(Table134[[#This Row],[Last_Day]])=2022,7,IF(YEAR(Table134[[#This Row],[Last_Day]])=2023,10,"Không xác định")))</f>
        <v>7</v>
      </c>
      <c r="M1946" s="15">
        <f>Table134[[#This Row],[avg_number_of_purchases]]*Table1345[[#This Row],[avg_purchase_value]]*Table1345[[#This Row],[expected_lifespan]]</f>
        <v>46191.073177083344</v>
      </c>
      <c r="N1946" t="s">
        <v>12042</v>
      </c>
    </row>
    <row r="1947" spans="1:14" x14ac:dyDescent="0.3">
      <c r="A1947" s="2" t="s">
        <v>1945</v>
      </c>
      <c r="B1947" s="2" t="s">
        <v>12040</v>
      </c>
      <c r="C1947" s="2">
        <v>48</v>
      </c>
      <c r="D1947" s="2" t="s">
        <v>12041</v>
      </c>
      <c r="E1947" s="2">
        <f>COUNTIF(Table16[customer_id],Table13[[#This Row],[customer_id]])</f>
        <v>11</v>
      </c>
      <c r="F1947" s="13">
        <f>SUMIFS(Table16[Purchase_history],Table16[customer_id],Table13[[#This Row],[customer_id]])</f>
        <v>30989.74</v>
      </c>
      <c r="G1947" s="20">
        <v>44263</v>
      </c>
      <c r="H1947" s="21">
        <v>44983</v>
      </c>
      <c r="I1947" s="15">
        <f>(Table134[[#This Row],[Last_Day]]-Table134[[#This Row],[First_Day]]+1)/365</f>
        <v>1.9753424657534246</v>
      </c>
      <c r="J1947" s="59">
        <f>Table134[[#This Row],[number_of_purchases]]/Table134[[#This Row],[customer_total_years]]</f>
        <v>5.568654646324549</v>
      </c>
      <c r="K1947" s="13">
        <f>Table134[[#This Row],[purchase_history]]/Table134[[#This Row],[number_of_purchases]]</f>
        <v>2817.2490909090911</v>
      </c>
      <c r="L1947" s="2">
        <f>IF(YEAR(Table134[[#This Row],[Last_Day]])=2021,5,IF(YEAR(Table134[[#This Row],[Last_Day]])=2022,7,IF(YEAR(Table134[[#This Row],[Last_Day]])=2023,10,"Không xác định")))</f>
        <v>10</v>
      </c>
      <c r="M1947" s="15">
        <f>Table134[[#This Row],[avg_number_of_purchases]]*Table1345[[#This Row],[avg_purchase_value]]*Table1345[[#This Row],[expected_lifespan]]</f>
        <v>156882.87239944522</v>
      </c>
      <c r="N1947" t="s">
        <v>12042</v>
      </c>
    </row>
    <row r="1948" spans="1:14" x14ac:dyDescent="0.3">
      <c r="A1948" s="2" t="s">
        <v>1946</v>
      </c>
      <c r="B1948" s="2" t="s">
        <v>12040</v>
      </c>
      <c r="C1948" s="2">
        <v>64</v>
      </c>
      <c r="D1948" s="2" t="s">
        <v>12041</v>
      </c>
      <c r="E1948" s="2">
        <f>COUNTIF(Table16[customer_id],Table13[[#This Row],[customer_id]])</f>
        <v>4</v>
      </c>
      <c r="F1948" s="13">
        <f>SUMIFS(Table16[Purchase_history],Table16[customer_id],Table13[[#This Row],[customer_id]])</f>
        <v>8394.9599999999991</v>
      </c>
      <c r="G1948" s="20">
        <v>44339</v>
      </c>
      <c r="H1948" s="21">
        <v>44882</v>
      </c>
      <c r="I1948" s="15">
        <f>(Table134[[#This Row],[Last_Day]]-Table134[[#This Row],[First_Day]]+1)/365</f>
        <v>1.4904109589041097</v>
      </c>
      <c r="J1948" s="59">
        <f>Table134[[#This Row],[number_of_purchases]]/Table134[[#This Row],[customer_total_years]]</f>
        <v>2.6838235294117645</v>
      </c>
      <c r="K1948" s="13">
        <f>Table134[[#This Row],[purchase_history]]/Table134[[#This Row],[number_of_purchases]]</f>
        <v>2098.7399999999998</v>
      </c>
      <c r="L1948" s="2">
        <f>IF(YEAR(Table134[[#This Row],[Last_Day]])=2021,5,IF(YEAR(Table134[[#This Row],[Last_Day]])=2022,7,IF(YEAR(Table134[[#This Row],[Last_Day]])=2023,10,"Không xác định")))</f>
        <v>7</v>
      </c>
      <c r="M1948" s="15">
        <f>Table134[[#This Row],[avg_number_of_purchases]]*Table1345[[#This Row],[avg_purchase_value]]*Table1345[[#This Row],[expected_lifespan]]</f>
        <v>39428.534558823521</v>
      </c>
      <c r="N1948" t="s">
        <v>12048</v>
      </c>
    </row>
    <row r="1949" spans="1:14" x14ac:dyDescent="0.3">
      <c r="A1949" s="2" t="s">
        <v>1947</v>
      </c>
      <c r="B1949" s="2" t="s">
        <v>12040</v>
      </c>
      <c r="C1949" s="2">
        <v>42</v>
      </c>
      <c r="D1949" s="2" t="s">
        <v>12043</v>
      </c>
      <c r="E1949" s="2">
        <f>COUNTIF(Table16[customer_id],Table13[[#This Row],[customer_id]])</f>
        <v>4</v>
      </c>
      <c r="F1949" s="13">
        <f>SUMIFS(Table16[Purchase_history],Table16[customer_id],Table13[[#This Row],[customer_id]])</f>
        <v>23105.29</v>
      </c>
      <c r="G1949" s="20">
        <v>44289</v>
      </c>
      <c r="H1949" s="21">
        <v>44913</v>
      </c>
      <c r="I1949" s="15">
        <f>(Table134[[#This Row],[Last_Day]]-Table134[[#This Row],[First_Day]]+1)/365</f>
        <v>1.7123287671232876</v>
      </c>
      <c r="J1949" s="59">
        <f>Table134[[#This Row],[number_of_purchases]]/Table134[[#This Row],[customer_total_years]]</f>
        <v>2.3359999999999999</v>
      </c>
      <c r="K1949" s="13">
        <f>Table134[[#This Row],[purchase_history]]/Table134[[#This Row],[number_of_purchases]]</f>
        <v>5776.3225000000002</v>
      </c>
      <c r="L1949" s="2">
        <f>IF(YEAR(Table134[[#This Row],[Last_Day]])=2021,5,IF(YEAR(Table134[[#This Row],[Last_Day]])=2022,7,IF(YEAR(Table134[[#This Row],[Last_Day]])=2023,10,"Không xác định")))</f>
        <v>7</v>
      </c>
      <c r="M1949" s="15">
        <f>Table134[[#This Row],[avg_number_of_purchases]]*Table1345[[#This Row],[avg_purchase_value]]*Table1345[[#This Row],[expected_lifespan]]</f>
        <v>94454.42551999999</v>
      </c>
      <c r="N1949" t="s">
        <v>12044</v>
      </c>
    </row>
    <row r="1950" spans="1:14" x14ac:dyDescent="0.3">
      <c r="A1950" s="2" t="s">
        <v>1948</v>
      </c>
      <c r="B1950" s="2" t="s">
        <v>12045</v>
      </c>
      <c r="C1950" s="2">
        <v>22</v>
      </c>
      <c r="D1950" s="2" t="s">
        <v>12043</v>
      </c>
      <c r="E1950" s="2">
        <f>COUNTIF(Table16[customer_id],Table13[[#This Row],[customer_id]])</f>
        <v>7</v>
      </c>
      <c r="F1950" s="13">
        <f>SUMIFS(Table16[Purchase_history],Table16[customer_id],Table13[[#This Row],[customer_id]])</f>
        <v>10892.14</v>
      </c>
      <c r="G1950" s="20">
        <v>44258</v>
      </c>
      <c r="H1950" s="21">
        <v>44865</v>
      </c>
      <c r="I1950" s="15">
        <f>(Table134[[#This Row],[Last_Day]]-Table134[[#This Row],[First_Day]]+1)/365</f>
        <v>1.6657534246575343</v>
      </c>
      <c r="J1950" s="59">
        <f>Table134[[#This Row],[number_of_purchases]]/Table134[[#This Row],[customer_total_years]]</f>
        <v>4.2023026315789469</v>
      </c>
      <c r="K1950" s="13">
        <f>Table134[[#This Row],[purchase_history]]/Table134[[#This Row],[number_of_purchases]]</f>
        <v>1556.02</v>
      </c>
      <c r="L1950" s="2">
        <f>IF(YEAR(Table134[[#This Row],[Last_Day]])=2021,5,IF(YEAR(Table134[[#This Row],[Last_Day]])=2022,7,IF(YEAR(Table134[[#This Row],[Last_Day]])=2023,10,"Không xác định")))</f>
        <v>7</v>
      </c>
      <c r="M1950" s="15">
        <f>Table134[[#This Row],[avg_number_of_purchases]]*Table1345[[#This Row],[avg_purchase_value]]*Table1345[[#This Row],[expected_lifespan]]</f>
        <v>45772.068585526315</v>
      </c>
      <c r="N1950" t="s">
        <v>12048</v>
      </c>
    </row>
    <row r="1951" spans="1:14" x14ac:dyDescent="0.3">
      <c r="A1951" s="2" t="s">
        <v>1949</v>
      </c>
      <c r="B1951" s="2" t="s">
        <v>12040</v>
      </c>
      <c r="C1951" s="2">
        <v>19</v>
      </c>
      <c r="D1951" s="2" t="s">
        <v>12043</v>
      </c>
      <c r="E1951" s="2">
        <f>COUNTIF(Table16[customer_id],Table13[[#This Row],[customer_id]])</f>
        <v>4</v>
      </c>
      <c r="F1951" s="13">
        <f>SUMIFS(Table16[Purchase_history],Table16[customer_id],Table13[[#This Row],[customer_id]])</f>
        <v>12439.630000000001</v>
      </c>
      <c r="G1951" s="20">
        <v>44695</v>
      </c>
      <c r="H1951" s="21">
        <v>44830</v>
      </c>
      <c r="I1951" s="15">
        <f>(Table134[[#This Row],[Last_Day]]-Table134[[#This Row],[First_Day]]+1)/365</f>
        <v>0.37260273972602742</v>
      </c>
      <c r="J1951" s="59">
        <f>Table134[[#This Row],[number_of_purchases]]/Table134[[#This Row],[customer_total_years]]</f>
        <v>10.735294117647058</v>
      </c>
      <c r="K1951" s="13">
        <f>Table134[[#This Row],[purchase_history]]/Table134[[#This Row],[number_of_purchases]]</f>
        <v>3109.9075000000003</v>
      </c>
      <c r="L1951" s="2">
        <f>IF(YEAR(Table134[[#This Row],[Last_Day]])=2021,5,IF(YEAR(Table134[[#This Row],[Last_Day]])=2022,7,IF(YEAR(Table134[[#This Row],[Last_Day]])=2023,10,"Không xác định")))</f>
        <v>7</v>
      </c>
      <c r="M1951" s="15">
        <f>Table134[[#This Row],[avg_number_of_purchases]]*Table1345[[#This Row],[avg_purchase_value]]*Table1345[[#This Row],[expected_lifespan]]</f>
        <v>233700.40183823532</v>
      </c>
      <c r="N1951" t="s">
        <v>12048</v>
      </c>
    </row>
    <row r="1952" spans="1:14" x14ac:dyDescent="0.3">
      <c r="A1952" s="2" t="s">
        <v>1950</v>
      </c>
      <c r="B1952" s="2" t="s">
        <v>12040</v>
      </c>
      <c r="C1952" s="2">
        <v>57</v>
      </c>
      <c r="D1952" s="2" t="s">
        <v>12043</v>
      </c>
      <c r="E1952" s="2">
        <f>COUNTIF(Table16[customer_id],Table13[[#This Row],[customer_id]])</f>
        <v>6</v>
      </c>
      <c r="F1952" s="13">
        <f>SUMIFS(Table16[Purchase_history],Table16[customer_id],Table13[[#This Row],[customer_id]])</f>
        <v>27943.530000000002</v>
      </c>
      <c r="G1952" s="20">
        <v>44533</v>
      </c>
      <c r="H1952" s="21">
        <v>44907</v>
      </c>
      <c r="I1952" s="15">
        <f>(Table134[[#This Row],[Last_Day]]-Table134[[#This Row],[First_Day]]+1)/365</f>
        <v>1.0273972602739727</v>
      </c>
      <c r="J1952" s="59">
        <f>Table134[[#This Row],[number_of_purchases]]/Table134[[#This Row],[customer_total_years]]</f>
        <v>5.839999999999999</v>
      </c>
      <c r="K1952" s="13">
        <f>Table134[[#This Row],[purchase_history]]/Table134[[#This Row],[number_of_purchases]]</f>
        <v>4657.2550000000001</v>
      </c>
      <c r="L1952" s="2">
        <f>IF(YEAR(Table134[[#This Row],[Last_Day]])=2021,5,IF(YEAR(Table134[[#This Row],[Last_Day]])=2022,7,IF(YEAR(Table134[[#This Row],[Last_Day]])=2023,10,"Không xác định")))</f>
        <v>7</v>
      </c>
      <c r="M1952" s="15">
        <f>Table134[[#This Row],[avg_number_of_purchases]]*Table1345[[#This Row],[avg_purchase_value]]*Table1345[[#This Row],[expected_lifespan]]</f>
        <v>190388.58439999999</v>
      </c>
      <c r="N1952" t="s">
        <v>12048</v>
      </c>
    </row>
    <row r="1953" spans="1:14" x14ac:dyDescent="0.3">
      <c r="A1953" s="2" t="s">
        <v>1951</v>
      </c>
      <c r="B1953" s="2" t="s">
        <v>12040</v>
      </c>
      <c r="C1953" s="2">
        <v>57</v>
      </c>
      <c r="D1953" s="2" t="s">
        <v>12043</v>
      </c>
      <c r="E1953" s="2">
        <f>COUNTIF(Table16[customer_id],Table13[[#This Row],[customer_id]])</f>
        <v>5</v>
      </c>
      <c r="F1953" s="13">
        <f>SUMIFS(Table16[Purchase_history],Table16[customer_id],Table13[[#This Row],[customer_id]])</f>
        <v>19963.93</v>
      </c>
      <c r="G1953" s="20">
        <v>44199</v>
      </c>
      <c r="H1953" s="21">
        <v>44862</v>
      </c>
      <c r="I1953" s="15">
        <f>(Table134[[#This Row],[Last_Day]]-Table134[[#This Row],[First_Day]]+1)/365</f>
        <v>1.8191780821917809</v>
      </c>
      <c r="J1953" s="59">
        <f>Table134[[#This Row],[number_of_purchases]]/Table134[[#This Row],[customer_total_years]]</f>
        <v>2.7484939759036142</v>
      </c>
      <c r="K1953" s="13">
        <f>Table134[[#This Row],[purchase_history]]/Table134[[#This Row],[number_of_purchases]]</f>
        <v>3992.7860000000001</v>
      </c>
      <c r="L1953" s="2">
        <f>IF(YEAR(Table134[[#This Row],[Last_Day]])=2021,5,IF(YEAR(Table134[[#This Row],[Last_Day]])=2022,7,IF(YEAR(Table134[[#This Row],[Last_Day]])=2023,10,"Không xác định")))</f>
        <v>7</v>
      </c>
      <c r="M1953" s="15">
        <f>Table134[[#This Row],[avg_number_of_purchases]]*Table1345[[#This Row],[avg_purchase_value]]*Table1345[[#This Row],[expected_lifespan]]</f>
        <v>76819.037876506016</v>
      </c>
      <c r="N1953" t="s">
        <v>12042</v>
      </c>
    </row>
    <row r="1954" spans="1:14" x14ac:dyDescent="0.3">
      <c r="A1954" s="2" t="s">
        <v>1952</v>
      </c>
      <c r="B1954" s="2" t="s">
        <v>12040</v>
      </c>
      <c r="C1954" s="2">
        <v>23</v>
      </c>
      <c r="D1954" s="2" t="s">
        <v>12041</v>
      </c>
      <c r="E1954" s="2">
        <f>COUNTIF(Table16[customer_id],Table13[[#This Row],[customer_id]])</f>
        <v>2</v>
      </c>
      <c r="F1954" s="13">
        <f>SUMIFS(Table16[Purchase_history],Table16[customer_id],Table13[[#This Row],[customer_id]])</f>
        <v>7645.36</v>
      </c>
      <c r="G1954" s="20">
        <v>44776</v>
      </c>
      <c r="H1954" s="21">
        <v>44808</v>
      </c>
      <c r="I1954" s="15">
        <f>(Table134[[#This Row],[Last_Day]]-Table134[[#This Row],[First_Day]]+1)/365</f>
        <v>9.0410958904109592E-2</v>
      </c>
      <c r="J1954" s="59">
        <f>Table134[[#This Row],[number_of_purchases]]/Table134[[#This Row],[customer_total_years]]</f>
        <v>22.121212121212121</v>
      </c>
      <c r="K1954" s="13">
        <f>Table134[[#This Row],[purchase_history]]/Table134[[#This Row],[number_of_purchases]]</f>
        <v>3822.68</v>
      </c>
      <c r="L1954" s="2">
        <f>IF(YEAR(Table134[[#This Row],[Last_Day]])=2021,5,IF(YEAR(Table134[[#This Row],[Last_Day]])=2022,7,IF(YEAR(Table134[[#This Row],[Last_Day]])=2023,10,"Không xác định")))</f>
        <v>7</v>
      </c>
      <c r="M1954" s="15">
        <f>Table134[[#This Row],[avg_number_of_purchases]]*Table1345[[#This Row],[avg_purchase_value]]*Table1345[[#This Row],[expected_lifespan]]</f>
        <v>591936.20606060594</v>
      </c>
      <c r="N1954" t="s">
        <v>12042</v>
      </c>
    </row>
    <row r="1955" spans="1:14" x14ac:dyDescent="0.3">
      <c r="A1955" s="2" t="s">
        <v>1953</v>
      </c>
      <c r="B1955" s="2" t="s">
        <v>12040</v>
      </c>
      <c r="C1955" s="2">
        <v>68</v>
      </c>
      <c r="D1955" s="2" t="s">
        <v>12043</v>
      </c>
      <c r="E1955" s="2">
        <f>COUNTIF(Table16[customer_id],Table13[[#This Row],[customer_id]])</f>
        <v>7</v>
      </c>
      <c r="F1955" s="13">
        <f>SUMIFS(Table16[Purchase_history],Table16[customer_id],Table13[[#This Row],[customer_id]])</f>
        <v>11008.33</v>
      </c>
      <c r="G1955" s="20">
        <v>44286</v>
      </c>
      <c r="H1955" s="21">
        <v>44860</v>
      </c>
      <c r="I1955" s="15">
        <f>(Table134[[#This Row],[Last_Day]]-Table134[[#This Row],[First_Day]]+1)/365</f>
        <v>1.5753424657534247</v>
      </c>
      <c r="J1955" s="59">
        <f>Table134[[#This Row],[number_of_purchases]]/Table134[[#This Row],[customer_total_years]]</f>
        <v>4.4434782608695649</v>
      </c>
      <c r="K1955" s="13">
        <f>Table134[[#This Row],[purchase_history]]/Table134[[#This Row],[number_of_purchases]]</f>
        <v>1572.6185714285714</v>
      </c>
      <c r="L1955" s="2">
        <f>IF(YEAR(Table134[[#This Row],[Last_Day]])=2021,5,IF(YEAR(Table134[[#This Row],[Last_Day]])=2022,7,IF(YEAR(Table134[[#This Row],[Last_Day]])=2023,10,"Không xác định")))</f>
        <v>7</v>
      </c>
      <c r="M1955" s="15">
        <f>Table134[[#This Row],[avg_number_of_purchases]]*Table1345[[#This Row],[avg_purchase_value]]*Table1345[[#This Row],[expected_lifespan]]</f>
        <v>48915.27504347825</v>
      </c>
      <c r="N1955" t="s">
        <v>12044</v>
      </c>
    </row>
    <row r="1956" spans="1:14" x14ac:dyDescent="0.3">
      <c r="A1956" s="2" t="s">
        <v>1954</v>
      </c>
      <c r="B1956" s="2" t="s">
        <v>12045</v>
      </c>
      <c r="C1956" s="2">
        <v>29</v>
      </c>
      <c r="D1956" s="2" t="s">
        <v>12041</v>
      </c>
      <c r="E1956" s="2">
        <f>COUNTIF(Table16[customer_id],Table13[[#This Row],[customer_id]])</f>
        <v>5</v>
      </c>
      <c r="F1956" s="13">
        <f>SUMIFS(Table16[Purchase_history],Table16[customer_id],Table13[[#This Row],[customer_id]])</f>
        <v>13078.18</v>
      </c>
      <c r="G1956" s="20">
        <v>44387</v>
      </c>
      <c r="H1956" s="21">
        <v>44900</v>
      </c>
      <c r="I1956" s="15">
        <f>(Table134[[#This Row],[Last_Day]]-Table134[[#This Row],[First_Day]]+1)/365</f>
        <v>1.4082191780821918</v>
      </c>
      <c r="J1956" s="59">
        <f>Table134[[#This Row],[number_of_purchases]]/Table134[[#This Row],[customer_total_years]]</f>
        <v>3.5505836575875485</v>
      </c>
      <c r="K1956" s="13">
        <f>Table134[[#This Row],[purchase_history]]/Table134[[#This Row],[number_of_purchases]]</f>
        <v>2615.636</v>
      </c>
      <c r="L1956" s="2">
        <f>IF(YEAR(Table134[[#This Row],[Last_Day]])=2021,5,IF(YEAR(Table134[[#This Row],[Last_Day]])=2022,7,IF(YEAR(Table134[[#This Row],[Last_Day]])=2023,10,"Không xác định")))</f>
        <v>7</v>
      </c>
      <c r="M1956" s="15">
        <f>Table134[[#This Row],[avg_number_of_purchases]]*Table1345[[#This Row],[avg_purchase_value]]*Table1345[[#This Row],[expected_lifespan]]</f>
        <v>65009.241050583652</v>
      </c>
      <c r="N1956" t="s">
        <v>12046</v>
      </c>
    </row>
    <row r="1957" spans="1:14" x14ac:dyDescent="0.3">
      <c r="A1957" s="2" t="s">
        <v>1955</v>
      </c>
      <c r="B1957" s="2" t="s">
        <v>12045</v>
      </c>
      <c r="C1957" s="2">
        <v>27</v>
      </c>
      <c r="D1957" s="2" t="s">
        <v>12041</v>
      </c>
      <c r="E1957" s="2">
        <f>COUNTIF(Table16[customer_id],Table13[[#This Row],[customer_id]])</f>
        <v>6</v>
      </c>
      <c r="F1957" s="13">
        <f>SUMIFS(Table16[Purchase_history],Table16[customer_id],Table13[[#This Row],[customer_id]])</f>
        <v>9682.7699999999986</v>
      </c>
      <c r="G1957" s="20">
        <v>44405</v>
      </c>
      <c r="H1957" s="21">
        <v>44956</v>
      </c>
      <c r="I1957" s="15">
        <f>(Table134[[#This Row],[Last_Day]]-Table134[[#This Row],[First_Day]]+1)/365</f>
        <v>1.5123287671232877</v>
      </c>
      <c r="J1957" s="59">
        <f>Table134[[#This Row],[number_of_purchases]]/Table134[[#This Row],[customer_total_years]]</f>
        <v>3.9673913043478262</v>
      </c>
      <c r="K1957" s="13">
        <f>Table134[[#This Row],[purchase_history]]/Table134[[#This Row],[number_of_purchases]]</f>
        <v>1613.7949999999998</v>
      </c>
      <c r="L1957" s="2">
        <f>IF(YEAR(Table134[[#This Row],[Last_Day]])=2021,5,IF(YEAR(Table134[[#This Row],[Last_Day]])=2022,7,IF(YEAR(Table134[[#This Row],[Last_Day]])=2023,10,"Không xác định")))</f>
        <v>10</v>
      </c>
      <c r="M1957" s="15">
        <f>Table134[[#This Row],[avg_number_of_purchases]]*Table1345[[#This Row],[avg_purchase_value]]*Table1345[[#This Row],[expected_lifespan]]</f>
        <v>64025.5625</v>
      </c>
      <c r="N1957" t="s">
        <v>12048</v>
      </c>
    </row>
    <row r="1958" spans="1:14" x14ac:dyDescent="0.3">
      <c r="A1958" s="2" t="s">
        <v>1956</v>
      </c>
      <c r="B1958" s="2" t="s">
        <v>12040</v>
      </c>
      <c r="C1958" s="2">
        <v>60</v>
      </c>
      <c r="D1958" s="2" t="s">
        <v>12041</v>
      </c>
      <c r="E1958" s="2">
        <f>COUNTIF(Table16[customer_id],Table13[[#This Row],[customer_id]])</f>
        <v>8</v>
      </c>
      <c r="F1958" s="13">
        <f>SUMIFS(Table16[Purchase_history],Table16[customer_id],Table13[[#This Row],[customer_id]])</f>
        <v>29917.67</v>
      </c>
      <c r="G1958" s="20">
        <v>44351</v>
      </c>
      <c r="H1958" s="21">
        <v>44793</v>
      </c>
      <c r="I1958" s="15">
        <f>(Table134[[#This Row],[Last_Day]]-Table134[[#This Row],[First_Day]]+1)/365</f>
        <v>1.2136986301369863</v>
      </c>
      <c r="J1958" s="59">
        <f>Table134[[#This Row],[number_of_purchases]]/Table134[[#This Row],[customer_total_years]]</f>
        <v>6.5914221218961622</v>
      </c>
      <c r="K1958" s="13">
        <f>Table134[[#This Row],[purchase_history]]/Table134[[#This Row],[number_of_purchases]]</f>
        <v>3739.7087499999998</v>
      </c>
      <c r="L1958" s="2">
        <f>IF(YEAR(Table134[[#This Row],[Last_Day]])=2021,5,IF(YEAR(Table134[[#This Row],[Last_Day]])=2022,7,IF(YEAR(Table134[[#This Row],[Last_Day]])=2023,10,"Không xác định")))</f>
        <v>7</v>
      </c>
      <c r="M1958" s="15">
        <f>Table134[[#This Row],[avg_number_of_purchases]]*Table1345[[#This Row],[avg_purchase_value]]*Table1345[[#This Row],[expected_lifespan]]</f>
        <v>172549.9928893905</v>
      </c>
      <c r="N1958" t="s">
        <v>12042</v>
      </c>
    </row>
    <row r="1959" spans="1:14" x14ac:dyDescent="0.3">
      <c r="A1959" s="2" t="s">
        <v>1957</v>
      </c>
      <c r="B1959" s="2" t="s">
        <v>12040</v>
      </c>
      <c r="C1959" s="2">
        <v>54</v>
      </c>
      <c r="D1959" s="2" t="s">
        <v>12041</v>
      </c>
      <c r="E1959" s="2">
        <f>COUNTIF(Table16[customer_id],Table13[[#This Row],[customer_id]])</f>
        <v>4</v>
      </c>
      <c r="F1959" s="13">
        <f>SUMIFS(Table16[Purchase_history],Table16[customer_id],Table13[[#This Row],[customer_id]])</f>
        <v>20018.64</v>
      </c>
      <c r="G1959" s="20">
        <v>44466</v>
      </c>
      <c r="H1959" s="21">
        <v>44556</v>
      </c>
      <c r="I1959" s="15">
        <f>(Table134[[#This Row],[Last_Day]]-Table134[[#This Row],[First_Day]]+1)/365</f>
        <v>0.24931506849315069</v>
      </c>
      <c r="J1959" s="59">
        <f>Table134[[#This Row],[number_of_purchases]]/Table134[[#This Row],[customer_total_years]]</f>
        <v>16.043956043956044</v>
      </c>
      <c r="K1959" s="13">
        <f>Table134[[#This Row],[purchase_history]]/Table134[[#This Row],[number_of_purchases]]</f>
        <v>5004.66</v>
      </c>
      <c r="L1959" s="2">
        <f>IF(YEAR(Table134[[#This Row],[Last_Day]])=2021,5,IF(YEAR(Table134[[#This Row],[Last_Day]])=2022,7,IF(YEAR(Table134[[#This Row],[Last_Day]])=2023,10,"Không xác định")))</f>
        <v>5</v>
      </c>
      <c r="M1959" s="15">
        <f>Table134[[#This Row],[avg_number_of_purchases]]*Table1345[[#This Row],[avg_purchase_value]]*Table1345[[#This Row],[expected_lifespan]]</f>
        <v>401472.72527472524</v>
      </c>
      <c r="N1959" t="s">
        <v>12042</v>
      </c>
    </row>
    <row r="1960" spans="1:14" x14ac:dyDescent="0.3">
      <c r="A1960" s="2" t="s">
        <v>1958</v>
      </c>
      <c r="B1960" s="2" t="s">
        <v>12040</v>
      </c>
      <c r="C1960" s="2">
        <v>21</v>
      </c>
      <c r="D1960" s="2" t="s">
        <v>12041</v>
      </c>
      <c r="E1960" s="2">
        <f>COUNTIF(Table16[customer_id],Table13[[#This Row],[customer_id]])</f>
        <v>4</v>
      </c>
      <c r="F1960" s="13">
        <f>SUMIFS(Table16[Purchase_history],Table16[customer_id],Table13[[#This Row],[customer_id]])</f>
        <v>14751.15</v>
      </c>
      <c r="G1960" s="20">
        <v>44238</v>
      </c>
      <c r="H1960" s="21">
        <v>44791</v>
      </c>
      <c r="I1960" s="15">
        <f>(Table134[[#This Row],[Last_Day]]-Table134[[#This Row],[First_Day]]+1)/365</f>
        <v>1.5178082191780822</v>
      </c>
      <c r="J1960" s="59">
        <f>Table134[[#This Row],[number_of_purchases]]/Table134[[#This Row],[customer_total_years]]</f>
        <v>2.6353790613718413</v>
      </c>
      <c r="K1960" s="13">
        <f>Table134[[#This Row],[purchase_history]]/Table134[[#This Row],[number_of_purchases]]</f>
        <v>3687.7874999999999</v>
      </c>
      <c r="L1960" s="2">
        <f>IF(YEAR(Table134[[#This Row],[Last_Day]])=2021,5,IF(YEAR(Table134[[#This Row],[Last_Day]])=2022,7,IF(YEAR(Table134[[#This Row],[Last_Day]])=2023,10,"Không xác định")))</f>
        <v>7</v>
      </c>
      <c r="M1960" s="15">
        <f>Table134[[#This Row],[avg_number_of_purchases]]*Table1345[[#This Row],[avg_purchase_value]]*Table1345[[#This Row],[expected_lifespan]]</f>
        <v>68031.025722021659</v>
      </c>
      <c r="N1960" t="s">
        <v>12047</v>
      </c>
    </row>
    <row r="1961" spans="1:14" x14ac:dyDescent="0.3">
      <c r="A1961" s="2" t="s">
        <v>1959</v>
      </c>
      <c r="B1961" s="2" t="s">
        <v>12040</v>
      </c>
      <c r="C1961" s="2">
        <v>22</v>
      </c>
      <c r="D1961" s="2" t="s">
        <v>12049</v>
      </c>
      <c r="E1961" s="2">
        <f>COUNTIF(Table16[customer_id],Table13[[#This Row],[customer_id]])</f>
        <v>5</v>
      </c>
      <c r="F1961" s="13">
        <f>SUMIFS(Table16[Purchase_history],Table16[customer_id],Table13[[#This Row],[customer_id]])</f>
        <v>14169.469999999998</v>
      </c>
      <c r="G1961" s="20">
        <v>44419</v>
      </c>
      <c r="H1961" s="21">
        <v>44987</v>
      </c>
      <c r="I1961" s="15">
        <f>(Table134[[#This Row],[Last_Day]]-Table134[[#This Row],[First_Day]]+1)/365</f>
        <v>1.558904109589041</v>
      </c>
      <c r="J1961" s="59">
        <f>Table134[[#This Row],[number_of_purchases]]/Table134[[#This Row],[customer_total_years]]</f>
        <v>3.2073813708260106</v>
      </c>
      <c r="K1961" s="13">
        <f>Table134[[#This Row],[purchase_history]]/Table134[[#This Row],[number_of_purchases]]</f>
        <v>2833.8939999999993</v>
      </c>
      <c r="L1961" s="2">
        <f>IF(YEAR(Table134[[#This Row],[Last_Day]])=2021,5,IF(YEAR(Table134[[#This Row],[Last_Day]])=2022,7,IF(YEAR(Table134[[#This Row],[Last_Day]])=2023,10,"Không xác định")))</f>
        <v>10</v>
      </c>
      <c r="M1961" s="15">
        <f>Table134[[#This Row],[avg_number_of_purchases]]*Table1345[[#This Row],[avg_purchase_value]]*Table1345[[#This Row],[expected_lifespan]]</f>
        <v>90893.78822495605</v>
      </c>
      <c r="N1961" t="s">
        <v>12047</v>
      </c>
    </row>
    <row r="1962" spans="1:14" x14ac:dyDescent="0.3">
      <c r="A1962" s="2" t="s">
        <v>1960</v>
      </c>
      <c r="B1962" s="2" t="s">
        <v>12040</v>
      </c>
      <c r="C1962" s="2">
        <v>26</v>
      </c>
      <c r="D1962" s="2" t="s">
        <v>12049</v>
      </c>
      <c r="E1962" s="2">
        <f>COUNTIF(Table16[customer_id],Table13[[#This Row],[customer_id]])</f>
        <v>7</v>
      </c>
      <c r="F1962" s="13">
        <f>SUMIFS(Table16[Purchase_history],Table16[customer_id],Table13[[#This Row],[customer_id]])</f>
        <v>3552.2499999999995</v>
      </c>
      <c r="G1962" s="20">
        <v>44213</v>
      </c>
      <c r="H1962" s="21">
        <v>44839</v>
      </c>
      <c r="I1962" s="15">
        <f>(Table134[[#This Row],[Last_Day]]-Table134[[#This Row],[First_Day]]+1)/365</f>
        <v>1.7178082191780821</v>
      </c>
      <c r="J1962" s="59">
        <f>Table134[[#This Row],[number_of_purchases]]/Table134[[#This Row],[customer_total_years]]</f>
        <v>4.0749601275917069</v>
      </c>
      <c r="K1962" s="13">
        <f>Table134[[#This Row],[purchase_history]]/Table134[[#This Row],[number_of_purchases]]</f>
        <v>507.46428571428567</v>
      </c>
      <c r="L1962" s="2">
        <f>IF(YEAR(Table134[[#This Row],[Last_Day]])=2021,5,IF(YEAR(Table134[[#This Row],[Last_Day]])=2022,7,IF(YEAR(Table134[[#This Row],[Last_Day]])=2023,10,"Không xác định")))</f>
        <v>7</v>
      </c>
      <c r="M1962" s="15">
        <f>Table134[[#This Row],[avg_number_of_purchases]]*Table1345[[#This Row],[avg_purchase_value]]*Table1345[[#This Row],[expected_lifespan]]</f>
        <v>14475.277113237638</v>
      </c>
      <c r="N1962" t="s">
        <v>12046</v>
      </c>
    </row>
    <row r="1963" spans="1:14" x14ac:dyDescent="0.3">
      <c r="A1963" s="2" t="s">
        <v>1961</v>
      </c>
      <c r="B1963" s="2" t="s">
        <v>12040</v>
      </c>
      <c r="C1963" s="2">
        <v>47</v>
      </c>
      <c r="D1963" s="2" t="s">
        <v>12043</v>
      </c>
      <c r="E1963" s="2">
        <f>COUNTIF(Table16[customer_id],Table13[[#This Row],[customer_id]])</f>
        <v>4</v>
      </c>
      <c r="F1963" s="13">
        <f>SUMIFS(Table16[Purchase_history],Table16[customer_id],Table13[[#This Row],[customer_id]])</f>
        <v>5401.44</v>
      </c>
      <c r="G1963" s="20">
        <v>44408</v>
      </c>
      <c r="H1963" s="21">
        <v>44916</v>
      </c>
      <c r="I1963" s="15">
        <f>(Table134[[#This Row],[Last_Day]]-Table134[[#This Row],[First_Day]]+1)/365</f>
        <v>1.3945205479452054</v>
      </c>
      <c r="J1963" s="59">
        <f>Table134[[#This Row],[number_of_purchases]]/Table134[[#This Row],[customer_total_years]]</f>
        <v>2.8683693516699411</v>
      </c>
      <c r="K1963" s="13">
        <f>Table134[[#This Row],[purchase_history]]/Table134[[#This Row],[number_of_purchases]]</f>
        <v>1350.36</v>
      </c>
      <c r="L1963" s="2">
        <f>IF(YEAR(Table134[[#This Row],[Last_Day]])=2021,5,IF(YEAR(Table134[[#This Row],[Last_Day]])=2022,7,IF(YEAR(Table134[[#This Row],[Last_Day]])=2023,10,"Không xác định")))</f>
        <v>7</v>
      </c>
      <c r="M1963" s="15">
        <f>Table134[[#This Row],[avg_number_of_purchases]]*Table1345[[#This Row],[avg_purchase_value]]*Table1345[[#This Row],[expected_lifespan]]</f>
        <v>27113.31866404715</v>
      </c>
      <c r="N1963" t="s">
        <v>12046</v>
      </c>
    </row>
    <row r="1964" spans="1:14" x14ac:dyDescent="0.3">
      <c r="A1964" s="2" t="s">
        <v>1962</v>
      </c>
      <c r="B1964" s="2" t="s">
        <v>12040</v>
      </c>
      <c r="C1964" s="2">
        <v>68</v>
      </c>
      <c r="D1964" s="2" t="s">
        <v>12043</v>
      </c>
      <c r="E1964" s="2">
        <f>COUNTIF(Table16[customer_id],Table13[[#This Row],[customer_id]])</f>
        <v>5</v>
      </c>
      <c r="F1964" s="13">
        <f>SUMIFS(Table16[Purchase_history],Table16[customer_id],Table13[[#This Row],[customer_id]])</f>
        <v>7703.8799999999992</v>
      </c>
      <c r="G1964" s="20">
        <v>44322</v>
      </c>
      <c r="H1964" s="21">
        <v>44921</v>
      </c>
      <c r="I1964" s="15">
        <f>(Table134[[#This Row],[Last_Day]]-Table134[[#This Row],[First_Day]]+1)/365</f>
        <v>1.6438356164383561</v>
      </c>
      <c r="J1964" s="59">
        <f>Table134[[#This Row],[number_of_purchases]]/Table134[[#This Row],[customer_total_years]]</f>
        <v>3.041666666666667</v>
      </c>
      <c r="K1964" s="13">
        <f>Table134[[#This Row],[purchase_history]]/Table134[[#This Row],[number_of_purchases]]</f>
        <v>1540.7759999999998</v>
      </c>
      <c r="L1964" s="2">
        <f>IF(YEAR(Table134[[#This Row],[Last_Day]])=2021,5,IF(YEAR(Table134[[#This Row],[Last_Day]])=2022,7,IF(YEAR(Table134[[#This Row],[Last_Day]])=2023,10,"Không xác định")))</f>
        <v>7</v>
      </c>
      <c r="M1964" s="15">
        <f>Table134[[#This Row],[avg_number_of_purchases]]*Table1345[[#This Row],[avg_purchase_value]]*Table1345[[#This Row],[expected_lifespan]]</f>
        <v>32805.688999999998</v>
      </c>
      <c r="N1964" t="s">
        <v>12046</v>
      </c>
    </row>
    <row r="1965" spans="1:14" x14ac:dyDescent="0.3">
      <c r="A1965" s="2" t="s">
        <v>1963</v>
      </c>
      <c r="B1965" s="2" t="s">
        <v>12045</v>
      </c>
      <c r="C1965" s="2">
        <v>62</v>
      </c>
      <c r="D1965" s="2" t="s">
        <v>12041</v>
      </c>
      <c r="E1965" s="2">
        <f>COUNTIF(Table16[customer_id],Table13[[#This Row],[customer_id]])</f>
        <v>4</v>
      </c>
      <c r="F1965" s="13">
        <f>SUMIFS(Table16[Purchase_history],Table16[customer_id],Table13[[#This Row],[customer_id]])</f>
        <v>18482.52</v>
      </c>
      <c r="G1965" s="20">
        <v>44276</v>
      </c>
      <c r="H1965" s="21">
        <v>44921</v>
      </c>
      <c r="I1965" s="15">
        <f>(Table134[[#This Row],[Last_Day]]-Table134[[#This Row],[First_Day]]+1)/365</f>
        <v>1.7698630136986302</v>
      </c>
      <c r="J1965" s="59">
        <f>Table134[[#This Row],[number_of_purchases]]/Table134[[#This Row],[customer_total_years]]</f>
        <v>2.2600619195046439</v>
      </c>
      <c r="K1965" s="13">
        <f>Table134[[#This Row],[purchase_history]]/Table134[[#This Row],[number_of_purchases]]</f>
        <v>4620.63</v>
      </c>
      <c r="L1965" s="2">
        <f>IF(YEAR(Table134[[#This Row],[Last_Day]])=2021,5,IF(YEAR(Table134[[#This Row],[Last_Day]])=2022,7,IF(YEAR(Table134[[#This Row],[Last_Day]])=2023,10,"Không xác định")))</f>
        <v>7</v>
      </c>
      <c r="M1965" s="15">
        <f>Table134[[#This Row],[avg_number_of_purchases]]*Table1345[[#This Row],[avg_purchase_value]]*Table1345[[#This Row],[expected_lifespan]]</f>
        <v>73100.36934984519</v>
      </c>
      <c r="N1965" t="s">
        <v>12042</v>
      </c>
    </row>
    <row r="1966" spans="1:14" x14ac:dyDescent="0.3">
      <c r="A1966" s="2" t="s">
        <v>1964</v>
      </c>
      <c r="B1966" s="2" t="s">
        <v>12040</v>
      </c>
      <c r="C1966" s="2">
        <v>64</v>
      </c>
      <c r="D1966" s="2" t="s">
        <v>12043</v>
      </c>
      <c r="E1966" s="2">
        <f>COUNTIF(Table16[customer_id],Table13[[#This Row],[customer_id]])</f>
        <v>7</v>
      </c>
      <c r="F1966" s="13">
        <f>SUMIFS(Table16[Purchase_history],Table16[customer_id],Table13[[#This Row],[customer_id]])</f>
        <v>20307.29</v>
      </c>
      <c r="G1966" s="20">
        <v>44375</v>
      </c>
      <c r="H1966" s="21">
        <v>44953</v>
      </c>
      <c r="I1966" s="15">
        <f>(Table134[[#This Row],[Last_Day]]-Table134[[#This Row],[First_Day]]+1)/365</f>
        <v>1.5863013698630137</v>
      </c>
      <c r="J1966" s="59">
        <f>Table134[[#This Row],[number_of_purchases]]/Table134[[#This Row],[customer_total_years]]</f>
        <v>4.4127806563039726</v>
      </c>
      <c r="K1966" s="13">
        <f>Table134[[#This Row],[purchase_history]]/Table134[[#This Row],[number_of_purchases]]</f>
        <v>2901.0414285714287</v>
      </c>
      <c r="L1966" s="2">
        <f>IF(YEAR(Table134[[#This Row],[Last_Day]])=2021,5,IF(YEAR(Table134[[#This Row],[Last_Day]])=2022,7,IF(YEAR(Table134[[#This Row],[Last_Day]])=2023,10,"Không xác định")))</f>
        <v>10</v>
      </c>
      <c r="M1966" s="15">
        <f>Table134[[#This Row],[avg_number_of_purchases]]*Table1345[[#This Row],[avg_purchase_value]]*Table1345[[#This Row],[expected_lifespan]]</f>
        <v>128016.59499136443</v>
      </c>
      <c r="N1966" t="s">
        <v>12042</v>
      </c>
    </row>
    <row r="1967" spans="1:14" x14ac:dyDescent="0.3">
      <c r="A1967" s="2" t="s">
        <v>1965</v>
      </c>
      <c r="B1967" s="2" t="s">
        <v>12045</v>
      </c>
      <c r="C1967" s="2">
        <v>64</v>
      </c>
      <c r="D1967" s="2" t="s">
        <v>12043</v>
      </c>
      <c r="E1967" s="2">
        <f>COUNTIF(Table16[customer_id],Table13[[#This Row],[customer_id]])</f>
        <v>8</v>
      </c>
      <c r="F1967" s="13">
        <f>SUMIFS(Table16[Purchase_history],Table16[customer_id],Table13[[#This Row],[customer_id]])</f>
        <v>14432.28</v>
      </c>
      <c r="G1967" s="20">
        <v>44673</v>
      </c>
      <c r="H1967" s="21">
        <v>44967</v>
      </c>
      <c r="I1967" s="15">
        <f>(Table134[[#This Row],[Last_Day]]-Table134[[#This Row],[First_Day]]+1)/365</f>
        <v>0.80821917808219179</v>
      </c>
      <c r="J1967" s="59">
        <f>Table134[[#This Row],[number_of_purchases]]/Table134[[#This Row],[customer_total_years]]</f>
        <v>9.898305084745763</v>
      </c>
      <c r="K1967" s="13">
        <f>Table134[[#This Row],[purchase_history]]/Table134[[#This Row],[number_of_purchases]]</f>
        <v>1804.0350000000001</v>
      </c>
      <c r="L1967" s="2">
        <f>IF(YEAR(Table134[[#This Row],[Last_Day]])=2021,5,IF(YEAR(Table134[[#This Row],[Last_Day]])=2022,7,IF(YEAR(Table134[[#This Row],[Last_Day]])=2023,10,"Không xác định")))</f>
        <v>10</v>
      </c>
      <c r="M1967" s="15">
        <f>Table134[[#This Row],[avg_number_of_purchases]]*Table1345[[#This Row],[avg_purchase_value]]*Table1345[[#This Row],[expected_lifespan]]</f>
        <v>178568.88813559321</v>
      </c>
      <c r="N1967" t="s">
        <v>12048</v>
      </c>
    </row>
    <row r="1968" spans="1:14" x14ac:dyDescent="0.3">
      <c r="A1968" s="2" t="s">
        <v>1966</v>
      </c>
      <c r="B1968" s="2" t="s">
        <v>12040</v>
      </c>
      <c r="C1968" s="2">
        <v>57</v>
      </c>
      <c r="D1968" s="2" t="s">
        <v>12049</v>
      </c>
      <c r="E1968" s="2">
        <f>COUNTIF(Table16[customer_id],Table13[[#This Row],[customer_id]])</f>
        <v>5</v>
      </c>
      <c r="F1968" s="13">
        <f>SUMIFS(Table16[Purchase_history],Table16[customer_id],Table13[[#This Row],[customer_id]])</f>
        <v>8779.0499999999993</v>
      </c>
      <c r="G1968" s="20">
        <v>44260</v>
      </c>
      <c r="H1968" s="21">
        <v>44956</v>
      </c>
      <c r="I1968" s="15">
        <f>(Table134[[#This Row],[Last_Day]]-Table134[[#This Row],[First_Day]]+1)/365</f>
        <v>1.9095890410958904</v>
      </c>
      <c r="J1968" s="59">
        <f>Table134[[#This Row],[number_of_purchases]]/Table134[[#This Row],[customer_total_years]]</f>
        <v>2.6183644189383068</v>
      </c>
      <c r="K1968" s="13">
        <f>Table134[[#This Row],[purchase_history]]/Table134[[#This Row],[number_of_purchases]]</f>
        <v>1755.81</v>
      </c>
      <c r="L1968" s="2">
        <f>IF(YEAR(Table134[[#This Row],[Last_Day]])=2021,5,IF(YEAR(Table134[[#This Row],[Last_Day]])=2022,7,IF(YEAR(Table134[[#This Row],[Last_Day]])=2023,10,"Không xác định")))</f>
        <v>10</v>
      </c>
      <c r="M1968" s="15">
        <f>Table134[[#This Row],[avg_number_of_purchases]]*Table1345[[#This Row],[avg_purchase_value]]*Table1345[[#This Row],[expected_lifespan]]</f>
        <v>45973.504304160684</v>
      </c>
      <c r="N1968" t="s">
        <v>12048</v>
      </c>
    </row>
    <row r="1969" spans="1:14" x14ac:dyDescent="0.3">
      <c r="A1969" s="2" t="s">
        <v>1967</v>
      </c>
      <c r="B1969" s="2" t="s">
        <v>12045</v>
      </c>
      <c r="C1969" s="2">
        <v>25</v>
      </c>
      <c r="D1969" s="2" t="s">
        <v>12049</v>
      </c>
      <c r="E1969" s="2">
        <f>COUNTIF(Table16[customer_id],Table13[[#This Row],[customer_id]])</f>
        <v>2</v>
      </c>
      <c r="F1969" s="13">
        <f>SUMIFS(Table16[Purchase_history],Table16[customer_id],Table13[[#This Row],[customer_id]])</f>
        <v>2747.6400000000003</v>
      </c>
      <c r="G1969" s="20">
        <v>44347</v>
      </c>
      <c r="H1969" s="21">
        <v>44912</v>
      </c>
      <c r="I1969" s="15">
        <f>(Table134[[#This Row],[Last_Day]]-Table134[[#This Row],[First_Day]]+1)/365</f>
        <v>1.5506849315068494</v>
      </c>
      <c r="J1969" s="59">
        <f>Table134[[#This Row],[number_of_purchases]]/Table134[[#This Row],[customer_total_years]]</f>
        <v>1.2897526501766783</v>
      </c>
      <c r="K1969" s="13">
        <f>Table134[[#This Row],[purchase_history]]/Table134[[#This Row],[number_of_purchases]]</f>
        <v>1373.8200000000002</v>
      </c>
      <c r="L1969" s="2">
        <f>IF(YEAR(Table134[[#This Row],[Last_Day]])=2021,5,IF(YEAR(Table134[[#This Row],[Last_Day]])=2022,7,IF(YEAR(Table134[[#This Row],[Last_Day]])=2023,10,"Không xác định")))</f>
        <v>7</v>
      </c>
      <c r="M1969" s="15">
        <f>Table134[[#This Row],[avg_number_of_purchases]]*Table1345[[#This Row],[avg_purchase_value]]*Table1345[[#This Row],[expected_lifespan]]</f>
        <v>12403.215901060072</v>
      </c>
      <c r="N1969" t="s">
        <v>12042</v>
      </c>
    </row>
    <row r="1970" spans="1:14" x14ac:dyDescent="0.3">
      <c r="A1970" s="2" t="s">
        <v>1968</v>
      </c>
      <c r="B1970" s="2" t="s">
        <v>12040</v>
      </c>
      <c r="C1970" s="2">
        <v>56</v>
      </c>
      <c r="D1970" s="2" t="s">
        <v>12041</v>
      </c>
      <c r="E1970" s="2">
        <f>COUNTIF(Table16[customer_id],Table13[[#This Row],[customer_id]])</f>
        <v>4</v>
      </c>
      <c r="F1970" s="13">
        <f>SUMIFS(Table16[Purchase_history],Table16[customer_id],Table13[[#This Row],[customer_id]])</f>
        <v>1953.16</v>
      </c>
      <c r="G1970" s="20">
        <v>44515</v>
      </c>
      <c r="H1970" s="21">
        <v>44812</v>
      </c>
      <c r="I1970" s="15">
        <f>(Table134[[#This Row],[Last_Day]]-Table134[[#This Row],[First_Day]]+1)/365</f>
        <v>0.81643835616438354</v>
      </c>
      <c r="J1970" s="59">
        <f>Table134[[#This Row],[number_of_purchases]]/Table134[[#This Row],[customer_total_years]]</f>
        <v>4.8993288590604029</v>
      </c>
      <c r="K1970" s="13">
        <f>Table134[[#This Row],[purchase_history]]/Table134[[#This Row],[number_of_purchases]]</f>
        <v>488.29</v>
      </c>
      <c r="L1970" s="2">
        <f>IF(YEAR(Table134[[#This Row],[Last_Day]])=2021,5,IF(YEAR(Table134[[#This Row],[Last_Day]])=2022,7,IF(YEAR(Table134[[#This Row],[Last_Day]])=2023,10,"Không xác định")))</f>
        <v>7</v>
      </c>
      <c r="M1970" s="15">
        <f>Table134[[#This Row],[avg_number_of_purchases]]*Table1345[[#This Row],[avg_purchase_value]]*Table1345[[#This Row],[expected_lifespan]]</f>
        <v>16746.05302013423</v>
      </c>
      <c r="N1970" t="s">
        <v>12046</v>
      </c>
    </row>
    <row r="1971" spans="1:14" x14ac:dyDescent="0.3">
      <c r="A1971" s="2" t="s">
        <v>1969</v>
      </c>
      <c r="B1971" s="2" t="s">
        <v>12045</v>
      </c>
      <c r="C1971" s="2">
        <v>31</v>
      </c>
      <c r="D1971" s="2" t="s">
        <v>12043</v>
      </c>
      <c r="E1971" s="2">
        <f>COUNTIF(Table16[customer_id],Table13[[#This Row],[customer_id]])</f>
        <v>5</v>
      </c>
      <c r="F1971" s="13">
        <f>SUMIFS(Table16[Purchase_history],Table16[customer_id],Table13[[#This Row],[customer_id]])</f>
        <v>20420.400000000001</v>
      </c>
      <c r="G1971" s="20">
        <v>44284</v>
      </c>
      <c r="H1971" s="21">
        <v>44798</v>
      </c>
      <c r="I1971" s="15">
        <f>(Table134[[#This Row],[Last_Day]]-Table134[[#This Row],[First_Day]]+1)/365</f>
        <v>1.4109589041095891</v>
      </c>
      <c r="J1971" s="59">
        <f>Table134[[#This Row],[number_of_purchases]]/Table134[[#This Row],[customer_total_years]]</f>
        <v>3.5436893203883493</v>
      </c>
      <c r="K1971" s="13">
        <f>Table134[[#This Row],[purchase_history]]/Table134[[#This Row],[number_of_purchases]]</f>
        <v>4084.0800000000004</v>
      </c>
      <c r="L1971" s="2">
        <f>IF(YEAR(Table134[[#This Row],[Last_Day]])=2021,5,IF(YEAR(Table134[[#This Row],[Last_Day]])=2022,7,IF(YEAR(Table134[[#This Row],[Last_Day]])=2023,10,"Không xác định")))</f>
        <v>7</v>
      </c>
      <c r="M1971" s="15">
        <f>Table134[[#This Row],[avg_number_of_purchases]]*Table1345[[#This Row],[avg_purchase_value]]*Table1345[[#This Row],[expected_lifespan]]</f>
        <v>101308.97475728155</v>
      </c>
      <c r="N1971" t="s">
        <v>12048</v>
      </c>
    </row>
    <row r="1972" spans="1:14" x14ac:dyDescent="0.3">
      <c r="A1972" s="2" t="s">
        <v>1970</v>
      </c>
      <c r="B1972" s="2" t="s">
        <v>12045</v>
      </c>
      <c r="C1972" s="2">
        <v>30</v>
      </c>
      <c r="D1972" s="2" t="s">
        <v>12043</v>
      </c>
      <c r="E1972" s="2">
        <f>COUNTIF(Table16[customer_id],Table13[[#This Row],[customer_id]])</f>
        <v>2</v>
      </c>
      <c r="F1972" s="13">
        <f>SUMIFS(Table16[Purchase_history],Table16[customer_id],Table13[[#This Row],[customer_id]])</f>
        <v>2747.6400000000003</v>
      </c>
      <c r="G1972" s="20">
        <v>44373</v>
      </c>
      <c r="H1972" s="21">
        <v>44482</v>
      </c>
      <c r="I1972" s="15">
        <f>(Table134[[#This Row],[Last_Day]]-Table134[[#This Row],[First_Day]]+1)/365</f>
        <v>0.30136986301369861</v>
      </c>
      <c r="J1972" s="59">
        <f>Table134[[#This Row],[number_of_purchases]]/Table134[[#This Row],[customer_total_years]]</f>
        <v>6.6363636363636367</v>
      </c>
      <c r="K1972" s="13">
        <f>Table134[[#This Row],[purchase_history]]/Table134[[#This Row],[number_of_purchases]]</f>
        <v>1373.8200000000002</v>
      </c>
      <c r="L1972" s="2">
        <f>IF(YEAR(Table134[[#This Row],[Last_Day]])=2021,5,IF(YEAR(Table134[[#This Row],[Last_Day]])=2022,7,IF(YEAR(Table134[[#This Row],[Last_Day]])=2023,10,"Không xác định")))</f>
        <v>5</v>
      </c>
      <c r="M1972" s="15">
        <f>Table134[[#This Row],[avg_number_of_purchases]]*Table1345[[#This Row],[avg_purchase_value]]*Table1345[[#This Row],[expected_lifespan]]</f>
        <v>45585.845454545459</v>
      </c>
      <c r="N1972" t="s">
        <v>12047</v>
      </c>
    </row>
    <row r="1973" spans="1:14" x14ac:dyDescent="0.3">
      <c r="A1973" s="2" t="s">
        <v>1971</v>
      </c>
      <c r="B1973" s="2" t="s">
        <v>12040</v>
      </c>
      <c r="C1973" s="2">
        <v>37</v>
      </c>
      <c r="D1973" s="2" t="s">
        <v>12043</v>
      </c>
      <c r="E1973" s="2">
        <f>COUNTIF(Table16[customer_id],Table13[[#This Row],[customer_id]])</f>
        <v>6</v>
      </c>
      <c r="F1973" s="13">
        <f>SUMIFS(Table16[Purchase_history],Table16[customer_id],Table13[[#This Row],[customer_id]])</f>
        <v>35568.46</v>
      </c>
      <c r="G1973" s="20">
        <v>44222</v>
      </c>
      <c r="H1973" s="21">
        <v>44958</v>
      </c>
      <c r="I1973" s="15">
        <f>(Table134[[#This Row],[Last_Day]]-Table134[[#This Row],[First_Day]]+1)/365</f>
        <v>2.0191780821917806</v>
      </c>
      <c r="J1973" s="59">
        <f>Table134[[#This Row],[number_of_purchases]]/Table134[[#This Row],[customer_total_years]]</f>
        <v>2.9715061058344645</v>
      </c>
      <c r="K1973" s="13">
        <f>Table134[[#This Row],[purchase_history]]/Table134[[#This Row],[number_of_purchases]]</f>
        <v>5928.0766666666668</v>
      </c>
      <c r="L1973" s="2">
        <f>IF(YEAR(Table134[[#This Row],[Last_Day]])=2021,5,IF(YEAR(Table134[[#This Row],[Last_Day]])=2022,7,IF(YEAR(Table134[[#This Row],[Last_Day]])=2023,10,"Không xác định")))</f>
        <v>10</v>
      </c>
      <c r="M1973" s="15">
        <f>Table134[[#This Row],[avg_number_of_purchases]]*Table1345[[#This Row],[avg_purchase_value]]*Table1345[[#This Row],[expected_lifespan]]</f>
        <v>176153.16010854821</v>
      </c>
      <c r="N1973" t="s">
        <v>12044</v>
      </c>
    </row>
    <row r="1974" spans="1:14" x14ac:dyDescent="0.3">
      <c r="A1974" s="2" t="s">
        <v>1972</v>
      </c>
      <c r="B1974" s="2" t="s">
        <v>12040</v>
      </c>
      <c r="C1974" s="2">
        <v>28</v>
      </c>
      <c r="D1974" s="2" t="s">
        <v>12041</v>
      </c>
      <c r="E1974" s="2">
        <f>COUNTIF(Table16[customer_id],Table13[[#This Row],[customer_id]])</f>
        <v>5</v>
      </c>
      <c r="F1974" s="13">
        <f>SUMIFS(Table16[Purchase_history],Table16[customer_id],Table13[[#This Row],[customer_id]])</f>
        <v>28440.1</v>
      </c>
      <c r="G1974" s="20">
        <v>44341</v>
      </c>
      <c r="H1974" s="21">
        <v>44979</v>
      </c>
      <c r="I1974" s="15">
        <f>(Table134[[#This Row],[Last_Day]]-Table134[[#This Row],[First_Day]]+1)/365</f>
        <v>1.7506849315068493</v>
      </c>
      <c r="J1974" s="59">
        <f>Table134[[#This Row],[number_of_purchases]]/Table134[[#This Row],[customer_total_years]]</f>
        <v>2.8560250391236308</v>
      </c>
      <c r="K1974" s="13">
        <f>Table134[[#This Row],[purchase_history]]/Table134[[#This Row],[number_of_purchases]]</f>
        <v>5688.0199999999995</v>
      </c>
      <c r="L1974" s="2">
        <f>IF(YEAR(Table134[[#This Row],[Last_Day]])=2021,5,IF(YEAR(Table134[[#This Row],[Last_Day]])=2022,7,IF(YEAR(Table134[[#This Row],[Last_Day]])=2023,10,"Không xác định")))</f>
        <v>10</v>
      </c>
      <c r="M1974" s="15">
        <f>Table134[[#This Row],[avg_number_of_purchases]]*Table1345[[#This Row],[avg_purchase_value]]*Table1345[[#This Row],[expected_lifespan]]</f>
        <v>162451.27543035994</v>
      </c>
      <c r="N1974" t="s">
        <v>12044</v>
      </c>
    </row>
    <row r="1975" spans="1:14" x14ac:dyDescent="0.3">
      <c r="A1975" s="2" t="s">
        <v>1973</v>
      </c>
      <c r="B1975" s="2" t="s">
        <v>12040</v>
      </c>
      <c r="C1975" s="2">
        <v>53</v>
      </c>
      <c r="D1975" s="2" t="s">
        <v>12049</v>
      </c>
      <c r="E1975" s="2">
        <f>COUNTIF(Table16[customer_id],Table13[[#This Row],[customer_id]])</f>
        <v>5</v>
      </c>
      <c r="F1975" s="13">
        <f>SUMIFS(Table16[Purchase_history],Table16[customer_id],Table13[[#This Row],[customer_id]])</f>
        <v>3792.7400000000002</v>
      </c>
      <c r="G1975" s="20">
        <v>44335</v>
      </c>
      <c r="H1975" s="21">
        <v>44623</v>
      </c>
      <c r="I1975" s="15">
        <f>(Table134[[#This Row],[Last_Day]]-Table134[[#This Row],[First_Day]]+1)/365</f>
        <v>0.79178082191780819</v>
      </c>
      <c r="J1975" s="59">
        <f>Table134[[#This Row],[number_of_purchases]]/Table134[[#This Row],[customer_total_years]]</f>
        <v>6.3148788927335646</v>
      </c>
      <c r="K1975" s="13">
        <f>Table134[[#This Row],[purchase_history]]/Table134[[#This Row],[number_of_purchases]]</f>
        <v>758.548</v>
      </c>
      <c r="L1975" s="2">
        <f>IF(YEAR(Table134[[#This Row],[Last_Day]])=2021,5,IF(YEAR(Table134[[#This Row],[Last_Day]])=2022,7,IF(YEAR(Table134[[#This Row],[Last_Day]])=2023,10,"Không xác định")))</f>
        <v>7</v>
      </c>
      <c r="M1975" s="15">
        <f>Table134[[#This Row],[avg_number_of_purchases]]*Table1345[[#This Row],[avg_purchase_value]]*Table1345[[#This Row],[expected_lifespan]]</f>
        <v>33530.971280276819</v>
      </c>
      <c r="N1975" t="s">
        <v>12048</v>
      </c>
    </row>
    <row r="1976" spans="1:14" x14ac:dyDescent="0.3">
      <c r="A1976" s="2" t="s">
        <v>1974</v>
      </c>
      <c r="B1976" s="2" t="s">
        <v>12040</v>
      </c>
      <c r="C1976" s="2">
        <v>56</v>
      </c>
      <c r="D1976" s="2" t="s">
        <v>12049</v>
      </c>
      <c r="E1976" s="2">
        <f>COUNTIF(Table16[customer_id],Table13[[#This Row],[customer_id]])</f>
        <v>5</v>
      </c>
      <c r="F1976" s="13">
        <f>SUMIFS(Table16[Purchase_history],Table16[customer_id],Table13[[#This Row],[customer_id]])</f>
        <v>8014.0000000000009</v>
      </c>
      <c r="G1976" s="20">
        <v>44306</v>
      </c>
      <c r="H1976" s="21">
        <v>44915</v>
      </c>
      <c r="I1976" s="15">
        <f>(Table134[[#This Row],[Last_Day]]-Table134[[#This Row],[First_Day]]+1)/365</f>
        <v>1.6712328767123288</v>
      </c>
      <c r="J1976" s="59">
        <f>Table134[[#This Row],[number_of_purchases]]/Table134[[#This Row],[customer_total_years]]</f>
        <v>2.9918032786885247</v>
      </c>
      <c r="K1976" s="13">
        <f>Table134[[#This Row],[purchase_history]]/Table134[[#This Row],[number_of_purchases]]</f>
        <v>1602.8000000000002</v>
      </c>
      <c r="L1976" s="2">
        <f>IF(YEAR(Table134[[#This Row],[Last_Day]])=2021,5,IF(YEAR(Table134[[#This Row],[Last_Day]])=2022,7,IF(YEAR(Table134[[#This Row],[Last_Day]])=2023,10,"Không xác định")))</f>
        <v>7</v>
      </c>
      <c r="M1976" s="15">
        <f>Table134[[#This Row],[avg_number_of_purchases]]*Table1345[[#This Row],[avg_purchase_value]]*Table1345[[#This Row],[expected_lifespan]]</f>
        <v>33566.836065573778</v>
      </c>
      <c r="N1976" t="s">
        <v>12042</v>
      </c>
    </row>
    <row r="1977" spans="1:14" x14ac:dyDescent="0.3">
      <c r="A1977" s="2" t="s">
        <v>1975</v>
      </c>
      <c r="B1977" s="2" t="s">
        <v>12040</v>
      </c>
      <c r="C1977" s="2">
        <v>19</v>
      </c>
      <c r="D1977" s="2" t="s">
        <v>12041</v>
      </c>
      <c r="E1977" s="2">
        <f>COUNTIF(Table16[customer_id],Table13[[#This Row],[customer_id]])</f>
        <v>4</v>
      </c>
      <c r="F1977" s="13">
        <f>SUMIFS(Table16[Purchase_history],Table16[customer_id],Table13[[#This Row],[customer_id]])</f>
        <v>16177.779999999999</v>
      </c>
      <c r="G1977" s="20">
        <v>44307</v>
      </c>
      <c r="H1977" s="21">
        <v>44950</v>
      </c>
      <c r="I1977" s="15">
        <f>(Table134[[#This Row],[Last_Day]]-Table134[[#This Row],[First_Day]]+1)/365</f>
        <v>1.7643835616438357</v>
      </c>
      <c r="J1977" s="59">
        <f>Table134[[#This Row],[number_of_purchases]]/Table134[[#This Row],[customer_total_years]]</f>
        <v>2.2670807453416146</v>
      </c>
      <c r="K1977" s="13">
        <f>Table134[[#This Row],[purchase_history]]/Table134[[#This Row],[number_of_purchases]]</f>
        <v>4044.4449999999997</v>
      </c>
      <c r="L1977" s="2">
        <f>IF(YEAR(Table134[[#This Row],[Last_Day]])=2021,5,IF(YEAR(Table134[[#This Row],[Last_Day]])=2022,7,IF(YEAR(Table134[[#This Row],[Last_Day]])=2023,10,"Không xác định")))</f>
        <v>10</v>
      </c>
      <c r="M1977" s="15">
        <f>Table134[[#This Row],[avg_number_of_purchases]]*Table1345[[#This Row],[avg_purchase_value]]*Table1345[[#This Row],[expected_lifespan]]</f>
        <v>91690.833850931667</v>
      </c>
      <c r="N1977" t="s">
        <v>12048</v>
      </c>
    </row>
    <row r="1978" spans="1:14" x14ac:dyDescent="0.3">
      <c r="A1978" s="2" t="s">
        <v>1976</v>
      </c>
      <c r="B1978" s="2" t="s">
        <v>12040</v>
      </c>
      <c r="C1978" s="2">
        <v>67</v>
      </c>
      <c r="D1978" s="2" t="s">
        <v>12041</v>
      </c>
      <c r="E1978" s="2">
        <f>COUNTIF(Table16[customer_id],Table13[[#This Row],[customer_id]])</f>
        <v>3</v>
      </c>
      <c r="F1978" s="13">
        <f>SUMIFS(Table16[Purchase_history],Table16[customer_id],Table13[[#This Row],[customer_id]])</f>
        <v>9902.64</v>
      </c>
      <c r="G1978" s="20">
        <v>44778</v>
      </c>
      <c r="H1978" s="21">
        <v>44909</v>
      </c>
      <c r="I1978" s="15">
        <f>(Table134[[#This Row],[Last_Day]]-Table134[[#This Row],[First_Day]]+1)/365</f>
        <v>0.36164383561643837</v>
      </c>
      <c r="J1978" s="59">
        <f>Table134[[#This Row],[number_of_purchases]]/Table134[[#This Row],[customer_total_years]]</f>
        <v>8.295454545454545</v>
      </c>
      <c r="K1978" s="13">
        <f>Table134[[#This Row],[purchase_history]]/Table134[[#This Row],[number_of_purchases]]</f>
        <v>3300.8799999999997</v>
      </c>
      <c r="L1978" s="2">
        <f>IF(YEAR(Table134[[#This Row],[Last_Day]])=2021,5,IF(YEAR(Table134[[#This Row],[Last_Day]])=2022,7,IF(YEAR(Table134[[#This Row],[Last_Day]])=2023,10,"Không xác định")))</f>
        <v>7</v>
      </c>
      <c r="M1978" s="15">
        <f>Table134[[#This Row],[avg_number_of_purchases]]*Table1345[[#This Row],[avg_purchase_value]]*Table1345[[#This Row],[expected_lifespan]]</f>
        <v>191676.09999999998</v>
      </c>
      <c r="N1978" t="s">
        <v>12047</v>
      </c>
    </row>
    <row r="1979" spans="1:14" x14ac:dyDescent="0.3">
      <c r="A1979" s="2" t="s">
        <v>1977</v>
      </c>
      <c r="B1979" s="2" t="s">
        <v>12040</v>
      </c>
      <c r="C1979" s="2">
        <v>49</v>
      </c>
      <c r="D1979" s="2" t="s">
        <v>12043</v>
      </c>
      <c r="E1979" s="2">
        <f>COUNTIF(Table16[customer_id],Table13[[#This Row],[customer_id]])</f>
        <v>3</v>
      </c>
      <c r="F1979" s="13">
        <f>SUMIFS(Table16[Purchase_history],Table16[customer_id],Table13[[#This Row],[customer_id]])</f>
        <v>2893.63</v>
      </c>
      <c r="G1979" s="20">
        <v>44231</v>
      </c>
      <c r="H1979" s="21">
        <v>44395</v>
      </c>
      <c r="I1979" s="15">
        <f>(Table134[[#This Row],[Last_Day]]-Table134[[#This Row],[First_Day]]+1)/365</f>
        <v>0.45205479452054792</v>
      </c>
      <c r="J1979" s="59">
        <f>Table134[[#This Row],[number_of_purchases]]/Table134[[#This Row],[customer_total_years]]</f>
        <v>6.6363636363636367</v>
      </c>
      <c r="K1979" s="13">
        <f>Table134[[#This Row],[purchase_history]]/Table134[[#This Row],[number_of_purchases]]</f>
        <v>964.54333333333341</v>
      </c>
      <c r="L1979" s="2">
        <f>IF(YEAR(Table134[[#This Row],[Last_Day]])=2021,5,IF(YEAR(Table134[[#This Row],[Last_Day]])=2022,7,IF(YEAR(Table134[[#This Row],[Last_Day]])=2023,10,"Không xác định")))</f>
        <v>5</v>
      </c>
      <c r="M1979" s="15">
        <f>Table134[[#This Row],[avg_number_of_purchases]]*Table1345[[#This Row],[avg_purchase_value]]*Table1345[[#This Row],[expected_lifespan]]</f>
        <v>32005.301515151517</v>
      </c>
      <c r="N1979" t="s">
        <v>12046</v>
      </c>
    </row>
    <row r="1980" spans="1:14" x14ac:dyDescent="0.3">
      <c r="A1980" s="2" t="s">
        <v>1978</v>
      </c>
      <c r="B1980" s="2" t="s">
        <v>12040</v>
      </c>
      <c r="C1980" s="2">
        <v>27</v>
      </c>
      <c r="D1980" s="2" t="s">
        <v>12043</v>
      </c>
      <c r="E1980" s="2">
        <f>COUNTIF(Table16[customer_id],Table13[[#This Row],[customer_id]])</f>
        <v>5</v>
      </c>
      <c r="F1980" s="13">
        <f>SUMIFS(Table16[Purchase_history],Table16[customer_id],Table13[[#This Row],[customer_id]])</f>
        <v>8340.44</v>
      </c>
      <c r="G1980" s="20">
        <v>44394</v>
      </c>
      <c r="H1980" s="21">
        <v>44983</v>
      </c>
      <c r="I1980" s="15">
        <f>(Table134[[#This Row],[Last_Day]]-Table134[[#This Row],[First_Day]]+1)/365</f>
        <v>1.6164383561643836</v>
      </c>
      <c r="J1980" s="59">
        <f>Table134[[#This Row],[number_of_purchases]]/Table134[[#This Row],[customer_total_years]]</f>
        <v>3.0932203389830506</v>
      </c>
      <c r="K1980" s="13">
        <f>Table134[[#This Row],[purchase_history]]/Table134[[#This Row],[number_of_purchases]]</f>
        <v>1668.0880000000002</v>
      </c>
      <c r="L1980" s="2">
        <f>IF(YEAR(Table134[[#This Row],[Last_Day]])=2021,5,IF(YEAR(Table134[[#This Row],[Last_Day]])=2022,7,IF(YEAR(Table134[[#This Row],[Last_Day]])=2023,10,"Không xác định")))</f>
        <v>10</v>
      </c>
      <c r="M1980" s="15">
        <f>Table134[[#This Row],[avg_number_of_purchases]]*Table1345[[#This Row],[avg_purchase_value]]*Table1345[[#This Row],[expected_lifespan]]</f>
        <v>51597.637288135593</v>
      </c>
      <c r="N1980" t="s">
        <v>12046</v>
      </c>
    </row>
    <row r="1981" spans="1:14" x14ac:dyDescent="0.3">
      <c r="A1981" s="2" t="s">
        <v>1979</v>
      </c>
      <c r="B1981" s="2" t="s">
        <v>12045</v>
      </c>
      <c r="C1981" s="2">
        <v>37</v>
      </c>
      <c r="D1981" s="2" t="s">
        <v>12043</v>
      </c>
      <c r="E1981" s="2">
        <f>COUNTIF(Table16[customer_id],Table13[[#This Row],[customer_id]])</f>
        <v>5</v>
      </c>
      <c r="F1981" s="13">
        <f>SUMIFS(Table16[Purchase_history],Table16[customer_id],Table13[[#This Row],[customer_id]])</f>
        <v>12727.42</v>
      </c>
      <c r="G1981" s="20">
        <v>44478</v>
      </c>
      <c r="H1981" s="21">
        <v>44966</v>
      </c>
      <c r="I1981" s="15">
        <f>(Table134[[#This Row],[Last_Day]]-Table134[[#This Row],[First_Day]]+1)/365</f>
        <v>1.3397260273972602</v>
      </c>
      <c r="J1981" s="59">
        <f>Table134[[#This Row],[number_of_purchases]]/Table134[[#This Row],[customer_total_years]]</f>
        <v>3.7321063394683027</v>
      </c>
      <c r="K1981" s="13">
        <f>Table134[[#This Row],[purchase_history]]/Table134[[#This Row],[number_of_purchases]]</f>
        <v>2545.4839999999999</v>
      </c>
      <c r="L1981" s="2">
        <f>IF(YEAR(Table134[[#This Row],[Last_Day]])=2021,5,IF(YEAR(Table134[[#This Row],[Last_Day]])=2022,7,IF(YEAR(Table134[[#This Row],[Last_Day]])=2023,10,"Không xác định")))</f>
        <v>10</v>
      </c>
      <c r="M1981" s="15">
        <f>Table134[[#This Row],[avg_number_of_purchases]]*Table1345[[#This Row],[avg_purchase_value]]*Table1345[[#This Row],[expected_lifespan]]</f>
        <v>95000.169734151335</v>
      </c>
      <c r="N1981" t="s">
        <v>12042</v>
      </c>
    </row>
    <row r="1982" spans="1:14" x14ac:dyDescent="0.3">
      <c r="A1982" s="2" t="s">
        <v>1980</v>
      </c>
      <c r="B1982" s="2" t="s">
        <v>12045</v>
      </c>
      <c r="C1982" s="2">
        <v>41</v>
      </c>
      <c r="D1982" s="2" t="s">
        <v>12043</v>
      </c>
      <c r="E1982" s="2">
        <f>COUNTIF(Table16[customer_id],Table13[[#This Row],[customer_id]])</f>
        <v>7</v>
      </c>
      <c r="F1982" s="13">
        <f>SUMIFS(Table16[Purchase_history],Table16[customer_id],Table13[[#This Row],[customer_id]])</f>
        <v>6118.58</v>
      </c>
      <c r="G1982" s="20">
        <v>44286</v>
      </c>
      <c r="H1982" s="21">
        <v>44907</v>
      </c>
      <c r="I1982" s="15">
        <f>(Table134[[#This Row],[Last_Day]]-Table134[[#This Row],[First_Day]]+1)/365</f>
        <v>1.704109589041096</v>
      </c>
      <c r="J1982" s="59">
        <f>Table134[[#This Row],[number_of_purchases]]/Table134[[#This Row],[customer_total_years]]</f>
        <v>4.107717041800643</v>
      </c>
      <c r="K1982" s="13">
        <f>Table134[[#This Row],[purchase_history]]/Table134[[#This Row],[number_of_purchases]]</f>
        <v>874.08285714285716</v>
      </c>
      <c r="L1982" s="2">
        <f>IF(YEAR(Table134[[#This Row],[Last_Day]])=2021,5,IF(YEAR(Table134[[#This Row],[Last_Day]])=2022,7,IF(YEAR(Table134[[#This Row],[Last_Day]])=2023,10,"Không xác định")))</f>
        <v>7</v>
      </c>
      <c r="M1982" s="15">
        <f>Table134[[#This Row],[avg_number_of_purchases]]*Table1345[[#This Row],[avg_purchase_value]]*Table1345[[#This Row],[expected_lifespan]]</f>
        <v>25133.395337620579</v>
      </c>
      <c r="N1982" t="s">
        <v>12047</v>
      </c>
    </row>
    <row r="1983" spans="1:14" x14ac:dyDescent="0.3">
      <c r="A1983" s="2" t="s">
        <v>1981</v>
      </c>
      <c r="B1983" s="2" t="s">
        <v>12045</v>
      </c>
      <c r="C1983" s="2">
        <v>51</v>
      </c>
      <c r="D1983" s="2" t="s">
        <v>12049</v>
      </c>
      <c r="E1983" s="2">
        <f>COUNTIF(Table16[customer_id],Table13[[#This Row],[customer_id]])</f>
        <v>2</v>
      </c>
      <c r="F1983" s="13">
        <f>SUMIFS(Table16[Purchase_history],Table16[customer_id],Table13[[#This Row],[customer_id]])</f>
        <v>371.17</v>
      </c>
      <c r="G1983" s="20">
        <v>44497</v>
      </c>
      <c r="H1983" s="21">
        <v>44970</v>
      </c>
      <c r="I1983" s="15">
        <f>(Table134[[#This Row],[Last_Day]]-Table134[[#This Row],[First_Day]]+1)/365</f>
        <v>1.2986301369863014</v>
      </c>
      <c r="J1983" s="59">
        <f>Table134[[#This Row],[number_of_purchases]]/Table134[[#This Row],[customer_total_years]]</f>
        <v>1.5400843881856541</v>
      </c>
      <c r="K1983" s="13">
        <f>Table134[[#This Row],[purchase_history]]/Table134[[#This Row],[number_of_purchases]]</f>
        <v>185.58500000000001</v>
      </c>
      <c r="L1983" s="2">
        <f>IF(YEAR(Table134[[#This Row],[Last_Day]])=2021,5,IF(YEAR(Table134[[#This Row],[Last_Day]])=2022,7,IF(YEAR(Table134[[#This Row],[Last_Day]])=2023,10,"Không xác định")))</f>
        <v>10</v>
      </c>
      <c r="M1983" s="15">
        <f>Table134[[#This Row],[avg_number_of_purchases]]*Table1345[[#This Row],[avg_purchase_value]]*Table1345[[#This Row],[expected_lifespan]]</f>
        <v>2858.1656118143464</v>
      </c>
      <c r="N1983" t="s">
        <v>12044</v>
      </c>
    </row>
    <row r="1984" spans="1:14" x14ac:dyDescent="0.3">
      <c r="A1984" s="2" t="s">
        <v>1982</v>
      </c>
      <c r="B1984" s="2" t="s">
        <v>12045</v>
      </c>
      <c r="C1984" s="2">
        <v>59</v>
      </c>
      <c r="D1984" s="2" t="s">
        <v>12041</v>
      </c>
      <c r="E1984" s="2">
        <f>COUNTIF(Table16[customer_id],Table13[[#This Row],[customer_id]])</f>
        <v>5</v>
      </c>
      <c r="F1984" s="13">
        <f>SUMIFS(Table16[Purchase_history],Table16[customer_id],Table13[[#This Row],[customer_id]])</f>
        <v>37121.03</v>
      </c>
      <c r="G1984" s="20">
        <v>44241</v>
      </c>
      <c r="H1984" s="21">
        <v>44989</v>
      </c>
      <c r="I1984" s="15">
        <f>(Table134[[#This Row],[Last_Day]]-Table134[[#This Row],[First_Day]]+1)/365</f>
        <v>2.0520547945205481</v>
      </c>
      <c r="J1984" s="59">
        <f>Table134[[#This Row],[number_of_purchases]]/Table134[[#This Row],[customer_total_years]]</f>
        <v>2.4365821094793056</v>
      </c>
      <c r="K1984" s="13">
        <f>Table134[[#This Row],[purchase_history]]/Table134[[#This Row],[number_of_purchases]]</f>
        <v>7424.2060000000001</v>
      </c>
      <c r="L1984" s="2">
        <f>IF(YEAR(Table134[[#This Row],[Last_Day]])=2021,5,IF(YEAR(Table134[[#This Row],[Last_Day]])=2022,7,IF(YEAR(Table134[[#This Row],[Last_Day]])=2023,10,"Không xác định")))</f>
        <v>10</v>
      </c>
      <c r="M1984" s="15">
        <f>Table134[[#This Row],[avg_number_of_purchases]]*Table1345[[#This Row],[avg_purchase_value]]*Table1345[[#This Row],[expected_lifespan]]</f>
        <v>180896.87516688919</v>
      </c>
      <c r="N1984" t="s">
        <v>12042</v>
      </c>
    </row>
    <row r="1985" spans="1:14" x14ac:dyDescent="0.3">
      <c r="A1985" s="2" t="s">
        <v>1983</v>
      </c>
      <c r="B1985" s="2" t="s">
        <v>12045</v>
      </c>
      <c r="C1985" s="2">
        <v>39</v>
      </c>
      <c r="D1985" s="2" t="s">
        <v>12041</v>
      </c>
      <c r="E1985" s="2">
        <f>COUNTIF(Table16[customer_id],Table13[[#This Row],[customer_id]])</f>
        <v>4</v>
      </c>
      <c r="F1985" s="13">
        <f>SUMIFS(Table16[Purchase_history],Table16[customer_id],Table13[[#This Row],[customer_id]])</f>
        <v>6045.09</v>
      </c>
      <c r="G1985" s="20">
        <v>44206</v>
      </c>
      <c r="H1985" s="21">
        <v>44952</v>
      </c>
      <c r="I1985" s="15">
        <f>(Table134[[#This Row],[Last_Day]]-Table134[[#This Row],[First_Day]]+1)/365</f>
        <v>2.0465753424657533</v>
      </c>
      <c r="J1985" s="59">
        <f>Table134[[#This Row],[number_of_purchases]]/Table134[[#This Row],[customer_total_years]]</f>
        <v>1.9544846050870148</v>
      </c>
      <c r="K1985" s="13">
        <f>Table134[[#This Row],[purchase_history]]/Table134[[#This Row],[number_of_purchases]]</f>
        <v>1511.2725</v>
      </c>
      <c r="L1985" s="2">
        <f>IF(YEAR(Table134[[#This Row],[Last_Day]])=2021,5,IF(YEAR(Table134[[#This Row],[Last_Day]])=2022,7,IF(YEAR(Table134[[#This Row],[Last_Day]])=2023,10,"Không xác định")))</f>
        <v>10</v>
      </c>
      <c r="M1985" s="15">
        <f>Table134[[#This Row],[avg_number_of_purchases]]*Table1345[[#This Row],[avg_purchase_value]]*Table1345[[#This Row],[expected_lifespan]]</f>
        <v>29537.588353413659</v>
      </c>
      <c r="N1985" t="s">
        <v>12048</v>
      </c>
    </row>
    <row r="1986" spans="1:14" x14ac:dyDescent="0.3">
      <c r="A1986" s="2" t="s">
        <v>1984</v>
      </c>
      <c r="B1986" s="2" t="s">
        <v>12040</v>
      </c>
      <c r="C1986" s="2">
        <v>63</v>
      </c>
      <c r="D1986" s="2" t="s">
        <v>12041</v>
      </c>
      <c r="E1986" s="2">
        <f>COUNTIF(Table16[customer_id],Table13[[#This Row],[customer_id]])</f>
        <v>2</v>
      </c>
      <c r="F1986" s="13">
        <f>SUMIFS(Table16[Purchase_history],Table16[customer_id],Table13[[#This Row],[customer_id]])</f>
        <v>4801.3599999999997</v>
      </c>
      <c r="G1986" s="20">
        <v>44700</v>
      </c>
      <c r="H1986" s="21">
        <v>44909</v>
      </c>
      <c r="I1986" s="15">
        <f>(Table134[[#This Row],[Last_Day]]-Table134[[#This Row],[First_Day]]+1)/365</f>
        <v>0.57534246575342463</v>
      </c>
      <c r="J1986" s="59">
        <f>Table134[[#This Row],[number_of_purchases]]/Table134[[#This Row],[customer_total_years]]</f>
        <v>3.4761904761904763</v>
      </c>
      <c r="K1986" s="13">
        <f>Table134[[#This Row],[purchase_history]]/Table134[[#This Row],[number_of_purchases]]</f>
        <v>2400.6799999999998</v>
      </c>
      <c r="L1986" s="2">
        <f>IF(YEAR(Table134[[#This Row],[Last_Day]])=2021,5,IF(YEAR(Table134[[#This Row],[Last_Day]])=2022,7,IF(YEAR(Table134[[#This Row],[Last_Day]])=2023,10,"Không xác định")))</f>
        <v>7</v>
      </c>
      <c r="M1986" s="15">
        <f>Table134[[#This Row],[avg_number_of_purchases]]*Table1345[[#This Row],[avg_purchase_value]]*Table1345[[#This Row],[expected_lifespan]]</f>
        <v>58416.546666666669</v>
      </c>
      <c r="N1986" t="s">
        <v>12047</v>
      </c>
    </row>
    <row r="1987" spans="1:14" x14ac:dyDescent="0.3">
      <c r="A1987" s="2" t="s">
        <v>1985</v>
      </c>
      <c r="B1987" s="2" t="s">
        <v>12045</v>
      </c>
      <c r="C1987" s="2">
        <v>68</v>
      </c>
      <c r="D1987" s="2" t="s">
        <v>12049</v>
      </c>
      <c r="E1987" s="2">
        <f>COUNTIF(Table16[customer_id],Table13[[#This Row],[customer_id]])</f>
        <v>6</v>
      </c>
      <c r="F1987" s="13">
        <f>SUMIFS(Table16[Purchase_history],Table16[customer_id],Table13[[#This Row],[customer_id]])</f>
        <v>15915.349999999999</v>
      </c>
      <c r="G1987" s="20">
        <v>44202</v>
      </c>
      <c r="H1987" s="21">
        <v>44359</v>
      </c>
      <c r="I1987" s="15">
        <f>(Table134[[#This Row],[Last_Day]]-Table134[[#This Row],[First_Day]]+1)/365</f>
        <v>0.43287671232876712</v>
      </c>
      <c r="J1987" s="59">
        <f>Table134[[#This Row],[number_of_purchases]]/Table134[[#This Row],[customer_total_years]]</f>
        <v>13.860759493670885</v>
      </c>
      <c r="K1987" s="13">
        <f>Table134[[#This Row],[purchase_history]]/Table134[[#This Row],[number_of_purchases]]</f>
        <v>2652.5583333333329</v>
      </c>
      <c r="L1987" s="2">
        <f>IF(YEAR(Table134[[#This Row],[Last_Day]])=2021,5,IF(YEAR(Table134[[#This Row],[Last_Day]])=2022,7,IF(YEAR(Table134[[#This Row],[Last_Day]])=2023,10,"Không xác định")))</f>
        <v>5</v>
      </c>
      <c r="M1987" s="15">
        <f>Table134[[#This Row],[avg_number_of_purchases]]*Table1345[[#This Row],[avg_purchase_value]]*Table1345[[#This Row],[expected_lifespan]]</f>
        <v>183832.36550632908</v>
      </c>
      <c r="N1987" t="s">
        <v>12046</v>
      </c>
    </row>
    <row r="1988" spans="1:14" x14ac:dyDescent="0.3">
      <c r="A1988" s="2" t="s">
        <v>1986</v>
      </c>
      <c r="B1988" s="2" t="s">
        <v>12040</v>
      </c>
      <c r="C1988" s="2">
        <v>41</v>
      </c>
      <c r="D1988" s="2" t="s">
        <v>12043</v>
      </c>
      <c r="E1988" s="2">
        <f>COUNTIF(Table16[customer_id],Table13[[#This Row],[customer_id]])</f>
        <v>9</v>
      </c>
      <c r="F1988" s="13">
        <f>SUMIFS(Table16[Purchase_history],Table16[customer_id],Table13[[#This Row],[customer_id]])</f>
        <v>23309.379999999997</v>
      </c>
      <c r="G1988" s="20">
        <v>44268</v>
      </c>
      <c r="H1988" s="21">
        <v>44990</v>
      </c>
      <c r="I1988" s="15">
        <f>(Table134[[#This Row],[Last_Day]]-Table134[[#This Row],[First_Day]]+1)/365</f>
        <v>1.9808219178082191</v>
      </c>
      <c r="J1988" s="59">
        <f>Table134[[#This Row],[number_of_purchases]]/Table134[[#This Row],[customer_total_years]]</f>
        <v>4.5435684647302903</v>
      </c>
      <c r="K1988" s="13">
        <f>Table134[[#This Row],[purchase_history]]/Table134[[#This Row],[number_of_purchases]]</f>
        <v>2589.931111111111</v>
      </c>
      <c r="L1988" s="2">
        <f>IF(YEAR(Table134[[#This Row],[Last_Day]])=2021,5,IF(YEAR(Table134[[#This Row],[Last_Day]])=2022,7,IF(YEAR(Table134[[#This Row],[Last_Day]])=2023,10,"Không xác định")))</f>
        <v>10</v>
      </c>
      <c r="M1988" s="15">
        <f>Table134[[#This Row],[avg_number_of_purchases]]*Table1345[[#This Row],[avg_purchase_value]]*Table1345[[#This Row],[expected_lifespan]]</f>
        <v>117675.29322268325</v>
      </c>
      <c r="N1988" t="s">
        <v>12048</v>
      </c>
    </row>
    <row r="1989" spans="1:14" x14ac:dyDescent="0.3">
      <c r="A1989" s="2" t="s">
        <v>1987</v>
      </c>
      <c r="B1989" s="2" t="s">
        <v>12040</v>
      </c>
      <c r="C1989" s="2">
        <v>66</v>
      </c>
      <c r="D1989" s="2" t="s">
        <v>12041</v>
      </c>
      <c r="E1989" s="2">
        <f>COUNTIF(Table16[customer_id],Table13[[#This Row],[customer_id]])</f>
        <v>6</v>
      </c>
      <c r="F1989" s="13">
        <f>SUMIFS(Table16[Purchase_history],Table16[customer_id],Table13[[#This Row],[customer_id]])</f>
        <v>28071.199999999997</v>
      </c>
      <c r="G1989" s="20">
        <v>44243</v>
      </c>
      <c r="H1989" s="21">
        <v>44918</v>
      </c>
      <c r="I1989" s="15">
        <f>(Table134[[#This Row],[Last_Day]]-Table134[[#This Row],[First_Day]]+1)/365</f>
        <v>1.8520547945205479</v>
      </c>
      <c r="J1989" s="59">
        <f>Table134[[#This Row],[number_of_purchases]]/Table134[[#This Row],[customer_total_years]]</f>
        <v>3.2396449704142012</v>
      </c>
      <c r="K1989" s="13">
        <f>Table134[[#This Row],[purchase_history]]/Table134[[#This Row],[number_of_purchases]]</f>
        <v>4678.5333333333328</v>
      </c>
      <c r="L1989" s="2">
        <f>IF(YEAR(Table134[[#This Row],[Last_Day]])=2021,5,IF(YEAR(Table134[[#This Row],[Last_Day]])=2022,7,IF(YEAR(Table134[[#This Row],[Last_Day]])=2023,10,"Không xác định")))</f>
        <v>7</v>
      </c>
      <c r="M1989" s="15">
        <f>Table134[[#This Row],[avg_number_of_purchases]]*Table1345[[#This Row],[avg_purchase_value]]*Table1345[[#This Row],[expected_lifespan]]</f>
        <v>106097.50887573963</v>
      </c>
      <c r="N1989" t="s">
        <v>12044</v>
      </c>
    </row>
    <row r="1990" spans="1:14" x14ac:dyDescent="0.3">
      <c r="A1990" s="2" t="s">
        <v>1988</v>
      </c>
      <c r="B1990" s="2" t="s">
        <v>12040</v>
      </c>
      <c r="C1990" s="2">
        <v>32</v>
      </c>
      <c r="D1990" s="2" t="s">
        <v>12041</v>
      </c>
      <c r="E1990" s="2">
        <f>COUNTIF(Table16[customer_id],Table13[[#This Row],[customer_id]])</f>
        <v>7</v>
      </c>
      <c r="F1990" s="13">
        <f>SUMIFS(Table16[Purchase_history],Table16[customer_id],Table13[[#This Row],[customer_id]])</f>
        <v>16511.14</v>
      </c>
      <c r="G1990" s="20">
        <v>44210</v>
      </c>
      <c r="H1990" s="21">
        <v>44905</v>
      </c>
      <c r="I1990" s="15">
        <f>(Table134[[#This Row],[Last_Day]]-Table134[[#This Row],[First_Day]]+1)/365</f>
        <v>1.9068493150684931</v>
      </c>
      <c r="J1990" s="59">
        <f>Table134[[#This Row],[number_of_purchases]]/Table134[[#This Row],[customer_total_years]]</f>
        <v>3.6709770114942528</v>
      </c>
      <c r="K1990" s="13">
        <f>Table134[[#This Row],[purchase_history]]/Table134[[#This Row],[number_of_purchases]]</f>
        <v>2358.7342857142858</v>
      </c>
      <c r="L1990" s="2">
        <f>IF(YEAR(Table134[[#This Row],[Last_Day]])=2021,5,IF(YEAR(Table134[[#This Row],[Last_Day]])=2022,7,IF(YEAR(Table134[[#This Row],[Last_Day]])=2023,10,"Không xác định")))</f>
        <v>7</v>
      </c>
      <c r="M1990" s="15">
        <f>Table134[[#This Row],[avg_number_of_purchases]]*Table1345[[#This Row],[avg_purchase_value]]*Table1345[[#This Row],[expected_lifespan]]</f>
        <v>60612.015373563219</v>
      </c>
      <c r="N1990" t="s">
        <v>12048</v>
      </c>
    </row>
    <row r="1991" spans="1:14" x14ac:dyDescent="0.3">
      <c r="A1991" s="2" t="s">
        <v>1989</v>
      </c>
      <c r="B1991" s="2" t="s">
        <v>12040</v>
      </c>
      <c r="C1991" s="2">
        <v>37</v>
      </c>
      <c r="D1991" s="2" t="s">
        <v>12043</v>
      </c>
      <c r="E1991" s="2">
        <f>COUNTIF(Table16[customer_id],Table13[[#This Row],[customer_id]])</f>
        <v>6</v>
      </c>
      <c r="F1991" s="13">
        <f>SUMIFS(Table16[Purchase_history],Table16[customer_id],Table13[[#This Row],[customer_id]])</f>
        <v>22474.379999999997</v>
      </c>
      <c r="G1991" s="20">
        <v>44216</v>
      </c>
      <c r="H1991" s="21">
        <v>44980</v>
      </c>
      <c r="I1991" s="15">
        <f>(Table134[[#This Row],[Last_Day]]-Table134[[#This Row],[First_Day]]+1)/365</f>
        <v>2.095890410958904</v>
      </c>
      <c r="J1991" s="59">
        <f>Table134[[#This Row],[number_of_purchases]]/Table134[[#This Row],[customer_total_years]]</f>
        <v>2.8627450980392157</v>
      </c>
      <c r="K1991" s="13">
        <f>Table134[[#This Row],[purchase_history]]/Table134[[#This Row],[number_of_purchases]]</f>
        <v>3745.7299999999996</v>
      </c>
      <c r="L1991" s="2">
        <f>IF(YEAR(Table134[[#This Row],[Last_Day]])=2021,5,IF(YEAR(Table134[[#This Row],[Last_Day]])=2022,7,IF(YEAR(Table134[[#This Row],[Last_Day]])=2023,10,"Không xác định")))</f>
        <v>10</v>
      </c>
      <c r="M1991" s="15">
        <f>Table134[[#This Row],[avg_number_of_purchases]]*Table1345[[#This Row],[avg_purchase_value]]*Table1345[[#This Row],[expected_lifespan]]</f>
        <v>107230.7019607843</v>
      </c>
      <c r="N1991" t="s">
        <v>12042</v>
      </c>
    </row>
    <row r="1992" spans="1:14" x14ac:dyDescent="0.3">
      <c r="A1992" s="2" t="s">
        <v>1990</v>
      </c>
      <c r="B1992" s="2" t="s">
        <v>12045</v>
      </c>
      <c r="C1992" s="2">
        <v>65</v>
      </c>
      <c r="D1992" s="2" t="s">
        <v>12049</v>
      </c>
      <c r="E1992" s="2">
        <f>COUNTIF(Table16[customer_id],Table13[[#This Row],[customer_id]])</f>
        <v>2</v>
      </c>
      <c r="F1992" s="13">
        <f>SUMIFS(Table16[Purchase_history],Table16[customer_id],Table13[[#This Row],[customer_id]])</f>
        <v>4861.88</v>
      </c>
      <c r="G1992" s="20">
        <v>44617</v>
      </c>
      <c r="H1992" s="21">
        <v>44948</v>
      </c>
      <c r="I1992" s="15">
        <f>(Table134[[#This Row],[Last_Day]]-Table134[[#This Row],[First_Day]]+1)/365</f>
        <v>0.90958904109589045</v>
      </c>
      <c r="J1992" s="59">
        <f>Table134[[#This Row],[number_of_purchases]]/Table134[[#This Row],[customer_total_years]]</f>
        <v>2.1987951807228914</v>
      </c>
      <c r="K1992" s="13">
        <f>Table134[[#This Row],[purchase_history]]/Table134[[#This Row],[number_of_purchases]]</f>
        <v>2430.94</v>
      </c>
      <c r="L1992" s="2">
        <f>IF(YEAR(Table134[[#This Row],[Last_Day]])=2021,5,IF(YEAR(Table134[[#This Row],[Last_Day]])=2022,7,IF(YEAR(Table134[[#This Row],[Last_Day]])=2023,10,"Không xác định")))</f>
        <v>10</v>
      </c>
      <c r="M1992" s="15">
        <f>Table134[[#This Row],[avg_number_of_purchases]]*Table1345[[#This Row],[avg_purchase_value]]*Table1345[[#This Row],[expected_lifespan]]</f>
        <v>53451.391566265054</v>
      </c>
      <c r="N1992" t="s">
        <v>12047</v>
      </c>
    </row>
    <row r="1993" spans="1:14" x14ac:dyDescent="0.3">
      <c r="A1993" s="2" t="s">
        <v>1991</v>
      </c>
      <c r="B1993" s="2" t="s">
        <v>12040</v>
      </c>
      <c r="C1993" s="2">
        <v>22</v>
      </c>
      <c r="D1993" s="2" t="s">
        <v>12049</v>
      </c>
      <c r="E1993" s="2">
        <f>COUNTIF(Table16[customer_id],Table13[[#This Row],[customer_id]])</f>
        <v>3</v>
      </c>
      <c r="F1993" s="13">
        <f>SUMIFS(Table16[Purchase_history],Table16[customer_id],Table13[[#This Row],[customer_id]])</f>
        <v>1629.92</v>
      </c>
      <c r="G1993" s="20">
        <v>44350</v>
      </c>
      <c r="H1993" s="21">
        <v>44910</v>
      </c>
      <c r="I1993" s="15">
        <f>(Table134[[#This Row],[Last_Day]]-Table134[[#This Row],[First_Day]]+1)/365</f>
        <v>1.536986301369863</v>
      </c>
      <c r="J1993" s="59">
        <f>Table134[[#This Row],[number_of_purchases]]/Table134[[#This Row],[customer_total_years]]</f>
        <v>1.9518716577540107</v>
      </c>
      <c r="K1993" s="13">
        <f>Table134[[#This Row],[purchase_history]]/Table134[[#This Row],[number_of_purchases]]</f>
        <v>543.30666666666673</v>
      </c>
      <c r="L1993" s="2">
        <f>IF(YEAR(Table134[[#This Row],[Last_Day]])=2021,5,IF(YEAR(Table134[[#This Row],[Last_Day]])=2022,7,IF(YEAR(Table134[[#This Row],[Last_Day]])=2023,10,"Không xác định")))</f>
        <v>7</v>
      </c>
      <c r="M1993" s="15">
        <f>Table134[[#This Row],[avg_number_of_purchases]]*Table1345[[#This Row],[avg_purchase_value]]*Table1345[[#This Row],[expected_lifespan]]</f>
        <v>7423.2541889483073</v>
      </c>
      <c r="N1993" t="s">
        <v>12048</v>
      </c>
    </row>
    <row r="1994" spans="1:14" x14ac:dyDescent="0.3">
      <c r="A1994" s="2" t="s">
        <v>1992</v>
      </c>
      <c r="B1994" s="2" t="s">
        <v>12040</v>
      </c>
      <c r="C1994" s="2">
        <v>62</v>
      </c>
      <c r="D1994" s="2" t="s">
        <v>12041</v>
      </c>
      <c r="E1994" s="2">
        <f>COUNTIF(Table16[customer_id],Table13[[#This Row],[customer_id]])</f>
        <v>6</v>
      </c>
      <c r="F1994" s="13">
        <f>SUMIFS(Table16[Purchase_history],Table16[customer_id],Table13[[#This Row],[customer_id]])</f>
        <v>9464.24</v>
      </c>
      <c r="G1994" s="20">
        <v>44350</v>
      </c>
      <c r="H1994" s="21">
        <v>44895</v>
      </c>
      <c r="I1994" s="15">
        <f>(Table134[[#This Row],[Last_Day]]-Table134[[#This Row],[First_Day]]+1)/365</f>
        <v>1.4958904109589042</v>
      </c>
      <c r="J1994" s="59">
        <f>Table134[[#This Row],[number_of_purchases]]/Table134[[#This Row],[customer_total_years]]</f>
        <v>4.0109890109890109</v>
      </c>
      <c r="K1994" s="13">
        <f>Table134[[#This Row],[purchase_history]]/Table134[[#This Row],[number_of_purchases]]</f>
        <v>1577.3733333333332</v>
      </c>
      <c r="L1994" s="2">
        <f>IF(YEAR(Table134[[#This Row],[Last_Day]])=2021,5,IF(YEAR(Table134[[#This Row],[Last_Day]])=2022,7,IF(YEAR(Table134[[#This Row],[Last_Day]])=2023,10,"Không xác định")))</f>
        <v>7</v>
      </c>
      <c r="M1994" s="15">
        <f>Table134[[#This Row],[avg_number_of_purchases]]*Table1345[[#This Row],[avg_purchase_value]]*Table1345[[#This Row],[expected_lifespan]]</f>
        <v>44287.789743589739</v>
      </c>
      <c r="N1994" t="s">
        <v>12044</v>
      </c>
    </row>
    <row r="1995" spans="1:14" x14ac:dyDescent="0.3">
      <c r="A1995" s="2" t="s">
        <v>1993</v>
      </c>
      <c r="B1995" s="2" t="s">
        <v>12045</v>
      </c>
      <c r="C1995" s="2">
        <v>66</v>
      </c>
      <c r="D1995" s="2" t="s">
        <v>12043</v>
      </c>
      <c r="E1995" s="2">
        <f>COUNTIF(Table16[customer_id],Table13[[#This Row],[customer_id]])</f>
        <v>3</v>
      </c>
      <c r="F1995" s="13">
        <f>SUMIFS(Table16[Purchase_history],Table16[customer_id],Table13[[#This Row],[customer_id]])</f>
        <v>13282.279999999999</v>
      </c>
      <c r="G1995" s="20">
        <v>44439</v>
      </c>
      <c r="H1995" s="21">
        <v>44901</v>
      </c>
      <c r="I1995" s="15">
        <f>(Table134[[#This Row],[Last_Day]]-Table134[[#This Row],[First_Day]]+1)/365</f>
        <v>1.2684931506849315</v>
      </c>
      <c r="J1995" s="59">
        <f>Table134[[#This Row],[number_of_purchases]]/Table134[[#This Row],[customer_total_years]]</f>
        <v>2.3650107991360692</v>
      </c>
      <c r="K1995" s="13">
        <f>Table134[[#This Row],[purchase_history]]/Table134[[#This Row],[number_of_purchases]]</f>
        <v>4427.4266666666663</v>
      </c>
      <c r="L1995" s="2">
        <f>IF(YEAR(Table134[[#This Row],[Last_Day]])=2021,5,IF(YEAR(Table134[[#This Row],[Last_Day]])=2022,7,IF(YEAR(Table134[[#This Row],[Last_Day]])=2023,10,"Không xác định")))</f>
        <v>7</v>
      </c>
      <c r="M1995" s="15">
        <f>Table134[[#This Row],[avg_number_of_purchases]]*Table1345[[#This Row],[avg_purchase_value]]*Table1345[[#This Row],[expected_lifespan]]</f>
        <v>73296.383153347735</v>
      </c>
      <c r="N1995" t="s">
        <v>12042</v>
      </c>
    </row>
    <row r="1996" spans="1:14" x14ac:dyDescent="0.3">
      <c r="A1996" s="2" t="s">
        <v>1994</v>
      </c>
      <c r="B1996" s="2" t="s">
        <v>12040</v>
      </c>
      <c r="C1996" s="2">
        <v>38</v>
      </c>
      <c r="D1996" s="2" t="s">
        <v>12049</v>
      </c>
      <c r="E1996" s="2">
        <f>COUNTIF(Table16[customer_id],Table13[[#This Row],[customer_id]])</f>
        <v>3</v>
      </c>
      <c r="F1996" s="13">
        <f>SUMIFS(Table16[Purchase_history],Table16[customer_id],Table13[[#This Row],[customer_id]])</f>
        <v>5544.8099999999995</v>
      </c>
      <c r="G1996" s="20">
        <v>44849</v>
      </c>
      <c r="H1996" s="21">
        <v>44992</v>
      </c>
      <c r="I1996" s="15">
        <f>(Table134[[#This Row],[Last_Day]]-Table134[[#This Row],[First_Day]]+1)/365</f>
        <v>0.39452054794520547</v>
      </c>
      <c r="J1996" s="59">
        <f>Table134[[#This Row],[number_of_purchases]]/Table134[[#This Row],[customer_total_years]]</f>
        <v>7.604166666666667</v>
      </c>
      <c r="K1996" s="13">
        <f>Table134[[#This Row],[purchase_history]]/Table134[[#This Row],[number_of_purchases]]</f>
        <v>1848.2699999999998</v>
      </c>
      <c r="L1996" s="2">
        <f>IF(YEAR(Table134[[#This Row],[Last_Day]])=2021,5,IF(YEAR(Table134[[#This Row],[Last_Day]])=2022,7,IF(YEAR(Table134[[#This Row],[Last_Day]])=2023,10,"Không xác định")))</f>
        <v>10</v>
      </c>
      <c r="M1996" s="15">
        <f>Table134[[#This Row],[avg_number_of_purchases]]*Table1345[[#This Row],[avg_purchase_value]]*Table1345[[#This Row],[expected_lifespan]]</f>
        <v>140545.53125</v>
      </c>
      <c r="N1996" t="s">
        <v>12047</v>
      </c>
    </row>
    <row r="1997" spans="1:14" x14ac:dyDescent="0.3">
      <c r="A1997" s="2" t="s">
        <v>1995</v>
      </c>
      <c r="B1997" s="2" t="s">
        <v>12045</v>
      </c>
      <c r="C1997" s="2">
        <v>65</v>
      </c>
      <c r="D1997" s="2" t="s">
        <v>12043</v>
      </c>
      <c r="E1997" s="2">
        <f>COUNTIF(Table16[customer_id],Table13[[#This Row],[customer_id]])</f>
        <v>5</v>
      </c>
      <c r="F1997" s="13">
        <f>SUMIFS(Table16[Purchase_history],Table16[customer_id],Table13[[#This Row],[customer_id]])</f>
        <v>17725.8</v>
      </c>
      <c r="G1997" s="20">
        <v>44374</v>
      </c>
      <c r="H1997" s="21">
        <v>44850</v>
      </c>
      <c r="I1997" s="15">
        <f>(Table134[[#This Row],[Last_Day]]-Table134[[#This Row],[First_Day]]+1)/365</f>
        <v>1.3068493150684932</v>
      </c>
      <c r="J1997" s="59">
        <f>Table134[[#This Row],[number_of_purchases]]/Table134[[#This Row],[customer_total_years]]</f>
        <v>3.8259958071278826</v>
      </c>
      <c r="K1997" s="13">
        <f>Table134[[#This Row],[purchase_history]]/Table134[[#This Row],[number_of_purchases]]</f>
        <v>3545.16</v>
      </c>
      <c r="L1997" s="2">
        <f>IF(YEAR(Table134[[#This Row],[Last_Day]])=2021,5,IF(YEAR(Table134[[#This Row],[Last_Day]])=2022,7,IF(YEAR(Table134[[#This Row],[Last_Day]])=2023,10,"Không xác định")))</f>
        <v>7</v>
      </c>
      <c r="M1997" s="15">
        <f>Table134[[#This Row],[avg_number_of_purchases]]*Table1345[[#This Row],[avg_purchase_value]]*Table1345[[#This Row],[expected_lifespan]]</f>
        <v>94946.37106918238</v>
      </c>
      <c r="N1997" t="s">
        <v>12047</v>
      </c>
    </row>
    <row r="1998" spans="1:14" x14ac:dyDescent="0.3">
      <c r="A1998" s="2" t="s">
        <v>1996</v>
      </c>
      <c r="B1998" s="2" t="s">
        <v>12040</v>
      </c>
      <c r="C1998" s="2">
        <v>30</v>
      </c>
      <c r="D1998" s="2" t="s">
        <v>12049</v>
      </c>
      <c r="E1998" s="2">
        <f>COUNTIF(Table16[customer_id],Table13[[#This Row],[customer_id]])</f>
        <v>6</v>
      </c>
      <c r="F1998" s="13">
        <f>SUMIFS(Table16[Purchase_history],Table16[customer_id],Table13[[#This Row],[customer_id]])</f>
        <v>6486.8799999999992</v>
      </c>
      <c r="G1998" s="20">
        <v>44240</v>
      </c>
      <c r="H1998" s="21">
        <v>44870</v>
      </c>
      <c r="I1998" s="15">
        <f>(Table134[[#This Row],[Last_Day]]-Table134[[#This Row],[First_Day]]+1)/365</f>
        <v>1.7287671232876711</v>
      </c>
      <c r="J1998" s="59">
        <f>Table134[[#This Row],[number_of_purchases]]/Table134[[#This Row],[customer_total_years]]</f>
        <v>3.47068145800317</v>
      </c>
      <c r="K1998" s="13">
        <f>Table134[[#This Row],[purchase_history]]/Table134[[#This Row],[number_of_purchases]]</f>
        <v>1081.1466666666665</v>
      </c>
      <c r="L1998" s="2">
        <f>IF(YEAR(Table134[[#This Row],[Last_Day]])=2021,5,IF(YEAR(Table134[[#This Row],[Last_Day]])=2022,7,IF(YEAR(Table134[[#This Row],[Last_Day]])=2023,10,"Không xác định")))</f>
        <v>7</v>
      </c>
      <c r="M1998" s="15">
        <f>Table134[[#This Row],[avg_number_of_purchases]]*Table1345[[#This Row],[avg_purchase_value]]*Table1345[[#This Row],[expected_lifespan]]</f>
        <v>26266.209825673533</v>
      </c>
      <c r="N1998" t="s">
        <v>12048</v>
      </c>
    </row>
    <row r="1999" spans="1:14" x14ac:dyDescent="0.3">
      <c r="A1999" s="2" t="s">
        <v>1997</v>
      </c>
      <c r="B1999" s="2" t="s">
        <v>12045</v>
      </c>
      <c r="C1999" s="2">
        <v>35</v>
      </c>
      <c r="D1999" s="2" t="s">
        <v>12049</v>
      </c>
      <c r="E1999" s="2">
        <f>COUNTIF(Table16[customer_id],Table13[[#This Row],[customer_id]])</f>
        <v>3</v>
      </c>
      <c r="F1999" s="13">
        <f>SUMIFS(Table16[Purchase_history],Table16[customer_id],Table13[[#This Row],[customer_id]])</f>
        <v>15701.88</v>
      </c>
      <c r="G1999" s="20">
        <v>44346</v>
      </c>
      <c r="H1999" s="21">
        <v>44735</v>
      </c>
      <c r="I1999" s="15">
        <f>(Table134[[#This Row],[Last_Day]]-Table134[[#This Row],[First_Day]]+1)/365</f>
        <v>1.0684931506849316</v>
      </c>
      <c r="J1999" s="59">
        <f>Table134[[#This Row],[number_of_purchases]]/Table134[[#This Row],[customer_total_years]]</f>
        <v>2.8076923076923075</v>
      </c>
      <c r="K1999" s="13">
        <f>Table134[[#This Row],[purchase_history]]/Table134[[#This Row],[number_of_purchases]]</f>
        <v>5233.96</v>
      </c>
      <c r="L1999" s="2">
        <f>IF(YEAR(Table134[[#This Row],[Last_Day]])=2021,5,IF(YEAR(Table134[[#This Row],[Last_Day]])=2022,7,IF(YEAR(Table134[[#This Row],[Last_Day]])=2023,10,"Không xác định")))</f>
        <v>7</v>
      </c>
      <c r="M1999" s="15">
        <f>Table134[[#This Row],[avg_number_of_purchases]]*Table1345[[#This Row],[avg_purchase_value]]*Table1345[[#This Row],[expected_lifespan]]</f>
        <v>102867.44461538461</v>
      </c>
      <c r="N1999" t="s">
        <v>12048</v>
      </c>
    </row>
    <row r="2000" spans="1:14" x14ac:dyDescent="0.3">
      <c r="A2000" s="2" t="s">
        <v>1998</v>
      </c>
      <c r="B2000" s="2" t="s">
        <v>12040</v>
      </c>
      <c r="C2000" s="2">
        <v>59</v>
      </c>
      <c r="D2000" s="2" t="s">
        <v>12043</v>
      </c>
      <c r="E2000" s="2">
        <f>COUNTIF(Table16[customer_id],Table13[[#This Row],[customer_id]])</f>
        <v>8</v>
      </c>
      <c r="F2000" s="13">
        <f>SUMIFS(Table16[Purchase_history],Table16[customer_id],Table13[[#This Row],[customer_id]])</f>
        <v>29266.379999999997</v>
      </c>
      <c r="G2000" s="20">
        <v>44346</v>
      </c>
      <c r="H2000" s="21">
        <v>44872</v>
      </c>
      <c r="I2000" s="15">
        <f>(Table134[[#This Row],[Last_Day]]-Table134[[#This Row],[First_Day]]+1)/365</f>
        <v>1.4438356164383561</v>
      </c>
      <c r="J2000" s="59">
        <f>Table134[[#This Row],[number_of_purchases]]/Table134[[#This Row],[customer_total_years]]</f>
        <v>5.5407969639468693</v>
      </c>
      <c r="K2000" s="13">
        <f>Table134[[#This Row],[purchase_history]]/Table134[[#This Row],[number_of_purchases]]</f>
        <v>3658.2974999999997</v>
      </c>
      <c r="L2000" s="2">
        <f>IF(YEAR(Table134[[#This Row],[Last_Day]])=2021,5,IF(YEAR(Table134[[#This Row],[Last_Day]])=2022,7,IF(YEAR(Table134[[#This Row],[Last_Day]])=2023,10,"Không xác định")))</f>
        <v>7</v>
      </c>
      <c r="M2000" s="15">
        <f>Table134[[#This Row],[avg_number_of_purchases]]*Table1345[[#This Row],[avg_purchase_value]]*Table1345[[#This Row],[expected_lifespan]]</f>
        <v>141889.18576850096</v>
      </c>
      <c r="N2000" t="s">
        <v>12048</v>
      </c>
    </row>
    <row r="2001" spans="1:14" x14ac:dyDescent="0.3">
      <c r="A2001" s="2" t="s">
        <v>1999</v>
      </c>
      <c r="B2001" s="2" t="s">
        <v>12045</v>
      </c>
      <c r="C2001" s="2">
        <v>58</v>
      </c>
      <c r="D2001" s="2" t="s">
        <v>12041</v>
      </c>
      <c r="E2001" s="2">
        <f>COUNTIF(Table16[customer_id],Table13[[#This Row],[customer_id]])</f>
        <v>7</v>
      </c>
      <c r="F2001" s="13">
        <f>SUMIFS(Table16[Purchase_history],Table16[customer_id],Table13[[#This Row],[customer_id]])</f>
        <v>14809.490000000002</v>
      </c>
      <c r="G2001" s="20">
        <v>44222</v>
      </c>
      <c r="H2001" s="21">
        <v>44950</v>
      </c>
      <c r="I2001" s="15">
        <f>(Table134[[#This Row],[Last_Day]]-Table134[[#This Row],[First_Day]]+1)/365</f>
        <v>1.9972602739726026</v>
      </c>
      <c r="J2001" s="59">
        <f>Table134[[#This Row],[number_of_purchases]]/Table134[[#This Row],[customer_total_years]]</f>
        <v>3.5048010973936901</v>
      </c>
      <c r="K2001" s="13">
        <f>Table134[[#This Row],[purchase_history]]/Table134[[#This Row],[number_of_purchases]]</f>
        <v>2115.6414285714286</v>
      </c>
      <c r="L2001" s="2">
        <f>IF(YEAR(Table134[[#This Row],[Last_Day]])=2021,5,IF(YEAR(Table134[[#This Row],[Last_Day]])=2022,7,IF(YEAR(Table134[[#This Row],[Last_Day]])=2023,10,"Không xác định")))</f>
        <v>10</v>
      </c>
      <c r="M2001" s="15">
        <f>Table134[[#This Row],[avg_number_of_purchases]]*Table1345[[#This Row],[avg_purchase_value]]*Table1345[[#This Row],[expected_lifespan]]</f>
        <v>74149.024005486979</v>
      </c>
      <c r="N2001" t="s">
        <v>12042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88EDA-E813-4E0E-9BFD-7507799F03C7}">
  <dimension ref="A1:E41"/>
  <sheetViews>
    <sheetView zoomScale="92" workbookViewId="0">
      <selection activeCell="C2" sqref="C2"/>
    </sheetView>
  </sheetViews>
  <sheetFormatPr defaultRowHeight="14.4" x14ac:dyDescent="0.3"/>
  <cols>
    <col min="2" max="2" width="13.44140625" style="18" customWidth="1"/>
    <col min="3" max="3" width="16" style="18" customWidth="1"/>
    <col min="4" max="4" width="12.33203125" style="30" customWidth="1"/>
    <col min="5" max="5" width="11.5546875" style="18" customWidth="1"/>
  </cols>
  <sheetData>
    <row r="1" spans="1:5" x14ac:dyDescent="0.3">
      <c r="A1" s="28"/>
      <c r="B1" s="22" t="s">
        <v>12050</v>
      </c>
      <c r="C1" s="22" t="s">
        <v>12051</v>
      </c>
      <c r="D1" s="29" t="s">
        <v>12052</v>
      </c>
      <c r="E1" s="22" t="s">
        <v>12053</v>
      </c>
    </row>
    <row r="2" spans="1:5" x14ac:dyDescent="0.3">
      <c r="A2" s="61">
        <v>2021</v>
      </c>
      <c r="B2" s="23"/>
      <c r="C2" s="23"/>
      <c r="D2" s="32"/>
      <c r="E2" s="24"/>
    </row>
    <row r="3" spans="1:5" x14ac:dyDescent="0.3">
      <c r="A3" s="62"/>
      <c r="B3" s="48">
        <v>44228</v>
      </c>
      <c r="C3" s="23">
        <f>COUNTIFS(CUSTOMER!H:H,"&lt;="&amp;"2021-02-28",CUSTOMER!H:H,"&gt;="&amp;"2021-02-01")</f>
        <v>2</v>
      </c>
      <c r="D3" s="32">
        <f>COUNTIFS(CUSTOMER!G:G,"&gt;="&amp;"2021-02-01",CUSTOMER!G:G,"&lt;="&amp;"2021-02-28")</f>
        <v>245</v>
      </c>
      <c r="E3" s="24">
        <f>(C3/D3)*100%</f>
        <v>8.1632653061224497E-3</v>
      </c>
    </row>
    <row r="4" spans="1:5" x14ac:dyDescent="0.3">
      <c r="A4" s="62"/>
      <c r="B4" s="48">
        <v>44256</v>
      </c>
      <c r="C4" s="23">
        <f>COUNTIFS(CUSTOMER!H:H,"&lt;="&amp;"2021-03-31",CUSTOMER!H:H,"&gt;="&amp;"2021-03-01")</f>
        <v>1</v>
      </c>
      <c r="D4" s="32">
        <f>COUNTIFS(CUSTOMER!G:G,"&gt;="&amp;"2021-03-01",CUSTOMER!G:G,"&lt;="&amp;"2021-03-31")</f>
        <v>252</v>
      </c>
      <c r="E4" s="24">
        <f t="shared" ref="E4:E27" si="0">(C4/D4)*100%</f>
        <v>3.968253968253968E-3</v>
      </c>
    </row>
    <row r="5" spans="1:5" x14ac:dyDescent="0.3">
      <c r="A5" s="62"/>
      <c r="B5" s="48">
        <v>44287</v>
      </c>
      <c r="C5" s="23">
        <f>COUNTIFS(CUSTOMER!H:H,"&lt;="&amp;"2021-04-30",CUSTOMER!H:H,"&gt;="&amp;"2021-04-01")</f>
        <v>3</v>
      </c>
      <c r="D5" s="32">
        <f>COUNTIFS(CUSTOMER!G:G,"&gt;="&amp;"2021-04-01",CUSTOMER!G:G,"&lt;="&amp;"2021-04-30")</f>
        <v>216</v>
      </c>
      <c r="E5" s="24">
        <f t="shared" si="0"/>
        <v>1.3888888888888888E-2</v>
      </c>
    </row>
    <row r="6" spans="1:5" x14ac:dyDescent="0.3">
      <c r="A6" s="62"/>
      <c r="B6" s="48">
        <v>44317</v>
      </c>
      <c r="C6" s="23">
        <f>COUNTIFS(CUSTOMER!H:H,"&lt;="&amp;"2021-05-31",CUSTOMER!H:H,"&gt;="&amp;"2021-05-01")</f>
        <v>2</v>
      </c>
      <c r="D6" s="32">
        <f>COUNTIFS(CUSTOMER!G:G,"&gt;="&amp;"2021-05-01",CUSTOMER!G:G,"&lt;="&amp;"2021-05-31")</f>
        <v>160</v>
      </c>
      <c r="E6" s="24">
        <f t="shared" si="0"/>
        <v>1.2500000000000001E-2</v>
      </c>
    </row>
    <row r="7" spans="1:5" x14ac:dyDescent="0.3">
      <c r="A7" s="62"/>
      <c r="B7" s="48">
        <v>44348</v>
      </c>
      <c r="C7" s="23">
        <f>COUNTIFS(CUSTOMER!H:H,"&lt;="&amp;"2021-06-30",CUSTOMER!H:H,"&gt;="&amp;"2021-06-01")</f>
        <v>11</v>
      </c>
      <c r="D7" s="32">
        <f>COUNTIFS(CUSTOMER!G:G,"&gt;="&amp;"2021-06-01",CUSTOMER!G:G,"&lt;="&amp;"2021-06-30")</f>
        <v>154</v>
      </c>
      <c r="E7" s="24">
        <f t="shared" si="0"/>
        <v>7.1428571428571425E-2</v>
      </c>
    </row>
    <row r="8" spans="1:5" x14ac:dyDescent="0.3">
      <c r="A8" s="62"/>
      <c r="B8" s="48">
        <v>44378</v>
      </c>
      <c r="C8" s="23">
        <f>COUNTIFS(CUSTOMER!H:H,"&lt;="&amp;"2021-07-31",CUSTOMER!H:H,"&gt;="&amp;"2021-07-01")</f>
        <v>9</v>
      </c>
      <c r="D8" s="32">
        <f>COUNTIFS(CUSTOMER!G:G,"&gt;="&amp;"2021-07-01",CUSTOMER!G:G,"&lt;="&amp;"2021-07-31")</f>
        <v>123</v>
      </c>
      <c r="E8" s="24">
        <f t="shared" si="0"/>
        <v>7.3170731707317069E-2</v>
      </c>
    </row>
    <row r="9" spans="1:5" x14ac:dyDescent="0.3">
      <c r="A9" s="62"/>
      <c r="B9" s="48">
        <v>44409</v>
      </c>
      <c r="C9" s="23">
        <f>COUNTIFS(CUSTOMER!H:H,"&lt;="&amp;"2021-08-31",CUSTOMER!H:H,"&gt;="&amp;"2021-08-01")</f>
        <v>9</v>
      </c>
      <c r="D9" s="32">
        <f>COUNTIFS(CUSTOMER!G:G,"&gt;="&amp;"2021-08-01",CUSTOMER!G:G,"&lt;="&amp;"2021-08-31")</f>
        <v>93</v>
      </c>
      <c r="E9" s="24">
        <f t="shared" si="0"/>
        <v>9.6774193548387094E-2</v>
      </c>
    </row>
    <row r="10" spans="1:5" x14ac:dyDescent="0.3">
      <c r="A10" s="62"/>
      <c r="B10" s="48">
        <v>44440</v>
      </c>
      <c r="C10" s="23">
        <f>COUNTIFS(CUSTOMER!H:H,"&lt;="&amp;"2021-09-30",CUSTOMER!H:H,"&gt;="&amp;"2021-09-01")</f>
        <v>10</v>
      </c>
      <c r="D10" s="32">
        <f>COUNTIFS(CUSTOMER!G:G,"&gt;="&amp;"2021-09-01",CUSTOMER!G:G,"&lt;="&amp;"2021-09-30")</f>
        <v>90</v>
      </c>
      <c r="E10" s="24">
        <f t="shared" si="0"/>
        <v>0.1111111111111111</v>
      </c>
    </row>
    <row r="11" spans="1:5" x14ac:dyDescent="0.3">
      <c r="A11" s="62"/>
      <c r="B11" s="48">
        <v>44470</v>
      </c>
      <c r="C11" s="23">
        <f>COUNTIFS(CUSTOMER!H:H,"&lt;="&amp;"2021-10-31",CUSTOMER!H:H,"&gt;="&amp;"2021-10-01")</f>
        <v>16</v>
      </c>
      <c r="D11" s="32">
        <f>COUNTIFS(CUSTOMER!G:G,"&gt;="&amp;"2021-10-01",CUSTOMER!G:G,"&lt;="&amp;"2021-10-31")</f>
        <v>71</v>
      </c>
      <c r="E11" s="24">
        <f t="shared" si="0"/>
        <v>0.22535211267605634</v>
      </c>
    </row>
    <row r="12" spans="1:5" x14ac:dyDescent="0.3">
      <c r="A12" s="62"/>
      <c r="B12" s="48">
        <v>44501</v>
      </c>
      <c r="C12" s="23">
        <f>COUNTIFS(CUSTOMER!H:H,"&lt;="&amp;"2021-11-30",CUSTOMER!H:H,"&gt;="&amp;"2021-11-01")</f>
        <v>19</v>
      </c>
      <c r="D12" s="32">
        <f>COUNTIFS(CUSTOMER!G:G,"&gt;="&amp;"2021-11-01",CUSTOMER!G:G,"&lt;="&amp;"2021-11-30")</f>
        <v>50</v>
      </c>
      <c r="E12" s="24">
        <f t="shared" si="0"/>
        <v>0.38</v>
      </c>
    </row>
    <row r="13" spans="1:5" x14ac:dyDescent="0.3">
      <c r="A13" s="63"/>
      <c r="B13" s="48">
        <v>44531</v>
      </c>
      <c r="C13" s="23">
        <f>COUNTIFS(CUSTOMER!H:H,"&lt;="&amp;"2021-12-31",CUSTOMER!H:H,"&gt;="&amp;"2021-12-01")</f>
        <v>22</v>
      </c>
      <c r="D13" s="32">
        <f>COUNTIFS(CUSTOMER!G:G,"&gt;="&amp;"2021-12-01",CUSTOMER!G:G,"&lt;="&amp;"2021-12-31")</f>
        <v>41</v>
      </c>
      <c r="E13" s="24">
        <f t="shared" si="0"/>
        <v>0.53658536585365857</v>
      </c>
    </row>
    <row r="14" spans="1:5" x14ac:dyDescent="0.3">
      <c r="A14" s="64">
        <v>2022</v>
      </c>
      <c r="B14" s="49">
        <v>44562</v>
      </c>
      <c r="C14" s="33">
        <f>COUNTIFS(CUSTOMER!H:H,"&lt;="&amp;"2022-01-31",CUSTOMER!H:H,"&gt;="&amp;"2022-1-1")</f>
        <v>24</v>
      </c>
      <c r="D14" s="34">
        <f>COUNTIFS(CUSTOMER!G:G,"&lt;="&amp;"2022-01-31",CUSTOMER!H:H,"&gt;="&amp;"2022-01-31")</f>
        <v>1731</v>
      </c>
      <c r="E14" s="35">
        <f t="shared" si="0"/>
        <v>1.3864818024263431E-2</v>
      </c>
    </row>
    <row r="15" spans="1:5" x14ac:dyDescent="0.3">
      <c r="A15" s="65"/>
      <c r="B15" s="49">
        <v>44593</v>
      </c>
      <c r="C15" s="33">
        <f>COUNTIFS(CUSTOMER!H:H,"&lt;="&amp;"2022-02-28",CUSTOMER!H:H,"&gt;="&amp;"2022-02-01")</f>
        <v>39</v>
      </c>
      <c r="D15" s="34">
        <f>COUNTIFS(CUSTOMER!G:G,"&lt;="&amp;"2022-02-28",CUSTOMER!H:H,"&gt;="&amp;"2022-02-28")</f>
        <v>1728</v>
      </c>
      <c r="E15" s="35">
        <f t="shared" si="0"/>
        <v>2.2569444444444444E-2</v>
      </c>
    </row>
    <row r="16" spans="1:5" x14ac:dyDescent="0.3">
      <c r="A16" s="65"/>
      <c r="B16" s="49">
        <v>44621</v>
      </c>
      <c r="C16" s="33">
        <f>COUNTIFS(CUSTOMER!H:H,"&lt;="&amp;"2022-03-31",CUSTOMER!H:H,"&gt;="&amp;"2022-03-01")</f>
        <v>39</v>
      </c>
      <c r="D16" s="34">
        <f>COUNTIFS(CUSTOMER!G:G,"&lt;="&amp;"2022-03-31",CUSTOMER!H:H,"&gt;="&amp;"2022-03-31")</f>
        <v>1707</v>
      </c>
      <c r="E16" s="35">
        <f t="shared" si="0"/>
        <v>2.2847100175746926E-2</v>
      </c>
    </row>
    <row r="17" spans="1:5" x14ac:dyDescent="0.3">
      <c r="A17" s="65"/>
      <c r="B17" s="49">
        <v>44652</v>
      </c>
      <c r="C17" s="33">
        <f>COUNTIFS(CUSTOMER!H:H,"&lt;="&amp;"2022-04-30",CUSTOMER!H:H,"&gt;="&amp;"2022-04-01")</f>
        <v>46</v>
      </c>
      <c r="D17" s="34">
        <f>COUNTIFS(CUSTOMER!G:G,"&lt;="&amp;"2022-04-30",CUSTOMER!H:H,"&gt;="&amp;"2022-04-30")</f>
        <v>1676</v>
      </c>
      <c r="E17" s="35">
        <f t="shared" si="0"/>
        <v>2.7446300715990454E-2</v>
      </c>
    </row>
    <row r="18" spans="1:5" x14ac:dyDescent="0.3">
      <c r="A18" s="65"/>
      <c r="B18" s="49">
        <v>44682</v>
      </c>
      <c r="C18" s="33">
        <f>COUNTIFS(CUSTOMER!H:H,"&lt;="&amp;"2022-05-31",CUSTOMER!H:H,"&gt;="&amp;"2022-05-01")</f>
        <v>57</v>
      </c>
      <c r="D18" s="34">
        <f>COUNTIFS(CUSTOMER!G:G,"&lt;="&amp;"2022-05-31",CUSTOMER!H:H,"&gt;="&amp;"2022-05-31")</f>
        <v>1632</v>
      </c>
      <c r="E18" s="35">
        <f t="shared" si="0"/>
        <v>3.4926470588235295E-2</v>
      </c>
    </row>
    <row r="19" spans="1:5" x14ac:dyDescent="0.3">
      <c r="A19" s="65"/>
      <c r="B19" s="49">
        <v>44713</v>
      </c>
      <c r="C19" s="33">
        <f>COUNTIFS(CUSTOMER!H:H,"&lt;="&amp;"2022-06-30",CUSTOMER!H:H,"&gt;="&amp;"2022-06-01")</f>
        <v>75</v>
      </c>
      <c r="D19" s="34">
        <f>COUNTIFS(CUSTOMER!G:G,"&lt;="&amp;"2022-06-30",CUSTOMER!H:H,"&gt;="&amp;"2022-06-30")</f>
        <v>1567</v>
      </c>
      <c r="E19" s="35">
        <f t="shared" si="0"/>
        <v>4.7862156987874924E-2</v>
      </c>
    </row>
    <row r="20" spans="1:5" x14ac:dyDescent="0.3">
      <c r="A20" s="65"/>
      <c r="B20" s="49">
        <v>44743</v>
      </c>
      <c r="C20" s="33">
        <f>COUNTIFS(CUSTOMER!H:H,"&lt;="&amp;"2022-07-31",CUSTOMER!H:H,"&gt;="&amp;"2022-07-01")</f>
        <v>88</v>
      </c>
      <c r="D20" s="34">
        <f>COUNTIFS(CUSTOMER!G:G,"&lt;="&amp;"2022-07-31",CUSTOMER!H:H,"&gt;="&amp;"2022-07-31")</f>
        <v>1490</v>
      </c>
      <c r="E20" s="35">
        <f t="shared" si="0"/>
        <v>5.9060402684563758E-2</v>
      </c>
    </row>
    <row r="21" spans="1:5" x14ac:dyDescent="0.3">
      <c r="A21" s="65"/>
      <c r="B21" s="49">
        <v>44774</v>
      </c>
      <c r="C21" s="33">
        <f>COUNTIFS(CUSTOMER!H:H,"&lt;="&amp;"2022-08-31",CUSTOMER!H:H,"&gt;="&amp;"2022-08-01")</f>
        <v>119</v>
      </c>
      <c r="D21" s="34">
        <f>COUNTIFS(CUSTOMER!G:G,"&lt;="&amp;"2022-08-31",CUSTOMER!H:H,"&gt;="&amp;"2022-08-31")</f>
        <v>1387</v>
      </c>
      <c r="E21" s="35">
        <f t="shared" si="0"/>
        <v>8.5796683489545778E-2</v>
      </c>
    </row>
    <row r="22" spans="1:5" x14ac:dyDescent="0.3">
      <c r="A22" s="65"/>
      <c r="B22" s="49">
        <v>44805</v>
      </c>
      <c r="C22" s="33">
        <f>COUNTIFS(CUSTOMER!H:H,"&lt;="&amp;"2022-09-30",CUSTOMER!H:H,"&gt;="&amp;"2022-09-01")</f>
        <v>130</v>
      </c>
      <c r="D22" s="34">
        <f>COUNTIFS(CUSTOMER!G:G,"&lt;="&amp;"2022-09-30",CUSTOMER!H:H,"&gt;="&amp;"2022-09-30")</f>
        <v>1260</v>
      </c>
      <c r="E22" s="35">
        <f t="shared" si="0"/>
        <v>0.10317460317460317</v>
      </c>
    </row>
    <row r="23" spans="1:5" x14ac:dyDescent="0.3">
      <c r="A23" s="65"/>
      <c r="B23" s="49">
        <v>44835</v>
      </c>
      <c r="C23" s="33">
        <f>COUNTIFS(CUSTOMER!H:H,"&lt;="&amp;"2022-10-31",CUSTOMER!H:H,"&gt;="&amp;"2022-10-01")</f>
        <v>154</v>
      </c>
      <c r="D23" s="34">
        <f>COUNTIFS(CUSTOMER!G:G,"&lt;="&amp;"2022-10-31",CUSTOMER!H:H,"&gt;="&amp;"2022-10-31")</f>
        <v>1116</v>
      </c>
      <c r="E23" s="35">
        <f t="shared" si="0"/>
        <v>0.13799283154121864</v>
      </c>
    </row>
    <row r="24" spans="1:5" x14ac:dyDescent="0.3">
      <c r="A24" s="65"/>
      <c r="B24" s="49">
        <v>44866</v>
      </c>
      <c r="C24" s="33">
        <f>COUNTIFS(CUSTOMER!H:H,"&lt;="&amp;"2022-11-30",CUSTOMER!H:H,"&gt;="&amp;"2022-11-01")</f>
        <v>195</v>
      </c>
      <c r="D24" s="34">
        <f>COUNTIFS(CUSTOMER!G:G,"&lt;="&amp;"2022-11-30",CUSTOMER!H:H,"&gt;="&amp;"2022-11-30")</f>
        <v>924</v>
      </c>
      <c r="E24" s="35">
        <f t="shared" si="0"/>
        <v>0.21103896103896103</v>
      </c>
    </row>
    <row r="25" spans="1:5" x14ac:dyDescent="0.3">
      <c r="A25" s="65"/>
      <c r="B25" s="49">
        <v>44896</v>
      </c>
      <c r="C25" s="33">
        <f>COUNTIFS(CUSTOMER!H:H,"&lt;="&amp;"2022-12-31",CUSTOMER!H:H,"&gt;="&amp;"2022-12-01")</f>
        <v>252</v>
      </c>
      <c r="D25" s="34">
        <f>COUNTIFS(CUSTOMER!G:G,"&lt;="&amp;"2022-12-31",CUSTOMER!H:H,"&gt;="&amp;"2022-12-31")</f>
        <v>677</v>
      </c>
      <c r="E25" s="35">
        <f t="shared" si="0"/>
        <v>0.37223042836041359</v>
      </c>
    </row>
    <row r="26" spans="1:5" x14ac:dyDescent="0.3">
      <c r="A26" s="60">
        <v>2023</v>
      </c>
      <c r="B26" s="50">
        <v>44927</v>
      </c>
      <c r="C26" s="25">
        <f>COUNTIFS(CUSTOMER!H:H,"&lt;="&amp;"2023-01-31",CUSTOMER!H:H,"&gt;="&amp;"2023-1-1")</f>
        <v>274</v>
      </c>
      <c r="D26" s="36">
        <f>COUNTIFS(CUSTOMER!G:G,"&lt;="&amp;"2023-01-31",CUSTOMER!H:H,"&gt;="&amp;"2023-01-31")</f>
        <v>406</v>
      </c>
      <c r="E26" s="26">
        <f t="shared" si="0"/>
        <v>0.67487684729064035</v>
      </c>
    </row>
    <row r="27" spans="1:5" x14ac:dyDescent="0.3">
      <c r="A27" s="60"/>
      <c r="B27" s="50">
        <v>44958</v>
      </c>
      <c r="C27" s="25">
        <f>COUNTIFS(CUSTOMER!H:H,"&lt;="&amp;"2023-02-28",CUSTOMER!H:H,"&gt;="&amp;"2023-02-01")</f>
        <v>309</v>
      </c>
      <c r="D27" s="36">
        <f>COUNTIFS(CUSTOMER!G:G,"&lt;="&amp;"2023-02-28",CUSTOMER!H:H,"&gt;="&amp;"2023-02-28")</f>
        <v>108</v>
      </c>
      <c r="E27" s="26">
        <f t="shared" si="0"/>
        <v>2.8611111111111112</v>
      </c>
    </row>
    <row r="28" spans="1:5" x14ac:dyDescent="0.3">
      <c r="A28" s="60"/>
      <c r="B28" s="50">
        <v>44986</v>
      </c>
      <c r="C28" s="25">
        <f>COUNTIFS(CUSTOMER!H:H,"&lt;="&amp;"2023-03-31",CUSTOMER!H:H,"&gt;="&amp;"2023-03-01")</f>
        <v>94</v>
      </c>
      <c r="D28" s="36">
        <f>COUNTIFS(CUSTOMER!G:G,"&lt;="&amp;"2023-03-31",CUSTOMER!H:H,"&gt;="&amp;"2023-03-31")</f>
        <v>0</v>
      </c>
      <c r="E28" s="26">
        <v>0</v>
      </c>
    </row>
    <row r="29" spans="1:5" x14ac:dyDescent="0.3">
      <c r="A29" s="18"/>
      <c r="B29" s="30"/>
      <c r="D29"/>
      <c r="E29"/>
    </row>
    <row r="30" spans="1:5" x14ac:dyDescent="0.3">
      <c r="A30" s="18"/>
      <c r="B30" s="30"/>
      <c r="D30"/>
      <c r="E30"/>
    </row>
    <row r="31" spans="1:5" x14ac:dyDescent="0.3">
      <c r="A31" s="18"/>
      <c r="B31" s="30"/>
      <c r="D31"/>
      <c r="E31"/>
    </row>
    <row r="32" spans="1:5" x14ac:dyDescent="0.3">
      <c r="A32" s="18"/>
      <c r="B32" s="30"/>
      <c r="D32"/>
      <c r="E32"/>
    </row>
    <row r="33" spans="1:5" x14ac:dyDescent="0.3">
      <c r="A33" s="18"/>
      <c r="C33" s="30"/>
      <c r="D33" s="18"/>
      <c r="E33"/>
    </row>
    <row r="34" spans="1:5" x14ac:dyDescent="0.3">
      <c r="A34" s="18"/>
      <c r="C34" s="30"/>
      <c r="D34" s="18"/>
      <c r="E34"/>
    </row>
    <row r="35" spans="1:5" x14ac:dyDescent="0.3">
      <c r="A35" s="18"/>
      <c r="C35" s="30"/>
      <c r="D35" s="18"/>
      <c r="E35"/>
    </row>
    <row r="36" spans="1:5" x14ac:dyDescent="0.3">
      <c r="A36" s="18"/>
      <c r="C36" s="30"/>
      <c r="D36" s="18"/>
      <c r="E36"/>
    </row>
    <row r="37" spans="1:5" x14ac:dyDescent="0.3">
      <c r="A37" s="18"/>
      <c r="C37" s="30"/>
      <c r="D37" s="18"/>
      <c r="E37"/>
    </row>
    <row r="38" spans="1:5" x14ac:dyDescent="0.3">
      <c r="A38" s="18"/>
      <c r="C38" s="30"/>
      <c r="D38" s="18"/>
      <c r="E38"/>
    </row>
    <row r="39" spans="1:5" x14ac:dyDescent="0.3">
      <c r="A39" s="18"/>
      <c r="C39" s="30"/>
      <c r="D39" s="18"/>
      <c r="E39"/>
    </row>
    <row r="40" spans="1:5" x14ac:dyDescent="0.3">
      <c r="A40" s="18"/>
      <c r="C40" s="30"/>
      <c r="D40" s="18"/>
      <c r="E40"/>
    </row>
    <row r="41" spans="1:5" x14ac:dyDescent="0.3">
      <c r="A41" s="18"/>
      <c r="C41" s="30"/>
      <c r="D41" s="18"/>
      <c r="E41"/>
    </row>
  </sheetData>
  <mergeCells count="3">
    <mergeCell ref="A26:A28"/>
    <mergeCell ref="A2:A13"/>
    <mergeCell ref="A14:A25"/>
  </mergeCells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20BF-DFF7-4F2D-B95E-21E8C18DE40E}">
  <dimension ref="A1:K30"/>
  <sheetViews>
    <sheetView workbookViewId="0">
      <selection activeCell="B3" sqref="B3"/>
    </sheetView>
  </sheetViews>
  <sheetFormatPr defaultRowHeight="14.4" x14ac:dyDescent="0.3"/>
  <cols>
    <col min="1" max="1" width="13.109375" style="18" customWidth="1"/>
    <col min="2" max="2" width="15.88671875" style="18" customWidth="1"/>
    <col min="3" max="3" width="18" style="30" bestFit="1" customWidth="1"/>
    <col min="4" max="4" width="24" style="30" customWidth="1"/>
    <col min="5" max="6" width="13.5546875" style="30" customWidth="1"/>
  </cols>
  <sheetData>
    <row r="1" spans="1:11" x14ac:dyDescent="0.3">
      <c r="A1" s="22" t="s">
        <v>12050</v>
      </c>
      <c r="B1" s="22" t="s">
        <v>12054</v>
      </c>
      <c r="C1" s="29" t="s">
        <v>12055</v>
      </c>
      <c r="D1" s="29" t="s">
        <v>12056</v>
      </c>
      <c r="E1" s="29" t="s">
        <v>12057</v>
      </c>
      <c r="F1" s="29" t="s">
        <v>12059</v>
      </c>
    </row>
    <row r="2" spans="1:11" x14ac:dyDescent="0.3">
      <c r="A2" s="45">
        <v>44228</v>
      </c>
      <c r="B2" s="38">
        <f>COUNTIFS(CUSTOMER!G:G,"&lt;="&amp;"2021-02-01",CUSTOMER!H:H,"&gt;"&amp;"2021-02-01")</f>
        <v>336</v>
      </c>
      <c r="C2" s="39">
        <f>COUNTIFS(CUSTOMER!G:G,"&lt;="&amp;"2021-02-28",CUSTOMER!H:H,"&gt;="&amp;"2021-02-28")</f>
        <v>574</v>
      </c>
      <c r="D2" s="39">
        <f>COUNTIFS(CUSTOMER!G:G,"&gt;="&amp;"2021-02-01",CUSTOMER!G:G,"&lt;="&amp;"2021-02-28")</f>
        <v>245</v>
      </c>
      <c r="E2" s="40">
        <f>((C2-D2)*100%)/B2</f>
        <v>0.97916666666666663</v>
      </c>
      <c r="F2" s="40">
        <f>1-E2</f>
        <v>2.083333333333337E-2</v>
      </c>
    </row>
    <row r="3" spans="1:11" x14ac:dyDescent="0.3">
      <c r="A3" s="45">
        <v>44256</v>
      </c>
      <c r="B3" s="38">
        <f>COUNTIFS(CUSTOMER!G:G,"&lt;="&amp;"2021-03-01",CUSTOMER!H:H,"&gt;"&amp;"2021-03-01")</f>
        <v>577</v>
      </c>
      <c r="C3" s="39">
        <f>COUNTIFS(CUSTOMER!G:G,"&lt;="&amp;"2021-03-31",CUSTOMER!H:H,"&gt;="&amp;"2021-03-31")</f>
        <v>826</v>
      </c>
      <c r="D3" s="39">
        <f>COUNTIFS(CUSTOMER!G:G,"&gt;="&amp;"2021-03-01",CUSTOMER!G:G,"&lt;="&amp;"2021-03-31")</f>
        <v>252</v>
      </c>
      <c r="E3" s="40">
        <f t="shared" ref="E3:E26" si="0">((C3-D3)*100%)/B3</f>
        <v>0.99480069324090126</v>
      </c>
      <c r="F3" s="40">
        <f t="shared" ref="F3:F26" si="1">1-E3</f>
        <v>5.199306759098743E-3</v>
      </c>
    </row>
    <row r="4" spans="1:11" x14ac:dyDescent="0.3">
      <c r="A4" s="45">
        <v>44287</v>
      </c>
      <c r="B4" s="38">
        <f>COUNTIFS(CUSTOMER!G:G,"&lt;="&amp;"2021-04-01",CUSTOMER!H:H,"&gt;"&amp;"2021-04-01")</f>
        <v>828</v>
      </c>
      <c r="C4" s="39">
        <f>COUNTIFS(CUSTOMER!G:G,"&lt;="&amp;"2021-04-30",CUSTOMER!H:H,"&gt;="&amp;"2021-04-30")</f>
        <v>1038</v>
      </c>
      <c r="D4" s="39">
        <f>COUNTIFS(CUSTOMER!G:G,"&gt;="&amp;"2021-04-01",CUSTOMER!G:G,"&lt;="&amp;"2021-04-30")</f>
        <v>216</v>
      </c>
      <c r="E4" s="40">
        <f t="shared" si="0"/>
        <v>0.99275362318840576</v>
      </c>
      <c r="F4" s="40">
        <f t="shared" si="1"/>
        <v>7.2463768115942351E-3</v>
      </c>
    </row>
    <row r="5" spans="1:11" x14ac:dyDescent="0.3">
      <c r="A5" s="45">
        <v>44317</v>
      </c>
      <c r="B5" s="38">
        <f>COUNTIFS(CUSTOMER!G:G,"&lt;="&amp;"2021-05-01",CUSTOMER!H:H,"&gt;"&amp;"2021-05-01")</f>
        <v>1043</v>
      </c>
      <c r="C5" s="39">
        <f>COUNTIFS(CUSTOMER!G:G,"&lt;="&amp;"2021-05-31",CUSTOMER!H:H,"&gt;="&amp;"2021-05-31")</f>
        <v>1196</v>
      </c>
      <c r="D5" s="39">
        <f>COUNTIFS(CUSTOMER!G:G,"&gt;="&amp;"2021-05-01",CUSTOMER!G:G,"&lt;="&amp;"2021-05-31")</f>
        <v>160</v>
      </c>
      <c r="E5" s="40">
        <f t="shared" si="0"/>
        <v>0.99328859060402686</v>
      </c>
      <c r="F5" s="40">
        <f t="shared" si="1"/>
        <v>6.7114093959731447E-3</v>
      </c>
    </row>
    <row r="6" spans="1:11" x14ac:dyDescent="0.3">
      <c r="A6" s="45">
        <v>44348</v>
      </c>
      <c r="B6" s="38">
        <f>COUNTIFS(CUSTOMER!G:G,"&lt;="&amp;"2021-06-01",CUSTOMER!H:H,"&gt;"&amp;"2021-06-01")</f>
        <v>1208</v>
      </c>
      <c r="C6" s="39">
        <f>COUNTIFS(CUSTOMER!G:G,"&lt;="&amp;"2021-06-30",CUSTOMER!H:H,"&gt;="&amp;"2021-06-30")</f>
        <v>1339</v>
      </c>
      <c r="D6" s="39">
        <f>COUNTIFS(CUSTOMER!G:G,"&gt;="&amp;"2021-06-01",CUSTOMER!G:G,"&lt;="&amp;"2021-06-30")</f>
        <v>154</v>
      </c>
      <c r="E6" s="40">
        <f t="shared" si="0"/>
        <v>0.98096026490066224</v>
      </c>
      <c r="F6" s="40">
        <f t="shared" si="1"/>
        <v>1.9039735099337762E-2</v>
      </c>
      <c r="H6" t="s">
        <v>12058</v>
      </c>
    </row>
    <row r="7" spans="1:11" ht="16.8" x14ac:dyDescent="0.3">
      <c r="A7" s="45">
        <v>44378</v>
      </c>
      <c r="B7" s="38">
        <f>COUNTIFS(CUSTOMER!G:G,"&lt;="&amp;"2021-07-01",CUSTOMER!H:H,"&gt;"&amp;"2021-07-01")</f>
        <v>1342</v>
      </c>
      <c r="C7" s="39">
        <f>COUNTIFS(CUSTOMER!G:G,"&lt;="&amp;"2021-07-31",CUSTOMER!H:H,"&gt;="&amp;"2021-07-31")</f>
        <v>1453</v>
      </c>
      <c r="D7" s="39">
        <f>COUNTIFS(CUSTOMER!G:G,"&gt;="&amp;"2021-07-01",CUSTOMER!G:G,"&lt;="&amp;"2021-07-31")</f>
        <v>123</v>
      </c>
      <c r="E7" s="40">
        <f t="shared" si="0"/>
        <v>0.99105812220566314</v>
      </c>
      <c r="F7" s="40">
        <f t="shared" si="1"/>
        <v>8.941877794336861E-3</v>
      </c>
      <c r="K7" s="57"/>
    </row>
    <row r="8" spans="1:11" x14ac:dyDescent="0.3">
      <c r="A8" s="45">
        <v>44409</v>
      </c>
      <c r="B8" s="38">
        <f>COUNTIFS(CUSTOMER!G:G,"&lt;="&amp;"2021-08-01",CUSTOMER!H:H,"&gt;"&amp;"2021-08-01")</f>
        <v>1458</v>
      </c>
      <c r="C8" s="39">
        <f>COUNTIFS(CUSTOMER!G:G,"&lt;="&amp;"2021-08-31",CUSTOMER!H:H,"&gt;="&amp;"2021-08-31")</f>
        <v>1537</v>
      </c>
      <c r="D8" s="39">
        <f>COUNTIFS(CUSTOMER!G:G,"&gt;="&amp;"2021-08-01",CUSTOMER!G:G,"&lt;="&amp;"2021-08-31")</f>
        <v>93</v>
      </c>
      <c r="E8" s="40">
        <f t="shared" si="0"/>
        <v>0.99039780521262</v>
      </c>
      <c r="F8" s="40">
        <f t="shared" si="1"/>
        <v>9.6021947873800029E-3</v>
      </c>
    </row>
    <row r="9" spans="1:11" x14ac:dyDescent="0.3">
      <c r="A9" s="45">
        <v>44440</v>
      </c>
      <c r="B9" s="38">
        <f>COUNTIFS(CUSTOMER!G:G,"&lt;="&amp;"2021-09-01",CUSTOMER!H:H,"&gt;"&amp;"2021-09-01")</f>
        <v>1540</v>
      </c>
      <c r="C9" s="39">
        <f>COUNTIFS(CUSTOMER!G:G,"&lt;="&amp;"2021-09-30",CUSTOMER!H:H,"&gt;="&amp;"2021-09-30")</f>
        <v>1617</v>
      </c>
      <c r="D9" s="39">
        <f>COUNTIFS(CUSTOMER!G:G,"&gt;="&amp;"2021-09-01",CUSTOMER!G:G,"&lt;="&amp;"2021-09-30")</f>
        <v>90</v>
      </c>
      <c r="E9" s="40">
        <f t="shared" si="0"/>
        <v>0.99155844155844153</v>
      </c>
      <c r="F9" s="40">
        <f t="shared" si="1"/>
        <v>8.4415584415584721E-3</v>
      </c>
    </row>
    <row r="10" spans="1:11" x14ac:dyDescent="0.3">
      <c r="A10" s="45">
        <v>44470</v>
      </c>
      <c r="B10" s="38">
        <f>COUNTIFS(CUSTOMER!G:G,"&lt;="&amp;"2021-10-01",CUSTOMER!H:H,"&gt;"&amp;"2021-10-01")</f>
        <v>1618</v>
      </c>
      <c r="C10" s="39">
        <f>COUNTIFS(CUSTOMER!G:G,"&lt;="&amp;"2021-10-31",CUSTOMER!H:H,"&gt;="&amp;"2021-10-31")</f>
        <v>1672</v>
      </c>
      <c r="D10" s="39">
        <f>COUNTIFS(CUSTOMER!G:G,"&gt;="&amp;"2021-10-01",CUSTOMER!G:G,"&lt;="&amp;"2021-10-31")</f>
        <v>71</v>
      </c>
      <c r="E10" s="40">
        <f t="shared" si="0"/>
        <v>0.98949320148331277</v>
      </c>
      <c r="F10" s="40">
        <f t="shared" si="1"/>
        <v>1.0506798516687232E-2</v>
      </c>
    </row>
    <row r="11" spans="1:11" x14ac:dyDescent="0.3">
      <c r="A11" s="45">
        <v>44501</v>
      </c>
      <c r="B11" s="38">
        <f>COUNTIFS(CUSTOMER!G:G,"&lt;="&amp;"2021-11-01",CUSTOMER!H:H,"&gt;"&amp;"2021-11-01")</f>
        <v>1675</v>
      </c>
      <c r="C11" s="39">
        <f>COUNTIFS(CUSTOMER!G:G,"&lt;="&amp;"2021-11-30",CUSTOMER!H:H,"&gt;="&amp;"2021-11-30")</f>
        <v>1703</v>
      </c>
      <c r="D11" s="39">
        <f>COUNTIFS(CUSTOMER!G:G,"&gt;="&amp;"2021-11-01",CUSTOMER!G:G,"&lt;="&amp;"2021-11-30")</f>
        <v>50</v>
      </c>
      <c r="E11" s="40">
        <f t="shared" si="0"/>
        <v>0.98686567164179106</v>
      </c>
      <c r="F11" s="40">
        <f t="shared" si="1"/>
        <v>1.3134328358208935E-2</v>
      </c>
    </row>
    <row r="12" spans="1:11" x14ac:dyDescent="0.3">
      <c r="A12" s="45">
        <v>44531</v>
      </c>
      <c r="B12" s="38">
        <f>COUNTIFS(CUSTOMER!G:G,"&lt;="&amp;"2021-12-01",CUSTOMER!H:H,"&gt;"&amp;"2021-12-01")</f>
        <v>1703</v>
      </c>
      <c r="C12" s="39">
        <f>COUNTIFS(CUSTOMER!G:G,"&lt;="&amp;"2021-12-31",CUSTOMER!H:H,"&gt;="&amp;"2021-12-31")</f>
        <v>1722</v>
      </c>
      <c r="D12" s="39">
        <f>COUNTIFS(CUSTOMER!G:G,"&gt;="&amp;"2021-12-01",CUSTOMER!G:G,"&lt;="&amp;"2021-12-31")</f>
        <v>41</v>
      </c>
      <c r="E12" s="40">
        <f t="shared" si="0"/>
        <v>0.98708162066940697</v>
      </c>
      <c r="F12" s="40">
        <f t="shared" si="1"/>
        <v>1.2918379330593033E-2</v>
      </c>
    </row>
    <row r="13" spans="1:11" x14ac:dyDescent="0.3">
      <c r="A13" s="46">
        <v>44562</v>
      </c>
      <c r="B13" s="27">
        <f>COUNTIFS(CUSTOMER!G:G,"&lt;="&amp;"2022-01-01",CUSTOMER!H:H,"&gt;"&amp;"2022-01-01")</f>
        <v>1721</v>
      </c>
      <c r="C13" s="41">
        <f>COUNTIFS(CUSTOMER!G:G,"&lt;="&amp;"2022-01-31",CUSTOMER!H:H,"&gt;="&amp;"2022-01-31")</f>
        <v>1731</v>
      </c>
      <c r="D13" s="41">
        <f>COUNTIFS(CUSTOMER!G:G,"&gt;="&amp;"2022-01-01",CUSTOMER!G:G,"&lt;="&amp;"2022-01-31")</f>
        <v>32</v>
      </c>
      <c r="E13" s="42">
        <f t="shared" si="0"/>
        <v>0.98721673445671121</v>
      </c>
      <c r="F13" s="42">
        <f t="shared" si="1"/>
        <v>1.2783265543288791E-2</v>
      </c>
    </row>
    <row r="14" spans="1:11" x14ac:dyDescent="0.3">
      <c r="A14" s="46">
        <v>44593</v>
      </c>
      <c r="B14" s="27">
        <f>COUNTIFS(CUSTOMER!G:G,"&lt;="&amp;"2022-02-01",CUSTOMER!H:H,"&gt;"&amp;"2022-02-01")</f>
        <v>1731</v>
      </c>
      <c r="C14" s="41">
        <f>COUNTIFS(CUSTOMER!G:G,"&lt;="&amp;"2022-02-28",CUSTOMER!H:H,"&gt;="&amp;"2022-02-28")</f>
        <v>1728</v>
      </c>
      <c r="D14" s="41">
        <f>COUNTIFS(CUSTOMER!G:G,"&gt;="&amp;"2022-02-01",CUSTOMER!G:G,"&lt;="&amp;"2022-02-28")</f>
        <v>35</v>
      </c>
      <c r="E14" s="42">
        <f t="shared" si="0"/>
        <v>0.97804737146158294</v>
      </c>
      <c r="F14" s="42">
        <f t="shared" si="1"/>
        <v>2.1952628538417063E-2</v>
      </c>
    </row>
    <row r="15" spans="1:11" x14ac:dyDescent="0.3">
      <c r="A15" s="46">
        <v>44621</v>
      </c>
      <c r="B15" s="27">
        <f>COUNTIFS(CUSTOMER!G:G,"&lt;="&amp;"2022-03-01",CUSTOMER!H:H,"&gt;"&amp;"2022-03-01")</f>
        <v>1726</v>
      </c>
      <c r="C15" s="41">
        <f>COUNTIFS(CUSTOMER!G:G,"&lt;="&amp;"2022-03-31",CUSTOMER!H:H,"&gt;="&amp;"2022-03-31")</f>
        <v>1707</v>
      </c>
      <c r="D15" s="41">
        <f>COUNTIFS(CUSTOMER!G:G,"&gt;="&amp;"2022-03-01",CUSTOMER!G:G,"&lt;="&amp;"2022-03-31")</f>
        <v>18</v>
      </c>
      <c r="E15" s="42">
        <f t="shared" si="0"/>
        <v>0.97856315179606024</v>
      </c>
      <c r="F15" s="42">
        <f t="shared" si="1"/>
        <v>2.1436848203939762E-2</v>
      </c>
    </row>
    <row r="16" spans="1:11" x14ac:dyDescent="0.3">
      <c r="A16" s="46">
        <v>44652</v>
      </c>
      <c r="B16" s="27">
        <f>COUNTIFS(CUSTOMER!G:G,"&lt;="&amp;"2022-04-01",CUSTOMER!H:H,"&gt;"&amp;"2022-04-01")</f>
        <v>1705</v>
      </c>
      <c r="C16" s="41">
        <f>COUNTIFS(CUSTOMER!G:G,"&lt;="&amp;"2022-04-30",CUSTOMER!H:H,"&gt;="&amp;"2022-04-30")</f>
        <v>1676</v>
      </c>
      <c r="D16" s="41">
        <f>COUNTIFS(CUSTOMER!G:G,"&gt;="&amp;"2022-04-01",CUSTOMER!G:G,"&lt;="&amp;"2022-04-30")</f>
        <v>14</v>
      </c>
      <c r="E16" s="42">
        <f t="shared" si="0"/>
        <v>0.97478005865102635</v>
      </c>
      <c r="F16" s="42">
        <f t="shared" si="1"/>
        <v>2.5219941348973651E-2</v>
      </c>
    </row>
    <row r="17" spans="1:6" x14ac:dyDescent="0.3">
      <c r="A17" s="46">
        <v>44682</v>
      </c>
      <c r="B17" s="27">
        <f>COUNTIFS(CUSTOMER!G:G,"&lt;="&amp;"2022-05-01",CUSTOMER!H:H,"&gt;"&amp;"2022-05-01")</f>
        <v>1669</v>
      </c>
      <c r="C17" s="41">
        <f>COUNTIFS(CUSTOMER!G:G,"&lt;="&amp;"2022-05-31",CUSTOMER!H:H,"&gt;="&amp;"2022-05-31")</f>
        <v>1632</v>
      </c>
      <c r="D17" s="41">
        <f>COUNTIFS(CUSTOMER!G:G,"&gt;="&amp;"2022-05-01",CUSTOMER!G:G,"&lt;="&amp;"2022-05-31")</f>
        <v>14</v>
      </c>
      <c r="E17" s="42">
        <f t="shared" si="0"/>
        <v>0.96944278010784901</v>
      </c>
      <c r="F17" s="42">
        <f t="shared" si="1"/>
        <v>3.0557219892150989E-2</v>
      </c>
    </row>
    <row r="18" spans="1:6" x14ac:dyDescent="0.3">
      <c r="A18" s="46">
        <v>44713</v>
      </c>
      <c r="B18" s="27">
        <f>COUNTIFS(CUSTOMER!G:G,"&lt;="&amp;"2022-06-01",CUSTOMER!H:H,"&gt;"&amp;"2022-06-01")</f>
        <v>1628</v>
      </c>
      <c r="C18" s="41">
        <f>COUNTIFS(CUSTOMER!G:G,"&lt;="&amp;"2022-06-30",CUSTOMER!H:H,"&gt;="&amp;"2022-06-30")</f>
        <v>1567</v>
      </c>
      <c r="D18" s="41">
        <f>COUNTIFS(CUSTOMER!G:G,"&gt;="&amp;"2022-06-01",CUSTOMER!G:G,"&lt;="&amp;"2022-06-30")</f>
        <v>7</v>
      </c>
      <c r="E18" s="42">
        <f t="shared" si="0"/>
        <v>0.95823095823095827</v>
      </c>
      <c r="F18" s="42">
        <f t="shared" si="1"/>
        <v>4.1769041769041726E-2</v>
      </c>
    </row>
    <row r="19" spans="1:6" x14ac:dyDescent="0.3">
      <c r="A19" s="46">
        <v>44743</v>
      </c>
      <c r="B19" s="27">
        <f>COUNTIFS(CUSTOMER!G:G,"&lt;="&amp;"2022-07-01",CUSTOMER!H:H,"&gt;"&amp;"2022-07-01")</f>
        <v>1560</v>
      </c>
      <c r="C19" s="41">
        <f>COUNTIFS(CUSTOMER!G:G,"&lt;="&amp;"2022-07-31",CUSTOMER!H:H,"&gt;="&amp;"2022-07-31")</f>
        <v>1490</v>
      </c>
      <c r="D19" s="41">
        <f>COUNTIFS(CUSTOMER!G:G,"&gt;="&amp;"2022-07-01",CUSTOMER!G:G,"&lt;="&amp;"2022-07-31")</f>
        <v>10</v>
      </c>
      <c r="E19" s="42">
        <f t="shared" si="0"/>
        <v>0.94871794871794868</v>
      </c>
      <c r="F19" s="42">
        <f t="shared" si="1"/>
        <v>5.1282051282051322E-2</v>
      </c>
    </row>
    <row r="20" spans="1:6" x14ac:dyDescent="0.3">
      <c r="A20" s="46">
        <v>44774</v>
      </c>
      <c r="B20" s="27">
        <f>COUNTIFS(CUSTOMER!G:G,"&lt;="&amp;"2022-08-01",CUSTOMER!H:H,"&gt;"&amp;"2022-08-01")</f>
        <v>1479</v>
      </c>
      <c r="C20" s="41">
        <f>COUNTIFS(CUSTOMER!G:G,"&lt;="&amp;"2022-08-31",CUSTOMER!H:H,"&gt;="&amp;"2022-08-31")</f>
        <v>1387</v>
      </c>
      <c r="D20" s="41">
        <f>COUNTIFS(CUSTOMER!G:G,"&gt;="&amp;"2022-08-01",CUSTOMER!G:G,"&lt;="&amp;"2022-08-31")</f>
        <v>17</v>
      </c>
      <c r="E20" s="42">
        <f t="shared" si="0"/>
        <v>0.9263015551048005</v>
      </c>
      <c r="F20" s="42">
        <f t="shared" si="1"/>
        <v>7.36984448951995E-2</v>
      </c>
    </row>
    <row r="21" spans="1:6" x14ac:dyDescent="0.3">
      <c r="A21" s="46">
        <v>44805</v>
      </c>
      <c r="B21" s="27">
        <f>COUNTIFS(CUSTOMER!G:G,"&lt;="&amp;"2022-09-01",CUSTOMER!H:H,"&gt;"&amp;"2022-09-01")</f>
        <v>1381</v>
      </c>
      <c r="C21" s="41">
        <f>COUNTIFS(CUSTOMER!G:G,"&lt;="&amp;"2022-09-30",CUSTOMER!H:H,"&gt;="&amp;"2022-09-30")</f>
        <v>1260</v>
      </c>
      <c r="D21" s="41">
        <f>COUNTIFS(CUSTOMER!G:G,"&gt;="&amp;"2022-09-01",CUSTOMER!G:G,"&lt;="&amp;"2022-09-30")</f>
        <v>3</v>
      </c>
      <c r="E21" s="42">
        <f t="shared" si="0"/>
        <v>0.91020999275887038</v>
      </c>
      <c r="F21" s="42">
        <f t="shared" si="1"/>
        <v>8.9790007241129621E-2</v>
      </c>
    </row>
    <row r="22" spans="1:6" x14ac:dyDescent="0.3">
      <c r="A22" s="46">
        <v>44835</v>
      </c>
      <c r="B22" s="27">
        <f>COUNTIFS(CUSTOMER!G:G,"&lt;="&amp;"2022-10-01",CUSTOMER!H:H,"&gt;"&amp;"2022-10-01")</f>
        <v>1251</v>
      </c>
      <c r="C22" s="41">
        <f>COUNTIFS(CUSTOMER!G:G,"&lt;="&amp;"2022-10-31",CUSTOMER!H:H,"&gt;="&amp;"2022-10-31")</f>
        <v>1116</v>
      </c>
      <c r="D22" s="41">
        <f>COUNTIFS(CUSTOMER!G:G,"&gt;="&amp;"2022-10-01",CUSTOMER!G:G,"&lt;="&amp;"2022-10-31")</f>
        <v>7</v>
      </c>
      <c r="E22" s="42">
        <f t="shared" si="0"/>
        <v>0.88649080735411667</v>
      </c>
      <c r="F22" s="42">
        <f t="shared" si="1"/>
        <v>0.11350919264588333</v>
      </c>
    </row>
    <row r="23" spans="1:6" x14ac:dyDescent="0.3">
      <c r="A23" s="46">
        <v>44866</v>
      </c>
      <c r="B23" s="27">
        <f>COUNTIFS(CUSTOMER!G:G,"&lt;="&amp;"2022-11-01",CUSTOMER!H:H,"&gt;"&amp;"2022-11-01")</f>
        <v>1103</v>
      </c>
      <c r="C23" s="41">
        <f>COUNTIFS(CUSTOMER!G:G,"&lt;="&amp;"2022-11-30",CUSTOMER!H:H,"&gt;="&amp;"2022-11-30")</f>
        <v>924</v>
      </c>
      <c r="D23" s="41">
        <f>COUNTIFS(CUSTOMER!G:G,"&gt;="&amp;"2022-11-01",CUSTOMER!G:G,"&lt;="&amp;"2022-11-30")</f>
        <v>5</v>
      </c>
      <c r="E23" s="42">
        <f t="shared" si="0"/>
        <v>0.83318223028105165</v>
      </c>
      <c r="F23" s="42">
        <f t="shared" si="1"/>
        <v>0.16681776971894835</v>
      </c>
    </row>
    <row r="24" spans="1:6" x14ac:dyDescent="0.3">
      <c r="A24" s="46">
        <v>44896</v>
      </c>
      <c r="B24" s="27">
        <f>COUNTIFS(CUSTOMER!G:G,"&lt;="&amp;"2022-12-01",CUSTOMER!H:H,"&gt;"&amp;"2022-12-01")</f>
        <v>915</v>
      </c>
      <c r="C24" s="41">
        <f>COUNTIFS(CUSTOMER!G:G,"&lt;="&amp;"2022-12-31",CUSTOMER!H:H,"&gt;="&amp;"2022-12-31")</f>
        <v>677</v>
      </c>
      <c r="D24" s="41">
        <f>COUNTIFS(CUSTOMER!G:G,"&gt;="&amp;"2022-12-01",CUSTOMER!G:G,"&lt;="&amp;"2022-12-31")</f>
        <v>4</v>
      </c>
      <c r="E24" s="42">
        <f t="shared" si="0"/>
        <v>0.7355191256830601</v>
      </c>
      <c r="F24" s="42">
        <f t="shared" si="1"/>
        <v>0.2644808743169399</v>
      </c>
    </row>
    <row r="25" spans="1:6" x14ac:dyDescent="0.3">
      <c r="A25" s="47">
        <v>44927</v>
      </c>
      <c r="B25" s="43">
        <f>COUNTIFS(CUSTOMER!G:G,"&lt;="&amp;"2023-01-01",CUSTOMER!H:H,"&gt;"&amp;"2023-01-01")</f>
        <v>666</v>
      </c>
      <c r="C25" s="31">
        <f>COUNTIFS(CUSTOMER!G:G,"&lt;="&amp;"2023-01-31",CUSTOMER!H:H,"&gt;="&amp;"2023-01-31")</f>
        <v>406</v>
      </c>
      <c r="D25" s="31">
        <f>COUNTIFS(CUSTOMER!G:G,"&gt;="&amp;"2023-01-01",CUSTOMER!G:G,"&lt;="&amp;"2023-01-31")</f>
        <v>2</v>
      </c>
      <c r="E25" s="44">
        <f t="shared" si="0"/>
        <v>0.60660660660660659</v>
      </c>
      <c r="F25" s="51">
        <f t="shared" si="1"/>
        <v>0.39339339339339341</v>
      </c>
    </row>
    <row r="26" spans="1:6" x14ac:dyDescent="0.3">
      <c r="A26" s="47">
        <v>44958</v>
      </c>
      <c r="B26" s="43">
        <f>COUNTIFS(CUSTOMER!G:G,"&lt;="&amp;"2023-02-01",CUSTOMER!H:H,"&gt;"&amp;"2023-02-01")</f>
        <v>389</v>
      </c>
      <c r="C26" s="31">
        <f>COUNTIFS(CUSTOMER!G:G,"&lt;="&amp;"2023-02-28",CUSTOMER!H:H,"&gt;="&amp;"2023-02-28")</f>
        <v>108</v>
      </c>
      <c r="D26" s="31">
        <f>COUNTIFS(CUSTOMER!G:G,"&gt;="&amp;"2023-02-01",CUSTOMER!G:G,"&lt;="&amp;"2023-02-28")</f>
        <v>4</v>
      </c>
      <c r="E26" s="44">
        <f t="shared" si="0"/>
        <v>0.26735218508997427</v>
      </c>
      <c r="F26" s="51">
        <f t="shared" si="1"/>
        <v>0.73264781491002573</v>
      </c>
    </row>
    <row r="28" spans="1:6" x14ac:dyDescent="0.3">
      <c r="B28"/>
    </row>
    <row r="29" spans="1:6" x14ac:dyDescent="0.3">
      <c r="B29"/>
    </row>
    <row r="30" spans="1:6" x14ac:dyDescent="0.3">
      <c r="B30"/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EDAD-353D-4F0A-8CB2-ACFCE176C34A}">
  <dimension ref="A1:I39"/>
  <sheetViews>
    <sheetView tabSelected="1" workbookViewId="0">
      <selection activeCell="D2" sqref="D2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2" t="s">
        <v>12050</v>
      </c>
      <c r="B1" s="22" t="s">
        <v>12054</v>
      </c>
      <c r="C1" s="29" t="s">
        <v>12055</v>
      </c>
      <c r="D1" s="29" t="s">
        <v>12056</v>
      </c>
      <c r="E1" s="29" t="s">
        <v>12057</v>
      </c>
      <c r="F1" s="29" t="s">
        <v>12059</v>
      </c>
      <c r="G1"/>
    </row>
    <row r="2" spans="1:9" x14ac:dyDescent="0.3">
      <c r="A2" s="45">
        <v>44228</v>
      </c>
      <c r="B2" s="38">
        <f>COUNTIFS(CUSTOMER!G:G,"&lt;="&amp;"2021-02-01",CUSTOMER!H:H,"&gt;"&amp;"2021-02-01", CUSTOMER!B:B,"Female")</f>
        <v>212</v>
      </c>
      <c r="C2" s="39">
        <f>COUNTIFS(CUSTOMER!G:G,"&lt;="&amp;"2021-02-28",CUSTOMER!H:H,"&gt;="&amp;"2021-02-28",CUSTOMER!B:B,"Female")</f>
        <v>352</v>
      </c>
      <c r="D2" s="39">
        <f>COUNTIFS(CUSTOMER!G:G,"&gt;="&amp;"2021-02-01",CUSTOMER!G:G,"&lt;="&amp;"2021-02-28",CUSTOMER!B:B,"Female")</f>
        <v>144</v>
      </c>
      <c r="E2" s="40">
        <f>((C2-D2)*100%)/B2</f>
        <v>0.98113207547169812</v>
      </c>
      <c r="F2" s="40">
        <f>1-E2</f>
        <v>1.8867924528301883E-2</v>
      </c>
      <c r="G2"/>
      <c r="I2">
        <f>COUNTIFS(CUSTOMER!G:G,"&gt;="&amp;"2021-02-01",CUSTOMER!G:G,"&lt;="&amp;"2021-02-28")</f>
        <v>245</v>
      </c>
    </row>
    <row r="3" spans="1:9" x14ac:dyDescent="0.3">
      <c r="A3" s="45">
        <v>44256</v>
      </c>
      <c r="B3" s="38">
        <f>COUNTIFS(CUSTOMER!G:G,"&lt;="&amp;"2021-03-01",CUSTOMER!H:H,"&gt;"&amp;"2021-03-01", CUSTOMER!B:B,"Female")</f>
        <v>354</v>
      </c>
      <c r="C3" s="39">
        <f>COUNTIFS(CUSTOMER!G:G,"&lt;="&amp;"2021-03-31",CUSTOMER!H:H,"&gt;="&amp;"2021-03-31",CUSTOMER!B:B,"Female")</f>
        <v>504</v>
      </c>
      <c r="D3" s="39">
        <f>COUNTIFS(CUSTOMER!G:G,"&gt;="&amp;"2021-03-01",CUSTOMER!G:G,"&lt;="&amp;"2021-03-31",CUSTOMER!B:B,"Female")</f>
        <v>152</v>
      </c>
      <c r="E3" s="40">
        <f t="shared" ref="E3:E26" si="0">((C3-D3)*100%)/B3</f>
        <v>0.99435028248587576</v>
      </c>
      <c r="F3" s="40">
        <f t="shared" ref="F3:G27" si="1">1-E3</f>
        <v>5.6497175141242417E-3</v>
      </c>
      <c r="G3"/>
    </row>
    <row r="4" spans="1:9" x14ac:dyDescent="0.3">
      <c r="A4" s="45">
        <v>44287</v>
      </c>
      <c r="B4" s="38">
        <f>COUNTIFS(CUSTOMER!G:G,"&lt;="&amp;"2021-04-01",CUSTOMER!H:H,"&gt;"&amp;"2021-04-01",CUSTOMER!B:B,"Female")</f>
        <v>506</v>
      </c>
      <c r="C4" s="39">
        <f>COUNTIFS(CUSTOMER!G:G,"&lt;="&amp;"2021-04-30",CUSTOMER!H:H,"&gt;="&amp;"2021-04-30",CUSTOMER!B:B,"Female")</f>
        <v>635</v>
      </c>
      <c r="D4" s="39">
        <f>COUNTIFS(CUSTOMER!G:G,"&gt;="&amp;"2021-04-01",CUSTOMER!G:G,"&lt;="&amp;"2021-04-30",CUSTOMER!B:B,"Female")</f>
        <v>131</v>
      </c>
      <c r="E4" s="40">
        <f t="shared" si="0"/>
        <v>0.99604743083003955</v>
      </c>
      <c r="F4" s="40">
        <f t="shared" si="1"/>
        <v>3.9525691699604515E-3</v>
      </c>
      <c r="G4"/>
    </row>
    <row r="5" spans="1:9" x14ac:dyDescent="0.3">
      <c r="A5" s="45">
        <v>44317</v>
      </c>
      <c r="B5" s="38">
        <f>COUNTIFS(CUSTOMER!G:G,"&lt;="&amp;"2021-05-01",CUSTOMER!H:H,"&gt;"&amp;"2021-05-01",CUSTOMER!B:B,"Female")</f>
        <v>636</v>
      </c>
      <c r="C5" s="39">
        <f>COUNTIFS(CUSTOMER!G:G,"&lt;="&amp;"2021-05-31",CUSTOMER!H:H,"&gt;="&amp;"2021-05-31",CUSTOMER!B:B,"Female")</f>
        <v>722</v>
      </c>
      <c r="D5" s="39">
        <f>COUNTIFS(CUSTOMER!G:G,"&gt;="&amp;"2021-05-01",CUSTOMER!G:G,"&lt;="&amp;"2021-05-31",CUSTOMER!B:B,"Female")</f>
        <v>88</v>
      </c>
      <c r="E5" s="40">
        <f t="shared" si="0"/>
        <v>0.99685534591194969</v>
      </c>
      <c r="F5" s="40">
        <f t="shared" si="1"/>
        <v>3.1446540880503138E-3</v>
      </c>
      <c r="G5"/>
    </row>
    <row r="6" spans="1:9" x14ac:dyDescent="0.3">
      <c r="A6" s="45">
        <v>44348</v>
      </c>
      <c r="B6" s="38">
        <f>COUNTIFS(CUSTOMER!G:G,"&lt;="&amp;"2021-06-01",CUSTOMER!H:H,"&gt;"&amp;"2021-06-01",CUSTOMER!B:B,"Female")</f>
        <v>728</v>
      </c>
      <c r="C6" s="39">
        <f>COUNTIFS(CUSTOMER!G:G,"&lt;="&amp;"2021-06-30",CUSTOMER!H:H,"&gt;="&amp;"2021-06-30",CUSTOMER!B:B,"Female")</f>
        <v>815</v>
      </c>
      <c r="D6" s="39">
        <f>COUNTIFS(CUSTOMER!G:G,"&gt;="&amp;"2021-06-01",CUSTOMER!G:G,"&lt;="&amp;"2021-06-30",CUSTOMER!B:B,"Female")</f>
        <v>100</v>
      </c>
      <c r="E6" s="40">
        <f t="shared" si="0"/>
        <v>0.9821428571428571</v>
      </c>
      <c r="F6" s="40">
        <f t="shared" si="1"/>
        <v>1.7857142857142905E-2</v>
      </c>
      <c r="G6"/>
      <c r="H6" t="s">
        <v>12058</v>
      </c>
    </row>
    <row r="7" spans="1:9" x14ac:dyDescent="0.3">
      <c r="A7" s="45">
        <v>44378</v>
      </c>
      <c r="B7" s="38">
        <f>COUNTIFS(CUSTOMER!G:G,"&lt;="&amp;"2021-07-01",CUSTOMER!H:H,"&gt;"&amp;"2021-07-01",CUSTOMER!B:B,"Female")</f>
        <v>817</v>
      </c>
      <c r="C7" s="39">
        <f>COUNTIFS(CUSTOMER!G:G,"&lt;="&amp;"2021-07-31",CUSTOMER!H:H,"&gt;="&amp;"2021-07-31",CUSTOMER!B:B,"Female")</f>
        <v>886</v>
      </c>
      <c r="D7" s="39">
        <f>COUNTIFS(CUSTOMER!G:G,"&gt;="&amp;"2021-07-01",CUSTOMER!G:G,"&lt;="&amp;"2021-07-31",CUSTOMER!B:B,"Female")</f>
        <v>76</v>
      </c>
      <c r="E7" s="40">
        <f t="shared" si="0"/>
        <v>0.99143206854345167</v>
      </c>
      <c r="F7" s="40">
        <f t="shared" si="1"/>
        <v>8.5679314565483278E-3</v>
      </c>
      <c r="G7"/>
    </row>
    <row r="8" spans="1:9" x14ac:dyDescent="0.3">
      <c r="A8" s="45">
        <v>44409</v>
      </c>
      <c r="B8" s="38">
        <f>COUNTIFS(CUSTOMER!G:G,"&lt;="&amp;"2021-08-01",CUSTOMER!H:H,"&gt;"&amp;"2021-08-01",CUSTOMER!B:B,"Female")</f>
        <v>889</v>
      </c>
      <c r="C8" s="39">
        <f>COUNTIFS(CUSTOMER!G:G,"&lt;="&amp;"2021-08-31",CUSTOMER!H:H,"&gt;="&amp;"2021-08-31",CUSTOMER!B:B,"Female")</f>
        <v>938</v>
      </c>
      <c r="D8" s="39">
        <f>COUNTIFS(CUSTOMER!G:G,"&gt;="&amp;"2021-08-01",CUSTOMER!G:G,"&lt;="&amp;"2021-08-31",CUSTOMER!B:B,"Female")</f>
        <v>60</v>
      </c>
      <c r="E8" s="40">
        <f t="shared" si="0"/>
        <v>0.98762654668166483</v>
      </c>
      <c r="F8" s="40">
        <f t="shared" si="1"/>
        <v>1.237345331833517E-2</v>
      </c>
      <c r="G8"/>
    </row>
    <row r="9" spans="1:9" x14ac:dyDescent="0.3">
      <c r="A9" s="45">
        <v>44440</v>
      </c>
      <c r="B9" s="38">
        <f>COUNTIFS(CUSTOMER!G:G,"&lt;="&amp;"2021-09-01",CUSTOMER!H:H,"&gt;"&amp;"2021-09-01",CUSTOMER!B:B,"Female")</f>
        <v>941</v>
      </c>
      <c r="C9" s="39">
        <f>COUNTIFS(CUSTOMER!G:G,"&lt;="&amp;"2021-09-30",CUSTOMER!H:H,"&gt;="&amp;"2021-09-30",CUSTOMER!B:B,"Female")</f>
        <v>988</v>
      </c>
      <c r="D9" s="39">
        <f>COUNTIFS(CUSTOMER!G:G,"&gt;="&amp;"2021-09-01",CUSTOMER!G:G,"&lt;="&amp;"2021-09-30",CUSTOMER!B:B,"Female")</f>
        <v>58</v>
      </c>
      <c r="E9" s="40">
        <f t="shared" si="0"/>
        <v>0.98831030818278431</v>
      </c>
      <c r="F9" s="40">
        <f t="shared" si="1"/>
        <v>1.1689691817215686E-2</v>
      </c>
      <c r="G9"/>
    </row>
    <row r="10" spans="1:9" x14ac:dyDescent="0.3">
      <c r="A10" s="45">
        <v>44470</v>
      </c>
      <c r="B10" s="38">
        <f>COUNTIFS(CUSTOMER!G:G,"&lt;="&amp;"2021-10-01",CUSTOMER!H:H,"&gt;"&amp;"2021-10-01",CUSTOMER!B:B,"Female")</f>
        <v>988</v>
      </c>
      <c r="C10" s="39">
        <f>COUNTIFS(CUSTOMER!G:G,"&lt;="&amp;"2021-10-31",CUSTOMER!H:H,"&gt;="&amp;"2021-10-31",CUSTOMER!B:B,"Female")</f>
        <v>1014</v>
      </c>
      <c r="D10" s="39">
        <f>COUNTIFS(CUSTOMER!G:G,"&gt;="&amp;"2021-10-01",CUSTOMER!G:G,"&lt;="&amp;"2021-10-31",CUSTOMER!B:B,"Female")</f>
        <v>35</v>
      </c>
      <c r="E10" s="40">
        <f t="shared" si="0"/>
        <v>0.99089068825910931</v>
      </c>
      <c r="F10" s="40">
        <f t="shared" si="1"/>
        <v>9.109311740890691E-3</v>
      </c>
      <c r="G10"/>
    </row>
    <row r="11" spans="1:9" x14ac:dyDescent="0.3">
      <c r="A11" s="45">
        <v>44501</v>
      </c>
      <c r="B11" s="38">
        <f>COUNTIFS(CUSTOMER!G:G,"&lt;="&amp;"2021-11-01",CUSTOMER!H:H,"&gt;"&amp;"2021-11-01",CUSTOMER!B:B,"Female")</f>
        <v>1017</v>
      </c>
      <c r="C11" s="39">
        <f>COUNTIFS(CUSTOMER!G:G,"&lt;="&amp;"2021-11-30",CUSTOMER!H:H,"&gt;="&amp;"2021-11-30",CUSTOMER!B:B,"Female")</f>
        <v>1033</v>
      </c>
      <c r="D11" s="39">
        <f>COUNTIFS(CUSTOMER!G:G,"&gt;="&amp;"2021-11-01",CUSTOMER!G:G,"&lt;="&amp;"2021-11-30",CUSTOMER!B:B,"Female")</f>
        <v>32</v>
      </c>
      <c r="E11" s="40">
        <f t="shared" si="0"/>
        <v>0.984267453294002</v>
      </c>
      <c r="F11" s="40">
        <f t="shared" si="1"/>
        <v>1.5732546705997996E-2</v>
      </c>
      <c r="G11"/>
    </row>
    <row r="12" spans="1:9" x14ac:dyDescent="0.3">
      <c r="A12" s="45">
        <v>44531</v>
      </c>
      <c r="B12" s="38">
        <f>COUNTIFS(CUSTOMER!G:G,"&lt;="&amp;"2021-12-01",CUSTOMER!H:H,"&gt;"&amp;"2021-12-01",CUSTOMER!B:B,"Female")</f>
        <v>1033</v>
      </c>
      <c r="C12" s="39">
        <f>COUNTIFS(CUSTOMER!G:G,"&lt;="&amp;"2021-12-31",CUSTOMER!H:H,"&gt;="&amp;"2021-12-31",CUSTOMER!B:B,"Female")</f>
        <v>1040</v>
      </c>
      <c r="D12" s="39">
        <f>COUNTIFS(CUSTOMER!G:G,"&gt;="&amp;"2021-12-01",CUSTOMER!G:G,"&lt;="&amp;"2021-12-31",CUSTOMER!B:B,"Female")</f>
        <v>22</v>
      </c>
      <c r="E12" s="40">
        <f t="shared" si="0"/>
        <v>0.98547918683446278</v>
      </c>
      <c r="F12" s="40">
        <f t="shared" si="1"/>
        <v>1.4520813165537216E-2</v>
      </c>
      <c r="G12"/>
    </row>
    <row r="13" spans="1:9" x14ac:dyDescent="0.3">
      <c r="A13" s="46">
        <v>44562</v>
      </c>
      <c r="B13" s="27">
        <f>COUNTIFS(CUSTOMER!G:G,"&lt;="&amp;"2022-01-01",CUSTOMER!H:H,"&gt;"&amp;"2022-01-01",CUSTOMER!B:B,"Female")</f>
        <v>1039</v>
      </c>
      <c r="C13" s="41">
        <f>COUNTIFS(CUSTOMER!G:G,"&lt;="&amp;"2022-01-31",CUSTOMER!H:H,"&gt;="&amp;"2022-01-31",CUSTOMER!B:B,"Female")</f>
        <v>1047</v>
      </c>
      <c r="D13" s="41">
        <f>COUNTIFS(CUSTOMER!G:G,"&gt;="&amp;"2022-01-01",CUSTOMER!G:G,"&lt;="&amp;"2022-01-31",CUSTOMER!B:B,"Female")</f>
        <v>19</v>
      </c>
      <c r="E13" s="42">
        <f t="shared" si="0"/>
        <v>0.98941289701636193</v>
      </c>
      <c r="F13" s="42">
        <f t="shared" si="1"/>
        <v>1.0587102983638075E-2</v>
      </c>
      <c r="G13"/>
    </row>
    <row r="14" spans="1:9" x14ac:dyDescent="0.3">
      <c r="A14" s="46">
        <v>44593</v>
      </c>
      <c r="B14" s="27">
        <f>COUNTIFS(CUSTOMER!G:G,"&lt;="&amp;"2022-02-01",CUSTOMER!H:H,"&gt;"&amp;"2022-02-01",CUSTOMER!B:B,"Female")</f>
        <v>1048</v>
      </c>
      <c r="C14" s="41">
        <f>COUNTIFS(CUSTOMER!G:G,"&lt;="&amp;"2022-02-28",CUSTOMER!H:H,"&gt;="&amp;"2022-02-28",CUSTOMER!B:B,"Female")</f>
        <v>1037</v>
      </c>
      <c r="D14" s="41">
        <f>COUNTIFS(CUSTOMER!G:G,"&gt;="&amp;"2022-02-01",CUSTOMER!G:G,"&lt;="&amp;"2022-02-28",CUSTOMER!B:B,"Female")</f>
        <v>16</v>
      </c>
      <c r="E14" s="42">
        <f t="shared" si="0"/>
        <v>0.9742366412213741</v>
      </c>
      <c r="F14" s="42">
        <f t="shared" si="1"/>
        <v>2.57633587786259E-2</v>
      </c>
      <c r="G14"/>
    </row>
    <row r="15" spans="1:9" x14ac:dyDescent="0.3">
      <c r="A15" s="46">
        <v>44621</v>
      </c>
      <c r="B15" s="27">
        <f>COUNTIFS(CUSTOMER!G:G,"&lt;="&amp;"2022-03-01",CUSTOMER!H:H,"&gt;"&amp;"2022-03-01",CUSTOMER!B:B,"Female")</f>
        <v>1035</v>
      </c>
      <c r="C15" s="41">
        <f>COUNTIFS(CUSTOMER!G:G,"&lt;="&amp;"2022-03-31",CUSTOMER!H:H,"&gt;="&amp;"2022-03-31",CUSTOMER!B:B,"Female")</f>
        <v>1027</v>
      </c>
      <c r="D15" s="41">
        <f>COUNTIFS(CUSTOMER!G:G,"&gt;="&amp;"2022-03-01",CUSTOMER!G:G,"&lt;="&amp;"2022-03-31",CUSTOMER!B:B,"Female")</f>
        <v>11</v>
      </c>
      <c r="E15" s="42">
        <f t="shared" si="0"/>
        <v>0.98164251207729469</v>
      </c>
      <c r="F15" s="42">
        <f t="shared" si="1"/>
        <v>1.8357487922705307E-2</v>
      </c>
      <c r="G15"/>
    </row>
    <row r="16" spans="1:9" x14ac:dyDescent="0.3">
      <c r="A16" s="46">
        <v>44652</v>
      </c>
      <c r="B16" s="27">
        <f>COUNTIFS(CUSTOMER!G:G,"&lt;="&amp;"2022-04-01",CUSTOMER!H:H,"&gt;"&amp;"2022-04-01",CUSTOMER!B:B,"Female")</f>
        <v>1025</v>
      </c>
      <c r="C16" s="41">
        <f>COUNTIFS(CUSTOMER!G:G,"&lt;="&amp;"2022-04-30",CUSTOMER!H:H,"&gt;="&amp;"2022-04-30",CUSTOMER!B:B,"Female")</f>
        <v>999</v>
      </c>
      <c r="D16" s="41">
        <f>COUNTIFS(CUSTOMER!G:G,"&gt;="&amp;"2022-04-01",CUSTOMER!G:G,"&lt;="&amp;"2022-04-30",CUSTOMER!B:B,"Female")</f>
        <v>4</v>
      </c>
      <c r="E16" s="42">
        <f t="shared" si="0"/>
        <v>0.97073170731707314</v>
      </c>
      <c r="F16" s="42">
        <f t="shared" si="1"/>
        <v>2.9268292682926855E-2</v>
      </c>
      <c r="G16"/>
    </row>
    <row r="17" spans="1:7" x14ac:dyDescent="0.3">
      <c r="A17" s="46">
        <v>44682</v>
      </c>
      <c r="B17" s="27">
        <f>COUNTIFS(CUSTOMER!G:G,"&lt;="&amp;"2022-05-01",CUSTOMER!H:H,"&gt;"&amp;"2022-05-01",CUSTOMER!B:B,"Female")</f>
        <v>996</v>
      </c>
      <c r="C17" s="41">
        <f>COUNTIFS(CUSTOMER!G:G,"&lt;="&amp;"2022-05-31",CUSTOMER!H:H,"&gt;="&amp;"2022-05-31",CUSTOMER!B:B,"Female")</f>
        <v>976</v>
      </c>
      <c r="D17" s="41">
        <f>COUNTIFS(CUSTOMER!G:G,"&gt;="&amp;"2022-05-01",CUSTOMER!G:G,"&lt;="&amp;"2022-05-31",CUSTOMER!B:B,"Female")</f>
        <v>11</v>
      </c>
      <c r="E17" s="42">
        <f t="shared" si="0"/>
        <v>0.96887550200803207</v>
      </c>
      <c r="F17" s="42">
        <f t="shared" si="1"/>
        <v>3.1124497991967925E-2</v>
      </c>
      <c r="G17"/>
    </row>
    <row r="18" spans="1:7" x14ac:dyDescent="0.3">
      <c r="A18" s="46">
        <v>44713</v>
      </c>
      <c r="B18" s="27">
        <f>COUNTIFS(CUSTOMER!G:G,"&lt;="&amp;"2022-06-01",CUSTOMER!H:H,"&gt;"&amp;"2022-06-01",CUSTOMER!B:B,"Female")</f>
        <v>974</v>
      </c>
      <c r="C18" s="41">
        <f>COUNTIFS(CUSTOMER!G:G,"&lt;="&amp;"2022-06-30",CUSTOMER!H:H,"&gt;="&amp;"2022-06-30",CUSTOMER!B:B,"Female")</f>
        <v>944</v>
      </c>
      <c r="D18" s="41">
        <f>COUNTIFS(CUSTOMER!G:G,"&gt;="&amp;"2022-06-01",CUSTOMER!G:G,"&lt;="&amp;"2022-06-30",CUSTOMER!B:B,"Female")</f>
        <v>4</v>
      </c>
      <c r="E18" s="42">
        <f t="shared" si="0"/>
        <v>0.96509240246406569</v>
      </c>
      <c r="F18" s="42">
        <f t="shared" si="1"/>
        <v>3.4907597535934309E-2</v>
      </c>
      <c r="G18"/>
    </row>
    <row r="19" spans="1:7" x14ac:dyDescent="0.3">
      <c r="A19" s="46">
        <v>44743</v>
      </c>
      <c r="B19" s="27">
        <f>COUNTIFS(CUSTOMER!G:G,"&lt;="&amp;"2022-07-01",CUSTOMER!H:H,"&gt;"&amp;"2022-07-01",CUSTOMER!B:B,"Female")</f>
        <v>940</v>
      </c>
      <c r="C19" s="41">
        <f>COUNTIFS(CUSTOMER!G:G,"&lt;="&amp;"2022-07-31",CUSTOMER!H:H,"&gt;="&amp;"2022-07-31",CUSTOMER!B:B,"Female")</f>
        <v>894</v>
      </c>
      <c r="D19" s="41">
        <f>COUNTIFS(CUSTOMER!G:G,"&gt;="&amp;"2022-07-01",CUSTOMER!G:G,"&lt;="&amp;"2022-07-31",CUSTOMER!B:B,"Female")</f>
        <v>6</v>
      </c>
      <c r="E19" s="42">
        <f t="shared" si="0"/>
        <v>0.94468085106382982</v>
      </c>
      <c r="F19" s="42">
        <f t="shared" si="1"/>
        <v>5.5319148936170182E-2</v>
      </c>
      <c r="G19"/>
    </row>
    <row r="20" spans="1:7" x14ac:dyDescent="0.3">
      <c r="A20" s="46">
        <v>44774</v>
      </c>
      <c r="B20" s="27">
        <f>COUNTIFS(CUSTOMER!G:G,"&lt;="&amp;"2022-08-01",CUSTOMER!H:H,"&gt;"&amp;"2022-08-01",CUSTOMER!B:B,"Female")</f>
        <v>885</v>
      </c>
      <c r="C20" s="41">
        <f>COUNTIFS(CUSTOMER!G:G,"&lt;="&amp;"2022-08-31",CUSTOMER!H:H,"&gt;="&amp;"2022-08-31",CUSTOMER!B:B,"Female")</f>
        <v>821</v>
      </c>
      <c r="D20" s="41">
        <f>COUNTIFS(CUSTOMER!G:G,"&gt;="&amp;"2022-08-01",CUSTOMER!G:G,"&lt;="&amp;"2022-08-31",CUSTOMER!B:B,"Female")</f>
        <v>7</v>
      </c>
      <c r="E20" s="42">
        <f t="shared" si="0"/>
        <v>0.91977401129943503</v>
      </c>
      <c r="F20" s="42">
        <f t="shared" si="1"/>
        <v>8.0225988700564965E-2</v>
      </c>
      <c r="G20"/>
    </row>
    <row r="21" spans="1:7" x14ac:dyDescent="0.3">
      <c r="A21" s="46">
        <v>44805</v>
      </c>
      <c r="B21" s="27">
        <f>COUNTIFS(CUSTOMER!G:G,"&lt;="&amp;"2022-09-01",CUSTOMER!H:H,"&gt;"&amp;"2022-09-01",CUSTOMER!B:B,"Female")</f>
        <v>820</v>
      </c>
      <c r="C21" s="41">
        <f>COUNTIFS(CUSTOMER!G:G,"&lt;="&amp;"2022-09-30",CUSTOMER!H:H,"&gt;="&amp;"2022-09-30",CUSTOMER!B:B,"Female")</f>
        <v>755</v>
      </c>
      <c r="D21" s="41">
        <f>COUNTIFS(CUSTOMER!G:G,"&gt;="&amp;"2022-09-01",CUSTOMER!G:G,"&lt;="&amp;"2022-09-30",CUSTOMER!B:B,"Female")</f>
        <v>2</v>
      </c>
      <c r="E21" s="42">
        <f t="shared" si="0"/>
        <v>0.91829268292682931</v>
      </c>
      <c r="F21" s="42">
        <f t="shared" si="1"/>
        <v>8.1707317073170693E-2</v>
      </c>
      <c r="G21"/>
    </row>
    <row r="22" spans="1:7" x14ac:dyDescent="0.3">
      <c r="A22" s="46">
        <v>44835</v>
      </c>
      <c r="B22" s="27">
        <f>COUNTIFS(CUSTOMER!G:G,"&lt;="&amp;"2022-10-01",CUSTOMER!H:H,"&gt;"&amp;"2022-10-01",CUSTOMER!B:B,"Female")</f>
        <v>750</v>
      </c>
      <c r="C22" s="41">
        <f>COUNTIFS(CUSTOMER!G:G,"&lt;="&amp;"2022-10-31",CUSTOMER!H:H,"&gt;="&amp;"2022-10-31",CUSTOMER!B:B,"Female")</f>
        <v>673</v>
      </c>
      <c r="D22" s="41">
        <f>COUNTIFS(CUSTOMER!G:G,"&gt;="&amp;"2022-10-01",CUSTOMER!G:G,"&lt;="&amp;"2022-10-31",CUSTOMER!B:B,"Female")</f>
        <v>6</v>
      </c>
      <c r="E22" s="42">
        <f t="shared" si="0"/>
        <v>0.88933333333333331</v>
      </c>
      <c r="F22" s="42">
        <f t="shared" si="1"/>
        <v>0.11066666666666669</v>
      </c>
      <c r="G22"/>
    </row>
    <row r="23" spans="1:7" x14ac:dyDescent="0.3">
      <c r="A23" s="46">
        <v>44866</v>
      </c>
      <c r="B23" s="27">
        <f>COUNTIFS(CUSTOMER!G:G,"&lt;="&amp;"2022-11-01",CUSTOMER!H:H,"&gt;"&amp;"2022-11-01",CUSTOMER!B:B,"Female")</f>
        <v>664</v>
      </c>
      <c r="C23" s="41">
        <f>COUNTIFS(CUSTOMER!G:G,"&lt;="&amp;"2022-11-30",CUSTOMER!H:H,"&gt;="&amp;"2022-11-30",CUSTOMER!B:B,"Female")</f>
        <v>564</v>
      </c>
      <c r="D23" s="41">
        <f>COUNTIFS(CUSTOMER!G:G,"&gt;="&amp;"2022-11-01",CUSTOMER!G:G,"&lt;="&amp;"2022-11-30",CUSTOMER!B:B,"Female")</f>
        <v>4</v>
      </c>
      <c r="E23" s="42">
        <f t="shared" si="0"/>
        <v>0.84337349397590367</v>
      </c>
      <c r="F23" s="42">
        <f t="shared" si="1"/>
        <v>0.15662650602409633</v>
      </c>
      <c r="G23"/>
    </row>
    <row r="24" spans="1:7" x14ac:dyDescent="0.3">
      <c r="A24" s="46">
        <v>44896</v>
      </c>
      <c r="B24" s="27">
        <f>COUNTIFS(CUSTOMER!G:G,"&lt;="&amp;"2022-12-01",CUSTOMER!H:H,"&gt;"&amp;"2022-12-01",CUSTOMER!B:B,"Female")</f>
        <v>560</v>
      </c>
      <c r="C24" s="41">
        <f>COUNTIFS(CUSTOMER!G:G,"&lt;="&amp;"2022-12-31",CUSTOMER!H:H,"&gt;="&amp;"2022-12-31",CUSTOMER!B:B,"Female")</f>
        <v>413</v>
      </c>
      <c r="D24" s="41">
        <f>COUNTIFS(CUSTOMER!G:G,"&gt;="&amp;"2022-12-01",CUSTOMER!G:G,"&lt;="&amp;"2022-12-31",CUSTOMER!B:B,"Female")</f>
        <v>4</v>
      </c>
      <c r="E24" s="42">
        <f t="shared" si="0"/>
        <v>0.73035714285714282</v>
      </c>
      <c r="F24" s="42">
        <f t="shared" si="1"/>
        <v>0.26964285714285718</v>
      </c>
      <c r="G24"/>
    </row>
    <row r="25" spans="1:7" x14ac:dyDescent="0.3">
      <c r="A25" s="47">
        <v>44927</v>
      </c>
      <c r="B25" s="43">
        <f>COUNTIFS(CUSTOMER!G:G,"&lt;="&amp;"2023-01-01",CUSTOMER!H:H,"&gt;"&amp;"2023-01-01",CUSTOMER!B:B,"Female")</f>
        <v>407</v>
      </c>
      <c r="C25" s="31">
        <f>COUNTIFS(CUSTOMER!G:G,"&lt;="&amp;"2023-01-31",CUSTOMER!H:H,"&gt;="&amp;"2023-01-31",CUSTOMER!B:B,"Female")</f>
        <v>248</v>
      </c>
      <c r="D25" s="31">
        <f>COUNTIFS(CUSTOMER!G:G,"&gt;="&amp;"2023-01-01",CUSTOMER!G:G,"&lt;="&amp;"2023-01-31",CUSTOMER!B:B,"Female")</f>
        <v>2</v>
      </c>
      <c r="E25" s="44">
        <f t="shared" si="0"/>
        <v>0.60442260442260443</v>
      </c>
      <c r="F25" s="51">
        <f t="shared" si="1"/>
        <v>0.39557739557739557</v>
      </c>
      <c r="G25"/>
    </row>
    <row r="26" spans="1:7" x14ac:dyDescent="0.3">
      <c r="A26" s="47">
        <v>44958</v>
      </c>
      <c r="B26" s="43">
        <f>COUNTIFS(CUSTOMER!G:G,"&lt;="&amp;"2023-02-01",CUSTOMER!H:H,"&gt;"&amp;"2023-02-01",CUSTOMER!B:B,"Female")</f>
        <v>238</v>
      </c>
      <c r="C26" s="31">
        <f>COUNTIFS(CUSTOMER!G:G,"&lt;="&amp;"2023-02-28",CUSTOMER!H:H,"&gt;="&amp;"2023-02-28",CUSTOMER!B:B,"Female")</f>
        <v>64</v>
      </c>
      <c r="D26" s="31">
        <f>COUNTIFS(CUSTOMER!G:G,"&gt;="&amp;"2023-02-01",CUSTOMER!G:G,"&lt;="&amp;"2023-02-28",CUSTOMER!B:B,"Female")</f>
        <v>3</v>
      </c>
      <c r="E26" s="44">
        <f t="shared" si="0"/>
        <v>0.25630252100840334</v>
      </c>
      <c r="F26" s="51">
        <f t="shared" si="1"/>
        <v>0.74369747899159666</v>
      </c>
      <c r="G26"/>
    </row>
    <row r="27" spans="1:7" x14ac:dyDescent="0.3">
      <c r="A27" s="37"/>
      <c r="F27" s="30">
        <f>AVERAGE(E1:E26)</f>
        <v>0.91340250186518324</v>
      </c>
      <c r="G27" s="30">
        <f t="shared" si="1"/>
        <v>8.6597498134816764E-2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BFED-DF48-4929-9A31-AE470D8A1947}">
  <dimension ref="A1:I39"/>
  <sheetViews>
    <sheetView workbookViewId="0">
      <selection activeCell="C3" sqref="C3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CUSTOMER!B:B,"Male")</f>
        <v>124</v>
      </c>
      <c r="D2" s="39">
        <f>COUNTIFS(CUSTOMER!G:G,"&lt;="&amp;"2021-02-28",CUSTOMER!H:H,"&gt;="&amp;"2021-02-28",CUSTOMER!B:B,"Male")</f>
        <v>222</v>
      </c>
      <c r="E2" s="39">
        <f>COUNTIFS(CUSTOMER!G:G,"&gt;="&amp;"2021-02-01",CUSTOMER!G:G,"&lt;="&amp;"2021-02-28",CUSTOMER!B:B,"Male")</f>
        <v>101</v>
      </c>
      <c r="F2" s="40">
        <f>((D2-E2)*100%)/C2</f>
        <v>0.97580645161290325</v>
      </c>
      <c r="G2" s="40">
        <f>1-F2</f>
        <v>2.4193548387096753E-2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CUSTOMER!B:B,"Male")</f>
        <v>223</v>
      </c>
      <c r="D3" s="39">
        <f>COUNTIFS(CUSTOMER!G:G,"&lt;="&amp;"2021-03-31",CUSTOMER!H:H,"&gt;="&amp;"2021-03-31",CUSTOMER!B:B,"Male")</f>
        <v>322</v>
      </c>
      <c r="E3" s="39">
        <f>COUNTIFS(CUSTOMER!G:G,"&gt;="&amp;"2021-03-01",CUSTOMER!G:G,"&lt;="&amp;"2021-03-31",CUSTOMER!B:B,"Male")</f>
        <v>100</v>
      </c>
      <c r="F3" s="40">
        <f t="shared" ref="F3:F26" si="0">((D3-E3)*100%)/C3</f>
        <v>0.99551569506726456</v>
      </c>
      <c r="G3" s="40">
        <f t="shared" ref="G3:G27" si="1">1-F3</f>
        <v>4.484304932735439E-3</v>
      </c>
    </row>
    <row r="4" spans="1:9" x14ac:dyDescent="0.3">
      <c r="A4" s="67"/>
      <c r="B4" s="45">
        <v>44287</v>
      </c>
      <c r="C4" s="38">
        <f>COUNTIFS(CUSTOMER!G:G,"&lt;="&amp;"2021-04-01",CUSTOMER!H:H,"&gt;"&amp;"2021-04-01",CUSTOMER!B:B,"Male")</f>
        <v>322</v>
      </c>
      <c r="D4" s="39">
        <f>COUNTIFS(CUSTOMER!G:G,"&lt;="&amp;"2021-04-30",CUSTOMER!H:H,"&gt;="&amp;"2021-04-30",CUSTOMER!B:B,"Male")</f>
        <v>403</v>
      </c>
      <c r="E4" s="39">
        <f>COUNTIFS(CUSTOMER!G:G,"&gt;="&amp;"2021-04-01",CUSTOMER!G:G,"&lt;="&amp;"2021-04-30",CUSTOMER!B:B,"Male")</f>
        <v>85</v>
      </c>
      <c r="F4" s="40">
        <f t="shared" si="0"/>
        <v>0.98757763975155277</v>
      </c>
      <c r="G4" s="40">
        <f t="shared" si="1"/>
        <v>1.2422360248447228E-2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COUNTIFS(CUSTOMER!G:G,"&lt;="&amp;"2021-05-01",CUSTOMER!H:H,"&gt;"&amp;"2021-05-01",CUSTOMER!B:B,"Male")</f>
        <v>407</v>
      </c>
      <c r="D5" s="39">
        <f>COUNTIFS(CUSTOMER!G:G,"&lt;="&amp;"2021-05-31",CUSTOMER!H:H,"&gt;="&amp;"2021-05-31",CUSTOMER!B:B,"Male")</f>
        <v>474</v>
      </c>
      <c r="E5" s="39">
        <f>COUNTIFS(CUSTOMER!G:G,"&gt;="&amp;"2021-05-01",CUSTOMER!G:G,"&lt;="&amp;"2021-05-31",CUSTOMER!B:B,"Male")</f>
        <v>72</v>
      </c>
      <c r="F5" s="40">
        <f t="shared" si="0"/>
        <v>0.98771498771498767</v>
      </c>
      <c r="G5" s="40">
        <f t="shared" si="1"/>
        <v>1.2285012285012331E-2</v>
      </c>
    </row>
    <row r="6" spans="1:9" x14ac:dyDescent="0.3">
      <c r="A6" s="67"/>
      <c r="B6" s="45">
        <v>44348</v>
      </c>
      <c r="C6" s="38">
        <f>COUNTIFS(CUSTOMER!G:G,"&lt;="&amp;"2021-06-01",CUSTOMER!H:H,"&gt;"&amp;"2021-06-01",CUSTOMER!B:B,"Male")</f>
        <v>480</v>
      </c>
      <c r="D6" s="39">
        <f>COUNTIFS(CUSTOMER!G:G,"&lt;="&amp;"2021-06-30",CUSTOMER!H:H,"&gt;="&amp;"2021-06-30",CUSTOMER!B:B,"Male")</f>
        <v>524</v>
      </c>
      <c r="E6" s="39">
        <f>COUNTIFS(CUSTOMER!G:G,"&gt;="&amp;"2021-06-01",CUSTOMER!G:G,"&lt;="&amp;"2021-06-30",CUSTOMER!B:B,"Male")</f>
        <v>54</v>
      </c>
      <c r="F6" s="40">
        <f t="shared" si="0"/>
        <v>0.97916666666666663</v>
      </c>
      <c r="G6" s="40">
        <f t="shared" si="1"/>
        <v>2.083333333333337E-2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COUNTIFS(CUSTOMER!G:G,"&lt;="&amp;"2021-07-01",CUSTOMER!H:H,"&gt;"&amp;"2021-07-01",CUSTOMER!B:B,"Male")</f>
        <v>525</v>
      </c>
      <c r="D7" s="39">
        <f>COUNTIFS(CUSTOMER!G:G,"&lt;="&amp;"2021-07-31",CUSTOMER!H:H,"&gt;="&amp;"2021-07-31",CUSTOMER!B:B,"Male")</f>
        <v>567</v>
      </c>
      <c r="E7" s="39">
        <f>COUNTIFS(CUSTOMER!G:G,"&gt;="&amp;"2021-07-01",CUSTOMER!G:G,"&lt;="&amp;"2021-07-31",CUSTOMER!B:B,"Male")</f>
        <v>47</v>
      </c>
      <c r="F7" s="40">
        <f t="shared" si="0"/>
        <v>0.99047619047619051</v>
      </c>
      <c r="G7" s="40">
        <f t="shared" si="1"/>
        <v>9.52380952380949E-3</v>
      </c>
    </row>
    <row r="8" spans="1:9" x14ac:dyDescent="0.3">
      <c r="A8" s="67"/>
      <c r="B8" s="45">
        <v>44409</v>
      </c>
      <c r="C8" s="38">
        <f>COUNTIFS(CUSTOMER!G:G,"&lt;="&amp;"2021-08-01",CUSTOMER!H:H,"&gt;"&amp;"2021-08-01",CUSTOMER!B:B,"Male")</f>
        <v>569</v>
      </c>
      <c r="D8" s="39">
        <f>COUNTIFS(CUSTOMER!G:G,"&lt;="&amp;"2021-08-31",CUSTOMER!H:H,"&gt;="&amp;"2021-08-31",CUSTOMER!B:B,"Male")</f>
        <v>599</v>
      </c>
      <c r="E8" s="39">
        <f>COUNTIFS(CUSTOMER!G:G,"&gt;="&amp;"2021-08-01",CUSTOMER!G:G,"&lt;="&amp;"2021-08-31",CUSTOMER!B:B,"Male")</f>
        <v>33</v>
      </c>
      <c r="F8" s="40">
        <f t="shared" si="0"/>
        <v>0.99472759226713536</v>
      </c>
      <c r="G8" s="40">
        <f t="shared" si="1"/>
        <v>5.2724077328646368E-3</v>
      </c>
    </row>
    <row r="9" spans="1:9" x14ac:dyDescent="0.3">
      <c r="A9" s="67"/>
      <c r="B9" s="45">
        <v>44440</v>
      </c>
      <c r="C9" s="38">
        <f>COUNTIFS(CUSTOMER!G:G,"&lt;="&amp;"2021-09-01",CUSTOMER!H:H,"&gt;"&amp;"2021-09-01",CUSTOMER!B:B,"Male")</f>
        <v>599</v>
      </c>
      <c r="D9" s="39">
        <f>COUNTIFS(CUSTOMER!G:G,"&lt;="&amp;"2021-09-30",CUSTOMER!H:H,"&gt;="&amp;"2021-09-30",CUSTOMER!B:B,"Male")</f>
        <v>629</v>
      </c>
      <c r="E9" s="39">
        <f>COUNTIFS(CUSTOMER!G:G,"&gt;="&amp;"2021-09-01",CUSTOMER!G:G,"&lt;="&amp;"2021-09-30",CUSTOMER!B:B,"Male")</f>
        <v>32</v>
      </c>
      <c r="F9" s="40">
        <f t="shared" si="0"/>
        <v>0.996661101836394</v>
      </c>
      <c r="G9" s="40">
        <f t="shared" si="1"/>
        <v>3.3388981636059967E-3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COUNTIFS(CUSTOMER!G:G,"&lt;="&amp;"2021-10-01",CUSTOMER!H:H,"&gt;"&amp;"2021-10-01",CUSTOMER!B:B,"Male")</f>
        <v>630</v>
      </c>
      <c r="D10" s="39">
        <f>COUNTIFS(CUSTOMER!G:G,"&lt;="&amp;"2021-10-31",CUSTOMER!H:H,"&gt;="&amp;"2021-10-31",CUSTOMER!B:B,"Male")</f>
        <v>658</v>
      </c>
      <c r="E10" s="39">
        <f>COUNTIFS(CUSTOMER!G:G,"&gt;="&amp;"2021-10-01",CUSTOMER!G:G,"&lt;="&amp;"2021-10-31",CUSTOMER!B:B,"Male")</f>
        <v>36</v>
      </c>
      <c r="F10" s="40">
        <f t="shared" si="0"/>
        <v>0.98730158730158735</v>
      </c>
      <c r="G10" s="40">
        <f t="shared" si="1"/>
        <v>1.2698412698412653E-2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COUNTIFS(CUSTOMER!G:G,"&lt;="&amp;"2021-11-01",CUSTOMER!H:H,"&gt;"&amp;"2021-11-01",CUSTOMER!B:B,"Male")</f>
        <v>658</v>
      </c>
      <c r="D11" s="39">
        <f>COUNTIFS(CUSTOMER!G:G,"&lt;="&amp;"2021-11-30",CUSTOMER!H:H,"&gt;="&amp;"2021-11-30",CUSTOMER!B:B,"Male")</f>
        <v>670</v>
      </c>
      <c r="E11" s="39">
        <f>COUNTIFS(CUSTOMER!G:G,"&gt;="&amp;"2021-11-01",CUSTOMER!G:G,"&lt;="&amp;"2021-11-30",CUSTOMER!B:B,"Male")</f>
        <v>18</v>
      </c>
      <c r="F11" s="40">
        <f t="shared" si="0"/>
        <v>0.99088145896656532</v>
      </c>
      <c r="G11" s="40">
        <f t="shared" si="1"/>
        <v>9.1185410334346795E-3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COUNTIFS(CUSTOMER!G:G,"&lt;="&amp;"2021-12-01",CUSTOMER!H:H,"&gt;"&amp;"2021-12-01",CUSTOMER!B:B,"Male")</f>
        <v>670</v>
      </c>
      <c r="D12" s="39">
        <f>COUNTIFS(CUSTOMER!G:G,"&lt;="&amp;"2021-12-31",CUSTOMER!H:H,"&gt;="&amp;"2021-12-31",CUSTOMER!B:B,"Male")</f>
        <v>682</v>
      </c>
      <c r="E12" s="39">
        <f>COUNTIFS(CUSTOMER!G:G,"&gt;="&amp;"2021-12-01",CUSTOMER!G:G,"&lt;="&amp;"2021-12-31",CUSTOMER!B:B,"Male")</f>
        <v>19</v>
      </c>
      <c r="F12" s="40">
        <f t="shared" si="0"/>
        <v>0.9895522388059701</v>
      </c>
      <c r="G12" s="40">
        <f t="shared" si="1"/>
        <v>1.0447761194029903E-2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COUNTIFS(CUSTOMER!G:G,"&lt;="&amp;"2022-01-01",CUSTOMER!H:H,"&gt;"&amp;"2022-01-01",CUSTOMER!B:B,"Male")</f>
        <v>682</v>
      </c>
      <c r="D13" s="41">
        <f>COUNTIFS(CUSTOMER!G:G,"&lt;="&amp;"2022-01-31",CUSTOMER!H:H,"&gt;="&amp;"2022-01-31",CUSTOMER!B:B,"Male")</f>
        <v>684</v>
      </c>
      <c r="E13" s="41">
        <f>COUNTIFS(CUSTOMER!G:G,"&gt;="&amp;"2022-01-01",CUSTOMER!G:G,"&lt;="&amp;"2022-01-31",CUSTOMER!B:B,"Male")</f>
        <v>13</v>
      </c>
      <c r="F13" s="42">
        <f t="shared" si="0"/>
        <v>0.9838709677419355</v>
      </c>
      <c r="G13" s="42">
        <f t="shared" si="1"/>
        <v>1.6129032258064502E-2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COUNTIFS(CUSTOMER!G:G,"&lt;="&amp;"2022-02-01",CUSTOMER!H:H,"&gt;"&amp;"2022-02-01",CUSTOMER!B:B,"Male")</f>
        <v>683</v>
      </c>
      <c r="D14" s="41">
        <f>COUNTIFS(CUSTOMER!G:G,"&lt;="&amp;"2022-02-28",CUSTOMER!H:H,"&gt;="&amp;"2022-02-28",CUSTOMER!B:B,"Male")</f>
        <v>691</v>
      </c>
      <c r="E14" s="41">
        <f>COUNTIFS(CUSTOMER!G:G,"&gt;="&amp;"2022-02-01",CUSTOMER!G:G,"&lt;="&amp;"2022-02-28",CUSTOMER!B:B,"Male")</f>
        <v>19</v>
      </c>
      <c r="F14" s="42">
        <f t="shared" si="0"/>
        <v>0.98389458272327968</v>
      </c>
      <c r="G14" s="42">
        <f t="shared" si="1"/>
        <v>1.6105417276720324E-2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COUNTIFS(CUSTOMER!G:G,"&lt;="&amp;"2022-03-01",CUSTOMER!H:H,"&gt;"&amp;"2022-03-01",CUSTOMER!B:B,"Male")</f>
        <v>691</v>
      </c>
      <c r="D15" s="41">
        <f>COUNTIFS(CUSTOMER!G:G,"&lt;="&amp;"2022-03-31",CUSTOMER!H:H,"&gt;="&amp;"2022-03-31",CUSTOMER!B:B,"Male")</f>
        <v>680</v>
      </c>
      <c r="E15" s="41">
        <f>COUNTIFS(CUSTOMER!G:G,"&gt;="&amp;"2022-03-01",CUSTOMER!G:G,"&lt;="&amp;"2022-03-31",CUSTOMER!B:B,"Male")</f>
        <v>7</v>
      </c>
      <c r="F15" s="42">
        <f t="shared" si="0"/>
        <v>0.97395079594790157</v>
      </c>
      <c r="G15" s="42">
        <f t="shared" si="1"/>
        <v>2.6049204052098429E-2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COUNTIFS(CUSTOMER!G:G,"&lt;="&amp;"2022-04-01",CUSTOMER!H:H,"&gt;"&amp;"2022-04-01",CUSTOMER!B:B,"Male")</f>
        <v>680</v>
      </c>
      <c r="D16" s="41">
        <f>COUNTIFS(CUSTOMER!G:G,"&lt;="&amp;"2022-04-30",CUSTOMER!H:H,"&gt;="&amp;"2022-04-30",CUSTOMER!B:B,"Male")</f>
        <v>677</v>
      </c>
      <c r="E16" s="41">
        <f>COUNTIFS(CUSTOMER!G:G,"&gt;="&amp;"2022-04-01",CUSTOMER!G:G,"&lt;="&amp;"2022-04-30",CUSTOMER!B:B,"Male")</f>
        <v>10</v>
      </c>
      <c r="F16" s="42">
        <f t="shared" si="0"/>
        <v>0.98088235294117643</v>
      </c>
      <c r="G16" s="42">
        <f t="shared" si="1"/>
        <v>1.9117647058823573E-2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COUNTIFS(CUSTOMER!G:G,"&lt;="&amp;"2022-05-01",CUSTOMER!H:H,"&gt;"&amp;"2022-05-01",CUSTOMER!B:B,"Male")</f>
        <v>673</v>
      </c>
      <c r="D17" s="41">
        <f>COUNTIFS(CUSTOMER!G:G,"&lt;="&amp;"2022-05-31",CUSTOMER!H:H,"&gt;="&amp;"2022-05-31",CUSTOMER!B:B,"Male")</f>
        <v>656</v>
      </c>
      <c r="E17" s="41">
        <f>COUNTIFS(CUSTOMER!G:G,"&gt;="&amp;"2022-05-01",CUSTOMER!G:G,"&lt;="&amp;"2022-05-31",CUSTOMER!B:B,"Male")</f>
        <v>3</v>
      </c>
      <c r="F17" s="42">
        <f t="shared" si="0"/>
        <v>0.97028231797919762</v>
      </c>
      <c r="G17" s="42">
        <f t="shared" si="1"/>
        <v>2.9717682020802383E-2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COUNTIFS(CUSTOMER!G:G,"&lt;="&amp;"2022-06-01",CUSTOMER!H:H,"&gt;"&amp;"2022-06-01",CUSTOMER!B:B,"Male")</f>
        <v>654</v>
      </c>
      <c r="D18" s="41">
        <f>COUNTIFS(CUSTOMER!G:G,"&lt;="&amp;"2022-06-30",CUSTOMER!H:H,"&gt;="&amp;"2022-06-30",CUSTOMER!B:B,"Male")</f>
        <v>623</v>
      </c>
      <c r="E18" s="41">
        <f>COUNTIFS(CUSTOMER!G:G,"&gt;="&amp;"2022-06-01",CUSTOMER!G:G,"&lt;="&amp;"2022-06-30",CUSTOMER!B:B,"Male")</f>
        <v>3</v>
      </c>
      <c r="F18" s="42">
        <f t="shared" si="0"/>
        <v>0.94801223241590216</v>
      </c>
      <c r="G18" s="42">
        <f t="shared" si="1"/>
        <v>5.1987767584097844E-2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COUNTIFS(CUSTOMER!G:G,"&lt;="&amp;"2022-07-01",CUSTOMER!H:H,"&gt;"&amp;"2022-07-01",CUSTOMER!B:B,"Male")</f>
        <v>620</v>
      </c>
      <c r="D19" s="41">
        <f>COUNTIFS(CUSTOMER!G:G,"&lt;="&amp;"2022-07-31",CUSTOMER!H:H,"&gt;="&amp;"2022-07-31",CUSTOMER!B:B,"Male")</f>
        <v>596</v>
      </c>
      <c r="E19" s="41">
        <f>COUNTIFS(CUSTOMER!G:G,"&gt;="&amp;"2022-07-01",CUSTOMER!G:G,"&lt;="&amp;"2022-07-31",CUSTOMER!B:B,"Male")</f>
        <v>4</v>
      </c>
      <c r="F19" s="42">
        <f t="shared" si="0"/>
        <v>0.95483870967741935</v>
      </c>
      <c r="G19" s="42">
        <f t="shared" si="1"/>
        <v>4.5161290322580649E-2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COUNTIFS(CUSTOMER!G:G,"&lt;="&amp;"2022-08-01",CUSTOMER!H:H,"&gt;"&amp;"2022-08-01",CUSTOMER!B:B,"Male")</f>
        <v>594</v>
      </c>
      <c r="D20" s="41">
        <f>COUNTIFS(CUSTOMER!G:G,"&lt;="&amp;"2022-08-31",CUSTOMER!H:H,"&gt;="&amp;"2022-08-31",CUSTOMER!B:B,"Male")</f>
        <v>566</v>
      </c>
      <c r="E20" s="41">
        <f>COUNTIFS(CUSTOMER!G:G,"&gt;="&amp;"2022-08-01",CUSTOMER!G:G,"&lt;="&amp;"2022-08-31",CUSTOMER!B:B,"Male")</f>
        <v>10</v>
      </c>
      <c r="F20" s="42">
        <f t="shared" si="0"/>
        <v>0.93602693602693599</v>
      </c>
      <c r="G20" s="42">
        <f t="shared" si="1"/>
        <v>6.3973063973064015E-2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COUNTIFS(CUSTOMER!G:G,"&lt;="&amp;"2022-09-01",CUSTOMER!H:H,"&gt;"&amp;"2022-09-01",CUSTOMER!B:B,"Male")</f>
        <v>561</v>
      </c>
      <c r="D21" s="41">
        <f>COUNTIFS(CUSTOMER!G:G,"&lt;="&amp;"2022-09-30",CUSTOMER!H:H,"&gt;="&amp;"2022-09-30",CUSTOMER!B:B,"Male")</f>
        <v>505</v>
      </c>
      <c r="E21" s="41">
        <f>COUNTIFS(CUSTOMER!G:G,"&gt;="&amp;"2022-09-01",CUSTOMER!G:G,"&lt;="&amp;"2022-09-30",CUSTOMER!B:B,"Male")</f>
        <v>1</v>
      </c>
      <c r="F21" s="42">
        <f t="shared" si="0"/>
        <v>0.89839572192513373</v>
      </c>
      <c r="G21" s="42">
        <f t="shared" si="1"/>
        <v>0.10160427807486627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COUNTIFS(CUSTOMER!G:G,"&lt;="&amp;"2022-10-01",CUSTOMER!H:H,"&gt;"&amp;"2022-10-01",CUSTOMER!B:B,"Male")</f>
        <v>501</v>
      </c>
      <c r="D22" s="41">
        <f>COUNTIFS(CUSTOMER!G:G,"&lt;="&amp;"2022-10-31",CUSTOMER!H:H,"&gt;="&amp;"2022-10-31",CUSTOMER!B:B,"Male")</f>
        <v>443</v>
      </c>
      <c r="E22" s="41">
        <f>COUNTIFS(CUSTOMER!G:G,"&gt;="&amp;"2022-10-01",CUSTOMER!G:G,"&lt;="&amp;"2022-10-31",CUSTOMER!B:B,"Male")</f>
        <v>1</v>
      </c>
      <c r="F22" s="42">
        <f t="shared" si="0"/>
        <v>0.88223552894211577</v>
      </c>
      <c r="G22" s="42">
        <f t="shared" si="1"/>
        <v>0.11776447105788423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COUNTIFS(CUSTOMER!G:G,"&lt;="&amp;"2022-11-01",CUSTOMER!H:H,"&gt;"&amp;"2022-11-01",CUSTOMER!B:B,"Male")</f>
        <v>439</v>
      </c>
      <c r="D23" s="41">
        <f>COUNTIFS(CUSTOMER!G:G,"&lt;="&amp;"2022-11-30",CUSTOMER!H:H,"&gt;="&amp;"2022-11-30",CUSTOMER!B:B,"Male")</f>
        <v>360</v>
      </c>
      <c r="E23" s="41">
        <f>COUNTIFS(CUSTOMER!G:G,"&gt;="&amp;"2022-11-01",CUSTOMER!G:G,"&lt;="&amp;"2022-11-30",CUSTOMER!B:B,"Male")</f>
        <v>1</v>
      </c>
      <c r="F23" s="42">
        <f t="shared" si="0"/>
        <v>0.8177676537585421</v>
      </c>
      <c r="G23" s="42">
        <f t="shared" si="1"/>
        <v>0.1822323462414579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COUNTIFS(CUSTOMER!G:G,"&lt;="&amp;"2022-12-01",CUSTOMER!H:H,"&gt;"&amp;"2022-12-01",CUSTOMER!B:B,"Male")</f>
        <v>355</v>
      </c>
      <c r="D24" s="41">
        <f>COUNTIFS(CUSTOMER!G:G,"&lt;="&amp;"2022-12-31",CUSTOMER!H:H,"&gt;="&amp;"2022-12-31",CUSTOMER!B:B,"Male")</f>
        <v>264</v>
      </c>
      <c r="E24" s="41">
        <f>COUNTIFS(CUSTOMER!G:G,"&gt;="&amp;"2022-12-01",CUSTOMER!G:G,"&lt;="&amp;"2022-12-31",CUSTOMER!B:B,"Male")</f>
        <v>0</v>
      </c>
      <c r="F24" s="42">
        <f t="shared" si="0"/>
        <v>0.74366197183098592</v>
      </c>
      <c r="G24" s="42">
        <f t="shared" si="1"/>
        <v>0.25633802816901408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COUNTIFS(CUSTOMER!G:G,"&lt;="&amp;"2023-01-01",CUSTOMER!H:H,"&gt;"&amp;"2023-01-01",CUSTOMER!B:B,"Male")</f>
        <v>259</v>
      </c>
      <c r="D25" s="31">
        <f>COUNTIFS(CUSTOMER!G:G,"&lt;="&amp;"2023-01-31",CUSTOMER!H:H,"&gt;="&amp;"2023-01-31",CUSTOMER!B:B,"Male")</f>
        <v>158</v>
      </c>
      <c r="E25" s="31">
        <f>COUNTIFS(CUSTOMER!G:G,"&gt;="&amp;"2023-01-01",CUSTOMER!G:G,"&lt;="&amp;"2023-01-31",CUSTOMER!B:B,"Male")</f>
        <v>0</v>
      </c>
      <c r="F25" s="44">
        <f t="shared" si="0"/>
        <v>0.61003861003861004</v>
      </c>
      <c r="G25" s="51">
        <f t="shared" si="1"/>
        <v>0.38996138996138996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COUNTIFS(CUSTOMER!G:G,"&lt;="&amp;"2023-02-01",CUSTOMER!H:H,"&gt;"&amp;"2023-02-01",CUSTOMER!B:B,"Male")</f>
        <v>151</v>
      </c>
      <c r="D26" s="31">
        <f>COUNTIFS(CUSTOMER!G:G,"&lt;="&amp;"2023-02-28",CUSTOMER!H:H,"&gt;="&amp;"2023-02-28",CUSTOMER!B:B,"Male")</f>
        <v>44</v>
      </c>
      <c r="E26" s="31">
        <f>COUNTIFS(CUSTOMER!G:G,"&gt;="&amp;"2023-02-01",CUSTOMER!G:G,"&lt;="&amp;"2023-02-28",CUSTOMER!B:B,"Male")</f>
        <v>1</v>
      </c>
      <c r="F26" s="44">
        <f t="shared" si="0"/>
        <v>0.28476821192052981</v>
      </c>
      <c r="G26" s="51">
        <f t="shared" si="1"/>
        <v>0.71523178807947019</v>
      </c>
    </row>
    <row r="27" spans="1:7" x14ac:dyDescent="0.3">
      <c r="A27" s="37"/>
      <c r="F27" s="30">
        <f>AVERAGE(F1:F26)</f>
        <v>0.91376032817347519</v>
      </c>
      <c r="G27" s="30">
        <f t="shared" si="1"/>
        <v>8.6239671826524811E-2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E4D1-0E22-4AEA-A88F-688B5CF90AA5}">
  <dimension ref="B2:C4"/>
  <sheetViews>
    <sheetView workbookViewId="0">
      <selection activeCell="C4" sqref="C4"/>
    </sheetView>
  </sheetViews>
  <sheetFormatPr defaultRowHeight="14.4" x14ac:dyDescent="0.3"/>
  <cols>
    <col min="2" max="2" width="12.77734375" customWidth="1"/>
    <col min="3" max="3" width="17.6640625" customWidth="1"/>
  </cols>
  <sheetData>
    <row r="2" spans="2:3" x14ac:dyDescent="0.3">
      <c r="B2" s="56" t="s">
        <v>12027</v>
      </c>
      <c r="C2" s="56" t="s">
        <v>12060</v>
      </c>
    </row>
    <row r="3" spans="2:3" x14ac:dyDescent="0.3">
      <c r="B3" s="53" t="s">
        <v>12045</v>
      </c>
      <c r="C3" s="55">
        <v>0.91376032817347519</v>
      </c>
    </row>
    <row r="4" spans="2:3" x14ac:dyDescent="0.3">
      <c r="B4" s="53" t="s">
        <v>12040</v>
      </c>
      <c r="C4" s="55">
        <v>0.94291754942482753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4444-A6E5-4C82-BC48-094AEEAD292E}">
  <dimension ref="A1:I39"/>
  <sheetViews>
    <sheetView workbookViewId="0">
      <selection activeCell="E14" sqref="E14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SALE!C:C,"Books")</f>
        <v>22</v>
      </c>
      <c r="D2" s="39">
        <f>COUNTIFS(CUSTOMER!G:G,"&lt;="&amp;"2021-02-28",CUSTOMER!H:H,"&gt;="&amp;"2021-02-28",SALE!C:C,"Books")</f>
        <v>32</v>
      </c>
      <c r="E2" s="39">
        <f>COUNTIFS(CUSTOMER!G:G,"&gt;="&amp;"2021-02-01",CUSTOMER!G:G,"&lt;="&amp;"2021-02-28",SALE!C:C,"Books")</f>
        <v>10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SALE!C:C,"Books")</f>
        <v>32</v>
      </c>
      <c r="D3" s="39">
        <f>COUNTIFS(CUSTOMER!G:G,"&lt;="&amp;"2021-03-31",CUSTOMER!H:H,"&gt;="&amp;"2021-03-31",SALE!C:C,"Books")</f>
        <v>43</v>
      </c>
      <c r="E3" s="39">
        <f>COUNTIFS(CUSTOMER!G:G,"&gt;="&amp;"2021-03-01",CUSTOMER!G:G,"&lt;="&amp;"2021-03-31",SALE!C:C,"Books")</f>
        <v>11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COUNTIFS(CUSTOMER!G:G,"&lt;="&amp;"2021-04-01",CUSTOMER!H:H,"&gt;"&amp;"2021-04-01",SALE!C:C,"Books")</f>
        <v>43</v>
      </c>
      <c r="D4" s="39">
        <f>COUNTIFS(CUSTOMER!G:G,"&lt;="&amp;"2021-04-30",CUSTOMER!H:H,"&gt;="&amp;"2021-04-30",SALE!C:C,"Books")</f>
        <v>56</v>
      </c>
      <c r="E4" s="39">
        <f>COUNTIFS(CUSTOMER!G:G,"&gt;="&amp;"2021-04-01",CUSTOMER!G:G,"&lt;="&amp;"2021-04-30",SALE!C:C,"Books")</f>
        <v>13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COUNTIFS(CUSTOMER!G:G,"&lt;="&amp;"2021-05-01",CUSTOMER!H:H,"&gt;"&amp;"2021-05-01",SALE!C:C,"Books")</f>
        <v>56</v>
      </c>
      <c r="D5" s="39">
        <f>COUNTIFS(CUSTOMER!G:G,"&lt;="&amp;"2021-05-31",CUSTOMER!H:H,"&gt;="&amp;"2021-05-31",SALE!C:C,"Books")</f>
        <v>63</v>
      </c>
      <c r="E5" s="39">
        <f>COUNTIFS(CUSTOMER!G:G,"&gt;="&amp;"2021-05-01",CUSTOMER!G:G,"&lt;="&amp;"2021-05-31",SALE!C:C,"Books")</f>
        <v>7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COUNTIFS(CUSTOMER!G:G,"&lt;="&amp;"2021-06-01",CUSTOMER!H:H,"&gt;"&amp;"2021-06-01",SALE!C:C,"Books")</f>
        <v>63</v>
      </c>
      <c r="D6" s="39">
        <f>COUNTIFS(CUSTOMER!G:G,"&lt;="&amp;"2021-06-30",CUSTOMER!H:H,"&gt;="&amp;"2021-06-30",SALE!C:C,"Books")</f>
        <v>68</v>
      </c>
      <c r="E6" s="39">
        <f>COUNTIFS(CUSTOMER!G:G,"&gt;="&amp;"2021-06-01",CUSTOMER!G:G,"&lt;="&amp;"2021-06-30",SALE!C:C,"Books")</f>
        <v>5</v>
      </c>
      <c r="F6" s="40">
        <f t="shared" si="0"/>
        <v>1</v>
      </c>
      <c r="G6" s="40">
        <f t="shared" si="1"/>
        <v>0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COUNTIFS(CUSTOMER!G:G,"&lt;="&amp;"2021-07-01",CUSTOMER!H:H,"&gt;"&amp;"2021-07-01",SALE!C:C,"Books")</f>
        <v>68</v>
      </c>
      <c r="D7" s="39">
        <f>COUNTIFS(CUSTOMER!G:G,"&lt;="&amp;"2021-07-31",CUSTOMER!H:H,"&gt;="&amp;"2021-07-31",SALE!C:C,"Books")</f>
        <v>74</v>
      </c>
      <c r="E7" s="39">
        <f>COUNTIFS(CUSTOMER!G:G,"&gt;="&amp;"2021-07-01",CUSTOMER!G:G,"&lt;="&amp;"2021-07-31",SALE!C:C,"Books")</f>
        <v>6</v>
      </c>
      <c r="F7" s="40">
        <f t="shared" si="0"/>
        <v>1</v>
      </c>
      <c r="G7" s="40">
        <f t="shared" si="1"/>
        <v>0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COUNTIFS(CUSTOMER!G:G,"&lt;="&amp;"2021-08-01",CUSTOMER!H:H,"&gt;"&amp;"2021-08-01",SALE!C:C,"Books")</f>
        <v>74</v>
      </c>
      <c r="D8" s="39">
        <f>COUNTIFS(CUSTOMER!G:G,"&lt;="&amp;"2021-08-31",CUSTOMER!H:H,"&gt;="&amp;"2021-08-31",SALE!C:C,"Books")</f>
        <v>75</v>
      </c>
      <c r="E8" s="39">
        <f>COUNTIFS(CUSTOMER!G:G,"&gt;="&amp;"2021-08-01",CUSTOMER!G:G,"&lt;="&amp;"2021-08-31",SALE!C:C,"Books")</f>
        <v>1</v>
      </c>
      <c r="F8" s="40">
        <f t="shared" si="0"/>
        <v>1</v>
      </c>
      <c r="G8" s="40">
        <f t="shared" si="1"/>
        <v>0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COUNTIFS(CUSTOMER!G:G,"&lt;="&amp;"2021-09-01",CUSTOMER!H:H,"&gt;"&amp;"2021-09-01",SALE!C:C,"Books")</f>
        <v>75</v>
      </c>
      <c r="D9" s="39">
        <f>COUNTIFS(CUSTOMER!G:G,"&lt;="&amp;"2021-09-30",CUSTOMER!H:H,"&gt;="&amp;"2021-09-30",SALE!C:C,"Books")</f>
        <v>77</v>
      </c>
      <c r="E9" s="39">
        <f>COUNTIFS(CUSTOMER!G:G,"&gt;="&amp;"2021-09-01",CUSTOMER!G:G,"&lt;="&amp;"2021-09-30",SALE!C:C,"Books")</f>
        <v>3</v>
      </c>
      <c r="F9" s="40">
        <f t="shared" si="0"/>
        <v>0.98666666666666669</v>
      </c>
      <c r="G9" s="40">
        <f t="shared" si="1"/>
        <v>1.3333333333333308E-2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COUNTIFS(CUSTOMER!G:G,"&lt;="&amp;"2021-10-01",CUSTOMER!H:H,"&gt;"&amp;"2021-10-01",SALE!C:C,"Books")</f>
        <v>77</v>
      </c>
      <c r="D10" s="39">
        <f>COUNTIFS(CUSTOMER!G:G,"&lt;="&amp;"2021-10-31",CUSTOMER!H:H,"&gt;="&amp;"2021-10-31",SALE!C:C,"Books")</f>
        <v>81</v>
      </c>
      <c r="E10" s="39">
        <f>COUNTIFS(CUSTOMER!G:G,"&gt;="&amp;"2021-10-01",CUSTOMER!G:G,"&lt;="&amp;"2021-10-31",SALE!C:C,"Books")</f>
        <v>5</v>
      </c>
      <c r="F10" s="40">
        <f t="shared" si="0"/>
        <v>0.98701298701298701</v>
      </c>
      <c r="G10" s="40">
        <f t="shared" si="1"/>
        <v>1.2987012987012991E-2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COUNTIFS(CUSTOMER!G:G,"&lt;="&amp;"2021-11-01",CUSTOMER!H:H,"&gt;"&amp;"2021-11-01",SALE!C:C,"Books")</f>
        <v>81</v>
      </c>
      <c r="D11" s="39">
        <f>COUNTIFS(CUSTOMER!G:G,"&lt;="&amp;"2021-11-30",CUSTOMER!H:H,"&gt;="&amp;"2021-11-30",SALE!C:C,"Books")</f>
        <v>81</v>
      </c>
      <c r="E11" s="39">
        <f>COUNTIFS(CUSTOMER!G:G,"&gt;="&amp;"2021-11-01",CUSTOMER!G:G,"&lt;="&amp;"2021-11-30",SALE!C:C,"Books")</f>
        <v>1</v>
      </c>
      <c r="F11" s="40">
        <f t="shared" si="0"/>
        <v>0.98765432098765427</v>
      </c>
      <c r="G11" s="40">
        <f t="shared" si="1"/>
        <v>1.2345679012345734E-2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COUNTIFS(CUSTOMER!G:G,"&lt;="&amp;"2021-12-01",CUSTOMER!H:H,"&gt;"&amp;"2021-12-01",SALE!C:C,"Books")</f>
        <v>81</v>
      </c>
      <c r="D12" s="39">
        <f>COUNTIFS(CUSTOMER!G:G,"&lt;="&amp;"2021-12-31",CUSTOMER!H:H,"&gt;="&amp;"2021-12-31",SALE!C:C,"Books")</f>
        <v>83</v>
      </c>
      <c r="E12" s="39">
        <f>COUNTIFS(CUSTOMER!G:G,"&gt;="&amp;"2021-12-01",CUSTOMER!G:G,"&lt;="&amp;"2021-12-31",SALE!C:C,"Books")</f>
        <v>2</v>
      </c>
      <c r="F12" s="40">
        <f t="shared" si="0"/>
        <v>1</v>
      </c>
      <c r="G12" s="40">
        <f t="shared" si="1"/>
        <v>0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COUNTIFS(CUSTOMER!G:G,"&lt;="&amp;"2022-01-01",CUSTOMER!H:H,"&gt;"&amp;"2022-01-01",SALE!C:C,"Books")</f>
        <v>83</v>
      </c>
      <c r="D13" s="41">
        <f>COUNTIFS(CUSTOMER!G:G,"&lt;="&amp;"2022-01-31",CUSTOMER!H:H,"&gt;="&amp;"2022-01-31",SALE!C:C,"Books")</f>
        <v>83</v>
      </c>
      <c r="E13" s="41">
        <f>COUNTIFS(CUSTOMER!G:G,"&gt;="&amp;"2022-01-01",CUSTOMER!G:G,"&lt;="&amp;"2022-01-31",SALE!C:C,"Books")</f>
        <v>3</v>
      </c>
      <c r="F13" s="42">
        <f t="shared" si="0"/>
        <v>0.96385542168674698</v>
      </c>
      <c r="G13" s="42">
        <f t="shared" si="1"/>
        <v>3.6144578313253017E-2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COUNTIFS(CUSTOMER!G:G,"&lt;="&amp;"2022-02-01",CUSTOMER!H:H,"&gt;"&amp;"2022-02-01",SALE!C:C,"Books")</f>
        <v>83</v>
      </c>
      <c r="D14" s="41">
        <f>COUNTIFS(CUSTOMER!G:G,"&lt;="&amp;"2022-02-28",CUSTOMER!H:H,"&gt;="&amp;"2022-02-28",SALE!C:C,"Books")</f>
        <v>83</v>
      </c>
      <c r="E14" s="41">
        <f>COUNTIFS(CUSTOMER!G:G,"&gt;="&amp;"2022-02-01",CUSTOMER!G:G,"&lt;="&amp;"2022-02-28",SALE!C:C,"Books")</f>
        <v>1</v>
      </c>
      <c r="F14" s="42">
        <f t="shared" si="0"/>
        <v>0.98795180722891562</v>
      </c>
      <c r="G14" s="42">
        <f t="shared" si="1"/>
        <v>1.2048192771084376E-2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COUNTIFS(CUSTOMER!G:G,"&lt;="&amp;"2022-03-01",CUSTOMER!H:H,"&gt;"&amp;"2022-03-01",SALE!C:C,"Books")</f>
        <v>83</v>
      </c>
      <c r="D15" s="41">
        <f>COUNTIFS(CUSTOMER!G:G,"&lt;="&amp;"2022-03-31",CUSTOMER!H:H,"&gt;="&amp;"2022-03-31",SALE!C:C,"Books")</f>
        <v>82</v>
      </c>
      <c r="E15" s="41">
        <f>COUNTIFS(CUSTOMER!G:G,"&gt;="&amp;"2022-03-01",CUSTOMER!G:G,"&lt;="&amp;"2022-03-31",SALE!C:C,"Books")</f>
        <v>0</v>
      </c>
      <c r="F15" s="42">
        <f t="shared" si="0"/>
        <v>0.98795180722891562</v>
      </c>
      <c r="G15" s="42">
        <f t="shared" si="1"/>
        <v>1.2048192771084376E-2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COUNTIFS(CUSTOMER!G:G,"&lt;="&amp;"2022-04-01",CUSTOMER!H:H,"&gt;"&amp;"2022-04-01",SALE!C:C,"Books")</f>
        <v>82</v>
      </c>
      <c r="D16" s="41">
        <f>COUNTIFS(CUSTOMER!G:G,"&lt;="&amp;"2022-04-30",CUSTOMER!H:H,"&gt;="&amp;"2022-04-30",SALE!C:C,"Books")</f>
        <v>78</v>
      </c>
      <c r="E16" s="41">
        <f>COUNTIFS(CUSTOMER!G:G,"&gt;="&amp;"2022-04-01",CUSTOMER!G:G,"&lt;="&amp;"2022-04-30",SALE!C:C,"Books")</f>
        <v>0</v>
      </c>
      <c r="F16" s="42">
        <f t="shared" si="0"/>
        <v>0.95121951219512191</v>
      </c>
      <c r="G16" s="42">
        <f t="shared" si="1"/>
        <v>4.8780487804878092E-2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COUNTIFS(CUSTOMER!G:G,"&lt;="&amp;"2022-05-01",CUSTOMER!H:H,"&gt;"&amp;"2022-05-01",SALE!C:C,"Books")</f>
        <v>78</v>
      </c>
      <c r="D17" s="41">
        <f>COUNTIFS(CUSTOMER!G:G,"&lt;="&amp;"2022-05-31",CUSTOMER!H:H,"&gt;="&amp;"2022-05-31",SALE!C:C,"Books")</f>
        <v>75</v>
      </c>
      <c r="E17" s="41">
        <f>COUNTIFS(CUSTOMER!G:G,"&gt;="&amp;"2022-05-01",CUSTOMER!G:G,"&lt;="&amp;"2022-05-31",SALE!C:C,"Books")</f>
        <v>0</v>
      </c>
      <c r="F17" s="42">
        <f t="shared" si="0"/>
        <v>0.96153846153846156</v>
      </c>
      <c r="G17" s="42">
        <f t="shared" si="1"/>
        <v>3.8461538461538436E-2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COUNTIFS(CUSTOMER!G:G,"&lt;="&amp;"2022-06-01",CUSTOMER!H:H,"&gt;"&amp;"2022-06-01",SALE!C:C,"Books")</f>
        <v>74</v>
      </c>
      <c r="D18" s="41">
        <f>COUNTIFS(CUSTOMER!G:G,"&lt;="&amp;"2022-06-30",CUSTOMER!H:H,"&gt;="&amp;"2022-06-30",SALE!C:C,"Books")</f>
        <v>70</v>
      </c>
      <c r="E18" s="41">
        <f>COUNTIFS(CUSTOMER!G:G,"&gt;="&amp;"2022-06-01",CUSTOMER!G:G,"&lt;="&amp;"2022-06-30",SALE!C:C,"Books")</f>
        <v>1</v>
      </c>
      <c r="F18" s="42">
        <f t="shared" si="0"/>
        <v>0.93243243243243246</v>
      </c>
      <c r="G18" s="42">
        <f t="shared" si="1"/>
        <v>6.7567567567567544E-2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COUNTIFS(CUSTOMER!G:G,"&lt;="&amp;"2022-07-01",CUSTOMER!H:H,"&gt;"&amp;"2022-07-01",SALE!C:C,"Books")</f>
        <v>70</v>
      </c>
      <c r="D19" s="41">
        <f>COUNTIFS(CUSTOMER!G:G,"&lt;="&amp;"2022-07-31",CUSTOMER!H:H,"&gt;="&amp;"2022-07-31",SALE!C:C,"Books")</f>
        <v>65</v>
      </c>
      <c r="E19" s="41">
        <f>COUNTIFS(CUSTOMER!G:G,"&gt;="&amp;"2022-07-01",CUSTOMER!G:G,"&lt;="&amp;"2022-07-31",SALE!C:C,"Books")</f>
        <v>0</v>
      </c>
      <c r="F19" s="42">
        <f t="shared" si="0"/>
        <v>0.9285714285714286</v>
      </c>
      <c r="G19" s="42">
        <f t="shared" si="1"/>
        <v>7.1428571428571397E-2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COUNTIFS(CUSTOMER!G:G,"&lt;="&amp;"2022-08-01",CUSTOMER!H:H,"&gt;"&amp;"2022-08-01",SALE!C:C,"Books")</f>
        <v>64</v>
      </c>
      <c r="D20" s="41">
        <f>COUNTIFS(CUSTOMER!G:G,"&lt;="&amp;"2022-08-31",CUSTOMER!H:H,"&gt;="&amp;"2022-08-31",SALE!C:C,"Books")</f>
        <v>62</v>
      </c>
      <c r="E20" s="41">
        <f>COUNTIFS(CUSTOMER!G:G,"&gt;="&amp;"2022-08-01",CUSTOMER!G:G,"&lt;="&amp;"2022-08-31",SALE!C:C,"Books")</f>
        <v>0</v>
      </c>
      <c r="F20" s="42">
        <f t="shared" si="0"/>
        <v>0.96875</v>
      </c>
      <c r="G20" s="42">
        <f t="shared" si="1"/>
        <v>3.125E-2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COUNTIFS(CUSTOMER!G:G,"&lt;="&amp;"2022-09-01",CUSTOMER!H:H,"&gt;"&amp;"2022-09-01",SALE!C:C,"Books")</f>
        <v>62</v>
      </c>
      <c r="D21" s="41">
        <f>COUNTIFS(CUSTOMER!G:G,"&lt;="&amp;"2022-09-30",CUSTOMER!H:H,"&gt;="&amp;"2022-09-30",SALE!C:C,"Books")</f>
        <v>54</v>
      </c>
      <c r="E21" s="41">
        <f>COUNTIFS(CUSTOMER!G:G,"&gt;="&amp;"2022-09-01",CUSTOMER!G:G,"&lt;="&amp;"2022-09-30",SALE!C:C,"Books")</f>
        <v>0</v>
      </c>
      <c r="F21" s="42">
        <f t="shared" si="0"/>
        <v>0.87096774193548387</v>
      </c>
      <c r="G21" s="42">
        <f t="shared" si="1"/>
        <v>0.12903225806451613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COUNTIFS(CUSTOMER!G:G,"&lt;="&amp;"2022-10-01",CUSTOMER!H:H,"&gt;"&amp;"2022-10-01",SALE!C:C,"Books")</f>
        <v>54</v>
      </c>
      <c r="D22" s="41">
        <f>COUNTIFS(CUSTOMER!G:G,"&lt;="&amp;"2022-10-31",CUSTOMER!H:H,"&gt;="&amp;"2022-10-31",SALE!C:C,"Books")</f>
        <v>50</v>
      </c>
      <c r="E22" s="41">
        <f>COUNTIFS(CUSTOMER!G:G,"&gt;="&amp;"2022-10-01",CUSTOMER!G:G,"&lt;="&amp;"2022-10-31",SALE!C:C,"Books")</f>
        <v>1</v>
      </c>
      <c r="F22" s="42">
        <f t="shared" si="0"/>
        <v>0.90740740740740744</v>
      </c>
      <c r="G22" s="42">
        <f t="shared" si="1"/>
        <v>9.259259259259256E-2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COUNTIFS(CUSTOMER!G:G,"&lt;="&amp;"2022-11-01",CUSTOMER!H:H,"&gt;"&amp;"2022-11-01",SALE!C:C,"Books")</f>
        <v>49</v>
      </c>
      <c r="D23" s="41">
        <f>COUNTIFS(CUSTOMER!G:G,"&lt;="&amp;"2022-11-30",CUSTOMER!H:H,"&gt;="&amp;"2022-11-30",SALE!C:C,"Books")</f>
        <v>39</v>
      </c>
      <c r="E23" s="41">
        <f>COUNTIFS(CUSTOMER!G:G,"&gt;="&amp;"2022-11-01",CUSTOMER!G:G,"&lt;="&amp;"2022-11-30",SALE!C:C,"Books")</f>
        <v>0</v>
      </c>
      <c r="F23" s="42">
        <f t="shared" si="0"/>
        <v>0.79591836734693877</v>
      </c>
      <c r="G23" s="42">
        <f t="shared" si="1"/>
        <v>0.20408163265306123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COUNTIFS(CUSTOMER!G:G,"&lt;="&amp;"2022-12-01",CUSTOMER!H:H,"&gt;"&amp;"2022-12-01",SALE!C:C,"Books")</f>
        <v>38</v>
      </c>
      <c r="D24" s="41">
        <f>COUNTIFS(CUSTOMER!G:G,"&lt;="&amp;"2022-12-31",CUSTOMER!H:H,"&gt;="&amp;"2022-12-31",SALE!C:C,"Books")</f>
        <v>25</v>
      </c>
      <c r="E24" s="41">
        <f>COUNTIFS(CUSTOMER!G:G,"&gt;="&amp;"2022-12-01",CUSTOMER!G:G,"&lt;="&amp;"2022-12-31",SALE!C:C,"Books")</f>
        <v>0</v>
      </c>
      <c r="F24" s="42">
        <f t="shared" si="0"/>
        <v>0.65789473684210531</v>
      </c>
      <c r="G24" s="42">
        <f t="shared" si="1"/>
        <v>0.34210526315789469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COUNTIFS(CUSTOMER!G:G,"&lt;="&amp;"2023-01-01",CUSTOMER!H:H,"&gt;"&amp;"2023-01-01",SALE!C:C,"Books")</f>
        <v>24</v>
      </c>
      <c r="D25" s="31">
        <f>COUNTIFS(CUSTOMER!G:G,"&lt;="&amp;"2023-01-31",CUSTOMER!H:H,"&gt;="&amp;"2023-01-31",SALE!C:C,"Books")</f>
        <v>13</v>
      </c>
      <c r="E25" s="31">
        <f>COUNTIFS(CUSTOMER!G:G,"&gt;="&amp;"2023-01-01",CUSTOMER!G:G,"&lt;="&amp;"2023-01-31",SALE!C:C,"Books")</f>
        <v>0</v>
      </c>
      <c r="F25" s="44">
        <f t="shared" si="0"/>
        <v>0.54166666666666663</v>
      </c>
      <c r="G25" s="51">
        <f t="shared" si="1"/>
        <v>0.45833333333333337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COUNTIFS(CUSTOMER!G:G,"&lt;="&amp;"2023-02-01",CUSTOMER!H:H,"&gt;"&amp;"2023-02-01",SALE!C:C,"Books")</f>
        <v>13</v>
      </c>
      <c r="D26" s="31">
        <f>COUNTIFS(CUSTOMER!G:G,"&lt;="&amp;"2023-02-28",CUSTOMER!H:H,"&gt;="&amp;"2023-02-28",SALE!C:C,"Books")</f>
        <v>4</v>
      </c>
      <c r="E26" s="31">
        <f>COUNTIFS(CUSTOMER!G:G,"&gt;="&amp;"2023-02-01",CUSTOMER!G:G,"&lt;="&amp;"2023-02-28",SALE!C:C,"Books")</f>
        <v>0</v>
      </c>
      <c r="F26" s="44">
        <f t="shared" si="0"/>
        <v>0.30769230769230771</v>
      </c>
      <c r="G26" s="51">
        <f t="shared" si="1"/>
        <v>0.69230769230769229</v>
      </c>
    </row>
    <row r="27" spans="1:7" x14ac:dyDescent="0.3">
      <c r="A27" s="37"/>
      <c r="F27" s="30">
        <f>AVERAGE(F1:F26)</f>
        <v>0.90900608293760965</v>
      </c>
      <c r="G27" s="30">
        <f t="shared" si="1"/>
        <v>9.099391706239035E-2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10F8-A63C-4FD9-A354-9E4E0731C942}">
  <dimension ref="A1:I39"/>
  <sheetViews>
    <sheetView topLeftCell="A6" workbookViewId="0">
      <selection activeCell="E10" sqref="E10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SALE!C:C,"Cosmetics")</f>
        <v>51</v>
      </c>
      <c r="D2" s="39">
        <f>COUNTIFS(CUSTOMER!G:G,"&lt;="&amp;"2021-02-28",CUSTOMER!H:H,"&gt;="&amp;"2021-02-28",SALE!C:C,"Cosmetics")</f>
        <v>94</v>
      </c>
      <c r="E2" s="39">
        <f>COUNTIFS(CUSTOMER!G:G,"&gt;="&amp;"2021-02-01",CUSTOMER!G:G,"&lt;="&amp;"2021-02-28",SALE!C:C,"Cosmetics")</f>
        <v>44</v>
      </c>
      <c r="F2" s="40">
        <f>((D2-E2)*100%)/C2</f>
        <v>0.98039215686274506</v>
      </c>
      <c r="G2" s="40">
        <f>1-F2</f>
        <v>1.9607843137254943E-2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SALE!C:C,"Cosmetics")</f>
        <v>95</v>
      </c>
      <c r="D3" s="39">
        <f>COUNTIFS(CUSTOMER!G:G,"&lt;="&amp;"2021-03-31",CUSTOMER!H:H,"&gt;="&amp;"2021-03-31",SALE!C:C,"Cosmetics")</f>
        <v>141</v>
      </c>
      <c r="E3" s="39">
        <f>COUNTIFS(CUSTOMER!G:G,"&gt;="&amp;"2021-03-01",CUSTOMER!G:G,"&lt;="&amp;"2021-03-31",SALE!C:C,"Cosmetics")</f>
        <v>47</v>
      </c>
      <c r="F3" s="40">
        <f t="shared" ref="F3:F26" si="0">((D3-E3)*100%)/C3</f>
        <v>0.98947368421052628</v>
      </c>
      <c r="G3" s="40">
        <f t="shared" ref="G3:G27" si="1">1-F3</f>
        <v>1.0526315789473717E-2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COUNTIFS(CUSTOMER!G:G,"&lt;="&amp;"2021-04-01",CUSTOMER!H:H,"&gt;"&amp;"2021-04-01",SALE!C:C,"Cosmetics")</f>
        <v>141</v>
      </c>
      <c r="D4" s="39">
        <f>COUNTIFS(CUSTOMER!G:G,"&lt;="&amp;"2021-04-30",CUSTOMER!H:H,"&gt;="&amp;"2021-04-30",SALE!C:C,"Cosmetics")</f>
        <v>175</v>
      </c>
      <c r="E4" s="39">
        <f>COUNTIFS(CUSTOMER!G:G,"&gt;="&amp;"2021-04-01",CUSTOMER!G:G,"&lt;="&amp;"2021-04-30",SALE!C:C,"Cosmetics")</f>
        <v>35</v>
      </c>
      <c r="F4" s="40">
        <f t="shared" si="0"/>
        <v>0.99290780141843971</v>
      </c>
      <c r="G4" s="40">
        <f t="shared" si="1"/>
        <v>7.0921985815602939E-3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COUNTIFS(CUSTOMER!G:G,"&lt;="&amp;"2021-05-01",CUSTOMER!H:H,"&gt;"&amp;"2021-05-01",SALE!C:C,"Cosmetics")</f>
        <v>175</v>
      </c>
      <c r="D5" s="39">
        <f>COUNTIFS(CUSTOMER!G:G,"&lt;="&amp;"2021-05-31",CUSTOMER!H:H,"&gt;="&amp;"2021-05-31",SALE!C:C,"Cosmetics")</f>
        <v>196</v>
      </c>
      <c r="E5" s="39">
        <f>COUNTIFS(CUSTOMER!G:G,"&gt;="&amp;"2021-05-01",CUSTOMER!G:G,"&lt;="&amp;"2021-05-31",SALE!C:C,"Cosmetics")</f>
        <v>21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COUNTIFS(CUSTOMER!G:G,"&lt;="&amp;"2021-06-01",CUSTOMER!H:H,"&gt;"&amp;"2021-06-01",SALE!C:C,"Cosmetics")</f>
        <v>198</v>
      </c>
      <c r="D6" s="39">
        <f>COUNTIFS(CUSTOMER!G:G,"&lt;="&amp;"2021-06-30",CUSTOMER!H:H,"&gt;="&amp;"2021-06-30",SALE!C:C,"Cosmetics")</f>
        <v>218</v>
      </c>
      <c r="E6" s="39">
        <f>COUNTIFS(CUSTOMER!G:G,"&gt;="&amp;"2021-06-01",CUSTOMER!G:G,"&lt;="&amp;"2021-06-30",SALE!C:C,"Cosmetics")</f>
        <v>23</v>
      </c>
      <c r="F6" s="40">
        <f t="shared" si="0"/>
        <v>0.98484848484848486</v>
      </c>
      <c r="G6" s="40">
        <f t="shared" si="1"/>
        <v>1.5151515151515138E-2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COUNTIFS(CUSTOMER!G:G,"&lt;="&amp;"2021-07-01",CUSTOMER!H:H,"&gt;"&amp;"2021-07-01",SALE!C:C,"Cosmetics")</f>
        <v>219</v>
      </c>
      <c r="D7" s="39">
        <f>COUNTIFS(CUSTOMER!G:G,"&lt;="&amp;"2021-07-31",CUSTOMER!H:H,"&gt;="&amp;"2021-07-31",SALE!C:C,"Cosmetics")</f>
        <v>235</v>
      </c>
      <c r="E7" s="39">
        <f>COUNTIFS(CUSTOMER!G:G,"&gt;="&amp;"2021-07-01",CUSTOMER!G:G,"&lt;="&amp;"2021-07-31",SALE!C:C,"Cosmetics")</f>
        <v>18</v>
      </c>
      <c r="F7" s="40">
        <f t="shared" si="0"/>
        <v>0.9908675799086758</v>
      </c>
      <c r="G7" s="40">
        <f t="shared" si="1"/>
        <v>9.1324200913242004E-3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COUNTIFS(CUSTOMER!G:G,"&lt;="&amp;"2021-08-01",CUSTOMER!H:H,"&gt;"&amp;"2021-08-01",SALE!C:C,"Cosmetics")</f>
        <v>236</v>
      </c>
      <c r="D8" s="39">
        <f>COUNTIFS(CUSTOMER!G:G,"&lt;="&amp;"2021-08-31",CUSTOMER!H:H,"&gt;="&amp;"2021-08-31",SALE!C:C,"Cosmetics")</f>
        <v>250</v>
      </c>
      <c r="E8" s="39">
        <f>COUNTIFS(CUSTOMER!G:G,"&gt;="&amp;"2021-08-01",CUSTOMER!G:G,"&lt;="&amp;"2021-08-31",SALE!C:C,"Cosmetics")</f>
        <v>17</v>
      </c>
      <c r="F8" s="40">
        <f t="shared" si="0"/>
        <v>0.98728813559322037</v>
      </c>
      <c r="G8" s="40">
        <f t="shared" si="1"/>
        <v>1.2711864406779627E-2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COUNTIFS(CUSTOMER!G:G,"&lt;="&amp;"2021-09-01",CUSTOMER!H:H,"&gt;"&amp;"2021-09-01",SALE!C:C,"Cosmetics")</f>
        <v>250</v>
      </c>
      <c r="D9" s="39">
        <f>COUNTIFS(CUSTOMER!G:G,"&lt;="&amp;"2021-09-30",CUSTOMER!H:H,"&gt;="&amp;"2021-09-30",SALE!C:C,"Cosmetics")</f>
        <v>263</v>
      </c>
      <c r="E9" s="39">
        <f>COUNTIFS(CUSTOMER!G:G,"&gt;="&amp;"2021-09-01",CUSTOMER!G:G,"&lt;="&amp;"2021-09-30",SALE!C:C,"Cosmetics")</f>
        <v>17</v>
      </c>
      <c r="F9" s="40">
        <f t="shared" si="0"/>
        <v>0.98399999999999999</v>
      </c>
      <c r="G9" s="40">
        <f t="shared" si="1"/>
        <v>1.6000000000000014E-2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COUNTIFS(CUSTOMER!G:G,"&lt;="&amp;"2021-10-01",CUSTOMER!H:H,"&gt;"&amp;"2021-10-01",SALE!C:C,"Cosmetics")</f>
        <v>263</v>
      </c>
      <c r="D10" s="39">
        <f>COUNTIFS(CUSTOMER!G:G,"&lt;="&amp;"2021-10-31",CUSTOMER!H:H,"&gt;="&amp;"2021-10-31",SALE!C:C,"Cosmetics")</f>
        <v>273</v>
      </c>
      <c r="E10" s="39">
        <f>COUNTIFS(CUSTOMER!G:G,"&gt;="&amp;"2021-10-01",CUSTOMER!G:G,"&lt;="&amp;"2021-10-31",SALE!C:C,"Cosmetics")</f>
        <v>13</v>
      </c>
      <c r="F10" s="40">
        <f t="shared" si="0"/>
        <v>0.98859315589353614</v>
      </c>
      <c r="G10" s="40">
        <f t="shared" si="1"/>
        <v>1.1406844106463865E-2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COUNTIFS(CUSTOMER!G:G,"&lt;="&amp;"2021-11-01",CUSTOMER!H:H,"&gt;"&amp;"2021-11-01",SALE!C:C,"Cosmetics")</f>
        <v>274</v>
      </c>
      <c r="D11" s="39">
        <f>COUNTIFS(CUSTOMER!G:G,"&lt;="&amp;"2021-11-30",CUSTOMER!H:H,"&gt;="&amp;"2021-11-30",SALE!C:C,"Cosmetics")</f>
        <v>275</v>
      </c>
      <c r="E11" s="39">
        <f>COUNTIFS(CUSTOMER!G:G,"&gt;="&amp;"2021-11-01",CUSTOMER!G:G,"&lt;="&amp;"2021-11-30",SALE!C:C,"Cosmetics")</f>
        <v>6</v>
      </c>
      <c r="F11" s="40">
        <f t="shared" si="0"/>
        <v>0.98175182481751821</v>
      </c>
      <c r="G11" s="40">
        <f t="shared" si="1"/>
        <v>1.8248175182481785E-2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COUNTIFS(CUSTOMER!G:G,"&lt;="&amp;"2021-12-01",CUSTOMER!H:H,"&gt;"&amp;"2021-12-01",SALE!C:C,"Cosmetics")</f>
        <v>275</v>
      </c>
      <c r="D12" s="39">
        <f>COUNTIFS(CUSTOMER!G:G,"&lt;="&amp;"2021-12-31",CUSTOMER!H:H,"&gt;="&amp;"2021-12-31",SALE!C:C,"Cosmetics")</f>
        <v>275</v>
      </c>
      <c r="E12" s="39">
        <f>COUNTIFS(CUSTOMER!G:G,"&gt;="&amp;"2021-12-01",CUSTOMER!G:G,"&lt;="&amp;"2021-12-31",SALE!C:C,"Cosmetics")</f>
        <v>5</v>
      </c>
      <c r="F12" s="40">
        <f t="shared" si="0"/>
        <v>0.98181818181818181</v>
      </c>
      <c r="G12" s="40">
        <f t="shared" si="1"/>
        <v>1.8181818181818188E-2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COUNTIFS(CUSTOMER!G:G,"&lt;="&amp;"2022-01-01",CUSTOMER!H:H,"&gt;"&amp;"2022-01-01",SALE!C:C,"Cosmetics")</f>
        <v>275</v>
      </c>
      <c r="D13" s="41">
        <f>COUNTIFS(CUSTOMER!G:G,"&lt;="&amp;"2022-01-31",CUSTOMER!H:H,"&gt;="&amp;"2022-01-31",SALE!C:C,"Cosmetics")</f>
        <v>273</v>
      </c>
      <c r="E13" s="41">
        <f>COUNTIFS(CUSTOMER!G:G,"&gt;="&amp;"2022-01-01",CUSTOMER!G:G,"&lt;="&amp;"2022-01-31",SALE!C:C,"Cosmetics")</f>
        <v>4</v>
      </c>
      <c r="F13" s="42">
        <f t="shared" si="0"/>
        <v>0.97818181818181815</v>
      </c>
      <c r="G13" s="42">
        <f t="shared" si="1"/>
        <v>2.1818181818181848E-2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COUNTIFS(CUSTOMER!G:G,"&lt;="&amp;"2022-02-01",CUSTOMER!H:H,"&gt;"&amp;"2022-02-01",SALE!C:C,"Cosmetics")</f>
        <v>274</v>
      </c>
      <c r="D14" s="41">
        <f>COUNTIFS(CUSTOMER!G:G,"&lt;="&amp;"2022-02-28",CUSTOMER!H:H,"&gt;="&amp;"2022-02-28",SALE!C:C,"Cosmetics")</f>
        <v>272</v>
      </c>
      <c r="E14" s="41">
        <f>COUNTIFS(CUSTOMER!G:G,"&gt;="&amp;"2022-02-01",CUSTOMER!G:G,"&lt;="&amp;"2022-02-28",SALE!C:C,"Cosmetics")</f>
        <v>4</v>
      </c>
      <c r="F14" s="42">
        <f t="shared" si="0"/>
        <v>0.97810218978102192</v>
      </c>
      <c r="G14" s="42">
        <f t="shared" si="1"/>
        <v>2.1897810218978075E-2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COUNTIFS(CUSTOMER!G:G,"&lt;="&amp;"2022-03-01",CUSTOMER!H:H,"&gt;"&amp;"2022-03-01",SALE!C:C,"Cosmetics")</f>
        <v>272</v>
      </c>
      <c r="D15" s="41">
        <f>COUNTIFS(CUSTOMER!G:G,"&lt;="&amp;"2022-03-31",CUSTOMER!H:H,"&gt;="&amp;"2022-03-31",SALE!C:C,"Cosmetics")</f>
        <v>271</v>
      </c>
      <c r="E15" s="41">
        <f>COUNTIFS(CUSTOMER!G:G,"&gt;="&amp;"2022-03-01",CUSTOMER!G:G,"&lt;="&amp;"2022-03-31",SALE!C:C,"Cosmetics")</f>
        <v>4</v>
      </c>
      <c r="F15" s="42">
        <f t="shared" si="0"/>
        <v>0.98161764705882348</v>
      </c>
      <c r="G15" s="42">
        <f t="shared" si="1"/>
        <v>1.8382352941176516E-2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COUNTIFS(CUSTOMER!G:G,"&lt;="&amp;"2022-04-01",CUSTOMER!H:H,"&gt;"&amp;"2022-04-01",SALE!C:C,"Cosmetics")</f>
        <v>270</v>
      </c>
      <c r="D16" s="41">
        <f>COUNTIFS(CUSTOMER!G:G,"&lt;="&amp;"2022-04-30",CUSTOMER!H:H,"&gt;="&amp;"2022-04-30",SALE!C:C,"Cosmetics")</f>
        <v>266</v>
      </c>
      <c r="E16" s="41">
        <f>COUNTIFS(CUSTOMER!G:G,"&gt;="&amp;"2022-04-01",CUSTOMER!G:G,"&lt;="&amp;"2022-04-30",SALE!C:C,"Cosmetics")</f>
        <v>3</v>
      </c>
      <c r="F16" s="42">
        <f t="shared" si="0"/>
        <v>0.97407407407407409</v>
      </c>
      <c r="G16" s="42">
        <f t="shared" si="1"/>
        <v>2.5925925925925908E-2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COUNTIFS(CUSTOMER!G:G,"&lt;="&amp;"2022-05-01",CUSTOMER!H:H,"&gt;"&amp;"2022-05-01",SALE!C:C,"Cosmetics")</f>
        <v>266</v>
      </c>
      <c r="D17" s="41">
        <f>COUNTIFS(CUSTOMER!G:G,"&lt;="&amp;"2022-05-31",CUSTOMER!H:H,"&gt;="&amp;"2022-05-31",SALE!C:C,"Cosmetics")</f>
        <v>265</v>
      </c>
      <c r="E17" s="41">
        <f>COUNTIFS(CUSTOMER!G:G,"&gt;="&amp;"2022-05-01",CUSTOMER!G:G,"&lt;="&amp;"2022-05-31",SALE!C:C,"Cosmetics")</f>
        <v>6</v>
      </c>
      <c r="F17" s="42">
        <f t="shared" si="0"/>
        <v>0.97368421052631582</v>
      </c>
      <c r="G17" s="42">
        <f t="shared" si="1"/>
        <v>2.6315789473684181E-2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COUNTIFS(CUSTOMER!G:G,"&lt;="&amp;"2022-06-01",CUSTOMER!H:H,"&gt;"&amp;"2022-06-01",SALE!C:C,"Cosmetics")</f>
        <v>264</v>
      </c>
      <c r="D18" s="41">
        <f>COUNTIFS(CUSTOMER!G:G,"&lt;="&amp;"2022-06-30",CUSTOMER!H:H,"&gt;="&amp;"2022-06-30",SALE!C:C,"Cosmetics")</f>
        <v>258</v>
      </c>
      <c r="E18" s="41">
        <f>COUNTIFS(CUSTOMER!G:G,"&gt;="&amp;"2022-06-01",CUSTOMER!G:G,"&lt;="&amp;"2022-06-30",SALE!C:C,"Cosmetics")</f>
        <v>1</v>
      </c>
      <c r="F18" s="42">
        <f t="shared" si="0"/>
        <v>0.97348484848484851</v>
      </c>
      <c r="G18" s="42">
        <f t="shared" si="1"/>
        <v>2.6515151515151492E-2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COUNTIFS(CUSTOMER!G:G,"&lt;="&amp;"2022-07-01",CUSTOMER!H:H,"&gt;"&amp;"2022-07-01",SALE!C:C,"Cosmetics")</f>
        <v>257</v>
      </c>
      <c r="D19" s="41">
        <f>COUNTIFS(CUSTOMER!G:G,"&lt;="&amp;"2022-07-31",CUSTOMER!H:H,"&gt;="&amp;"2022-07-31",SALE!C:C,"Cosmetics")</f>
        <v>238</v>
      </c>
      <c r="E19" s="41">
        <f>COUNTIFS(CUSTOMER!G:G,"&gt;="&amp;"2022-07-01",CUSTOMER!G:G,"&lt;="&amp;"2022-07-31",SALE!C:C,"Cosmetics")</f>
        <v>0</v>
      </c>
      <c r="F19" s="42">
        <f t="shared" si="0"/>
        <v>0.92607003891050588</v>
      </c>
      <c r="G19" s="42">
        <f t="shared" si="1"/>
        <v>7.3929961089494123E-2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COUNTIFS(CUSTOMER!G:G,"&lt;="&amp;"2022-08-01",CUSTOMER!H:H,"&gt;"&amp;"2022-08-01",SALE!C:C,"Cosmetics")</f>
        <v>236</v>
      </c>
      <c r="D20" s="41">
        <f>COUNTIFS(CUSTOMER!G:G,"&lt;="&amp;"2022-08-31",CUSTOMER!H:H,"&gt;="&amp;"2022-08-31",SALE!C:C,"Cosmetics")</f>
        <v>223</v>
      </c>
      <c r="E20" s="41">
        <f>COUNTIFS(CUSTOMER!G:G,"&gt;="&amp;"2022-08-01",CUSTOMER!G:G,"&lt;="&amp;"2022-08-31",SALE!C:C,"Cosmetics")</f>
        <v>1</v>
      </c>
      <c r="F20" s="42">
        <f t="shared" si="0"/>
        <v>0.94067796610169496</v>
      </c>
      <c r="G20" s="42">
        <f t="shared" si="1"/>
        <v>5.9322033898305038E-2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COUNTIFS(CUSTOMER!G:G,"&lt;="&amp;"2022-09-01",CUSTOMER!H:H,"&gt;"&amp;"2022-09-01",SALE!C:C,"Cosmetics")</f>
        <v>222</v>
      </c>
      <c r="D21" s="41">
        <f>COUNTIFS(CUSTOMER!G:G,"&lt;="&amp;"2022-09-30",CUSTOMER!H:H,"&gt;="&amp;"2022-09-30",SALE!C:C,"Cosmetics")</f>
        <v>205</v>
      </c>
      <c r="E21" s="41">
        <f>COUNTIFS(CUSTOMER!G:G,"&gt;="&amp;"2022-09-01",CUSTOMER!G:G,"&lt;="&amp;"2022-09-30",SALE!C:C,"Cosmetics")</f>
        <v>0</v>
      </c>
      <c r="F21" s="42">
        <f t="shared" si="0"/>
        <v>0.92342342342342343</v>
      </c>
      <c r="G21" s="42">
        <f t="shared" si="1"/>
        <v>7.6576576576576572E-2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COUNTIFS(CUSTOMER!G:G,"&lt;="&amp;"2022-10-01",CUSTOMER!H:H,"&gt;"&amp;"2022-10-01",SALE!C:C,"Cosmetics")</f>
        <v>200</v>
      </c>
      <c r="D22" s="41">
        <f>COUNTIFS(CUSTOMER!G:G,"&lt;="&amp;"2022-10-31",CUSTOMER!H:H,"&gt;="&amp;"2022-10-31",SALE!C:C,"Cosmetics")</f>
        <v>175</v>
      </c>
      <c r="E22" s="41">
        <f>COUNTIFS(CUSTOMER!G:G,"&gt;="&amp;"2022-10-01",CUSTOMER!G:G,"&lt;="&amp;"2022-10-31",SALE!C:C,"Cosmetics")</f>
        <v>0</v>
      </c>
      <c r="F22" s="42">
        <f t="shared" si="0"/>
        <v>0.875</v>
      </c>
      <c r="G22" s="42">
        <f t="shared" si="1"/>
        <v>0.125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COUNTIFS(CUSTOMER!G:G,"&lt;="&amp;"2022-11-01",CUSTOMER!H:H,"&gt;"&amp;"2022-11-01",SALE!C:C,"Cosmetics")</f>
        <v>174</v>
      </c>
      <c r="D23" s="41">
        <f>COUNTIFS(CUSTOMER!G:G,"&lt;="&amp;"2022-11-30",CUSTOMER!H:H,"&gt;="&amp;"2022-11-30",SALE!C:C,"Cosmetics")</f>
        <v>140</v>
      </c>
      <c r="E23" s="41">
        <f>COUNTIFS(CUSTOMER!G:G,"&gt;="&amp;"2022-11-01",CUSTOMER!G:G,"&lt;="&amp;"2022-11-30",SALE!C:C,"Cosmetics")</f>
        <v>0</v>
      </c>
      <c r="F23" s="42">
        <f t="shared" si="0"/>
        <v>0.8045977011494253</v>
      </c>
      <c r="G23" s="42">
        <f t="shared" si="1"/>
        <v>0.1954022988505747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COUNTIFS(CUSTOMER!G:G,"&lt;="&amp;"2022-12-01",CUSTOMER!H:H,"&gt;"&amp;"2022-12-01",SALE!C:C,"Cosmetics")</f>
        <v>139</v>
      </c>
      <c r="D24" s="41">
        <f>COUNTIFS(CUSTOMER!G:G,"&lt;="&amp;"2022-12-31",CUSTOMER!H:H,"&gt;="&amp;"2022-12-31",SALE!C:C,"Cosmetics")</f>
        <v>107</v>
      </c>
      <c r="E24" s="41">
        <f>COUNTIFS(CUSTOMER!G:G,"&gt;="&amp;"2022-12-01",CUSTOMER!G:G,"&lt;="&amp;"2022-12-31",SALE!C:C,"Cosmetics")</f>
        <v>2</v>
      </c>
      <c r="F24" s="42">
        <f t="shared" si="0"/>
        <v>0.75539568345323738</v>
      </c>
      <c r="G24" s="42">
        <f t="shared" si="1"/>
        <v>0.24460431654676262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COUNTIFS(CUSTOMER!G:G,"&lt;="&amp;"2023-01-01",CUSTOMER!H:H,"&gt;"&amp;"2023-01-01",SALE!C:C,"Cosmetics")</f>
        <v>105</v>
      </c>
      <c r="D25" s="31">
        <f>COUNTIFS(CUSTOMER!G:G,"&lt;="&amp;"2023-01-31",CUSTOMER!H:H,"&gt;="&amp;"2023-01-31",SALE!C:C,"Cosmetics")</f>
        <v>68</v>
      </c>
      <c r="E25" s="31">
        <f>COUNTIFS(CUSTOMER!G:G,"&gt;="&amp;"2023-01-01",CUSTOMER!G:G,"&lt;="&amp;"2023-01-31",SALE!C:C,"Cosmetics")</f>
        <v>1</v>
      </c>
      <c r="F25" s="44">
        <f t="shared" si="0"/>
        <v>0.63809523809523805</v>
      </c>
      <c r="G25" s="51">
        <f t="shared" si="1"/>
        <v>0.36190476190476195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COUNTIFS(CUSTOMER!G:G,"&lt;="&amp;"2023-02-01",CUSTOMER!H:H,"&gt;"&amp;"2023-02-01",SALE!C:C,"Cosmetics")</f>
        <v>66</v>
      </c>
      <c r="D26" s="31">
        <f>COUNTIFS(CUSTOMER!G:G,"&lt;="&amp;"2023-02-28",CUSTOMER!H:H,"&gt;="&amp;"2023-02-28",SALE!C:C,"Cosmetics")</f>
        <v>17</v>
      </c>
      <c r="E26" s="31">
        <f>COUNTIFS(CUSTOMER!G:G,"&gt;="&amp;"2023-02-01",CUSTOMER!G:G,"&lt;="&amp;"2023-02-28",SALE!C:C,"Cosmetics")</f>
        <v>0</v>
      </c>
      <c r="F26" s="44">
        <f t="shared" si="0"/>
        <v>0.25757575757575757</v>
      </c>
      <c r="G26" s="51">
        <f t="shared" si="1"/>
        <v>0.74242424242424243</v>
      </c>
    </row>
    <row r="27" spans="1:7" x14ac:dyDescent="0.3">
      <c r="A27" s="37"/>
      <c r="F27" s="30">
        <f>AVERAGE(F1:F26)</f>
        <v>0.91367686408750071</v>
      </c>
      <c r="G27" s="30">
        <f t="shared" si="1"/>
        <v>8.6323135912499294E-2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3112-34FD-40C8-ACF0-B9CA5CB8AC50}">
  <dimension ref="A1:I39"/>
  <sheetViews>
    <sheetView topLeftCell="A6" workbookViewId="0">
      <selection activeCell="E11" sqref="E11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SALE!C:C,"Food &amp; Beverage")</f>
        <v>41</v>
      </c>
      <c r="D2" s="39">
        <f>COUNTIFS(CUSTOMER!G:G,"&lt;="&amp;"2021-02-28",CUSTOMER!H:H,"&gt;="&amp;"2021-02-28",SALE!C:C,"Food &amp; Beverage")</f>
        <v>80</v>
      </c>
      <c r="E2" s="39">
        <f>COUNTIFS(CUSTOMER!G:G,"&gt;="&amp;"2021-02-01",CUSTOMER!G:G,"&lt;="&amp;"2021-02-28",SALE!C:C,"Food &amp; Beverage")</f>
        <v>41</v>
      </c>
      <c r="F2" s="40">
        <f>((D2-E2)*100%)/C2</f>
        <v>0.95121951219512191</v>
      </c>
      <c r="G2" s="40">
        <f>1-F2</f>
        <v>4.8780487804878092E-2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SALE!C:C,"Food &amp; Beverage")</f>
        <v>81</v>
      </c>
      <c r="D3" s="39">
        <f>COUNTIFS(CUSTOMER!G:G,"&lt;="&amp;"2021-03-31",CUSTOMER!H:H,"&gt;="&amp;"2021-03-31",SALE!C:C,"Food &amp; Beverage")</f>
        <v>119</v>
      </c>
      <c r="E3" s="39">
        <f>COUNTIFS(CUSTOMER!G:G,"&gt;="&amp;"2021-03-01",CUSTOMER!G:G,"&lt;="&amp;"2021-03-31",SALE!C:C,"Food &amp; Beverage")</f>
        <v>39</v>
      </c>
      <c r="F3" s="40">
        <f t="shared" ref="F3:F26" si="0">((D3-E3)*100%)/C3</f>
        <v>0.98765432098765427</v>
      </c>
      <c r="G3" s="40">
        <f t="shared" ref="G3:G27" si="1">1-F3</f>
        <v>1.2345679012345734E-2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COUNTIFS(CUSTOMER!G:G,"&lt;="&amp;"2021-04-01",CUSTOMER!H:H,"&gt;"&amp;"2021-04-01",SALE!C:C,"Food &amp; Beverage")</f>
        <v>121</v>
      </c>
      <c r="D4" s="39">
        <f>COUNTIFS(CUSTOMER!G:G,"&lt;="&amp;"2021-04-30",CUSTOMER!H:H,"&gt;="&amp;"2021-04-30",SALE!C:C,"Food &amp; Beverage")</f>
        <v>160</v>
      </c>
      <c r="E4" s="39">
        <f>COUNTIFS(CUSTOMER!G:G,"&gt;="&amp;"2021-04-01",CUSTOMER!G:G,"&lt;="&amp;"2021-04-30",SALE!C:C,"Food &amp; Beverage")</f>
        <v>41</v>
      </c>
      <c r="F4" s="40">
        <f t="shared" si="0"/>
        <v>0.98347107438016534</v>
      </c>
      <c r="G4" s="40">
        <f t="shared" si="1"/>
        <v>1.6528925619834656E-2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COUNTIFS(CUSTOMER!G:G,"&lt;="&amp;"2021-05-01",CUSTOMER!H:H,"&gt;"&amp;"2021-05-01",SALE!C:C,"Food &amp; Beverage")</f>
        <v>160</v>
      </c>
      <c r="D5" s="39">
        <f>COUNTIFS(CUSTOMER!G:G,"&lt;="&amp;"2021-05-31",CUSTOMER!H:H,"&gt;="&amp;"2021-05-31",SALE!C:C,"Food &amp; Beverage")</f>
        <v>184</v>
      </c>
      <c r="E5" s="39">
        <f>COUNTIFS(CUSTOMER!G:G,"&gt;="&amp;"2021-05-01",CUSTOMER!G:G,"&lt;="&amp;"2021-05-31",SALE!C:C,"Food &amp; Beverage")</f>
        <v>24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COUNTIFS(CUSTOMER!G:G,"&lt;="&amp;"2021-06-01",CUSTOMER!H:H,"&gt;"&amp;"2021-06-01",SALE!C:C,"Food &amp; Beverage")</f>
        <v>186</v>
      </c>
      <c r="D6" s="39">
        <f>COUNTIFS(CUSTOMER!G:G,"&lt;="&amp;"2021-06-30",CUSTOMER!H:H,"&gt;="&amp;"2021-06-30",SALE!C:C,"Food &amp; Beverage")</f>
        <v>208</v>
      </c>
      <c r="E6" s="39">
        <f>COUNTIFS(CUSTOMER!G:G,"&gt;="&amp;"2021-06-01",CUSTOMER!G:G,"&lt;="&amp;"2021-06-30",SALE!C:C,"Food &amp; Beverage")</f>
        <v>28</v>
      </c>
      <c r="F6" s="40">
        <f t="shared" si="0"/>
        <v>0.967741935483871</v>
      </c>
      <c r="G6" s="40">
        <f t="shared" si="1"/>
        <v>3.2258064516129004E-2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COUNTIFS(CUSTOMER!G:G,"&lt;="&amp;"2021-07-01",CUSTOMER!H:H,"&gt;"&amp;"2021-07-01",SALE!C:C,"Food &amp; Beverage")</f>
        <v>209</v>
      </c>
      <c r="D7" s="39">
        <f>COUNTIFS(CUSTOMER!G:G,"&lt;="&amp;"2021-07-31",CUSTOMER!H:H,"&gt;="&amp;"2021-07-31",SALE!C:C,"Food &amp; Beverage")</f>
        <v>226</v>
      </c>
      <c r="E7" s="39">
        <f>COUNTIFS(CUSTOMER!G:G,"&gt;="&amp;"2021-07-01",CUSTOMER!G:G,"&lt;="&amp;"2021-07-31",SALE!C:C,"Food &amp; Beverage")</f>
        <v>20</v>
      </c>
      <c r="F7" s="40">
        <f t="shared" si="0"/>
        <v>0.9856459330143541</v>
      </c>
      <c r="G7" s="40">
        <f t="shared" si="1"/>
        <v>1.4354066985645897E-2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COUNTIFS(CUSTOMER!G:G,"&lt;="&amp;"2021-08-01",CUSTOMER!H:H,"&gt;"&amp;"2021-08-01",SALE!C:C,"Food &amp; Beverage")</f>
        <v>226</v>
      </c>
      <c r="D8" s="39">
        <f>COUNTIFS(CUSTOMER!G:G,"&lt;="&amp;"2021-08-31",CUSTOMER!H:H,"&gt;="&amp;"2021-08-31",SALE!C:C,"Food &amp; Beverage")</f>
        <v>240</v>
      </c>
      <c r="E8" s="39">
        <f>COUNTIFS(CUSTOMER!G:G,"&gt;="&amp;"2021-08-01",CUSTOMER!G:G,"&lt;="&amp;"2021-08-31",SALE!C:C,"Food &amp; Beverage")</f>
        <v>16</v>
      </c>
      <c r="F8" s="40">
        <f t="shared" si="0"/>
        <v>0.99115044247787609</v>
      </c>
      <c r="G8" s="40">
        <f t="shared" si="1"/>
        <v>8.8495575221239076E-3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COUNTIFS(CUSTOMER!G:G,"&lt;="&amp;"2021-09-01",CUSTOMER!H:H,"&gt;"&amp;"2021-09-01",SALE!C:C,"Food &amp; Beverage")</f>
        <v>240</v>
      </c>
      <c r="D9" s="39">
        <f>COUNTIFS(CUSTOMER!G:G,"&lt;="&amp;"2021-09-30",CUSTOMER!H:H,"&gt;="&amp;"2021-09-30",SALE!C:C,"Food &amp; Beverage")</f>
        <v>253</v>
      </c>
      <c r="E9" s="39">
        <f>COUNTIFS(CUSTOMER!G:G,"&gt;="&amp;"2021-09-01",CUSTOMER!G:G,"&lt;="&amp;"2021-09-30",SALE!C:C,"Food &amp; Beverage")</f>
        <v>14</v>
      </c>
      <c r="F9" s="40">
        <f t="shared" si="0"/>
        <v>0.99583333333333335</v>
      </c>
      <c r="G9" s="40">
        <f t="shared" si="1"/>
        <v>4.1666666666666519E-3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COUNTIFS(CUSTOMER!G:G,"&lt;="&amp;"2021-10-01",CUSTOMER!H:H,"&gt;"&amp;"2021-10-01",SALE!C:C,"Food &amp; Beverage")</f>
        <v>253</v>
      </c>
      <c r="D10" s="39">
        <f>COUNTIFS(CUSTOMER!G:G,"&lt;="&amp;"2021-10-31",CUSTOMER!H:H,"&gt;="&amp;"2021-10-31",SALE!C:C,"Food &amp; Beverage")</f>
        <v>258</v>
      </c>
      <c r="E10" s="39">
        <f>COUNTIFS(CUSTOMER!G:G,"&gt;="&amp;"2021-10-01",CUSTOMER!G:G,"&lt;="&amp;"2021-10-31",SALE!C:C,"Food &amp; Beverage")</f>
        <v>8</v>
      </c>
      <c r="F10" s="40">
        <f t="shared" si="0"/>
        <v>0.98814229249011853</v>
      </c>
      <c r="G10" s="40">
        <f t="shared" si="1"/>
        <v>1.1857707509881465E-2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COUNTIFS(CUSTOMER!G:G,"&lt;="&amp;"2021-11-01",CUSTOMER!H:H,"&gt;"&amp;"2021-11-01",SALE!C:C,"Food &amp; Beverage")</f>
        <v>258</v>
      </c>
      <c r="D11" s="39">
        <f>COUNTIFS(CUSTOMER!G:G,"&lt;="&amp;"2021-11-30",CUSTOMER!H:H,"&gt;="&amp;"2021-11-30",SALE!C:C,"Food &amp; Beverage")</f>
        <v>266</v>
      </c>
      <c r="E11" s="39">
        <f>COUNTIFS(CUSTOMER!G:G,"&gt;="&amp;"2021-11-01",CUSTOMER!G:G,"&lt;="&amp;"2021-11-30",SALE!C:C,"Food &amp; Beverage")</f>
        <v>10</v>
      </c>
      <c r="F11" s="40">
        <f t="shared" si="0"/>
        <v>0.99224806201550386</v>
      </c>
      <c r="G11" s="40">
        <f t="shared" si="1"/>
        <v>7.7519379844961378E-3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COUNTIFS(CUSTOMER!G:G,"&lt;="&amp;"2021-12-01",CUSTOMER!H:H,"&gt;"&amp;"2021-12-01",SALE!C:C,"Food &amp; Beverage")</f>
        <v>266</v>
      </c>
      <c r="D12" s="39">
        <f>COUNTIFS(CUSTOMER!G:G,"&lt;="&amp;"2021-12-31",CUSTOMER!H:H,"&gt;="&amp;"2021-12-31",SALE!C:C,"Food &amp; Beverage")</f>
        <v>266</v>
      </c>
      <c r="E12" s="39">
        <f>COUNTIFS(CUSTOMER!G:G,"&gt;="&amp;"2021-12-01",CUSTOMER!G:G,"&lt;="&amp;"2021-12-31",SALE!C:C,"Food &amp; Beverage")</f>
        <v>5</v>
      </c>
      <c r="F12" s="40">
        <f t="shared" si="0"/>
        <v>0.98120300751879697</v>
      </c>
      <c r="G12" s="40">
        <f t="shared" si="1"/>
        <v>1.8796992481203034E-2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COUNTIFS(CUSTOMER!G:G,"&lt;="&amp;"2022-01-01",CUSTOMER!H:H,"&gt;"&amp;"2022-01-01",SALE!C:C,"Food &amp; Beverage")</f>
        <v>266</v>
      </c>
      <c r="D13" s="41">
        <f>COUNTIFS(CUSTOMER!G:G,"&lt;="&amp;"2022-01-31",CUSTOMER!H:H,"&gt;="&amp;"2022-01-31",SALE!C:C,"Food &amp; Beverage")</f>
        <v>264</v>
      </c>
      <c r="E13" s="41">
        <f>COUNTIFS(CUSTOMER!G:G,"&gt;="&amp;"2022-01-01",CUSTOMER!G:G,"&lt;="&amp;"2022-01-31",SALE!C:C,"Food &amp; Beverage")</f>
        <v>3</v>
      </c>
      <c r="F13" s="42">
        <f t="shared" si="0"/>
        <v>0.98120300751879697</v>
      </c>
      <c r="G13" s="42">
        <f t="shared" si="1"/>
        <v>1.8796992481203034E-2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COUNTIFS(CUSTOMER!G:G,"&lt;="&amp;"2022-02-01",CUSTOMER!H:H,"&gt;"&amp;"2022-02-01",SALE!C:C,"Food &amp; Beverage")</f>
        <v>264</v>
      </c>
      <c r="D14" s="41">
        <f>COUNTIFS(CUSTOMER!G:G,"&lt;="&amp;"2022-02-28",CUSTOMER!H:H,"&gt;="&amp;"2022-02-28",SALE!C:C,"Food &amp; Beverage")</f>
        <v>265</v>
      </c>
      <c r="E14" s="41">
        <f>COUNTIFS(CUSTOMER!G:G,"&gt;="&amp;"2022-02-01",CUSTOMER!G:G,"&lt;="&amp;"2022-02-28",SALE!C:C,"Food &amp; Beverage")</f>
        <v>6</v>
      </c>
      <c r="F14" s="42">
        <f t="shared" si="0"/>
        <v>0.98106060606060608</v>
      </c>
      <c r="G14" s="42">
        <f t="shared" si="1"/>
        <v>1.8939393939393923E-2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COUNTIFS(CUSTOMER!G:G,"&lt;="&amp;"2022-03-01",CUSTOMER!H:H,"&gt;"&amp;"2022-03-01",SALE!C:C,"Food &amp; Beverage")</f>
        <v>264</v>
      </c>
      <c r="D15" s="41">
        <f>COUNTIFS(CUSTOMER!G:G,"&lt;="&amp;"2022-03-31",CUSTOMER!H:H,"&gt;="&amp;"2022-03-31",SALE!C:C,"Food &amp; Beverage")</f>
        <v>261</v>
      </c>
      <c r="E15" s="41">
        <f>COUNTIFS(CUSTOMER!G:G,"&gt;="&amp;"2022-03-01",CUSTOMER!G:G,"&lt;="&amp;"2022-03-31",SALE!C:C,"Food &amp; Beverage")</f>
        <v>3</v>
      </c>
      <c r="F15" s="42">
        <f t="shared" si="0"/>
        <v>0.97727272727272729</v>
      </c>
      <c r="G15" s="42">
        <f t="shared" si="1"/>
        <v>2.2727272727272707E-2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COUNTIFS(CUSTOMER!G:G,"&lt;="&amp;"2022-04-01",CUSTOMER!H:H,"&gt;"&amp;"2022-04-01",SALE!C:C,"Food &amp; Beverage")</f>
        <v>260</v>
      </c>
      <c r="D16" s="41">
        <f>COUNTIFS(CUSTOMER!G:G,"&lt;="&amp;"2022-04-30",CUSTOMER!H:H,"&gt;="&amp;"2022-04-30",SALE!C:C,"Food &amp; Beverage")</f>
        <v>256</v>
      </c>
      <c r="E16" s="41">
        <f>COUNTIFS(CUSTOMER!G:G,"&gt;="&amp;"2022-04-01",CUSTOMER!G:G,"&lt;="&amp;"2022-04-30",SALE!C:C,"Food &amp; Beverage")</f>
        <v>1</v>
      </c>
      <c r="F16" s="42">
        <f t="shared" si="0"/>
        <v>0.98076923076923073</v>
      </c>
      <c r="G16" s="42">
        <f t="shared" si="1"/>
        <v>1.9230769230769273E-2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COUNTIFS(CUSTOMER!G:G,"&lt;="&amp;"2022-05-01",CUSTOMER!H:H,"&gt;"&amp;"2022-05-01",SALE!C:C,"Food &amp; Beverage")</f>
        <v>254</v>
      </c>
      <c r="D17" s="41">
        <f>COUNTIFS(CUSTOMER!G:G,"&lt;="&amp;"2022-05-31",CUSTOMER!H:H,"&gt;="&amp;"2022-05-31",SALE!C:C,"Food &amp; Beverage")</f>
        <v>255</v>
      </c>
      <c r="E17" s="41">
        <f>COUNTIFS(CUSTOMER!G:G,"&gt;="&amp;"2022-05-01",CUSTOMER!G:G,"&lt;="&amp;"2022-05-31",SALE!C:C,"Food &amp; Beverage")</f>
        <v>5</v>
      </c>
      <c r="F17" s="42">
        <f t="shared" si="0"/>
        <v>0.98425196850393704</v>
      </c>
      <c r="G17" s="42">
        <f t="shared" si="1"/>
        <v>1.5748031496062964E-2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COUNTIFS(CUSTOMER!G:G,"&lt;="&amp;"2022-06-01",CUSTOMER!H:H,"&gt;"&amp;"2022-06-01",SALE!C:C,"Food &amp; Beverage")</f>
        <v>255</v>
      </c>
      <c r="D18" s="41">
        <f>COUNTIFS(CUSTOMER!G:G,"&lt;="&amp;"2022-06-30",CUSTOMER!H:H,"&gt;="&amp;"2022-06-30",SALE!C:C,"Food &amp; Beverage")</f>
        <v>245</v>
      </c>
      <c r="E18" s="41">
        <f>COUNTIFS(CUSTOMER!G:G,"&gt;="&amp;"2022-06-01",CUSTOMER!G:G,"&lt;="&amp;"2022-06-30",SALE!C:C,"Food &amp; Beverage")</f>
        <v>0</v>
      </c>
      <c r="F18" s="42">
        <f t="shared" si="0"/>
        <v>0.96078431372549022</v>
      </c>
      <c r="G18" s="42">
        <f t="shared" si="1"/>
        <v>3.9215686274509776E-2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COUNTIFS(CUSTOMER!G:G,"&lt;="&amp;"2022-07-01",CUSTOMER!H:H,"&gt;"&amp;"2022-07-01",SALE!C:C,"Food &amp; Beverage")</f>
        <v>245</v>
      </c>
      <c r="D19" s="41">
        <f>COUNTIFS(CUSTOMER!G:G,"&lt;="&amp;"2022-07-31",CUSTOMER!H:H,"&gt;="&amp;"2022-07-31",SALE!C:C,"Food &amp; Beverage")</f>
        <v>238</v>
      </c>
      <c r="E19" s="41">
        <f>COUNTIFS(CUSTOMER!G:G,"&gt;="&amp;"2022-07-01",CUSTOMER!G:G,"&lt;="&amp;"2022-07-31",SALE!C:C,"Food &amp; Beverage")</f>
        <v>1</v>
      </c>
      <c r="F19" s="42">
        <f t="shared" si="0"/>
        <v>0.96734693877551026</v>
      </c>
      <c r="G19" s="42">
        <f t="shared" si="1"/>
        <v>3.2653061224489743E-2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COUNTIFS(CUSTOMER!G:G,"&lt;="&amp;"2022-08-01",CUSTOMER!H:H,"&gt;"&amp;"2022-08-01",SALE!C:C,"Food &amp; Beverage")</f>
        <v>238</v>
      </c>
      <c r="D20" s="41">
        <f>COUNTIFS(CUSTOMER!G:G,"&lt;="&amp;"2022-08-31",CUSTOMER!H:H,"&gt;="&amp;"2022-08-31",SALE!C:C,"Food &amp; Beverage")</f>
        <v>222</v>
      </c>
      <c r="E20" s="41">
        <f>COUNTIFS(CUSTOMER!G:G,"&gt;="&amp;"2022-08-01",CUSTOMER!G:G,"&lt;="&amp;"2022-08-31",SALE!C:C,"Food &amp; Beverage")</f>
        <v>1</v>
      </c>
      <c r="F20" s="42">
        <f t="shared" si="0"/>
        <v>0.9285714285714286</v>
      </c>
      <c r="G20" s="42">
        <f t="shared" si="1"/>
        <v>7.1428571428571397E-2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COUNTIFS(CUSTOMER!G:G,"&lt;="&amp;"2022-09-01",CUSTOMER!H:H,"&gt;"&amp;"2022-09-01",SALE!C:C,"Food &amp; Beverage")</f>
        <v>220</v>
      </c>
      <c r="D21" s="41">
        <f>COUNTIFS(CUSTOMER!G:G,"&lt;="&amp;"2022-09-30",CUSTOMER!H:H,"&gt;="&amp;"2022-09-30",SALE!C:C,"Food &amp; Beverage")</f>
        <v>200</v>
      </c>
      <c r="E21" s="41">
        <f>COUNTIFS(CUSTOMER!G:G,"&gt;="&amp;"2022-09-01",CUSTOMER!G:G,"&lt;="&amp;"2022-09-30",SALE!C:C,"Food &amp; Beverage")</f>
        <v>0</v>
      </c>
      <c r="F21" s="42">
        <f t="shared" si="0"/>
        <v>0.90909090909090906</v>
      </c>
      <c r="G21" s="42">
        <f t="shared" si="1"/>
        <v>9.0909090909090939E-2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COUNTIFS(CUSTOMER!G:G,"&lt;="&amp;"2022-10-01",CUSTOMER!H:H,"&gt;"&amp;"2022-10-01",SALE!C:C,"Food &amp; Beverage")</f>
        <v>198</v>
      </c>
      <c r="D22" s="41">
        <f>COUNTIFS(CUSTOMER!G:G,"&lt;="&amp;"2022-10-31",CUSTOMER!H:H,"&gt;="&amp;"2022-10-31",SALE!C:C,"Food &amp; Beverage")</f>
        <v>172</v>
      </c>
      <c r="E22" s="41">
        <f>COUNTIFS(CUSTOMER!G:G,"&gt;="&amp;"2022-10-01",CUSTOMER!G:G,"&lt;="&amp;"2022-10-31",SALE!C:C,"Food &amp; Beverage")</f>
        <v>0</v>
      </c>
      <c r="F22" s="42">
        <f t="shared" si="0"/>
        <v>0.86868686868686873</v>
      </c>
      <c r="G22" s="42">
        <f t="shared" si="1"/>
        <v>0.13131313131313127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COUNTIFS(CUSTOMER!G:G,"&lt;="&amp;"2022-11-01",CUSTOMER!H:H,"&gt;"&amp;"2022-11-01",SALE!C:C,"Food &amp; Beverage")</f>
        <v>169</v>
      </c>
      <c r="D23" s="41">
        <f>COUNTIFS(CUSTOMER!G:G,"&lt;="&amp;"2022-11-30",CUSTOMER!H:H,"&gt;="&amp;"2022-11-30",SALE!C:C,"Food &amp; Beverage")</f>
        <v>139</v>
      </c>
      <c r="E23" s="41">
        <f>COUNTIFS(CUSTOMER!G:G,"&gt;="&amp;"2022-11-01",CUSTOMER!G:G,"&lt;="&amp;"2022-11-30",SALE!C:C,"Food &amp; Beverage")</f>
        <v>0</v>
      </c>
      <c r="F23" s="42">
        <f t="shared" si="0"/>
        <v>0.8224852071005917</v>
      </c>
      <c r="G23" s="42">
        <f t="shared" si="1"/>
        <v>0.1775147928994083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COUNTIFS(CUSTOMER!G:G,"&lt;="&amp;"2022-12-01",CUSTOMER!H:H,"&gt;"&amp;"2022-12-01",SALE!C:C,"Food &amp; Beverage")</f>
        <v>138</v>
      </c>
      <c r="D24" s="41">
        <f>COUNTIFS(CUSTOMER!G:G,"&lt;="&amp;"2022-12-31",CUSTOMER!H:H,"&gt;="&amp;"2022-12-31",SALE!C:C,"Food &amp; Beverage")</f>
        <v>103</v>
      </c>
      <c r="E24" s="41">
        <f>COUNTIFS(CUSTOMER!G:G,"&gt;="&amp;"2022-12-01",CUSTOMER!G:G,"&lt;="&amp;"2022-12-31",SALE!C:C,"Food &amp; Beverage")</f>
        <v>1</v>
      </c>
      <c r="F24" s="42">
        <f t="shared" si="0"/>
        <v>0.73913043478260865</v>
      </c>
      <c r="G24" s="42">
        <f t="shared" si="1"/>
        <v>0.26086956521739135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COUNTIFS(CUSTOMER!G:G,"&lt;="&amp;"2023-01-01",CUSTOMER!H:H,"&gt;"&amp;"2023-01-01",SALE!C:C,"Food &amp; Beverage")</f>
        <v>101</v>
      </c>
      <c r="D25" s="31">
        <f>COUNTIFS(CUSTOMER!G:G,"&lt;="&amp;"2023-01-31",CUSTOMER!H:H,"&gt;="&amp;"2023-01-31",SALE!C:C,"Food &amp; Beverage")</f>
        <v>64</v>
      </c>
      <c r="E25" s="31">
        <f>COUNTIFS(CUSTOMER!G:G,"&gt;="&amp;"2023-01-01",CUSTOMER!G:G,"&lt;="&amp;"2023-01-31",SALE!C:C,"Food &amp; Beverage")</f>
        <v>0</v>
      </c>
      <c r="F25" s="44">
        <f t="shared" si="0"/>
        <v>0.63366336633663367</v>
      </c>
      <c r="G25" s="51">
        <f t="shared" si="1"/>
        <v>0.36633663366336633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COUNTIFS(CUSTOMER!G:G,"&lt;="&amp;"2023-02-01",CUSTOMER!H:H,"&gt;"&amp;"2023-02-01",SALE!C:C,"Food &amp; Beverage")</f>
        <v>62</v>
      </c>
      <c r="D26" s="31">
        <f>COUNTIFS(CUSTOMER!G:G,"&lt;="&amp;"2023-02-28",CUSTOMER!H:H,"&gt;="&amp;"2023-02-28",SALE!C:C,"Food &amp; Beverage")</f>
        <v>17</v>
      </c>
      <c r="E26" s="31">
        <f>COUNTIFS(CUSTOMER!G:G,"&gt;="&amp;"2023-02-01",CUSTOMER!G:G,"&lt;="&amp;"2023-02-28",SALE!C:C,"Food &amp; Beverage")</f>
        <v>0</v>
      </c>
      <c r="F26" s="44">
        <f t="shared" si="0"/>
        <v>0.27419354838709675</v>
      </c>
      <c r="G26" s="51">
        <f t="shared" si="1"/>
        <v>0.72580645161290325</v>
      </c>
    </row>
    <row r="27" spans="1:7" x14ac:dyDescent="0.3">
      <c r="A27" s="37"/>
      <c r="F27" s="30">
        <f>AVERAGE(F1:F26)</f>
        <v>0.91331281877916903</v>
      </c>
      <c r="G27" s="30">
        <f t="shared" si="1"/>
        <v>8.6687181220830967E-2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D833-BD4B-456E-90CE-B2AF5AC31031}">
  <dimension ref="A1:I39"/>
  <sheetViews>
    <sheetView topLeftCell="A6" workbookViewId="0">
      <selection activeCell="E11" sqref="E11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SALE!C:C,"Shoes")</f>
        <v>35</v>
      </c>
      <c r="D2" s="39">
        <f>COUNTIFS(CUSTOMER!G:G,"&lt;="&amp;"2021-02-28",CUSTOMER!H:H,"&gt;="&amp;"2021-02-28",SALE!C:C,"Shoes")</f>
        <v>52</v>
      </c>
      <c r="E2" s="39">
        <f>COUNTIFS(CUSTOMER!G:G,"&gt;="&amp;"2021-02-01",CUSTOMER!G:G,"&lt;="&amp;"2021-02-28",SALE!C:C,"Shoes")</f>
        <v>17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SALE!C:C,"Shoes")</f>
        <v>52</v>
      </c>
      <c r="D3" s="39">
        <f>COUNTIFS(CUSTOMER!G:G,"&lt;="&amp;"2021-03-31",CUSTOMER!H:H,"&gt;="&amp;"2021-03-31",SALE!C:C,"Shoes")</f>
        <v>80</v>
      </c>
      <c r="E3" s="39">
        <f>COUNTIFS(CUSTOMER!G:G,"&gt;="&amp;"2021-03-01",CUSTOMER!G:G,"&lt;="&amp;"2021-03-31",SALE!C:C,"Shoes")</f>
        <v>28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COUNTIFS(CUSTOMER!G:G,"&lt;="&amp;"2021-04-01",CUSTOMER!H:H,"&gt;"&amp;"2021-04-01",SALE!C:C,"Shoes")</f>
        <v>80</v>
      </c>
      <c r="D4" s="39">
        <f>COUNTIFS(CUSTOMER!G:G,"&lt;="&amp;"2021-04-30",CUSTOMER!H:H,"&gt;="&amp;"2021-04-30",SALE!C:C,"Shoes")</f>
        <v>97</v>
      </c>
      <c r="E4" s="39">
        <f>COUNTIFS(CUSTOMER!G:G,"&gt;="&amp;"2021-04-01",CUSTOMER!G:G,"&lt;="&amp;"2021-04-30",SALE!C:C,"Shoes")</f>
        <v>19</v>
      </c>
      <c r="F4" s="40">
        <f t="shared" si="0"/>
        <v>0.97499999999999998</v>
      </c>
      <c r="G4" s="40">
        <f t="shared" si="1"/>
        <v>2.5000000000000022E-2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COUNTIFS(CUSTOMER!G:G,"&lt;="&amp;"2021-05-01",CUSTOMER!H:H,"&gt;"&amp;"2021-05-01",SALE!C:C,"Shoes")</f>
        <v>99</v>
      </c>
      <c r="D5" s="39">
        <f>COUNTIFS(CUSTOMER!G:G,"&lt;="&amp;"2021-05-31",CUSTOMER!H:H,"&gt;="&amp;"2021-05-31",SALE!C:C,"Shoes")</f>
        <v>112</v>
      </c>
      <c r="E5" s="39">
        <f>COUNTIFS(CUSTOMER!G:G,"&gt;="&amp;"2021-05-01",CUSTOMER!G:G,"&lt;="&amp;"2021-05-31",SALE!C:C,"Shoes")</f>
        <v>15</v>
      </c>
      <c r="F5" s="40">
        <f t="shared" si="0"/>
        <v>0.97979797979797978</v>
      </c>
      <c r="G5" s="40">
        <f t="shared" si="1"/>
        <v>2.0202020202020221E-2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COUNTIFS(CUSTOMER!G:G,"&lt;="&amp;"2021-06-01",CUSTOMER!H:H,"&gt;"&amp;"2021-06-01",SALE!C:C,"Shoes")</f>
        <v>115</v>
      </c>
      <c r="D6" s="39">
        <f>COUNTIFS(CUSTOMER!G:G,"&lt;="&amp;"2021-06-30",CUSTOMER!H:H,"&gt;="&amp;"2021-06-30",SALE!C:C,"Shoes")</f>
        <v>127</v>
      </c>
      <c r="E6" s="39">
        <f>COUNTIFS(CUSTOMER!G:G,"&gt;="&amp;"2021-06-01",CUSTOMER!G:G,"&lt;="&amp;"2021-06-30",SALE!C:C,"Shoes")</f>
        <v>16</v>
      </c>
      <c r="F6" s="40">
        <f t="shared" si="0"/>
        <v>0.9652173913043478</v>
      </c>
      <c r="G6" s="40">
        <f t="shared" si="1"/>
        <v>3.4782608695652195E-2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COUNTIFS(CUSTOMER!G:G,"&lt;="&amp;"2021-07-01",CUSTOMER!H:H,"&gt;"&amp;"2021-07-01",SALE!C:C,"Shoes")</f>
        <v>127</v>
      </c>
      <c r="D7" s="39">
        <f>COUNTIFS(CUSTOMER!G:G,"&lt;="&amp;"2021-07-31",CUSTOMER!H:H,"&gt;="&amp;"2021-07-31",SALE!C:C,"Shoes")</f>
        <v>137</v>
      </c>
      <c r="E7" s="39">
        <f>COUNTIFS(CUSTOMER!G:G,"&gt;="&amp;"2021-07-01",CUSTOMER!G:G,"&lt;="&amp;"2021-07-31",SALE!C:C,"Shoes")</f>
        <v>13</v>
      </c>
      <c r="F7" s="40">
        <f t="shared" si="0"/>
        <v>0.97637795275590555</v>
      </c>
      <c r="G7" s="40">
        <f t="shared" si="1"/>
        <v>2.3622047244094446E-2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COUNTIFS(CUSTOMER!G:G,"&lt;="&amp;"2021-08-01",CUSTOMER!H:H,"&gt;"&amp;"2021-08-01",SALE!C:C,"Shoes")</f>
        <v>137</v>
      </c>
      <c r="D8" s="39">
        <f>COUNTIFS(CUSTOMER!G:G,"&lt;="&amp;"2021-08-31",CUSTOMER!H:H,"&gt;="&amp;"2021-08-31",SALE!C:C,"Shoes")</f>
        <v>142</v>
      </c>
      <c r="E8" s="39">
        <f>COUNTIFS(CUSTOMER!G:G,"&gt;="&amp;"2021-08-01",CUSTOMER!G:G,"&lt;="&amp;"2021-08-31",SALE!C:C,"Shoes")</f>
        <v>6</v>
      </c>
      <c r="F8" s="40">
        <f t="shared" si="0"/>
        <v>0.99270072992700731</v>
      </c>
      <c r="G8" s="40">
        <f t="shared" si="1"/>
        <v>7.2992700729926918E-3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COUNTIFS(CUSTOMER!G:G,"&lt;="&amp;"2021-09-01",CUSTOMER!H:H,"&gt;"&amp;"2021-09-01",SALE!C:C,"Shoes")</f>
        <v>142</v>
      </c>
      <c r="D9" s="39">
        <f>COUNTIFS(CUSTOMER!G:G,"&lt;="&amp;"2021-09-30",CUSTOMER!H:H,"&gt;="&amp;"2021-09-30",SALE!C:C,"Shoes")</f>
        <v>148</v>
      </c>
      <c r="E9" s="39">
        <f>COUNTIFS(CUSTOMER!G:G,"&gt;="&amp;"2021-09-01",CUSTOMER!G:G,"&lt;="&amp;"2021-09-30",SALE!C:C,"Shoes")</f>
        <v>6</v>
      </c>
      <c r="F9" s="40">
        <f t="shared" si="0"/>
        <v>1</v>
      </c>
      <c r="G9" s="40">
        <f t="shared" si="1"/>
        <v>0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COUNTIFS(CUSTOMER!G:G,"&lt;="&amp;"2021-10-01",CUSTOMER!H:H,"&gt;"&amp;"2021-10-01",SALE!C:C,"Shoes")</f>
        <v>148</v>
      </c>
      <c r="D10" s="39">
        <f>COUNTIFS(CUSTOMER!G:G,"&lt;="&amp;"2021-10-31",CUSTOMER!H:H,"&gt;="&amp;"2021-10-31",SALE!C:C,"Shoes")</f>
        <v>154</v>
      </c>
      <c r="E10" s="39">
        <f>COUNTIFS(CUSTOMER!G:G,"&gt;="&amp;"2021-10-01",CUSTOMER!G:G,"&lt;="&amp;"2021-10-31",SALE!C:C,"Shoes")</f>
        <v>7</v>
      </c>
      <c r="F10" s="40">
        <f t="shared" si="0"/>
        <v>0.9932432432432432</v>
      </c>
      <c r="G10" s="40">
        <f t="shared" si="1"/>
        <v>6.7567567567567988E-3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COUNTIFS(CUSTOMER!G:G,"&lt;="&amp;"2021-11-01",CUSTOMER!H:H,"&gt;"&amp;"2021-11-01",SALE!C:C,"Shoes")</f>
        <v>154</v>
      </c>
      <c r="D11" s="39">
        <f>COUNTIFS(CUSTOMER!G:G,"&lt;="&amp;"2021-11-30",CUSTOMER!H:H,"&gt;="&amp;"2021-11-30",SALE!C:C,"Shoes")</f>
        <v>153</v>
      </c>
      <c r="E11" s="39">
        <f>COUNTIFS(CUSTOMER!G:G,"&gt;="&amp;"2021-11-01",CUSTOMER!G:G,"&lt;="&amp;"2021-11-30",SALE!C:C,"Shoes")</f>
        <v>3</v>
      </c>
      <c r="F11" s="40">
        <f t="shared" si="0"/>
        <v>0.97402597402597402</v>
      </c>
      <c r="G11" s="40">
        <f t="shared" si="1"/>
        <v>2.5974025974025983E-2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COUNTIFS(CUSTOMER!G:G,"&lt;="&amp;"2021-12-01",CUSTOMER!H:H,"&gt;"&amp;"2021-12-01",SALE!C:C,"Shoes")</f>
        <v>153</v>
      </c>
      <c r="D12" s="39">
        <f>COUNTIFS(CUSTOMER!G:G,"&lt;="&amp;"2021-12-31",CUSTOMER!H:H,"&gt;="&amp;"2021-12-31",SALE!C:C,"Shoes")</f>
        <v>153</v>
      </c>
      <c r="E12" s="39">
        <f>COUNTIFS(CUSTOMER!G:G,"&gt;="&amp;"2021-12-01",CUSTOMER!G:G,"&lt;="&amp;"2021-12-31",SALE!C:C,"Shoes")</f>
        <v>2</v>
      </c>
      <c r="F12" s="40">
        <f t="shared" si="0"/>
        <v>0.98692810457516345</v>
      </c>
      <c r="G12" s="40">
        <f t="shared" si="1"/>
        <v>1.3071895424836555E-2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COUNTIFS(CUSTOMER!G:G,"&lt;="&amp;"2022-01-01",CUSTOMER!H:H,"&gt;"&amp;"2022-01-01",SALE!C:C,"Shoes")</f>
        <v>152</v>
      </c>
      <c r="D13" s="41">
        <f>COUNTIFS(CUSTOMER!G:G,"&lt;="&amp;"2022-01-31",CUSTOMER!H:H,"&gt;="&amp;"2022-01-31",SALE!C:C,"Shoes")</f>
        <v>157</v>
      </c>
      <c r="E13" s="41">
        <f>COUNTIFS(CUSTOMER!G:G,"&gt;="&amp;"2022-01-01",CUSTOMER!G:G,"&lt;="&amp;"2022-01-31",SALE!C:C,"Shoes")</f>
        <v>5</v>
      </c>
      <c r="F13" s="42">
        <f t="shared" si="0"/>
        <v>1</v>
      </c>
      <c r="G13" s="42">
        <f t="shared" si="1"/>
        <v>0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COUNTIFS(CUSTOMER!G:G,"&lt;="&amp;"2022-02-01",CUSTOMER!H:H,"&gt;"&amp;"2022-02-01",SALE!C:C,"Shoes")</f>
        <v>156</v>
      </c>
      <c r="D14" s="41">
        <f>COUNTIFS(CUSTOMER!G:G,"&lt;="&amp;"2022-02-28",CUSTOMER!H:H,"&gt;="&amp;"2022-02-28",SALE!C:C,"Shoes")</f>
        <v>154</v>
      </c>
      <c r="E14" s="41">
        <f>COUNTIFS(CUSTOMER!G:G,"&gt;="&amp;"2022-02-01",CUSTOMER!G:G,"&lt;="&amp;"2022-02-28",SALE!C:C,"Shoes")</f>
        <v>4</v>
      </c>
      <c r="F14" s="42">
        <f t="shared" si="0"/>
        <v>0.96153846153846156</v>
      </c>
      <c r="G14" s="42">
        <f t="shared" si="1"/>
        <v>3.8461538461538436E-2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COUNTIFS(CUSTOMER!G:G,"&lt;="&amp;"2022-03-01",CUSTOMER!H:H,"&gt;"&amp;"2022-03-01",SALE!C:C,"Shoes")</f>
        <v>153</v>
      </c>
      <c r="D15" s="41">
        <f>COUNTIFS(CUSTOMER!G:G,"&lt;="&amp;"2022-03-31",CUSTOMER!H:H,"&gt;="&amp;"2022-03-31",SALE!C:C,"Shoes")</f>
        <v>148</v>
      </c>
      <c r="E15" s="41">
        <f>COUNTIFS(CUSTOMER!G:G,"&gt;="&amp;"2022-03-01",CUSTOMER!G:G,"&lt;="&amp;"2022-03-31",SALE!C:C,"Shoes")</f>
        <v>0</v>
      </c>
      <c r="F15" s="42">
        <f t="shared" si="0"/>
        <v>0.9673202614379085</v>
      </c>
      <c r="G15" s="42">
        <f t="shared" si="1"/>
        <v>3.2679738562091498E-2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COUNTIFS(CUSTOMER!G:G,"&lt;="&amp;"2022-04-01",CUSTOMER!H:H,"&gt;"&amp;"2022-04-01",SALE!C:C,"Shoes")</f>
        <v>148</v>
      </c>
      <c r="D16" s="41">
        <f>COUNTIFS(CUSTOMER!G:G,"&lt;="&amp;"2022-04-30",CUSTOMER!H:H,"&gt;="&amp;"2022-04-30",SALE!C:C,"Shoes")</f>
        <v>146</v>
      </c>
      <c r="E16" s="41">
        <f>COUNTIFS(CUSTOMER!G:G,"&gt;="&amp;"2022-04-01",CUSTOMER!G:G,"&lt;="&amp;"2022-04-30",SALE!C:C,"Shoes")</f>
        <v>4</v>
      </c>
      <c r="F16" s="42">
        <f t="shared" si="0"/>
        <v>0.95945945945945943</v>
      </c>
      <c r="G16" s="42">
        <f t="shared" si="1"/>
        <v>4.0540540540540571E-2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COUNTIFS(CUSTOMER!G:G,"&lt;="&amp;"2022-05-01",CUSTOMER!H:H,"&gt;"&amp;"2022-05-01",SALE!C:C,"Shoes")</f>
        <v>146</v>
      </c>
      <c r="D17" s="41">
        <f>COUNTIFS(CUSTOMER!G:G,"&lt;="&amp;"2022-05-31",CUSTOMER!H:H,"&gt;="&amp;"2022-05-31",SALE!C:C,"Shoes")</f>
        <v>146</v>
      </c>
      <c r="E17" s="41">
        <f>COUNTIFS(CUSTOMER!G:G,"&gt;="&amp;"2022-05-01",CUSTOMER!G:G,"&lt;="&amp;"2022-05-31",SALE!C:C,"Shoes")</f>
        <v>0</v>
      </c>
      <c r="F17" s="42">
        <f t="shared" si="0"/>
        <v>1</v>
      </c>
      <c r="G17" s="42">
        <f t="shared" si="1"/>
        <v>0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COUNTIFS(CUSTOMER!G:G,"&lt;="&amp;"2022-06-01",CUSTOMER!H:H,"&gt;"&amp;"2022-06-01",SALE!C:C,"Shoes")</f>
        <v>146</v>
      </c>
      <c r="D18" s="41">
        <f>COUNTIFS(CUSTOMER!G:G,"&lt;="&amp;"2022-06-30",CUSTOMER!H:H,"&gt;="&amp;"2022-06-30",SALE!C:C,"Shoes")</f>
        <v>141</v>
      </c>
      <c r="E18" s="41">
        <f>COUNTIFS(CUSTOMER!G:G,"&gt;="&amp;"2022-06-01",CUSTOMER!G:G,"&lt;="&amp;"2022-06-30",SALE!C:C,"Shoes")</f>
        <v>0</v>
      </c>
      <c r="F18" s="42">
        <f t="shared" si="0"/>
        <v>0.96575342465753422</v>
      </c>
      <c r="G18" s="42">
        <f t="shared" si="1"/>
        <v>3.4246575342465779E-2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COUNTIFS(CUSTOMER!G:G,"&lt;="&amp;"2022-07-01",CUSTOMER!H:H,"&gt;"&amp;"2022-07-01",SALE!C:C,"Shoes")</f>
        <v>139</v>
      </c>
      <c r="D19" s="41">
        <f>COUNTIFS(CUSTOMER!G:G,"&lt;="&amp;"2022-07-31",CUSTOMER!H:H,"&gt;="&amp;"2022-07-31",SALE!C:C,"Shoes")</f>
        <v>138</v>
      </c>
      <c r="E19" s="41">
        <f>COUNTIFS(CUSTOMER!G:G,"&gt;="&amp;"2022-07-01",CUSTOMER!G:G,"&lt;="&amp;"2022-07-31",SALE!C:C,"Shoes")</f>
        <v>2</v>
      </c>
      <c r="F19" s="42">
        <f t="shared" si="0"/>
        <v>0.97841726618705038</v>
      </c>
      <c r="G19" s="42">
        <f t="shared" si="1"/>
        <v>2.1582733812949617E-2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COUNTIFS(CUSTOMER!G:G,"&lt;="&amp;"2022-08-01",CUSTOMER!H:H,"&gt;"&amp;"2022-08-01",SALE!C:C,"Shoes")</f>
        <v>137</v>
      </c>
      <c r="D20" s="41">
        <f>COUNTIFS(CUSTOMER!G:G,"&lt;="&amp;"2022-08-31",CUSTOMER!H:H,"&gt;="&amp;"2022-08-31",SALE!C:C,"Shoes")</f>
        <v>123</v>
      </c>
      <c r="E20" s="41">
        <f>COUNTIFS(CUSTOMER!G:G,"&gt;="&amp;"2022-08-01",CUSTOMER!G:G,"&lt;="&amp;"2022-08-31",SALE!C:C,"Shoes")</f>
        <v>1</v>
      </c>
      <c r="F20" s="42">
        <f t="shared" si="0"/>
        <v>0.89051094890510951</v>
      </c>
      <c r="G20" s="42">
        <f t="shared" si="1"/>
        <v>0.10948905109489049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COUNTIFS(CUSTOMER!G:G,"&lt;="&amp;"2022-09-01",CUSTOMER!H:H,"&gt;"&amp;"2022-09-01",SALE!C:C,"Shoes")</f>
        <v>123</v>
      </c>
      <c r="D21" s="41">
        <f>COUNTIFS(CUSTOMER!G:G,"&lt;="&amp;"2022-09-30",CUSTOMER!H:H,"&gt;="&amp;"2022-09-30",SALE!C:C,"Shoes")</f>
        <v>108</v>
      </c>
      <c r="E21" s="41">
        <f>COUNTIFS(CUSTOMER!G:G,"&gt;="&amp;"2022-09-01",CUSTOMER!G:G,"&lt;="&amp;"2022-09-30",SALE!C:C,"Shoes")</f>
        <v>0</v>
      </c>
      <c r="F21" s="42">
        <f t="shared" si="0"/>
        <v>0.87804878048780488</v>
      </c>
      <c r="G21" s="42">
        <f t="shared" si="1"/>
        <v>0.12195121951219512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COUNTIFS(CUSTOMER!G:G,"&lt;="&amp;"2022-10-01",CUSTOMER!H:H,"&gt;"&amp;"2022-10-01",SALE!C:C,"Shoes")</f>
        <v>108</v>
      </c>
      <c r="D22" s="41">
        <f>COUNTIFS(CUSTOMER!G:G,"&lt;="&amp;"2022-10-31",CUSTOMER!H:H,"&gt;="&amp;"2022-10-31",SALE!C:C,"Shoes")</f>
        <v>101</v>
      </c>
      <c r="E22" s="41">
        <f>COUNTIFS(CUSTOMER!G:G,"&gt;="&amp;"2022-10-01",CUSTOMER!G:G,"&lt;="&amp;"2022-10-31",SALE!C:C,"Shoes")</f>
        <v>3</v>
      </c>
      <c r="F22" s="42">
        <f t="shared" si="0"/>
        <v>0.90740740740740744</v>
      </c>
      <c r="G22" s="42">
        <f t="shared" si="1"/>
        <v>9.259259259259256E-2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COUNTIFS(CUSTOMER!G:G,"&lt;="&amp;"2022-11-01",CUSTOMER!H:H,"&gt;"&amp;"2022-11-01",SALE!C:C,"Shoes")</f>
        <v>100</v>
      </c>
      <c r="D23" s="41">
        <f>COUNTIFS(CUSTOMER!G:G,"&lt;="&amp;"2022-11-30",CUSTOMER!H:H,"&gt;="&amp;"2022-11-30",SALE!C:C,"Shoes")</f>
        <v>91</v>
      </c>
      <c r="E23" s="41">
        <f>COUNTIFS(CUSTOMER!G:G,"&gt;="&amp;"2022-11-01",CUSTOMER!G:G,"&lt;="&amp;"2022-11-30",SALE!C:C,"Shoes")</f>
        <v>1</v>
      </c>
      <c r="F23" s="42">
        <f t="shared" si="0"/>
        <v>0.9</v>
      </c>
      <c r="G23" s="42">
        <f t="shared" si="1"/>
        <v>9.9999999999999978E-2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COUNTIFS(CUSTOMER!G:G,"&lt;="&amp;"2022-12-01",CUSTOMER!H:H,"&gt;"&amp;"2022-12-01",SALE!C:C,"Shoes")</f>
        <v>88</v>
      </c>
      <c r="D24" s="41">
        <f>COUNTIFS(CUSTOMER!G:G,"&lt;="&amp;"2022-12-31",CUSTOMER!H:H,"&gt;="&amp;"2022-12-31",SALE!C:C,"Shoes")</f>
        <v>67</v>
      </c>
      <c r="E24" s="41">
        <f>COUNTIFS(CUSTOMER!G:G,"&gt;="&amp;"2022-12-01",CUSTOMER!G:G,"&lt;="&amp;"2022-12-31",SALE!C:C,"Shoes")</f>
        <v>1</v>
      </c>
      <c r="F24" s="42">
        <f t="shared" si="0"/>
        <v>0.75</v>
      </c>
      <c r="G24" s="42">
        <f t="shared" si="1"/>
        <v>0.25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COUNTIFS(CUSTOMER!G:G,"&lt;="&amp;"2023-01-01",CUSTOMER!H:H,"&gt;"&amp;"2023-01-01",SALE!C:C,"Shoes")</f>
        <v>66</v>
      </c>
      <c r="D25" s="31">
        <f>COUNTIFS(CUSTOMER!G:G,"&lt;="&amp;"2023-01-31",CUSTOMER!H:H,"&gt;="&amp;"2023-01-31",SALE!C:C,"Shoes")</f>
        <v>39</v>
      </c>
      <c r="E25" s="31">
        <f>COUNTIFS(CUSTOMER!G:G,"&gt;="&amp;"2023-01-01",CUSTOMER!G:G,"&lt;="&amp;"2023-01-31",SALE!C:C,"Shoes")</f>
        <v>0</v>
      </c>
      <c r="F25" s="44">
        <f t="shared" si="0"/>
        <v>0.59090909090909094</v>
      </c>
      <c r="G25" s="51">
        <f t="shared" si="1"/>
        <v>0.40909090909090906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COUNTIFS(CUSTOMER!G:G,"&lt;="&amp;"2023-02-01",CUSTOMER!H:H,"&gt;"&amp;"2023-02-01",SALE!C:C,"Shoes")</f>
        <v>36</v>
      </c>
      <c r="D26" s="31">
        <f>COUNTIFS(CUSTOMER!G:G,"&lt;="&amp;"2023-02-28",CUSTOMER!H:H,"&gt;="&amp;"2023-02-28",SALE!C:C,"Shoes")</f>
        <v>11</v>
      </c>
      <c r="E26" s="31">
        <f>COUNTIFS(CUSTOMER!G:G,"&gt;="&amp;"2023-02-01",CUSTOMER!G:G,"&lt;="&amp;"2023-02-28",SALE!C:C,"Shoes")</f>
        <v>2</v>
      </c>
      <c r="F26" s="44">
        <f t="shared" si="0"/>
        <v>0.25</v>
      </c>
      <c r="G26" s="51">
        <f t="shared" si="1"/>
        <v>0.75</v>
      </c>
    </row>
    <row r="27" spans="1:7" x14ac:dyDescent="0.3">
      <c r="A27" s="37"/>
      <c r="F27" s="30">
        <f>AVERAGE(F1:F26)</f>
        <v>0.91370625906477798</v>
      </c>
      <c r="G27" s="30">
        <f t="shared" si="1"/>
        <v>8.6293740935222019E-2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B1927-25B9-4D66-A1E4-BB49DE915A3C}">
  <dimension ref="A1:I39"/>
  <sheetViews>
    <sheetView workbookViewId="0">
      <selection activeCell="E11" sqref="E11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SALE!C:C,"Souvenir")</f>
        <v>16</v>
      </c>
      <c r="D2" s="39">
        <f>COUNTIFS(CUSTOMER!G:G,"&lt;="&amp;"2021-02-28",CUSTOMER!H:H,"&gt;="&amp;"2021-02-28",SALE!C:C,"Souvenir")</f>
        <v>29</v>
      </c>
      <c r="E2" s="39">
        <f>COUNTIFS(CUSTOMER!G:G,"&gt;="&amp;"2021-02-01",CUSTOMER!G:G,"&lt;="&amp;"2021-02-28",SALE!C:C,"Souvenir")</f>
        <v>13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SALE!C:C,"Souvenir")</f>
        <v>30</v>
      </c>
      <c r="D3" s="39">
        <f>COUNTIFS(CUSTOMER!G:G,"&lt;="&amp;"2021-03-31",CUSTOMER!H:H,"&gt;="&amp;"2021-03-31",SALE!C:C,"Souvenir")</f>
        <v>40</v>
      </c>
      <c r="E3" s="39">
        <f>COUNTIFS(CUSTOMER!G:G,"&gt;="&amp;"2021-03-01",CUSTOMER!G:G,"&lt;="&amp;"2021-03-31",SALE!C:C,"Souvenir")</f>
        <v>11</v>
      </c>
      <c r="F3" s="40">
        <f t="shared" ref="F3:F26" si="0">((D3-E3)*100%)/C3</f>
        <v>0.96666666666666667</v>
      </c>
      <c r="G3" s="40">
        <f t="shared" ref="G3:G27" si="1">1-F3</f>
        <v>3.3333333333333326E-2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COUNTIFS(CUSTOMER!G:G,"&lt;="&amp;"2021-04-01",CUSTOMER!H:H,"&gt;"&amp;"2021-04-01",SALE!C:C,"Souvenir")</f>
        <v>40</v>
      </c>
      <c r="D4" s="39">
        <f>COUNTIFS(CUSTOMER!G:G,"&lt;="&amp;"2021-04-30",CUSTOMER!H:H,"&gt;="&amp;"2021-04-30",SALE!C:C,"Souvenir")</f>
        <v>53</v>
      </c>
      <c r="E4" s="39">
        <f>COUNTIFS(CUSTOMER!G:G,"&gt;="&amp;"2021-04-01",CUSTOMER!G:G,"&lt;="&amp;"2021-04-30",SALE!C:C,"Souvenir")</f>
        <v>13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COUNTIFS(CUSTOMER!G:G,"&lt;="&amp;"2021-05-01",CUSTOMER!H:H,"&gt;"&amp;"2021-05-01",SALE!C:C,"Souvenir")</f>
        <v>53</v>
      </c>
      <c r="D5" s="39">
        <f>COUNTIFS(CUSTOMER!G:G,"&lt;="&amp;"2021-05-31",CUSTOMER!H:H,"&gt;="&amp;"2021-05-31",SALE!C:C,"Souvenir")</f>
        <v>61</v>
      </c>
      <c r="E5" s="39">
        <f>COUNTIFS(CUSTOMER!G:G,"&gt;="&amp;"2021-05-01",CUSTOMER!G:G,"&lt;="&amp;"2021-05-31",SALE!C:C,"Souvenir")</f>
        <v>8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COUNTIFS(CUSTOMER!G:G,"&lt;="&amp;"2021-06-01",CUSTOMER!H:H,"&gt;"&amp;"2021-06-01",SALE!C:C,"Souvenir")</f>
        <v>61</v>
      </c>
      <c r="D6" s="39">
        <f>COUNTIFS(CUSTOMER!G:G,"&lt;="&amp;"2021-06-30",CUSTOMER!H:H,"&gt;="&amp;"2021-06-30",SALE!C:C,"Souvenir")</f>
        <v>66</v>
      </c>
      <c r="E6" s="39">
        <f>COUNTIFS(CUSTOMER!G:G,"&gt;="&amp;"2021-06-01",CUSTOMER!G:G,"&lt;="&amp;"2021-06-30",SALE!C:C,"Souvenir")</f>
        <v>5</v>
      </c>
      <c r="F6" s="40">
        <f t="shared" si="0"/>
        <v>1</v>
      </c>
      <c r="G6" s="40">
        <f t="shared" si="1"/>
        <v>0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COUNTIFS(CUSTOMER!G:G,"&lt;="&amp;"2021-07-01",CUSTOMER!H:H,"&gt;"&amp;"2021-07-01",SALE!C:C,"Souvenir")</f>
        <v>66</v>
      </c>
      <c r="D7" s="39">
        <f>COUNTIFS(CUSTOMER!G:G,"&lt;="&amp;"2021-07-31",CUSTOMER!H:H,"&gt;="&amp;"2021-07-31",SALE!C:C,"Souvenir")</f>
        <v>71</v>
      </c>
      <c r="E7" s="39">
        <f>COUNTIFS(CUSTOMER!G:G,"&gt;="&amp;"2021-07-01",CUSTOMER!G:G,"&lt;="&amp;"2021-07-31",SALE!C:C,"Souvenir")</f>
        <v>5</v>
      </c>
      <c r="F7" s="40">
        <f t="shared" si="0"/>
        <v>1</v>
      </c>
      <c r="G7" s="40">
        <f t="shared" si="1"/>
        <v>0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COUNTIFS(CUSTOMER!G:G,"&lt;="&amp;"2021-08-01",CUSTOMER!H:H,"&gt;"&amp;"2021-08-01",SALE!C:C,"Souvenir")</f>
        <v>72</v>
      </c>
      <c r="D8" s="39">
        <f>COUNTIFS(CUSTOMER!G:G,"&lt;="&amp;"2021-08-31",CUSTOMER!H:H,"&gt;="&amp;"2021-08-31",SALE!C:C,"Souvenir")</f>
        <v>76</v>
      </c>
      <c r="E8" s="39">
        <f>COUNTIFS(CUSTOMER!G:G,"&gt;="&amp;"2021-08-01",CUSTOMER!G:G,"&lt;="&amp;"2021-08-31",SALE!C:C,"Souvenir")</f>
        <v>5</v>
      </c>
      <c r="F8" s="40">
        <f t="shared" si="0"/>
        <v>0.98611111111111116</v>
      </c>
      <c r="G8" s="40">
        <f t="shared" si="1"/>
        <v>1.388888888888884E-2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COUNTIFS(CUSTOMER!G:G,"&lt;="&amp;"2021-09-01",CUSTOMER!H:H,"&gt;"&amp;"2021-09-01",SALE!C:C,"Souvenir")</f>
        <v>76</v>
      </c>
      <c r="D9" s="39">
        <f>COUNTIFS(CUSTOMER!G:G,"&lt;="&amp;"2021-09-30",CUSTOMER!H:H,"&gt;="&amp;"2021-09-30",SALE!C:C,"Souvenir")</f>
        <v>81</v>
      </c>
      <c r="E9" s="39">
        <f>COUNTIFS(CUSTOMER!G:G,"&gt;="&amp;"2021-09-01",CUSTOMER!G:G,"&lt;="&amp;"2021-09-30",SALE!C:C,"Souvenir")</f>
        <v>5</v>
      </c>
      <c r="F9" s="40">
        <f t="shared" si="0"/>
        <v>1</v>
      </c>
      <c r="G9" s="40">
        <f t="shared" si="1"/>
        <v>0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COUNTIFS(CUSTOMER!G:G,"&lt;="&amp;"2021-10-01",CUSTOMER!H:H,"&gt;"&amp;"2021-10-01",SALE!C:C,"Souvenir")</f>
        <v>81</v>
      </c>
      <c r="D10" s="39">
        <f>COUNTIFS(CUSTOMER!G:G,"&lt;="&amp;"2021-10-31",CUSTOMER!H:H,"&gt;="&amp;"2021-10-31",SALE!C:C,"Souvenir")</f>
        <v>87</v>
      </c>
      <c r="E10" s="39">
        <f>COUNTIFS(CUSTOMER!G:G,"&gt;="&amp;"2021-10-01",CUSTOMER!G:G,"&lt;="&amp;"2021-10-31",SALE!C:C,"Souvenir")</f>
        <v>6</v>
      </c>
      <c r="F10" s="40">
        <f t="shared" si="0"/>
        <v>1</v>
      </c>
      <c r="G10" s="40">
        <f t="shared" si="1"/>
        <v>0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COUNTIFS(CUSTOMER!G:G,"&lt;="&amp;"2021-11-01",CUSTOMER!H:H,"&gt;"&amp;"2021-11-01",SALE!C:C,"Souvenir")</f>
        <v>87</v>
      </c>
      <c r="D11" s="39">
        <f>COUNTIFS(CUSTOMER!G:G,"&lt;="&amp;"2021-11-30",CUSTOMER!H:H,"&gt;="&amp;"2021-11-30",SALE!C:C,"Souvenir")</f>
        <v>90</v>
      </c>
      <c r="E11" s="39">
        <f>COUNTIFS(CUSTOMER!G:G,"&gt;="&amp;"2021-11-01",CUSTOMER!G:G,"&lt;="&amp;"2021-11-30",SALE!C:C,"Souvenir")</f>
        <v>4</v>
      </c>
      <c r="F11" s="40">
        <f t="shared" si="0"/>
        <v>0.9885057471264368</v>
      </c>
      <c r="G11" s="40">
        <f t="shared" si="1"/>
        <v>1.1494252873563204E-2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COUNTIFS(CUSTOMER!G:G,"&lt;="&amp;"2021-12-01",CUSTOMER!H:H,"&gt;"&amp;"2021-12-01",SALE!C:C,"Souvenir")</f>
        <v>90</v>
      </c>
      <c r="D12" s="39">
        <f>COUNTIFS(CUSTOMER!G:G,"&lt;="&amp;"2021-12-31",CUSTOMER!H:H,"&gt;="&amp;"2021-12-31",SALE!C:C,"Souvenir")</f>
        <v>94</v>
      </c>
      <c r="E12" s="39">
        <f>COUNTIFS(CUSTOMER!G:G,"&gt;="&amp;"2021-12-01",CUSTOMER!G:G,"&lt;="&amp;"2021-12-31",SALE!C:C,"Souvenir")</f>
        <v>4</v>
      </c>
      <c r="F12" s="40">
        <f t="shared" si="0"/>
        <v>1</v>
      </c>
      <c r="G12" s="40">
        <f t="shared" si="1"/>
        <v>0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COUNTIFS(CUSTOMER!G:G,"&lt;="&amp;"2022-01-01",CUSTOMER!H:H,"&gt;"&amp;"2022-01-01",SALE!C:C,"Souvenir")</f>
        <v>94</v>
      </c>
      <c r="D13" s="41">
        <f>COUNTIFS(CUSTOMER!G:G,"&lt;="&amp;"2022-01-31",CUSTOMER!H:H,"&gt;="&amp;"2022-01-31",SALE!C:C,"Souvenir")</f>
        <v>96</v>
      </c>
      <c r="E13" s="41">
        <f>COUNTIFS(CUSTOMER!G:G,"&gt;="&amp;"2022-01-01",CUSTOMER!G:G,"&lt;="&amp;"2022-01-31",SALE!C:C,"Souvenir")</f>
        <v>2</v>
      </c>
      <c r="F13" s="42">
        <f t="shared" si="0"/>
        <v>1</v>
      </c>
      <c r="G13" s="42">
        <f t="shared" si="1"/>
        <v>0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COUNTIFS(CUSTOMER!G:G,"&lt;="&amp;"2022-02-01",CUSTOMER!H:H,"&gt;"&amp;"2022-02-01",SALE!C:C,"Souvenir")</f>
        <v>96</v>
      </c>
      <c r="D14" s="41">
        <f>COUNTIFS(CUSTOMER!G:G,"&lt;="&amp;"2022-02-28",CUSTOMER!H:H,"&gt;="&amp;"2022-02-28",SALE!C:C,"Souvenir")</f>
        <v>94</v>
      </c>
      <c r="E14" s="41">
        <f>COUNTIFS(CUSTOMER!G:G,"&gt;="&amp;"2022-02-01",CUSTOMER!G:G,"&lt;="&amp;"2022-02-28",SALE!C:C,"Souvenir")</f>
        <v>2</v>
      </c>
      <c r="F14" s="42">
        <f t="shared" si="0"/>
        <v>0.95833333333333337</v>
      </c>
      <c r="G14" s="42">
        <f t="shared" si="1"/>
        <v>4.166666666666663E-2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COUNTIFS(CUSTOMER!G:G,"&lt;="&amp;"2022-03-01",CUSTOMER!H:H,"&gt;"&amp;"2022-03-01",SALE!C:C,"Souvenir")</f>
        <v>94</v>
      </c>
      <c r="D15" s="41">
        <f>COUNTIFS(CUSTOMER!G:G,"&lt;="&amp;"2022-03-31",CUSTOMER!H:H,"&gt;="&amp;"2022-03-31",SALE!C:C,"Souvenir")</f>
        <v>93</v>
      </c>
      <c r="E15" s="41">
        <f>COUNTIFS(CUSTOMER!G:G,"&gt;="&amp;"2022-03-01",CUSTOMER!G:G,"&lt;="&amp;"2022-03-31",SALE!C:C,"Souvenir")</f>
        <v>1</v>
      </c>
      <c r="F15" s="42">
        <f t="shared" si="0"/>
        <v>0.97872340425531912</v>
      </c>
      <c r="G15" s="42">
        <f t="shared" si="1"/>
        <v>2.1276595744680882E-2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COUNTIFS(CUSTOMER!G:G,"&lt;="&amp;"2022-04-01",CUSTOMER!H:H,"&gt;"&amp;"2022-04-01",SALE!C:C,"Souvenir")</f>
        <v>93</v>
      </c>
      <c r="D16" s="41">
        <f>COUNTIFS(CUSTOMER!G:G,"&lt;="&amp;"2022-04-30",CUSTOMER!H:H,"&gt;="&amp;"2022-04-30",SALE!C:C,"Souvenir")</f>
        <v>91</v>
      </c>
      <c r="E16" s="41">
        <f>COUNTIFS(CUSTOMER!G:G,"&gt;="&amp;"2022-04-01",CUSTOMER!G:G,"&lt;="&amp;"2022-04-30",SALE!C:C,"Souvenir")</f>
        <v>1</v>
      </c>
      <c r="F16" s="42">
        <f t="shared" si="0"/>
        <v>0.967741935483871</v>
      </c>
      <c r="G16" s="42">
        <f t="shared" si="1"/>
        <v>3.2258064516129004E-2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COUNTIFS(CUSTOMER!G:G,"&lt;="&amp;"2022-05-01",CUSTOMER!H:H,"&gt;"&amp;"2022-05-01",SALE!C:C,"Souvenir")</f>
        <v>90</v>
      </c>
      <c r="D17" s="41">
        <f>COUNTIFS(CUSTOMER!G:G,"&lt;="&amp;"2022-05-31",CUSTOMER!H:H,"&gt;="&amp;"2022-05-31",SALE!C:C,"Souvenir")</f>
        <v>88</v>
      </c>
      <c r="E17" s="41">
        <f>COUNTIFS(CUSTOMER!G:G,"&gt;="&amp;"2022-05-01",CUSTOMER!G:G,"&lt;="&amp;"2022-05-31",SALE!C:C,"Souvenir")</f>
        <v>0</v>
      </c>
      <c r="F17" s="42">
        <f t="shared" si="0"/>
        <v>0.97777777777777775</v>
      </c>
      <c r="G17" s="42">
        <f t="shared" si="1"/>
        <v>2.2222222222222254E-2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COUNTIFS(CUSTOMER!G:G,"&lt;="&amp;"2022-06-01",CUSTOMER!H:H,"&gt;"&amp;"2022-06-01",SALE!C:C,"Souvenir")</f>
        <v>87</v>
      </c>
      <c r="D18" s="41">
        <f>COUNTIFS(CUSTOMER!G:G,"&lt;="&amp;"2022-06-30",CUSTOMER!H:H,"&gt;="&amp;"2022-06-30",SALE!C:C,"Souvenir")</f>
        <v>84</v>
      </c>
      <c r="E18" s="41">
        <f>COUNTIFS(CUSTOMER!G:G,"&gt;="&amp;"2022-06-01",CUSTOMER!G:G,"&lt;="&amp;"2022-06-30",SALE!C:C,"Souvenir")</f>
        <v>2</v>
      </c>
      <c r="F18" s="42">
        <f t="shared" si="0"/>
        <v>0.94252873563218387</v>
      </c>
      <c r="G18" s="42">
        <f t="shared" si="1"/>
        <v>5.7471264367816133E-2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COUNTIFS(CUSTOMER!G:G,"&lt;="&amp;"2022-07-01",CUSTOMER!H:H,"&gt;"&amp;"2022-07-01",SALE!C:C,"Souvenir")</f>
        <v>84</v>
      </c>
      <c r="D19" s="41">
        <f>COUNTIFS(CUSTOMER!G:G,"&lt;="&amp;"2022-07-31",CUSTOMER!H:H,"&gt;="&amp;"2022-07-31",SALE!C:C,"Souvenir")</f>
        <v>78</v>
      </c>
      <c r="E19" s="41">
        <f>COUNTIFS(CUSTOMER!G:G,"&gt;="&amp;"2022-07-01",CUSTOMER!G:G,"&lt;="&amp;"2022-07-31",SALE!C:C,"Souvenir")</f>
        <v>1</v>
      </c>
      <c r="F19" s="42">
        <f t="shared" si="0"/>
        <v>0.91666666666666663</v>
      </c>
      <c r="G19" s="42">
        <f t="shared" si="1"/>
        <v>8.333333333333337E-2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COUNTIFS(CUSTOMER!G:G,"&lt;="&amp;"2022-08-01",CUSTOMER!H:H,"&gt;"&amp;"2022-08-01",SALE!C:C,"Souvenir")</f>
        <v>77</v>
      </c>
      <c r="D20" s="41">
        <f>COUNTIFS(CUSTOMER!G:G,"&lt;="&amp;"2022-08-31",CUSTOMER!H:H,"&gt;="&amp;"2022-08-31",SALE!C:C,"Souvenir")</f>
        <v>69</v>
      </c>
      <c r="E20" s="41">
        <f>COUNTIFS(CUSTOMER!G:G,"&gt;="&amp;"2022-08-01",CUSTOMER!G:G,"&lt;="&amp;"2022-08-31",SALE!C:C,"Souvenir")</f>
        <v>2</v>
      </c>
      <c r="F20" s="42">
        <f t="shared" si="0"/>
        <v>0.87012987012987009</v>
      </c>
      <c r="G20" s="42">
        <f t="shared" si="1"/>
        <v>0.12987012987012991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COUNTIFS(CUSTOMER!G:G,"&lt;="&amp;"2022-09-01",CUSTOMER!H:H,"&gt;"&amp;"2022-09-01",SALE!C:C,"Souvenir")</f>
        <v>69</v>
      </c>
      <c r="D21" s="41">
        <f>COUNTIFS(CUSTOMER!G:G,"&lt;="&amp;"2022-09-30",CUSTOMER!H:H,"&gt;="&amp;"2022-09-30",SALE!C:C,"Souvenir")</f>
        <v>64</v>
      </c>
      <c r="E21" s="41">
        <f>COUNTIFS(CUSTOMER!G:G,"&gt;="&amp;"2022-09-01",CUSTOMER!G:G,"&lt;="&amp;"2022-09-30",SALE!C:C,"Souvenir")</f>
        <v>0</v>
      </c>
      <c r="F21" s="42">
        <f t="shared" si="0"/>
        <v>0.92753623188405798</v>
      </c>
      <c r="G21" s="42">
        <f t="shared" si="1"/>
        <v>7.2463768115942018E-2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COUNTIFS(CUSTOMER!G:G,"&lt;="&amp;"2022-10-01",CUSTOMER!H:H,"&gt;"&amp;"2022-10-01",SALE!C:C,"Souvenir")</f>
        <v>64</v>
      </c>
      <c r="D22" s="41">
        <f>COUNTIFS(CUSTOMER!G:G,"&lt;="&amp;"2022-10-31",CUSTOMER!H:H,"&gt;="&amp;"2022-10-31",SALE!C:C,"Souvenir")</f>
        <v>55</v>
      </c>
      <c r="E22" s="41">
        <f>COUNTIFS(CUSTOMER!G:G,"&gt;="&amp;"2022-10-01",CUSTOMER!G:G,"&lt;="&amp;"2022-10-31",SALE!C:C,"Souvenir")</f>
        <v>0</v>
      </c>
      <c r="F22" s="42">
        <f t="shared" si="0"/>
        <v>0.859375</v>
      </c>
      <c r="G22" s="42">
        <f t="shared" si="1"/>
        <v>0.140625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COUNTIFS(CUSTOMER!G:G,"&lt;="&amp;"2022-11-01",CUSTOMER!H:H,"&gt;"&amp;"2022-11-01",SALE!C:C,"Souvenir")</f>
        <v>54</v>
      </c>
      <c r="D23" s="41">
        <f>COUNTIFS(CUSTOMER!G:G,"&lt;="&amp;"2022-11-30",CUSTOMER!H:H,"&gt;="&amp;"2022-11-30",SALE!C:C,"Souvenir")</f>
        <v>39</v>
      </c>
      <c r="E23" s="41">
        <f>COUNTIFS(CUSTOMER!G:G,"&gt;="&amp;"2022-11-01",CUSTOMER!G:G,"&lt;="&amp;"2022-11-30",SALE!C:C,"Souvenir")</f>
        <v>0</v>
      </c>
      <c r="F23" s="42">
        <f t="shared" si="0"/>
        <v>0.72222222222222221</v>
      </c>
      <c r="G23" s="42">
        <f t="shared" si="1"/>
        <v>0.27777777777777779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COUNTIFS(CUSTOMER!G:G,"&lt;="&amp;"2022-12-01",CUSTOMER!H:H,"&gt;"&amp;"2022-12-01",SALE!C:C,"Souvenir")</f>
        <v>39</v>
      </c>
      <c r="D24" s="41">
        <f>COUNTIFS(CUSTOMER!G:G,"&lt;="&amp;"2022-12-31",CUSTOMER!H:H,"&gt;="&amp;"2022-12-31",SALE!C:C,"Souvenir")</f>
        <v>28</v>
      </c>
      <c r="E24" s="41">
        <f>COUNTIFS(CUSTOMER!G:G,"&gt;="&amp;"2022-12-01",CUSTOMER!G:G,"&lt;="&amp;"2022-12-31",SALE!C:C,"Souvenir")</f>
        <v>0</v>
      </c>
      <c r="F24" s="42">
        <f t="shared" si="0"/>
        <v>0.71794871794871795</v>
      </c>
      <c r="G24" s="42">
        <f t="shared" si="1"/>
        <v>0.28205128205128205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COUNTIFS(CUSTOMER!G:G,"&lt;="&amp;"2023-01-01",CUSTOMER!H:H,"&gt;"&amp;"2023-01-01",SALE!C:C,"Souvenir")</f>
        <v>28</v>
      </c>
      <c r="D25" s="31">
        <f>COUNTIFS(CUSTOMER!G:G,"&lt;="&amp;"2023-01-31",CUSTOMER!H:H,"&gt;="&amp;"2023-01-31",SALE!C:C,"Souvenir")</f>
        <v>20</v>
      </c>
      <c r="E25" s="31">
        <f>COUNTIFS(CUSTOMER!G:G,"&gt;="&amp;"2023-01-01",CUSTOMER!G:G,"&lt;="&amp;"2023-01-31",SALE!C:C,"Souvenir")</f>
        <v>1</v>
      </c>
      <c r="F25" s="44">
        <f t="shared" si="0"/>
        <v>0.6785714285714286</v>
      </c>
      <c r="G25" s="51">
        <f t="shared" si="1"/>
        <v>0.3214285714285714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COUNTIFS(CUSTOMER!G:G,"&lt;="&amp;"2023-02-01",CUSTOMER!H:H,"&gt;"&amp;"2023-02-01",SALE!C:C,"Souvenir")</f>
        <v>19</v>
      </c>
      <c r="D26" s="31">
        <f>COUNTIFS(CUSTOMER!G:G,"&lt;="&amp;"2023-02-28",CUSTOMER!H:H,"&gt;="&amp;"2023-02-28",SALE!C:C,"Souvenir")</f>
        <v>5</v>
      </c>
      <c r="E26" s="31">
        <f>COUNTIFS(CUSTOMER!G:G,"&gt;="&amp;"2023-02-01",CUSTOMER!G:G,"&lt;="&amp;"2023-02-28",SALE!C:C,"Souvenir")</f>
        <v>0</v>
      </c>
      <c r="F26" s="44">
        <f t="shared" si="0"/>
        <v>0.26315789473684209</v>
      </c>
      <c r="G26" s="51">
        <f t="shared" si="1"/>
        <v>0.73684210526315796</v>
      </c>
    </row>
    <row r="27" spans="1:7" x14ac:dyDescent="0.3">
      <c r="A27" s="37"/>
      <c r="F27" s="30">
        <f>AVERAGE(F1:F26)</f>
        <v>0.90887986974186019</v>
      </c>
      <c r="G27" s="30">
        <f t="shared" si="1"/>
        <v>9.1120130258139809E-2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95BC-4024-4AC5-80B1-0A28AB8EAF07}">
  <dimension ref="A1:I39"/>
  <sheetViews>
    <sheetView workbookViewId="0">
      <selection activeCell="E11" sqref="E11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SALE!C:C,"Technology")</f>
        <v>21</v>
      </c>
      <c r="D2" s="39">
        <f>COUNTIFS(CUSTOMER!G:G,"&lt;="&amp;"2021-02-28",CUSTOMER!H:H,"&gt;="&amp;"2021-02-28",SALE!C:C,"Technology")</f>
        <v>32</v>
      </c>
      <c r="E2" s="39">
        <f>COUNTIFS(CUSTOMER!G:G,"&gt;="&amp;"2021-02-01",CUSTOMER!G:G,"&lt;="&amp;"2021-02-28",SALE!C:C,"Technology")</f>
        <v>13</v>
      </c>
      <c r="F2" s="40">
        <f>((D2-E2)*100%)/C2</f>
        <v>0.90476190476190477</v>
      </c>
      <c r="G2" s="40">
        <f>1-F2</f>
        <v>9.5238095238095233E-2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SALE!C:C,"Technology")</f>
        <v>32</v>
      </c>
      <c r="D3" s="39">
        <f>COUNTIFS(CUSTOMER!G:G,"&lt;="&amp;"2021-03-31",CUSTOMER!H:H,"&gt;="&amp;"2021-03-31",SALE!C:C,"Technology")</f>
        <v>38</v>
      </c>
      <c r="E3" s="39">
        <f>COUNTIFS(CUSTOMER!G:G,"&gt;="&amp;"2021-03-01",CUSTOMER!G:G,"&lt;="&amp;"2021-03-31",SALE!C:C,"Technology")</f>
        <v>6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COUNTIFS(CUSTOMER!G:G,"&lt;="&amp;"2021-04-01",CUSTOMER!H:H,"&gt;"&amp;"2021-04-01",SALE!C:C,"Technology")</f>
        <v>38</v>
      </c>
      <c r="D4" s="39">
        <f>COUNTIFS(CUSTOMER!G:G,"&lt;="&amp;"2021-04-30",CUSTOMER!H:H,"&gt;="&amp;"2021-04-30",SALE!C:C,"Technology")</f>
        <v>48</v>
      </c>
      <c r="E4" s="39">
        <f>COUNTIFS(CUSTOMER!G:G,"&gt;="&amp;"2021-04-01",CUSTOMER!G:G,"&lt;="&amp;"2021-04-30",SALE!C:C,"Technology")</f>
        <v>10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COUNTIFS(CUSTOMER!G:G,"&lt;="&amp;"2021-05-01",CUSTOMER!H:H,"&gt;"&amp;"2021-05-01",SALE!C:C,"Technology")</f>
        <v>48</v>
      </c>
      <c r="D5" s="39">
        <f>COUNTIFS(CUSTOMER!G:G,"&lt;="&amp;"2021-05-31",CUSTOMER!H:H,"&gt;="&amp;"2021-05-31",SALE!C:C,"Technology")</f>
        <v>60</v>
      </c>
      <c r="E5" s="39">
        <f>COUNTIFS(CUSTOMER!G:G,"&gt;="&amp;"2021-05-01",CUSTOMER!G:G,"&lt;="&amp;"2021-05-31",SALE!C:C,"Technology")</f>
        <v>12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COUNTIFS(CUSTOMER!G:G,"&lt;="&amp;"2021-06-01",CUSTOMER!H:H,"&gt;"&amp;"2021-06-01",SALE!C:C,"Technology")</f>
        <v>61</v>
      </c>
      <c r="D6" s="39">
        <f>COUNTIFS(CUSTOMER!G:G,"&lt;="&amp;"2021-06-30",CUSTOMER!H:H,"&gt;="&amp;"2021-06-30",SALE!C:C,"Technology")</f>
        <v>67</v>
      </c>
      <c r="E6" s="39">
        <f>COUNTIFS(CUSTOMER!G:G,"&gt;="&amp;"2021-06-01",CUSTOMER!G:G,"&lt;="&amp;"2021-06-30",SALE!C:C,"Technology")</f>
        <v>7</v>
      </c>
      <c r="F6" s="40">
        <f t="shared" si="0"/>
        <v>0.98360655737704916</v>
      </c>
      <c r="G6" s="40">
        <f t="shared" si="1"/>
        <v>1.6393442622950838E-2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COUNTIFS(CUSTOMER!G:G,"&lt;="&amp;"2021-07-01",CUSTOMER!H:H,"&gt;"&amp;"2021-07-01",SALE!C:C,"Technology")</f>
        <v>67</v>
      </c>
      <c r="D7" s="39">
        <f>COUNTIFS(CUSTOMER!G:G,"&lt;="&amp;"2021-07-31",CUSTOMER!H:H,"&gt;="&amp;"2021-07-31",SALE!C:C,"Technology")</f>
        <v>70</v>
      </c>
      <c r="E7" s="39">
        <f>COUNTIFS(CUSTOMER!G:G,"&gt;="&amp;"2021-07-01",CUSTOMER!G:G,"&lt;="&amp;"2021-07-31",SALE!C:C,"Technology")</f>
        <v>4</v>
      </c>
      <c r="F7" s="40">
        <f t="shared" si="0"/>
        <v>0.9850746268656716</v>
      </c>
      <c r="G7" s="40">
        <f t="shared" si="1"/>
        <v>1.4925373134328401E-2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COUNTIFS(CUSTOMER!G:G,"&lt;="&amp;"2021-08-01",CUSTOMER!H:H,"&gt;"&amp;"2021-08-01",SALE!C:C,"Technology")</f>
        <v>71</v>
      </c>
      <c r="D8" s="39">
        <f>COUNTIFS(CUSTOMER!G:G,"&lt;="&amp;"2021-08-31",CUSTOMER!H:H,"&gt;="&amp;"2021-08-31",SALE!C:C,"Technology")</f>
        <v>72</v>
      </c>
      <c r="E8" s="39">
        <f>COUNTIFS(CUSTOMER!G:G,"&gt;="&amp;"2021-08-01",CUSTOMER!G:G,"&lt;="&amp;"2021-08-31",SALE!C:C,"Technology")</f>
        <v>3</v>
      </c>
      <c r="F8" s="40">
        <f t="shared" si="0"/>
        <v>0.971830985915493</v>
      </c>
      <c r="G8" s="40">
        <f t="shared" si="1"/>
        <v>2.8169014084507005E-2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COUNTIFS(CUSTOMER!G:G,"&lt;="&amp;"2021-09-01",CUSTOMER!H:H,"&gt;"&amp;"2021-09-01",SALE!C:C,"Technology")</f>
        <v>72</v>
      </c>
      <c r="D9" s="39">
        <f>COUNTIFS(CUSTOMER!G:G,"&lt;="&amp;"2021-09-30",CUSTOMER!H:H,"&gt;="&amp;"2021-09-30",SALE!C:C,"Technology")</f>
        <v>78</v>
      </c>
      <c r="E9" s="39">
        <f>COUNTIFS(CUSTOMER!G:G,"&gt;="&amp;"2021-09-01",CUSTOMER!G:G,"&lt;="&amp;"2021-09-30",SALE!C:C,"Technology")</f>
        <v>6</v>
      </c>
      <c r="F9" s="40">
        <f t="shared" si="0"/>
        <v>1</v>
      </c>
      <c r="G9" s="40">
        <f t="shared" si="1"/>
        <v>0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COUNTIFS(CUSTOMER!G:G,"&lt;="&amp;"2021-10-01",CUSTOMER!H:H,"&gt;"&amp;"2021-10-01",SALE!C:C,"Technology")</f>
        <v>78</v>
      </c>
      <c r="D10" s="39">
        <f>COUNTIFS(CUSTOMER!G:G,"&lt;="&amp;"2021-10-31",CUSTOMER!H:H,"&gt;="&amp;"2021-10-31",SALE!C:C,"Technology")</f>
        <v>79</v>
      </c>
      <c r="E10" s="39">
        <f>COUNTIFS(CUSTOMER!G:G,"&gt;="&amp;"2021-10-01",CUSTOMER!G:G,"&lt;="&amp;"2021-10-31",SALE!C:C,"Technology")</f>
        <v>2</v>
      </c>
      <c r="F10" s="40">
        <f t="shared" si="0"/>
        <v>0.98717948717948723</v>
      </c>
      <c r="G10" s="40">
        <f t="shared" si="1"/>
        <v>1.2820512820512775E-2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COUNTIFS(CUSTOMER!G:G,"&lt;="&amp;"2021-11-01",CUSTOMER!H:H,"&gt;"&amp;"2021-11-01",SALE!C:C,"Technology")</f>
        <v>79</v>
      </c>
      <c r="D11" s="39">
        <f>COUNTIFS(CUSTOMER!G:G,"&lt;="&amp;"2021-11-30",CUSTOMER!H:H,"&gt;="&amp;"2021-11-30",SALE!C:C,"Technology")</f>
        <v>82</v>
      </c>
      <c r="E11" s="39">
        <f>COUNTIFS(CUSTOMER!G:G,"&gt;="&amp;"2021-11-01",CUSTOMER!G:G,"&lt;="&amp;"2021-11-30",SALE!C:C,"Technology")</f>
        <v>3</v>
      </c>
      <c r="F11" s="40">
        <f t="shared" si="0"/>
        <v>1</v>
      </c>
      <c r="G11" s="40">
        <f t="shared" si="1"/>
        <v>0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COUNTIFS(CUSTOMER!G:G,"&lt;="&amp;"2021-12-01",CUSTOMER!H:H,"&gt;"&amp;"2021-12-01",SALE!C:C,"Technology")</f>
        <v>82</v>
      </c>
      <c r="D12" s="39">
        <f>COUNTIFS(CUSTOMER!G:G,"&lt;="&amp;"2021-12-31",CUSTOMER!H:H,"&gt;="&amp;"2021-12-31",SALE!C:C,"Technology")</f>
        <v>84</v>
      </c>
      <c r="E12" s="39">
        <f>COUNTIFS(CUSTOMER!G:G,"&gt;="&amp;"2021-12-01",CUSTOMER!G:G,"&lt;="&amp;"2021-12-31",SALE!C:C,"Technology")</f>
        <v>4</v>
      </c>
      <c r="F12" s="40">
        <f t="shared" si="0"/>
        <v>0.97560975609756095</v>
      </c>
      <c r="G12" s="40">
        <f t="shared" si="1"/>
        <v>2.4390243902439046E-2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COUNTIFS(CUSTOMER!G:G,"&lt;="&amp;"2022-01-01",CUSTOMER!H:H,"&gt;"&amp;"2022-01-01",SALE!C:C,"Technology")</f>
        <v>84</v>
      </c>
      <c r="D13" s="41">
        <f>COUNTIFS(CUSTOMER!G:G,"&lt;="&amp;"2022-01-31",CUSTOMER!H:H,"&gt;="&amp;"2022-01-31",SALE!C:C,"Technology")</f>
        <v>84</v>
      </c>
      <c r="E13" s="41">
        <f>COUNTIFS(CUSTOMER!G:G,"&gt;="&amp;"2022-01-01",CUSTOMER!G:G,"&lt;="&amp;"2022-01-31",SALE!C:C,"Technology")</f>
        <v>1</v>
      </c>
      <c r="F13" s="42">
        <f t="shared" si="0"/>
        <v>0.98809523809523814</v>
      </c>
      <c r="G13" s="42">
        <f t="shared" si="1"/>
        <v>1.1904761904761862E-2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COUNTIFS(CUSTOMER!G:G,"&lt;="&amp;"2022-02-01",CUSTOMER!H:H,"&gt;"&amp;"2022-02-01",SALE!C:C,"Technology")</f>
        <v>84</v>
      </c>
      <c r="D14" s="41">
        <f>COUNTIFS(CUSTOMER!G:G,"&lt;="&amp;"2022-02-28",CUSTOMER!H:H,"&gt;="&amp;"2022-02-28",SALE!C:C,"Technology")</f>
        <v>84</v>
      </c>
      <c r="E14" s="41">
        <f>COUNTIFS(CUSTOMER!G:G,"&gt;="&amp;"2022-02-01",CUSTOMER!G:G,"&lt;="&amp;"2022-02-28",SALE!C:C,"Technology")</f>
        <v>2</v>
      </c>
      <c r="F14" s="42">
        <f t="shared" si="0"/>
        <v>0.97619047619047616</v>
      </c>
      <c r="G14" s="42">
        <f t="shared" si="1"/>
        <v>2.3809523809523836E-2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COUNTIFS(CUSTOMER!G:G,"&lt;="&amp;"2022-03-01",CUSTOMER!H:H,"&gt;"&amp;"2022-03-01",SALE!C:C,"Technology")</f>
        <v>84</v>
      </c>
      <c r="D15" s="41">
        <f>COUNTIFS(CUSTOMER!G:G,"&lt;="&amp;"2022-03-31",CUSTOMER!H:H,"&gt;="&amp;"2022-03-31",SALE!C:C,"Technology")</f>
        <v>80</v>
      </c>
      <c r="E15" s="41">
        <f>COUNTIFS(CUSTOMER!G:G,"&gt;="&amp;"2022-03-01",CUSTOMER!G:G,"&lt;="&amp;"2022-03-31",SALE!C:C,"Technology")</f>
        <v>2</v>
      </c>
      <c r="F15" s="42">
        <f t="shared" si="0"/>
        <v>0.9285714285714286</v>
      </c>
      <c r="G15" s="42">
        <f t="shared" si="1"/>
        <v>7.1428571428571397E-2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COUNTIFS(CUSTOMER!G:G,"&lt;="&amp;"2022-04-01",CUSTOMER!H:H,"&gt;"&amp;"2022-04-01",SALE!C:C,"Technology")</f>
        <v>80</v>
      </c>
      <c r="D16" s="41">
        <f>COUNTIFS(CUSTOMER!G:G,"&lt;="&amp;"2022-04-30",CUSTOMER!H:H,"&gt;="&amp;"2022-04-30",SALE!C:C,"Technology")</f>
        <v>78</v>
      </c>
      <c r="E16" s="41">
        <f>COUNTIFS(CUSTOMER!G:G,"&gt;="&amp;"2022-04-01",CUSTOMER!G:G,"&lt;="&amp;"2022-04-30",SALE!C:C,"Technology")</f>
        <v>2</v>
      </c>
      <c r="F16" s="42">
        <f t="shared" si="0"/>
        <v>0.95</v>
      </c>
      <c r="G16" s="42">
        <f t="shared" si="1"/>
        <v>5.0000000000000044E-2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COUNTIFS(CUSTOMER!G:G,"&lt;="&amp;"2022-05-01",CUSTOMER!H:H,"&gt;"&amp;"2022-05-01",SALE!C:C,"Technology")</f>
        <v>78</v>
      </c>
      <c r="D17" s="41">
        <f>COUNTIFS(CUSTOMER!G:G,"&lt;="&amp;"2022-05-31",CUSTOMER!H:H,"&gt;="&amp;"2022-05-31",SALE!C:C,"Technology")</f>
        <v>76</v>
      </c>
      <c r="E17" s="41">
        <f>COUNTIFS(CUSTOMER!G:G,"&gt;="&amp;"2022-05-01",CUSTOMER!G:G,"&lt;="&amp;"2022-05-31",SALE!C:C,"Technology")</f>
        <v>0</v>
      </c>
      <c r="F17" s="42">
        <f t="shared" si="0"/>
        <v>0.97435897435897434</v>
      </c>
      <c r="G17" s="42">
        <f t="shared" si="1"/>
        <v>2.5641025641025661E-2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COUNTIFS(CUSTOMER!G:G,"&lt;="&amp;"2022-06-01",CUSTOMER!H:H,"&gt;"&amp;"2022-06-01",SALE!C:C,"Technology")</f>
        <v>76</v>
      </c>
      <c r="D18" s="41">
        <f>COUNTIFS(CUSTOMER!G:G,"&lt;="&amp;"2022-06-30",CUSTOMER!H:H,"&gt;="&amp;"2022-06-30",SALE!C:C,"Technology")</f>
        <v>75</v>
      </c>
      <c r="E18" s="41">
        <f>COUNTIFS(CUSTOMER!G:G,"&gt;="&amp;"2022-06-01",CUSTOMER!G:G,"&lt;="&amp;"2022-06-30",SALE!C:C,"Technology")</f>
        <v>1</v>
      </c>
      <c r="F18" s="42">
        <f t="shared" si="0"/>
        <v>0.97368421052631582</v>
      </c>
      <c r="G18" s="42">
        <f t="shared" si="1"/>
        <v>2.6315789473684181E-2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COUNTIFS(CUSTOMER!G:G,"&lt;="&amp;"2022-07-01",CUSTOMER!H:H,"&gt;"&amp;"2022-07-01",SALE!C:C,"Technology")</f>
        <v>75</v>
      </c>
      <c r="D19" s="41">
        <f>COUNTIFS(CUSTOMER!G:G,"&lt;="&amp;"2022-07-31",CUSTOMER!H:H,"&gt;="&amp;"2022-07-31",SALE!C:C,"Technology")</f>
        <v>68</v>
      </c>
      <c r="E19" s="41">
        <f>COUNTIFS(CUSTOMER!G:G,"&gt;="&amp;"2022-07-01",CUSTOMER!G:G,"&lt;="&amp;"2022-07-31",SALE!C:C,"Technology")</f>
        <v>0</v>
      </c>
      <c r="F19" s="42">
        <f t="shared" si="0"/>
        <v>0.90666666666666662</v>
      </c>
      <c r="G19" s="42">
        <f t="shared" si="1"/>
        <v>9.3333333333333379E-2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COUNTIFS(CUSTOMER!G:G,"&lt;="&amp;"2022-08-01",CUSTOMER!H:H,"&gt;"&amp;"2022-08-01",SALE!C:C,"Technology")</f>
        <v>68</v>
      </c>
      <c r="D20" s="41">
        <f>COUNTIFS(CUSTOMER!G:G,"&lt;="&amp;"2022-08-31",CUSTOMER!H:H,"&gt;="&amp;"2022-08-31",SALE!C:C,"Technology")</f>
        <v>64</v>
      </c>
      <c r="E20" s="41">
        <f>COUNTIFS(CUSTOMER!G:G,"&gt;="&amp;"2022-08-01",CUSTOMER!G:G,"&lt;="&amp;"2022-08-31",SALE!C:C,"Technology")</f>
        <v>0</v>
      </c>
      <c r="F20" s="42">
        <f t="shared" si="0"/>
        <v>0.94117647058823528</v>
      </c>
      <c r="G20" s="42">
        <f t="shared" si="1"/>
        <v>5.8823529411764719E-2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COUNTIFS(CUSTOMER!G:G,"&lt;="&amp;"2022-09-01",CUSTOMER!H:H,"&gt;"&amp;"2022-09-01",SALE!C:C,"Technology")</f>
        <v>63</v>
      </c>
      <c r="D21" s="41">
        <f>COUNTIFS(CUSTOMER!G:G,"&lt;="&amp;"2022-09-30",CUSTOMER!H:H,"&gt;="&amp;"2022-09-30",SALE!C:C,"Technology")</f>
        <v>57</v>
      </c>
      <c r="E21" s="41">
        <f>COUNTIFS(CUSTOMER!G:G,"&gt;="&amp;"2022-09-01",CUSTOMER!G:G,"&lt;="&amp;"2022-09-30",SALE!C:C,"Technology")</f>
        <v>0</v>
      </c>
      <c r="F21" s="42">
        <f t="shared" si="0"/>
        <v>0.90476190476190477</v>
      </c>
      <c r="G21" s="42">
        <f t="shared" si="1"/>
        <v>9.5238095238095233E-2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COUNTIFS(CUSTOMER!G:G,"&lt;="&amp;"2022-10-01",CUSTOMER!H:H,"&gt;"&amp;"2022-10-01",SALE!C:C,"Technology")</f>
        <v>56</v>
      </c>
      <c r="D22" s="41">
        <f>COUNTIFS(CUSTOMER!G:G,"&lt;="&amp;"2022-10-31",CUSTOMER!H:H,"&gt;="&amp;"2022-10-31",SALE!C:C,"Technology")</f>
        <v>51</v>
      </c>
      <c r="E22" s="41">
        <f>COUNTIFS(CUSTOMER!G:G,"&gt;="&amp;"2022-10-01",CUSTOMER!G:G,"&lt;="&amp;"2022-10-31",SALE!C:C,"Technology")</f>
        <v>0</v>
      </c>
      <c r="F22" s="42">
        <f t="shared" si="0"/>
        <v>0.9107142857142857</v>
      </c>
      <c r="G22" s="42">
        <f t="shared" si="1"/>
        <v>8.9285714285714302E-2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COUNTIFS(CUSTOMER!G:G,"&lt;="&amp;"2022-11-01",CUSTOMER!H:H,"&gt;"&amp;"2022-11-01",SALE!C:C,"Technology")</f>
        <v>51</v>
      </c>
      <c r="D23" s="41">
        <f>COUNTIFS(CUSTOMER!G:G,"&lt;="&amp;"2022-11-30",CUSTOMER!H:H,"&gt;="&amp;"2022-11-30",SALE!C:C,"Technology")</f>
        <v>43</v>
      </c>
      <c r="E23" s="41">
        <f>COUNTIFS(CUSTOMER!G:G,"&gt;="&amp;"2022-11-01",CUSTOMER!G:G,"&lt;="&amp;"2022-11-30",SALE!C:C,"Technology")</f>
        <v>1</v>
      </c>
      <c r="F23" s="42">
        <f t="shared" si="0"/>
        <v>0.82352941176470584</v>
      </c>
      <c r="G23" s="42">
        <f t="shared" si="1"/>
        <v>0.17647058823529416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COUNTIFS(CUSTOMER!G:G,"&lt;="&amp;"2022-12-01",CUSTOMER!H:H,"&gt;"&amp;"2022-12-01",SALE!C:C,"Technology")</f>
        <v>42</v>
      </c>
      <c r="D24" s="41">
        <f>COUNTIFS(CUSTOMER!G:G,"&lt;="&amp;"2022-12-31",CUSTOMER!H:H,"&gt;="&amp;"2022-12-31",SALE!C:C,"Technology")</f>
        <v>31</v>
      </c>
      <c r="E24" s="41">
        <f>COUNTIFS(CUSTOMER!G:G,"&gt;="&amp;"2022-12-01",CUSTOMER!G:G,"&lt;="&amp;"2022-12-31",SALE!C:C,"Technology")</f>
        <v>0</v>
      </c>
      <c r="F24" s="42">
        <f t="shared" si="0"/>
        <v>0.73809523809523814</v>
      </c>
      <c r="G24" s="42">
        <f t="shared" si="1"/>
        <v>0.26190476190476186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COUNTIFS(CUSTOMER!G:G,"&lt;="&amp;"2023-01-01",CUSTOMER!H:H,"&gt;"&amp;"2023-01-01",SALE!C:C,"Technology")</f>
        <v>31</v>
      </c>
      <c r="D25" s="31">
        <f>COUNTIFS(CUSTOMER!G:G,"&lt;="&amp;"2023-01-31",CUSTOMER!H:H,"&gt;="&amp;"2023-01-31",SALE!C:C,"Technology")</f>
        <v>17</v>
      </c>
      <c r="E25" s="31">
        <f>COUNTIFS(CUSTOMER!G:G,"&gt;="&amp;"2023-01-01",CUSTOMER!G:G,"&lt;="&amp;"2023-01-31",SALE!C:C,"Technology")</f>
        <v>0</v>
      </c>
      <c r="F25" s="44">
        <f t="shared" si="0"/>
        <v>0.54838709677419351</v>
      </c>
      <c r="G25" s="51">
        <f t="shared" si="1"/>
        <v>0.45161290322580649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COUNTIFS(CUSTOMER!G:G,"&lt;="&amp;"2023-02-01",CUSTOMER!H:H,"&gt;"&amp;"2023-02-01",SALE!C:C,"Technology")</f>
        <v>16</v>
      </c>
      <c r="D26" s="31">
        <f>COUNTIFS(CUSTOMER!G:G,"&lt;="&amp;"2023-02-28",CUSTOMER!H:H,"&gt;="&amp;"2023-02-28",SALE!C:C,"Technology")</f>
        <v>8</v>
      </c>
      <c r="E26" s="31">
        <f>COUNTIFS(CUSTOMER!G:G,"&gt;="&amp;"2023-02-01",CUSTOMER!G:G,"&lt;="&amp;"2023-02-28",SALE!C:C,"Technology")</f>
        <v>0</v>
      </c>
      <c r="F26" s="44">
        <f t="shared" si="0"/>
        <v>0.5</v>
      </c>
      <c r="G26" s="51">
        <f t="shared" si="1"/>
        <v>0.5</v>
      </c>
    </row>
    <row r="27" spans="1:7" x14ac:dyDescent="0.3">
      <c r="A27" s="37"/>
      <c r="F27" s="30">
        <f>AVERAGE(F1:F26)</f>
        <v>0.91489178881219302</v>
      </c>
      <c r="G27" s="30">
        <f t="shared" si="1"/>
        <v>8.5108211187806981E-2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25FCC-638A-495E-B014-5E1F6D4F9F3C}">
  <dimension ref="A1:I39"/>
  <sheetViews>
    <sheetView topLeftCell="A6" workbookViewId="0">
      <selection activeCell="E11" sqref="E11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SALE!C:C,"Toys")</f>
        <v>29</v>
      </c>
      <c r="D2" s="39">
        <f>COUNTIFS(CUSTOMER!G:G,"&lt;="&amp;"2021-02-28",CUSTOMER!H:H,"&gt;="&amp;"2021-02-28",SALE!C:C,"Toys")</f>
        <v>58</v>
      </c>
      <c r="E2" s="39">
        <f>COUNTIFS(CUSTOMER!G:G,"&gt;="&amp;"2021-02-01",CUSTOMER!G:G,"&lt;="&amp;"2021-02-28",SALE!C:C,"Toys")</f>
        <v>29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SALE!C:C,"Toys")</f>
        <v>58</v>
      </c>
      <c r="D3" s="39">
        <f>COUNTIFS(CUSTOMER!G:G,"&lt;="&amp;"2021-03-31",CUSTOMER!H:H,"&gt;="&amp;"2021-03-31",SALE!C:C,"Toys")</f>
        <v>83</v>
      </c>
      <c r="E3" s="39">
        <f>COUNTIFS(CUSTOMER!G:G,"&gt;="&amp;"2021-03-01",CUSTOMER!G:G,"&lt;="&amp;"2021-03-31",SALE!C:C,"Toys")</f>
        <v>25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COUNTIFS(CUSTOMER!G:G,"&lt;="&amp;"2021-04-01",CUSTOMER!H:H,"&gt;"&amp;"2021-04-01",SALE!C:C,"Toys")</f>
        <v>84</v>
      </c>
      <c r="D4" s="39">
        <f>COUNTIFS(CUSTOMER!G:G,"&lt;="&amp;"2021-04-30",CUSTOMER!H:H,"&gt;="&amp;"2021-04-30",SALE!C:C,"Toys")</f>
        <v>102</v>
      </c>
      <c r="E4" s="39">
        <f>COUNTIFS(CUSTOMER!G:G,"&gt;="&amp;"2021-04-01",CUSTOMER!G:G,"&lt;="&amp;"2021-04-30",SALE!C:C,"Toys")</f>
        <v>19</v>
      </c>
      <c r="F4" s="40">
        <f t="shared" si="0"/>
        <v>0.98809523809523814</v>
      </c>
      <c r="G4" s="40">
        <f t="shared" si="1"/>
        <v>1.1904761904761862E-2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COUNTIFS(CUSTOMER!G:G,"&lt;="&amp;"2021-05-01",CUSTOMER!H:H,"&gt;"&amp;"2021-05-01",SALE!C:C,"Toys")</f>
        <v>102</v>
      </c>
      <c r="D5" s="39">
        <f>COUNTIFS(CUSTOMER!G:G,"&lt;="&amp;"2021-05-31",CUSTOMER!H:H,"&gt;="&amp;"2021-05-31",SALE!C:C,"Toys")</f>
        <v>116</v>
      </c>
      <c r="E5" s="39">
        <f>COUNTIFS(CUSTOMER!G:G,"&gt;="&amp;"2021-05-01",CUSTOMER!G:G,"&lt;="&amp;"2021-05-31",SALE!C:C,"Toys")</f>
        <v>14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COUNTIFS(CUSTOMER!G:G,"&lt;="&amp;"2021-06-01",CUSTOMER!H:H,"&gt;"&amp;"2021-06-01",SALE!C:C,"Toys")</f>
        <v>116</v>
      </c>
      <c r="D6" s="39">
        <f>COUNTIFS(CUSTOMER!G:G,"&lt;="&amp;"2021-06-30",CUSTOMER!H:H,"&gt;="&amp;"2021-06-30",SALE!C:C,"Toys")</f>
        <v>134</v>
      </c>
      <c r="E6" s="39">
        <f>COUNTIFS(CUSTOMER!G:G,"&gt;="&amp;"2021-06-01",CUSTOMER!G:G,"&lt;="&amp;"2021-06-30",SALE!C:C,"Toys")</f>
        <v>19</v>
      </c>
      <c r="F6" s="40">
        <f t="shared" si="0"/>
        <v>0.99137931034482762</v>
      </c>
      <c r="G6" s="40">
        <f t="shared" si="1"/>
        <v>8.6206896551723755E-3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COUNTIFS(CUSTOMER!G:G,"&lt;="&amp;"2021-07-01",CUSTOMER!H:H,"&gt;"&amp;"2021-07-01",SALE!C:C,"Toys")</f>
        <v>134</v>
      </c>
      <c r="D7" s="39">
        <f>COUNTIFS(CUSTOMER!G:G,"&lt;="&amp;"2021-07-31",CUSTOMER!H:H,"&gt;="&amp;"2021-07-31",SALE!C:C,"Toys")</f>
        <v>146</v>
      </c>
      <c r="E7" s="39">
        <f>COUNTIFS(CUSTOMER!G:G,"&gt;="&amp;"2021-07-01",CUSTOMER!G:G,"&lt;="&amp;"2021-07-31",SALE!C:C,"Toys")</f>
        <v>13</v>
      </c>
      <c r="F7" s="40">
        <f t="shared" si="0"/>
        <v>0.9925373134328358</v>
      </c>
      <c r="G7" s="40">
        <f t="shared" si="1"/>
        <v>7.4626865671642006E-3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COUNTIFS(CUSTOMER!G:G,"&lt;="&amp;"2021-08-01",CUSTOMER!H:H,"&gt;"&amp;"2021-08-01",SALE!C:C,"Toys")</f>
        <v>147</v>
      </c>
      <c r="D8" s="39">
        <f>COUNTIFS(CUSTOMER!G:G,"&lt;="&amp;"2021-08-31",CUSTOMER!H:H,"&gt;="&amp;"2021-08-31",SALE!C:C,"Toys")</f>
        <v>153</v>
      </c>
      <c r="E8" s="39">
        <f>COUNTIFS(CUSTOMER!G:G,"&gt;="&amp;"2021-08-01",CUSTOMER!G:G,"&lt;="&amp;"2021-08-31",SALE!C:C,"Toys")</f>
        <v>9</v>
      </c>
      <c r="F8" s="40">
        <f t="shared" si="0"/>
        <v>0.97959183673469385</v>
      </c>
      <c r="G8" s="40">
        <f t="shared" si="1"/>
        <v>2.0408163265306145E-2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COUNTIFS(CUSTOMER!G:G,"&lt;="&amp;"2021-09-01",CUSTOMER!H:H,"&gt;"&amp;"2021-09-01",SALE!C:C,"Toys")</f>
        <v>153</v>
      </c>
      <c r="D9" s="39">
        <f>COUNTIFS(CUSTOMER!G:G,"&lt;="&amp;"2021-09-30",CUSTOMER!H:H,"&gt;="&amp;"2021-09-30",SALE!C:C,"Toys")</f>
        <v>164</v>
      </c>
      <c r="E9" s="39">
        <f>COUNTIFS(CUSTOMER!G:G,"&gt;="&amp;"2021-09-01",CUSTOMER!G:G,"&lt;="&amp;"2021-09-30",SALE!C:C,"Toys")</f>
        <v>11</v>
      </c>
      <c r="F9" s="40">
        <f t="shared" si="0"/>
        <v>1</v>
      </c>
      <c r="G9" s="40">
        <f t="shared" si="1"/>
        <v>0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COUNTIFS(CUSTOMER!G:G,"&lt;="&amp;"2021-10-01",CUSTOMER!H:H,"&gt;"&amp;"2021-10-01",SALE!C:C,"Toys")</f>
        <v>164</v>
      </c>
      <c r="D10" s="39">
        <f>COUNTIFS(CUSTOMER!G:G,"&lt;="&amp;"2021-10-31",CUSTOMER!H:H,"&gt;="&amp;"2021-10-31",SALE!C:C,"Toys")</f>
        <v>172</v>
      </c>
      <c r="E10" s="39">
        <f>COUNTIFS(CUSTOMER!G:G,"&gt;="&amp;"2021-10-01",CUSTOMER!G:G,"&lt;="&amp;"2021-10-31",SALE!C:C,"Toys")</f>
        <v>8</v>
      </c>
      <c r="F10" s="40">
        <f t="shared" si="0"/>
        <v>1</v>
      </c>
      <c r="G10" s="40">
        <f t="shared" si="1"/>
        <v>0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COUNTIFS(CUSTOMER!G:G,"&lt;="&amp;"2021-11-01",CUSTOMER!H:H,"&gt;"&amp;"2021-11-01",SALE!C:C,"Toys")</f>
        <v>173</v>
      </c>
      <c r="D11" s="39">
        <f>COUNTIFS(CUSTOMER!G:G,"&lt;="&amp;"2021-11-30",CUSTOMER!H:H,"&gt;="&amp;"2021-11-30",SALE!C:C,"Toys")</f>
        <v>173</v>
      </c>
      <c r="E11" s="39">
        <f>COUNTIFS(CUSTOMER!G:G,"&gt;="&amp;"2021-11-01",CUSTOMER!G:G,"&lt;="&amp;"2021-11-30",SALE!C:C,"Toys")</f>
        <v>5</v>
      </c>
      <c r="F11" s="40">
        <f t="shared" si="0"/>
        <v>0.97109826589595372</v>
      </c>
      <c r="G11" s="40">
        <f t="shared" si="1"/>
        <v>2.8901734104046284E-2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COUNTIFS(CUSTOMER!G:G,"&lt;="&amp;"2021-12-01",CUSTOMER!H:H,"&gt;"&amp;"2021-12-01",SALE!C:C,"Toys")</f>
        <v>173</v>
      </c>
      <c r="D12" s="39">
        <f>COUNTIFS(CUSTOMER!G:G,"&lt;="&amp;"2021-12-31",CUSTOMER!H:H,"&gt;="&amp;"2021-12-31",SALE!C:C,"Toys")</f>
        <v>174</v>
      </c>
      <c r="E12" s="39">
        <f>COUNTIFS(CUSTOMER!G:G,"&gt;="&amp;"2021-12-01",CUSTOMER!G:G,"&lt;="&amp;"2021-12-31",SALE!C:C,"Toys")</f>
        <v>3</v>
      </c>
      <c r="F12" s="40">
        <f t="shared" si="0"/>
        <v>0.98843930635838151</v>
      </c>
      <c r="G12" s="40">
        <f t="shared" si="1"/>
        <v>1.1560693641618491E-2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COUNTIFS(CUSTOMER!G:G,"&lt;="&amp;"2022-01-01",CUSTOMER!H:H,"&gt;"&amp;"2022-01-01",SALE!C:C,"Toys")</f>
        <v>174</v>
      </c>
      <c r="D13" s="41">
        <f>COUNTIFS(CUSTOMER!G:G,"&lt;="&amp;"2022-01-31",CUSTOMER!H:H,"&gt;="&amp;"2022-01-31",SALE!C:C,"Toys")</f>
        <v>176</v>
      </c>
      <c r="E13" s="41">
        <f>COUNTIFS(CUSTOMER!G:G,"&gt;="&amp;"2022-01-01",CUSTOMER!G:G,"&lt;="&amp;"2022-01-31",SALE!C:C,"Toys")</f>
        <v>4</v>
      </c>
      <c r="F13" s="42">
        <f t="shared" si="0"/>
        <v>0.9885057471264368</v>
      </c>
      <c r="G13" s="42">
        <f t="shared" si="1"/>
        <v>1.1494252873563204E-2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COUNTIFS(CUSTOMER!G:G,"&lt;="&amp;"2022-02-01",CUSTOMER!H:H,"&gt;"&amp;"2022-02-01",SALE!C:C,"Toys")</f>
        <v>176</v>
      </c>
      <c r="D14" s="41">
        <f>COUNTIFS(CUSTOMER!G:G,"&lt;="&amp;"2022-02-28",CUSTOMER!H:H,"&gt;="&amp;"2022-02-28",SALE!C:C,"Toys")</f>
        <v>173</v>
      </c>
      <c r="E14" s="41">
        <f>COUNTIFS(CUSTOMER!G:G,"&gt;="&amp;"2022-02-01",CUSTOMER!G:G,"&lt;="&amp;"2022-02-28",SALE!C:C,"Toys")</f>
        <v>0</v>
      </c>
      <c r="F14" s="42">
        <f t="shared" si="0"/>
        <v>0.98295454545454541</v>
      </c>
      <c r="G14" s="42">
        <f t="shared" si="1"/>
        <v>1.7045454545454586E-2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COUNTIFS(CUSTOMER!G:G,"&lt;="&amp;"2022-03-01",CUSTOMER!H:H,"&gt;"&amp;"2022-03-01",SALE!C:C,"Toys")</f>
        <v>173</v>
      </c>
      <c r="D15" s="41">
        <f>COUNTIFS(CUSTOMER!G:G,"&lt;="&amp;"2022-03-31",CUSTOMER!H:H,"&gt;="&amp;"2022-03-31",SALE!C:C,"Toys")</f>
        <v>171</v>
      </c>
      <c r="E15" s="41">
        <f>COUNTIFS(CUSTOMER!G:G,"&gt;="&amp;"2022-03-01",CUSTOMER!G:G,"&lt;="&amp;"2022-03-31",SALE!C:C,"Toys")</f>
        <v>2</v>
      </c>
      <c r="F15" s="42">
        <f t="shared" si="0"/>
        <v>0.97687861271676302</v>
      </c>
      <c r="G15" s="42">
        <f t="shared" si="1"/>
        <v>2.3121387283236983E-2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COUNTIFS(CUSTOMER!G:G,"&lt;="&amp;"2022-04-01",CUSTOMER!H:H,"&gt;"&amp;"2022-04-01",SALE!C:C,"Toys")</f>
        <v>171</v>
      </c>
      <c r="D16" s="41">
        <f>COUNTIFS(CUSTOMER!G:G,"&lt;="&amp;"2022-04-30",CUSTOMER!H:H,"&gt;="&amp;"2022-04-30",SALE!C:C,"Toys")</f>
        <v>171</v>
      </c>
      <c r="E16" s="41">
        <f>COUNTIFS(CUSTOMER!G:G,"&gt;="&amp;"2022-04-01",CUSTOMER!G:G,"&lt;="&amp;"2022-04-30",SALE!C:C,"Toys")</f>
        <v>2</v>
      </c>
      <c r="F16" s="42">
        <f t="shared" si="0"/>
        <v>0.98830409356725146</v>
      </c>
      <c r="G16" s="42">
        <f t="shared" si="1"/>
        <v>1.1695906432748537E-2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COUNTIFS(CUSTOMER!G:G,"&lt;="&amp;"2022-05-01",CUSTOMER!H:H,"&gt;"&amp;"2022-05-01",SALE!C:C,"Toys")</f>
        <v>170</v>
      </c>
      <c r="D17" s="41">
        <f>COUNTIFS(CUSTOMER!G:G,"&lt;="&amp;"2022-05-31",CUSTOMER!H:H,"&gt;="&amp;"2022-05-31",SALE!C:C,"Toys")</f>
        <v>163</v>
      </c>
      <c r="E17" s="41">
        <f>COUNTIFS(CUSTOMER!G:G,"&gt;="&amp;"2022-05-01",CUSTOMER!G:G,"&lt;="&amp;"2022-05-31",SALE!C:C,"Toys")</f>
        <v>1</v>
      </c>
      <c r="F17" s="42">
        <f t="shared" si="0"/>
        <v>0.95294117647058818</v>
      </c>
      <c r="G17" s="42">
        <f t="shared" si="1"/>
        <v>4.705882352941182E-2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COUNTIFS(CUSTOMER!G:G,"&lt;="&amp;"2022-06-01",CUSTOMER!H:H,"&gt;"&amp;"2022-06-01",SALE!C:C,"Toys")</f>
        <v>163</v>
      </c>
      <c r="D18" s="41">
        <f>COUNTIFS(CUSTOMER!G:G,"&lt;="&amp;"2022-06-30",CUSTOMER!H:H,"&gt;="&amp;"2022-06-30",SALE!C:C,"Toys")</f>
        <v>157</v>
      </c>
      <c r="E18" s="41">
        <f>COUNTIFS(CUSTOMER!G:G,"&gt;="&amp;"2022-06-01",CUSTOMER!G:G,"&lt;="&amp;"2022-06-30",SALE!C:C,"Toys")</f>
        <v>0</v>
      </c>
      <c r="F18" s="42">
        <f t="shared" si="0"/>
        <v>0.96319018404907975</v>
      </c>
      <c r="G18" s="42">
        <f t="shared" si="1"/>
        <v>3.6809815950920255E-2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COUNTIFS(CUSTOMER!G:G,"&lt;="&amp;"2022-07-01",CUSTOMER!H:H,"&gt;"&amp;"2022-07-01",SALE!C:C,"Toys")</f>
        <v>155</v>
      </c>
      <c r="D19" s="41">
        <f>COUNTIFS(CUSTOMER!G:G,"&lt;="&amp;"2022-07-31",CUSTOMER!H:H,"&gt;="&amp;"2022-07-31",SALE!C:C,"Toys")</f>
        <v>147</v>
      </c>
      <c r="E19" s="41">
        <f>COUNTIFS(CUSTOMER!G:G,"&gt;="&amp;"2022-07-01",CUSTOMER!G:G,"&lt;="&amp;"2022-07-31",SALE!C:C,"Toys")</f>
        <v>1</v>
      </c>
      <c r="F19" s="42">
        <f t="shared" si="0"/>
        <v>0.9419354838709677</v>
      </c>
      <c r="G19" s="42">
        <f t="shared" si="1"/>
        <v>5.8064516129032295E-2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COUNTIFS(CUSTOMER!G:G,"&lt;="&amp;"2022-08-01",CUSTOMER!H:H,"&gt;"&amp;"2022-08-01",SALE!C:C,"Toys")</f>
        <v>147</v>
      </c>
      <c r="D20" s="41">
        <f>COUNTIFS(CUSTOMER!G:G,"&lt;="&amp;"2022-08-31",CUSTOMER!H:H,"&gt;="&amp;"2022-08-31",SALE!C:C,"Toys")</f>
        <v>140</v>
      </c>
      <c r="E20" s="41">
        <f>COUNTIFS(CUSTOMER!G:G,"&gt;="&amp;"2022-08-01",CUSTOMER!G:G,"&lt;="&amp;"2022-08-31",SALE!C:C,"Toys")</f>
        <v>4</v>
      </c>
      <c r="F20" s="42">
        <f t="shared" si="0"/>
        <v>0.92517006802721091</v>
      </c>
      <c r="G20" s="42">
        <f t="shared" si="1"/>
        <v>7.4829931972789088E-2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COUNTIFS(CUSTOMER!G:G,"&lt;="&amp;"2022-09-01",CUSTOMER!H:H,"&gt;"&amp;"2022-09-01",SALE!C:C,"Toys")</f>
        <v>139</v>
      </c>
      <c r="D21" s="41">
        <f>COUNTIFS(CUSTOMER!G:G,"&lt;="&amp;"2022-09-30",CUSTOMER!H:H,"&gt;="&amp;"2022-09-30",SALE!C:C,"Toys")</f>
        <v>125</v>
      </c>
      <c r="E21" s="41">
        <f>COUNTIFS(CUSTOMER!G:G,"&gt;="&amp;"2022-09-01",CUSTOMER!G:G,"&lt;="&amp;"2022-09-30",SALE!C:C,"Toys")</f>
        <v>1</v>
      </c>
      <c r="F21" s="42">
        <f t="shared" si="0"/>
        <v>0.8920863309352518</v>
      </c>
      <c r="G21" s="42">
        <f t="shared" si="1"/>
        <v>0.1079136690647482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COUNTIFS(CUSTOMER!G:G,"&lt;="&amp;"2022-10-01",CUSTOMER!H:H,"&gt;"&amp;"2022-10-01",SALE!C:C,"Toys")</f>
        <v>125</v>
      </c>
      <c r="D22" s="41">
        <f>COUNTIFS(CUSTOMER!G:G,"&lt;="&amp;"2022-10-31",CUSTOMER!H:H,"&gt;="&amp;"2022-10-31",SALE!C:C,"Toys")</f>
        <v>109</v>
      </c>
      <c r="E22" s="41">
        <f>COUNTIFS(CUSTOMER!G:G,"&gt;="&amp;"2022-10-01",CUSTOMER!G:G,"&lt;="&amp;"2022-10-31",SALE!C:C,"Toys")</f>
        <v>1</v>
      </c>
      <c r="F22" s="42">
        <f t="shared" si="0"/>
        <v>0.86399999999999999</v>
      </c>
      <c r="G22" s="42">
        <f t="shared" si="1"/>
        <v>0.13600000000000001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COUNTIFS(CUSTOMER!G:G,"&lt;="&amp;"2022-11-01",CUSTOMER!H:H,"&gt;"&amp;"2022-11-01",SALE!C:C,"Toys")</f>
        <v>107</v>
      </c>
      <c r="D23" s="41">
        <f>COUNTIFS(CUSTOMER!G:G,"&lt;="&amp;"2022-11-30",CUSTOMER!H:H,"&gt;="&amp;"2022-11-30",SALE!C:C,"Toys")</f>
        <v>92</v>
      </c>
      <c r="E23" s="41">
        <f>COUNTIFS(CUSTOMER!G:G,"&gt;="&amp;"2022-11-01",CUSTOMER!G:G,"&lt;="&amp;"2022-11-30",SALE!C:C,"Toys")</f>
        <v>1</v>
      </c>
      <c r="F23" s="42">
        <f t="shared" si="0"/>
        <v>0.85046728971962615</v>
      </c>
      <c r="G23" s="42">
        <f t="shared" si="1"/>
        <v>0.14953271028037385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COUNTIFS(CUSTOMER!G:G,"&lt;="&amp;"2022-12-01",CUSTOMER!H:H,"&gt;"&amp;"2022-12-01",SALE!C:C,"Toys")</f>
        <v>91</v>
      </c>
      <c r="D24" s="41">
        <f>COUNTIFS(CUSTOMER!G:G,"&lt;="&amp;"2022-12-31",CUSTOMER!H:H,"&gt;="&amp;"2022-12-31",SALE!C:C,"Toys")</f>
        <v>64</v>
      </c>
      <c r="E24" s="41">
        <f>COUNTIFS(CUSTOMER!G:G,"&gt;="&amp;"2022-12-01",CUSTOMER!G:G,"&lt;="&amp;"2022-12-31",SALE!C:C,"Toys")</f>
        <v>0</v>
      </c>
      <c r="F24" s="42">
        <f t="shared" si="0"/>
        <v>0.70329670329670335</v>
      </c>
      <c r="G24" s="42">
        <f t="shared" si="1"/>
        <v>0.29670329670329665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COUNTIFS(CUSTOMER!G:G,"&lt;="&amp;"2023-01-01",CUSTOMER!H:H,"&gt;"&amp;"2023-01-01",SALE!C:C,"Toys")</f>
        <v>64</v>
      </c>
      <c r="D25" s="31">
        <f>COUNTIFS(CUSTOMER!G:G,"&lt;="&amp;"2023-01-31",CUSTOMER!H:H,"&gt;="&amp;"2023-01-31",SALE!C:C,"Toys")</f>
        <v>39</v>
      </c>
      <c r="E25" s="31">
        <f>COUNTIFS(CUSTOMER!G:G,"&gt;="&amp;"2023-01-01",CUSTOMER!G:G,"&lt;="&amp;"2023-01-31",SALE!C:C,"Toys")</f>
        <v>0</v>
      </c>
      <c r="F25" s="44">
        <f t="shared" si="0"/>
        <v>0.609375</v>
      </c>
      <c r="G25" s="51">
        <f t="shared" si="1"/>
        <v>0.390625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COUNTIFS(CUSTOMER!G:G,"&lt;="&amp;"2023-02-01",CUSTOMER!H:H,"&gt;"&amp;"2023-02-01",SALE!C:C,"Toys")</f>
        <v>37</v>
      </c>
      <c r="D26" s="31">
        <f>COUNTIFS(CUSTOMER!G:G,"&lt;="&amp;"2023-02-28",CUSTOMER!H:H,"&gt;="&amp;"2023-02-28",SALE!C:C,"Toys")</f>
        <v>5</v>
      </c>
      <c r="E26" s="31">
        <f>COUNTIFS(CUSTOMER!G:G,"&gt;="&amp;"2023-02-01",CUSTOMER!G:G,"&lt;="&amp;"2023-02-28",SALE!C:C,"Toys")</f>
        <v>0</v>
      </c>
      <c r="F26" s="44">
        <f t="shared" si="0"/>
        <v>0.13513513513513514</v>
      </c>
      <c r="G26" s="51">
        <f t="shared" si="1"/>
        <v>0.86486486486486491</v>
      </c>
    </row>
    <row r="27" spans="1:7" x14ac:dyDescent="0.3">
      <c r="A27" s="37"/>
      <c r="F27" s="54">
        <f>AVERAGE(F2:F26)</f>
        <v>0.90741526564925989</v>
      </c>
      <c r="G27" s="30">
        <f t="shared" si="1"/>
        <v>9.2584734350740105E-2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AB85E-703B-4994-B985-7E8DF186969C}">
  <dimension ref="A1:I39"/>
  <sheetViews>
    <sheetView topLeftCell="B4" workbookViewId="0">
      <selection activeCell="F27" sqref="F27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SALE!C:C,"Clothing")</f>
        <v>121</v>
      </c>
      <c r="D2" s="39">
        <f>COUNTIFS(CUSTOMER!G:G,"&lt;="&amp;"2021-02-28",CUSTOMER!H:H,"&gt;="&amp;"2021-02-28",SALE!C:C,"Clothing")</f>
        <v>197</v>
      </c>
      <c r="E2" s="39">
        <f>COUNTIFS(CUSTOMER!G:G,"&gt;="&amp;"2021-02-01",CUSTOMER!G:G,"&lt;="&amp;"2021-02-28",SALE!C:C,"Clothing")</f>
        <v>78</v>
      </c>
      <c r="F2" s="40">
        <f>((D2-E2)*100%)/C2</f>
        <v>0.98347107438016534</v>
      </c>
      <c r="G2" s="40">
        <f>1-F2</f>
        <v>1.6528925619834656E-2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SALE!C:C,"Clothing")</f>
        <v>197</v>
      </c>
      <c r="D3" s="39">
        <f>COUNTIFS(CUSTOMER!G:G,"&lt;="&amp;"2021-03-31",CUSTOMER!H:H,"&gt;="&amp;"2021-03-31",SALE!C:C,"Clothing")</f>
        <v>282</v>
      </c>
      <c r="E3" s="39">
        <f>COUNTIFS(CUSTOMER!G:G,"&gt;="&amp;"2021-03-01",CUSTOMER!G:G,"&lt;="&amp;"2021-03-31",SALE!C:C,"Clothing")</f>
        <v>85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COUNTIFS(CUSTOMER!G:G,"&lt;="&amp;"2021-04-01",CUSTOMER!H:H,"&gt;"&amp;"2021-04-01",SALE!C:C,"Clothing")</f>
        <v>281</v>
      </c>
      <c r="D4" s="39">
        <f>COUNTIFS(CUSTOMER!G:G,"&lt;="&amp;"2021-04-30",CUSTOMER!H:H,"&gt;="&amp;"2021-04-30",SALE!C:C,"Clothing")</f>
        <v>347</v>
      </c>
      <c r="E4" s="39">
        <f>COUNTIFS(CUSTOMER!G:G,"&gt;="&amp;"2021-04-01",CUSTOMER!G:G,"&lt;="&amp;"2021-04-30",SALE!C:C,"Clothing")</f>
        <v>66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COUNTIFS(CUSTOMER!G:G,"&lt;="&amp;"2021-05-01",CUSTOMER!H:H,"&gt;"&amp;"2021-05-01",SALE!C:C,"Clothing")</f>
        <v>350</v>
      </c>
      <c r="D5" s="39">
        <f>COUNTIFS(CUSTOMER!G:G,"&lt;="&amp;"2021-05-31",CUSTOMER!H:H,"&gt;="&amp;"2021-05-31",SALE!C:C,"Clothing")</f>
        <v>404</v>
      </c>
      <c r="E5" s="39">
        <f>COUNTIFS(CUSTOMER!G:G,"&gt;="&amp;"2021-05-01",CUSTOMER!G:G,"&lt;="&amp;"2021-05-31",SALE!C:C,"Clothing")</f>
        <v>59</v>
      </c>
      <c r="F5" s="40">
        <f t="shared" si="0"/>
        <v>0.98571428571428577</v>
      </c>
      <c r="G5" s="40">
        <f t="shared" si="1"/>
        <v>1.4285714285714235E-2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COUNTIFS(CUSTOMER!G:G,"&lt;="&amp;"2021-06-01",CUSTOMER!H:H,"&gt;"&amp;"2021-06-01",SALE!C:C,"Clothing")</f>
        <v>408</v>
      </c>
      <c r="D6" s="39">
        <f>COUNTIFS(CUSTOMER!G:G,"&lt;="&amp;"2021-06-30",CUSTOMER!H:H,"&gt;="&amp;"2021-06-30",SALE!C:C,"Clothing")</f>
        <v>451</v>
      </c>
      <c r="E6" s="39">
        <f>COUNTIFS(CUSTOMER!G:G,"&gt;="&amp;"2021-06-01",CUSTOMER!G:G,"&lt;="&amp;"2021-06-30",SALE!C:C,"Clothing")</f>
        <v>51</v>
      </c>
      <c r="F6" s="40">
        <f t="shared" si="0"/>
        <v>0.98039215686274506</v>
      </c>
      <c r="G6" s="40">
        <f t="shared" si="1"/>
        <v>1.9607843137254943E-2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COUNTIFS(CUSTOMER!G:G,"&lt;="&amp;"2021-07-01",CUSTOMER!H:H,"&gt;"&amp;"2021-07-01",SALE!C:C,"Clothing")</f>
        <v>452</v>
      </c>
      <c r="D7" s="39">
        <f>COUNTIFS(CUSTOMER!G:G,"&lt;="&amp;"2021-07-31",CUSTOMER!H:H,"&gt;="&amp;"2021-07-31",SALE!C:C,"Clothing")</f>
        <v>494</v>
      </c>
      <c r="E7" s="39">
        <f>COUNTIFS(CUSTOMER!G:G,"&gt;="&amp;"2021-07-01",CUSTOMER!G:G,"&lt;="&amp;"2021-07-31",SALE!C:C,"Clothing")</f>
        <v>44</v>
      </c>
      <c r="F7" s="40">
        <f t="shared" si="0"/>
        <v>0.99557522123893805</v>
      </c>
      <c r="G7" s="40">
        <f t="shared" si="1"/>
        <v>4.4247787610619538E-3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COUNTIFS(CUSTOMER!G:G,"&lt;="&amp;"2021-08-01",CUSTOMER!H:H,"&gt;"&amp;"2021-08-01",SALE!C:C,"Clothing")</f>
        <v>495</v>
      </c>
      <c r="D8" s="39">
        <f>COUNTIFS(CUSTOMER!G:G,"&lt;="&amp;"2021-08-31",CUSTOMER!H:H,"&gt;="&amp;"2021-08-31",SALE!C:C,"Clothing")</f>
        <v>529</v>
      </c>
      <c r="E8" s="39">
        <f>COUNTIFS(CUSTOMER!G:G,"&gt;="&amp;"2021-08-01",CUSTOMER!G:G,"&lt;="&amp;"2021-08-31",SALE!C:C,"Clothing")</f>
        <v>36</v>
      </c>
      <c r="F8" s="40">
        <f t="shared" si="0"/>
        <v>0.99595959595959593</v>
      </c>
      <c r="G8" s="40">
        <f t="shared" si="1"/>
        <v>4.0404040404040664E-3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COUNTIFS(CUSTOMER!G:G,"&lt;="&amp;"2021-09-01",CUSTOMER!H:H,"&gt;"&amp;"2021-09-01",SALE!C:C,"Clothing")</f>
        <v>532</v>
      </c>
      <c r="D9" s="39">
        <f>COUNTIFS(CUSTOMER!G:G,"&lt;="&amp;"2021-09-30",CUSTOMER!H:H,"&gt;="&amp;"2021-09-30",SALE!C:C,"Clothing")</f>
        <v>553</v>
      </c>
      <c r="E9" s="39">
        <f>COUNTIFS(CUSTOMER!G:G,"&gt;="&amp;"2021-09-01",CUSTOMER!G:G,"&lt;="&amp;"2021-09-30",SALE!C:C,"Clothing")</f>
        <v>28</v>
      </c>
      <c r="F9" s="40">
        <f t="shared" si="0"/>
        <v>0.98684210526315785</v>
      </c>
      <c r="G9" s="40">
        <f t="shared" si="1"/>
        <v>1.3157894736842146E-2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COUNTIFS(CUSTOMER!G:G,"&lt;="&amp;"2021-10-01",CUSTOMER!H:H,"&gt;"&amp;"2021-10-01",SALE!C:C,"Clothing")</f>
        <v>554</v>
      </c>
      <c r="D10" s="39">
        <f>COUNTIFS(CUSTOMER!G:G,"&lt;="&amp;"2021-10-31",CUSTOMER!H:H,"&gt;="&amp;"2021-10-31",SALE!C:C,"Clothing")</f>
        <v>568</v>
      </c>
      <c r="E10" s="39">
        <f>COUNTIFS(CUSTOMER!G:G,"&gt;="&amp;"2021-10-01",CUSTOMER!G:G,"&lt;="&amp;"2021-10-31",SALE!C:C,"Clothing")</f>
        <v>22</v>
      </c>
      <c r="F10" s="40">
        <f t="shared" si="0"/>
        <v>0.98555956678700363</v>
      </c>
      <c r="G10" s="40">
        <f t="shared" si="1"/>
        <v>1.4440433212996373E-2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COUNTIFS(CUSTOMER!G:G,"&lt;="&amp;"2021-11-01",CUSTOMER!H:H,"&gt;"&amp;"2021-11-01",SALE!C:C,"Clothing")</f>
        <v>569</v>
      </c>
      <c r="D11" s="39">
        <f>COUNTIFS(CUSTOMER!G:G,"&lt;="&amp;"2021-11-30",CUSTOMER!H:H,"&gt;="&amp;"2021-11-30",SALE!C:C,"Clothing")</f>
        <v>583</v>
      </c>
      <c r="E11" s="39">
        <f>COUNTIFS(CUSTOMER!G:G,"&gt;="&amp;"2021-11-01",CUSTOMER!G:G,"&lt;="&amp;"2021-11-30",SALE!C:C,"Clothing")</f>
        <v>18</v>
      </c>
      <c r="F11" s="40">
        <f t="shared" si="0"/>
        <v>0.99297012302284715</v>
      </c>
      <c r="G11" s="40">
        <f t="shared" si="1"/>
        <v>7.0298769771528491E-3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COUNTIFS(CUSTOMER!G:G,"&lt;="&amp;"2021-12-01",CUSTOMER!H:H,"&gt;"&amp;"2021-12-01",SALE!C:C,"Clothing")</f>
        <v>583</v>
      </c>
      <c r="D12" s="39">
        <f>COUNTIFS(CUSTOMER!G:G,"&lt;="&amp;"2021-12-31",CUSTOMER!H:H,"&gt;="&amp;"2021-12-31",SALE!C:C,"Clothing")</f>
        <v>593</v>
      </c>
      <c r="E12" s="39">
        <f>COUNTIFS(CUSTOMER!G:G,"&gt;="&amp;"2021-12-01",CUSTOMER!G:G,"&lt;="&amp;"2021-12-31",SALE!C:C,"Clothing")</f>
        <v>16</v>
      </c>
      <c r="F12" s="40">
        <f t="shared" si="0"/>
        <v>0.98970840480274447</v>
      </c>
      <c r="G12" s="40">
        <f t="shared" si="1"/>
        <v>1.0291595197255532E-2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COUNTIFS(CUSTOMER!G:G,"&lt;="&amp;"2022-01-01",CUSTOMER!H:H,"&gt;"&amp;"2022-01-01",SALE!C:C,"Clothing")</f>
        <v>593</v>
      </c>
      <c r="D13" s="41">
        <f>COUNTIFS(CUSTOMER!G:G,"&lt;="&amp;"2022-01-31",CUSTOMER!H:H,"&gt;="&amp;"2022-01-31",SALE!C:C,"Clothing")</f>
        <v>598</v>
      </c>
      <c r="E13" s="41">
        <f>COUNTIFS(CUSTOMER!G:G,"&gt;="&amp;"2022-01-01",CUSTOMER!G:G,"&lt;="&amp;"2022-01-31",SALE!C:C,"Clothing")</f>
        <v>10</v>
      </c>
      <c r="F13" s="42">
        <f t="shared" si="0"/>
        <v>0.99156829679595282</v>
      </c>
      <c r="G13" s="42">
        <f t="shared" si="1"/>
        <v>8.4317032040471807E-3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COUNTIFS(CUSTOMER!G:G,"&lt;="&amp;"2022-02-01",CUSTOMER!H:H,"&gt;"&amp;"2022-02-01",SALE!C:C,"Clothing")</f>
        <v>598</v>
      </c>
      <c r="D14" s="41">
        <f>COUNTIFS(CUSTOMER!G:G,"&lt;="&amp;"2022-02-28",CUSTOMER!H:H,"&gt;="&amp;"2022-02-28",SALE!C:C,"Clothing")</f>
        <v>603</v>
      </c>
      <c r="E14" s="41">
        <f>COUNTIFS(CUSTOMER!G:G,"&gt;="&amp;"2022-02-01",CUSTOMER!G:G,"&lt;="&amp;"2022-02-28",SALE!C:C,"Clothing")</f>
        <v>16</v>
      </c>
      <c r="F14" s="42">
        <f t="shared" si="0"/>
        <v>0.98160535117056857</v>
      </c>
      <c r="G14" s="42">
        <f t="shared" si="1"/>
        <v>1.8394648829431426E-2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COUNTIFS(CUSTOMER!G:G,"&lt;="&amp;"2022-03-01",CUSTOMER!H:H,"&gt;"&amp;"2022-03-01",SALE!C:C,"Clothing")</f>
        <v>603</v>
      </c>
      <c r="D15" s="41">
        <f>COUNTIFS(CUSTOMER!G:G,"&lt;="&amp;"2022-03-31",CUSTOMER!H:H,"&gt;="&amp;"2022-03-31",SALE!C:C,"Clothing")</f>
        <v>601</v>
      </c>
      <c r="E15" s="41">
        <f>COUNTIFS(CUSTOMER!G:G,"&gt;="&amp;"2022-03-01",CUSTOMER!G:G,"&lt;="&amp;"2022-03-31",SALE!C:C,"Clothing")</f>
        <v>6</v>
      </c>
      <c r="F15" s="42">
        <f t="shared" si="0"/>
        <v>0.98673300165837474</v>
      </c>
      <c r="G15" s="42">
        <f t="shared" si="1"/>
        <v>1.3266998341625258E-2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COUNTIFS(CUSTOMER!G:G,"&lt;="&amp;"2022-04-01",CUSTOMER!H:H,"&gt;"&amp;"2022-04-01",SALE!C:C,"Clothing")</f>
        <v>601</v>
      </c>
      <c r="D16" s="41">
        <f>COUNTIFS(CUSTOMER!G:G,"&lt;="&amp;"2022-04-30",CUSTOMER!H:H,"&gt;="&amp;"2022-04-30",SALE!C:C,"Clothing")</f>
        <v>590</v>
      </c>
      <c r="E16" s="41">
        <f>COUNTIFS(CUSTOMER!G:G,"&gt;="&amp;"2022-04-01",CUSTOMER!G:G,"&lt;="&amp;"2022-04-30",SALE!C:C,"Clothing")</f>
        <v>1</v>
      </c>
      <c r="F16" s="42">
        <f t="shared" si="0"/>
        <v>0.98003327787021632</v>
      </c>
      <c r="G16" s="42">
        <f t="shared" si="1"/>
        <v>1.9966722129783676E-2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COUNTIFS(CUSTOMER!G:G,"&lt;="&amp;"2022-05-01",CUSTOMER!H:H,"&gt;"&amp;"2022-05-01",SALE!C:C,"Clothing")</f>
        <v>587</v>
      </c>
      <c r="D17" s="41">
        <f>COUNTIFS(CUSTOMER!G:G,"&lt;="&amp;"2022-05-31",CUSTOMER!H:H,"&gt;="&amp;"2022-05-31",SALE!C:C,"Clothing")</f>
        <v>564</v>
      </c>
      <c r="E17" s="41">
        <f>COUNTIFS(CUSTOMER!G:G,"&gt;="&amp;"2022-05-01",CUSTOMER!G:G,"&lt;="&amp;"2022-05-31",SALE!C:C,"Clothing")</f>
        <v>2</v>
      </c>
      <c r="F17" s="42">
        <f t="shared" si="0"/>
        <v>0.95741056218057918</v>
      </c>
      <c r="G17" s="42">
        <f t="shared" si="1"/>
        <v>4.2589437819420817E-2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COUNTIFS(CUSTOMER!G:G,"&lt;="&amp;"2022-06-01",CUSTOMER!H:H,"&gt;"&amp;"2022-06-01",SALE!C:C,"Clothing")</f>
        <v>563</v>
      </c>
      <c r="D18" s="41">
        <f>COUNTIFS(CUSTOMER!G:G,"&lt;="&amp;"2022-06-30",CUSTOMER!H:H,"&gt;="&amp;"2022-06-30",SALE!C:C,"Clothing")</f>
        <v>537</v>
      </c>
      <c r="E18" s="41">
        <f>COUNTIFS(CUSTOMER!G:G,"&gt;="&amp;"2022-06-01",CUSTOMER!G:G,"&lt;="&amp;"2022-06-30",SALE!C:C,"Clothing")</f>
        <v>2</v>
      </c>
      <c r="F18" s="42">
        <f t="shared" si="0"/>
        <v>0.95026642984014209</v>
      </c>
      <c r="G18" s="42">
        <f t="shared" si="1"/>
        <v>4.9733570159857909E-2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COUNTIFS(CUSTOMER!G:G,"&lt;="&amp;"2022-07-01",CUSTOMER!H:H,"&gt;"&amp;"2022-07-01",SALE!C:C,"Clothing")</f>
        <v>535</v>
      </c>
      <c r="D19" s="41">
        <f>COUNTIFS(CUSTOMER!G:G,"&lt;="&amp;"2022-07-31",CUSTOMER!H:H,"&gt;="&amp;"2022-07-31",SALE!C:C,"Clothing")</f>
        <v>518</v>
      </c>
      <c r="E19" s="41">
        <f>COUNTIFS(CUSTOMER!G:G,"&gt;="&amp;"2022-07-01",CUSTOMER!G:G,"&lt;="&amp;"2022-07-31",SALE!C:C,"Clothing")</f>
        <v>5</v>
      </c>
      <c r="F19" s="42">
        <f t="shared" si="0"/>
        <v>0.95887850467289715</v>
      </c>
      <c r="G19" s="42">
        <f t="shared" si="1"/>
        <v>4.1121495327102853E-2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COUNTIFS(CUSTOMER!G:G,"&lt;="&amp;"2022-08-01",CUSTOMER!H:H,"&gt;"&amp;"2022-08-01",SALE!C:C,"Clothing")</f>
        <v>512</v>
      </c>
      <c r="D20" s="41">
        <f>COUNTIFS(CUSTOMER!G:G,"&lt;="&amp;"2022-08-31",CUSTOMER!H:H,"&gt;="&amp;"2022-08-31",SALE!C:C,"Clothing")</f>
        <v>484</v>
      </c>
      <c r="E20" s="41">
        <f>COUNTIFS(CUSTOMER!G:G,"&gt;="&amp;"2022-08-01",CUSTOMER!G:G,"&lt;="&amp;"2022-08-31",SALE!C:C,"Clothing")</f>
        <v>8</v>
      </c>
      <c r="F20" s="42">
        <f t="shared" si="0"/>
        <v>0.9296875</v>
      </c>
      <c r="G20" s="42">
        <f t="shared" si="1"/>
        <v>7.03125E-2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COUNTIFS(CUSTOMER!G:G,"&lt;="&amp;"2022-09-01",CUSTOMER!H:H,"&gt;"&amp;"2022-09-01",SALE!C:C,"Clothing")</f>
        <v>483</v>
      </c>
      <c r="D21" s="41">
        <f>COUNTIFS(CUSTOMER!G:G,"&lt;="&amp;"2022-09-30",CUSTOMER!H:H,"&gt;="&amp;"2022-09-30",SALE!C:C,"Clothing")</f>
        <v>447</v>
      </c>
      <c r="E21" s="41">
        <f>COUNTIFS(CUSTOMER!G:G,"&gt;="&amp;"2022-09-01",CUSTOMER!G:G,"&lt;="&amp;"2022-09-30",SALE!C:C,"Clothing")</f>
        <v>2</v>
      </c>
      <c r="F21" s="42">
        <f t="shared" si="0"/>
        <v>0.92132505175983437</v>
      </c>
      <c r="G21" s="42">
        <f t="shared" si="1"/>
        <v>7.8674948240165632E-2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COUNTIFS(CUSTOMER!G:G,"&lt;="&amp;"2022-10-01",CUSTOMER!H:H,"&gt;"&amp;"2022-10-01",SALE!C:C,"Clothing")</f>
        <v>446</v>
      </c>
      <c r="D22" s="41">
        <f>COUNTIFS(CUSTOMER!G:G,"&lt;="&amp;"2022-10-31",CUSTOMER!H:H,"&gt;="&amp;"2022-10-31",SALE!C:C,"Clothing")</f>
        <v>403</v>
      </c>
      <c r="E22" s="41">
        <f>COUNTIFS(CUSTOMER!G:G,"&gt;="&amp;"2022-10-01",CUSTOMER!G:G,"&lt;="&amp;"2022-10-31",SALE!C:C,"Clothing")</f>
        <v>2</v>
      </c>
      <c r="F22" s="42">
        <f t="shared" si="0"/>
        <v>0.89910313901345296</v>
      </c>
      <c r="G22" s="42">
        <f t="shared" si="1"/>
        <v>0.10089686098654704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COUNTIFS(CUSTOMER!G:G,"&lt;="&amp;"2022-11-01",CUSTOMER!H:H,"&gt;"&amp;"2022-11-01",SALE!C:C,"Clothing")</f>
        <v>399</v>
      </c>
      <c r="D23" s="41">
        <f>COUNTIFS(CUSTOMER!G:G,"&lt;="&amp;"2022-11-30",CUSTOMER!H:H,"&gt;="&amp;"2022-11-30",SALE!C:C,"Clothing")</f>
        <v>341</v>
      </c>
      <c r="E23" s="41">
        <f>COUNTIFS(CUSTOMER!G:G,"&gt;="&amp;"2022-11-01",CUSTOMER!G:G,"&lt;="&amp;"2022-11-30",SALE!C:C,"Clothing")</f>
        <v>2</v>
      </c>
      <c r="F23" s="42">
        <f t="shared" si="0"/>
        <v>0.84962406015037595</v>
      </c>
      <c r="G23" s="42">
        <f t="shared" si="1"/>
        <v>0.15037593984962405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COUNTIFS(CUSTOMER!G:G,"&lt;="&amp;"2022-12-01",CUSTOMER!H:H,"&gt;"&amp;"2022-12-01",SALE!C:C,"Clothing")</f>
        <v>340</v>
      </c>
      <c r="D24" s="41">
        <f>COUNTIFS(CUSTOMER!G:G,"&lt;="&amp;"2022-12-31",CUSTOMER!H:H,"&gt;="&amp;"2022-12-31",SALE!C:C,"Clothing")</f>
        <v>252</v>
      </c>
      <c r="E24" s="41">
        <f>COUNTIFS(CUSTOMER!G:G,"&gt;="&amp;"2022-12-01",CUSTOMER!G:G,"&lt;="&amp;"2022-12-31",SALE!C:C,"Clothing")</f>
        <v>0</v>
      </c>
      <c r="F24" s="42">
        <f t="shared" si="0"/>
        <v>0.74117647058823533</v>
      </c>
      <c r="G24" s="42">
        <f t="shared" si="1"/>
        <v>0.25882352941176467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COUNTIFS(CUSTOMER!G:G,"&lt;="&amp;"2023-01-01",CUSTOMER!H:H,"&gt;"&amp;"2023-01-01",SALE!C:C,"Clothing")</f>
        <v>247</v>
      </c>
      <c r="D25" s="31">
        <f>COUNTIFS(CUSTOMER!G:G,"&lt;="&amp;"2023-01-31",CUSTOMER!H:H,"&gt;="&amp;"2023-01-31",SALE!C:C,"Clothing")</f>
        <v>146</v>
      </c>
      <c r="E25" s="31">
        <f>COUNTIFS(CUSTOMER!G:G,"&gt;="&amp;"2023-01-01",CUSTOMER!G:G,"&lt;="&amp;"2023-01-31",SALE!C:C,"Clothing")</f>
        <v>0</v>
      </c>
      <c r="F25" s="44">
        <f t="shared" si="0"/>
        <v>0.59109311740890691</v>
      </c>
      <c r="G25" s="51">
        <f t="shared" si="1"/>
        <v>0.40890688259109309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COUNTIFS(CUSTOMER!G:G,"&lt;="&amp;"2023-02-01",CUSTOMER!H:H,"&gt;"&amp;"2023-02-01",SALE!C:C,"Clothing")</f>
        <v>140</v>
      </c>
      <c r="D26" s="31">
        <f>COUNTIFS(CUSTOMER!G:G,"&lt;="&amp;"2023-02-28",CUSTOMER!H:H,"&gt;="&amp;"2023-02-28",SALE!C:C,"Clothing")</f>
        <v>41</v>
      </c>
      <c r="E26" s="31">
        <f>COUNTIFS(CUSTOMER!G:G,"&gt;="&amp;"2023-02-01",CUSTOMER!G:G,"&lt;="&amp;"2023-02-28",SALE!C:C,"Clothing")</f>
        <v>2</v>
      </c>
      <c r="F26" s="44">
        <f t="shared" si="0"/>
        <v>0.27857142857142858</v>
      </c>
      <c r="G26" s="51">
        <f t="shared" si="1"/>
        <v>0.72142857142857142</v>
      </c>
    </row>
    <row r="27" spans="1:7" x14ac:dyDescent="0.3">
      <c r="A27" s="37"/>
      <c r="F27" s="30">
        <f>AVERAGE(F1:F26)</f>
        <v>0.91653074902849763</v>
      </c>
      <c r="G27" s="30">
        <f t="shared" si="1"/>
        <v>8.3469250971502373E-2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46BEA-9FD1-419B-A1F8-87CE588C29F1}">
  <dimension ref="B2:C10"/>
  <sheetViews>
    <sheetView workbookViewId="0">
      <selection activeCell="C3" sqref="C3"/>
    </sheetView>
  </sheetViews>
  <sheetFormatPr defaultRowHeight="14.4" x14ac:dyDescent="0.3"/>
  <cols>
    <col min="2" max="2" width="17.33203125" customWidth="1"/>
    <col min="3" max="3" width="17.109375" customWidth="1"/>
  </cols>
  <sheetData>
    <row r="2" spans="2:3" x14ac:dyDescent="0.3">
      <c r="B2" s="56" t="s">
        <v>12020</v>
      </c>
      <c r="C2" s="56" t="s">
        <v>12060</v>
      </c>
    </row>
    <row r="3" spans="2:3" x14ac:dyDescent="0.3">
      <c r="B3" s="53" t="s">
        <v>2024</v>
      </c>
      <c r="C3" s="55">
        <v>0.90741526564925989</v>
      </c>
    </row>
    <row r="4" spans="2:3" x14ac:dyDescent="0.3">
      <c r="B4" s="53" t="s">
        <v>2006</v>
      </c>
      <c r="C4" s="55">
        <v>0.90900608293760965</v>
      </c>
    </row>
    <row r="5" spans="2:3" x14ac:dyDescent="0.3">
      <c r="B5" s="53" t="s">
        <v>2001</v>
      </c>
      <c r="C5" s="55">
        <v>0.91653074902849763</v>
      </c>
    </row>
    <row r="6" spans="2:3" x14ac:dyDescent="0.3">
      <c r="B6" s="53" t="s">
        <v>2011</v>
      </c>
      <c r="C6" s="55">
        <v>0.91367686408750071</v>
      </c>
    </row>
    <row r="7" spans="2:3" x14ac:dyDescent="0.3">
      <c r="B7" s="53" t="s">
        <v>2008</v>
      </c>
      <c r="C7" s="55">
        <v>0.91331281877916903</v>
      </c>
    </row>
    <row r="8" spans="2:3" x14ac:dyDescent="0.3">
      <c r="B8" s="53" t="s">
        <v>2015</v>
      </c>
      <c r="C8" s="55">
        <v>0.91370625906477798</v>
      </c>
    </row>
    <row r="9" spans="2:3" x14ac:dyDescent="0.3">
      <c r="B9" s="53" t="s">
        <v>2057</v>
      </c>
      <c r="C9" s="55">
        <v>0.90887986974186019</v>
      </c>
    </row>
    <row r="10" spans="2:3" x14ac:dyDescent="0.3">
      <c r="B10" s="53" t="s">
        <v>2017</v>
      </c>
      <c r="C10" s="55">
        <v>0.91489178881219302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8C1B3-29AB-4E5A-8E1A-6EA3B02E318B}">
  <dimension ref="A1:I39"/>
  <sheetViews>
    <sheetView topLeftCell="A3" workbookViewId="0">
      <selection activeCell="C8" sqref="C8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SALE!G:G,"Cevahir AVM")</f>
        <v>24</v>
      </c>
      <c r="D2" s="39">
        <f>COUNTIFS(CUSTOMER!G:G,"&lt;="&amp;"2021-02-28",CUSTOMER!H:H,"&gt;="&amp;"2021-02-28",SALE!G:G,"Cevahir AVM")</f>
        <v>34</v>
      </c>
      <c r="E2" s="39">
        <f>COUNTIFS(CUSTOMER!G:G,"&gt;="&amp;"2021-02-01",CUSTOMER!G:G,"&lt;="&amp;"2021-02-28",SALE!G:G,"Cevahir AVM")</f>
        <v>10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SALE!G:G,"Cevahir AVM")</f>
        <v>35</v>
      </c>
      <c r="D3" s="39">
        <f>COUNTIFS(CUSTOMER!G:G,"&lt;="&amp;"2021-03-31",CUSTOMER!H:H,"&gt;="&amp;"2021-03-31",SALE!G:G,"Cevahir AVM")</f>
        <v>44</v>
      </c>
      <c r="E3" s="39">
        <f>COUNTIFS(CUSTOMER!G:G,"&gt;="&amp;"2021-03-01",CUSTOMER!G:G,"&lt;="&amp;"2021-03-31",SALE!G:G,"Cevahir AVM")</f>
        <v>10</v>
      </c>
      <c r="F3" s="40">
        <f t="shared" ref="F3:F26" si="0">((D3-E3)*100%)/C3</f>
        <v>0.97142857142857142</v>
      </c>
      <c r="G3" s="40">
        <f t="shared" ref="G3:G27" si="1">1-F3</f>
        <v>2.8571428571428581E-2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COUNTIFS(CUSTOMER!G:G,"&lt;="&amp;"2021-04-01",CUSTOMER!H:H,"&gt;"&amp;"2021-04-01",SALE!G:G,"Cevahir AVM")</f>
        <v>44</v>
      </c>
      <c r="D4" s="39">
        <f>COUNTIFS(CUSTOMER!G:G,"&lt;="&amp;"2021-04-30",CUSTOMER!H:H,"&gt;="&amp;"2021-04-30",SALE!G:G,"Cevahir AVM")</f>
        <v>63</v>
      </c>
      <c r="E4" s="39">
        <f>COUNTIFS(CUSTOMER!G:G,"&gt;="&amp;"2021-04-01",CUSTOMER!G:G,"&lt;="&amp;"2021-04-30",SALE!G:G,"Cevahir AVM")</f>
        <v>19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COUNTIFS(CUSTOMER!G:G,"&lt;="&amp;"2021-05-01",CUSTOMER!H:H,"&gt;"&amp;"2021-05-01",SALE!G:G,"Cevahir AVM")</f>
        <v>63</v>
      </c>
      <c r="D5" s="39">
        <f>COUNTIFS(CUSTOMER!G:G,"&lt;="&amp;"2021-05-31",CUSTOMER!H:H,"&gt;="&amp;"2021-05-31",SALE!G:G,"Cevahir AVM")</f>
        <v>75</v>
      </c>
      <c r="E5" s="39">
        <f>COUNTIFS(CUSTOMER!G:G,"&gt;="&amp;"2021-05-01",CUSTOMER!G:G,"&lt;="&amp;"2021-05-31",SALE!G:G,"Cevahir AVM")</f>
        <v>12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COUNTIFS(CUSTOMER!G:G,"&lt;="&amp;"2021-06-01",CUSTOMER!H:H,"&gt;"&amp;"2021-06-01",SALE!G:G,"Cevahir AVM")</f>
        <v>75</v>
      </c>
      <c r="D6" s="39">
        <f>COUNTIFS(CUSTOMER!G:G,"&lt;="&amp;"2021-06-30",CUSTOMER!H:H,"&gt;="&amp;"2021-06-30",SALE!G:G,"Cevahir AVM")</f>
        <v>86</v>
      </c>
      <c r="E6" s="39">
        <f>COUNTIFS(CUSTOMER!G:G,"&gt;="&amp;"2021-06-01",CUSTOMER!G:G,"&lt;="&amp;"2021-06-30",SALE!G:G,"Cevahir AVM")</f>
        <v>11</v>
      </c>
      <c r="F6" s="40">
        <f t="shared" si="0"/>
        <v>1</v>
      </c>
      <c r="G6" s="40">
        <f t="shared" si="1"/>
        <v>0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COUNTIFS(CUSTOMER!G:G,"&lt;="&amp;"2021-07-01",CUSTOMER!H:H,"&gt;"&amp;"2021-07-01",SALE!G:G,"Cevahir AVM")</f>
        <v>86</v>
      </c>
      <c r="D7" s="39">
        <f>COUNTIFS(CUSTOMER!G:G,"&lt;="&amp;"2021-07-31",CUSTOMER!H:H,"&gt;="&amp;"2021-07-31",SALE!G:G,"Cevahir AVM")</f>
        <v>88</v>
      </c>
      <c r="E7" s="39">
        <f>COUNTIFS(CUSTOMER!G:G,"&gt;="&amp;"2021-07-01",CUSTOMER!G:G,"&lt;="&amp;"2021-07-31",SALE!G:G,"Cevahir AVM")</f>
        <v>2</v>
      </c>
      <c r="F7" s="40">
        <f t="shared" si="0"/>
        <v>1</v>
      </c>
      <c r="G7" s="40">
        <f t="shared" si="1"/>
        <v>0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COUNTIFS(CUSTOMER!G:G,"&lt;="&amp;"2021-08-01",CUSTOMER!H:H,"&gt;"&amp;"2021-08-01",SALE!G:G,"Cevahir AVM")</f>
        <v>90</v>
      </c>
      <c r="D8" s="39">
        <f>COUNTIFS(CUSTOMER!G:G,"&lt;="&amp;"2021-08-31",CUSTOMER!H:H,"&gt;="&amp;"2021-08-31",SALE!G:G,"Cevahir AVM")</f>
        <v>93</v>
      </c>
      <c r="E8" s="39">
        <f>COUNTIFS(CUSTOMER!G:G,"&gt;="&amp;"2021-08-01",CUSTOMER!G:G,"&lt;="&amp;"2021-08-31",SALE!G:G,"Cevahir AVM")</f>
        <v>5</v>
      </c>
      <c r="F8" s="40">
        <f t="shared" si="0"/>
        <v>0.97777777777777775</v>
      </c>
      <c r="G8" s="40">
        <f t="shared" si="1"/>
        <v>2.2222222222222254E-2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COUNTIFS(CUSTOMER!G:G,"&lt;="&amp;"2021-09-01",CUSTOMER!H:H,"&gt;"&amp;"2021-09-01",SALE!G:G,"Cevahir AVM")</f>
        <v>93</v>
      </c>
      <c r="D9" s="39">
        <f>COUNTIFS(CUSTOMER!G:G,"&lt;="&amp;"2021-09-30",CUSTOMER!H:H,"&gt;="&amp;"2021-09-30",SALE!G:G,"Cevahir AVM")</f>
        <v>93</v>
      </c>
      <c r="E9" s="39">
        <f>COUNTIFS(CUSTOMER!G:G,"&gt;="&amp;"2021-09-01",CUSTOMER!G:G,"&lt;="&amp;"2021-09-30",SALE!G:G,"Cevahir AVM")</f>
        <v>2</v>
      </c>
      <c r="F9" s="40">
        <f t="shared" si="0"/>
        <v>0.978494623655914</v>
      </c>
      <c r="G9" s="40">
        <f t="shared" si="1"/>
        <v>2.1505376344086002E-2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COUNTIFS(CUSTOMER!G:G,"&lt;="&amp;"2021-10-01",CUSTOMER!H:H,"&gt;"&amp;"2021-10-01",SALE!G:G,"Cevahir AVM")</f>
        <v>93</v>
      </c>
      <c r="D10" s="39">
        <f>COUNTIFS(CUSTOMER!G:G,"&lt;="&amp;"2021-10-31",CUSTOMER!H:H,"&gt;="&amp;"2021-10-31",SALE!G:G,"Cevahir AVM")</f>
        <v>99</v>
      </c>
      <c r="E10" s="39">
        <f>COUNTIFS(CUSTOMER!G:G,"&gt;="&amp;"2021-10-01",CUSTOMER!G:G,"&lt;="&amp;"2021-10-31",SALE!G:G,"Cevahir AVM")</f>
        <v>6</v>
      </c>
      <c r="F10" s="40">
        <f t="shared" si="0"/>
        <v>1</v>
      </c>
      <c r="G10" s="40">
        <f t="shared" si="1"/>
        <v>0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COUNTIFS(CUSTOMER!G:G,"&lt;="&amp;"2021-11-01",CUSTOMER!H:H,"&gt;"&amp;"2021-11-01",SALE!G:G,"Cevahir AVM")</f>
        <v>100</v>
      </c>
      <c r="D11" s="39">
        <f>COUNTIFS(CUSTOMER!G:G,"&lt;="&amp;"2021-11-30",CUSTOMER!H:H,"&gt;="&amp;"2021-11-30",SALE!G:G,"Cevahir AVM")</f>
        <v>99</v>
      </c>
      <c r="E11" s="39">
        <f>COUNTIFS(CUSTOMER!G:G,"&gt;="&amp;"2021-11-01",CUSTOMER!G:G,"&lt;="&amp;"2021-11-30",SALE!G:G,"Cevahir AVM")</f>
        <v>2</v>
      </c>
      <c r="F11" s="40">
        <f t="shared" si="0"/>
        <v>0.97</v>
      </c>
      <c r="G11" s="40">
        <f t="shared" si="1"/>
        <v>3.0000000000000027E-2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COUNTIFS(CUSTOMER!G:G,"&lt;="&amp;"2021-12-01",CUSTOMER!H:H,"&gt;"&amp;"2021-12-01",SALE!G:G,"Cevahir AVM")</f>
        <v>99</v>
      </c>
      <c r="D12" s="39">
        <f>COUNTIFS(CUSTOMER!G:G,"&lt;="&amp;"2021-12-31",CUSTOMER!H:H,"&gt;="&amp;"2021-12-31",SALE!G:G,"Cevahir AVM")</f>
        <v>101</v>
      </c>
      <c r="E12" s="39">
        <f>COUNTIFS(CUSTOMER!G:G,"&gt;="&amp;"2021-12-01",CUSTOMER!G:G,"&lt;="&amp;"2021-12-31",SALE!G:G,"Cevahir AVM")</f>
        <v>2</v>
      </c>
      <c r="F12" s="40">
        <f t="shared" si="0"/>
        <v>1</v>
      </c>
      <c r="G12" s="40">
        <f t="shared" si="1"/>
        <v>0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COUNTIFS(CUSTOMER!G:G,"&lt;="&amp;"2022-01-01",CUSTOMER!H:H,"&gt;"&amp;"2022-01-01",SALE!G:G,"Cevahir AVM")</f>
        <v>101</v>
      </c>
      <c r="D13" s="41">
        <f>COUNTIFS(CUSTOMER!G:G,"&lt;="&amp;"2022-01-31",CUSTOMER!H:H,"&gt;="&amp;"2022-01-31",SALE!G:G,"Cevahir AVM")</f>
        <v>102</v>
      </c>
      <c r="E13" s="41">
        <f>COUNTIFS(CUSTOMER!G:G,"&gt;="&amp;"2022-01-01",CUSTOMER!G:G,"&lt;="&amp;"2022-01-31",SALE!G:G,"Cevahir AVM")</f>
        <v>3</v>
      </c>
      <c r="F13" s="42">
        <f t="shared" si="0"/>
        <v>0.98019801980198018</v>
      </c>
      <c r="G13" s="42">
        <f t="shared" si="1"/>
        <v>1.980198019801982E-2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COUNTIFS(CUSTOMER!G:G,"&lt;="&amp;"2022-02-01",CUSTOMER!H:H,"&gt;"&amp;"2022-02-01",SALE!G:G,"Cevahir AVM")</f>
        <v>102</v>
      </c>
      <c r="D14" s="41">
        <f>COUNTIFS(CUSTOMER!G:G,"&lt;="&amp;"2022-02-28",CUSTOMER!H:H,"&gt;="&amp;"2022-02-28",SALE!G:G,"Cevahir AVM")</f>
        <v>99</v>
      </c>
      <c r="E14" s="41">
        <f>COUNTIFS(CUSTOMER!G:G,"&gt;="&amp;"2022-02-01",CUSTOMER!G:G,"&lt;="&amp;"2022-02-28",SALE!G:G,"Cevahir AVM")</f>
        <v>0</v>
      </c>
      <c r="F14" s="42">
        <f t="shared" si="0"/>
        <v>0.97058823529411764</v>
      </c>
      <c r="G14" s="42">
        <f t="shared" si="1"/>
        <v>2.9411764705882359E-2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COUNTIFS(CUSTOMER!G:G,"&lt;="&amp;"2022-03-01",CUSTOMER!H:H,"&gt;"&amp;"2022-03-01",SALE!G:G,"Cevahir AVM")</f>
        <v>99</v>
      </c>
      <c r="D15" s="41">
        <f>COUNTIFS(CUSTOMER!G:G,"&lt;="&amp;"2022-03-31",CUSTOMER!H:H,"&gt;="&amp;"2022-03-31",SALE!G:G,"Cevahir AVM")</f>
        <v>96</v>
      </c>
      <c r="E15" s="41">
        <f>COUNTIFS(CUSTOMER!G:G,"&gt;="&amp;"2022-03-01",CUSTOMER!G:G,"&lt;="&amp;"2022-03-31",SALE!G:G,"Cevahir AVM")</f>
        <v>1</v>
      </c>
      <c r="F15" s="42">
        <f t="shared" si="0"/>
        <v>0.95959595959595956</v>
      </c>
      <c r="G15" s="42">
        <f t="shared" si="1"/>
        <v>4.0404040404040442E-2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COUNTIFS(CUSTOMER!G:G,"&lt;="&amp;"2022-04-01",CUSTOMER!H:H,"&gt;"&amp;"2022-04-01",SALE!G:G,"Cevahir AVM")</f>
        <v>96</v>
      </c>
      <c r="D16" s="41">
        <f>COUNTIFS(CUSTOMER!G:G,"&lt;="&amp;"2022-04-30",CUSTOMER!H:H,"&gt;="&amp;"2022-04-30",SALE!G:G,"Cevahir AVM")</f>
        <v>95</v>
      </c>
      <c r="E16" s="41">
        <f>COUNTIFS(CUSTOMER!G:G,"&gt;="&amp;"2022-04-01",CUSTOMER!G:G,"&lt;="&amp;"2022-04-30",SALE!G:G,"Cevahir AVM")</f>
        <v>1</v>
      </c>
      <c r="F16" s="42">
        <f t="shared" si="0"/>
        <v>0.97916666666666663</v>
      </c>
      <c r="G16" s="42">
        <f t="shared" si="1"/>
        <v>2.083333333333337E-2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COUNTIFS(CUSTOMER!G:G,"&lt;="&amp;"2022-05-01",CUSTOMER!H:H,"&gt;"&amp;"2022-05-01",SALE!G:G,"Cevahir AVM")</f>
        <v>94</v>
      </c>
      <c r="D17" s="41">
        <f>COUNTIFS(CUSTOMER!G:G,"&lt;="&amp;"2022-05-31",CUSTOMER!H:H,"&gt;="&amp;"2022-05-31",SALE!G:G,"Cevahir AVM")</f>
        <v>89</v>
      </c>
      <c r="E17" s="41">
        <f>COUNTIFS(CUSTOMER!G:G,"&gt;="&amp;"2022-05-01",CUSTOMER!G:G,"&lt;="&amp;"2022-05-31",SALE!G:G,"Cevahir AVM")</f>
        <v>0</v>
      </c>
      <c r="F17" s="42">
        <f t="shared" si="0"/>
        <v>0.94680851063829785</v>
      </c>
      <c r="G17" s="42">
        <f t="shared" si="1"/>
        <v>5.3191489361702149E-2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COUNTIFS(CUSTOMER!G:G,"&lt;="&amp;"2022-06-01",CUSTOMER!H:H,"&gt;"&amp;"2022-06-01",SALE!G:G,"Cevahir AVM")</f>
        <v>89</v>
      </c>
      <c r="D18" s="41">
        <f>COUNTIFS(CUSTOMER!G:G,"&lt;="&amp;"2022-06-30",CUSTOMER!H:H,"&gt;="&amp;"2022-06-30",SALE!G:G,"Cevahir AVM")</f>
        <v>86</v>
      </c>
      <c r="E18" s="41">
        <f>COUNTIFS(CUSTOMER!G:G,"&gt;="&amp;"2022-06-01",CUSTOMER!G:G,"&lt;="&amp;"2022-06-30",SALE!G:G,"Cevahir AVM")</f>
        <v>1</v>
      </c>
      <c r="F18" s="42">
        <f t="shared" si="0"/>
        <v>0.9550561797752809</v>
      </c>
      <c r="G18" s="42">
        <f t="shared" si="1"/>
        <v>4.49438202247191E-2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COUNTIFS(CUSTOMER!G:G,"&lt;="&amp;"2022-07-01",CUSTOMER!H:H,"&gt;"&amp;"2022-07-01",SALE!G:G,"Cevahir AVM")</f>
        <v>86</v>
      </c>
      <c r="D19" s="41">
        <f>COUNTIFS(CUSTOMER!G:G,"&lt;="&amp;"2022-07-31",CUSTOMER!H:H,"&gt;="&amp;"2022-07-31",SALE!G:G,"Cevahir AVM")</f>
        <v>84</v>
      </c>
      <c r="E19" s="41">
        <f>COUNTIFS(CUSTOMER!G:G,"&gt;="&amp;"2022-07-01",CUSTOMER!G:G,"&lt;="&amp;"2022-07-31",SALE!G:G,"Cevahir AVM")</f>
        <v>2</v>
      </c>
      <c r="F19" s="42">
        <f t="shared" si="0"/>
        <v>0.95348837209302328</v>
      </c>
      <c r="G19" s="42">
        <f t="shared" si="1"/>
        <v>4.6511627906976716E-2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COUNTIFS(CUSTOMER!G:G,"&lt;="&amp;"2022-08-01",CUSTOMER!H:H,"&gt;"&amp;"2022-08-01",SALE!G:G,"Cevahir AVM")</f>
        <v>82</v>
      </c>
      <c r="D20" s="41">
        <f>COUNTIFS(CUSTOMER!G:G,"&lt;="&amp;"2022-08-31",CUSTOMER!H:H,"&gt;="&amp;"2022-08-31",SALE!G:G,"Cevahir AVM")</f>
        <v>79</v>
      </c>
      <c r="E20" s="41">
        <f>COUNTIFS(CUSTOMER!G:G,"&gt;="&amp;"2022-08-01",CUSTOMER!G:G,"&lt;="&amp;"2022-08-31",SALE!G:G,"Cevahir AVM")</f>
        <v>2</v>
      </c>
      <c r="F20" s="42">
        <f t="shared" si="0"/>
        <v>0.93902439024390238</v>
      </c>
      <c r="G20" s="42">
        <f t="shared" si="1"/>
        <v>6.0975609756097615E-2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COUNTIFS(CUSTOMER!G:G,"&lt;="&amp;"2022-09-01",CUSTOMER!H:H,"&gt;"&amp;"2022-09-01",SALE!G:G,"Cevahir AVM")</f>
        <v>77</v>
      </c>
      <c r="D21" s="41">
        <f>COUNTIFS(CUSTOMER!G:G,"&lt;="&amp;"2022-09-30",CUSTOMER!H:H,"&gt;="&amp;"2022-09-30",SALE!G:G,"Cevahir AVM")</f>
        <v>69</v>
      </c>
      <c r="E21" s="41">
        <f>COUNTIFS(CUSTOMER!G:G,"&gt;="&amp;"2022-09-01",CUSTOMER!G:G,"&lt;="&amp;"2022-09-30",SALE!G:G,"Cevahir AVM")</f>
        <v>0</v>
      </c>
      <c r="F21" s="42">
        <f t="shared" si="0"/>
        <v>0.89610389610389607</v>
      </c>
      <c r="G21" s="42">
        <f t="shared" si="1"/>
        <v>0.10389610389610393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COUNTIFS(CUSTOMER!G:G,"&lt;="&amp;"2022-10-01",CUSTOMER!H:H,"&gt;"&amp;"2022-10-01",SALE!G:G,"Cevahir AVM")</f>
        <v>69</v>
      </c>
      <c r="D22" s="41">
        <f>COUNTIFS(CUSTOMER!G:G,"&lt;="&amp;"2022-10-31",CUSTOMER!H:H,"&gt;="&amp;"2022-10-31",SALE!G:G,"Cevahir AVM")</f>
        <v>62</v>
      </c>
      <c r="E22" s="41">
        <f>COUNTIFS(CUSTOMER!G:G,"&gt;="&amp;"2022-10-01",CUSTOMER!G:G,"&lt;="&amp;"2022-10-31",SALE!G:G,"Cevahir AVM")</f>
        <v>0</v>
      </c>
      <c r="F22" s="42">
        <f t="shared" si="0"/>
        <v>0.89855072463768115</v>
      </c>
      <c r="G22" s="42">
        <f t="shared" si="1"/>
        <v>0.10144927536231885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COUNTIFS(CUSTOMER!G:G,"&lt;="&amp;"2022-11-01",CUSTOMER!H:H,"&gt;"&amp;"2022-11-01",SALE!G:G,"Cevahir AVM")</f>
        <v>61</v>
      </c>
      <c r="D23" s="41">
        <f>COUNTIFS(CUSTOMER!G:G,"&lt;="&amp;"2022-11-30",CUSTOMER!H:H,"&gt;="&amp;"2022-11-30",SALE!G:G,"Cevahir AVM")</f>
        <v>54</v>
      </c>
      <c r="E23" s="41">
        <f>COUNTIFS(CUSTOMER!G:G,"&gt;="&amp;"2022-11-01",CUSTOMER!G:G,"&lt;="&amp;"2022-11-30",SALE!G:G,"Cevahir AVM")</f>
        <v>0</v>
      </c>
      <c r="F23" s="42">
        <f t="shared" si="0"/>
        <v>0.88524590163934425</v>
      </c>
      <c r="G23" s="42">
        <f t="shared" si="1"/>
        <v>0.11475409836065575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COUNTIFS(CUSTOMER!G:G,"&lt;="&amp;"2022-12-01",CUSTOMER!H:H,"&gt;"&amp;"2022-12-01",SALE!G:G,"Cevahir AVM")</f>
        <v>54</v>
      </c>
      <c r="D24" s="41">
        <f>COUNTIFS(CUSTOMER!G:G,"&lt;="&amp;"2022-12-31",CUSTOMER!H:H,"&gt;="&amp;"2022-12-31",SALE!G:G,"Cevahir AVM")</f>
        <v>35</v>
      </c>
      <c r="E24" s="41">
        <f>COUNTIFS(CUSTOMER!G:G,"&gt;="&amp;"2022-12-01",CUSTOMER!G:G,"&lt;="&amp;"2022-12-31",SALE!G:G,"Cevahir AVM")</f>
        <v>0</v>
      </c>
      <c r="F24" s="42">
        <f t="shared" si="0"/>
        <v>0.64814814814814814</v>
      </c>
      <c r="G24" s="42">
        <f t="shared" si="1"/>
        <v>0.35185185185185186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COUNTIFS(CUSTOMER!G:G,"&lt;="&amp;"2023-01-01",CUSTOMER!H:H,"&gt;"&amp;"2023-01-01",SALE!G:G,"Cevahir AVM")</f>
        <v>34</v>
      </c>
      <c r="D25" s="31">
        <f>COUNTIFS(CUSTOMER!G:G,"&lt;="&amp;"2023-01-31",CUSTOMER!H:H,"&gt;="&amp;"2023-01-31",SALE!G:G,"Cevahir AVM")</f>
        <v>19</v>
      </c>
      <c r="E25" s="31">
        <f>COUNTIFS(CUSTOMER!G:G,"&gt;="&amp;"2023-01-01",CUSTOMER!G:G,"&lt;="&amp;"2023-01-31",SALE!G:G,"Cevahir AVM")</f>
        <v>0</v>
      </c>
      <c r="F25" s="44">
        <f t="shared" si="0"/>
        <v>0.55882352941176472</v>
      </c>
      <c r="G25" s="51">
        <f t="shared" si="1"/>
        <v>0.44117647058823528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COUNTIFS(CUSTOMER!G:G,"&lt;="&amp;"2023-02-01",CUSTOMER!H:H,"&gt;"&amp;"2023-02-01",SALE!G:G,"Cevahir AVM")</f>
        <v>16</v>
      </c>
      <c r="D26" s="31">
        <f>COUNTIFS(CUSTOMER!G:G,"&lt;="&amp;"2023-02-28",CUSTOMER!H:H,"&gt;="&amp;"2023-02-28",SALE!G:G,"Cevahir AVM")</f>
        <v>4</v>
      </c>
      <c r="E26" s="31">
        <f>COUNTIFS(CUSTOMER!G:G,"&gt;="&amp;"2023-02-01",CUSTOMER!G:G,"&lt;="&amp;"2023-02-28",SALE!G:G,"Cevahir AVM")</f>
        <v>0</v>
      </c>
      <c r="F26" s="44">
        <f t="shared" si="0"/>
        <v>0.25</v>
      </c>
      <c r="G26" s="51">
        <f t="shared" si="1"/>
        <v>0.75</v>
      </c>
    </row>
    <row r="27" spans="1:7" x14ac:dyDescent="0.3">
      <c r="A27" s="37"/>
      <c r="F27" s="54">
        <f>AVERAGE(F2:F26)</f>
        <v>0.90873998027649294</v>
      </c>
      <c r="G27" s="30">
        <f t="shared" si="1"/>
        <v>9.1260019723507058E-2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7101F-4749-4945-9EA4-945DA842635C}">
  <dimension ref="A1:I39"/>
  <sheetViews>
    <sheetView topLeftCell="A6" workbookViewId="0">
      <selection activeCell="F27" sqref="F27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SALE!G:G,"Emaar Square Mall")</f>
        <v>12</v>
      </c>
      <c r="D2" s="39">
        <f>COUNTIFS(CUSTOMER!G:G,"&lt;="&amp;"2021-02-28",CUSTOMER!H:H,"&gt;="&amp;"2021-02-28",SALE!G:G,"Emaar Square Mall")</f>
        <v>20</v>
      </c>
      <c r="E2" s="39">
        <f>COUNTIFS(CUSTOMER!G:G,"&gt;="&amp;"2021-02-01",CUSTOMER!G:G,"&lt;="&amp;"2021-02-28",SALE!G:G,"Emaar Square Mall")</f>
        <v>8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SALE!G:G,"Emaar Square Mall")</f>
        <v>20</v>
      </c>
      <c r="D3" s="39">
        <f>COUNTIFS(CUSTOMER!G:G,"&lt;="&amp;"2021-03-31",CUSTOMER!H:H,"&gt;="&amp;"2021-03-31",SALE!G:G,"Emaar Square Mall")</f>
        <v>39</v>
      </c>
      <c r="E3" s="39">
        <f>COUNTIFS(CUSTOMER!G:G,"&gt;="&amp;"2021-03-01",CUSTOMER!G:G,"&lt;="&amp;"2021-03-31",SALE!G:G,"Emaar Square Mall")</f>
        <v>19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COUNTIFS(CUSTOMER!G:G,"&lt;="&amp;"2021-04-01",CUSTOMER!H:H,"&gt;"&amp;"2021-04-01",SALE!G:G,"Emaar Square Mall")</f>
        <v>39</v>
      </c>
      <c r="D4" s="39">
        <f>COUNTIFS(CUSTOMER!G:G,"&lt;="&amp;"2021-04-30",CUSTOMER!H:H,"&gt;="&amp;"2021-04-30",SALE!G:G,"Emaar Square Mall")</f>
        <v>53</v>
      </c>
      <c r="E4" s="39">
        <f>COUNTIFS(CUSTOMER!G:G,"&gt;="&amp;"2021-04-01",CUSTOMER!G:G,"&lt;="&amp;"2021-04-30",SALE!G:G,"Emaar Square Mall")</f>
        <v>14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COUNTIFS(CUSTOMER!G:G,"&lt;="&amp;"2021-05-01",CUSTOMER!H:H,"&gt;"&amp;"2021-05-01",SALE!G:G,"Emaar Square Mall")</f>
        <v>54</v>
      </c>
      <c r="D5" s="39">
        <f>COUNTIFS(CUSTOMER!G:G,"&lt;="&amp;"2021-05-31",CUSTOMER!H:H,"&gt;="&amp;"2021-05-31",SALE!G:G,"Emaar Square Mall")</f>
        <v>59</v>
      </c>
      <c r="E5" s="39">
        <f>COUNTIFS(CUSTOMER!G:G,"&gt;="&amp;"2021-05-01",CUSTOMER!G:G,"&lt;="&amp;"2021-05-31",SALE!G:G,"Emaar Square Mall")</f>
        <v>6</v>
      </c>
      <c r="F5" s="40">
        <f t="shared" si="0"/>
        <v>0.98148148148148151</v>
      </c>
      <c r="G5" s="40">
        <f t="shared" si="1"/>
        <v>1.851851851851849E-2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COUNTIFS(CUSTOMER!G:G,"&lt;="&amp;"2021-06-01",CUSTOMER!H:H,"&gt;"&amp;"2021-06-01",SALE!G:G,"Emaar Square Mall")</f>
        <v>60</v>
      </c>
      <c r="D6" s="39">
        <f>COUNTIFS(CUSTOMER!G:G,"&lt;="&amp;"2021-06-30",CUSTOMER!H:H,"&gt;="&amp;"2021-06-30",SALE!G:G,"Emaar Square Mall")</f>
        <v>68</v>
      </c>
      <c r="E6" s="39">
        <f>COUNTIFS(CUSTOMER!G:G,"&gt;="&amp;"2021-06-01",CUSTOMER!G:G,"&lt;="&amp;"2021-06-30",SALE!G:G,"Emaar Square Mall")</f>
        <v>10</v>
      </c>
      <c r="F6" s="40">
        <f t="shared" si="0"/>
        <v>0.96666666666666667</v>
      </c>
      <c r="G6" s="40">
        <f t="shared" si="1"/>
        <v>3.3333333333333326E-2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COUNTIFS(CUSTOMER!G:G,"&lt;="&amp;"2021-07-01",CUSTOMER!H:H,"&gt;"&amp;"2021-07-01",SALE!G:G,"Emaar Square Mall")</f>
        <v>68</v>
      </c>
      <c r="D7" s="39">
        <f>COUNTIFS(CUSTOMER!G:G,"&lt;="&amp;"2021-07-31",CUSTOMER!H:H,"&gt;="&amp;"2021-07-31",SALE!G:G,"Emaar Square Mall")</f>
        <v>78</v>
      </c>
      <c r="E7" s="39">
        <f>COUNTIFS(CUSTOMER!G:G,"&gt;="&amp;"2021-07-01",CUSTOMER!G:G,"&lt;="&amp;"2021-07-31",SALE!G:G,"Emaar Square Mall")</f>
        <v>10</v>
      </c>
      <c r="F7" s="40">
        <f t="shared" si="0"/>
        <v>1</v>
      </c>
      <c r="G7" s="40">
        <f t="shared" si="1"/>
        <v>0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COUNTIFS(CUSTOMER!G:G,"&lt;="&amp;"2021-08-01",CUSTOMER!H:H,"&gt;"&amp;"2021-08-01",SALE!G:G,"Emaar Square Mall")</f>
        <v>78</v>
      </c>
      <c r="D8" s="39">
        <f>COUNTIFS(CUSTOMER!G:G,"&lt;="&amp;"2021-08-31",CUSTOMER!H:H,"&gt;="&amp;"2021-08-31",SALE!G:G,"Emaar Square Mall")</f>
        <v>82</v>
      </c>
      <c r="E8" s="39">
        <f>COUNTIFS(CUSTOMER!G:G,"&gt;="&amp;"2021-08-01",CUSTOMER!G:G,"&lt;="&amp;"2021-08-31",SALE!G:G,"Emaar Square Mall")</f>
        <v>4</v>
      </c>
      <c r="F8" s="40">
        <f t="shared" si="0"/>
        <v>1</v>
      </c>
      <c r="G8" s="40">
        <f t="shared" si="1"/>
        <v>0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COUNTIFS(CUSTOMER!G:G,"&lt;="&amp;"2021-09-01",CUSTOMER!H:H,"&gt;"&amp;"2021-09-01",SALE!G:G,"Emaar Square Mall")</f>
        <v>82</v>
      </c>
      <c r="D9" s="39">
        <f>COUNTIFS(CUSTOMER!G:G,"&lt;="&amp;"2021-09-30",CUSTOMER!H:H,"&gt;="&amp;"2021-09-30",SALE!G:G,"Emaar Square Mall")</f>
        <v>87</v>
      </c>
      <c r="E9" s="39">
        <f>COUNTIFS(CUSTOMER!G:G,"&gt;="&amp;"2021-09-01",CUSTOMER!G:G,"&lt;="&amp;"2021-09-30",SALE!G:G,"Emaar Square Mall")</f>
        <v>6</v>
      </c>
      <c r="F9" s="40">
        <f t="shared" si="0"/>
        <v>0.98780487804878048</v>
      </c>
      <c r="G9" s="40">
        <f t="shared" si="1"/>
        <v>1.2195121951219523E-2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COUNTIFS(CUSTOMER!G:G,"&lt;="&amp;"2021-10-01",CUSTOMER!H:H,"&gt;"&amp;"2021-10-01",SALE!G:G,"Emaar Square Mall")</f>
        <v>87</v>
      </c>
      <c r="D10" s="39">
        <f>COUNTIFS(CUSTOMER!G:G,"&lt;="&amp;"2021-10-31",CUSTOMER!H:H,"&gt;="&amp;"2021-10-31",SALE!G:G,"Emaar Square Mall")</f>
        <v>92</v>
      </c>
      <c r="E10" s="39">
        <f>COUNTIFS(CUSTOMER!G:G,"&gt;="&amp;"2021-10-01",CUSTOMER!G:G,"&lt;="&amp;"2021-10-31",SALE!G:G,"Emaar Square Mall")</f>
        <v>5</v>
      </c>
      <c r="F10" s="40">
        <f t="shared" si="0"/>
        <v>1</v>
      </c>
      <c r="G10" s="40">
        <f t="shared" si="1"/>
        <v>0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COUNTIFS(CUSTOMER!G:G,"&lt;="&amp;"2021-11-01",CUSTOMER!H:H,"&gt;"&amp;"2021-11-01",SALE!G:G,"Emaar Square Mall")</f>
        <v>92</v>
      </c>
      <c r="D11" s="39">
        <f>COUNTIFS(CUSTOMER!G:G,"&lt;="&amp;"2021-11-30",CUSTOMER!H:H,"&gt;="&amp;"2021-11-30",SALE!G:G,"Emaar Square Mall")</f>
        <v>93</v>
      </c>
      <c r="E11" s="39">
        <f>COUNTIFS(CUSTOMER!G:G,"&gt;="&amp;"2021-11-01",CUSTOMER!G:G,"&lt;="&amp;"2021-11-30",SALE!G:G,"Emaar Square Mall")</f>
        <v>3</v>
      </c>
      <c r="F11" s="40">
        <f t="shared" si="0"/>
        <v>0.97826086956521741</v>
      </c>
      <c r="G11" s="40">
        <f t="shared" si="1"/>
        <v>2.1739130434782594E-2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COUNTIFS(CUSTOMER!G:G,"&lt;="&amp;"2021-12-01",CUSTOMER!H:H,"&gt;"&amp;"2021-12-01",SALE!G:G,"Emaar Square Mall")</f>
        <v>93</v>
      </c>
      <c r="D12" s="39">
        <f>COUNTIFS(CUSTOMER!G:G,"&lt;="&amp;"2021-12-31",CUSTOMER!H:H,"&gt;="&amp;"2021-12-31",SALE!G:G,"Emaar Square Mall")</f>
        <v>96</v>
      </c>
      <c r="E12" s="39">
        <f>COUNTIFS(CUSTOMER!G:G,"&gt;="&amp;"2021-12-01",CUSTOMER!G:G,"&lt;="&amp;"2021-12-31",SALE!G:G,"Emaar Square Mall")</f>
        <v>3</v>
      </c>
      <c r="F12" s="40">
        <f t="shared" si="0"/>
        <v>1</v>
      </c>
      <c r="G12" s="40">
        <f t="shared" si="1"/>
        <v>0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COUNTIFS(CUSTOMER!G:G,"&lt;="&amp;"2022-01-01",CUSTOMER!H:H,"&gt;"&amp;"2022-01-01",SALE!G:G,"Emaar Square Mall")</f>
        <v>96</v>
      </c>
      <c r="D13" s="41">
        <f>COUNTIFS(CUSTOMER!G:G,"&lt;="&amp;"2022-01-31",CUSTOMER!H:H,"&gt;="&amp;"2022-01-31",SALE!G:G,"Emaar Square Mall")</f>
        <v>96</v>
      </c>
      <c r="E13" s="41">
        <f>COUNTIFS(CUSTOMER!G:G,"&gt;="&amp;"2022-01-01",CUSTOMER!G:G,"&lt;="&amp;"2022-01-31",SALE!G:G,"Emaar Square Mall")</f>
        <v>1</v>
      </c>
      <c r="F13" s="42">
        <f t="shared" si="0"/>
        <v>0.98958333333333337</v>
      </c>
      <c r="G13" s="42">
        <f t="shared" si="1"/>
        <v>1.041666666666663E-2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COUNTIFS(CUSTOMER!G:G,"&lt;="&amp;"2022-02-01",CUSTOMER!H:H,"&gt;"&amp;"2022-02-01",SALE!G:G,"Emaar Square Mall")</f>
        <v>96</v>
      </c>
      <c r="D14" s="41">
        <f>COUNTIFS(CUSTOMER!G:G,"&lt;="&amp;"2022-02-28",CUSTOMER!H:H,"&gt;="&amp;"2022-02-28",SALE!G:G,"Emaar Square Mall")</f>
        <v>97</v>
      </c>
      <c r="E14" s="41">
        <f>COUNTIFS(CUSTOMER!G:G,"&gt;="&amp;"2022-02-01",CUSTOMER!G:G,"&lt;="&amp;"2022-02-28",SALE!G:G,"Emaar Square Mall")</f>
        <v>3</v>
      </c>
      <c r="F14" s="42">
        <f t="shared" si="0"/>
        <v>0.97916666666666663</v>
      </c>
      <c r="G14" s="42">
        <f t="shared" si="1"/>
        <v>2.083333333333337E-2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COUNTIFS(CUSTOMER!G:G,"&lt;="&amp;"2022-03-01",CUSTOMER!H:H,"&gt;"&amp;"2022-03-01",SALE!G:G,"Emaar Square Mall")</f>
        <v>97</v>
      </c>
      <c r="D15" s="41">
        <f>COUNTIFS(CUSTOMER!G:G,"&lt;="&amp;"2022-03-31",CUSTOMER!H:H,"&gt;="&amp;"2022-03-31",SALE!G:G,"Emaar Square Mall")</f>
        <v>95</v>
      </c>
      <c r="E15" s="41">
        <f>COUNTIFS(CUSTOMER!G:G,"&gt;="&amp;"2022-03-01",CUSTOMER!G:G,"&lt;="&amp;"2022-03-31",SALE!G:G,"Emaar Square Mall")</f>
        <v>0</v>
      </c>
      <c r="F15" s="42">
        <f t="shared" si="0"/>
        <v>0.97938144329896903</v>
      </c>
      <c r="G15" s="42">
        <f t="shared" si="1"/>
        <v>2.0618556701030966E-2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COUNTIFS(CUSTOMER!G:G,"&lt;="&amp;"2022-04-01",CUSTOMER!H:H,"&gt;"&amp;"2022-04-01",SALE!G:G,"Emaar Square Mall")</f>
        <v>95</v>
      </c>
      <c r="D16" s="41">
        <f>COUNTIFS(CUSTOMER!G:G,"&lt;="&amp;"2022-04-30",CUSTOMER!H:H,"&gt;="&amp;"2022-04-30",SALE!G:G,"Emaar Square Mall")</f>
        <v>95</v>
      </c>
      <c r="E16" s="41">
        <f>COUNTIFS(CUSTOMER!G:G,"&gt;="&amp;"2022-04-01",CUSTOMER!G:G,"&lt;="&amp;"2022-04-30",SALE!G:G,"Emaar Square Mall")</f>
        <v>1</v>
      </c>
      <c r="F16" s="42">
        <f t="shared" si="0"/>
        <v>0.98947368421052628</v>
      </c>
      <c r="G16" s="42">
        <f t="shared" si="1"/>
        <v>1.0526315789473717E-2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COUNTIFS(CUSTOMER!G:G,"&lt;="&amp;"2022-05-01",CUSTOMER!H:H,"&gt;"&amp;"2022-05-01",SALE!G:G,"Emaar Square Mall")</f>
        <v>95</v>
      </c>
      <c r="D17" s="41">
        <f>COUNTIFS(CUSTOMER!G:G,"&lt;="&amp;"2022-05-31",CUSTOMER!H:H,"&gt;="&amp;"2022-05-31",SALE!G:G,"Emaar Square Mall")</f>
        <v>95</v>
      </c>
      <c r="E17" s="41">
        <f>COUNTIFS(CUSTOMER!G:G,"&gt;="&amp;"2022-05-01",CUSTOMER!G:G,"&lt;="&amp;"2022-05-31",SALE!G:G,"Emaar Square Mall")</f>
        <v>2</v>
      </c>
      <c r="F17" s="42">
        <f t="shared" si="0"/>
        <v>0.97894736842105268</v>
      </c>
      <c r="G17" s="42">
        <f t="shared" si="1"/>
        <v>2.1052631578947323E-2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COUNTIFS(CUSTOMER!G:G,"&lt;="&amp;"2022-06-01",CUSTOMER!H:H,"&gt;"&amp;"2022-06-01",SALE!G:G,"Emaar Square Mall")</f>
        <v>95</v>
      </c>
      <c r="D18" s="41">
        <f>COUNTIFS(CUSTOMER!G:G,"&lt;="&amp;"2022-06-30",CUSTOMER!H:H,"&gt;="&amp;"2022-06-30",SALE!G:G,"Emaar Square Mall")</f>
        <v>92</v>
      </c>
      <c r="E18" s="41">
        <f>COUNTIFS(CUSTOMER!G:G,"&gt;="&amp;"2022-06-01",CUSTOMER!G:G,"&lt;="&amp;"2022-06-30",SALE!G:G,"Emaar Square Mall")</f>
        <v>0</v>
      </c>
      <c r="F18" s="42">
        <f t="shared" si="0"/>
        <v>0.96842105263157896</v>
      </c>
      <c r="G18" s="42">
        <f t="shared" si="1"/>
        <v>3.157894736842104E-2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COUNTIFS(CUSTOMER!G:G,"&lt;="&amp;"2022-07-01",CUSTOMER!H:H,"&gt;"&amp;"2022-07-01",SALE!G:G,"Emaar Square Mall")</f>
        <v>92</v>
      </c>
      <c r="D19" s="41">
        <f>COUNTIFS(CUSTOMER!G:G,"&lt;="&amp;"2022-07-31",CUSTOMER!H:H,"&gt;="&amp;"2022-07-31",SALE!G:G,"Emaar Square Mall")</f>
        <v>89</v>
      </c>
      <c r="E19" s="41">
        <f>COUNTIFS(CUSTOMER!G:G,"&gt;="&amp;"2022-07-01",CUSTOMER!G:G,"&lt;="&amp;"2022-07-31",SALE!G:G,"Emaar Square Mall")</f>
        <v>0</v>
      </c>
      <c r="F19" s="42">
        <f t="shared" si="0"/>
        <v>0.96739130434782605</v>
      </c>
      <c r="G19" s="42">
        <f t="shared" si="1"/>
        <v>3.2608695652173947E-2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COUNTIFS(CUSTOMER!G:G,"&lt;="&amp;"2022-08-01",CUSTOMER!H:H,"&gt;"&amp;"2022-08-01",SALE!G:G,"Emaar Square Mall")</f>
        <v>88</v>
      </c>
      <c r="D20" s="41">
        <f>COUNTIFS(CUSTOMER!G:G,"&lt;="&amp;"2022-08-31",CUSTOMER!H:H,"&gt;="&amp;"2022-08-31",SALE!G:G,"Emaar Square Mall")</f>
        <v>81</v>
      </c>
      <c r="E20" s="41">
        <f>COUNTIFS(CUSTOMER!G:G,"&gt;="&amp;"2022-08-01",CUSTOMER!G:G,"&lt;="&amp;"2022-08-31",SALE!G:G,"Emaar Square Mall")</f>
        <v>1</v>
      </c>
      <c r="F20" s="42">
        <f t="shared" si="0"/>
        <v>0.90909090909090906</v>
      </c>
      <c r="G20" s="42">
        <f t="shared" si="1"/>
        <v>9.0909090909090939E-2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COUNTIFS(CUSTOMER!G:G,"&lt;="&amp;"2022-09-01",CUSTOMER!H:H,"&gt;"&amp;"2022-09-01",SALE!G:G,"Emaar Square Mall")</f>
        <v>81</v>
      </c>
      <c r="D21" s="41">
        <f>COUNTIFS(CUSTOMER!G:G,"&lt;="&amp;"2022-09-30",CUSTOMER!H:H,"&gt;="&amp;"2022-09-30",SALE!G:G,"Emaar Square Mall")</f>
        <v>72</v>
      </c>
      <c r="E21" s="41">
        <f>COUNTIFS(CUSTOMER!G:G,"&gt;="&amp;"2022-09-01",CUSTOMER!G:G,"&lt;="&amp;"2022-09-30",SALE!G:G,"Emaar Square Mall")</f>
        <v>0</v>
      </c>
      <c r="F21" s="42">
        <f t="shared" si="0"/>
        <v>0.88888888888888884</v>
      </c>
      <c r="G21" s="42">
        <f t="shared" si="1"/>
        <v>0.11111111111111116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COUNTIFS(CUSTOMER!G:G,"&lt;="&amp;"2022-10-01",CUSTOMER!H:H,"&gt;"&amp;"2022-10-01",SALE!G:G,"Emaar Square Mall")</f>
        <v>72</v>
      </c>
      <c r="D22" s="41">
        <f>COUNTIFS(CUSTOMER!G:G,"&lt;="&amp;"2022-10-31",CUSTOMER!H:H,"&gt;="&amp;"2022-10-31",SALE!G:G,"Emaar Square Mall")</f>
        <v>67</v>
      </c>
      <c r="E22" s="41">
        <f>COUNTIFS(CUSTOMER!G:G,"&gt;="&amp;"2022-10-01",CUSTOMER!G:G,"&lt;="&amp;"2022-10-31",SALE!G:G,"Emaar Square Mall")</f>
        <v>2</v>
      </c>
      <c r="F22" s="42">
        <f t="shared" si="0"/>
        <v>0.90277777777777779</v>
      </c>
      <c r="G22" s="42">
        <f t="shared" si="1"/>
        <v>9.722222222222221E-2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COUNTIFS(CUSTOMER!G:G,"&lt;="&amp;"2022-11-01",CUSTOMER!H:H,"&gt;"&amp;"2022-11-01",SALE!G:G,"Emaar Square Mall")</f>
        <v>65</v>
      </c>
      <c r="D23" s="41">
        <f>COUNTIFS(CUSTOMER!G:G,"&lt;="&amp;"2022-11-30",CUSTOMER!H:H,"&gt;="&amp;"2022-11-30",SALE!G:G,"Emaar Square Mall")</f>
        <v>51</v>
      </c>
      <c r="E23" s="41">
        <f>COUNTIFS(CUSTOMER!G:G,"&gt;="&amp;"2022-11-01",CUSTOMER!G:G,"&lt;="&amp;"2022-11-30",SALE!G:G,"Emaar Square Mall")</f>
        <v>0</v>
      </c>
      <c r="F23" s="42">
        <f t="shared" si="0"/>
        <v>0.7846153846153846</v>
      </c>
      <c r="G23" s="42">
        <f t="shared" si="1"/>
        <v>0.2153846153846154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COUNTIFS(CUSTOMER!G:G,"&lt;="&amp;"2022-12-01",CUSTOMER!H:H,"&gt;"&amp;"2022-12-01",SALE!G:G,"Emaar Square Mall")</f>
        <v>51</v>
      </c>
      <c r="D24" s="41">
        <f>COUNTIFS(CUSTOMER!G:G,"&lt;="&amp;"2022-12-31",CUSTOMER!H:H,"&gt;="&amp;"2022-12-31",SALE!G:G,"Emaar Square Mall")</f>
        <v>37</v>
      </c>
      <c r="E24" s="41">
        <f>COUNTIFS(CUSTOMER!G:G,"&gt;="&amp;"2022-12-01",CUSTOMER!G:G,"&lt;="&amp;"2022-12-31",SALE!G:G,"Emaar Square Mall")</f>
        <v>0</v>
      </c>
      <c r="F24" s="42">
        <f t="shared" si="0"/>
        <v>0.72549019607843135</v>
      </c>
      <c r="G24" s="42">
        <f t="shared" si="1"/>
        <v>0.27450980392156865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COUNTIFS(CUSTOMER!G:G,"&lt;="&amp;"2023-01-01",CUSTOMER!H:H,"&gt;"&amp;"2023-01-01",SALE!G:G,"Emaar Square Mall")</f>
        <v>37</v>
      </c>
      <c r="D25" s="31">
        <f>COUNTIFS(CUSTOMER!G:G,"&lt;="&amp;"2023-01-31",CUSTOMER!H:H,"&gt;="&amp;"2023-01-31",SALE!G:G,"Emaar Square Mall")</f>
        <v>23</v>
      </c>
      <c r="E25" s="31">
        <f>COUNTIFS(CUSTOMER!G:G,"&gt;="&amp;"2023-01-01",CUSTOMER!G:G,"&lt;="&amp;"2023-01-31",SALE!G:G,"Emaar Square Mall")</f>
        <v>0</v>
      </c>
      <c r="F25" s="44">
        <f t="shared" si="0"/>
        <v>0.6216216216216216</v>
      </c>
      <c r="G25" s="51">
        <f t="shared" si="1"/>
        <v>0.3783783783783784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COUNTIFS(CUSTOMER!G:G,"&lt;="&amp;"2023-02-01",CUSTOMER!H:H,"&gt;"&amp;"2023-02-01",SALE!G:G,"Emaar Square Mall")</f>
        <v>22</v>
      </c>
      <c r="D26" s="31">
        <f>COUNTIFS(CUSTOMER!G:G,"&lt;="&amp;"2023-02-28",CUSTOMER!H:H,"&gt;="&amp;"2023-02-28",SALE!G:G,"Emaar Square Mall")</f>
        <v>9</v>
      </c>
      <c r="E26" s="31">
        <f>COUNTIFS(CUSTOMER!G:G,"&gt;="&amp;"2023-02-01",CUSTOMER!G:G,"&lt;="&amp;"2023-02-28",SALE!G:G,"Emaar Square Mall")</f>
        <v>0</v>
      </c>
      <c r="F26" s="44">
        <f t="shared" si="0"/>
        <v>0.40909090909090912</v>
      </c>
      <c r="G26" s="51">
        <f t="shared" si="1"/>
        <v>0.59090909090909083</v>
      </c>
    </row>
    <row r="27" spans="1:7" x14ac:dyDescent="0.3">
      <c r="A27" s="37"/>
      <c r="F27" s="54">
        <f>AVERAGE(F2:F26)</f>
        <v>0.92032617743344103</v>
      </c>
      <c r="G27" s="30">
        <f t="shared" si="1"/>
        <v>7.9673822566558972E-2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07CC-935F-4564-A7A8-16690609169E}">
  <dimension ref="A1:I39"/>
  <sheetViews>
    <sheetView topLeftCell="A10" workbookViewId="0">
      <selection activeCell="F27" sqref="F27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SALE!G:G,"Forum Istanbul")</f>
        <v>15</v>
      </c>
      <c r="D2" s="39">
        <f>COUNTIFS(CUSTOMER!G:G,"&lt;="&amp;"2021-02-28",CUSTOMER!H:H,"&gt;="&amp;"2021-02-28",SALE!G:G,"Forum Istanbul")</f>
        <v>24</v>
      </c>
      <c r="E2" s="39">
        <f>COUNTIFS(CUSTOMER!G:G,"&gt;="&amp;"2021-02-01",CUSTOMER!G:G,"&lt;="&amp;"2021-02-28",SALE!G:G,"Forum Istanbul")</f>
        <v>9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SALE!G:G,"Forum Istanbul")</f>
        <v>24</v>
      </c>
      <c r="D3" s="39">
        <f>COUNTIFS(CUSTOMER!G:G,"&lt;="&amp;"2021-03-31",CUSTOMER!H:H,"&gt;="&amp;"2021-03-31",SALE!G:G,"Forum Istanbul")</f>
        <v>40</v>
      </c>
      <c r="E3" s="39">
        <f>COUNTIFS(CUSTOMER!G:G,"&gt;="&amp;"2021-03-01",CUSTOMER!G:G,"&lt;="&amp;"2021-03-31",SALE!G:G,"Forum Istanbul")</f>
        <v>16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COUNTIFS(CUSTOMER!G:G,"&lt;="&amp;"2021-04-01",CUSTOMER!H:H,"&gt;"&amp;"2021-04-01",SALE!G:G,"Forum Istanbul")</f>
        <v>40</v>
      </c>
      <c r="D4" s="39">
        <f>COUNTIFS(CUSTOMER!G:G,"&lt;="&amp;"2021-04-30",CUSTOMER!H:H,"&gt;="&amp;"2021-04-30",SALE!G:G,"Forum Istanbul")</f>
        <v>53</v>
      </c>
      <c r="E4" s="39">
        <f>COUNTIFS(CUSTOMER!G:G,"&gt;="&amp;"2021-04-01",CUSTOMER!G:G,"&lt;="&amp;"2021-04-30",SALE!G:G,"Forum Istanbul")</f>
        <v>13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COUNTIFS(CUSTOMER!G:G,"&lt;="&amp;"2021-05-01",CUSTOMER!H:H,"&gt;"&amp;"2021-05-01",SALE!G:G,"Forum Istanbul")</f>
        <v>53</v>
      </c>
      <c r="D5" s="39">
        <f>COUNTIFS(CUSTOMER!G:G,"&lt;="&amp;"2021-05-31",CUSTOMER!H:H,"&gt;="&amp;"2021-05-31",SALE!G:G,"Forum Istanbul")</f>
        <v>59</v>
      </c>
      <c r="E5" s="39">
        <f>COUNTIFS(CUSTOMER!G:G,"&gt;="&amp;"2021-05-01",CUSTOMER!G:G,"&lt;="&amp;"2021-05-31",SALE!G:G,"Forum Istanbul")</f>
        <v>6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COUNTIFS(CUSTOMER!G:G,"&lt;="&amp;"2021-06-01",CUSTOMER!H:H,"&gt;"&amp;"2021-06-01",SALE!G:G,"Forum Istanbul")</f>
        <v>59</v>
      </c>
      <c r="D6" s="39">
        <f>COUNTIFS(CUSTOMER!G:G,"&lt;="&amp;"2021-06-30",CUSTOMER!H:H,"&gt;="&amp;"2021-06-30",SALE!G:G,"Forum Istanbul")</f>
        <v>65</v>
      </c>
      <c r="E6" s="39">
        <f>COUNTIFS(CUSTOMER!G:G,"&gt;="&amp;"2021-06-01",CUSTOMER!G:G,"&lt;="&amp;"2021-06-30",SALE!G:G,"Forum Istanbul")</f>
        <v>6</v>
      </c>
      <c r="F6" s="40">
        <f t="shared" si="0"/>
        <v>1</v>
      </c>
      <c r="G6" s="40">
        <f t="shared" si="1"/>
        <v>0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COUNTIFS(CUSTOMER!G:G,"&lt;="&amp;"2021-07-01",CUSTOMER!H:H,"&gt;"&amp;"2021-07-01",SALE!G:G,"Forum Istanbul")</f>
        <v>65</v>
      </c>
      <c r="D7" s="39">
        <f>COUNTIFS(CUSTOMER!G:G,"&lt;="&amp;"2021-07-31",CUSTOMER!H:H,"&gt;="&amp;"2021-07-31",SALE!G:G,"Forum Istanbul")</f>
        <v>70</v>
      </c>
      <c r="E7" s="39">
        <f>COUNTIFS(CUSTOMER!G:G,"&gt;="&amp;"2021-07-01",CUSTOMER!G:G,"&lt;="&amp;"2021-07-31",SALE!G:G,"Forum Istanbul")</f>
        <v>6</v>
      </c>
      <c r="F7" s="40">
        <f t="shared" si="0"/>
        <v>0.98461538461538467</v>
      </c>
      <c r="G7" s="40">
        <f t="shared" si="1"/>
        <v>1.538461538461533E-2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COUNTIFS(CUSTOMER!G:G,"&lt;="&amp;"2021-08-01",CUSTOMER!H:H,"&gt;"&amp;"2021-08-01",SALE!G:G,"Forum Istanbul")</f>
        <v>70</v>
      </c>
      <c r="D8" s="39">
        <f>COUNTIFS(CUSTOMER!G:G,"&lt;="&amp;"2021-08-31",CUSTOMER!H:H,"&gt;="&amp;"2021-08-31",SALE!G:G,"Forum Istanbul")</f>
        <v>74</v>
      </c>
      <c r="E8" s="39">
        <f>COUNTIFS(CUSTOMER!G:G,"&gt;="&amp;"2021-08-01",CUSTOMER!G:G,"&lt;="&amp;"2021-08-31",SALE!G:G,"Forum Istanbul")</f>
        <v>4</v>
      </c>
      <c r="F8" s="40">
        <f t="shared" si="0"/>
        <v>1</v>
      </c>
      <c r="G8" s="40">
        <f t="shared" si="1"/>
        <v>0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COUNTIFS(CUSTOMER!G:G,"&lt;="&amp;"2021-09-01",CUSTOMER!H:H,"&gt;"&amp;"2021-09-01",SALE!G:G,"Forum Istanbul")</f>
        <v>74</v>
      </c>
      <c r="D9" s="39">
        <f>COUNTIFS(CUSTOMER!G:G,"&lt;="&amp;"2021-09-30",CUSTOMER!H:H,"&gt;="&amp;"2021-09-30",SALE!G:G,"Forum Istanbul")</f>
        <v>77</v>
      </c>
      <c r="E9" s="39">
        <f>COUNTIFS(CUSTOMER!G:G,"&gt;="&amp;"2021-09-01",CUSTOMER!G:G,"&lt;="&amp;"2021-09-30",SALE!G:G,"Forum Istanbul")</f>
        <v>4</v>
      </c>
      <c r="F9" s="40">
        <f t="shared" si="0"/>
        <v>0.98648648648648651</v>
      </c>
      <c r="G9" s="40">
        <f t="shared" si="1"/>
        <v>1.3513513513513487E-2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COUNTIFS(CUSTOMER!G:G,"&lt;="&amp;"2021-10-01",CUSTOMER!H:H,"&gt;"&amp;"2021-10-01",SALE!G:G,"Forum Istanbul")</f>
        <v>77</v>
      </c>
      <c r="D10" s="39">
        <f>COUNTIFS(CUSTOMER!G:G,"&lt;="&amp;"2021-10-31",CUSTOMER!H:H,"&gt;="&amp;"2021-10-31",SALE!G:G,"Forum Istanbul")</f>
        <v>83</v>
      </c>
      <c r="E10" s="39">
        <f>COUNTIFS(CUSTOMER!G:G,"&gt;="&amp;"2021-10-01",CUSTOMER!G:G,"&lt;="&amp;"2021-10-31",SALE!G:G,"Forum Istanbul")</f>
        <v>6</v>
      </c>
      <c r="F10" s="40">
        <f t="shared" si="0"/>
        <v>1</v>
      </c>
      <c r="G10" s="40">
        <f t="shared" si="1"/>
        <v>0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COUNTIFS(CUSTOMER!G:G,"&lt;="&amp;"2021-11-01",CUSTOMER!H:H,"&gt;"&amp;"2021-11-01",SALE!G:G,"Forum Istanbul")</f>
        <v>83</v>
      </c>
      <c r="D11" s="39">
        <f>COUNTIFS(CUSTOMER!G:G,"&lt;="&amp;"2021-11-30",CUSTOMER!H:H,"&gt;="&amp;"2021-11-30",SALE!G:G,"Forum Istanbul")</f>
        <v>86</v>
      </c>
      <c r="E11" s="39">
        <f>COUNTIFS(CUSTOMER!G:G,"&gt;="&amp;"2021-11-01",CUSTOMER!G:G,"&lt;="&amp;"2021-11-30",SALE!G:G,"Forum Istanbul")</f>
        <v>3</v>
      </c>
      <c r="F11" s="40">
        <f t="shared" si="0"/>
        <v>1</v>
      </c>
      <c r="G11" s="40">
        <f t="shared" si="1"/>
        <v>0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COUNTIFS(CUSTOMER!G:G,"&lt;="&amp;"2021-12-01",CUSTOMER!H:H,"&gt;"&amp;"2021-12-01",SALE!G:G,"Forum Istanbul")</f>
        <v>86</v>
      </c>
      <c r="D12" s="39">
        <f>COUNTIFS(CUSTOMER!G:G,"&lt;="&amp;"2021-12-31",CUSTOMER!H:H,"&gt;="&amp;"2021-12-31",SALE!G:G,"Forum Istanbul")</f>
        <v>88</v>
      </c>
      <c r="E12" s="39">
        <f>COUNTIFS(CUSTOMER!G:G,"&gt;="&amp;"2021-12-01",CUSTOMER!G:G,"&lt;="&amp;"2021-12-31",SALE!G:G,"Forum Istanbul")</f>
        <v>2</v>
      </c>
      <c r="F12" s="40">
        <f t="shared" si="0"/>
        <v>1</v>
      </c>
      <c r="G12" s="40">
        <f t="shared" si="1"/>
        <v>0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COUNTIFS(CUSTOMER!G:G,"&lt;="&amp;"2022-01-01",CUSTOMER!H:H,"&gt;"&amp;"2022-01-01",SALE!G:G,"Forum Istanbul")</f>
        <v>88</v>
      </c>
      <c r="D13" s="41">
        <f>COUNTIFS(CUSTOMER!G:G,"&lt;="&amp;"2022-01-31",CUSTOMER!H:H,"&gt;="&amp;"2022-01-31",SALE!G:G,"Forum Istanbul")</f>
        <v>92</v>
      </c>
      <c r="E13" s="41">
        <f>COUNTIFS(CUSTOMER!G:G,"&gt;="&amp;"2022-01-01",CUSTOMER!G:G,"&lt;="&amp;"2022-01-31",SALE!G:G,"Forum Istanbul")</f>
        <v>4</v>
      </c>
      <c r="F13" s="42">
        <f t="shared" si="0"/>
        <v>1</v>
      </c>
      <c r="G13" s="42">
        <f t="shared" si="1"/>
        <v>0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COUNTIFS(CUSTOMER!G:G,"&lt;="&amp;"2022-02-01",CUSTOMER!H:H,"&gt;"&amp;"2022-02-01",SALE!G:G,"Forum Istanbul")</f>
        <v>92</v>
      </c>
      <c r="D14" s="41">
        <f>COUNTIFS(CUSTOMER!G:G,"&lt;="&amp;"2022-02-28",CUSTOMER!H:H,"&gt;="&amp;"2022-02-28",SALE!G:G,"Forum Istanbul")</f>
        <v>95</v>
      </c>
      <c r="E14" s="41">
        <f>COUNTIFS(CUSTOMER!G:G,"&gt;="&amp;"2022-02-01",CUSTOMER!G:G,"&lt;="&amp;"2022-02-28",SALE!G:G,"Forum Istanbul")</f>
        <v>6</v>
      </c>
      <c r="F14" s="42">
        <f t="shared" si="0"/>
        <v>0.96739130434782605</v>
      </c>
      <c r="G14" s="42">
        <f t="shared" si="1"/>
        <v>3.2608695652173947E-2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COUNTIFS(CUSTOMER!G:G,"&lt;="&amp;"2022-03-01",CUSTOMER!H:H,"&gt;"&amp;"2022-03-01",SALE!G:G,"Forum Istanbul")</f>
        <v>95</v>
      </c>
      <c r="D15" s="41">
        <f>COUNTIFS(CUSTOMER!G:G,"&lt;="&amp;"2022-03-31",CUSTOMER!H:H,"&gt;="&amp;"2022-03-31",SALE!G:G,"Forum Istanbul")</f>
        <v>94</v>
      </c>
      <c r="E15" s="41">
        <f>COUNTIFS(CUSTOMER!G:G,"&gt;="&amp;"2022-03-01",CUSTOMER!G:G,"&lt;="&amp;"2022-03-31",SALE!G:G,"Forum Istanbul")</f>
        <v>0</v>
      </c>
      <c r="F15" s="42">
        <f t="shared" si="0"/>
        <v>0.98947368421052628</v>
      </c>
      <c r="G15" s="42">
        <f t="shared" si="1"/>
        <v>1.0526315789473717E-2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COUNTIFS(CUSTOMER!G:G,"&lt;="&amp;"2022-04-01",CUSTOMER!H:H,"&gt;"&amp;"2022-04-01",SALE!G:G,"Forum Istanbul")</f>
        <v>94</v>
      </c>
      <c r="D16" s="41">
        <f>COUNTIFS(CUSTOMER!G:G,"&lt;="&amp;"2022-04-30",CUSTOMER!H:H,"&gt;="&amp;"2022-04-30",SALE!G:G,"Forum Istanbul")</f>
        <v>93</v>
      </c>
      <c r="E16" s="41">
        <f>COUNTIFS(CUSTOMER!G:G,"&gt;="&amp;"2022-04-01",CUSTOMER!G:G,"&lt;="&amp;"2022-04-30",SALE!G:G,"Forum Istanbul")</f>
        <v>1</v>
      </c>
      <c r="F16" s="42">
        <f t="shared" si="0"/>
        <v>0.97872340425531912</v>
      </c>
      <c r="G16" s="42">
        <f t="shared" si="1"/>
        <v>2.1276595744680882E-2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COUNTIFS(CUSTOMER!G:G,"&lt;="&amp;"2022-05-01",CUSTOMER!H:H,"&gt;"&amp;"2022-05-01",SALE!G:G,"Forum Istanbul")</f>
        <v>93</v>
      </c>
      <c r="D17" s="41">
        <f>COUNTIFS(CUSTOMER!G:G,"&lt;="&amp;"2022-05-31",CUSTOMER!H:H,"&gt;="&amp;"2022-05-31",SALE!G:G,"Forum Istanbul")</f>
        <v>92</v>
      </c>
      <c r="E17" s="41">
        <f>COUNTIFS(CUSTOMER!G:G,"&gt;="&amp;"2022-05-01",CUSTOMER!G:G,"&lt;="&amp;"2022-05-31",SALE!G:G,"Forum Istanbul")</f>
        <v>1</v>
      </c>
      <c r="F17" s="42">
        <f t="shared" si="0"/>
        <v>0.978494623655914</v>
      </c>
      <c r="G17" s="42">
        <f t="shared" si="1"/>
        <v>2.1505376344086002E-2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COUNTIFS(CUSTOMER!G:G,"&lt;="&amp;"2022-06-01",CUSTOMER!H:H,"&gt;"&amp;"2022-06-01",SALE!G:G,"Forum Istanbul")</f>
        <v>92</v>
      </c>
      <c r="D18" s="41">
        <f>COUNTIFS(CUSTOMER!G:G,"&lt;="&amp;"2022-06-30",CUSTOMER!H:H,"&gt;="&amp;"2022-06-30",SALE!G:G,"Forum Istanbul")</f>
        <v>88</v>
      </c>
      <c r="E18" s="41">
        <f>COUNTIFS(CUSTOMER!G:G,"&gt;="&amp;"2022-06-01",CUSTOMER!G:G,"&lt;="&amp;"2022-06-30",SALE!G:G,"Forum Istanbul")</f>
        <v>0</v>
      </c>
      <c r="F18" s="42">
        <f t="shared" si="0"/>
        <v>0.95652173913043481</v>
      </c>
      <c r="G18" s="42">
        <f t="shared" si="1"/>
        <v>4.3478260869565188E-2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COUNTIFS(CUSTOMER!G:G,"&lt;="&amp;"2022-07-01",CUSTOMER!H:H,"&gt;"&amp;"2022-07-01",SALE!G:G,"Forum Istanbul")</f>
        <v>87</v>
      </c>
      <c r="D19" s="41">
        <f>COUNTIFS(CUSTOMER!G:G,"&lt;="&amp;"2022-07-31",CUSTOMER!H:H,"&gt;="&amp;"2022-07-31",SALE!G:G,"Forum Istanbul")</f>
        <v>82</v>
      </c>
      <c r="E19" s="41">
        <f>COUNTIFS(CUSTOMER!G:G,"&gt;="&amp;"2022-07-01",CUSTOMER!G:G,"&lt;="&amp;"2022-07-31",SALE!G:G,"Forum Istanbul")</f>
        <v>0</v>
      </c>
      <c r="F19" s="42">
        <f t="shared" si="0"/>
        <v>0.94252873563218387</v>
      </c>
      <c r="G19" s="42">
        <f t="shared" si="1"/>
        <v>5.7471264367816133E-2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COUNTIFS(CUSTOMER!G:G,"&lt;="&amp;"2022-08-01",CUSTOMER!H:H,"&gt;"&amp;"2022-08-01",SALE!G:G,"Forum Istanbul")</f>
        <v>82</v>
      </c>
      <c r="D20" s="41">
        <f>COUNTIFS(CUSTOMER!G:G,"&lt;="&amp;"2022-08-31",CUSTOMER!H:H,"&gt;="&amp;"2022-08-31",SALE!G:G,"Forum Istanbul")</f>
        <v>79</v>
      </c>
      <c r="E20" s="41">
        <f>COUNTIFS(CUSTOMER!G:G,"&gt;="&amp;"2022-08-01",CUSTOMER!G:G,"&lt;="&amp;"2022-08-31",SALE!G:G,"Forum Istanbul")</f>
        <v>2</v>
      </c>
      <c r="F20" s="42">
        <f t="shared" si="0"/>
        <v>0.93902439024390238</v>
      </c>
      <c r="G20" s="42">
        <f t="shared" si="1"/>
        <v>6.0975609756097615E-2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COUNTIFS(CUSTOMER!G:G,"&lt;="&amp;"2022-09-01",CUSTOMER!H:H,"&gt;"&amp;"2022-09-01",SALE!G:G,"Forum Istanbul")</f>
        <v>79</v>
      </c>
      <c r="D21" s="41">
        <f>COUNTIFS(CUSTOMER!G:G,"&lt;="&amp;"2022-09-30",CUSTOMER!H:H,"&gt;="&amp;"2022-09-30",SALE!G:G,"Forum Istanbul")</f>
        <v>72</v>
      </c>
      <c r="E21" s="41">
        <f>COUNTIFS(CUSTOMER!G:G,"&gt;="&amp;"2022-09-01",CUSTOMER!G:G,"&lt;="&amp;"2022-09-30",SALE!G:G,"Forum Istanbul")</f>
        <v>0</v>
      </c>
      <c r="F21" s="42">
        <f t="shared" si="0"/>
        <v>0.91139240506329111</v>
      </c>
      <c r="G21" s="42">
        <f t="shared" si="1"/>
        <v>8.8607594936708889E-2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COUNTIFS(CUSTOMER!G:G,"&lt;="&amp;"2022-10-01",CUSTOMER!H:H,"&gt;"&amp;"2022-10-01",SALE!G:G,"Forum Istanbul")</f>
        <v>72</v>
      </c>
      <c r="D22" s="41">
        <f>COUNTIFS(CUSTOMER!G:G,"&lt;="&amp;"2022-10-31",CUSTOMER!H:H,"&gt;="&amp;"2022-10-31",SALE!G:G,"Forum Istanbul")</f>
        <v>62</v>
      </c>
      <c r="E22" s="41">
        <f>COUNTIFS(CUSTOMER!G:G,"&gt;="&amp;"2022-10-01",CUSTOMER!G:G,"&lt;="&amp;"2022-10-31",SALE!G:G,"Forum Istanbul")</f>
        <v>0</v>
      </c>
      <c r="F22" s="42">
        <f t="shared" si="0"/>
        <v>0.86111111111111116</v>
      </c>
      <c r="G22" s="42">
        <f t="shared" si="1"/>
        <v>0.13888888888888884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COUNTIFS(CUSTOMER!G:G,"&lt;="&amp;"2022-11-01",CUSTOMER!H:H,"&gt;"&amp;"2022-11-01",SALE!G:G,"Forum Istanbul")</f>
        <v>61</v>
      </c>
      <c r="D23" s="41">
        <f>COUNTIFS(CUSTOMER!G:G,"&lt;="&amp;"2022-11-30",CUSTOMER!H:H,"&gt;="&amp;"2022-11-30",SALE!G:G,"Forum Istanbul")</f>
        <v>50</v>
      </c>
      <c r="E23" s="41">
        <f>COUNTIFS(CUSTOMER!G:G,"&gt;="&amp;"2022-11-01",CUSTOMER!G:G,"&lt;="&amp;"2022-11-30",SALE!G:G,"Forum Istanbul")</f>
        <v>0</v>
      </c>
      <c r="F23" s="42">
        <f t="shared" si="0"/>
        <v>0.81967213114754101</v>
      </c>
      <c r="G23" s="42">
        <f t="shared" si="1"/>
        <v>0.18032786885245899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COUNTIFS(CUSTOMER!G:G,"&lt;="&amp;"2022-12-01",CUSTOMER!H:H,"&gt;"&amp;"2022-12-01",SALE!G:G,"Forum Istanbul")</f>
        <v>50</v>
      </c>
      <c r="D24" s="41">
        <f>COUNTIFS(CUSTOMER!G:G,"&lt;="&amp;"2022-12-31",CUSTOMER!H:H,"&gt;="&amp;"2022-12-31",SALE!G:G,"Forum Istanbul")</f>
        <v>34</v>
      </c>
      <c r="E24" s="41">
        <f>COUNTIFS(CUSTOMER!G:G,"&gt;="&amp;"2022-12-01",CUSTOMER!G:G,"&lt;="&amp;"2022-12-31",SALE!G:G,"Forum Istanbul")</f>
        <v>1</v>
      </c>
      <c r="F24" s="42">
        <f t="shared" si="0"/>
        <v>0.66</v>
      </c>
      <c r="G24" s="42">
        <f t="shared" si="1"/>
        <v>0.33999999999999997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COUNTIFS(CUSTOMER!G:G,"&lt;="&amp;"2023-01-01",CUSTOMER!H:H,"&gt;"&amp;"2023-01-01",SALE!G:G,"Forum Istanbul")</f>
        <v>32</v>
      </c>
      <c r="D25" s="31">
        <f>COUNTIFS(CUSTOMER!G:G,"&lt;="&amp;"2023-01-31",CUSTOMER!H:H,"&gt;="&amp;"2023-01-31",SALE!G:G,"Forum Istanbul")</f>
        <v>19</v>
      </c>
      <c r="E25" s="31">
        <f>COUNTIFS(CUSTOMER!G:G,"&gt;="&amp;"2023-01-01",CUSTOMER!G:G,"&lt;="&amp;"2023-01-31",SALE!G:G,"Forum Istanbul")</f>
        <v>0</v>
      </c>
      <c r="F25" s="44">
        <f t="shared" si="0"/>
        <v>0.59375</v>
      </c>
      <c r="G25" s="51">
        <f t="shared" si="1"/>
        <v>0.40625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COUNTIFS(CUSTOMER!G:G,"&lt;="&amp;"2023-02-01",CUSTOMER!H:H,"&gt;"&amp;"2023-02-01",SALE!G:G,"Forum Istanbul")</f>
        <v>19</v>
      </c>
      <c r="D26" s="31">
        <f>COUNTIFS(CUSTOMER!G:G,"&lt;="&amp;"2023-02-28",CUSTOMER!H:H,"&gt;="&amp;"2023-02-28",SALE!G:G,"Forum Istanbul")</f>
        <v>10</v>
      </c>
      <c r="E26" s="31">
        <f>COUNTIFS(CUSTOMER!G:G,"&gt;="&amp;"2023-02-01",CUSTOMER!G:G,"&lt;="&amp;"2023-02-28",SALE!G:G,"Forum Istanbul")</f>
        <v>0</v>
      </c>
      <c r="F26" s="44">
        <f t="shared" si="0"/>
        <v>0.52631578947368418</v>
      </c>
      <c r="G26" s="51">
        <f t="shared" si="1"/>
        <v>0.47368421052631582</v>
      </c>
    </row>
    <row r="27" spans="1:7" x14ac:dyDescent="0.3">
      <c r="A27" s="37"/>
      <c r="F27" s="54">
        <f>AVERAGE(F2:F26)</f>
        <v>0.92382004757494429</v>
      </c>
      <c r="G27" s="30">
        <f t="shared" si="1"/>
        <v>7.6179952425055708E-2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C785-A676-4015-8011-BFF0AB27364E}">
  <dimension ref="A1:I39"/>
  <sheetViews>
    <sheetView topLeftCell="A11" workbookViewId="0">
      <selection activeCell="F27" sqref="F27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SALE!G:G,"Istinye Park")</f>
        <v>37</v>
      </c>
      <c r="D2" s="39">
        <f>COUNTIFS(CUSTOMER!G:G,"&lt;="&amp;"2021-02-28",CUSTOMER!H:H,"&gt;="&amp;"2021-02-28",SALE!G:G,"Istinye Park")</f>
        <v>62</v>
      </c>
      <c r="E2" s="39">
        <f>COUNTIFS(CUSTOMER!G:G,"&gt;="&amp;"2021-02-01",CUSTOMER!G:G,"&lt;="&amp;"2021-02-28",SALE!G:G,"Istinye Park")</f>
        <v>27</v>
      </c>
      <c r="F2" s="40">
        <f>((D2-E2)*100%)/C2</f>
        <v>0.94594594594594594</v>
      </c>
      <c r="G2" s="40">
        <f>1-F2</f>
        <v>5.4054054054054057E-2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SALE!G:G,"Istinye Park")</f>
        <v>62</v>
      </c>
      <c r="D3" s="39">
        <f>COUNTIFS(CUSTOMER!G:G,"&lt;="&amp;"2021-03-31",CUSTOMER!H:H,"&gt;="&amp;"2021-03-31",SALE!G:G,"Istinye Park")</f>
        <v>77</v>
      </c>
      <c r="E3" s="39">
        <f>COUNTIFS(CUSTOMER!G:G,"&gt;="&amp;"2021-03-01",CUSTOMER!G:G,"&lt;="&amp;"2021-03-31",SALE!G:G,"Istinye Park")</f>
        <v>15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COUNTIFS(CUSTOMER!G:G,"&lt;="&amp;"2021-04-01",CUSTOMER!H:H,"&gt;"&amp;"2021-04-01",SALE!G:G,"Istinye Park")</f>
        <v>77</v>
      </c>
      <c r="D4" s="39">
        <f>COUNTIFS(CUSTOMER!G:G,"&lt;="&amp;"2021-04-30",CUSTOMER!H:H,"&gt;="&amp;"2021-04-30",SALE!G:G,"Istinye Park")</f>
        <v>84</v>
      </c>
      <c r="E4" s="39">
        <f>COUNTIFS(CUSTOMER!G:G,"&gt;="&amp;"2021-04-01",CUSTOMER!G:G,"&lt;="&amp;"2021-04-30",SALE!G:G,"Istinye Park")</f>
        <v>8</v>
      </c>
      <c r="F4" s="40">
        <f t="shared" si="0"/>
        <v>0.98701298701298701</v>
      </c>
      <c r="G4" s="40">
        <f t="shared" si="1"/>
        <v>1.2987012987012991E-2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COUNTIFS(CUSTOMER!G:G,"&lt;="&amp;"2021-05-01",CUSTOMER!H:H,"&gt;"&amp;"2021-05-01",SALE!G:G,"Istinye Park")</f>
        <v>84</v>
      </c>
      <c r="D5" s="39">
        <f>COUNTIFS(CUSTOMER!G:G,"&lt;="&amp;"2021-05-31",CUSTOMER!H:H,"&gt;="&amp;"2021-05-31",SALE!G:G,"Istinye Park")</f>
        <v>100</v>
      </c>
      <c r="E5" s="39">
        <f>COUNTIFS(CUSTOMER!G:G,"&gt;="&amp;"2021-05-01",CUSTOMER!G:G,"&lt;="&amp;"2021-05-31",SALE!G:G,"Istinye Park")</f>
        <v>16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COUNTIFS(CUSTOMER!G:G,"&lt;="&amp;"2021-06-01",CUSTOMER!H:H,"&gt;"&amp;"2021-06-01",SALE!G:G,"Istinye Park")</f>
        <v>102</v>
      </c>
      <c r="D6" s="39">
        <f>COUNTIFS(CUSTOMER!G:G,"&lt;="&amp;"2021-06-30",CUSTOMER!H:H,"&gt;="&amp;"2021-06-30",SALE!G:G,"Istinye Park")</f>
        <v>113</v>
      </c>
      <c r="E6" s="39">
        <f>COUNTIFS(CUSTOMER!G:G,"&gt;="&amp;"2021-06-01",CUSTOMER!G:G,"&lt;="&amp;"2021-06-30",SALE!G:G,"Istinye Park")</f>
        <v>15</v>
      </c>
      <c r="F6" s="40">
        <f t="shared" si="0"/>
        <v>0.96078431372549022</v>
      </c>
      <c r="G6" s="40">
        <f t="shared" si="1"/>
        <v>3.9215686274509776E-2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COUNTIFS(CUSTOMER!G:G,"&lt;="&amp;"2021-07-01",CUSTOMER!H:H,"&gt;"&amp;"2021-07-01",SALE!G:G,"Istinye Park")</f>
        <v>114</v>
      </c>
      <c r="D7" s="39">
        <f>COUNTIFS(CUSTOMER!G:G,"&lt;="&amp;"2021-07-31",CUSTOMER!H:H,"&gt;="&amp;"2021-07-31",SALE!G:G,"Istinye Park")</f>
        <v>127</v>
      </c>
      <c r="E7" s="39">
        <f>COUNTIFS(CUSTOMER!G:G,"&gt;="&amp;"2021-07-01",CUSTOMER!G:G,"&lt;="&amp;"2021-07-31",SALE!G:G,"Istinye Park")</f>
        <v>14</v>
      </c>
      <c r="F7" s="40">
        <f t="shared" si="0"/>
        <v>0.99122807017543857</v>
      </c>
      <c r="G7" s="40">
        <f t="shared" si="1"/>
        <v>8.7719298245614308E-3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COUNTIFS(CUSTOMER!G:G,"&lt;="&amp;"2021-08-01",CUSTOMER!H:H,"&gt;"&amp;"2021-08-01",SALE!G:G,"Istinye Park")</f>
        <v>127</v>
      </c>
      <c r="D8" s="39">
        <f>COUNTIFS(CUSTOMER!G:G,"&lt;="&amp;"2021-08-31",CUSTOMER!H:H,"&gt;="&amp;"2021-08-31",SALE!G:G,"Istinye Park")</f>
        <v>137</v>
      </c>
      <c r="E8" s="39">
        <f>COUNTIFS(CUSTOMER!G:G,"&gt;="&amp;"2021-08-01",CUSTOMER!G:G,"&lt;="&amp;"2021-08-31",SALE!G:G,"Istinye Park")</f>
        <v>10</v>
      </c>
      <c r="F8" s="40">
        <f t="shared" si="0"/>
        <v>1</v>
      </c>
      <c r="G8" s="40">
        <f t="shared" si="1"/>
        <v>0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COUNTIFS(CUSTOMER!G:G,"&lt;="&amp;"2021-09-01",CUSTOMER!H:H,"&gt;"&amp;"2021-09-01",SALE!G:G,"Istinye Park")</f>
        <v>137</v>
      </c>
      <c r="D9" s="39">
        <f>COUNTIFS(CUSTOMER!G:G,"&lt;="&amp;"2021-09-30",CUSTOMER!H:H,"&gt;="&amp;"2021-09-30",SALE!G:G,"Istinye Park")</f>
        <v>149</v>
      </c>
      <c r="E9" s="39">
        <f>COUNTIFS(CUSTOMER!G:G,"&gt;="&amp;"2021-09-01",CUSTOMER!G:G,"&lt;="&amp;"2021-09-30",SALE!G:G,"Istinye Park")</f>
        <v>12</v>
      </c>
      <c r="F9" s="40">
        <f t="shared" si="0"/>
        <v>1</v>
      </c>
      <c r="G9" s="40">
        <f t="shared" si="1"/>
        <v>0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COUNTIFS(CUSTOMER!G:G,"&lt;="&amp;"2021-10-01",CUSTOMER!H:H,"&gt;"&amp;"2021-10-01",SALE!G:G,"Istinye Park")</f>
        <v>149</v>
      </c>
      <c r="D10" s="39">
        <f>COUNTIFS(CUSTOMER!G:G,"&lt;="&amp;"2021-10-31",CUSTOMER!H:H,"&gt;="&amp;"2021-10-31",SALE!G:G,"Istinye Park")</f>
        <v>149</v>
      </c>
      <c r="E10" s="39">
        <f>COUNTIFS(CUSTOMER!G:G,"&gt;="&amp;"2021-10-01",CUSTOMER!G:G,"&lt;="&amp;"2021-10-31",SALE!G:G,"Istinye Park")</f>
        <v>2</v>
      </c>
      <c r="F10" s="40">
        <f t="shared" si="0"/>
        <v>0.98657718120805371</v>
      </c>
      <c r="G10" s="40">
        <f t="shared" si="1"/>
        <v>1.3422818791946289E-2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COUNTIFS(CUSTOMER!G:G,"&lt;="&amp;"2021-11-01",CUSTOMER!H:H,"&gt;"&amp;"2021-11-01",SALE!G:G,"Istinye Park")</f>
        <v>149</v>
      </c>
      <c r="D11" s="39">
        <f>COUNTIFS(CUSTOMER!G:G,"&lt;="&amp;"2021-11-30",CUSTOMER!H:H,"&gt;="&amp;"2021-11-30",SALE!G:G,"Istinye Park")</f>
        <v>150</v>
      </c>
      <c r="E11" s="39">
        <f>COUNTIFS(CUSTOMER!G:G,"&gt;="&amp;"2021-11-01",CUSTOMER!G:G,"&lt;="&amp;"2021-11-30",SALE!G:G,"Istinye Park")</f>
        <v>1</v>
      </c>
      <c r="F11" s="40">
        <f t="shared" si="0"/>
        <v>1</v>
      </c>
      <c r="G11" s="40">
        <f t="shared" si="1"/>
        <v>0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COUNTIFS(CUSTOMER!G:G,"&lt;="&amp;"2021-12-01",CUSTOMER!H:H,"&gt;"&amp;"2021-12-01",SALE!G:G,"Istinye Park")</f>
        <v>150</v>
      </c>
      <c r="D12" s="39">
        <f>COUNTIFS(CUSTOMER!G:G,"&lt;="&amp;"2021-12-31",CUSTOMER!H:H,"&gt;="&amp;"2021-12-31",SALE!G:G,"Istinye Park")</f>
        <v>155</v>
      </c>
      <c r="E12" s="39">
        <f>COUNTIFS(CUSTOMER!G:G,"&gt;="&amp;"2021-12-01",CUSTOMER!G:G,"&lt;="&amp;"2021-12-31",SALE!G:G,"Istinye Park")</f>
        <v>8</v>
      </c>
      <c r="F12" s="40">
        <f t="shared" si="0"/>
        <v>0.98</v>
      </c>
      <c r="G12" s="40">
        <f t="shared" si="1"/>
        <v>2.0000000000000018E-2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COUNTIFS(CUSTOMER!G:G,"&lt;="&amp;"2022-01-01",CUSTOMER!H:H,"&gt;"&amp;"2022-01-01",SALE!G:G,"Istinye Park")</f>
        <v>155</v>
      </c>
      <c r="D13" s="41">
        <f>COUNTIFS(CUSTOMER!G:G,"&lt;="&amp;"2022-01-31",CUSTOMER!H:H,"&gt;="&amp;"2022-01-31",SALE!G:G,"Istinye Park")</f>
        <v>153</v>
      </c>
      <c r="E13" s="41">
        <f>COUNTIFS(CUSTOMER!G:G,"&gt;="&amp;"2022-01-01",CUSTOMER!G:G,"&lt;="&amp;"2022-01-31",SALE!G:G,"Istinye Park")</f>
        <v>2</v>
      </c>
      <c r="F13" s="42">
        <f t="shared" si="0"/>
        <v>0.97419354838709682</v>
      </c>
      <c r="G13" s="42">
        <f t="shared" si="1"/>
        <v>2.5806451612903181E-2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COUNTIFS(CUSTOMER!G:G,"&lt;="&amp;"2022-02-01",CUSTOMER!H:H,"&gt;"&amp;"2022-02-01",SALE!G:G,"Istinye Park")</f>
        <v>153</v>
      </c>
      <c r="D14" s="41">
        <f>COUNTIFS(CUSTOMER!G:G,"&lt;="&amp;"2022-02-28",CUSTOMER!H:H,"&gt;="&amp;"2022-02-28",SALE!G:G,"Istinye Park")</f>
        <v>153</v>
      </c>
      <c r="E14" s="41">
        <f>COUNTIFS(CUSTOMER!G:G,"&gt;="&amp;"2022-02-01",CUSTOMER!G:G,"&lt;="&amp;"2022-02-28",SALE!G:G,"Istinye Park")</f>
        <v>2</v>
      </c>
      <c r="F14" s="42">
        <f t="shared" si="0"/>
        <v>0.98692810457516345</v>
      </c>
      <c r="G14" s="42">
        <f t="shared" si="1"/>
        <v>1.3071895424836555E-2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COUNTIFS(CUSTOMER!G:G,"&lt;="&amp;"2022-03-01",CUSTOMER!H:H,"&gt;"&amp;"2022-03-01",SALE!G:G,"Istinye Park")</f>
        <v>153</v>
      </c>
      <c r="D15" s="41">
        <f>COUNTIFS(CUSTOMER!G:G,"&lt;="&amp;"2022-03-31",CUSTOMER!H:H,"&gt;="&amp;"2022-03-31",SALE!G:G,"Istinye Park")</f>
        <v>151</v>
      </c>
      <c r="E15" s="41">
        <f>COUNTIFS(CUSTOMER!G:G,"&gt;="&amp;"2022-03-01",CUSTOMER!G:G,"&lt;="&amp;"2022-03-31",SALE!G:G,"Istinye Park")</f>
        <v>1</v>
      </c>
      <c r="F15" s="42">
        <f t="shared" si="0"/>
        <v>0.98039215686274506</v>
      </c>
      <c r="G15" s="42">
        <f t="shared" si="1"/>
        <v>1.9607843137254943E-2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COUNTIFS(CUSTOMER!G:G,"&lt;="&amp;"2022-04-01",CUSTOMER!H:H,"&gt;"&amp;"2022-04-01",SALE!G:G,"Istinye Park")</f>
        <v>151</v>
      </c>
      <c r="D16" s="41">
        <f>COUNTIFS(CUSTOMER!G:G,"&lt;="&amp;"2022-04-30",CUSTOMER!H:H,"&gt;="&amp;"2022-04-30",SALE!G:G,"Istinye Park")</f>
        <v>149</v>
      </c>
      <c r="E16" s="41">
        <f>COUNTIFS(CUSTOMER!G:G,"&gt;="&amp;"2022-04-01",CUSTOMER!G:G,"&lt;="&amp;"2022-04-30",SALE!G:G,"Istinye Park")</f>
        <v>2</v>
      </c>
      <c r="F16" s="42">
        <f t="shared" si="0"/>
        <v>0.97350993377483441</v>
      </c>
      <c r="G16" s="42">
        <f t="shared" si="1"/>
        <v>2.6490066225165587E-2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COUNTIFS(CUSTOMER!G:G,"&lt;="&amp;"2022-05-01",CUSTOMER!H:H,"&gt;"&amp;"2022-05-01",SALE!G:G,"Istinye Park")</f>
        <v>149</v>
      </c>
      <c r="D17" s="41">
        <f>COUNTIFS(CUSTOMER!G:G,"&lt;="&amp;"2022-05-31",CUSTOMER!H:H,"&gt;="&amp;"2022-05-31",SALE!G:G,"Istinye Park")</f>
        <v>149</v>
      </c>
      <c r="E17" s="41">
        <f>COUNTIFS(CUSTOMER!G:G,"&gt;="&amp;"2022-05-01",CUSTOMER!G:G,"&lt;="&amp;"2022-05-31",SALE!G:G,"Istinye Park")</f>
        <v>1</v>
      </c>
      <c r="F17" s="42">
        <f t="shared" si="0"/>
        <v>0.99328859060402686</v>
      </c>
      <c r="G17" s="42">
        <f t="shared" si="1"/>
        <v>6.7114093959731447E-3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COUNTIFS(CUSTOMER!G:G,"&lt;="&amp;"2022-06-01",CUSTOMER!H:H,"&gt;"&amp;"2022-06-01",SALE!G:G,"Istinye Park")</f>
        <v>149</v>
      </c>
      <c r="D18" s="41">
        <f>COUNTIFS(CUSTOMER!G:G,"&lt;="&amp;"2022-06-30",CUSTOMER!H:H,"&gt;="&amp;"2022-06-30",SALE!G:G,"Istinye Park")</f>
        <v>143</v>
      </c>
      <c r="E18" s="41">
        <f>COUNTIFS(CUSTOMER!G:G,"&gt;="&amp;"2022-06-01",CUSTOMER!G:G,"&lt;="&amp;"2022-06-30",SALE!G:G,"Istinye Park")</f>
        <v>0</v>
      </c>
      <c r="F18" s="42">
        <f t="shared" si="0"/>
        <v>0.95973154362416102</v>
      </c>
      <c r="G18" s="42">
        <f t="shared" si="1"/>
        <v>4.0268456375838979E-2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COUNTIFS(CUSTOMER!G:G,"&lt;="&amp;"2022-07-01",CUSTOMER!H:H,"&gt;"&amp;"2022-07-01",SALE!G:G,"Istinye Park")</f>
        <v>143</v>
      </c>
      <c r="D19" s="41">
        <f>COUNTIFS(CUSTOMER!G:G,"&lt;="&amp;"2022-07-31",CUSTOMER!H:H,"&gt;="&amp;"2022-07-31",SALE!G:G,"Istinye Park")</f>
        <v>134</v>
      </c>
      <c r="E19" s="41">
        <f>COUNTIFS(CUSTOMER!G:G,"&gt;="&amp;"2022-07-01",CUSTOMER!G:G,"&lt;="&amp;"2022-07-31",SALE!G:G,"Istinye Park")</f>
        <v>0</v>
      </c>
      <c r="F19" s="42">
        <f t="shared" si="0"/>
        <v>0.93706293706293708</v>
      </c>
      <c r="G19" s="42">
        <f t="shared" si="1"/>
        <v>6.2937062937062915E-2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COUNTIFS(CUSTOMER!G:G,"&lt;="&amp;"2022-08-01",CUSTOMER!H:H,"&gt;"&amp;"2022-08-01",SALE!G:G,"Istinye Park")</f>
        <v>134</v>
      </c>
      <c r="D20" s="41">
        <f>COUNTIFS(CUSTOMER!G:G,"&lt;="&amp;"2022-08-31",CUSTOMER!H:H,"&gt;="&amp;"2022-08-31",SALE!G:G,"Istinye Park")</f>
        <v>127</v>
      </c>
      <c r="E20" s="41">
        <f>COUNTIFS(CUSTOMER!G:G,"&gt;="&amp;"2022-08-01",CUSTOMER!G:G,"&lt;="&amp;"2022-08-31",SALE!G:G,"Istinye Park")</f>
        <v>2</v>
      </c>
      <c r="F20" s="42">
        <f t="shared" si="0"/>
        <v>0.93283582089552242</v>
      </c>
      <c r="G20" s="42">
        <f t="shared" si="1"/>
        <v>6.7164179104477584E-2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COUNTIFS(CUSTOMER!G:G,"&lt;="&amp;"2022-09-01",CUSTOMER!H:H,"&gt;"&amp;"2022-09-01",SALE!G:G,"Istinye Park")</f>
        <v>126</v>
      </c>
      <c r="D21" s="41">
        <f>COUNTIFS(CUSTOMER!G:G,"&lt;="&amp;"2022-09-30",CUSTOMER!H:H,"&gt;="&amp;"2022-09-30",SALE!G:G,"Istinye Park")</f>
        <v>119</v>
      </c>
      <c r="E21" s="41">
        <f>COUNTIFS(CUSTOMER!G:G,"&gt;="&amp;"2022-09-01",CUSTOMER!G:G,"&lt;="&amp;"2022-09-30",SALE!G:G,"Istinye Park")</f>
        <v>1</v>
      </c>
      <c r="F21" s="42">
        <f t="shared" si="0"/>
        <v>0.93650793650793651</v>
      </c>
      <c r="G21" s="42">
        <f t="shared" si="1"/>
        <v>6.3492063492063489E-2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COUNTIFS(CUSTOMER!G:G,"&lt;="&amp;"2022-10-01",CUSTOMER!H:H,"&gt;"&amp;"2022-10-01",SALE!G:G,"Istinye Park")</f>
        <v>119</v>
      </c>
      <c r="D22" s="41">
        <f>COUNTIFS(CUSTOMER!G:G,"&lt;="&amp;"2022-10-31",CUSTOMER!H:H,"&gt;="&amp;"2022-10-31",SALE!G:G,"Istinye Park")</f>
        <v>105</v>
      </c>
      <c r="E22" s="41">
        <f>COUNTIFS(CUSTOMER!G:G,"&gt;="&amp;"2022-10-01",CUSTOMER!G:G,"&lt;="&amp;"2022-10-31",SALE!G:G,"Istinye Park")</f>
        <v>0</v>
      </c>
      <c r="F22" s="42">
        <f t="shared" si="0"/>
        <v>0.88235294117647056</v>
      </c>
      <c r="G22" s="42">
        <f t="shared" si="1"/>
        <v>0.11764705882352944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COUNTIFS(CUSTOMER!G:G,"&lt;="&amp;"2022-11-01",CUSTOMER!H:H,"&gt;"&amp;"2022-11-01",SALE!G:G,"Istinye Park")</f>
        <v>105</v>
      </c>
      <c r="D23" s="41">
        <f>COUNTIFS(CUSTOMER!G:G,"&lt;="&amp;"2022-11-30",CUSTOMER!H:H,"&gt;="&amp;"2022-11-30",SALE!G:G,"Istinye Park")</f>
        <v>87</v>
      </c>
      <c r="E23" s="41">
        <f>COUNTIFS(CUSTOMER!G:G,"&gt;="&amp;"2022-11-01",CUSTOMER!G:G,"&lt;="&amp;"2022-11-30",SALE!G:G,"Istinye Park")</f>
        <v>0</v>
      </c>
      <c r="F23" s="42">
        <f t="shared" si="0"/>
        <v>0.82857142857142863</v>
      </c>
      <c r="G23" s="42">
        <f t="shared" si="1"/>
        <v>0.17142857142857137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COUNTIFS(CUSTOMER!G:G,"&lt;="&amp;"2022-12-01",CUSTOMER!H:H,"&gt;"&amp;"2022-12-01",SALE!G:G,"Istinye Park")</f>
        <v>85</v>
      </c>
      <c r="D24" s="41">
        <f>COUNTIFS(CUSTOMER!G:G,"&lt;="&amp;"2022-12-31",CUSTOMER!H:H,"&gt;="&amp;"2022-12-31",SALE!G:G,"Istinye Park")</f>
        <v>68</v>
      </c>
      <c r="E24" s="41">
        <f>COUNTIFS(CUSTOMER!G:G,"&gt;="&amp;"2022-12-01",CUSTOMER!G:G,"&lt;="&amp;"2022-12-31",SALE!G:G,"Istinye Park")</f>
        <v>0</v>
      </c>
      <c r="F24" s="42">
        <f t="shared" si="0"/>
        <v>0.8</v>
      </c>
      <c r="G24" s="42">
        <f t="shared" si="1"/>
        <v>0.19999999999999996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COUNTIFS(CUSTOMER!G:G,"&lt;="&amp;"2023-01-01",CUSTOMER!H:H,"&gt;"&amp;"2023-01-01",SALE!G:G,"Istinye Park")</f>
        <v>67</v>
      </c>
      <c r="D25" s="31">
        <f>COUNTIFS(CUSTOMER!G:G,"&lt;="&amp;"2023-01-31",CUSTOMER!H:H,"&gt;="&amp;"2023-01-31",SALE!G:G,"Istinye Park")</f>
        <v>40</v>
      </c>
      <c r="E25" s="31">
        <f>COUNTIFS(CUSTOMER!G:G,"&gt;="&amp;"2023-01-01",CUSTOMER!G:G,"&lt;="&amp;"2023-01-31",SALE!G:G,"Istinye Park")</f>
        <v>0</v>
      </c>
      <c r="F25" s="44">
        <f t="shared" si="0"/>
        <v>0.59701492537313428</v>
      </c>
      <c r="G25" s="51">
        <f t="shared" si="1"/>
        <v>0.40298507462686572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COUNTIFS(CUSTOMER!G:G,"&lt;="&amp;"2023-02-01",CUSTOMER!H:H,"&gt;"&amp;"2023-02-01",SALE!G:G,"Istinye Park")</f>
        <v>39</v>
      </c>
      <c r="D26" s="31">
        <f>COUNTIFS(CUSTOMER!G:G,"&lt;="&amp;"2023-02-28",CUSTOMER!H:H,"&gt;="&amp;"2023-02-28",SALE!G:G,"Istinye Park")</f>
        <v>11</v>
      </c>
      <c r="E26" s="31">
        <f>COUNTIFS(CUSTOMER!G:G,"&gt;="&amp;"2023-02-01",CUSTOMER!G:G,"&lt;="&amp;"2023-02-28",SALE!G:G,"Istinye Park")</f>
        <v>2</v>
      </c>
      <c r="F26" s="44">
        <f t="shared" si="0"/>
        <v>0.23076923076923078</v>
      </c>
      <c r="G26" s="51">
        <f t="shared" si="1"/>
        <v>0.76923076923076916</v>
      </c>
    </row>
    <row r="27" spans="1:7" x14ac:dyDescent="0.3">
      <c r="A27" s="37"/>
      <c r="F27" s="54">
        <f>AVERAGE(F2:F26)</f>
        <v>0.91458830385010426</v>
      </c>
      <c r="G27" s="30">
        <f t="shared" si="1"/>
        <v>8.5411696149895744E-2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8C76F-7958-4F24-AC43-CEBAFA342CA0}">
  <dimension ref="A1:I39"/>
  <sheetViews>
    <sheetView topLeftCell="A6" workbookViewId="0">
      <selection activeCell="E21" sqref="E21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SALE!G:G,"Mall of Istanbul")</f>
        <v>71</v>
      </c>
      <c r="D2" s="39">
        <f>COUNTIFS(CUSTOMER!G:G,"&lt;="&amp;"2021-02-28",CUSTOMER!H:H,"&gt;="&amp;"2021-02-28",SALE!G:G,"Mall of Istanbul")</f>
        <v>123</v>
      </c>
      <c r="E2" s="39">
        <f>COUNTIFS(CUSTOMER!G:G,"&gt;="&amp;"2021-02-01",CUSTOMER!G:G,"&lt;="&amp;"2021-02-28",SALE!G:G,"Mall of Istanbul")</f>
        <v>54</v>
      </c>
      <c r="F2" s="40">
        <f>((D2-E2)*100%)/C2</f>
        <v>0.971830985915493</v>
      </c>
      <c r="G2" s="40">
        <f>1-F2</f>
        <v>2.8169014084507005E-2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SALE!G:G,"Mall of Istanbul")</f>
        <v>123</v>
      </c>
      <c r="D3" s="39">
        <f>COUNTIFS(CUSTOMER!G:G,"&lt;="&amp;"2021-03-31",CUSTOMER!H:H,"&gt;="&amp;"2021-03-31",SALE!G:G,"Mall of Istanbul")</f>
        <v>172</v>
      </c>
      <c r="E3" s="39">
        <f>COUNTIFS(CUSTOMER!G:G,"&gt;="&amp;"2021-03-01",CUSTOMER!G:G,"&lt;="&amp;"2021-03-31",SALE!G:G,"Mall of Istanbul")</f>
        <v>49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COUNTIFS(CUSTOMER!G:G,"&lt;="&amp;"2021-04-01",CUSTOMER!H:H,"&gt;"&amp;"2021-04-01",SALE!G:G,"Mall of Istanbul")</f>
        <v>172</v>
      </c>
      <c r="D4" s="39">
        <f>COUNTIFS(CUSTOMER!G:G,"&lt;="&amp;"2021-04-30",CUSTOMER!H:H,"&gt;="&amp;"2021-04-30",SALE!G:G,"Mall of Istanbul")</f>
        <v>221</v>
      </c>
      <c r="E4" s="39">
        <f>COUNTIFS(CUSTOMER!G:G,"&gt;="&amp;"2021-04-01",CUSTOMER!G:G,"&lt;="&amp;"2021-04-30",SALE!G:G,"Mall of Istanbul")</f>
        <v>49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COUNTIFS(CUSTOMER!G:G,"&lt;="&amp;"2021-05-01",CUSTOMER!H:H,"&gt;"&amp;"2021-05-01",SALE!G:G,"Mall of Istanbul")</f>
        <v>222</v>
      </c>
      <c r="D5" s="39">
        <f>COUNTIFS(CUSTOMER!G:G,"&lt;="&amp;"2021-05-31",CUSTOMER!H:H,"&gt;="&amp;"2021-05-31",SALE!G:G,"Mall of Istanbul")</f>
        <v>262</v>
      </c>
      <c r="E5" s="39">
        <f>COUNTIFS(CUSTOMER!G:G,"&gt;="&amp;"2021-05-01",CUSTOMER!G:G,"&lt;="&amp;"2021-05-31",SALE!G:G,"Mall of Istanbul")</f>
        <v>41</v>
      </c>
      <c r="F5" s="40">
        <f t="shared" si="0"/>
        <v>0.99549549549549554</v>
      </c>
      <c r="G5" s="40">
        <f t="shared" si="1"/>
        <v>4.5045045045044585E-3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COUNTIFS(CUSTOMER!G:G,"&lt;="&amp;"2021-06-01",CUSTOMER!H:H,"&gt;"&amp;"2021-06-01",SALE!G:G,"Mall of Istanbul")</f>
        <v>264</v>
      </c>
      <c r="D6" s="39">
        <f>COUNTIFS(CUSTOMER!G:G,"&lt;="&amp;"2021-06-30",CUSTOMER!H:H,"&gt;="&amp;"2021-06-30",SALE!G:G,"Mall of Istanbul")</f>
        <v>289</v>
      </c>
      <c r="E6" s="39">
        <f>COUNTIFS(CUSTOMER!G:G,"&gt;="&amp;"2021-06-01",CUSTOMER!G:G,"&lt;="&amp;"2021-06-30",SALE!G:G,"Mall of Istanbul")</f>
        <v>30</v>
      </c>
      <c r="F6" s="40">
        <f t="shared" si="0"/>
        <v>0.98106060606060608</v>
      </c>
      <c r="G6" s="40">
        <f t="shared" si="1"/>
        <v>1.8939393939393923E-2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COUNTIFS(CUSTOMER!G:G,"&lt;="&amp;"2021-07-01",CUSTOMER!H:H,"&gt;"&amp;"2021-07-01",SALE!G:G,"Mall of Istanbul")</f>
        <v>289</v>
      </c>
      <c r="D7" s="39">
        <f>COUNTIFS(CUSTOMER!G:G,"&lt;="&amp;"2021-07-31",CUSTOMER!H:H,"&gt;="&amp;"2021-07-31",SALE!G:G,"Mall of Istanbul")</f>
        <v>313</v>
      </c>
      <c r="E7" s="39">
        <f>COUNTIFS(CUSTOMER!G:G,"&gt;="&amp;"2021-07-01",CUSTOMER!G:G,"&lt;="&amp;"2021-07-31",SALE!G:G,"Mall of Istanbul")</f>
        <v>24</v>
      </c>
      <c r="F7" s="40">
        <f t="shared" si="0"/>
        <v>1</v>
      </c>
      <c r="G7" s="40">
        <f t="shared" si="1"/>
        <v>0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COUNTIFS(CUSTOMER!G:G,"&lt;="&amp;"2021-08-01",CUSTOMER!H:H,"&gt;"&amp;"2021-08-01",SALE!G:G,"Mall of Istanbul")</f>
        <v>313</v>
      </c>
      <c r="D8" s="39">
        <f>COUNTIFS(CUSTOMER!G:G,"&lt;="&amp;"2021-08-31",CUSTOMER!H:H,"&gt;="&amp;"2021-08-31",SALE!G:G,"Mall of Istanbul")</f>
        <v>331</v>
      </c>
      <c r="E8" s="39">
        <f>COUNTIFS(CUSTOMER!G:G,"&gt;="&amp;"2021-08-01",CUSTOMER!G:G,"&lt;="&amp;"2021-08-31",SALE!G:G,"Mall of Istanbul")</f>
        <v>20</v>
      </c>
      <c r="F8" s="40">
        <f t="shared" si="0"/>
        <v>0.99361022364217255</v>
      </c>
      <c r="G8" s="40">
        <f t="shared" si="1"/>
        <v>6.389776357827448E-3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COUNTIFS(CUSTOMER!G:G,"&lt;="&amp;"2021-09-01",CUSTOMER!H:H,"&gt;"&amp;"2021-09-01",SALE!G:G,"Mall of Istanbul")</f>
        <v>332</v>
      </c>
      <c r="D9" s="39">
        <f>COUNTIFS(CUSTOMER!G:G,"&lt;="&amp;"2021-09-30",CUSTOMER!H:H,"&gt;="&amp;"2021-09-30",SALE!G:G,"Mall of Istanbul")</f>
        <v>347</v>
      </c>
      <c r="E9" s="39">
        <f>COUNTIFS(CUSTOMER!G:G,"&gt;="&amp;"2021-09-01",CUSTOMER!G:G,"&lt;="&amp;"2021-09-30",SALE!G:G,"Mall of Istanbul")</f>
        <v>17</v>
      </c>
      <c r="F9" s="40">
        <f t="shared" si="0"/>
        <v>0.99397590361445787</v>
      </c>
      <c r="G9" s="40">
        <f t="shared" si="1"/>
        <v>6.0240963855421326E-3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COUNTIFS(CUSTOMER!G:G,"&lt;="&amp;"2021-10-01",CUSTOMER!H:H,"&gt;"&amp;"2021-10-01",SALE!G:G,"Mall of Istanbul")</f>
        <v>347</v>
      </c>
      <c r="D10" s="39">
        <f>COUNTIFS(CUSTOMER!G:G,"&lt;="&amp;"2021-10-31",CUSTOMER!H:H,"&gt;="&amp;"2021-10-31",SALE!G:G,"Mall of Istanbul")</f>
        <v>362</v>
      </c>
      <c r="E10" s="39">
        <f>COUNTIFS(CUSTOMER!G:G,"&gt;="&amp;"2021-10-01",CUSTOMER!G:G,"&lt;="&amp;"2021-10-31",SALE!G:G,"Mall of Istanbul")</f>
        <v>20</v>
      </c>
      <c r="F10" s="40">
        <f t="shared" si="0"/>
        <v>0.98559077809798268</v>
      </c>
      <c r="G10" s="40">
        <f t="shared" si="1"/>
        <v>1.4409221902017322E-2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COUNTIFS(CUSTOMER!G:G,"&lt;="&amp;"2021-11-01",CUSTOMER!H:H,"&gt;"&amp;"2021-11-01",SALE!G:G,"Mall of Istanbul")</f>
        <v>364</v>
      </c>
      <c r="D11" s="39">
        <f>COUNTIFS(CUSTOMER!G:G,"&lt;="&amp;"2021-11-30",CUSTOMER!H:H,"&gt;="&amp;"2021-11-30",SALE!G:G,"Mall of Istanbul")</f>
        <v>369</v>
      </c>
      <c r="E11" s="39">
        <f>COUNTIFS(CUSTOMER!G:G,"&gt;="&amp;"2021-11-01",CUSTOMER!G:G,"&lt;="&amp;"2021-11-30",SALE!G:G,"Mall of Istanbul")</f>
        <v>11</v>
      </c>
      <c r="F11" s="40">
        <f t="shared" si="0"/>
        <v>0.98351648351648346</v>
      </c>
      <c r="G11" s="40">
        <f t="shared" si="1"/>
        <v>1.6483516483516536E-2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COUNTIFS(CUSTOMER!G:G,"&lt;="&amp;"2021-12-01",CUSTOMER!H:H,"&gt;"&amp;"2021-12-01",SALE!G:G,"Mall of Istanbul")</f>
        <v>369</v>
      </c>
      <c r="D12" s="39">
        <f>COUNTIFS(CUSTOMER!G:G,"&lt;="&amp;"2021-12-31",CUSTOMER!H:H,"&gt;="&amp;"2021-12-31",SALE!G:G,"Mall of Istanbul")</f>
        <v>369</v>
      </c>
      <c r="E12" s="39">
        <f>COUNTIFS(CUSTOMER!G:G,"&gt;="&amp;"2021-12-01",CUSTOMER!G:G,"&lt;="&amp;"2021-12-31",SALE!G:G,"Mall of Istanbul")</f>
        <v>6</v>
      </c>
      <c r="F12" s="40">
        <f t="shared" si="0"/>
        <v>0.98373983739837401</v>
      </c>
      <c r="G12" s="40">
        <f t="shared" si="1"/>
        <v>1.6260162601625994E-2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COUNTIFS(CUSTOMER!G:G,"&lt;="&amp;"2022-01-01",CUSTOMER!H:H,"&gt;"&amp;"2022-01-01",SALE!G:G,"Mall of Istanbul")</f>
        <v>368</v>
      </c>
      <c r="D13" s="41">
        <f>COUNTIFS(CUSTOMER!G:G,"&lt;="&amp;"2022-01-31",CUSTOMER!H:H,"&gt;="&amp;"2022-01-31",SALE!G:G,"Mall of Istanbul")</f>
        <v>367</v>
      </c>
      <c r="E13" s="41">
        <f>COUNTIFS(CUSTOMER!G:G,"&gt;="&amp;"2022-01-01",CUSTOMER!G:G,"&lt;="&amp;"2022-01-31",SALE!G:G,"Mall of Istanbul")</f>
        <v>3</v>
      </c>
      <c r="F13" s="42">
        <f t="shared" si="0"/>
        <v>0.98913043478260865</v>
      </c>
      <c r="G13" s="42">
        <f t="shared" si="1"/>
        <v>1.0869565217391353E-2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COUNTIFS(CUSTOMER!G:G,"&lt;="&amp;"2022-02-01",CUSTOMER!H:H,"&gt;"&amp;"2022-02-01",SALE!G:G,"Mall of Istanbul")</f>
        <v>368</v>
      </c>
      <c r="D14" s="41">
        <f>COUNTIFS(CUSTOMER!G:G,"&lt;="&amp;"2022-02-28",CUSTOMER!H:H,"&gt;="&amp;"2022-02-28",SALE!G:G,"Mall of Istanbul")</f>
        <v>367</v>
      </c>
      <c r="E14" s="41">
        <f>COUNTIFS(CUSTOMER!G:G,"&gt;="&amp;"2022-02-01",CUSTOMER!G:G,"&lt;="&amp;"2022-02-28",SALE!G:G,"Mall of Istanbul")</f>
        <v>8</v>
      </c>
      <c r="F14" s="42">
        <f t="shared" si="0"/>
        <v>0.97554347826086951</v>
      </c>
      <c r="G14" s="42">
        <f t="shared" si="1"/>
        <v>2.4456521739130488E-2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COUNTIFS(CUSTOMER!G:G,"&lt;="&amp;"2022-03-01",CUSTOMER!H:H,"&gt;"&amp;"2022-03-01",SALE!G:G,"Mall of Istanbul")</f>
        <v>366</v>
      </c>
      <c r="D15" s="41">
        <f>COUNTIFS(CUSTOMER!G:G,"&lt;="&amp;"2022-03-31",CUSTOMER!H:H,"&gt;="&amp;"2022-03-31",SALE!G:G,"Mall of Istanbul")</f>
        <v>364</v>
      </c>
      <c r="E15" s="41">
        <f>COUNTIFS(CUSTOMER!G:G,"&gt;="&amp;"2022-03-01",CUSTOMER!G:G,"&lt;="&amp;"2022-03-31",SALE!G:G,"Mall of Istanbul")</f>
        <v>4</v>
      </c>
      <c r="F15" s="42">
        <f t="shared" si="0"/>
        <v>0.98360655737704916</v>
      </c>
      <c r="G15" s="42">
        <f t="shared" si="1"/>
        <v>1.6393442622950838E-2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COUNTIFS(CUSTOMER!G:G,"&lt;="&amp;"2022-04-01",CUSTOMER!H:H,"&gt;"&amp;"2022-04-01",SALE!G:G,"Mall of Istanbul")</f>
        <v>364</v>
      </c>
      <c r="D16" s="41">
        <f>COUNTIFS(CUSTOMER!G:G,"&lt;="&amp;"2022-04-30",CUSTOMER!H:H,"&gt;="&amp;"2022-04-30",SALE!G:G,"Mall of Istanbul")</f>
        <v>358</v>
      </c>
      <c r="E16" s="41">
        <f>COUNTIFS(CUSTOMER!G:G,"&gt;="&amp;"2022-04-01",CUSTOMER!G:G,"&lt;="&amp;"2022-04-30",SALE!G:G,"Mall of Istanbul")</f>
        <v>2</v>
      </c>
      <c r="F16" s="42">
        <f t="shared" si="0"/>
        <v>0.97802197802197799</v>
      </c>
      <c r="G16" s="42">
        <f t="shared" si="1"/>
        <v>2.1978021978022011E-2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COUNTIFS(CUSTOMER!G:G,"&lt;="&amp;"2022-05-01",CUSTOMER!H:H,"&gt;"&amp;"2022-05-01",SALE!G:G,"Mall of Istanbul")</f>
        <v>354</v>
      </c>
      <c r="D17" s="41">
        <f>COUNTIFS(CUSTOMER!G:G,"&lt;="&amp;"2022-05-31",CUSTOMER!H:H,"&gt;="&amp;"2022-05-31",SALE!G:G,"Mall of Istanbul")</f>
        <v>342</v>
      </c>
      <c r="E17" s="41">
        <f>COUNTIFS(CUSTOMER!G:G,"&gt;="&amp;"2022-05-01",CUSTOMER!G:G,"&lt;="&amp;"2022-05-31",SALE!G:G,"Mall of Istanbul")</f>
        <v>1</v>
      </c>
      <c r="F17" s="42">
        <f t="shared" si="0"/>
        <v>0.96327683615819204</v>
      </c>
      <c r="G17" s="42">
        <f t="shared" si="1"/>
        <v>3.672316384180796E-2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COUNTIFS(CUSTOMER!G:G,"&lt;="&amp;"2022-06-01",CUSTOMER!H:H,"&gt;"&amp;"2022-06-01",SALE!G:G,"Mall of Istanbul")</f>
        <v>342</v>
      </c>
      <c r="D18" s="41">
        <f>COUNTIFS(CUSTOMER!G:G,"&lt;="&amp;"2022-06-30",CUSTOMER!H:H,"&gt;="&amp;"2022-06-30",SALE!G:G,"Mall of Istanbul")</f>
        <v>322</v>
      </c>
      <c r="E18" s="41">
        <f>COUNTIFS(CUSTOMER!G:G,"&gt;="&amp;"2022-06-01",CUSTOMER!G:G,"&lt;="&amp;"2022-06-30",SALE!G:G,"Mall of Istanbul")</f>
        <v>1</v>
      </c>
      <c r="F18" s="42">
        <f t="shared" si="0"/>
        <v>0.93859649122807021</v>
      </c>
      <c r="G18" s="42">
        <f t="shared" si="1"/>
        <v>6.1403508771929793E-2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COUNTIFS(CUSTOMER!G:G,"&lt;="&amp;"2022-07-01",CUSTOMER!H:H,"&gt;"&amp;"2022-07-01",SALE!G:G,"Mall of Istanbul")</f>
        <v>319</v>
      </c>
      <c r="D19" s="41">
        <f>COUNTIFS(CUSTOMER!G:G,"&lt;="&amp;"2022-07-31",CUSTOMER!H:H,"&gt;="&amp;"2022-07-31",SALE!G:G,"Mall of Istanbul")</f>
        <v>299</v>
      </c>
      <c r="E19" s="41">
        <f>COUNTIFS(CUSTOMER!G:G,"&gt;="&amp;"2022-07-01",CUSTOMER!G:G,"&lt;="&amp;"2022-07-31",SALE!G:G,"Mall of Istanbul")</f>
        <v>1</v>
      </c>
      <c r="F19" s="42">
        <f t="shared" si="0"/>
        <v>0.93416927899686519</v>
      </c>
      <c r="G19" s="42">
        <f t="shared" si="1"/>
        <v>6.5830721003134807E-2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COUNTIFS(CUSTOMER!G:G,"&lt;="&amp;"2022-08-01",CUSTOMER!H:H,"&gt;"&amp;"2022-08-01",SALE!G:G,"Mall of Istanbul")</f>
        <v>294</v>
      </c>
      <c r="D20" s="41">
        <f>COUNTIFS(CUSTOMER!G:G,"&lt;="&amp;"2022-08-31",CUSTOMER!H:H,"&gt;="&amp;"2022-08-31",SALE!G:G,"Mall of Istanbul")</f>
        <v>276</v>
      </c>
      <c r="E20" s="41">
        <f>COUNTIFS(CUSTOMER!G:G,"&gt;="&amp;"2022-08-01",CUSTOMER!G:G,"&lt;="&amp;"2022-08-31",SALE!G:G,"Mall of Istanbul")</f>
        <v>2</v>
      </c>
      <c r="F20" s="42">
        <f t="shared" si="0"/>
        <v>0.93197278911564629</v>
      </c>
      <c r="G20" s="42">
        <f t="shared" si="1"/>
        <v>6.8027210884353706E-2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COUNTIFS(CUSTOMER!G:G,"&lt;="&amp;"2022-09-01",CUSTOMER!H:H,"&gt;"&amp;"2022-09-01",SALE!G:G,"Mall of Istanbul")</f>
        <v>275</v>
      </c>
      <c r="D21" s="41">
        <f>COUNTIFS(CUSTOMER!G:G,"&lt;="&amp;"2022-09-30",CUSTOMER!H:H,"&gt;="&amp;"2022-09-30",SALE!G:G,"Mall of Istanbul")</f>
        <v>246</v>
      </c>
      <c r="E21" s="41">
        <f>COUNTIFS(CUSTOMER!G:G,"&gt;="&amp;"2022-09-01",CUSTOMER!G:G,"&lt;="&amp;"2022-09-30",SALE!G:G,"Mall of Istanbul")</f>
        <v>0</v>
      </c>
      <c r="F21" s="42">
        <f t="shared" si="0"/>
        <v>0.89454545454545453</v>
      </c>
      <c r="G21" s="42">
        <f t="shared" si="1"/>
        <v>0.10545454545454547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COUNTIFS(CUSTOMER!G:G,"&lt;="&amp;"2022-10-01",CUSTOMER!H:H,"&gt;"&amp;"2022-10-01",SALE!G:G,"Mall of Istanbul")</f>
        <v>245</v>
      </c>
      <c r="D22" s="41">
        <f>COUNTIFS(CUSTOMER!G:G,"&lt;="&amp;"2022-10-31",CUSTOMER!H:H,"&gt;="&amp;"2022-10-31",SALE!G:G,"Mall of Istanbul")</f>
        <v>217</v>
      </c>
      <c r="E22" s="41">
        <f>COUNTIFS(CUSTOMER!G:G,"&gt;="&amp;"2022-10-01",CUSTOMER!G:G,"&lt;="&amp;"2022-10-31",SALE!G:G,"Mall of Istanbul")</f>
        <v>0</v>
      </c>
      <c r="F22" s="42">
        <f t="shared" si="0"/>
        <v>0.88571428571428568</v>
      </c>
      <c r="G22" s="42">
        <f t="shared" si="1"/>
        <v>0.11428571428571432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COUNTIFS(CUSTOMER!G:G,"&lt;="&amp;"2022-11-01",CUSTOMER!H:H,"&gt;"&amp;"2022-11-01",SALE!G:G,"Mall of Istanbul")</f>
        <v>215</v>
      </c>
      <c r="D23" s="41">
        <f>COUNTIFS(CUSTOMER!G:G,"&lt;="&amp;"2022-11-30",CUSTOMER!H:H,"&gt;="&amp;"2022-11-30",SALE!G:G,"Mall of Istanbul")</f>
        <v>184</v>
      </c>
      <c r="E23" s="41">
        <f>COUNTIFS(CUSTOMER!G:G,"&gt;="&amp;"2022-11-01",CUSTOMER!G:G,"&lt;="&amp;"2022-11-30",SALE!G:G,"Mall of Istanbul")</f>
        <v>1</v>
      </c>
      <c r="F23" s="42">
        <f t="shared" si="0"/>
        <v>0.85116279069767442</v>
      </c>
      <c r="G23" s="42">
        <f t="shared" si="1"/>
        <v>0.14883720930232558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COUNTIFS(CUSTOMER!G:G,"&lt;="&amp;"2022-12-01",CUSTOMER!H:H,"&gt;"&amp;"2022-12-01",SALE!G:G,"Mall of Istanbul")</f>
        <v>182</v>
      </c>
      <c r="D24" s="41">
        <f>COUNTIFS(CUSTOMER!G:G,"&lt;="&amp;"2022-12-31",CUSTOMER!H:H,"&gt;="&amp;"2022-12-31",SALE!G:G,"Mall of Istanbul")</f>
        <v>136</v>
      </c>
      <c r="E24" s="41">
        <f>COUNTIFS(CUSTOMER!G:G,"&gt;="&amp;"2022-12-01",CUSTOMER!G:G,"&lt;="&amp;"2022-12-31",SALE!G:G,"Mall of Istanbul")</f>
        <v>0</v>
      </c>
      <c r="F24" s="42">
        <f t="shared" si="0"/>
        <v>0.74725274725274726</v>
      </c>
      <c r="G24" s="42">
        <f t="shared" si="1"/>
        <v>0.25274725274725274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COUNTIFS(CUSTOMER!G:G,"&lt;="&amp;"2023-01-01",CUSTOMER!H:H,"&gt;"&amp;"2023-01-01",SALE!G:G,"Mall of Istanbul")</f>
        <v>136</v>
      </c>
      <c r="D25" s="31">
        <f>COUNTIFS(CUSTOMER!G:G,"&lt;="&amp;"2023-01-31",CUSTOMER!H:H,"&gt;="&amp;"2023-01-31",SALE!G:G,"Mall of Istanbul")</f>
        <v>89</v>
      </c>
      <c r="E25" s="31">
        <f>COUNTIFS(CUSTOMER!G:G,"&gt;="&amp;"2023-01-01",CUSTOMER!G:G,"&lt;="&amp;"2023-01-31",SALE!G:G,"Mall of Istanbul")</f>
        <v>0</v>
      </c>
      <c r="F25" s="44">
        <f t="shared" si="0"/>
        <v>0.65441176470588236</v>
      </c>
      <c r="G25" s="51">
        <f t="shared" si="1"/>
        <v>0.34558823529411764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COUNTIFS(CUSTOMER!G:G,"&lt;="&amp;"2023-02-01",CUSTOMER!H:H,"&gt;"&amp;"2023-02-01",SALE!G:G,"Mall of Istanbul")</f>
        <v>85</v>
      </c>
      <c r="D26" s="31">
        <f>COUNTIFS(CUSTOMER!G:G,"&lt;="&amp;"2023-02-28",CUSTOMER!H:H,"&gt;="&amp;"2023-02-28",SALE!G:G,"Mall of Istanbul")</f>
        <v>20</v>
      </c>
      <c r="E26" s="31">
        <f>COUNTIFS(CUSTOMER!G:G,"&gt;="&amp;"2023-02-01",CUSTOMER!G:G,"&lt;="&amp;"2023-02-28",SALE!G:G,"Mall of Istanbul")</f>
        <v>0</v>
      </c>
      <c r="F26" s="44">
        <f t="shared" si="0"/>
        <v>0.23529411764705882</v>
      </c>
      <c r="G26" s="51">
        <f t="shared" si="1"/>
        <v>0.76470588235294112</v>
      </c>
    </row>
    <row r="27" spans="1:7" x14ac:dyDescent="0.3">
      <c r="A27" s="37"/>
      <c r="F27" s="54">
        <f>AVERAGE(F2:F26)</f>
        <v>0.91406077272981801</v>
      </c>
      <c r="G27" s="30">
        <f t="shared" si="1"/>
        <v>8.5939227270181995E-2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6BB8-D43E-4C09-8DFA-18964B9BB990}">
  <dimension ref="A1:I39"/>
  <sheetViews>
    <sheetView topLeftCell="A6" workbookViewId="0">
      <selection activeCell="F27" sqref="F27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SALE!G:G,"Metrocity")</f>
        <v>42</v>
      </c>
      <c r="D2" s="39">
        <f>COUNTIFS(CUSTOMER!G:G,"&lt;="&amp;"2021-02-28",CUSTOMER!H:H,"&gt;="&amp;"2021-02-28",SALE!G:G,"Metrocity")</f>
        <v>82</v>
      </c>
      <c r="E2" s="39">
        <f>COUNTIFS(CUSTOMER!G:G,"&gt;="&amp;"2021-02-01",CUSTOMER!G:G,"&lt;="&amp;"2021-02-28",SALE!G:G,"Metrocity")</f>
        <v>40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SALE!G:G,"Metrocity")</f>
        <v>83</v>
      </c>
      <c r="D3" s="39">
        <f>COUNTIFS(CUSTOMER!G:G,"&lt;="&amp;"2021-03-31",CUSTOMER!H:H,"&gt;="&amp;"2021-03-31",SALE!G:G,"Metrocity")</f>
        <v>120</v>
      </c>
      <c r="E3" s="39">
        <f>COUNTIFS(CUSTOMER!G:G,"&gt;="&amp;"2021-03-01",CUSTOMER!G:G,"&lt;="&amp;"2021-03-31",SALE!G:G,"Metrocity")</f>
        <v>38</v>
      </c>
      <c r="F3" s="40">
        <f t="shared" ref="F3:F26" si="0">((D3-E3)*100%)/C3</f>
        <v>0.98795180722891562</v>
      </c>
      <c r="G3" s="40">
        <f t="shared" ref="G3:G27" si="1">1-F3</f>
        <v>1.2048192771084376E-2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COUNTIFS(CUSTOMER!G:G,"&lt;="&amp;"2021-04-01",CUSTOMER!H:H,"&gt;"&amp;"2021-04-01",SALE!G:G,"Metrocity")</f>
        <v>120</v>
      </c>
      <c r="D4" s="39">
        <f>COUNTIFS(CUSTOMER!G:G,"&lt;="&amp;"2021-04-30",CUSTOMER!H:H,"&gt;="&amp;"2021-04-30",SALE!G:G,"Metrocity")</f>
        <v>154</v>
      </c>
      <c r="E4" s="39">
        <f>COUNTIFS(CUSTOMER!G:G,"&gt;="&amp;"2021-04-01",CUSTOMER!G:G,"&lt;="&amp;"2021-04-30",SALE!G:G,"Metrocity")</f>
        <v>34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COUNTIFS(CUSTOMER!G:G,"&lt;="&amp;"2021-05-01",CUSTOMER!H:H,"&gt;"&amp;"2021-05-01",SALE!G:G,"Metrocity")</f>
        <v>154</v>
      </c>
      <c r="D5" s="39">
        <f>COUNTIFS(CUSTOMER!G:G,"&lt;="&amp;"2021-05-31",CUSTOMER!H:H,"&gt;="&amp;"2021-05-31",SALE!G:G,"Metrocity")</f>
        <v>175</v>
      </c>
      <c r="E5" s="39">
        <f>COUNTIFS(CUSTOMER!G:G,"&gt;="&amp;"2021-05-01",CUSTOMER!G:G,"&lt;="&amp;"2021-05-31",SALE!G:G,"Metrocity")</f>
        <v>22</v>
      </c>
      <c r="F5" s="40">
        <f t="shared" si="0"/>
        <v>0.99350649350649356</v>
      </c>
      <c r="G5" s="40">
        <f t="shared" si="1"/>
        <v>6.4935064935064402E-3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COUNTIFS(CUSTOMER!G:G,"&lt;="&amp;"2021-06-01",CUSTOMER!H:H,"&gt;"&amp;"2021-06-01",SALE!G:G,"Metrocity")</f>
        <v>177</v>
      </c>
      <c r="D6" s="39">
        <f>COUNTIFS(CUSTOMER!G:G,"&lt;="&amp;"2021-06-30",CUSTOMER!H:H,"&gt;="&amp;"2021-06-30",SALE!G:G,"Metrocity")</f>
        <v>194</v>
      </c>
      <c r="E6" s="39">
        <f>COUNTIFS(CUSTOMER!G:G,"&gt;="&amp;"2021-06-01",CUSTOMER!G:G,"&lt;="&amp;"2021-06-30",SALE!G:G,"Metrocity")</f>
        <v>20</v>
      </c>
      <c r="F6" s="40">
        <f t="shared" si="0"/>
        <v>0.98305084745762716</v>
      </c>
      <c r="G6" s="40">
        <f t="shared" si="1"/>
        <v>1.6949152542372836E-2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COUNTIFS(CUSTOMER!G:G,"&lt;="&amp;"2021-07-01",CUSTOMER!H:H,"&gt;"&amp;"2021-07-01",SALE!G:G,"Metrocity")</f>
        <v>194</v>
      </c>
      <c r="D7" s="39">
        <f>COUNTIFS(CUSTOMER!G:G,"&lt;="&amp;"2021-07-31",CUSTOMER!H:H,"&gt;="&amp;"2021-07-31",SALE!G:G,"Metrocity")</f>
        <v>206</v>
      </c>
      <c r="E7" s="39">
        <f>COUNTIFS(CUSTOMER!G:G,"&gt;="&amp;"2021-07-01",CUSTOMER!G:G,"&lt;="&amp;"2021-07-31",SALE!G:G,"Metrocity")</f>
        <v>15</v>
      </c>
      <c r="F7" s="40">
        <f t="shared" si="0"/>
        <v>0.98453608247422686</v>
      </c>
      <c r="G7" s="40">
        <f t="shared" si="1"/>
        <v>1.5463917525773141E-2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COUNTIFS(CUSTOMER!G:G,"&lt;="&amp;"2021-08-01",CUSTOMER!H:H,"&gt;"&amp;"2021-08-01",SALE!G:G,"Metrocity")</f>
        <v>207</v>
      </c>
      <c r="D8" s="39">
        <f>COUNTIFS(CUSTOMER!G:G,"&lt;="&amp;"2021-08-31",CUSTOMER!H:H,"&gt;="&amp;"2021-08-31",SALE!G:G,"Metrocity")</f>
        <v>218</v>
      </c>
      <c r="E8" s="39">
        <f>COUNTIFS(CUSTOMER!G:G,"&gt;="&amp;"2021-08-01",CUSTOMER!G:G,"&lt;="&amp;"2021-08-31",SALE!G:G,"Metrocity")</f>
        <v>13</v>
      </c>
      <c r="F8" s="40">
        <f t="shared" si="0"/>
        <v>0.99033816425120769</v>
      </c>
      <c r="G8" s="40">
        <f t="shared" si="1"/>
        <v>9.6618357487923134E-3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COUNTIFS(CUSTOMER!G:G,"&lt;="&amp;"2021-09-01",CUSTOMER!H:H,"&gt;"&amp;"2021-09-01",SALE!G:G,"Metrocity")</f>
        <v>219</v>
      </c>
      <c r="D9" s="39">
        <f>COUNTIFS(CUSTOMER!G:G,"&lt;="&amp;"2021-09-30",CUSTOMER!H:H,"&gt;="&amp;"2021-09-30",SALE!G:G,"Metrocity")</f>
        <v>234</v>
      </c>
      <c r="E9" s="39">
        <f>COUNTIFS(CUSTOMER!G:G,"&gt;="&amp;"2021-09-01",CUSTOMER!G:G,"&lt;="&amp;"2021-09-30",SALE!G:G,"Metrocity")</f>
        <v>18</v>
      </c>
      <c r="F9" s="40">
        <f t="shared" si="0"/>
        <v>0.98630136986301364</v>
      </c>
      <c r="G9" s="40">
        <f t="shared" si="1"/>
        <v>1.3698630136986356E-2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COUNTIFS(CUSTOMER!G:G,"&lt;="&amp;"2021-10-01",CUSTOMER!H:H,"&gt;"&amp;"2021-10-01",SALE!G:G,"Metrocity")</f>
        <v>235</v>
      </c>
      <c r="D10" s="39">
        <f>COUNTIFS(CUSTOMER!G:G,"&lt;="&amp;"2021-10-31",CUSTOMER!H:H,"&gt;="&amp;"2021-10-31",SALE!G:G,"Metrocity")</f>
        <v>243</v>
      </c>
      <c r="E10" s="39">
        <f>COUNTIFS(CUSTOMER!G:G,"&gt;="&amp;"2021-10-01",CUSTOMER!G:G,"&lt;="&amp;"2021-10-31",SALE!G:G,"Metrocity")</f>
        <v>10</v>
      </c>
      <c r="F10" s="40">
        <f t="shared" si="0"/>
        <v>0.99148936170212765</v>
      </c>
      <c r="G10" s="40">
        <f t="shared" si="1"/>
        <v>8.5106382978723527E-3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COUNTIFS(CUSTOMER!G:G,"&lt;="&amp;"2021-11-01",CUSTOMER!H:H,"&gt;"&amp;"2021-11-01",SALE!G:G,"Metrocity")</f>
        <v>243</v>
      </c>
      <c r="D11" s="39">
        <f>COUNTIFS(CUSTOMER!G:G,"&lt;="&amp;"2021-11-30",CUSTOMER!H:H,"&gt;="&amp;"2021-11-30",SALE!G:G,"Metrocity")</f>
        <v>250</v>
      </c>
      <c r="E11" s="39">
        <f>COUNTIFS(CUSTOMER!G:G,"&gt;="&amp;"2021-11-01",CUSTOMER!G:G,"&lt;="&amp;"2021-11-30",SALE!G:G,"Metrocity")</f>
        <v>8</v>
      </c>
      <c r="F11" s="40">
        <f t="shared" si="0"/>
        <v>0.99588477366255146</v>
      </c>
      <c r="G11" s="40">
        <f t="shared" si="1"/>
        <v>4.1152263374485409E-3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COUNTIFS(CUSTOMER!G:G,"&lt;="&amp;"2021-12-01",CUSTOMER!H:H,"&gt;"&amp;"2021-12-01",SALE!G:G,"Metrocity")</f>
        <v>250</v>
      </c>
      <c r="D12" s="39">
        <f>COUNTIFS(CUSTOMER!G:G,"&lt;="&amp;"2021-12-31",CUSTOMER!H:H,"&gt;="&amp;"2021-12-31",SALE!G:G,"Metrocity")</f>
        <v>253</v>
      </c>
      <c r="E12" s="39">
        <f>COUNTIFS(CUSTOMER!G:G,"&gt;="&amp;"2021-12-01",CUSTOMER!G:G,"&lt;="&amp;"2021-12-31",SALE!G:G,"Metrocity")</f>
        <v>6</v>
      </c>
      <c r="F12" s="40">
        <f t="shared" si="0"/>
        <v>0.98799999999999999</v>
      </c>
      <c r="G12" s="40">
        <f t="shared" si="1"/>
        <v>1.2000000000000011E-2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COUNTIFS(CUSTOMER!G:G,"&lt;="&amp;"2022-01-01",CUSTOMER!H:H,"&gt;"&amp;"2022-01-01",SALE!G:G,"Metrocity")</f>
        <v>253</v>
      </c>
      <c r="D13" s="41">
        <f>COUNTIFS(CUSTOMER!G:G,"&lt;="&amp;"2022-01-31",CUSTOMER!H:H,"&gt;="&amp;"2022-01-31",SALE!G:G,"Metrocity")</f>
        <v>258</v>
      </c>
      <c r="E13" s="41">
        <f>COUNTIFS(CUSTOMER!G:G,"&gt;="&amp;"2022-01-01",CUSTOMER!G:G,"&lt;="&amp;"2022-01-31",SALE!G:G,"Metrocity")</f>
        <v>8</v>
      </c>
      <c r="F13" s="42">
        <f t="shared" si="0"/>
        <v>0.98814229249011853</v>
      </c>
      <c r="G13" s="42">
        <f t="shared" si="1"/>
        <v>1.1857707509881465E-2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COUNTIFS(CUSTOMER!G:G,"&lt;="&amp;"2022-02-01",CUSTOMER!H:H,"&gt;"&amp;"2022-02-01",SALE!G:G,"Metrocity")</f>
        <v>258</v>
      </c>
      <c r="D14" s="41">
        <f>COUNTIFS(CUSTOMER!G:G,"&lt;="&amp;"2022-02-28",CUSTOMER!H:H,"&gt;="&amp;"2022-02-28",SALE!G:G,"Metrocity")</f>
        <v>257</v>
      </c>
      <c r="E14" s="41">
        <f>COUNTIFS(CUSTOMER!G:G,"&gt;="&amp;"2022-02-01",CUSTOMER!G:G,"&lt;="&amp;"2022-02-28",SALE!G:G,"Metrocity")</f>
        <v>3</v>
      </c>
      <c r="F14" s="42">
        <f t="shared" si="0"/>
        <v>0.98449612403100772</v>
      </c>
      <c r="G14" s="42">
        <f t="shared" si="1"/>
        <v>1.5503875968992276E-2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COUNTIFS(CUSTOMER!G:G,"&lt;="&amp;"2022-03-01",CUSTOMER!H:H,"&gt;"&amp;"2022-03-01",SALE!G:G,"Metrocity")</f>
        <v>257</v>
      </c>
      <c r="D15" s="41">
        <f>COUNTIFS(CUSTOMER!G:G,"&lt;="&amp;"2022-03-31",CUSTOMER!H:H,"&gt;="&amp;"2022-03-31",SALE!G:G,"Metrocity")</f>
        <v>252</v>
      </c>
      <c r="E15" s="41">
        <f>COUNTIFS(CUSTOMER!G:G,"&gt;="&amp;"2022-03-01",CUSTOMER!G:G,"&lt;="&amp;"2022-03-31",SALE!G:G,"Metrocity")</f>
        <v>2</v>
      </c>
      <c r="F15" s="42">
        <f t="shared" si="0"/>
        <v>0.97276264591439687</v>
      </c>
      <c r="G15" s="42">
        <f t="shared" si="1"/>
        <v>2.7237354085603127E-2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COUNTIFS(CUSTOMER!G:G,"&lt;="&amp;"2022-04-01",CUSTOMER!H:H,"&gt;"&amp;"2022-04-01",SALE!G:G,"Metrocity")</f>
        <v>250</v>
      </c>
      <c r="D16" s="41">
        <f>COUNTIFS(CUSTOMER!G:G,"&lt;="&amp;"2022-04-30",CUSTOMER!H:H,"&gt;="&amp;"2022-04-30",SALE!G:G,"Metrocity")</f>
        <v>242</v>
      </c>
      <c r="E16" s="41">
        <f>COUNTIFS(CUSTOMER!G:G,"&gt;="&amp;"2022-04-01",CUSTOMER!G:G,"&lt;="&amp;"2022-04-30",SALE!G:G,"Metrocity")</f>
        <v>1</v>
      </c>
      <c r="F16" s="42">
        <f t="shared" si="0"/>
        <v>0.96399999999999997</v>
      </c>
      <c r="G16" s="42">
        <f t="shared" si="1"/>
        <v>3.6000000000000032E-2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COUNTIFS(CUSTOMER!G:G,"&lt;="&amp;"2022-05-01",CUSTOMER!H:H,"&gt;"&amp;"2022-05-01",SALE!G:G,"Metrocity")</f>
        <v>242</v>
      </c>
      <c r="D17" s="41">
        <f>COUNTIFS(CUSTOMER!G:G,"&lt;="&amp;"2022-05-31",CUSTOMER!H:H,"&gt;="&amp;"2022-05-31",SALE!G:G,"Metrocity")</f>
        <v>238</v>
      </c>
      <c r="E17" s="41">
        <f>COUNTIFS(CUSTOMER!G:G,"&gt;="&amp;"2022-05-01",CUSTOMER!G:G,"&lt;="&amp;"2022-05-31",SALE!G:G,"Metrocity")</f>
        <v>2</v>
      </c>
      <c r="F17" s="42">
        <f t="shared" si="0"/>
        <v>0.97520661157024791</v>
      </c>
      <c r="G17" s="42">
        <f t="shared" si="1"/>
        <v>2.4793388429752095E-2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COUNTIFS(CUSTOMER!G:G,"&lt;="&amp;"2022-06-01",CUSTOMER!H:H,"&gt;"&amp;"2022-06-01",SALE!G:G,"Metrocity")</f>
        <v>236</v>
      </c>
      <c r="D18" s="41">
        <f>COUNTIFS(CUSTOMER!G:G,"&lt;="&amp;"2022-06-30",CUSTOMER!H:H,"&gt;="&amp;"2022-06-30",SALE!G:G,"Metrocity")</f>
        <v>229</v>
      </c>
      <c r="E18" s="41">
        <f>COUNTIFS(CUSTOMER!G:G,"&gt;="&amp;"2022-06-01",CUSTOMER!G:G,"&lt;="&amp;"2022-06-30",SALE!G:G,"Metrocity")</f>
        <v>0</v>
      </c>
      <c r="F18" s="42">
        <f t="shared" si="0"/>
        <v>0.97033898305084743</v>
      </c>
      <c r="G18" s="42">
        <f t="shared" si="1"/>
        <v>2.9661016949152574E-2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COUNTIFS(CUSTOMER!G:G,"&lt;="&amp;"2022-07-01",CUSTOMER!H:H,"&gt;"&amp;"2022-07-01",SALE!G:G,"Metrocity")</f>
        <v>228</v>
      </c>
      <c r="D19" s="41">
        <f>COUNTIFS(CUSTOMER!G:G,"&lt;="&amp;"2022-07-31",CUSTOMER!H:H,"&gt;="&amp;"2022-07-31",SALE!G:G,"Metrocity")</f>
        <v>217</v>
      </c>
      <c r="E19" s="41">
        <f>COUNTIFS(CUSTOMER!G:G,"&gt;="&amp;"2022-07-01",CUSTOMER!G:G,"&lt;="&amp;"2022-07-31",SALE!G:G,"Metrocity")</f>
        <v>0</v>
      </c>
      <c r="F19" s="42">
        <f t="shared" si="0"/>
        <v>0.95175438596491224</v>
      </c>
      <c r="G19" s="42">
        <f t="shared" si="1"/>
        <v>4.8245614035087758E-2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COUNTIFS(CUSTOMER!G:G,"&lt;="&amp;"2022-08-01",CUSTOMER!H:H,"&gt;"&amp;"2022-08-01",SALE!G:G,"Metrocity")</f>
        <v>216</v>
      </c>
      <c r="D20" s="41">
        <f>COUNTIFS(CUSTOMER!G:G,"&lt;="&amp;"2022-08-31",CUSTOMER!H:H,"&gt;="&amp;"2022-08-31",SALE!G:G,"Metrocity")</f>
        <v>201</v>
      </c>
      <c r="E20" s="41">
        <f>COUNTIFS(CUSTOMER!G:G,"&gt;="&amp;"2022-08-01",CUSTOMER!G:G,"&lt;="&amp;"2022-08-31",SALE!G:G,"Metrocity")</f>
        <v>3</v>
      </c>
      <c r="F20" s="42">
        <f t="shared" si="0"/>
        <v>0.91666666666666663</v>
      </c>
      <c r="G20" s="42">
        <f t="shared" si="1"/>
        <v>8.333333333333337E-2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COUNTIFS(CUSTOMER!G:G,"&lt;="&amp;"2022-09-01",CUSTOMER!H:H,"&gt;"&amp;"2022-09-01",SALE!G:G,"Metrocity")</f>
        <v>200</v>
      </c>
      <c r="D21" s="41">
        <f>COUNTIFS(CUSTOMER!G:G,"&lt;="&amp;"2022-09-30",CUSTOMER!H:H,"&gt;="&amp;"2022-09-30",SALE!G:G,"Metrocity")</f>
        <v>185</v>
      </c>
      <c r="E21" s="41">
        <f>COUNTIFS(CUSTOMER!G:G,"&gt;="&amp;"2022-09-01",CUSTOMER!G:G,"&lt;="&amp;"2022-09-30",SALE!G:G,"Metrocity")</f>
        <v>0</v>
      </c>
      <c r="F21" s="42">
        <f t="shared" si="0"/>
        <v>0.92500000000000004</v>
      </c>
      <c r="G21" s="42">
        <f t="shared" si="1"/>
        <v>7.4999999999999956E-2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COUNTIFS(CUSTOMER!G:G,"&lt;="&amp;"2022-10-01",CUSTOMER!H:H,"&gt;"&amp;"2022-10-01",SALE!G:G,"Metrocity")</f>
        <v>181</v>
      </c>
      <c r="D22" s="41">
        <f>COUNTIFS(CUSTOMER!G:G,"&lt;="&amp;"2022-10-31",CUSTOMER!H:H,"&gt;="&amp;"2022-10-31",SALE!G:G,"Metrocity")</f>
        <v>164</v>
      </c>
      <c r="E22" s="41">
        <f>COUNTIFS(CUSTOMER!G:G,"&gt;="&amp;"2022-10-01",CUSTOMER!G:G,"&lt;="&amp;"2022-10-31",SALE!G:G,"Metrocity")</f>
        <v>1</v>
      </c>
      <c r="F22" s="42">
        <f t="shared" si="0"/>
        <v>0.90055248618784534</v>
      </c>
      <c r="G22" s="42">
        <f t="shared" si="1"/>
        <v>9.9447513812154664E-2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COUNTIFS(CUSTOMER!G:G,"&lt;="&amp;"2022-11-01",CUSTOMER!H:H,"&gt;"&amp;"2022-11-01",SALE!G:G,"Metrocity")</f>
        <v>164</v>
      </c>
      <c r="D23" s="41">
        <f>COUNTIFS(CUSTOMER!G:G,"&lt;="&amp;"2022-11-30",CUSTOMER!H:H,"&gt;="&amp;"2022-11-30",SALE!G:G,"Metrocity")</f>
        <v>139</v>
      </c>
      <c r="E23" s="41">
        <f>COUNTIFS(CUSTOMER!G:G,"&gt;="&amp;"2022-11-01",CUSTOMER!G:G,"&lt;="&amp;"2022-11-30",SALE!G:G,"Metrocity")</f>
        <v>0</v>
      </c>
      <c r="F23" s="42">
        <f t="shared" si="0"/>
        <v>0.84756097560975607</v>
      </c>
      <c r="G23" s="42">
        <f t="shared" si="1"/>
        <v>0.15243902439024393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COUNTIFS(CUSTOMER!G:G,"&lt;="&amp;"2022-12-01",CUSTOMER!H:H,"&gt;"&amp;"2022-12-01",SALE!G:G,"Metrocity")</f>
        <v>138</v>
      </c>
      <c r="D24" s="41">
        <f>COUNTIFS(CUSTOMER!G:G,"&lt;="&amp;"2022-12-31",CUSTOMER!H:H,"&gt;="&amp;"2022-12-31",SALE!G:G,"Metrocity")</f>
        <v>108</v>
      </c>
      <c r="E24" s="41">
        <f>COUNTIFS(CUSTOMER!G:G,"&gt;="&amp;"2022-12-01",CUSTOMER!G:G,"&lt;="&amp;"2022-12-31",SALE!G:G,"Metrocity")</f>
        <v>1</v>
      </c>
      <c r="F24" s="42">
        <f t="shared" si="0"/>
        <v>0.77536231884057971</v>
      </c>
      <c r="G24" s="42">
        <f t="shared" si="1"/>
        <v>0.22463768115942029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COUNTIFS(CUSTOMER!G:G,"&lt;="&amp;"2023-01-01",CUSTOMER!H:H,"&gt;"&amp;"2023-01-01",SALE!G:G,"Metrocity")</f>
        <v>107</v>
      </c>
      <c r="D25" s="31">
        <f>COUNTIFS(CUSTOMER!G:G,"&lt;="&amp;"2023-01-31",CUSTOMER!H:H,"&gt;="&amp;"2023-01-31",SALE!G:G,"Metrocity")</f>
        <v>64</v>
      </c>
      <c r="E25" s="31">
        <f>COUNTIFS(CUSTOMER!G:G,"&gt;="&amp;"2023-01-01",CUSTOMER!G:G,"&lt;="&amp;"2023-01-31",SALE!G:G,"Metrocity")</f>
        <v>2</v>
      </c>
      <c r="F25" s="44">
        <f t="shared" si="0"/>
        <v>0.57943925233644855</v>
      </c>
      <c r="G25" s="51">
        <f t="shared" si="1"/>
        <v>0.42056074766355145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COUNTIFS(CUSTOMER!G:G,"&lt;="&amp;"2023-02-01",CUSTOMER!H:H,"&gt;"&amp;"2023-02-01",SALE!G:G,"Metrocity")</f>
        <v>61</v>
      </c>
      <c r="D26" s="31">
        <f>COUNTIFS(CUSTOMER!G:G,"&lt;="&amp;"2023-02-28",CUSTOMER!H:H,"&gt;="&amp;"2023-02-28",SALE!G:G,"Metrocity")</f>
        <v>15</v>
      </c>
      <c r="E26" s="31">
        <f>COUNTIFS(CUSTOMER!G:G,"&gt;="&amp;"2023-02-01",CUSTOMER!G:G,"&lt;="&amp;"2023-02-28",SALE!G:G,"Metrocity")</f>
        <v>0</v>
      </c>
      <c r="F26" s="44">
        <f t="shared" si="0"/>
        <v>0.24590163934426229</v>
      </c>
      <c r="G26" s="51">
        <f t="shared" si="1"/>
        <v>0.75409836065573765</v>
      </c>
    </row>
    <row r="27" spans="1:7" x14ac:dyDescent="0.3">
      <c r="A27" s="37"/>
      <c r="F27" s="54">
        <f>AVERAGE(F2:F26)</f>
        <v>0.91592973128613009</v>
      </c>
      <c r="G27" s="30">
        <f t="shared" si="1"/>
        <v>8.4070268713869911E-2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0D6E-7B38-4864-93B9-246F2868D534}">
  <dimension ref="A1:I39"/>
  <sheetViews>
    <sheetView topLeftCell="A10" workbookViewId="0">
      <selection activeCell="F27" sqref="F27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SALE!G:G,"Metropol AVM")</f>
        <v>24</v>
      </c>
      <c r="D2" s="39">
        <f>COUNTIFS(CUSTOMER!G:G,"&lt;="&amp;"2021-02-28",CUSTOMER!H:H,"&gt;="&amp;"2021-02-28",SALE!G:G,"Metropol AVM")</f>
        <v>58</v>
      </c>
      <c r="E2" s="39">
        <f>COUNTIFS(CUSTOMER!G:G,"&gt;="&amp;"2021-02-01",CUSTOMER!G:G,"&lt;="&amp;"2021-02-28",SALE!G:G,"Metropol AVM")</f>
        <v>34</v>
      </c>
      <c r="F2" s="40">
        <f>((D2-E2)*100%)/C2</f>
        <v>1</v>
      </c>
      <c r="G2" s="40">
        <f>1-F2</f>
        <v>0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SALE!G:G,"Metropol AVM")</f>
        <v>59</v>
      </c>
      <c r="D3" s="39">
        <f>COUNTIFS(CUSTOMER!G:G,"&lt;="&amp;"2021-03-31",CUSTOMER!H:H,"&gt;="&amp;"2021-03-31",SALE!G:G,"Metropol AVM")</f>
        <v>89</v>
      </c>
      <c r="E3" s="39">
        <f>COUNTIFS(CUSTOMER!G:G,"&gt;="&amp;"2021-03-01",CUSTOMER!G:G,"&lt;="&amp;"2021-03-31",SALE!G:G,"Metropol AVM")</f>
        <v>31</v>
      </c>
      <c r="F3" s="40">
        <f t="shared" ref="F3:F26" si="0">((D3-E3)*100%)/C3</f>
        <v>0.98305084745762716</v>
      </c>
      <c r="G3" s="40">
        <f t="shared" ref="G3:G27" si="1">1-F3</f>
        <v>1.6949152542372836E-2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COUNTIFS(CUSTOMER!G:G,"&lt;="&amp;"2021-04-01",CUSTOMER!H:H,"&gt;"&amp;"2021-04-01",SALE!G:G,"Metropol AVM")</f>
        <v>89</v>
      </c>
      <c r="D4" s="39">
        <f>COUNTIFS(CUSTOMER!G:G,"&lt;="&amp;"2021-04-30",CUSTOMER!H:H,"&gt;="&amp;"2021-04-30",SALE!G:G,"Metropol AVM")</f>
        <v>101</v>
      </c>
      <c r="E4" s="39">
        <f>COUNTIFS(CUSTOMER!G:G,"&gt;="&amp;"2021-04-01",CUSTOMER!G:G,"&lt;="&amp;"2021-04-30",SALE!G:G,"Metropol AVM")</f>
        <v>13</v>
      </c>
      <c r="F4" s="40">
        <f t="shared" si="0"/>
        <v>0.9887640449438202</v>
      </c>
      <c r="G4" s="40">
        <f t="shared" si="1"/>
        <v>1.1235955056179803E-2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COUNTIFS(CUSTOMER!G:G,"&lt;="&amp;"2021-05-01",CUSTOMER!H:H,"&gt;"&amp;"2021-05-01",SALE!G:G,"Metropol AVM")</f>
        <v>101</v>
      </c>
      <c r="D5" s="39">
        <f>COUNTIFS(CUSTOMER!G:G,"&lt;="&amp;"2021-05-31",CUSTOMER!H:H,"&gt;="&amp;"2021-05-31",SALE!G:G,"Metropol AVM")</f>
        <v>111</v>
      </c>
      <c r="E5" s="39">
        <f>COUNTIFS(CUSTOMER!G:G,"&gt;="&amp;"2021-05-01",CUSTOMER!G:G,"&lt;="&amp;"2021-05-31",SALE!G:G,"Metropol AVM")</f>
        <v>10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COUNTIFS(CUSTOMER!G:G,"&lt;="&amp;"2021-06-01",CUSTOMER!H:H,"&gt;"&amp;"2021-06-01",SALE!G:G,"Metropol AVM")</f>
        <v>112</v>
      </c>
      <c r="D6" s="39">
        <f>COUNTIFS(CUSTOMER!G:G,"&lt;="&amp;"2021-06-30",CUSTOMER!H:H,"&gt;="&amp;"2021-06-30",SALE!G:G,"Metropol AVM")</f>
        <v>127</v>
      </c>
      <c r="E6" s="39">
        <f>COUNTIFS(CUSTOMER!G:G,"&gt;="&amp;"2021-06-01",CUSTOMER!G:G,"&lt;="&amp;"2021-06-30",SALE!G:G,"Metropol AVM")</f>
        <v>16</v>
      </c>
      <c r="F6" s="40">
        <f t="shared" si="0"/>
        <v>0.9910714285714286</v>
      </c>
      <c r="G6" s="40">
        <f t="shared" si="1"/>
        <v>8.9285714285713969E-3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COUNTIFS(CUSTOMER!G:G,"&lt;="&amp;"2021-07-01",CUSTOMER!H:H,"&gt;"&amp;"2021-07-01",SALE!G:G,"Metropol AVM")</f>
        <v>127</v>
      </c>
      <c r="D7" s="39">
        <f>COUNTIFS(CUSTOMER!G:G,"&lt;="&amp;"2021-07-31",CUSTOMER!H:H,"&gt;="&amp;"2021-07-31",SALE!G:G,"Metropol AVM")</f>
        <v>142</v>
      </c>
      <c r="E7" s="39">
        <f>COUNTIFS(CUSTOMER!G:G,"&gt;="&amp;"2021-07-01",CUSTOMER!G:G,"&lt;="&amp;"2021-07-31",SALE!G:G,"Metropol AVM")</f>
        <v>16</v>
      </c>
      <c r="F7" s="40">
        <f t="shared" si="0"/>
        <v>0.99212598425196852</v>
      </c>
      <c r="G7" s="40">
        <f t="shared" si="1"/>
        <v>7.8740157480314821E-3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COUNTIFS(CUSTOMER!G:G,"&lt;="&amp;"2021-08-01",CUSTOMER!H:H,"&gt;"&amp;"2021-08-01",SALE!G:G,"Metropol AVM")</f>
        <v>142</v>
      </c>
      <c r="D8" s="39">
        <f>COUNTIFS(CUSTOMER!G:G,"&lt;="&amp;"2021-08-31",CUSTOMER!H:H,"&gt;="&amp;"2021-08-31",SALE!G:G,"Metropol AVM")</f>
        <v>149</v>
      </c>
      <c r="E8" s="39">
        <f>COUNTIFS(CUSTOMER!G:G,"&gt;="&amp;"2021-08-01",CUSTOMER!G:G,"&lt;="&amp;"2021-08-31",SALE!G:G,"Metropol AVM")</f>
        <v>11</v>
      </c>
      <c r="F8" s="40">
        <f t="shared" si="0"/>
        <v>0.971830985915493</v>
      </c>
      <c r="G8" s="40">
        <f t="shared" si="1"/>
        <v>2.8169014084507005E-2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COUNTIFS(CUSTOMER!G:G,"&lt;="&amp;"2021-09-01",CUSTOMER!H:H,"&gt;"&amp;"2021-09-01",SALE!G:G,"Metropol AVM")</f>
        <v>149</v>
      </c>
      <c r="D9" s="39">
        <f>COUNTIFS(CUSTOMER!G:G,"&lt;="&amp;"2021-09-30",CUSTOMER!H:H,"&gt;="&amp;"2021-09-30",SALE!G:G,"Metropol AVM")</f>
        <v>156</v>
      </c>
      <c r="E9" s="39">
        <f>COUNTIFS(CUSTOMER!G:G,"&gt;="&amp;"2021-09-01",CUSTOMER!G:G,"&lt;="&amp;"2021-09-30",SALE!G:G,"Metropol AVM")</f>
        <v>8</v>
      </c>
      <c r="F9" s="40">
        <f t="shared" si="0"/>
        <v>0.99328859060402686</v>
      </c>
      <c r="G9" s="40">
        <f t="shared" si="1"/>
        <v>6.7114093959731447E-3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COUNTIFS(CUSTOMER!G:G,"&lt;="&amp;"2021-10-01",CUSTOMER!H:H,"&gt;"&amp;"2021-10-01",SALE!G:G,"Metropol AVM")</f>
        <v>156</v>
      </c>
      <c r="D10" s="39">
        <f>COUNTIFS(CUSTOMER!G:G,"&lt;="&amp;"2021-10-31",CUSTOMER!H:H,"&gt;="&amp;"2021-10-31",SALE!G:G,"Metropol AVM")</f>
        <v>166</v>
      </c>
      <c r="E10" s="39">
        <f>COUNTIFS(CUSTOMER!G:G,"&gt;="&amp;"2021-10-01",CUSTOMER!G:G,"&lt;="&amp;"2021-10-31",SALE!G:G,"Metropol AVM")</f>
        <v>11</v>
      </c>
      <c r="F10" s="40">
        <f t="shared" si="0"/>
        <v>0.99358974358974361</v>
      </c>
      <c r="G10" s="40">
        <f t="shared" si="1"/>
        <v>6.4102564102563875E-3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COUNTIFS(CUSTOMER!G:G,"&lt;="&amp;"2021-11-01",CUSTOMER!H:H,"&gt;"&amp;"2021-11-01",SALE!G:G,"Metropol AVM")</f>
        <v>166</v>
      </c>
      <c r="D11" s="39">
        <f>COUNTIFS(CUSTOMER!G:G,"&lt;="&amp;"2021-11-30",CUSTOMER!H:H,"&gt;="&amp;"2021-11-30",SALE!G:G,"Metropol AVM")</f>
        <v>168</v>
      </c>
      <c r="E11" s="39">
        <f>COUNTIFS(CUSTOMER!G:G,"&gt;="&amp;"2021-11-01",CUSTOMER!G:G,"&lt;="&amp;"2021-11-30",SALE!G:G,"Metropol AVM")</f>
        <v>4</v>
      </c>
      <c r="F11" s="40">
        <f t="shared" si="0"/>
        <v>0.98795180722891562</v>
      </c>
      <c r="G11" s="40">
        <f t="shared" si="1"/>
        <v>1.2048192771084376E-2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COUNTIFS(CUSTOMER!G:G,"&lt;="&amp;"2021-12-01",CUSTOMER!H:H,"&gt;"&amp;"2021-12-01",SALE!G:G,"Metropol AVM")</f>
        <v>168</v>
      </c>
      <c r="D12" s="39">
        <f>COUNTIFS(CUSTOMER!G:G,"&lt;="&amp;"2021-12-31",CUSTOMER!H:H,"&gt;="&amp;"2021-12-31",SALE!G:G,"Metropol AVM")</f>
        <v>171</v>
      </c>
      <c r="E12" s="39">
        <f>COUNTIFS(CUSTOMER!G:G,"&gt;="&amp;"2021-12-01",CUSTOMER!G:G,"&lt;="&amp;"2021-12-31",SALE!G:G,"Metropol AVM")</f>
        <v>6</v>
      </c>
      <c r="F12" s="40">
        <f t="shared" si="0"/>
        <v>0.9821428571428571</v>
      </c>
      <c r="G12" s="40">
        <f t="shared" si="1"/>
        <v>1.7857142857142905E-2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COUNTIFS(CUSTOMER!G:G,"&lt;="&amp;"2022-01-01",CUSTOMER!H:H,"&gt;"&amp;"2022-01-01",SALE!G:G,"Metropol AVM")</f>
        <v>171</v>
      </c>
      <c r="D13" s="41">
        <f>COUNTIFS(CUSTOMER!G:G,"&lt;="&amp;"2022-01-31",CUSTOMER!H:H,"&gt;="&amp;"2022-01-31",SALE!G:G,"Metropol AVM")</f>
        <v>174</v>
      </c>
      <c r="E13" s="41">
        <f>COUNTIFS(CUSTOMER!G:G,"&gt;="&amp;"2022-01-01",CUSTOMER!G:G,"&lt;="&amp;"2022-01-31",SALE!G:G,"Metropol AVM")</f>
        <v>6</v>
      </c>
      <c r="F13" s="42">
        <f t="shared" si="0"/>
        <v>0.98245614035087714</v>
      </c>
      <c r="G13" s="42">
        <f t="shared" si="1"/>
        <v>1.7543859649122862E-2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COUNTIFS(CUSTOMER!G:G,"&lt;="&amp;"2022-02-01",CUSTOMER!H:H,"&gt;"&amp;"2022-02-01",SALE!G:G,"Metropol AVM")</f>
        <v>174</v>
      </c>
      <c r="D14" s="41">
        <f>COUNTIFS(CUSTOMER!G:G,"&lt;="&amp;"2022-02-28",CUSTOMER!H:H,"&gt;="&amp;"2022-02-28",SALE!G:G,"Metropol AVM")</f>
        <v>172</v>
      </c>
      <c r="E14" s="41">
        <f>COUNTIFS(CUSTOMER!G:G,"&gt;="&amp;"2022-02-01",CUSTOMER!G:G,"&lt;="&amp;"2022-02-28",SALE!G:G,"Metropol AVM")</f>
        <v>3</v>
      </c>
      <c r="F14" s="42">
        <f t="shared" si="0"/>
        <v>0.97126436781609193</v>
      </c>
      <c r="G14" s="42">
        <f t="shared" si="1"/>
        <v>2.8735632183908066E-2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COUNTIFS(CUSTOMER!G:G,"&lt;="&amp;"2022-03-01",CUSTOMER!H:H,"&gt;"&amp;"2022-03-01",SALE!G:G,"Metropol AVM")</f>
        <v>172</v>
      </c>
      <c r="D15" s="41">
        <f>COUNTIFS(CUSTOMER!G:G,"&lt;="&amp;"2022-03-31",CUSTOMER!H:H,"&gt;="&amp;"2022-03-31",SALE!G:G,"Metropol AVM")</f>
        <v>171</v>
      </c>
      <c r="E15" s="41">
        <f>COUNTIFS(CUSTOMER!G:G,"&gt;="&amp;"2022-03-01",CUSTOMER!G:G,"&lt;="&amp;"2022-03-31",SALE!G:G,"Metropol AVM")</f>
        <v>3</v>
      </c>
      <c r="F15" s="42">
        <f t="shared" si="0"/>
        <v>0.97674418604651159</v>
      </c>
      <c r="G15" s="42">
        <f t="shared" si="1"/>
        <v>2.3255813953488413E-2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COUNTIFS(CUSTOMER!G:G,"&lt;="&amp;"2022-04-01",CUSTOMER!H:H,"&gt;"&amp;"2022-04-01",SALE!G:G,"Metropol AVM")</f>
        <v>171</v>
      </c>
      <c r="D16" s="41">
        <f>COUNTIFS(CUSTOMER!G:G,"&lt;="&amp;"2022-04-30",CUSTOMER!H:H,"&gt;="&amp;"2022-04-30",SALE!G:G,"Metropol AVM")</f>
        <v>168</v>
      </c>
      <c r="E16" s="41">
        <f>COUNTIFS(CUSTOMER!G:G,"&gt;="&amp;"2022-04-01",CUSTOMER!G:G,"&lt;="&amp;"2022-04-30",SALE!G:G,"Metropol AVM")</f>
        <v>1</v>
      </c>
      <c r="F16" s="42">
        <f t="shared" si="0"/>
        <v>0.97660818713450293</v>
      </c>
      <c r="G16" s="42">
        <f t="shared" si="1"/>
        <v>2.3391812865497075E-2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COUNTIFS(CUSTOMER!G:G,"&lt;="&amp;"2022-05-01",CUSTOMER!H:H,"&gt;"&amp;"2022-05-01",SALE!G:G,"Metropol AVM")</f>
        <v>168</v>
      </c>
      <c r="D17" s="41">
        <f>COUNTIFS(CUSTOMER!G:G,"&lt;="&amp;"2022-05-31",CUSTOMER!H:H,"&gt;="&amp;"2022-05-31",SALE!G:G,"Metropol AVM")</f>
        <v>164</v>
      </c>
      <c r="E17" s="41">
        <f>COUNTIFS(CUSTOMER!G:G,"&gt;="&amp;"2022-05-01",CUSTOMER!G:G,"&lt;="&amp;"2022-05-31",SALE!G:G,"Metropol AVM")</f>
        <v>2</v>
      </c>
      <c r="F17" s="42">
        <f t="shared" si="0"/>
        <v>0.9642857142857143</v>
      </c>
      <c r="G17" s="42">
        <f t="shared" si="1"/>
        <v>3.5714285714285698E-2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COUNTIFS(CUSTOMER!G:G,"&lt;="&amp;"2022-06-01",CUSTOMER!H:H,"&gt;"&amp;"2022-06-01",SALE!G:G,"Metropol AVM")</f>
        <v>162</v>
      </c>
      <c r="D18" s="41">
        <f>COUNTIFS(CUSTOMER!G:G,"&lt;="&amp;"2022-06-30",CUSTOMER!H:H,"&gt;="&amp;"2022-06-30",SALE!G:G,"Metropol AVM")</f>
        <v>160</v>
      </c>
      <c r="E18" s="41">
        <f>COUNTIFS(CUSTOMER!G:G,"&gt;="&amp;"2022-06-01",CUSTOMER!G:G,"&lt;="&amp;"2022-06-30",SALE!G:G,"Metropol AVM")</f>
        <v>2</v>
      </c>
      <c r="F18" s="42">
        <f t="shared" si="0"/>
        <v>0.97530864197530864</v>
      </c>
      <c r="G18" s="42">
        <f t="shared" si="1"/>
        <v>2.4691358024691357E-2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COUNTIFS(CUSTOMER!G:G,"&lt;="&amp;"2022-07-01",CUSTOMER!H:H,"&gt;"&amp;"2022-07-01",SALE!G:G,"Metropol AVM")</f>
        <v>160</v>
      </c>
      <c r="D19" s="41">
        <f>COUNTIFS(CUSTOMER!G:G,"&lt;="&amp;"2022-07-31",CUSTOMER!H:H,"&gt;="&amp;"2022-07-31",SALE!G:G,"Metropol AVM")</f>
        <v>156</v>
      </c>
      <c r="E19" s="41">
        <f>COUNTIFS(CUSTOMER!G:G,"&gt;="&amp;"2022-07-01",CUSTOMER!G:G,"&lt;="&amp;"2022-07-31",SALE!G:G,"Metropol AVM")</f>
        <v>1</v>
      </c>
      <c r="F19" s="42">
        <f t="shared" si="0"/>
        <v>0.96875</v>
      </c>
      <c r="G19" s="42">
        <f t="shared" si="1"/>
        <v>3.125E-2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COUNTIFS(CUSTOMER!G:G,"&lt;="&amp;"2022-08-01",CUSTOMER!H:H,"&gt;"&amp;"2022-08-01",SALE!G:G,"Metropol AVM")</f>
        <v>156</v>
      </c>
      <c r="D20" s="41">
        <f>COUNTIFS(CUSTOMER!G:G,"&lt;="&amp;"2022-08-31",CUSTOMER!H:H,"&gt;="&amp;"2022-08-31",SALE!G:G,"Metropol AVM")</f>
        <v>148</v>
      </c>
      <c r="E20" s="41">
        <f>COUNTIFS(CUSTOMER!G:G,"&gt;="&amp;"2022-08-01",CUSTOMER!G:G,"&lt;="&amp;"2022-08-31",SALE!G:G,"Metropol AVM")</f>
        <v>2</v>
      </c>
      <c r="F20" s="42">
        <f t="shared" si="0"/>
        <v>0.9358974358974359</v>
      </c>
      <c r="G20" s="42">
        <f t="shared" si="1"/>
        <v>6.4102564102564097E-2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COUNTIFS(CUSTOMER!G:G,"&lt;="&amp;"2022-09-01",CUSTOMER!H:H,"&gt;"&amp;"2022-09-01",SALE!G:G,"Metropol AVM")</f>
        <v>148</v>
      </c>
      <c r="D21" s="41">
        <f>COUNTIFS(CUSTOMER!G:G,"&lt;="&amp;"2022-09-30",CUSTOMER!H:H,"&gt;="&amp;"2022-09-30",SALE!G:G,"Metropol AVM")</f>
        <v>141</v>
      </c>
      <c r="E21" s="41">
        <f>COUNTIFS(CUSTOMER!G:G,"&gt;="&amp;"2022-09-01",CUSTOMER!G:G,"&lt;="&amp;"2022-09-30",SALE!G:G,"Metropol AVM")</f>
        <v>0</v>
      </c>
      <c r="F21" s="42">
        <f t="shared" si="0"/>
        <v>0.95270270270270274</v>
      </c>
      <c r="G21" s="42">
        <f t="shared" si="1"/>
        <v>4.7297297297297258E-2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COUNTIFS(CUSTOMER!G:G,"&lt;="&amp;"2022-10-01",CUSTOMER!H:H,"&gt;"&amp;"2022-10-01",SALE!G:G,"Metropol AVM")</f>
        <v>139</v>
      </c>
      <c r="D22" s="41">
        <f>COUNTIFS(CUSTOMER!G:G,"&lt;="&amp;"2022-10-31",CUSTOMER!H:H,"&gt;="&amp;"2022-10-31",SALE!G:G,"Metropol AVM")</f>
        <v>126</v>
      </c>
      <c r="E22" s="41">
        <f>COUNTIFS(CUSTOMER!G:G,"&gt;="&amp;"2022-10-01",CUSTOMER!G:G,"&lt;="&amp;"2022-10-31",SALE!G:G,"Metropol AVM")</f>
        <v>1</v>
      </c>
      <c r="F22" s="42">
        <f t="shared" si="0"/>
        <v>0.89928057553956831</v>
      </c>
      <c r="G22" s="42">
        <f t="shared" si="1"/>
        <v>0.10071942446043169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COUNTIFS(CUSTOMER!G:G,"&lt;="&amp;"2022-11-01",CUSTOMER!H:H,"&gt;"&amp;"2022-11-01",SALE!G:G,"Metropol AVM")</f>
        <v>124</v>
      </c>
      <c r="D23" s="41">
        <f>COUNTIFS(CUSTOMER!G:G,"&lt;="&amp;"2022-11-30",CUSTOMER!H:H,"&gt;="&amp;"2022-11-30",SALE!G:G,"Metropol AVM")</f>
        <v>100</v>
      </c>
      <c r="E23" s="41">
        <f>COUNTIFS(CUSTOMER!G:G,"&gt;="&amp;"2022-11-01",CUSTOMER!G:G,"&lt;="&amp;"2022-11-30",SALE!G:G,"Metropol AVM")</f>
        <v>0</v>
      </c>
      <c r="F23" s="42">
        <f t="shared" si="0"/>
        <v>0.80645161290322576</v>
      </c>
      <c r="G23" s="42">
        <f t="shared" si="1"/>
        <v>0.19354838709677424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COUNTIFS(CUSTOMER!G:G,"&lt;="&amp;"2022-12-01",CUSTOMER!H:H,"&gt;"&amp;"2022-12-01",SALE!G:G,"Metropol AVM")</f>
        <v>100</v>
      </c>
      <c r="D24" s="41">
        <f>COUNTIFS(CUSTOMER!G:G,"&lt;="&amp;"2022-12-31",CUSTOMER!H:H,"&gt;="&amp;"2022-12-31",SALE!G:G,"Metropol AVM")</f>
        <v>68</v>
      </c>
      <c r="E24" s="41">
        <f>COUNTIFS(CUSTOMER!G:G,"&gt;="&amp;"2022-12-01",CUSTOMER!G:G,"&lt;="&amp;"2022-12-31",SALE!G:G,"Metropol AVM")</f>
        <v>0</v>
      </c>
      <c r="F24" s="42">
        <f t="shared" si="0"/>
        <v>0.68</v>
      </c>
      <c r="G24" s="42">
        <f t="shared" si="1"/>
        <v>0.31999999999999995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COUNTIFS(CUSTOMER!G:G,"&lt;="&amp;"2023-01-01",CUSTOMER!H:H,"&gt;"&amp;"2023-01-01",SALE!G:G,"Metropol AVM")</f>
        <v>65</v>
      </c>
      <c r="D25" s="31">
        <f>COUNTIFS(CUSTOMER!G:G,"&lt;="&amp;"2023-01-31",CUSTOMER!H:H,"&gt;="&amp;"2023-01-31",SALE!G:G,"Metropol AVM")</f>
        <v>45</v>
      </c>
      <c r="E25" s="31">
        <f>COUNTIFS(CUSTOMER!G:G,"&gt;="&amp;"2023-01-01",CUSTOMER!G:G,"&lt;="&amp;"2023-01-31",SALE!G:G,"Metropol AVM")</f>
        <v>0</v>
      </c>
      <c r="F25" s="44">
        <f t="shared" si="0"/>
        <v>0.69230769230769229</v>
      </c>
      <c r="G25" s="51">
        <f t="shared" si="1"/>
        <v>0.30769230769230771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COUNTIFS(CUSTOMER!G:G,"&lt;="&amp;"2023-02-01",CUSTOMER!H:H,"&gt;"&amp;"2023-02-01",SALE!G:G,"Metropol AVM")</f>
        <v>44</v>
      </c>
      <c r="D26" s="31">
        <f>COUNTIFS(CUSTOMER!G:G,"&lt;="&amp;"2023-02-28",CUSTOMER!H:H,"&gt;="&amp;"2023-02-28",SALE!G:G,"Metropol AVM")</f>
        <v>10</v>
      </c>
      <c r="E26" s="31">
        <f>COUNTIFS(CUSTOMER!G:G,"&gt;="&amp;"2023-02-01",CUSTOMER!G:G,"&lt;="&amp;"2023-02-28",SALE!G:G,"Metropol AVM")</f>
        <v>1</v>
      </c>
      <c r="F26" s="44">
        <f t="shared" si="0"/>
        <v>0.20454545454545456</v>
      </c>
      <c r="G26" s="51">
        <f t="shared" si="1"/>
        <v>0.79545454545454541</v>
      </c>
    </row>
    <row r="27" spans="1:7" x14ac:dyDescent="0.3">
      <c r="A27" s="37"/>
      <c r="F27" s="54">
        <f>AVERAGE(F2:F26)</f>
        <v>0.91481676004843848</v>
      </c>
      <c r="G27" s="30">
        <f t="shared" si="1"/>
        <v>8.5183239951561518E-2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3C06-AB23-4D4D-B1EC-FEF0DB1D5CF2}">
  <dimension ref="A1:I39"/>
  <sheetViews>
    <sheetView workbookViewId="0">
      <selection activeCell="D6" sqref="D6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SALE!G:G,"Viaport Outlet")</f>
        <v>18</v>
      </c>
      <c r="D2" s="39">
        <f>COUNTIFS(CUSTOMER!G:G,"&lt;="&amp;"2021-02-28",CUSTOMER!H:H,"&gt;="&amp;"2021-02-28",SALE!G:G,"Viaport Outlet")</f>
        <v>30</v>
      </c>
      <c r="E2" s="39">
        <f>COUNTIFS(CUSTOMER!G:G,"&gt;="&amp;"2021-02-01",CUSTOMER!G:G,"&lt;="&amp;"2021-02-28",SALE!G:G,"Viaport Outlet")</f>
        <v>13</v>
      </c>
      <c r="F2" s="40">
        <f>((D2-E2)*100%)/C2</f>
        <v>0.94444444444444442</v>
      </c>
      <c r="G2" s="40">
        <f>1-F2</f>
        <v>5.555555555555558E-2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SALE!G:G,"Viaport Outlet")</f>
        <v>30</v>
      </c>
      <c r="D3" s="39">
        <f>COUNTIFS(CUSTOMER!G:G,"&lt;="&amp;"2021-03-31",CUSTOMER!H:H,"&gt;="&amp;"2021-03-31",SALE!G:G,"Viaport Outlet")</f>
        <v>45</v>
      </c>
      <c r="E3" s="39">
        <f>COUNTIFS(CUSTOMER!G:G,"&gt;="&amp;"2021-03-01",CUSTOMER!G:G,"&lt;="&amp;"2021-03-31",SALE!G:G,"Viaport Outlet")</f>
        <v>15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COUNTIFS(CUSTOMER!G:G,"&lt;="&amp;"2021-04-01",CUSTOMER!H:H,"&gt;"&amp;"2021-04-01",SALE!G:G,"Viaport Outlet")</f>
        <v>47</v>
      </c>
      <c r="D4" s="39">
        <f>COUNTIFS(CUSTOMER!G:G,"&lt;="&amp;"2021-04-30",CUSTOMER!H:H,"&gt;="&amp;"2021-04-30",SALE!G:G,"Viaport Outlet")</f>
        <v>55</v>
      </c>
      <c r="E4" s="39">
        <f>COUNTIFS(CUSTOMER!G:G,"&gt;="&amp;"2021-04-01",CUSTOMER!G:G,"&lt;="&amp;"2021-04-30",SALE!G:G,"Viaport Outlet")</f>
        <v>10</v>
      </c>
      <c r="F4" s="40">
        <f t="shared" si="0"/>
        <v>0.95744680851063835</v>
      </c>
      <c r="G4" s="40">
        <f t="shared" si="1"/>
        <v>4.2553191489361653E-2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COUNTIFS(CUSTOMER!G:G,"&lt;="&amp;"2021-05-01",CUSTOMER!H:H,"&gt;"&amp;"2021-05-01",SALE!G:G,"Viaport Outlet")</f>
        <v>55</v>
      </c>
      <c r="D5" s="39">
        <f>COUNTIFS(CUSTOMER!G:G,"&lt;="&amp;"2021-05-31",CUSTOMER!H:H,"&gt;="&amp;"2021-05-31",SALE!G:G,"Viaport Outlet")</f>
        <v>63</v>
      </c>
      <c r="E5" s="39">
        <f>COUNTIFS(CUSTOMER!G:G,"&gt;="&amp;"2021-05-01",CUSTOMER!G:G,"&lt;="&amp;"2021-05-31",SALE!G:G,"Viaport Outlet")</f>
        <v>8</v>
      </c>
      <c r="F5" s="40">
        <f t="shared" si="0"/>
        <v>1</v>
      </c>
      <c r="G5" s="40">
        <f t="shared" si="1"/>
        <v>0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COUNTIFS(CUSTOMER!G:G,"&lt;="&amp;"2021-06-01",CUSTOMER!H:H,"&gt;"&amp;"2021-06-01",SALE!G:G,"Viaport Outlet")</f>
        <v>63</v>
      </c>
      <c r="D6" s="39">
        <f>COUNTIFS(CUSTOMER!G:G,"&lt;="&amp;"2021-06-30",CUSTOMER!H:H,"&gt;="&amp;"2021-06-30",SALE!G:G,"Viaport Outlet")</f>
        <v>68</v>
      </c>
      <c r="E6" s="39">
        <f>COUNTIFS(CUSTOMER!G:G,"&gt;="&amp;"2021-06-01",CUSTOMER!G:G,"&lt;="&amp;"2021-06-30",SALE!G:G,"Viaport Outlet")</f>
        <v>8</v>
      </c>
      <c r="F6" s="40">
        <f t="shared" si="0"/>
        <v>0.95238095238095233</v>
      </c>
      <c r="G6" s="40">
        <f t="shared" si="1"/>
        <v>4.7619047619047672E-2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COUNTIFS(CUSTOMER!G:G,"&lt;="&amp;"2021-07-01",CUSTOMER!H:H,"&gt;"&amp;"2021-07-01",SALE!G:G,"Viaport Outlet")</f>
        <v>68</v>
      </c>
      <c r="D7" s="39">
        <f>COUNTIFS(CUSTOMER!G:G,"&lt;="&amp;"2021-07-31",CUSTOMER!H:H,"&gt;="&amp;"2021-07-31",SALE!G:G,"Viaport Outlet")</f>
        <v>71</v>
      </c>
      <c r="E7" s="39">
        <f>COUNTIFS(CUSTOMER!G:G,"&gt;="&amp;"2021-07-01",CUSTOMER!G:G,"&lt;="&amp;"2021-07-31",SALE!G:G,"Viaport Outlet")</f>
        <v>4</v>
      </c>
      <c r="F7" s="40">
        <f t="shared" si="0"/>
        <v>0.98529411764705888</v>
      </c>
      <c r="G7" s="40">
        <f t="shared" si="1"/>
        <v>1.4705882352941124E-2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COUNTIFS(CUSTOMER!G:G,"&lt;="&amp;"2021-08-01",CUSTOMER!H:H,"&gt;"&amp;"2021-08-01",SALE!G:G,"Viaport Outlet")</f>
        <v>73</v>
      </c>
      <c r="D8" s="39">
        <f>COUNTIFS(CUSTOMER!G:G,"&lt;="&amp;"2021-08-31",CUSTOMER!H:H,"&gt;="&amp;"2021-08-31",SALE!G:G,"Viaport Outlet")</f>
        <v>77</v>
      </c>
      <c r="E8" s="39">
        <f>COUNTIFS(CUSTOMER!G:G,"&gt;="&amp;"2021-08-01",CUSTOMER!G:G,"&lt;="&amp;"2021-08-31",SALE!G:G,"Viaport Outlet")</f>
        <v>6</v>
      </c>
      <c r="F8" s="40">
        <f t="shared" si="0"/>
        <v>0.9726027397260274</v>
      </c>
      <c r="G8" s="40">
        <f t="shared" si="1"/>
        <v>2.7397260273972601E-2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COUNTIFS(CUSTOMER!G:G,"&lt;="&amp;"2021-09-01",CUSTOMER!H:H,"&gt;"&amp;"2021-09-01",SALE!G:G,"Viaport Outlet")</f>
        <v>78</v>
      </c>
      <c r="D9" s="39">
        <f>COUNTIFS(CUSTOMER!G:G,"&lt;="&amp;"2021-09-30",CUSTOMER!H:H,"&gt;="&amp;"2021-09-30",SALE!G:G,"Viaport Outlet")</f>
        <v>79</v>
      </c>
      <c r="E9" s="39">
        <f>COUNTIFS(CUSTOMER!G:G,"&gt;="&amp;"2021-09-01",CUSTOMER!G:G,"&lt;="&amp;"2021-09-30",SALE!G:G,"Viaport Outlet")</f>
        <v>2</v>
      </c>
      <c r="F9" s="40">
        <f t="shared" si="0"/>
        <v>0.98717948717948723</v>
      </c>
      <c r="G9" s="40">
        <f t="shared" si="1"/>
        <v>1.2820512820512775E-2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COUNTIFS(CUSTOMER!G:G,"&lt;="&amp;"2021-10-01",CUSTOMER!H:H,"&gt;"&amp;"2021-10-01",SALE!G:G,"Viaport Outlet")</f>
        <v>79</v>
      </c>
      <c r="D10" s="39">
        <f>COUNTIFS(CUSTOMER!G:G,"&lt;="&amp;"2021-10-31",CUSTOMER!H:H,"&gt;="&amp;"2021-10-31",SALE!G:G,"Viaport Outlet")</f>
        <v>80</v>
      </c>
      <c r="E10" s="39">
        <f>COUNTIFS(CUSTOMER!G:G,"&gt;="&amp;"2021-10-01",CUSTOMER!G:G,"&lt;="&amp;"2021-10-31",SALE!G:G,"Viaport Outlet")</f>
        <v>2</v>
      </c>
      <c r="F10" s="40">
        <f t="shared" si="0"/>
        <v>0.98734177215189878</v>
      </c>
      <c r="G10" s="40">
        <f t="shared" si="1"/>
        <v>1.2658227848101222E-2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COUNTIFS(CUSTOMER!G:G,"&lt;="&amp;"2021-11-01",CUSTOMER!H:H,"&gt;"&amp;"2021-11-01",SALE!G:G,"Viaport Outlet")</f>
        <v>80</v>
      </c>
      <c r="D11" s="39">
        <f>COUNTIFS(CUSTOMER!G:G,"&lt;="&amp;"2021-11-30",CUSTOMER!H:H,"&gt;="&amp;"2021-11-30",SALE!G:G,"Viaport Outlet")</f>
        <v>80</v>
      </c>
      <c r="E11" s="39">
        <f>COUNTIFS(CUSTOMER!G:G,"&gt;="&amp;"2021-11-01",CUSTOMER!G:G,"&lt;="&amp;"2021-11-30",SALE!G:G,"Viaport Outlet")</f>
        <v>3</v>
      </c>
      <c r="F11" s="40">
        <f t="shared" si="0"/>
        <v>0.96250000000000002</v>
      </c>
      <c r="G11" s="40">
        <f t="shared" si="1"/>
        <v>3.7499999999999978E-2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COUNTIFS(CUSTOMER!G:G,"&lt;="&amp;"2021-12-01",CUSTOMER!H:H,"&gt;"&amp;"2021-12-01",SALE!G:G,"Viaport Outlet")</f>
        <v>80</v>
      </c>
      <c r="D12" s="39">
        <f>COUNTIFS(CUSTOMER!G:G,"&lt;="&amp;"2021-12-31",CUSTOMER!H:H,"&gt;="&amp;"2021-12-31",SALE!G:G,"Viaport Outlet")</f>
        <v>81</v>
      </c>
      <c r="E12" s="39">
        <f>COUNTIFS(CUSTOMER!G:G,"&gt;="&amp;"2021-12-01",CUSTOMER!G:G,"&lt;="&amp;"2021-12-31",SALE!G:G,"Viaport Outlet")</f>
        <v>1</v>
      </c>
      <c r="F12" s="40">
        <f t="shared" si="0"/>
        <v>1</v>
      </c>
      <c r="G12" s="40">
        <f t="shared" si="1"/>
        <v>0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COUNTIFS(CUSTOMER!G:G,"&lt;="&amp;"2022-01-01",CUSTOMER!H:H,"&gt;"&amp;"2022-01-01",SALE!G:G,"Viaport Outlet")</f>
        <v>81</v>
      </c>
      <c r="D13" s="41">
        <f>COUNTIFS(CUSTOMER!G:G,"&lt;="&amp;"2022-01-31",CUSTOMER!H:H,"&gt;="&amp;"2022-01-31",SALE!G:G,"Viaport Outlet")</f>
        <v>79</v>
      </c>
      <c r="E13" s="41">
        <f>COUNTIFS(CUSTOMER!G:G,"&gt;="&amp;"2022-01-01",CUSTOMER!G:G,"&lt;="&amp;"2022-01-31",SALE!G:G,"Viaport Outlet")</f>
        <v>0</v>
      </c>
      <c r="F13" s="42">
        <f t="shared" si="0"/>
        <v>0.97530864197530864</v>
      </c>
      <c r="G13" s="42">
        <f t="shared" si="1"/>
        <v>2.4691358024691357E-2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COUNTIFS(CUSTOMER!G:G,"&lt;="&amp;"2022-02-01",CUSTOMER!H:H,"&gt;"&amp;"2022-02-01",SALE!G:G,"Viaport Outlet")</f>
        <v>79</v>
      </c>
      <c r="D14" s="41">
        <f>COUNTIFS(CUSTOMER!G:G,"&lt;="&amp;"2022-02-28",CUSTOMER!H:H,"&gt;="&amp;"2022-02-28",SALE!G:G,"Viaport Outlet")</f>
        <v>79</v>
      </c>
      <c r="E14" s="41">
        <f>COUNTIFS(CUSTOMER!G:G,"&gt;="&amp;"2022-02-01",CUSTOMER!G:G,"&lt;="&amp;"2022-02-28",SALE!G:G,"Viaport Outlet")</f>
        <v>0</v>
      </c>
      <c r="F14" s="42">
        <f t="shared" si="0"/>
        <v>1</v>
      </c>
      <c r="G14" s="42">
        <f t="shared" si="1"/>
        <v>0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COUNTIFS(CUSTOMER!G:G,"&lt;="&amp;"2022-03-01",CUSTOMER!H:H,"&gt;"&amp;"2022-03-01",SALE!G:G,"Viaport Outlet")</f>
        <v>79</v>
      </c>
      <c r="D15" s="41">
        <f>COUNTIFS(CUSTOMER!G:G,"&lt;="&amp;"2022-03-31",CUSTOMER!H:H,"&gt;="&amp;"2022-03-31",SALE!G:G,"Viaport Outlet")</f>
        <v>76</v>
      </c>
      <c r="E15" s="41">
        <f>COUNTIFS(CUSTOMER!G:G,"&gt;="&amp;"2022-03-01",CUSTOMER!G:G,"&lt;="&amp;"2022-03-31",SALE!G:G,"Viaport Outlet")</f>
        <v>0</v>
      </c>
      <c r="F15" s="42">
        <f t="shared" si="0"/>
        <v>0.96202531645569622</v>
      </c>
      <c r="G15" s="42">
        <f t="shared" si="1"/>
        <v>3.7974683544303778E-2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COUNTIFS(CUSTOMER!G:G,"&lt;="&amp;"2022-04-01",CUSTOMER!H:H,"&gt;"&amp;"2022-04-01",SALE!G:G,"Viaport Outlet")</f>
        <v>76</v>
      </c>
      <c r="D16" s="41">
        <f>COUNTIFS(CUSTOMER!G:G,"&lt;="&amp;"2022-04-30",CUSTOMER!H:H,"&gt;="&amp;"2022-04-30",SALE!G:G,"Viaport Outlet")</f>
        <v>75</v>
      </c>
      <c r="E16" s="41">
        <f>COUNTIFS(CUSTOMER!G:G,"&gt;="&amp;"2022-04-01",CUSTOMER!G:G,"&lt;="&amp;"2022-04-30",SALE!G:G,"Viaport Outlet")</f>
        <v>0</v>
      </c>
      <c r="F16" s="42">
        <f t="shared" si="0"/>
        <v>0.98684210526315785</v>
      </c>
      <c r="G16" s="42">
        <f t="shared" si="1"/>
        <v>1.3157894736842146E-2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COUNTIFS(CUSTOMER!G:G,"&lt;="&amp;"2022-05-01",CUSTOMER!H:H,"&gt;"&amp;"2022-05-01",SALE!G:G,"Viaport Outlet")</f>
        <v>75</v>
      </c>
      <c r="D17" s="41">
        <f>COUNTIFS(CUSTOMER!G:G,"&lt;="&amp;"2022-05-31",CUSTOMER!H:H,"&gt;="&amp;"2022-05-31",SALE!G:G,"Viaport Outlet")</f>
        <v>73</v>
      </c>
      <c r="E17" s="41">
        <f>COUNTIFS(CUSTOMER!G:G,"&gt;="&amp;"2022-05-01",CUSTOMER!G:G,"&lt;="&amp;"2022-05-31",SALE!G:G,"Viaport Outlet")</f>
        <v>2</v>
      </c>
      <c r="F17" s="42">
        <f t="shared" si="0"/>
        <v>0.94666666666666666</v>
      </c>
      <c r="G17" s="42">
        <f t="shared" si="1"/>
        <v>5.3333333333333344E-2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COUNTIFS(CUSTOMER!G:G,"&lt;="&amp;"2022-06-01",CUSTOMER!H:H,"&gt;"&amp;"2022-06-01",SALE!G:G,"Viaport Outlet")</f>
        <v>73</v>
      </c>
      <c r="D18" s="41">
        <f>COUNTIFS(CUSTOMER!G:G,"&lt;="&amp;"2022-06-30",CUSTOMER!H:H,"&gt;="&amp;"2022-06-30",SALE!G:G,"Viaport Outlet")</f>
        <v>71</v>
      </c>
      <c r="E18" s="41">
        <f>COUNTIFS(CUSTOMER!G:G,"&gt;="&amp;"2022-06-01",CUSTOMER!G:G,"&lt;="&amp;"2022-06-30",SALE!G:G,"Viaport Outlet")</f>
        <v>1</v>
      </c>
      <c r="F18" s="42">
        <f t="shared" si="0"/>
        <v>0.95890410958904104</v>
      </c>
      <c r="G18" s="42">
        <f t="shared" si="1"/>
        <v>4.1095890410958957E-2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COUNTIFS(CUSTOMER!G:G,"&lt;="&amp;"2022-07-01",CUSTOMER!H:H,"&gt;"&amp;"2022-07-01",SALE!G:G,"Viaport Outlet")</f>
        <v>71</v>
      </c>
      <c r="D19" s="41">
        <f>COUNTIFS(CUSTOMER!G:G,"&lt;="&amp;"2022-07-31",CUSTOMER!H:H,"&gt;="&amp;"2022-07-31",SALE!G:G,"Viaport Outlet")</f>
        <v>66</v>
      </c>
      <c r="E19" s="41">
        <f>COUNTIFS(CUSTOMER!G:G,"&gt;="&amp;"2022-07-01",CUSTOMER!G:G,"&lt;="&amp;"2022-07-31",SALE!G:G,"Viaport Outlet")</f>
        <v>1</v>
      </c>
      <c r="F19" s="42">
        <f t="shared" si="0"/>
        <v>0.91549295774647887</v>
      </c>
      <c r="G19" s="42">
        <f t="shared" si="1"/>
        <v>8.4507042253521125E-2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COUNTIFS(CUSTOMER!G:G,"&lt;="&amp;"2022-08-01",CUSTOMER!H:H,"&gt;"&amp;"2022-08-01",SALE!G:G,"Viaport Outlet")</f>
        <v>66</v>
      </c>
      <c r="D20" s="41">
        <f>COUNTIFS(CUSTOMER!G:G,"&lt;="&amp;"2022-08-31",CUSTOMER!H:H,"&gt;="&amp;"2022-08-31",SALE!G:G,"Viaport Outlet")</f>
        <v>61</v>
      </c>
      <c r="E20" s="41">
        <f>COUNTIFS(CUSTOMER!G:G,"&gt;="&amp;"2022-08-01",CUSTOMER!G:G,"&lt;="&amp;"2022-08-31",SALE!G:G,"Viaport Outlet")</f>
        <v>1</v>
      </c>
      <c r="F20" s="42">
        <f t="shared" si="0"/>
        <v>0.90909090909090906</v>
      </c>
      <c r="G20" s="42">
        <f t="shared" si="1"/>
        <v>9.0909090909090939E-2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COUNTIFS(CUSTOMER!G:G,"&lt;="&amp;"2022-09-01",CUSTOMER!H:H,"&gt;"&amp;"2022-09-01",SALE!G:G,"Viaport Outlet")</f>
        <v>61</v>
      </c>
      <c r="D21" s="41">
        <f>COUNTIFS(CUSTOMER!G:G,"&lt;="&amp;"2022-09-30",CUSTOMER!H:H,"&gt;="&amp;"2022-09-30",SALE!G:G,"Viaport Outlet")</f>
        <v>53</v>
      </c>
      <c r="E21" s="41">
        <f>COUNTIFS(CUSTOMER!G:G,"&gt;="&amp;"2022-09-01",CUSTOMER!G:G,"&lt;="&amp;"2022-09-30",SALE!G:G,"Viaport Outlet")</f>
        <v>0</v>
      </c>
      <c r="F21" s="42">
        <f t="shared" si="0"/>
        <v>0.86885245901639341</v>
      </c>
      <c r="G21" s="42">
        <f t="shared" si="1"/>
        <v>0.13114754098360659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COUNTIFS(CUSTOMER!G:G,"&lt;="&amp;"2022-10-01",CUSTOMER!H:H,"&gt;"&amp;"2022-10-01",SALE!G:G,"Viaport Outlet")</f>
        <v>52</v>
      </c>
      <c r="D22" s="41">
        <f>COUNTIFS(CUSTOMER!G:G,"&lt;="&amp;"2022-10-31",CUSTOMER!H:H,"&gt;="&amp;"2022-10-31",SALE!G:G,"Viaport Outlet")</f>
        <v>46</v>
      </c>
      <c r="E22" s="41">
        <f>COUNTIFS(CUSTOMER!G:G,"&gt;="&amp;"2022-10-01",CUSTOMER!G:G,"&lt;="&amp;"2022-10-31",SALE!G:G,"Viaport Outlet")</f>
        <v>0</v>
      </c>
      <c r="F22" s="42">
        <f t="shared" si="0"/>
        <v>0.88461538461538458</v>
      </c>
      <c r="G22" s="42">
        <f t="shared" si="1"/>
        <v>0.11538461538461542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COUNTIFS(CUSTOMER!G:G,"&lt;="&amp;"2022-11-01",CUSTOMER!H:H,"&gt;"&amp;"2022-11-01",SALE!G:G,"Viaport Outlet")</f>
        <v>46</v>
      </c>
      <c r="D23" s="41">
        <f>COUNTIFS(CUSTOMER!G:G,"&lt;="&amp;"2022-11-30",CUSTOMER!H:H,"&gt;="&amp;"2022-11-30",SALE!G:G,"Viaport Outlet")</f>
        <v>39</v>
      </c>
      <c r="E23" s="41">
        <f>COUNTIFS(CUSTOMER!G:G,"&gt;="&amp;"2022-11-01",CUSTOMER!G:G,"&lt;="&amp;"2022-11-30",SALE!G:G,"Viaport Outlet")</f>
        <v>0</v>
      </c>
      <c r="F23" s="42">
        <f t="shared" si="0"/>
        <v>0.84782608695652173</v>
      </c>
      <c r="G23" s="42">
        <f t="shared" si="1"/>
        <v>0.15217391304347827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COUNTIFS(CUSTOMER!G:G,"&lt;="&amp;"2022-12-01",CUSTOMER!H:H,"&gt;"&amp;"2022-12-01",SALE!G:G,"Viaport Outlet")</f>
        <v>37</v>
      </c>
      <c r="D24" s="41">
        <f>COUNTIFS(CUSTOMER!G:G,"&lt;="&amp;"2022-12-31",CUSTOMER!H:H,"&gt;="&amp;"2022-12-31",SALE!G:G,"Viaport Outlet")</f>
        <v>27</v>
      </c>
      <c r="E24" s="41">
        <f>COUNTIFS(CUSTOMER!G:G,"&gt;="&amp;"2022-12-01",CUSTOMER!G:G,"&lt;="&amp;"2022-12-31",SALE!G:G,"Viaport Outlet")</f>
        <v>0</v>
      </c>
      <c r="F24" s="42">
        <f t="shared" si="0"/>
        <v>0.72972972972972971</v>
      </c>
      <c r="G24" s="42">
        <f t="shared" si="1"/>
        <v>0.27027027027027029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COUNTIFS(CUSTOMER!G:G,"&lt;="&amp;"2023-01-01",CUSTOMER!H:H,"&gt;"&amp;"2023-01-01",SALE!G:G,"Viaport Outlet")</f>
        <v>26</v>
      </c>
      <c r="D25" s="31">
        <f>COUNTIFS(CUSTOMER!G:G,"&lt;="&amp;"2023-01-31",CUSTOMER!H:H,"&gt;="&amp;"2023-01-31",SALE!G:G,"Viaport Outlet")</f>
        <v>16</v>
      </c>
      <c r="E25" s="31">
        <f>COUNTIFS(CUSTOMER!G:G,"&gt;="&amp;"2023-01-01",CUSTOMER!G:G,"&lt;="&amp;"2023-01-31",SALE!G:G,"Viaport Outlet")</f>
        <v>0</v>
      </c>
      <c r="F25" s="44">
        <f t="shared" si="0"/>
        <v>0.61538461538461542</v>
      </c>
      <c r="G25" s="51">
        <f t="shared" si="1"/>
        <v>0.38461538461538458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COUNTIFS(CUSTOMER!G:G,"&lt;="&amp;"2023-02-01",CUSTOMER!H:H,"&gt;"&amp;"2023-02-01",SALE!G:G,"Viaport Outlet")</f>
        <v>16</v>
      </c>
      <c r="D26" s="31">
        <f>COUNTIFS(CUSTOMER!G:G,"&lt;="&amp;"2023-02-28",CUSTOMER!H:H,"&gt;="&amp;"2023-02-28",SALE!G:G,"Viaport Outlet")</f>
        <v>2</v>
      </c>
      <c r="E26" s="31">
        <f>COUNTIFS(CUSTOMER!G:G,"&gt;="&amp;"2023-02-01",CUSTOMER!G:G,"&lt;="&amp;"2023-02-28",SALE!G:G,"Viaport Outlet")</f>
        <v>0</v>
      </c>
      <c r="F26" s="44">
        <f t="shared" si="0"/>
        <v>0.125</v>
      </c>
      <c r="G26" s="51">
        <f t="shared" si="1"/>
        <v>0.875</v>
      </c>
    </row>
    <row r="27" spans="1:7" x14ac:dyDescent="0.3">
      <c r="A27" s="37"/>
      <c r="F27" s="54">
        <f>AVERAGE(F2:F26)</f>
        <v>0.89899717218121666</v>
      </c>
      <c r="G27" s="30">
        <f t="shared" si="1"/>
        <v>0.10100282781878334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46039-397A-4C3C-897F-EDDB4199AC9A}">
  <dimension ref="A1:I39"/>
  <sheetViews>
    <sheetView workbookViewId="0">
      <selection activeCell="D20" sqref="D20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SALE!G:G,"Zorlu Center")</f>
        <v>30</v>
      </c>
      <c r="D2" s="39">
        <f>COUNTIFS(CUSTOMER!G:G,"&lt;="&amp;"2021-02-28",CUSTOMER!H:H,"&gt;="&amp;"2021-02-28",SALE!G:G,"Zorlu Center")</f>
        <v>43</v>
      </c>
      <c r="E2" s="39">
        <f>COUNTIFS(CUSTOMER!G:G,"&gt;="&amp;"2021-02-01",CUSTOMER!G:G,"&lt;="&amp;"2021-02-28",SALE!G:G,"Zorlu Center")</f>
        <v>14</v>
      </c>
      <c r="F2" s="40">
        <f>((D2-E2)*100%)/C2</f>
        <v>0.96666666666666667</v>
      </c>
      <c r="G2" s="40">
        <f>1-F2</f>
        <v>3.3333333333333326E-2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SALE!G:G,"Zorlu Center")</f>
        <v>43</v>
      </c>
      <c r="D3" s="39">
        <f>COUNTIFS(CUSTOMER!G:G,"&lt;="&amp;"2021-03-31",CUSTOMER!H:H,"&gt;="&amp;"2021-03-31",SALE!G:G,"Zorlu Center")</f>
        <v>53</v>
      </c>
      <c r="E3" s="39">
        <f>COUNTIFS(CUSTOMER!G:G,"&gt;="&amp;"2021-03-01",CUSTOMER!G:G,"&lt;="&amp;"2021-03-31",SALE!G:G,"Zorlu Center")</f>
        <v>10</v>
      </c>
      <c r="F3" s="40">
        <f t="shared" ref="F3:F26" si="0">((D3-E3)*100%)/C3</f>
        <v>1</v>
      </c>
      <c r="G3" s="40">
        <f t="shared" ref="G3:G27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COUNTIFS(CUSTOMER!G:G,"&lt;="&amp;"2021-04-01",CUSTOMER!H:H,"&gt;"&amp;"2021-04-01",SALE!G:G,"Zorlu Center")</f>
        <v>53</v>
      </c>
      <c r="D4" s="39">
        <f>COUNTIFS(CUSTOMER!G:G,"&lt;="&amp;"2021-04-30",CUSTOMER!H:H,"&gt;="&amp;"2021-04-30",SALE!G:G,"Zorlu Center")</f>
        <v>64</v>
      </c>
      <c r="E4" s="39">
        <f>COUNTIFS(CUSTOMER!G:G,"&gt;="&amp;"2021-04-01",CUSTOMER!G:G,"&lt;="&amp;"2021-04-30",SALE!G:G,"Zorlu Center")</f>
        <v>11</v>
      </c>
      <c r="F4" s="40">
        <f t="shared" si="0"/>
        <v>1</v>
      </c>
      <c r="G4" s="40">
        <f t="shared" si="1"/>
        <v>0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COUNTIFS(CUSTOMER!G:G,"&lt;="&amp;"2021-05-01",CUSTOMER!H:H,"&gt;"&amp;"2021-05-01",SALE!G:G,"Zorlu Center")</f>
        <v>65</v>
      </c>
      <c r="D5" s="39">
        <f>COUNTIFS(CUSTOMER!G:G,"&lt;="&amp;"2021-05-31",CUSTOMER!H:H,"&gt;="&amp;"2021-05-31",SALE!G:G,"Zorlu Center")</f>
        <v>71</v>
      </c>
      <c r="E5" s="39">
        <f>COUNTIFS(CUSTOMER!G:G,"&gt;="&amp;"2021-05-01",CUSTOMER!G:G,"&lt;="&amp;"2021-05-31",SALE!G:G,"Zorlu Center")</f>
        <v>7</v>
      </c>
      <c r="F5" s="40">
        <f t="shared" si="0"/>
        <v>0.98461538461538467</v>
      </c>
      <c r="G5" s="40">
        <f t="shared" si="1"/>
        <v>1.538461538461533E-2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COUNTIFS(CUSTOMER!G:G,"&lt;="&amp;"2021-06-01",CUSTOMER!H:H,"&gt;"&amp;"2021-06-01",SALE!G:G,"Zorlu Center")</f>
        <v>71</v>
      </c>
      <c r="D6" s="39">
        <f>COUNTIFS(CUSTOMER!G:G,"&lt;="&amp;"2021-06-30",CUSTOMER!H:H,"&gt;="&amp;"2021-06-30",SALE!G:G,"Zorlu Center")</f>
        <v>80</v>
      </c>
      <c r="E6" s="39">
        <f>COUNTIFS(CUSTOMER!G:G,"&gt;="&amp;"2021-06-01",CUSTOMER!G:G,"&lt;="&amp;"2021-06-30",SALE!G:G,"Zorlu Center")</f>
        <v>9</v>
      </c>
      <c r="F6" s="40">
        <f t="shared" si="0"/>
        <v>1</v>
      </c>
      <c r="G6" s="40">
        <f t="shared" si="1"/>
        <v>0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COUNTIFS(CUSTOMER!G:G,"&lt;="&amp;"2021-07-01",CUSTOMER!H:H,"&gt;"&amp;"2021-07-01",SALE!G:G,"Zorlu Center")</f>
        <v>80</v>
      </c>
      <c r="D7" s="39">
        <f>COUNTIFS(CUSTOMER!G:G,"&lt;="&amp;"2021-07-31",CUSTOMER!H:H,"&gt;="&amp;"2021-07-31",SALE!G:G,"Zorlu Center")</f>
        <v>82</v>
      </c>
      <c r="E7" s="39">
        <f>COUNTIFS(CUSTOMER!G:G,"&gt;="&amp;"2021-07-01",CUSTOMER!G:G,"&lt;="&amp;"2021-07-31",SALE!G:G,"Zorlu Center")</f>
        <v>2</v>
      </c>
      <c r="F7" s="40">
        <f t="shared" si="0"/>
        <v>1</v>
      </c>
      <c r="G7" s="40">
        <f t="shared" si="1"/>
        <v>0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COUNTIFS(CUSTOMER!G:G,"&lt;="&amp;"2021-08-01",CUSTOMER!H:H,"&gt;"&amp;"2021-08-01",SALE!G:G,"Zorlu Center")</f>
        <v>82</v>
      </c>
      <c r="D8" s="39">
        <f>COUNTIFS(CUSTOMER!G:G,"&lt;="&amp;"2021-08-31",CUSTOMER!H:H,"&gt;="&amp;"2021-08-31",SALE!G:G,"Zorlu Center")</f>
        <v>85</v>
      </c>
      <c r="E8" s="39">
        <f>COUNTIFS(CUSTOMER!G:G,"&gt;="&amp;"2021-08-01",CUSTOMER!G:G,"&lt;="&amp;"2021-08-31",SALE!G:G,"Zorlu Center")</f>
        <v>4</v>
      </c>
      <c r="F8" s="40">
        <f t="shared" si="0"/>
        <v>0.98780487804878048</v>
      </c>
      <c r="G8" s="40">
        <f t="shared" si="1"/>
        <v>1.2195121951219523E-2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COUNTIFS(CUSTOMER!G:G,"&lt;="&amp;"2021-09-01",CUSTOMER!H:H,"&gt;"&amp;"2021-09-01",SALE!G:G,"Zorlu Center")</f>
        <v>85</v>
      </c>
      <c r="D9" s="39">
        <f>COUNTIFS(CUSTOMER!G:G,"&lt;="&amp;"2021-09-30",CUSTOMER!H:H,"&gt;="&amp;"2021-09-30",SALE!G:G,"Zorlu Center")</f>
        <v>87</v>
      </c>
      <c r="E9" s="39">
        <f>COUNTIFS(CUSTOMER!G:G,"&gt;="&amp;"2021-09-01",CUSTOMER!G:G,"&lt;="&amp;"2021-09-30",SALE!G:G,"Zorlu Center")</f>
        <v>2</v>
      </c>
      <c r="F9" s="40">
        <f t="shared" si="0"/>
        <v>1</v>
      </c>
      <c r="G9" s="40">
        <f t="shared" si="1"/>
        <v>0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COUNTIFS(CUSTOMER!G:G,"&lt;="&amp;"2021-10-01",CUSTOMER!H:H,"&gt;"&amp;"2021-10-01",SALE!G:G,"Zorlu Center")</f>
        <v>87</v>
      </c>
      <c r="D10" s="39">
        <f>COUNTIFS(CUSTOMER!G:G,"&lt;="&amp;"2021-10-31",CUSTOMER!H:H,"&gt;="&amp;"2021-10-31",SALE!G:G,"Zorlu Center")</f>
        <v>89</v>
      </c>
      <c r="E10" s="39">
        <f>COUNTIFS(CUSTOMER!G:G,"&gt;="&amp;"2021-10-01",CUSTOMER!G:G,"&lt;="&amp;"2021-10-31",SALE!G:G,"Zorlu Center")</f>
        <v>2</v>
      </c>
      <c r="F10" s="40">
        <f t="shared" si="0"/>
        <v>1</v>
      </c>
      <c r="G10" s="40">
        <f t="shared" si="1"/>
        <v>0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COUNTIFS(CUSTOMER!G:G,"&lt;="&amp;"2021-11-01",CUSTOMER!H:H,"&gt;"&amp;"2021-11-01",SALE!G:G,"Zorlu Center")</f>
        <v>89</v>
      </c>
      <c r="D11" s="39">
        <f>COUNTIFS(CUSTOMER!G:G,"&lt;="&amp;"2021-11-30",CUSTOMER!H:H,"&gt;="&amp;"2021-11-30",SALE!G:G,"Zorlu Center")</f>
        <v>88</v>
      </c>
      <c r="E11" s="39">
        <f>COUNTIFS(CUSTOMER!G:G,"&gt;="&amp;"2021-11-01",CUSTOMER!G:G,"&lt;="&amp;"2021-11-30",SALE!G:G,"Zorlu Center")</f>
        <v>0</v>
      </c>
      <c r="F11" s="40">
        <f t="shared" si="0"/>
        <v>0.9887640449438202</v>
      </c>
      <c r="G11" s="40">
        <f t="shared" si="1"/>
        <v>1.1235955056179803E-2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COUNTIFS(CUSTOMER!G:G,"&lt;="&amp;"2021-12-01",CUSTOMER!H:H,"&gt;"&amp;"2021-12-01",SALE!G:G,"Zorlu Center")</f>
        <v>88</v>
      </c>
      <c r="D12" s="39">
        <f>COUNTIFS(CUSTOMER!G:G,"&lt;="&amp;"2021-12-31",CUSTOMER!H:H,"&gt;="&amp;"2021-12-31",SALE!G:G,"Zorlu Center")</f>
        <v>88</v>
      </c>
      <c r="E12" s="39">
        <f>COUNTIFS(CUSTOMER!G:G,"&gt;="&amp;"2021-12-01",CUSTOMER!G:G,"&lt;="&amp;"2021-12-31",SALE!G:G,"Zorlu Center")</f>
        <v>1</v>
      </c>
      <c r="F12" s="40">
        <f t="shared" si="0"/>
        <v>0.98863636363636365</v>
      </c>
      <c r="G12" s="40">
        <f t="shared" si="1"/>
        <v>1.1363636363636354E-2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COUNTIFS(CUSTOMER!G:G,"&lt;="&amp;"2022-01-01",CUSTOMER!H:H,"&gt;"&amp;"2022-01-01",SALE!G:G,"Zorlu Center")</f>
        <v>88</v>
      </c>
      <c r="D13" s="41">
        <f>COUNTIFS(CUSTOMER!G:G,"&lt;="&amp;"2022-01-31",CUSTOMER!H:H,"&gt;="&amp;"2022-01-31",SALE!G:G,"Zorlu Center")</f>
        <v>90</v>
      </c>
      <c r="E13" s="41">
        <f>COUNTIFS(CUSTOMER!G:G,"&gt;="&amp;"2022-01-01",CUSTOMER!G:G,"&lt;="&amp;"2022-01-31",SALE!G:G,"Zorlu Center")</f>
        <v>2</v>
      </c>
      <c r="F13" s="42">
        <f t="shared" si="0"/>
        <v>1</v>
      </c>
      <c r="G13" s="42">
        <f t="shared" si="1"/>
        <v>0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COUNTIFS(CUSTOMER!G:G,"&lt;="&amp;"2022-02-01",CUSTOMER!H:H,"&gt;"&amp;"2022-02-01",SALE!G:G,"Zorlu Center")</f>
        <v>90</v>
      </c>
      <c r="D14" s="41">
        <f>COUNTIFS(CUSTOMER!G:G,"&lt;="&amp;"2022-02-28",CUSTOMER!H:H,"&gt;="&amp;"2022-02-28",SALE!G:G,"Zorlu Center")</f>
        <v>91</v>
      </c>
      <c r="E14" s="41">
        <f>COUNTIFS(CUSTOMER!G:G,"&gt;="&amp;"2022-02-01",CUSTOMER!G:G,"&lt;="&amp;"2022-02-28",SALE!G:G,"Zorlu Center")</f>
        <v>1</v>
      </c>
      <c r="F14" s="42">
        <f t="shared" si="0"/>
        <v>1</v>
      </c>
      <c r="G14" s="42">
        <f t="shared" si="1"/>
        <v>0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COUNTIFS(CUSTOMER!G:G,"&lt;="&amp;"2022-03-01",CUSTOMER!H:H,"&gt;"&amp;"2022-03-01",SALE!G:G,"Zorlu Center")</f>
        <v>91</v>
      </c>
      <c r="D15" s="41">
        <f>COUNTIFS(CUSTOMER!G:G,"&lt;="&amp;"2022-03-31",CUSTOMER!H:H,"&gt;="&amp;"2022-03-31",SALE!G:G,"Zorlu Center")</f>
        <v>92</v>
      </c>
      <c r="E15" s="41">
        <f>COUNTIFS(CUSTOMER!G:G,"&gt;="&amp;"2022-03-01",CUSTOMER!G:G,"&lt;="&amp;"2022-03-31",SALE!G:G,"Zorlu Center")</f>
        <v>2</v>
      </c>
      <c r="F15" s="42">
        <f t="shared" si="0"/>
        <v>0.98901098901098905</v>
      </c>
      <c r="G15" s="42">
        <f t="shared" si="1"/>
        <v>1.098901098901095E-2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COUNTIFS(CUSTOMER!G:G,"&lt;="&amp;"2022-04-01",CUSTOMER!H:H,"&gt;"&amp;"2022-04-01",SALE!G:G,"Zorlu Center")</f>
        <v>92</v>
      </c>
      <c r="D16" s="41">
        <f>COUNTIFS(CUSTOMER!G:G,"&lt;="&amp;"2022-04-30",CUSTOMER!H:H,"&gt;="&amp;"2022-04-30",SALE!G:G,"Zorlu Center")</f>
        <v>85</v>
      </c>
      <c r="E16" s="41">
        <f>COUNTIFS(CUSTOMER!G:G,"&gt;="&amp;"2022-04-01",CUSTOMER!G:G,"&lt;="&amp;"2022-04-30",SALE!G:G,"Zorlu Center")</f>
        <v>0</v>
      </c>
      <c r="F16" s="42">
        <f t="shared" si="0"/>
        <v>0.92391304347826086</v>
      </c>
      <c r="G16" s="42">
        <f t="shared" si="1"/>
        <v>7.6086956521739135E-2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COUNTIFS(CUSTOMER!G:G,"&lt;="&amp;"2022-05-01",CUSTOMER!H:H,"&gt;"&amp;"2022-05-01",SALE!G:G,"Zorlu Center")</f>
        <v>85</v>
      </c>
      <c r="D17" s="41">
        <f>COUNTIFS(CUSTOMER!G:G,"&lt;="&amp;"2022-05-31",CUSTOMER!H:H,"&gt;="&amp;"2022-05-31",SALE!G:G,"Zorlu Center")</f>
        <v>84</v>
      </c>
      <c r="E17" s="41">
        <f>COUNTIFS(CUSTOMER!G:G,"&gt;="&amp;"2022-05-01",CUSTOMER!G:G,"&lt;="&amp;"2022-05-31",SALE!G:G,"Zorlu Center")</f>
        <v>0</v>
      </c>
      <c r="F17" s="42">
        <f t="shared" si="0"/>
        <v>0.9882352941176471</v>
      </c>
      <c r="G17" s="42">
        <f t="shared" si="1"/>
        <v>1.1764705882352899E-2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COUNTIFS(CUSTOMER!G:G,"&lt;="&amp;"2022-06-01",CUSTOMER!H:H,"&gt;"&amp;"2022-06-01",SALE!G:G,"Zorlu Center")</f>
        <v>84</v>
      </c>
      <c r="D18" s="41">
        <f>COUNTIFS(CUSTOMER!G:G,"&lt;="&amp;"2022-06-30",CUSTOMER!H:H,"&gt;="&amp;"2022-06-30",SALE!G:G,"Zorlu Center")</f>
        <v>82</v>
      </c>
      <c r="E18" s="41">
        <f>COUNTIFS(CUSTOMER!G:G,"&gt;="&amp;"2022-06-01",CUSTOMER!G:G,"&lt;="&amp;"2022-06-30",SALE!G:G,"Zorlu Center")</f>
        <v>1</v>
      </c>
      <c r="F18" s="42">
        <f t="shared" si="0"/>
        <v>0.9642857142857143</v>
      </c>
      <c r="G18" s="42">
        <f t="shared" si="1"/>
        <v>3.5714285714285698E-2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COUNTIFS(CUSTOMER!G:G,"&lt;="&amp;"2022-07-01",CUSTOMER!H:H,"&gt;"&amp;"2022-07-01",SALE!G:G,"Zorlu Center")</f>
        <v>80</v>
      </c>
      <c r="D19" s="41">
        <f>COUNTIFS(CUSTOMER!G:G,"&lt;="&amp;"2022-07-31",CUSTOMER!H:H,"&gt;="&amp;"2022-07-31",SALE!G:G,"Zorlu Center")</f>
        <v>76</v>
      </c>
      <c r="E19" s="41">
        <f>COUNTIFS(CUSTOMER!G:G,"&gt;="&amp;"2022-07-01",CUSTOMER!G:G,"&lt;="&amp;"2022-07-31",SALE!G:G,"Zorlu Center")</f>
        <v>1</v>
      </c>
      <c r="F19" s="42">
        <f t="shared" si="0"/>
        <v>0.9375</v>
      </c>
      <c r="G19" s="42">
        <f t="shared" si="1"/>
        <v>6.25E-2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COUNTIFS(CUSTOMER!G:G,"&lt;="&amp;"2022-08-01",CUSTOMER!H:H,"&gt;"&amp;"2022-08-01",SALE!G:G,"Zorlu Center")</f>
        <v>75</v>
      </c>
      <c r="D20" s="41">
        <f>COUNTIFS(CUSTOMER!G:G,"&lt;="&amp;"2022-08-31",CUSTOMER!H:H,"&gt;="&amp;"2022-08-31",SALE!G:G,"Zorlu Center")</f>
        <v>70</v>
      </c>
      <c r="E20" s="41">
        <f>COUNTIFS(CUSTOMER!G:G,"&gt;="&amp;"2022-08-01",CUSTOMER!G:G,"&lt;="&amp;"2022-08-31",SALE!G:G,"Zorlu Center")</f>
        <v>0</v>
      </c>
      <c r="F20" s="42">
        <f t="shared" si="0"/>
        <v>0.93333333333333335</v>
      </c>
      <c r="G20" s="42">
        <f t="shared" si="1"/>
        <v>6.6666666666666652E-2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COUNTIFS(CUSTOMER!G:G,"&lt;="&amp;"2022-09-01",CUSTOMER!H:H,"&gt;"&amp;"2022-09-01",SALE!G:G,"Zorlu Center")</f>
        <v>70</v>
      </c>
      <c r="D21" s="41">
        <f>COUNTIFS(CUSTOMER!G:G,"&lt;="&amp;"2022-09-30",CUSTOMER!H:H,"&gt;="&amp;"2022-09-30",SALE!G:G,"Zorlu Center")</f>
        <v>63</v>
      </c>
      <c r="E21" s="41">
        <f>COUNTIFS(CUSTOMER!G:G,"&gt;="&amp;"2022-09-01",CUSTOMER!G:G,"&lt;="&amp;"2022-09-30",SALE!G:G,"Zorlu Center")</f>
        <v>0</v>
      </c>
      <c r="F21" s="42">
        <f t="shared" si="0"/>
        <v>0.9</v>
      </c>
      <c r="G21" s="42">
        <f t="shared" si="1"/>
        <v>9.9999999999999978E-2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COUNTIFS(CUSTOMER!G:G,"&lt;="&amp;"2022-10-01",CUSTOMER!H:H,"&gt;"&amp;"2022-10-01",SALE!G:G,"Zorlu Center")</f>
        <v>63</v>
      </c>
      <c r="D22" s="41">
        <f>COUNTIFS(CUSTOMER!G:G,"&lt;="&amp;"2022-10-31",CUSTOMER!H:H,"&gt;="&amp;"2022-10-31",SALE!G:G,"Zorlu Center")</f>
        <v>56</v>
      </c>
      <c r="E22" s="41">
        <f>COUNTIFS(CUSTOMER!G:G,"&gt;="&amp;"2022-10-01",CUSTOMER!G:G,"&lt;="&amp;"2022-10-31",SALE!G:G,"Zorlu Center")</f>
        <v>1</v>
      </c>
      <c r="F22" s="42">
        <f t="shared" si="0"/>
        <v>0.87301587301587302</v>
      </c>
      <c r="G22" s="42">
        <f t="shared" si="1"/>
        <v>0.12698412698412698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COUNTIFS(CUSTOMER!G:G,"&lt;="&amp;"2022-11-01",CUSTOMER!H:H,"&gt;"&amp;"2022-11-01",SALE!G:G,"Zorlu Center")</f>
        <v>55</v>
      </c>
      <c r="D23" s="41">
        <f>COUNTIFS(CUSTOMER!G:G,"&lt;="&amp;"2022-11-30",CUSTOMER!H:H,"&gt;="&amp;"2022-11-30",SALE!G:G,"Zorlu Center")</f>
        <v>49</v>
      </c>
      <c r="E23" s="41">
        <f>COUNTIFS(CUSTOMER!G:G,"&gt;="&amp;"2022-11-01",CUSTOMER!G:G,"&lt;="&amp;"2022-11-30",SALE!G:G,"Zorlu Center")</f>
        <v>2</v>
      </c>
      <c r="F23" s="42">
        <f t="shared" si="0"/>
        <v>0.8545454545454545</v>
      </c>
      <c r="G23" s="42">
        <f t="shared" si="1"/>
        <v>0.1454545454545455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COUNTIFS(CUSTOMER!G:G,"&lt;="&amp;"2022-12-01",CUSTOMER!H:H,"&gt;"&amp;"2022-12-01",SALE!G:G,"Zorlu Center")</f>
        <v>48</v>
      </c>
      <c r="D24" s="41">
        <f>COUNTIFS(CUSTOMER!G:G,"&lt;="&amp;"2022-12-31",CUSTOMER!H:H,"&gt;="&amp;"2022-12-31",SALE!G:G,"Zorlu Center")</f>
        <v>32</v>
      </c>
      <c r="E24" s="41">
        <f>COUNTIFS(CUSTOMER!G:G,"&gt;="&amp;"2022-12-01",CUSTOMER!G:G,"&lt;="&amp;"2022-12-31",SALE!G:G,"Zorlu Center")</f>
        <v>0</v>
      </c>
      <c r="F24" s="42">
        <f t="shared" si="0"/>
        <v>0.66666666666666663</v>
      </c>
      <c r="G24" s="42">
        <f t="shared" si="1"/>
        <v>0.33333333333333337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COUNTIFS(CUSTOMER!G:G,"&lt;="&amp;"2023-01-01",CUSTOMER!H:H,"&gt;"&amp;"2023-01-01",SALE!G:G,"Zorlu Center")</f>
        <v>32</v>
      </c>
      <c r="D25" s="31">
        <f>COUNTIFS(CUSTOMER!G:G,"&lt;="&amp;"2023-01-31",CUSTOMER!H:H,"&gt;="&amp;"2023-01-31",SALE!G:G,"Zorlu Center")</f>
        <v>24</v>
      </c>
      <c r="E25" s="31">
        <f>COUNTIFS(CUSTOMER!G:G,"&gt;="&amp;"2023-01-01",CUSTOMER!G:G,"&lt;="&amp;"2023-01-31",SALE!G:G,"Zorlu Center")</f>
        <v>0</v>
      </c>
      <c r="F25" s="44">
        <f t="shared" si="0"/>
        <v>0.75</v>
      </c>
      <c r="G25" s="51">
        <f t="shared" si="1"/>
        <v>0.25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COUNTIFS(CUSTOMER!G:G,"&lt;="&amp;"2023-02-01",CUSTOMER!H:H,"&gt;"&amp;"2023-02-01",SALE!G:G,"Zorlu Center")</f>
        <v>22</v>
      </c>
      <c r="D26" s="31">
        <f>COUNTIFS(CUSTOMER!G:G,"&lt;="&amp;"2023-02-28",CUSTOMER!H:H,"&gt;="&amp;"2023-02-28",SALE!G:G,"Zorlu Center")</f>
        <v>8</v>
      </c>
      <c r="E26" s="31">
        <f>COUNTIFS(CUSTOMER!G:G,"&gt;="&amp;"2023-02-01",CUSTOMER!G:G,"&lt;="&amp;"2023-02-28",SALE!G:G,"Zorlu Center")</f>
        <v>0</v>
      </c>
      <c r="F26" s="44">
        <f t="shared" si="0"/>
        <v>0.36363636363636365</v>
      </c>
      <c r="G26" s="51">
        <f t="shared" si="1"/>
        <v>0.63636363636363635</v>
      </c>
    </row>
    <row r="27" spans="1:7" x14ac:dyDescent="0.3">
      <c r="A27" s="37"/>
      <c r="F27" s="54">
        <f>AVERAGE(F2:F26)</f>
        <v>0.9224252028000528</v>
      </c>
      <c r="G27" s="30">
        <f t="shared" si="1"/>
        <v>7.7574797199947199E-2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AAA43-9D7D-47DC-A768-BFEBDB9D9890}">
  <dimension ref="A1:I39"/>
  <sheetViews>
    <sheetView workbookViewId="0">
      <selection activeCell="D3" sqref="D3"/>
    </sheetView>
  </sheetViews>
  <sheetFormatPr defaultRowHeight="14.4" x14ac:dyDescent="0.3"/>
  <cols>
    <col min="2" max="2" width="13.109375" style="18" customWidth="1"/>
    <col min="3" max="3" width="15.88671875" style="18" customWidth="1"/>
    <col min="4" max="4" width="18" style="30" bestFit="1" customWidth="1"/>
    <col min="5" max="5" width="24" style="30" customWidth="1"/>
    <col min="6" max="7" width="13.5546875" style="30" customWidth="1"/>
  </cols>
  <sheetData>
    <row r="1" spans="1:9" x14ac:dyDescent="0.3">
      <c r="A1" s="28"/>
      <c r="B1" s="22" t="s">
        <v>12050</v>
      </c>
      <c r="C1" s="22" t="s">
        <v>12054</v>
      </c>
      <c r="D1" s="29" t="s">
        <v>12055</v>
      </c>
      <c r="E1" s="29" t="s">
        <v>12056</v>
      </c>
      <c r="F1" s="29" t="s">
        <v>12057</v>
      </c>
      <c r="G1" s="29" t="s">
        <v>12059</v>
      </c>
    </row>
    <row r="2" spans="1:9" x14ac:dyDescent="0.3">
      <c r="A2" s="66">
        <v>2021</v>
      </c>
      <c r="B2" s="45">
        <v>44228</v>
      </c>
      <c r="C2" s="38">
        <f>COUNTIFS(CUSTOMER!G:G,"&lt;="&amp;"2021-02-01",CUSTOMER!H:H,"&gt;"&amp;"2021-02-01", SALE!G:G,"Kanyon")</f>
        <v>63</v>
      </c>
      <c r="D2" s="39">
        <f>COUNTIFS(CUSTOMER!G:G,"&lt;="&amp;"2021-02-28",CUSTOMER!H:H,"&gt;="&amp;"2021-02-28",SALE!G:G,"Kanyon")</f>
        <v>98</v>
      </c>
      <c r="E2" s="39">
        <f>COUNTIFS(CUSTOMER!G:G,"&gt;="&amp;"2021-02-01",CUSTOMER!G:G,"&lt;="&amp;"2021-02-28",SALE!G:G,"Kanyon")</f>
        <v>36</v>
      </c>
      <c r="F2" s="40">
        <f>((D2-E2)*100%)/C2</f>
        <v>0.98412698412698407</v>
      </c>
      <c r="G2" s="40">
        <f>1-F2</f>
        <v>1.5873015873015928E-2</v>
      </c>
    </row>
    <row r="3" spans="1:9" x14ac:dyDescent="0.3">
      <c r="A3" s="67"/>
      <c r="B3" s="45">
        <v>44256</v>
      </c>
      <c r="C3" s="38">
        <f>COUNTIFS(CUSTOMER!G:G,"&lt;="&amp;"2021-03-01",CUSTOMER!H:H,"&gt;"&amp;"2021-03-01", SALE!G:G,"Kanyon")</f>
        <v>98</v>
      </c>
      <c r="D3" s="39">
        <f>COUNTIFS(CUSTOMER!G:G,"&lt;="&amp;"2021-03-31",CUSTOMER!H:H,"&gt;="&amp;"2021-03-31",SALE!G:G,"Kanyon")</f>
        <v>147</v>
      </c>
      <c r="E3" s="39">
        <f>COUNTIFS(CUSTOMER!G:G,"&gt;="&amp;"2021-03-01",CUSTOMER!G:G,"&lt;="&amp;"2021-03-31",SALE!G:G,"Kanyon")</f>
        <v>49</v>
      </c>
      <c r="F3" s="40">
        <f t="shared" ref="F3:F26" si="0">((D3-E3)*100%)/C3</f>
        <v>1</v>
      </c>
      <c r="G3" s="40">
        <f t="shared" ref="G3:G26" si="1">1-F3</f>
        <v>0</v>
      </c>
    </row>
    <row r="4" spans="1:9" x14ac:dyDescent="0.3">
      <c r="A4" s="67"/>
      <c r="B4" s="45">
        <v>44287</v>
      </c>
      <c r="C4" s="38">
        <f>COUNTIFS(CUSTOMER!G:G,"&lt;="&amp;"2021-04-01",CUSTOMER!H:H,"&gt;"&amp;"2021-04-01",SALE!G:G,"Kanyon")</f>
        <v>147</v>
      </c>
      <c r="D4" s="39">
        <f>COUNTIFS(CUSTOMER!G:G,"&lt;="&amp;"2021-04-30",CUSTOMER!H:H,"&gt;="&amp;"2021-04-30",SALE!G:G,"Kanyon")</f>
        <v>190</v>
      </c>
      <c r="E4" s="39">
        <f>COUNTIFS(CUSTOMER!G:G,"&gt;="&amp;"2021-04-01",CUSTOMER!G:G,"&lt;="&amp;"2021-04-30",SALE!G:G,"Kanyon")</f>
        <v>45</v>
      </c>
      <c r="F4" s="40">
        <f t="shared" si="0"/>
        <v>0.98639455782312924</v>
      </c>
      <c r="G4" s="40">
        <f t="shared" si="1"/>
        <v>1.3605442176870763E-2</v>
      </c>
    </row>
    <row r="5" spans="1:9" x14ac:dyDescent="0.3">
      <c r="A5" s="67"/>
      <c r="B5" s="45">
        <v>44317</v>
      </c>
      <c r="C5" s="38">
        <f>COUNTIFS(CUSTOMER!G:G,"&lt;="&amp;"2021-05-01",CUSTOMER!H:H,"&gt;"&amp;"2021-05-01",SALE!G:G,"Kanyon")</f>
        <v>192</v>
      </c>
      <c r="D5" s="39">
        <f>COUNTIFS(CUSTOMER!G:G,"&lt;="&amp;"2021-05-31",CUSTOMER!H:H,"&gt;="&amp;"2021-05-31",SALE!G:G,"Kanyon")</f>
        <v>221</v>
      </c>
      <c r="E5" s="39">
        <f>COUNTIFS(CUSTOMER!G:G,"&gt;="&amp;"2021-05-01",CUSTOMER!G:G,"&lt;="&amp;"2021-05-31",SALE!G:G,"Kanyon")</f>
        <v>32</v>
      </c>
      <c r="F5" s="40">
        <f t="shared" si="0"/>
        <v>0.984375</v>
      </c>
      <c r="G5" s="40">
        <f t="shared" si="1"/>
        <v>1.5625E-2</v>
      </c>
    </row>
    <row r="6" spans="1:9" x14ac:dyDescent="0.3">
      <c r="A6" s="67"/>
      <c r="B6" s="45">
        <v>44348</v>
      </c>
      <c r="C6" s="38">
        <f>COUNTIFS(CUSTOMER!G:G,"&lt;="&amp;"2021-06-01",CUSTOMER!H:H,"&gt;"&amp;"2021-06-01",SALE!G:G,"Kanyon")</f>
        <v>225</v>
      </c>
      <c r="D6" s="39">
        <f>COUNTIFS(CUSTOMER!G:G,"&lt;="&amp;"2021-06-30",CUSTOMER!H:H,"&gt;="&amp;"2021-06-30",SALE!G:G,"Kanyon")</f>
        <v>249</v>
      </c>
      <c r="E6" s="39">
        <f>COUNTIFS(CUSTOMER!G:G,"&gt;="&amp;"2021-06-01",CUSTOMER!G:G,"&lt;="&amp;"2021-06-30",SALE!G:G,"Kanyon")</f>
        <v>29</v>
      </c>
      <c r="F6" s="40">
        <f t="shared" si="0"/>
        <v>0.97777777777777775</v>
      </c>
      <c r="G6" s="40">
        <f t="shared" si="1"/>
        <v>2.2222222222222254E-2</v>
      </c>
      <c r="I6" t="s">
        <v>12058</v>
      </c>
    </row>
    <row r="7" spans="1:9" x14ac:dyDescent="0.3">
      <c r="A7" s="67"/>
      <c r="B7" s="45">
        <v>44378</v>
      </c>
      <c r="C7" s="38">
        <f>COUNTIFS(CUSTOMER!G:G,"&lt;="&amp;"2021-07-01",CUSTOMER!H:H,"&gt;"&amp;"2021-07-01",SALE!G:G,"Kanyon")</f>
        <v>251</v>
      </c>
      <c r="D7" s="39">
        <f>COUNTIFS(CUSTOMER!G:G,"&lt;="&amp;"2021-07-31",CUSTOMER!H:H,"&gt;="&amp;"2021-07-31",SALE!G:G,"Kanyon")</f>
        <v>276</v>
      </c>
      <c r="E7" s="39">
        <f>COUNTIFS(CUSTOMER!G:G,"&gt;="&amp;"2021-07-01",CUSTOMER!G:G,"&lt;="&amp;"2021-07-31",SALE!G:G,"Kanyon")</f>
        <v>30</v>
      </c>
      <c r="F7" s="40">
        <f t="shared" si="0"/>
        <v>0.98007968127490042</v>
      </c>
      <c r="G7" s="40">
        <f t="shared" si="1"/>
        <v>1.9920318725099584E-2</v>
      </c>
    </row>
    <row r="8" spans="1:9" x14ac:dyDescent="0.3">
      <c r="A8" s="67"/>
      <c r="B8" s="45">
        <v>44409</v>
      </c>
      <c r="C8" s="38">
        <f>COUNTIFS(CUSTOMER!G:G,"&lt;="&amp;"2021-08-01",CUSTOMER!H:H,"&gt;"&amp;"2021-08-01",SALE!G:G,"Kanyon")</f>
        <v>276</v>
      </c>
      <c r="D8" s="39">
        <f>COUNTIFS(CUSTOMER!G:G,"&lt;="&amp;"2021-08-31",CUSTOMER!H:H,"&gt;="&amp;"2021-08-31",SALE!G:G,"Kanyon")</f>
        <v>291</v>
      </c>
      <c r="E8" s="39">
        <f>COUNTIFS(CUSTOMER!G:G,"&gt;="&amp;"2021-08-01",CUSTOMER!G:G,"&lt;="&amp;"2021-08-31",SALE!G:G,"Kanyon")</f>
        <v>16</v>
      </c>
      <c r="F8" s="40">
        <f t="shared" si="0"/>
        <v>0.99637681159420288</v>
      </c>
      <c r="G8" s="40">
        <f t="shared" si="1"/>
        <v>3.6231884057971175E-3</v>
      </c>
    </row>
    <row r="9" spans="1:9" x14ac:dyDescent="0.3">
      <c r="A9" s="67"/>
      <c r="B9" s="45">
        <v>44440</v>
      </c>
      <c r="C9" s="38">
        <f>COUNTIFS(CUSTOMER!G:G,"&lt;="&amp;"2021-09-01",CUSTOMER!H:H,"&gt;"&amp;"2021-09-01",SALE!G:G,"Kanyon")</f>
        <v>291</v>
      </c>
      <c r="D9" s="39">
        <f>COUNTIFS(CUSTOMER!G:G,"&lt;="&amp;"2021-09-30",CUSTOMER!H:H,"&gt;="&amp;"2021-09-30",SALE!G:G,"Kanyon")</f>
        <v>308</v>
      </c>
      <c r="E9" s="39">
        <f>COUNTIFS(CUSTOMER!G:G,"&gt;="&amp;"2021-09-01",CUSTOMER!G:G,"&lt;="&amp;"2021-09-30",SALE!G:G,"Kanyon")</f>
        <v>19</v>
      </c>
      <c r="F9" s="40">
        <f t="shared" si="0"/>
        <v>0.99312714776632305</v>
      </c>
      <c r="G9" s="40">
        <f t="shared" si="1"/>
        <v>6.8728522336769515E-3</v>
      </c>
    </row>
    <row r="10" spans="1:9" x14ac:dyDescent="0.3">
      <c r="A10" s="67"/>
      <c r="B10" s="45">
        <v>44470</v>
      </c>
      <c r="C10" s="38">
        <f>COUNTIFS(CUSTOMER!G:G,"&lt;="&amp;"2021-10-01",CUSTOMER!H:H,"&gt;"&amp;"2021-10-01",SALE!G:G,"Kanyon")</f>
        <v>308</v>
      </c>
      <c r="D10" s="39">
        <f>COUNTIFS(CUSTOMER!G:G,"&lt;="&amp;"2021-10-31",CUSTOMER!H:H,"&gt;="&amp;"2021-10-31",SALE!G:G,"Kanyon")</f>
        <v>309</v>
      </c>
      <c r="E10" s="39">
        <f>COUNTIFS(CUSTOMER!G:G,"&gt;="&amp;"2021-10-01",CUSTOMER!G:G,"&lt;="&amp;"2021-10-31",SALE!G:G,"Kanyon")</f>
        <v>7</v>
      </c>
      <c r="F10" s="40">
        <f t="shared" si="0"/>
        <v>0.98051948051948057</v>
      </c>
      <c r="G10" s="40">
        <f t="shared" si="1"/>
        <v>1.9480519480519431E-2</v>
      </c>
    </row>
    <row r="11" spans="1:9" x14ac:dyDescent="0.3">
      <c r="A11" s="67"/>
      <c r="B11" s="45">
        <v>44501</v>
      </c>
      <c r="C11" s="38">
        <f>COUNTIFS(CUSTOMER!G:G,"&lt;="&amp;"2021-11-01",CUSTOMER!H:H,"&gt;"&amp;"2021-11-01",SALE!G:G,"Kanyon")</f>
        <v>309</v>
      </c>
      <c r="D11" s="39">
        <f>COUNTIFS(CUSTOMER!G:G,"&lt;="&amp;"2021-11-30",CUSTOMER!H:H,"&gt;="&amp;"2021-11-30",SALE!G:G,"Kanyon")</f>
        <v>320</v>
      </c>
      <c r="E11" s="39">
        <f>COUNTIFS(CUSTOMER!G:G,"&gt;="&amp;"2021-11-01",CUSTOMER!G:G,"&lt;="&amp;"2021-11-30",SALE!G:G,"Kanyon")</f>
        <v>15</v>
      </c>
      <c r="F11" s="40">
        <f t="shared" si="0"/>
        <v>0.98705501618122982</v>
      </c>
      <c r="G11" s="40">
        <f t="shared" si="1"/>
        <v>1.2944983818770184E-2</v>
      </c>
    </row>
    <row r="12" spans="1:9" x14ac:dyDescent="0.3">
      <c r="A12" s="68"/>
      <c r="B12" s="45">
        <v>44531</v>
      </c>
      <c r="C12" s="38">
        <f>COUNTIFS(CUSTOMER!G:G,"&lt;="&amp;"2021-12-01",CUSTOMER!H:H,"&gt;"&amp;"2021-12-01",SALE!G:G,"Kanyon")</f>
        <v>320</v>
      </c>
      <c r="D12" s="39">
        <f>COUNTIFS(CUSTOMER!G:G,"&lt;="&amp;"2021-12-31",CUSTOMER!H:H,"&gt;="&amp;"2021-12-31",SALE!G:G,"Kanyon")</f>
        <v>320</v>
      </c>
      <c r="E12" s="39">
        <f>COUNTIFS(CUSTOMER!G:G,"&gt;="&amp;"2021-12-01",CUSTOMER!G:G,"&lt;="&amp;"2021-12-31",SALE!G:G,"Kanyon")</f>
        <v>6</v>
      </c>
      <c r="F12" s="40">
        <f t="shared" si="0"/>
        <v>0.98124999999999996</v>
      </c>
      <c r="G12" s="40">
        <f t="shared" si="1"/>
        <v>1.8750000000000044E-2</v>
      </c>
    </row>
    <row r="13" spans="1:9" x14ac:dyDescent="0.3">
      <c r="A13" s="69">
        <v>2022</v>
      </c>
      <c r="B13" s="46">
        <v>44562</v>
      </c>
      <c r="C13" s="27">
        <f>COUNTIFS(CUSTOMER!G:G,"&lt;="&amp;"2022-01-01",CUSTOMER!H:H,"&gt;"&amp;"2022-01-01",SALE!G:G,"Kanyon")</f>
        <v>320</v>
      </c>
      <c r="D13" s="41">
        <f>COUNTIFS(CUSTOMER!G:G,"&lt;="&amp;"2022-01-31",CUSTOMER!H:H,"&gt;="&amp;"2022-01-31",SALE!G:G,"Kanyon")</f>
        <v>320</v>
      </c>
      <c r="E13" s="41">
        <f>COUNTIFS(CUSTOMER!G:G,"&gt;="&amp;"2022-01-01",CUSTOMER!G:G,"&lt;="&amp;"2022-01-31",SALE!G:G,"Kanyon")</f>
        <v>3</v>
      </c>
      <c r="F13" s="42">
        <f t="shared" si="0"/>
        <v>0.99062499999999998</v>
      </c>
      <c r="G13" s="42">
        <f t="shared" si="1"/>
        <v>9.3750000000000222E-3</v>
      </c>
    </row>
    <row r="14" spans="1:9" x14ac:dyDescent="0.3">
      <c r="A14" s="69"/>
      <c r="B14" s="46">
        <v>44593</v>
      </c>
      <c r="C14" s="27">
        <f>COUNTIFS(CUSTOMER!G:G,"&lt;="&amp;"2022-02-01",CUSTOMER!H:H,"&gt;"&amp;"2022-02-01",SALE!G:G,"Kanyon")</f>
        <v>319</v>
      </c>
      <c r="D14" s="41">
        <f>COUNTIFS(CUSTOMER!G:G,"&lt;="&amp;"2022-02-28",CUSTOMER!H:H,"&gt;="&amp;"2022-02-28",SALE!G:G,"Kanyon")</f>
        <v>318</v>
      </c>
      <c r="E14" s="41">
        <f>COUNTIFS(CUSTOMER!G:G,"&gt;="&amp;"2022-02-01",CUSTOMER!G:G,"&lt;="&amp;"2022-02-28",SALE!G:G,"Kanyon")</f>
        <v>9</v>
      </c>
      <c r="F14" s="42">
        <f t="shared" si="0"/>
        <v>0.96865203761755481</v>
      </c>
      <c r="G14" s="42">
        <f t="shared" si="1"/>
        <v>3.1347962382445194E-2</v>
      </c>
    </row>
    <row r="15" spans="1:9" x14ac:dyDescent="0.3">
      <c r="A15" s="69"/>
      <c r="B15" s="46">
        <v>44621</v>
      </c>
      <c r="C15" s="27">
        <f>COUNTIFS(CUSTOMER!G:G,"&lt;="&amp;"2022-03-01",CUSTOMER!H:H,"&gt;"&amp;"2022-03-01",SALE!G:G,"Kanyon")</f>
        <v>317</v>
      </c>
      <c r="D15" s="41">
        <f>COUNTIFS(CUSTOMER!G:G,"&lt;="&amp;"2022-03-31",CUSTOMER!H:H,"&gt;="&amp;"2022-03-31",SALE!G:G,"Kanyon")</f>
        <v>316</v>
      </c>
      <c r="E15" s="41">
        <f>COUNTIFS(CUSTOMER!G:G,"&gt;="&amp;"2022-03-01",CUSTOMER!G:G,"&lt;="&amp;"2022-03-31",SALE!G:G,"Kanyon")</f>
        <v>5</v>
      </c>
      <c r="F15" s="42">
        <f t="shared" si="0"/>
        <v>0.98107255520504733</v>
      </c>
      <c r="G15" s="42">
        <f t="shared" si="1"/>
        <v>1.8927444794952675E-2</v>
      </c>
    </row>
    <row r="16" spans="1:9" x14ac:dyDescent="0.3">
      <c r="A16" s="69"/>
      <c r="B16" s="46">
        <v>44652</v>
      </c>
      <c r="C16" s="27">
        <f>COUNTIFS(CUSTOMER!G:G,"&lt;="&amp;"2022-04-01",CUSTOMER!H:H,"&gt;"&amp;"2022-04-01",SALE!G:G,"Kanyon")</f>
        <v>316</v>
      </c>
      <c r="D16" s="41">
        <f>COUNTIFS(CUSTOMER!G:G,"&lt;="&amp;"2022-04-30",CUSTOMER!H:H,"&gt;="&amp;"2022-04-30",SALE!G:G,"Kanyon")</f>
        <v>316</v>
      </c>
      <c r="E16" s="41">
        <f>COUNTIFS(CUSTOMER!G:G,"&gt;="&amp;"2022-04-01",CUSTOMER!G:G,"&lt;="&amp;"2022-04-30",SALE!G:G,"Kanyon")</f>
        <v>5</v>
      </c>
      <c r="F16" s="42">
        <f t="shared" si="0"/>
        <v>0.98417721518987344</v>
      </c>
      <c r="G16" s="42">
        <f t="shared" si="1"/>
        <v>1.5822784810126556E-2</v>
      </c>
    </row>
    <row r="17" spans="1:7" x14ac:dyDescent="0.3">
      <c r="A17" s="69"/>
      <c r="B17" s="46">
        <v>44682</v>
      </c>
      <c r="C17" s="27">
        <f>COUNTIFS(CUSTOMER!G:G,"&lt;="&amp;"2022-05-01",CUSTOMER!H:H,"&gt;"&amp;"2022-05-01",SALE!G:G,"Kanyon")</f>
        <v>314</v>
      </c>
      <c r="D17" s="41">
        <f>COUNTIFS(CUSTOMER!G:G,"&lt;="&amp;"2022-05-31",CUSTOMER!H:H,"&gt;="&amp;"2022-05-31",SALE!G:G,"Kanyon")</f>
        <v>306</v>
      </c>
      <c r="E17" s="41">
        <f>COUNTIFS(CUSTOMER!G:G,"&gt;="&amp;"2022-05-01",CUSTOMER!G:G,"&lt;="&amp;"2022-05-31",SALE!G:G,"Kanyon")</f>
        <v>3</v>
      </c>
      <c r="F17" s="42">
        <f t="shared" si="0"/>
        <v>0.96496815286624205</v>
      </c>
      <c r="G17" s="42">
        <f t="shared" si="1"/>
        <v>3.5031847133757954E-2</v>
      </c>
    </row>
    <row r="18" spans="1:7" x14ac:dyDescent="0.3">
      <c r="A18" s="69"/>
      <c r="B18" s="46">
        <v>44713</v>
      </c>
      <c r="C18" s="27">
        <f>COUNTIFS(CUSTOMER!G:G,"&lt;="&amp;"2022-06-01",CUSTOMER!H:H,"&gt;"&amp;"2022-06-01",SALE!G:G,"Kanyon")</f>
        <v>306</v>
      </c>
      <c r="D18" s="41">
        <f>COUNTIFS(CUSTOMER!G:G,"&lt;="&amp;"2022-06-30",CUSTOMER!H:H,"&gt;="&amp;"2022-06-30",SALE!G:G,"Kanyon")</f>
        <v>294</v>
      </c>
      <c r="E18" s="41">
        <f>COUNTIFS(CUSTOMER!G:G,"&gt;="&amp;"2022-06-01",CUSTOMER!G:G,"&lt;="&amp;"2022-06-30",SALE!G:G,"Kanyon")</f>
        <v>1</v>
      </c>
      <c r="F18" s="42">
        <f t="shared" si="0"/>
        <v>0.95751633986928109</v>
      </c>
      <c r="G18" s="42">
        <f t="shared" si="1"/>
        <v>4.2483660130718914E-2</v>
      </c>
    </row>
    <row r="19" spans="1:7" x14ac:dyDescent="0.3">
      <c r="A19" s="69"/>
      <c r="B19" s="46">
        <v>44743</v>
      </c>
      <c r="C19" s="27">
        <f>COUNTIFS(CUSTOMER!G:G,"&lt;="&amp;"2022-07-01",CUSTOMER!H:H,"&gt;"&amp;"2022-07-01",SALE!G:G,"Kanyon")</f>
        <v>294</v>
      </c>
      <c r="D19" s="41">
        <f>COUNTIFS(CUSTOMER!G:G,"&lt;="&amp;"2022-07-31",CUSTOMER!H:H,"&gt;="&amp;"2022-07-31",SALE!G:G,"Kanyon")</f>
        <v>287</v>
      </c>
      <c r="E19" s="41">
        <f>COUNTIFS(CUSTOMER!G:G,"&gt;="&amp;"2022-07-01",CUSTOMER!G:G,"&lt;="&amp;"2022-07-31",SALE!G:G,"Kanyon")</f>
        <v>4</v>
      </c>
      <c r="F19" s="42">
        <f t="shared" si="0"/>
        <v>0.9625850340136054</v>
      </c>
      <c r="G19" s="42">
        <f t="shared" si="1"/>
        <v>3.7414965986394599E-2</v>
      </c>
    </row>
    <row r="20" spans="1:7" x14ac:dyDescent="0.3">
      <c r="A20" s="69"/>
      <c r="B20" s="46">
        <v>44774</v>
      </c>
      <c r="C20" s="27">
        <f>COUNTIFS(CUSTOMER!G:G,"&lt;="&amp;"2022-08-01",CUSTOMER!H:H,"&gt;"&amp;"2022-08-01",SALE!G:G,"Kanyon")</f>
        <v>286</v>
      </c>
      <c r="D20" s="41">
        <f>COUNTIFS(CUSTOMER!G:G,"&lt;="&amp;"2022-08-31",CUSTOMER!H:H,"&gt;="&amp;"2022-08-31",SALE!G:G,"Kanyon")</f>
        <v>265</v>
      </c>
      <c r="E20" s="41">
        <f>COUNTIFS(CUSTOMER!G:G,"&gt;="&amp;"2022-08-01",CUSTOMER!G:G,"&lt;="&amp;"2022-08-31",SALE!G:G,"Kanyon")</f>
        <v>2</v>
      </c>
      <c r="F20" s="42">
        <f t="shared" si="0"/>
        <v>0.91958041958041958</v>
      </c>
      <c r="G20" s="42">
        <f t="shared" si="1"/>
        <v>8.0419580419580416E-2</v>
      </c>
    </row>
    <row r="21" spans="1:7" x14ac:dyDescent="0.3">
      <c r="A21" s="69"/>
      <c r="B21" s="46">
        <v>44805</v>
      </c>
      <c r="C21" s="27">
        <f>COUNTIFS(CUSTOMER!G:G,"&lt;="&amp;"2022-09-01",CUSTOMER!H:H,"&gt;"&amp;"2022-09-01",SALE!G:G,"Kanyon")</f>
        <v>264</v>
      </c>
      <c r="D21" s="41">
        <f>COUNTIFS(CUSTOMER!G:G,"&lt;="&amp;"2022-09-30",CUSTOMER!H:H,"&gt;="&amp;"2022-09-30",SALE!G:G,"Kanyon")</f>
        <v>240</v>
      </c>
      <c r="E21" s="41">
        <f>COUNTIFS(CUSTOMER!G:G,"&gt;="&amp;"2022-09-01",CUSTOMER!G:G,"&lt;="&amp;"2022-09-30",SALE!G:G,"Kanyon")</f>
        <v>2</v>
      </c>
      <c r="F21" s="42">
        <f t="shared" si="0"/>
        <v>0.90151515151515149</v>
      </c>
      <c r="G21" s="42">
        <f t="shared" si="1"/>
        <v>9.8484848484848508E-2</v>
      </c>
    </row>
    <row r="22" spans="1:7" x14ac:dyDescent="0.3">
      <c r="A22" s="69"/>
      <c r="B22" s="46">
        <v>44835</v>
      </c>
      <c r="C22" s="27">
        <f>COUNTIFS(CUSTOMER!G:G,"&lt;="&amp;"2022-10-01",CUSTOMER!H:H,"&gt;"&amp;"2022-10-01",SALE!G:G,"Kanyon")</f>
        <v>239</v>
      </c>
      <c r="D22" s="41">
        <f>COUNTIFS(CUSTOMER!G:G,"&lt;="&amp;"2022-10-31",CUSTOMER!H:H,"&gt;="&amp;"2022-10-31",SALE!G:G,"Kanyon")</f>
        <v>211</v>
      </c>
      <c r="E22" s="41">
        <f>COUNTIFS(CUSTOMER!G:G,"&gt;="&amp;"2022-10-01",CUSTOMER!G:G,"&lt;="&amp;"2022-10-31",SALE!G:G,"Kanyon")</f>
        <v>2</v>
      </c>
      <c r="F22" s="42">
        <f t="shared" si="0"/>
        <v>0.87447698744769875</v>
      </c>
      <c r="G22" s="42">
        <f t="shared" si="1"/>
        <v>0.12552301255230125</v>
      </c>
    </row>
    <row r="23" spans="1:7" x14ac:dyDescent="0.3">
      <c r="A23" s="69"/>
      <c r="B23" s="46">
        <v>44866</v>
      </c>
      <c r="C23" s="27">
        <f>COUNTIFS(CUSTOMER!G:G,"&lt;="&amp;"2022-11-01",CUSTOMER!H:H,"&gt;"&amp;"2022-11-01",SALE!G:G,"Kanyon")</f>
        <v>207</v>
      </c>
      <c r="D23" s="41">
        <f>COUNTIFS(CUSTOMER!G:G,"&lt;="&amp;"2022-11-30",CUSTOMER!H:H,"&gt;="&amp;"2022-11-30",SALE!G:G,"Kanyon")</f>
        <v>171</v>
      </c>
      <c r="E23" s="41">
        <f>COUNTIFS(CUSTOMER!G:G,"&gt;="&amp;"2022-11-01",CUSTOMER!G:G,"&lt;="&amp;"2022-11-30",SALE!G:G,"Kanyon")</f>
        <v>2</v>
      </c>
      <c r="F23" s="42">
        <f t="shared" si="0"/>
        <v>0.81642512077294682</v>
      </c>
      <c r="G23" s="42">
        <f t="shared" si="1"/>
        <v>0.18357487922705318</v>
      </c>
    </row>
    <row r="24" spans="1:7" x14ac:dyDescent="0.3">
      <c r="A24" s="69"/>
      <c r="B24" s="46">
        <v>44896</v>
      </c>
      <c r="C24" s="27">
        <f>COUNTIFS(CUSTOMER!G:G,"&lt;="&amp;"2022-12-01",CUSTOMER!H:H,"&gt;"&amp;"2022-12-01",SALE!G:G,"Kanyon")</f>
        <v>170</v>
      </c>
      <c r="D24" s="41">
        <f>COUNTIFS(CUSTOMER!G:G,"&lt;="&amp;"2022-12-31",CUSTOMER!H:H,"&gt;="&amp;"2022-12-31",SALE!G:G,"Kanyon")</f>
        <v>132</v>
      </c>
      <c r="E24" s="41">
        <f>COUNTIFS(CUSTOMER!G:G,"&gt;="&amp;"2022-12-01",CUSTOMER!G:G,"&lt;="&amp;"2022-12-31",SALE!G:G,"Kanyon")</f>
        <v>2</v>
      </c>
      <c r="F24" s="42">
        <f t="shared" si="0"/>
        <v>0.76470588235294112</v>
      </c>
      <c r="G24" s="42">
        <f t="shared" si="1"/>
        <v>0.23529411764705888</v>
      </c>
    </row>
    <row r="25" spans="1:7" x14ac:dyDescent="0.3">
      <c r="A25" s="69">
        <v>2023</v>
      </c>
      <c r="B25" s="47">
        <v>44927</v>
      </c>
      <c r="C25" s="43">
        <f>COUNTIFS(CUSTOMER!G:G,"&lt;="&amp;"2023-01-01",CUSTOMER!H:H,"&gt;"&amp;"2023-01-01",SALE!G:G,"Kanyon")</f>
        <v>130</v>
      </c>
      <c r="D25" s="31">
        <f>COUNTIFS(CUSTOMER!G:G,"&lt;="&amp;"2023-01-31",CUSTOMER!H:H,"&gt;="&amp;"2023-01-31",SALE!G:G,"Kanyon")</f>
        <v>67</v>
      </c>
      <c r="E25" s="31">
        <f>COUNTIFS(CUSTOMER!G:G,"&gt;="&amp;"2023-01-01",CUSTOMER!G:G,"&lt;="&amp;"2023-01-31",SALE!G:G,"Kanyon")</f>
        <v>0</v>
      </c>
      <c r="F25" s="44">
        <f t="shared" si="0"/>
        <v>0.51538461538461533</v>
      </c>
      <c r="G25" s="51">
        <f t="shared" si="1"/>
        <v>0.48461538461538467</v>
      </c>
    </row>
    <row r="26" spans="1:7" x14ac:dyDescent="0.3">
      <c r="A26" s="69"/>
      <c r="B26" s="47">
        <v>44958</v>
      </c>
      <c r="C26" s="43">
        <f>COUNTIFS(CUSTOMER!G:G,"&lt;="&amp;"2023-02-01",CUSTOMER!H:H,"&gt;"&amp;"2023-02-01",SALE!G:G,"Kanyon")</f>
        <v>65</v>
      </c>
      <c r="D26" s="31">
        <f>COUNTIFS(CUSTOMER!G:G,"&lt;="&amp;"2023-02-28",CUSTOMER!H:H,"&gt;="&amp;"2023-02-28",SALE!G:G,"Kanyon")</f>
        <v>19</v>
      </c>
      <c r="E26" s="31">
        <f>COUNTIFS(CUSTOMER!G:G,"&gt;="&amp;"2023-02-01",CUSTOMER!G:G,"&lt;="&amp;"2023-02-28",SALE!G:G,"Kanyon")</f>
        <v>1</v>
      </c>
      <c r="F26" s="44">
        <f t="shared" si="0"/>
        <v>0.27692307692307694</v>
      </c>
      <c r="G26" s="51">
        <f t="shared" si="1"/>
        <v>0.72307692307692306</v>
      </c>
    </row>
    <row r="27" spans="1:7" x14ac:dyDescent="0.3">
      <c r="A27" s="37"/>
      <c r="F27" s="54">
        <f>AVERAGE(F2:F26)</f>
        <v>0.90918760183209946</v>
      </c>
    </row>
    <row r="28" spans="1:7" x14ac:dyDescent="0.3">
      <c r="A28" s="37"/>
      <c r="C28"/>
    </row>
    <row r="29" spans="1:7" x14ac:dyDescent="0.3">
      <c r="A29" s="37"/>
      <c r="C29"/>
    </row>
    <row r="30" spans="1:7" x14ac:dyDescent="0.3">
      <c r="A30" s="37"/>
      <c r="C30"/>
    </row>
    <row r="31" spans="1:7" x14ac:dyDescent="0.3">
      <c r="A31" s="37"/>
    </row>
    <row r="32" spans="1:7" x14ac:dyDescent="0.3">
      <c r="A32" s="37"/>
    </row>
    <row r="33" spans="1:1" x14ac:dyDescent="0.3">
      <c r="A33" s="37"/>
    </row>
    <row r="34" spans="1:1" x14ac:dyDescent="0.3">
      <c r="A34" s="37"/>
    </row>
    <row r="35" spans="1:1" x14ac:dyDescent="0.3">
      <c r="A35" s="37"/>
    </row>
    <row r="36" spans="1:1" x14ac:dyDescent="0.3">
      <c r="A36" s="37"/>
    </row>
    <row r="37" spans="1:1" x14ac:dyDescent="0.3">
      <c r="A37" s="37"/>
    </row>
    <row r="38" spans="1:1" x14ac:dyDescent="0.3">
      <c r="A38" s="37"/>
    </row>
    <row r="39" spans="1:1" x14ac:dyDescent="0.3">
      <c r="A39" s="37"/>
    </row>
  </sheetData>
  <mergeCells count="3">
    <mergeCell ref="A2:A12"/>
    <mergeCell ref="A13:A24"/>
    <mergeCell ref="A25:A2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6453B-6C08-451D-88DE-F27D26CB50DE}">
  <dimension ref="B2:C12"/>
  <sheetViews>
    <sheetView workbookViewId="0">
      <selection activeCell="C10" sqref="C10"/>
    </sheetView>
  </sheetViews>
  <sheetFormatPr defaultRowHeight="14.4" x14ac:dyDescent="0.3"/>
  <cols>
    <col min="2" max="2" width="20" customWidth="1"/>
    <col min="3" max="3" width="17.33203125" customWidth="1"/>
  </cols>
  <sheetData>
    <row r="2" spans="2:3" x14ac:dyDescent="0.3">
      <c r="B2" s="52" t="s">
        <v>12024</v>
      </c>
      <c r="C2" s="52" t="s">
        <v>12060</v>
      </c>
    </row>
    <row r="3" spans="2:3" x14ac:dyDescent="0.3">
      <c r="B3" s="53" t="s">
        <v>2009</v>
      </c>
      <c r="C3" s="55">
        <v>0.90873998027649294</v>
      </c>
    </row>
    <row r="4" spans="2:3" x14ac:dyDescent="0.3">
      <c r="B4" s="53" t="s">
        <v>12061</v>
      </c>
      <c r="C4" s="55">
        <v>0.92032617743344103</v>
      </c>
    </row>
    <row r="5" spans="2:3" x14ac:dyDescent="0.3">
      <c r="B5" s="53" t="s">
        <v>2041</v>
      </c>
      <c r="C5" s="55">
        <v>0.92382004757494429</v>
      </c>
    </row>
    <row r="6" spans="2:3" x14ac:dyDescent="0.3">
      <c r="B6" s="53" t="s">
        <v>2064</v>
      </c>
      <c r="C6" s="55">
        <v>0.91458830385010426</v>
      </c>
    </row>
    <row r="7" spans="2:3" x14ac:dyDescent="0.3">
      <c r="B7" s="53" t="s">
        <v>2004</v>
      </c>
      <c r="C7" s="55">
        <v>0.90918760183209946</v>
      </c>
    </row>
    <row r="8" spans="2:3" x14ac:dyDescent="0.3">
      <c r="B8" s="53" t="s">
        <v>2027</v>
      </c>
      <c r="C8" s="55">
        <v>0.91406077272981801</v>
      </c>
    </row>
    <row r="9" spans="2:3" x14ac:dyDescent="0.3">
      <c r="B9" s="53" t="s">
        <v>2002</v>
      </c>
      <c r="C9" s="55">
        <v>0.91592973128613009</v>
      </c>
    </row>
    <row r="10" spans="2:3" x14ac:dyDescent="0.3">
      <c r="B10" s="53" t="s">
        <v>2020</v>
      </c>
      <c r="C10" s="55">
        <v>0.91481676004843848</v>
      </c>
    </row>
    <row r="11" spans="2:3" x14ac:dyDescent="0.3">
      <c r="B11" s="53" t="s">
        <v>2018</v>
      </c>
      <c r="C11" s="55">
        <v>0.89899717218121666</v>
      </c>
    </row>
    <row r="12" spans="2:3" x14ac:dyDescent="0.3">
      <c r="B12" s="53" t="s">
        <v>2012</v>
      </c>
      <c r="C12" s="55">
        <v>0.9224252028000528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2D6AD39-D8FA-4AE9-BCA0-107A5E1BA1BA}">
  <ds:schemaRefs>
    <ds:schemaRef ds:uri="http://gemini/pivotcustomization/FormulaBarState"/>
  </ds:schemaRefs>
</ds:datastoreItem>
</file>

<file path=customXml/itemProps2.xml><?xml version="1.0" encoding="utf-8"?>
<ds:datastoreItem xmlns:ds="http://schemas.openxmlformats.org/officeDocument/2006/customXml" ds:itemID="{9DA16A37-B368-4DEC-A497-CABF424D160B}">
  <ds:schemaRefs>
    <ds:schemaRef ds:uri="http://gemini/pivotcustomization/TableOrder"/>
  </ds:schemaRefs>
</ds:datastoreItem>
</file>

<file path=customXml/itemProps3.xml><?xml version="1.0" encoding="utf-8"?>
<ds:datastoreItem xmlns:ds="http://schemas.openxmlformats.org/officeDocument/2006/customXml" ds:itemID="{F3BD85D3-0E96-4335-A259-B43A9EE941E4}">
  <ds:schemaRefs>
    <ds:schemaRef ds:uri="http://gemini/pivotcustomization/SandboxNonEmpty"/>
  </ds:schemaRefs>
</ds:datastoreItem>
</file>

<file path=customXml/itemProps4.xml><?xml version="1.0" encoding="utf-8"?>
<ds:datastoreItem xmlns:ds="http://schemas.openxmlformats.org/officeDocument/2006/customXml" ds:itemID="{E0FF45DD-210D-4798-A606-E5E36EEA8DE0}">
  <ds:schemaRefs>
    <ds:schemaRef ds:uri="http://gemini/pivotcustomization/PowerPivotVersion"/>
  </ds:schemaRefs>
</ds:datastoreItem>
</file>

<file path=customXml/itemProps5.xml><?xml version="1.0" encoding="utf-8"?>
<ds:datastoreItem xmlns:ds="http://schemas.openxmlformats.org/officeDocument/2006/customXml" ds:itemID="{606E60D0-1BF2-4073-83B2-E2492B02BAE2}">
  <ds:schemaRefs>
    <ds:schemaRef ds:uri="http://gemini/pivotcustomization/LinkedTableUpdateMode"/>
  </ds:schemaRefs>
</ds:datastoreItem>
</file>

<file path=customXml/itemProps6.xml><?xml version="1.0" encoding="utf-8"?>
<ds:datastoreItem xmlns:ds="http://schemas.openxmlformats.org/officeDocument/2006/customXml" ds:itemID="{2797F089-0267-47CB-85EA-783859BF8FCA}">
  <ds:schemaRefs>
    <ds:schemaRef ds:uri="http://gemini/pivotcustomization/ClientWindowXML"/>
  </ds:schemaRefs>
</ds:datastoreItem>
</file>

<file path=customXml/itemProps7.xml><?xml version="1.0" encoding="utf-8"?>
<ds:datastoreItem xmlns:ds="http://schemas.openxmlformats.org/officeDocument/2006/customXml" ds:itemID="{6411EDC0-ED25-4F2A-B679-C425B2197882}">
  <ds:schemaRefs>
    <ds:schemaRef ds:uri="http://gemini/pivotcustomization/ErrorCache"/>
  </ds:schemaRefs>
</ds:datastoreItem>
</file>

<file path=customXml/itemProps8.xml><?xml version="1.0" encoding="utf-8"?>
<ds:datastoreItem xmlns:ds="http://schemas.openxmlformats.org/officeDocument/2006/customXml" ds:itemID="{2B6D068D-C7DC-4D08-8F1C-C406638E7479}">
  <ds:schemaRefs>
    <ds:schemaRef ds:uri="http://gemini/pivotcustomization/ShowImplicitMeasures"/>
  </ds:schemaRefs>
</ds:datastoreItem>
</file>

<file path=customXml/itemProps9.xml><?xml version="1.0" encoding="utf-8"?>
<ds:datastoreItem xmlns:ds="http://schemas.openxmlformats.org/officeDocument/2006/customXml" ds:itemID="{BFC99820-1EE5-4DAD-A46D-F5689AF377EF}">
  <ds:schemaRefs>
    <ds:schemaRef ds:uri="http://gemini/pivotcustomization/IsSandboxEmbedded"/>
  </ds:schemaRefs>
</ds:datastoreItem>
</file>

<file path=customXml/itemProps10.xml><?xml version="1.0" encoding="utf-8"?>
<ds:datastoreItem xmlns:ds="http://schemas.openxmlformats.org/officeDocument/2006/customXml" ds:itemID="{136B9F19-9EC5-45D7-B6E2-1EFAFE1A9ED4}">
  <ds:schemaRefs>
    <ds:schemaRef ds:uri="http://gemini/pivotcustomization/TableXML_Table13"/>
  </ds:schemaRefs>
</ds:datastoreItem>
</file>

<file path=customXml/itemProps11.xml><?xml version="1.0" encoding="utf-8"?>
<ds:datastoreItem xmlns:ds="http://schemas.openxmlformats.org/officeDocument/2006/customXml" ds:itemID="{C2CB1DA8-A8FA-4635-AB27-13D0AEC595C9}">
  <ds:schemaRefs>
    <ds:schemaRef ds:uri="http://gemini/pivotcustomization/RelationshipAutoDetectionEnabled"/>
  </ds:schemaRefs>
</ds:datastoreItem>
</file>

<file path=customXml/itemProps12.xml><?xml version="1.0" encoding="utf-8"?>
<ds:datastoreItem xmlns:ds="http://schemas.openxmlformats.org/officeDocument/2006/customXml" ds:itemID="{985001F1-CEE5-4DB1-8C37-844823B8DB52}">
  <ds:schemaRefs>
    <ds:schemaRef ds:uri="http://gemini/pivotcustomization/ManualCalcMode"/>
  </ds:schemaRefs>
</ds:datastoreItem>
</file>

<file path=customXml/itemProps13.xml><?xml version="1.0" encoding="utf-8"?>
<ds:datastoreItem xmlns:ds="http://schemas.openxmlformats.org/officeDocument/2006/customXml" ds:itemID="{E848D88B-BD1F-446E-BBAE-549CE21F28BC}">
  <ds:schemaRefs>
    <ds:schemaRef ds:uri="http://gemini/pivotcustomization/Diagrams"/>
  </ds:schemaRefs>
</ds:datastoreItem>
</file>

<file path=customXml/itemProps14.xml><?xml version="1.0" encoding="utf-8"?>
<ds:datastoreItem xmlns:ds="http://schemas.openxmlformats.org/officeDocument/2006/customXml" ds:itemID="{80D5A79E-09FB-4D8A-98E8-60ADD7EB9F2F}">
  <ds:schemaRefs>
    <ds:schemaRef ds:uri="http://gemini/pivotcustomization/TableXML_Table1"/>
  </ds:schemaRefs>
</ds:datastoreItem>
</file>

<file path=customXml/itemProps15.xml><?xml version="1.0" encoding="utf-8"?>
<ds:datastoreItem xmlns:ds="http://schemas.openxmlformats.org/officeDocument/2006/customXml" ds:itemID="{B66DA265-90DE-4634-914F-299394507289}">
  <ds:schemaRefs>
    <ds:schemaRef ds:uri="http://gemini/pivotcustomization/ShowHidden"/>
  </ds:schemaRefs>
</ds:datastoreItem>
</file>

<file path=customXml/itemProps16.xml><?xml version="1.0" encoding="utf-8"?>
<ds:datastoreItem xmlns:ds="http://schemas.openxmlformats.org/officeDocument/2006/customXml" ds:itemID="{3F7B5B40-093E-40AA-BCA9-2DE66CE012F8}">
  <ds:schemaRefs>
    <ds:schemaRef ds:uri="http://gemini/pivotcustomization/TableWidget"/>
  </ds:schemaRefs>
</ds:datastoreItem>
</file>

<file path=customXml/itemProps17.xml><?xml version="1.0" encoding="utf-8"?>
<ds:datastoreItem xmlns:ds="http://schemas.openxmlformats.org/officeDocument/2006/customXml" ds:itemID="{4465D6C0-680F-4C18-B946-6ED5BE7DEB6E}">
  <ds:schemaRefs>
    <ds:schemaRef ds:uri="http://gemini/pivotcustomization/MeasureGridStat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Sheet9</vt:lpstr>
      <vt:lpstr>SALE</vt:lpstr>
      <vt:lpstr>CUSTOMER</vt:lpstr>
      <vt:lpstr>CHURN RATE</vt:lpstr>
      <vt:lpstr>RETENTION&amp;CHURN RATE - Time</vt:lpstr>
      <vt:lpstr>RETENTION&amp;CHURN RATE - Female</vt:lpstr>
      <vt:lpstr>RETENTION&amp;CHURN RATE - Male</vt:lpstr>
      <vt:lpstr>RC AVG GENDER</vt:lpstr>
      <vt:lpstr>RETENTION&amp;CHURN RATE - Books</vt:lpstr>
      <vt:lpstr>RETENTION&amp;CHURN RATE - Cos</vt:lpstr>
      <vt:lpstr>RETENTION&amp;CHURN RATE - FB</vt:lpstr>
      <vt:lpstr>RETENTION&amp;CHURN RATE - Shoes</vt:lpstr>
      <vt:lpstr>RETENTION&amp;CHURN RATE - Sou</vt:lpstr>
      <vt:lpstr>RETENTION&amp;CHURN RATE - Tech</vt:lpstr>
      <vt:lpstr>RETENTION&amp;CHURN RATE - Toys</vt:lpstr>
      <vt:lpstr>RETENTION&amp;CHURN RATE - Clothing</vt:lpstr>
      <vt:lpstr>RC AVG CATEGORY</vt:lpstr>
      <vt:lpstr>RETENTION&amp;CHURN RATE - AVM</vt:lpstr>
      <vt:lpstr>RETENTION&amp;CHURN RATE - Emaar</vt:lpstr>
      <vt:lpstr>RETENTION&amp;CHURN RATE - Forum</vt:lpstr>
      <vt:lpstr>RETENTION&amp;CHURN RATE - Istinye</vt:lpstr>
      <vt:lpstr>RETENTION&amp;CHURN RATE - Istanbul</vt:lpstr>
      <vt:lpstr>RETENTION&amp;CHURN RATE - Metro</vt:lpstr>
      <vt:lpstr>RETENTION&amp;CHURN RATE - Metropol</vt:lpstr>
      <vt:lpstr>RETENTION&amp;CHURN RATE - Viaport</vt:lpstr>
      <vt:lpstr>RETENTION&amp;CHURN RATE - Zorlu</vt:lpstr>
      <vt:lpstr>RETENTION&amp;CHURN RATE - Kanyon </vt:lpstr>
      <vt:lpstr>RC AVG MALL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Trinh Tung Duong</cp:lastModifiedBy>
  <cp:revision/>
  <dcterms:created xsi:type="dcterms:W3CDTF">2024-09-25T01:23:31Z</dcterms:created>
  <dcterms:modified xsi:type="dcterms:W3CDTF">2024-10-15T11:02:41Z</dcterms:modified>
  <cp:category/>
  <cp:contentStatus/>
</cp:coreProperties>
</file>